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0.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13.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5.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6.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7.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19.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21.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SWAU\Teacher supply\TSM - Teacher Supply Model\2016 TSM round (2017-18 targets)\Publication\Docs to send to webteam\"/>
    </mc:Choice>
  </mc:AlternateContent>
  <bookViews>
    <workbookView xWindow="10530" yWindow="1245" windowWidth="11940" windowHeight="7470" tabRatio="796"/>
  </bookViews>
  <sheets>
    <sheet name="Title_&amp;_Contents" sheetId="68" r:id="rId1"/>
    <sheet name="Details" sheetId="69" r:id="rId2"/>
    <sheet name="New_features" sheetId="231" r:id="rId3"/>
    <sheet name="Map_of_sheets" sheetId="288" r:id="rId4"/>
    <sheet name="Subject_groupings_defined" sheetId="51" r:id="rId5"/>
    <sheet name="FINAL_OUTPUTS_OF_ITT_PLACES" sheetId="212" r:id="rId6"/>
    <sheet name="SUMMARY_OUTPUTS" sheetId="287" r:id="rId7"/>
    <sheet name="USER_TESTING_TAB" sheetId="95" r:id="rId8"/>
    <sheet name="Entrant_need_charts_over_time" sheetId="103" r:id="rId9"/>
    <sheet name="Teacher_need_charts_over_time" sheetId="85" r:id="rId10"/>
    <sheet name="Pupil_Projections_scenarios" sheetId="155" r:id="rId11"/>
    <sheet name="RAW_DATA_INPUTS" sheetId="19" r:id="rId12"/>
    <sheet name="Policy_assumptions_PRIM" sheetId="91" r:id="rId13"/>
    <sheet name="Policy_assumptions_SEC" sheetId="105" r:id="rId14"/>
    <sheet name="Data_selected_by_user_testing" sheetId="108" r:id="rId15"/>
    <sheet name="Increased_EBacc_scenario_data" sheetId="225" r:id="rId16"/>
    <sheet name="Calc_PRIM_retirement_rates" sheetId="119" r:id="rId17"/>
    <sheet name="Calc_SEC_retirement_rates" sheetId="118" r:id="rId18"/>
    <sheet name="Calc_PRIM_death_rates" sheetId="120" r:id="rId19"/>
    <sheet name="Calc_SEC_death_rates" sheetId="117" r:id="rId20"/>
    <sheet name="Calculation_PRIM_wastage_rates" sheetId="121" r:id="rId21"/>
    <sheet name="Calculation_SEC_wastage_rates" sheetId="100" r:id="rId22"/>
    <sheet name="Projected_PRIM_wastage_rates" sheetId="123" r:id="rId23"/>
    <sheet name="Projected_SEC_wastage_rates" sheetId="124" r:id="rId24"/>
    <sheet name="Group_1_rates" sheetId="166" r:id="rId25"/>
    <sheet name="Group_2_rates" sheetId="167" r:id="rId26"/>
    <sheet name="Group_3_rates" sheetId="169" r:id="rId27"/>
    <sheet name="Stock_calculations" sheetId="96" r:id="rId28"/>
    <sheet name="Stock_ages_breakdowns" sheetId="111" r:id="rId29"/>
    <sheet name="Pupils_data_scenarios" sheetId="93" r:id="rId30"/>
    <sheet name="Calc_Primary_teacher_need" sheetId="104" r:id="rId31"/>
    <sheet name="Calc_overall_Sec_teacher_need" sheetId="113" r:id="rId32"/>
    <sheet name="Teacher_need_by_subject" sheetId="92" r:id="rId33"/>
    <sheet name="Forecast_stock_figures" sheetId="88" r:id="rId34"/>
    <sheet name="Entrant_age_breakdowns" sheetId="126" r:id="rId35"/>
    <sheet name="Primary_1" sheetId="140" r:id="rId36"/>
    <sheet name="Art_&amp;_Design_1" sheetId="86" r:id="rId37"/>
    <sheet name="Biology_1" sheetId="134" r:id="rId38"/>
    <sheet name="Business_Studies_1" sheetId="135" r:id="rId39"/>
    <sheet name="Chemistry_1" sheetId="136" r:id="rId40"/>
    <sheet name="Classics_1" sheetId="137" r:id="rId41"/>
    <sheet name="Computing_1" sheetId="138" r:id="rId42"/>
    <sheet name="Design_&amp;_Technology_1" sheetId="139" r:id="rId43"/>
    <sheet name="Drama_1" sheetId="141" r:id="rId44"/>
    <sheet name="English_1" sheetId="142" r:id="rId45"/>
    <sheet name="Food_1" sheetId="162" r:id="rId46"/>
    <sheet name="Geography_1" sheetId="143" r:id="rId47"/>
    <sheet name="History_1" sheetId="144" r:id="rId48"/>
    <sheet name="Mathematics_1" sheetId="145" r:id="rId49"/>
    <sheet name="Modern_Foreign_Languages_1" sheetId="146" r:id="rId50"/>
    <sheet name="Music_1" sheetId="147" r:id="rId51"/>
    <sheet name="Others_1" sheetId="148" r:id="rId52"/>
    <sheet name="Physical_Education_1" sheetId="149" r:id="rId53"/>
    <sheet name="Physics_1" sheetId="150" r:id="rId54"/>
    <sheet name="Religious_Education_1" sheetId="151" r:id="rId55"/>
    <sheet name="OUTPUTS_FOR_SECTION_2_OF_MODEL" sheetId="128" r:id="rId56"/>
    <sheet name="Calc_PRIM_entrant_rates" sheetId="181" r:id="rId57"/>
    <sheet name="Calc_SEC_entrant_rates" sheetId="182" r:id="rId58"/>
    <sheet name="Calc_PRIM_part-time_entrants" sheetId="183" r:id="rId59"/>
    <sheet name="Calc_SEC_part-time_entrants" sheetId="184" r:id="rId60"/>
    <sheet name="Primary_2" sheetId="185" r:id="rId61"/>
    <sheet name="Art_&amp;_Design_2" sheetId="186" r:id="rId62"/>
    <sheet name="Biology_2" sheetId="187" r:id="rId63"/>
    <sheet name="Business_Studies_2" sheetId="188" r:id="rId64"/>
    <sheet name="Chemistry_2" sheetId="189" r:id="rId65"/>
    <sheet name="Classics_2" sheetId="190" r:id="rId66"/>
    <sheet name="Computing_2" sheetId="191" r:id="rId67"/>
    <sheet name="Design_&amp;_Technology_2" sheetId="192" r:id="rId68"/>
    <sheet name="Drama_2" sheetId="193" r:id="rId69"/>
    <sheet name="English_2" sheetId="194" r:id="rId70"/>
    <sheet name="Food_2" sheetId="195" r:id="rId71"/>
    <sheet name="Geography_2" sheetId="196" r:id="rId72"/>
    <sheet name="History_2" sheetId="197" r:id="rId73"/>
    <sheet name="Mathematics_2" sheetId="198" r:id="rId74"/>
    <sheet name="Modern_Foreign_Languages_2" sheetId="199" r:id="rId75"/>
    <sheet name="Music_2" sheetId="200" r:id="rId76"/>
    <sheet name="Others_2" sheetId="201" r:id="rId77"/>
    <sheet name="Physical_Education_2" sheetId="202" r:id="rId78"/>
    <sheet name="Physics_2" sheetId="203" r:id="rId79"/>
    <sheet name="Religious_Education_2" sheetId="204" r:id="rId80"/>
    <sheet name="Re-entrants_expected" sheetId="205" r:id="rId81"/>
    <sheet name="New_to_SF_sector_expected" sheetId="206" r:id="rId82"/>
    <sheet name="NQT_entrants_required_inc_UGs" sheetId="207" r:id="rId83"/>
    <sheet name="Check_of_all_entrant_numbers" sheetId="208" r:id="rId84"/>
    <sheet name="Calc_long_term_NQT_entrants" sheetId="209" r:id="rId85"/>
    <sheet name="Outputs_for_conversion_rates" sheetId="210" r:id="rId86"/>
    <sheet name="Conversion_rates_table" sheetId="211" r:id="rId87"/>
    <sheet name="Assumptions_data" sheetId="152" r:id="rId88"/>
    <sheet name="Teacher_need_figures" sheetId="127" r:id="rId89"/>
    <sheet name="Entrant_need_figures" sheetId="102" r:id="rId90"/>
    <sheet name="Wastage_over_time" sheetId="132" r:id="rId91"/>
    <sheet name="Retirements_over_time" sheetId="131" r:id="rId92"/>
    <sheet name="Deaths_over_time" sheetId="133" r:id="rId93"/>
    <sheet name="Leavers_over_time" sheetId="130" r:id="rId94"/>
    <sheet name="Outputs_with_historical_data" sheetId="217" r:id="rId95"/>
    <sheet name="Comparison_of_pupil_projns" sheetId="227" r:id="rId96"/>
    <sheet name="Historical_and_projected_ITT" sheetId="218" r:id="rId97"/>
    <sheet name="Changes_in_subject_teaching_hrs" sheetId="226" r:id="rId98"/>
  </sheets>
  <externalReferences>
    <externalReference r:id="rId99"/>
  </externalReferences>
  <definedNames>
    <definedName name="__123Graph_ADUMMY" localSheetId="61" hidden="1">[1]weekly!#REF!</definedName>
    <definedName name="__123Graph_ADUMMY" localSheetId="87" hidden="1">[1]weekly!#REF!</definedName>
    <definedName name="__123Graph_ADUMMY" localSheetId="37" hidden="1">[1]weekly!#REF!</definedName>
    <definedName name="__123Graph_ADUMMY" localSheetId="62" hidden="1">[1]weekly!#REF!</definedName>
    <definedName name="__123Graph_ADUMMY" localSheetId="38" hidden="1">[1]weekly!#REF!</definedName>
    <definedName name="__123Graph_ADUMMY" localSheetId="31" hidden="1">[1]weekly!#REF!</definedName>
    <definedName name="__123Graph_ADUMMY" localSheetId="18" hidden="1">[1]weekly!#REF!</definedName>
    <definedName name="__123Graph_ADUMMY" localSheetId="56" hidden="1">[1]weekly!#REF!</definedName>
    <definedName name="__123Graph_ADUMMY" localSheetId="58" hidden="1">[1]weekly!#REF!</definedName>
    <definedName name="__123Graph_ADUMMY" localSheetId="16" hidden="1">[1]weekly!#REF!</definedName>
    <definedName name="__123Graph_ADUMMY" localSheetId="19" hidden="1">[1]weekly!#REF!</definedName>
    <definedName name="__123Graph_ADUMMY" localSheetId="57" hidden="1">[1]weekly!#REF!</definedName>
    <definedName name="__123Graph_ADUMMY" localSheetId="59" hidden="1">[1]weekly!#REF!</definedName>
    <definedName name="__123Graph_ADUMMY" localSheetId="17" hidden="1">[1]weekly!#REF!</definedName>
    <definedName name="__123Graph_ADUMMY" localSheetId="20" hidden="1">[1]weekly!#REF!</definedName>
    <definedName name="__123Graph_ADUMMY" localSheetId="83" hidden="1">[1]weekly!#REF!</definedName>
    <definedName name="__123Graph_ADUMMY" localSheetId="39" hidden="1">[1]weekly!#REF!</definedName>
    <definedName name="__123Graph_ADUMMY" localSheetId="40" hidden="1">[1]weekly!#REF!</definedName>
    <definedName name="__123Graph_ADUMMY" localSheetId="95" hidden="1">[1]weekly!#REF!</definedName>
    <definedName name="__123Graph_ADUMMY" localSheetId="41" hidden="1">[1]weekly!#REF!</definedName>
    <definedName name="__123Graph_ADUMMY" localSheetId="92" hidden="1">[1]weekly!#REF!</definedName>
    <definedName name="__123Graph_ADUMMY" localSheetId="42" hidden="1">[1]weekly!#REF!</definedName>
    <definedName name="__123Graph_ADUMMY" localSheetId="43" hidden="1">[1]weekly!#REF!</definedName>
    <definedName name="__123Graph_ADUMMY" localSheetId="44" hidden="1">[1]weekly!#REF!</definedName>
    <definedName name="__123Graph_ADUMMY" localSheetId="34" hidden="1">[1]weekly!#REF!</definedName>
    <definedName name="__123Graph_ADUMMY" localSheetId="45" hidden="1">[1]weekly!#REF!</definedName>
    <definedName name="__123Graph_ADUMMY" localSheetId="70" hidden="1">[1]weekly!#REF!</definedName>
    <definedName name="__123Graph_ADUMMY" localSheetId="46" hidden="1">[1]weekly!#REF!</definedName>
    <definedName name="__123Graph_ADUMMY" localSheetId="25" hidden="1">[1]weekly!#REF!</definedName>
    <definedName name="__123Graph_ADUMMY" localSheetId="26" hidden="1">[1]weekly!#REF!</definedName>
    <definedName name="__123Graph_ADUMMY" localSheetId="47" hidden="1">[1]weekly!#REF!</definedName>
    <definedName name="__123Graph_ADUMMY" localSheetId="15" hidden="1">[1]weekly!#REF!</definedName>
    <definedName name="__123Graph_ADUMMY" localSheetId="93" hidden="1">[1]weekly!#REF!</definedName>
    <definedName name="__123Graph_ADUMMY" localSheetId="48" hidden="1">[1]weekly!#REF!</definedName>
    <definedName name="__123Graph_ADUMMY" localSheetId="49" hidden="1">[1]weekly!#REF!</definedName>
    <definedName name="__123Graph_ADUMMY" localSheetId="50" hidden="1">[1]weekly!#REF!</definedName>
    <definedName name="__123Graph_ADUMMY" localSheetId="51" hidden="1">[1]weekly!#REF!</definedName>
    <definedName name="__123Graph_ADUMMY" localSheetId="55" hidden="1">[1]weekly!#REF!</definedName>
    <definedName name="__123Graph_ADUMMY" localSheetId="52" hidden="1">[1]weekly!#REF!</definedName>
    <definedName name="__123Graph_ADUMMY" localSheetId="53" hidden="1">[1]weekly!#REF!</definedName>
    <definedName name="__123Graph_ADUMMY" localSheetId="35" hidden="1">[1]weekly!#REF!</definedName>
    <definedName name="__123Graph_ADUMMY" localSheetId="60" hidden="1">[1]weekly!#REF!</definedName>
    <definedName name="__123Graph_ADUMMY" localSheetId="22" hidden="1">[1]weekly!#REF!</definedName>
    <definedName name="__123Graph_ADUMMY" localSheetId="23" hidden="1">[1]weekly!#REF!</definedName>
    <definedName name="__123Graph_ADUMMY" localSheetId="54" hidden="1">[1]weekly!#REF!</definedName>
    <definedName name="__123Graph_ADUMMY" localSheetId="91" hidden="1">[1]weekly!#REF!</definedName>
    <definedName name="__123Graph_ADUMMY" localSheetId="28" hidden="1">[1]weekly!#REF!</definedName>
    <definedName name="__123Graph_ADUMMY" localSheetId="88" hidden="1">[1]weekly!#REF!</definedName>
    <definedName name="__123Graph_ADUMMY" localSheetId="90" hidden="1">[1]weekly!#REF!</definedName>
    <definedName name="__123Graph_ADUMMY" hidden="1">[1]weekly!#REF!</definedName>
    <definedName name="__123Graph_ADUMMY2" localSheetId="61" hidden="1">[1]weekly!#REF!</definedName>
    <definedName name="__123Graph_ADUMMY2" localSheetId="87" hidden="1">[1]weekly!#REF!</definedName>
    <definedName name="__123Graph_ADUMMY2" localSheetId="37" hidden="1">[1]weekly!#REF!</definedName>
    <definedName name="__123Graph_ADUMMY2" localSheetId="62" hidden="1">[1]weekly!#REF!</definedName>
    <definedName name="__123Graph_ADUMMY2" localSheetId="38" hidden="1">[1]weekly!#REF!</definedName>
    <definedName name="__123Graph_ADUMMY2" localSheetId="31" hidden="1">[1]weekly!#REF!</definedName>
    <definedName name="__123Graph_ADUMMY2" localSheetId="18" hidden="1">[1]weekly!#REF!</definedName>
    <definedName name="__123Graph_ADUMMY2" localSheetId="56" hidden="1">[1]weekly!#REF!</definedName>
    <definedName name="__123Graph_ADUMMY2" localSheetId="58" hidden="1">[1]weekly!#REF!</definedName>
    <definedName name="__123Graph_ADUMMY2" localSheetId="16" hidden="1">[1]weekly!#REF!</definedName>
    <definedName name="__123Graph_ADUMMY2" localSheetId="19" hidden="1">[1]weekly!#REF!</definedName>
    <definedName name="__123Graph_ADUMMY2" localSheetId="57" hidden="1">[1]weekly!#REF!</definedName>
    <definedName name="__123Graph_ADUMMY2" localSheetId="59" hidden="1">[1]weekly!#REF!</definedName>
    <definedName name="__123Graph_ADUMMY2" localSheetId="17" hidden="1">[1]weekly!#REF!</definedName>
    <definedName name="__123Graph_ADUMMY2" localSheetId="20" hidden="1">[1]weekly!#REF!</definedName>
    <definedName name="__123Graph_ADUMMY2" localSheetId="83" hidden="1">[1]weekly!#REF!</definedName>
    <definedName name="__123Graph_ADUMMY2" localSheetId="39" hidden="1">[1]weekly!#REF!</definedName>
    <definedName name="__123Graph_ADUMMY2" localSheetId="40" hidden="1">[1]weekly!#REF!</definedName>
    <definedName name="__123Graph_ADUMMY2" localSheetId="95" hidden="1">[1]weekly!#REF!</definedName>
    <definedName name="__123Graph_ADUMMY2" localSheetId="41" hidden="1">[1]weekly!#REF!</definedName>
    <definedName name="__123Graph_ADUMMY2" localSheetId="92" hidden="1">[1]weekly!#REF!</definedName>
    <definedName name="__123Graph_ADUMMY2" localSheetId="42" hidden="1">[1]weekly!#REF!</definedName>
    <definedName name="__123Graph_ADUMMY2" localSheetId="43" hidden="1">[1]weekly!#REF!</definedName>
    <definedName name="__123Graph_ADUMMY2" localSheetId="44" hidden="1">[1]weekly!#REF!</definedName>
    <definedName name="__123Graph_ADUMMY2" localSheetId="34" hidden="1">[1]weekly!#REF!</definedName>
    <definedName name="__123Graph_ADUMMY2" localSheetId="45" hidden="1">[1]weekly!#REF!</definedName>
    <definedName name="__123Graph_ADUMMY2" localSheetId="70" hidden="1">[1]weekly!#REF!</definedName>
    <definedName name="__123Graph_ADUMMY2" localSheetId="46" hidden="1">[1]weekly!#REF!</definedName>
    <definedName name="__123Graph_ADUMMY2" localSheetId="25" hidden="1">[1]weekly!#REF!</definedName>
    <definedName name="__123Graph_ADUMMY2" localSheetId="26" hidden="1">[1]weekly!#REF!</definedName>
    <definedName name="__123Graph_ADUMMY2" localSheetId="47" hidden="1">[1]weekly!#REF!</definedName>
    <definedName name="__123Graph_ADUMMY2" localSheetId="15" hidden="1">[1]weekly!#REF!</definedName>
    <definedName name="__123Graph_ADUMMY2" localSheetId="93" hidden="1">[1]weekly!#REF!</definedName>
    <definedName name="__123Graph_ADUMMY2" localSheetId="48" hidden="1">[1]weekly!#REF!</definedName>
    <definedName name="__123Graph_ADUMMY2" localSheetId="49" hidden="1">[1]weekly!#REF!</definedName>
    <definedName name="__123Graph_ADUMMY2" localSheetId="50" hidden="1">[1]weekly!#REF!</definedName>
    <definedName name="__123Graph_ADUMMY2" localSheetId="51" hidden="1">[1]weekly!#REF!</definedName>
    <definedName name="__123Graph_ADUMMY2" localSheetId="55" hidden="1">[1]weekly!#REF!</definedName>
    <definedName name="__123Graph_ADUMMY2" localSheetId="52" hidden="1">[1]weekly!#REF!</definedName>
    <definedName name="__123Graph_ADUMMY2" localSheetId="53" hidden="1">[1]weekly!#REF!</definedName>
    <definedName name="__123Graph_ADUMMY2" localSheetId="35" hidden="1">[1]weekly!#REF!</definedName>
    <definedName name="__123Graph_ADUMMY2" localSheetId="60" hidden="1">[1]weekly!#REF!</definedName>
    <definedName name="__123Graph_ADUMMY2" localSheetId="22" hidden="1">[1]weekly!#REF!</definedName>
    <definedName name="__123Graph_ADUMMY2" localSheetId="23" hidden="1">[1]weekly!#REF!</definedName>
    <definedName name="__123Graph_ADUMMY2" localSheetId="54" hidden="1">[1]weekly!#REF!</definedName>
    <definedName name="__123Graph_ADUMMY2" localSheetId="91" hidden="1">[1]weekly!#REF!</definedName>
    <definedName name="__123Graph_ADUMMY2" localSheetId="28" hidden="1">[1]weekly!#REF!</definedName>
    <definedName name="__123Graph_ADUMMY2" localSheetId="88" hidden="1">[1]weekly!#REF!</definedName>
    <definedName name="__123Graph_ADUMMY2" localSheetId="90" hidden="1">[1]weekly!#REF!</definedName>
    <definedName name="__123Graph_ADUMMY2" hidden="1">[1]weekly!#REF!</definedName>
    <definedName name="__123Graph_AMAIN" localSheetId="61" hidden="1">[1]weekly!#REF!</definedName>
    <definedName name="__123Graph_AMAIN" localSheetId="87" hidden="1">[1]weekly!#REF!</definedName>
    <definedName name="__123Graph_AMAIN" localSheetId="37" hidden="1">[1]weekly!#REF!</definedName>
    <definedName name="__123Graph_AMAIN" localSheetId="62" hidden="1">[1]weekly!#REF!</definedName>
    <definedName name="__123Graph_AMAIN" localSheetId="38" hidden="1">[1]weekly!#REF!</definedName>
    <definedName name="__123Graph_AMAIN" localSheetId="31" hidden="1">[1]weekly!#REF!</definedName>
    <definedName name="__123Graph_AMAIN" localSheetId="18" hidden="1">[1]weekly!#REF!</definedName>
    <definedName name="__123Graph_AMAIN" localSheetId="56" hidden="1">[1]weekly!#REF!</definedName>
    <definedName name="__123Graph_AMAIN" localSheetId="58" hidden="1">[1]weekly!#REF!</definedName>
    <definedName name="__123Graph_AMAIN" localSheetId="16" hidden="1">[1]weekly!#REF!</definedName>
    <definedName name="__123Graph_AMAIN" localSheetId="19" hidden="1">[1]weekly!#REF!</definedName>
    <definedName name="__123Graph_AMAIN" localSheetId="57" hidden="1">[1]weekly!#REF!</definedName>
    <definedName name="__123Graph_AMAIN" localSheetId="59" hidden="1">[1]weekly!#REF!</definedName>
    <definedName name="__123Graph_AMAIN" localSheetId="17" hidden="1">[1]weekly!#REF!</definedName>
    <definedName name="__123Graph_AMAIN" localSheetId="20" hidden="1">[1]weekly!#REF!</definedName>
    <definedName name="__123Graph_AMAIN" localSheetId="83" hidden="1">[1]weekly!#REF!</definedName>
    <definedName name="__123Graph_AMAIN" localSheetId="39" hidden="1">[1]weekly!#REF!</definedName>
    <definedName name="__123Graph_AMAIN" localSheetId="40" hidden="1">[1]weekly!#REF!</definedName>
    <definedName name="__123Graph_AMAIN" localSheetId="95" hidden="1">[1]weekly!#REF!</definedName>
    <definedName name="__123Graph_AMAIN" localSheetId="41" hidden="1">[1]weekly!#REF!</definedName>
    <definedName name="__123Graph_AMAIN" localSheetId="92" hidden="1">[1]weekly!#REF!</definedName>
    <definedName name="__123Graph_AMAIN" localSheetId="42" hidden="1">[1]weekly!#REF!</definedName>
    <definedName name="__123Graph_AMAIN" localSheetId="43" hidden="1">[1]weekly!#REF!</definedName>
    <definedName name="__123Graph_AMAIN" localSheetId="44" hidden="1">[1]weekly!#REF!</definedName>
    <definedName name="__123Graph_AMAIN" localSheetId="34" hidden="1">[1]weekly!#REF!</definedName>
    <definedName name="__123Graph_AMAIN" localSheetId="45" hidden="1">[1]weekly!#REF!</definedName>
    <definedName name="__123Graph_AMAIN" localSheetId="70" hidden="1">[1]weekly!#REF!</definedName>
    <definedName name="__123Graph_AMAIN" localSheetId="46" hidden="1">[1]weekly!#REF!</definedName>
    <definedName name="__123Graph_AMAIN" localSheetId="25" hidden="1">[1]weekly!#REF!</definedName>
    <definedName name="__123Graph_AMAIN" localSheetId="26" hidden="1">[1]weekly!#REF!</definedName>
    <definedName name="__123Graph_AMAIN" localSheetId="47" hidden="1">[1]weekly!#REF!</definedName>
    <definedName name="__123Graph_AMAIN" localSheetId="15" hidden="1">[1]weekly!#REF!</definedName>
    <definedName name="__123Graph_AMAIN" localSheetId="93" hidden="1">[1]weekly!#REF!</definedName>
    <definedName name="__123Graph_AMAIN" localSheetId="48" hidden="1">[1]weekly!#REF!</definedName>
    <definedName name="__123Graph_AMAIN" localSheetId="49" hidden="1">[1]weekly!#REF!</definedName>
    <definedName name="__123Graph_AMAIN" localSheetId="50" hidden="1">[1]weekly!#REF!</definedName>
    <definedName name="__123Graph_AMAIN" localSheetId="51" hidden="1">[1]weekly!#REF!</definedName>
    <definedName name="__123Graph_AMAIN" localSheetId="55" hidden="1">[1]weekly!#REF!</definedName>
    <definedName name="__123Graph_AMAIN" localSheetId="52" hidden="1">[1]weekly!#REF!</definedName>
    <definedName name="__123Graph_AMAIN" localSheetId="53" hidden="1">[1]weekly!#REF!</definedName>
    <definedName name="__123Graph_AMAIN" localSheetId="35" hidden="1">[1]weekly!#REF!</definedName>
    <definedName name="__123Graph_AMAIN" localSheetId="60" hidden="1">[1]weekly!#REF!</definedName>
    <definedName name="__123Graph_AMAIN" localSheetId="22" hidden="1">[1]weekly!#REF!</definedName>
    <definedName name="__123Graph_AMAIN" localSheetId="23" hidden="1">[1]weekly!#REF!</definedName>
    <definedName name="__123Graph_AMAIN" localSheetId="54" hidden="1">[1]weekly!#REF!</definedName>
    <definedName name="__123Graph_AMAIN" localSheetId="91" hidden="1">[1]weekly!#REF!</definedName>
    <definedName name="__123Graph_AMAIN" localSheetId="28" hidden="1">[1]weekly!#REF!</definedName>
    <definedName name="__123Graph_AMAIN" localSheetId="88" hidden="1">[1]weekly!#REF!</definedName>
    <definedName name="__123Graph_AMAIN" localSheetId="90" hidden="1">[1]weekly!#REF!</definedName>
    <definedName name="__123Graph_AMAIN" hidden="1">[1]weekly!#REF!</definedName>
    <definedName name="__123Graph_AMONTHLY" localSheetId="61" hidden="1">[1]weekly!#REF!</definedName>
    <definedName name="__123Graph_AMONTHLY" localSheetId="87" hidden="1">[1]weekly!#REF!</definedName>
    <definedName name="__123Graph_AMONTHLY" localSheetId="37" hidden="1">[1]weekly!#REF!</definedName>
    <definedName name="__123Graph_AMONTHLY" localSheetId="62" hidden="1">[1]weekly!#REF!</definedName>
    <definedName name="__123Graph_AMONTHLY" localSheetId="38" hidden="1">[1]weekly!#REF!</definedName>
    <definedName name="__123Graph_AMONTHLY" localSheetId="31" hidden="1">[1]weekly!#REF!</definedName>
    <definedName name="__123Graph_AMONTHLY" localSheetId="18" hidden="1">[1]weekly!#REF!</definedName>
    <definedName name="__123Graph_AMONTHLY" localSheetId="56" hidden="1">[1]weekly!#REF!</definedName>
    <definedName name="__123Graph_AMONTHLY" localSheetId="58" hidden="1">[1]weekly!#REF!</definedName>
    <definedName name="__123Graph_AMONTHLY" localSheetId="16" hidden="1">[1]weekly!#REF!</definedName>
    <definedName name="__123Graph_AMONTHLY" localSheetId="19" hidden="1">[1]weekly!#REF!</definedName>
    <definedName name="__123Graph_AMONTHLY" localSheetId="57" hidden="1">[1]weekly!#REF!</definedName>
    <definedName name="__123Graph_AMONTHLY" localSheetId="59" hidden="1">[1]weekly!#REF!</definedName>
    <definedName name="__123Graph_AMONTHLY" localSheetId="17" hidden="1">[1]weekly!#REF!</definedName>
    <definedName name="__123Graph_AMONTHLY" localSheetId="20" hidden="1">[1]weekly!#REF!</definedName>
    <definedName name="__123Graph_AMONTHLY" localSheetId="83" hidden="1">[1]weekly!#REF!</definedName>
    <definedName name="__123Graph_AMONTHLY" localSheetId="39" hidden="1">[1]weekly!#REF!</definedName>
    <definedName name="__123Graph_AMONTHLY" localSheetId="40" hidden="1">[1]weekly!#REF!</definedName>
    <definedName name="__123Graph_AMONTHLY" localSheetId="95" hidden="1">[1]weekly!#REF!</definedName>
    <definedName name="__123Graph_AMONTHLY" localSheetId="41" hidden="1">[1]weekly!#REF!</definedName>
    <definedName name="__123Graph_AMONTHLY" localSheetId="92" hidden="1">[1]weekly!#REF!</definedName>
    <definedName name="__123Graph_AMONTHLY" localSheetId="42" hidden="1">[1]weekly!#REF!</definedName>
    <definedName name="__123Graph_AMONTHLY" localSheetId="43" hidden="1">[1]weekly!#REF!</definedName>
    <definedName name="__123Graph_AMONTHLY" localSheetId="44" hidden="1">[1]weekly!#REF!</definedName>
    <definedName name="__123Graph_AMONTHLY" localSheetId="34" hidden="1">[1]weekly!#REF!</definedName>
    <definedName name="__123Graph_AMONTHLY" localSheetId="45" hidden="1">[1]weekly!#REF!</definedName>
    <definedName name="__123Graph_AMONTHLY" localSheetId="70" hidden="1">[1]weekly!#REF!</definedName>
    <definedName name="__123Graph_AMONTHLY" localSheetId="46" hidden="1">[1]weekly!#REF!</definedName>
    <definedName name="__123Graph_AMONTHLY" localSheetId="25" hidden="1">[1]weekly!#REF!</definedName>
    <definedName name="__123Graph_AMONTHLY" localSheetId="26" hidden="1">[1]weekly!#REF!</definedName>
    <definedName name="__123Graph_AMONTHLY" localSheetId="47" hidden="1">[1]weekly!#REF!</definedName>
    <definedName name="__123Graph_AMONTHLY" localSheetId="15" hidden="1">[1]weekly!#REF!</definedName>
    <definedName name="__123Graph_AMONTHLY" localSheetId="93" hidden="1">[1]weekly!#REF!</definedName>
    <definedName name="__123Graph_AMONTHLY" localSheetId="48" hidden="1">[1]weekly!#REF!</definedName>
    <definedName name="__123Graph_AMONTHLY" localSheetId="49" hidden="1">[1]weekly!#REF!</definedName>
    <definedName name="__123Graph_AMONTHLY" localSheetId="50" hidden="1">[1]weekly!#REF!</definedName>
    <definedName name="__123Graph_AMONTHLY" localSheetId="51" hidden="1">[1]weekly!#REF!</definedName>
    <definedName name="__123Graph_AMONTHLY" localSheetId="55" hidden="1">[1]weekly!#REF!</definedName>
    <definedName name="__123Graph_AMONTHLY" localSheetId="52" hidden="1">[1]weekly!#REF!</definedName>
    <definedName name="__123Graph_AMONTHLY" localSheetId="53" hidden="1">[1]weekly!#REF!</definedName>
    <definedName name="__123Graph_AMONTHLY" localSheetId="35" hidden="1">[1]weekly!#REF!</definedName>
    <definedName name="__123Graph_AMONTHLY" localSheetId="60" hidden="1">[1]weekly!#REF!</definedName>
    <definedName name="__123Graph_AMONTHLY" localSheetId="22" hidden="1">[1]weekly!#REF!</definedName>
    <definedName name="__123Graph_AMONTHLY" localSheetId="23" hidden="1">[1]weekly!#REF!</definedName>
    <definedName name="__123Graph_AMONTHLY" localSheetId="54" hidden="1">[1]weekly!#REF!</definedName>
    <definedName name="__123Graph_AMONTHLY" localSheetId="91" hidden="1">[1]weekly!#REF!</definedName>
    <definedName name="__123Graph_AMONTHLY" localSheetId="28" hidden="1">[1]weekly!#REF!</definedName>
    <definedName name="__123Graph_AMONTHLY" localSheetId="88" hidden="1">[1]weekly!#REF!</definedName>
    <definedName name="__123Graph_AMONTHLY" localSheetId="90" hidden="1">[1]weekly!#REF!</definedName>
    <definedName name="__123Graph_AMONTHLY" hidden="1">[1]weekly!#REF!</definedName>
    <definedName name="__123Graph_AMONTHLY2" localSheetId="61" hidden="1">[1]weekly!#REF!</definedName>
    <definedName name="__123Graph_AMONTHLY2" localSheetId="87" hidden="1">[1]weekly!#REF!</definedName>
    <definedName name="__123Graph_AMONTHLY2" localSheetId="37" hidden="1">[1]weekly!#REF!</definedName>
    <definedName name="__123Graph_AMONTHLY2" localSheetId="62" hidden="1">[1]weekly!#REF!</definedName>
    <definedName name="__123Graph_AMONTHLY2" localSheetId="38" hidden="1">[1]weekly!#REF!</definedName>
    <definedName name="__123Graph_AMONTHLY2" localSheetId="31" hidden="1">[1]weekly!#REF!</definedName>
    <definedName name="__123Graph_AMONTHLY2" localSheetId="18" hidden="1">[1]weekly!#REF!</definedName>
    <definedName name="__123Graph_AMONTHLY2" localSheetId="56" hidden="1">[1]weekly!#REF!</definedName>
    <definedName name="__123Graph_AMONTHLY2" localSheetId="58" hidden="1">[1]weekly!#REF!</definedName>
    <definedName name="__123Graph_AMONTHLY2" localSheetId="16" hidden="1">[1]weekly!#REF!</definedName>
    <definedName name="__123Graph_AMONTHLY2" localSheetId="19" hidden="1">[1]weekly!#REF!</definedName>
    <definedName name="__123Graph_AMONTHLY2" localSheetId="57" hidden="1">[1]weekly!#REF!</definedName>
    <definedName name="__123Graph_AMONTHLY2" localSheetId="59" hidden="1">[1]weekly!#REF!</definedName>
    <definedName name="__123Graph_AMONTHLY2" localSheetId="17" hidden="1">[1]weekly!#REF!</definedName>
    <definedName name="__123Graph_AMONTHLY2" localSheetId="20" hidden="1">[1]weekly!#REF!</definedName>
    <definedName name="__123Graph_AMONTHLY2" localSheetId="83" hidden="1">[1]weekly!#REF!</definedName>
    <definedName name="__123Graph_AMONTHLY2" localSheetId="39" hidden="1">[1]weekly!#REF!</definedName>
    <definedName name="__123Graph_AMONTHLY2" localSheetId="40" hidden="1">[1]weekly!#REF!</definedName>
    <definedName name="__123Graph_AMONTHLY2" localSheetId="95" hidden="1">[1]weekly!#REF!</definedName>
    <definedName name="__123Graph_AMONTHLY2" localSheetId="41" hidden="1">[1]weekly!#REF!</definedName>
    <definedName name="__123Graph_AMONTHLY2" localSheetId="92" hidden="1">[1]weekly!#REF!</definedName>
    <definedName name="__123Graph_AMONTHLY2" localSheetId="42" hidden="1">[1]weekly!#REF!</definedName>
    <definedName name="__123Graph_AMONTHLY2" localSheetId="43" hidden="1">[1]weekly!#REF!</definedName>
    <definedName name="__123Graph_AMONTHLY2" localSheetId="44" hidden="1">[1]weekly!#REF!</definedName>
    <definedName name="__123Graph_AMONTHLY2" localSheetId="34" hidden="1">[1]weekly!#REF!</definedName>
    <definedName name="__123Graph_AMONTHLY2" localSheetId="45" hidden="1">[1]weekly!#REF!</definedName>
    <definedName name="__123Graph_AMONTHLY2" localSheetId="70" hidden="1">[1]weekly!#REF!</definedName>
    <definedName name="__123Graph_AMONTHLY2" localSheetId="46" hidden="1">[1]weekly!#REF!</definedName>
    <definedName name="__123Graph_AMONTHLY2" localSheetId="25" hidden="1">[1]weekly!#REF!</definedName>
    <definedName name="__123Graph_AMONTHLY2" localSheetId="26" hidden="1">[1]weekly!#REF!</definedName>
    <definedName name="__123Graph_AMONTHLY2" localSheetId="47" hidden="1">[1]weekly!#REF!</definedName>
    <definedName name="__123Graph_AMONTHLY2" localSheetId="15" hidden="1">[1]weekly!#REF!</definedName>
    <definedName name="__123Graph_AMONTHLY2" localSheetId="93" hidden="1">[1]weekly!#REF!</definedName>
    <definedName name="__123Graph_AMONTHLY2" localSheetId="48" hidden="1">[1]weekly!#REF!</definedName>
    <definedName name="__123Graph_AMONTHLY2" localSheetId="49" hidden="1">[1]weekly!#REF!</definedName>
    <definedName name="__123Graph_AMONTHLY2" localSheetId="50" hidden="1">[1]weekly!#REF!</definedName>
    <definedName name="__123Graph_AMONTHLY2" localSheetId="51" hidden="1">[1]weekly!#REF!</definedName>
    <definedName name="__123Graph_AMONTHLY2" localSheetId="55" hidden="1">[1]weekly!#REF!</definedName>
    <definedName name="__123Graph_AMONTHLY2" localSheetId="52" hidden="1">[1]weekly!#REF!</definedName>
    <definedName name="__123Graph_AMONTHLY2" localSheetId="53" hidden="1">[1]weekly!#REF!</definedName>
    <definedName name="__123Graph_AMONTHLY2" localSheetId="35" hidden="1">[1]weekly!#REF!</definedName>
    <definedName name="__123Graph_AMONTHLY2" localSheetId="60" hidden="1">[1]weekly!#REF!</definedName>
    <definedName name="__123Graph_AMONTHLY2" localSheetId="22" hidden="1">[1]weekly!#REF!</definedName>
    <definedName name="__123Graph_AMONTHLY2" localSheetId="23" hidden="1">[1]weekly!#REF!</definedName>
    <definedName name="__123Graph_AMONTHLY2" localSheetId="54" hidden="1">[1]weekly!#REF!</definedName>
    <definedName name="__123Graph_AMONTHLY2" localSheetId="91" hidden="1">[1]weekly!#REF!</definedName>
    <definedName name="__123Graph_AMONTHLY2" localSheetId="28" hidden="1">[1]weekly!#REF!</definedName>
    <definedName name="__123Graph_AMONTHLY2" localSheetId="88" hidden="1">[1]weekly!#REF!</definedName>
    <definedName name="__123Graph_AMONTHLY2" localSheetId="90" hidden="1">[1]weekly!#REF!</definedName>
    <definedName name="__123Graph_AMONTHLY2" hidden="1">[1]weekly!#REF!</definedName>
    <definedName name="__123Graph_BDUMMY" localSheetId="61" hidden="1">[1]weekly!#REF!</definedName>
    <definedName name="__123Graph_BDUMMY" localSheetId="87" hidden="1">[1]weekly!#REF!</definedName>
    <definedName name="__123Graph_BDUMMY" localSheetId="37" hidden="1">[1]weekly!#REF!</definedName>
    <definedName name="__123Graph_BDUMMY" localSheetId="62" hidden="1">[1]weekly!#REF!</definedName>
    <definedName name="__123Graph_BDUMMY" localSheetId="38" hidden="1">[1]weekly!#REF!</definedName>
    <definedName name="__123Graph_BDUMMY" localSheetId="31" hidden="1">[1]weekly!#REF!</definedName>
    <definedName name="__123Graph_BDUMMY" localSheetId="18" hidden="1">[1]weekly!#REF!</definedName>
    <definedName name="__123Graph_BDUMMY" localSheetId="56" hidden="1">[1]weekly!#REF!</definedName>
    <definedName name="__123Graph_BDUMMY" localSheetId="58" hidden="1">[1]weekly!#REF!</definedName>
    <definedName name="__123Graph_BDUMMY" localSheetId="16" hidden="1">[1]weekly!#REF!</definedName>
    <definedName name="__123Graph_BDUMMY" localSheetId="19" hidden="1">[1]weekly!#REF!</definedName>
    <definedName name="__123Graph_BDUMMY" localSheetId="57" hidden="1">[1]weekly!#REF!</definedName>
    <definedName name="__123Graph_BDUMMY" localSheetId="59" hidden="1">[1]weekly!#REF!</definedName>
    <definedName name="__123Graph_BDUMMY" localSheetId="17" hidden="1">[1]weekly!#REF!</definedName>
    <definedName name="__123Graph_BDUMMY" localSheetId="20" hidden="1">[1]weekly!#REF!</definedName>
    <definedName name="__123Graph_BDUMMY" localSheetId="83" hidden="1">[1]weekly!#REF!</definedName>
    <definedName name="__123Graph_BDUMMY" localSheetId="39" hidden="1">[1]weekly!#REF!</definedName>
    <definedName name="__123Graph_BDUMMY" localSheetId="40" hidden="1">[1]weekly!#REF!</definedName>
    <definedName name="__123Graph_BDUMMY" localSheetId="95" hidden="1">[1]weekly!#REF!</definedName>
    <definedName name="__123Graph_BDUMMY" localSheetId="41" hidden="1">[1]weekly!#REF!</definedName>
    <definedName name="__123Graph_BDUMMY" localSheetId="92" hidden="1">[1]weekly!#REF!</definedName>
    <definedName name="__123Graph_BDUMMY" localSheetId="42" hidden="1">[1]weekly!#REF!</definedName>
    <definedName name="__123Graph_BDUMMY" localSheetId="43" hidden="1">[1]weekly!#REF!</definedName>
    <definedName name="__123Graph_BDUMMY" localSheetId="44" hidden="1">[1]weekly!#REF!</definedName>
    <definedName name="__123Graph_BDUMMY" localSheetId="34" hidden="1">[1]weekly!#REF!</definedName>
    <definedName name="__123Graph_BDUMMY" localSheetId="45" hidden="1">[1]weekly!#REF!</definedName>
    <definedName name="__123Graph_BDUMMY" localSheetId="70" hidden="1">[1]weekly!#REF!</definedName>
    <definedName name="__123Graph_BDUMMY" localSheetId="46" hidden="1">[1]weekly!#REF!</definedName>
    <definedName name="__123Graph_BDUMMY" localSheetId="25" hidden="1">[1]weekly!#REF!</definedName>
    <definedName name="__123Graph_BDUMMY" localSheetId="26" hidden="1">[1]weekly!#REF!</definedName>
    <definedName name="__123Graph_BDUMMY" localSheetId="47" hidden="1">[1]weekly!#REF!</definedName>
    <definedName name="__123Graph_BDUMMY" localSheetId="15" hidden="1">[1]weekly!#REF!</definedName>
    <definedName name="__123Graph_BDUMMY" localSheetId="93" hidden="1">[1]weekly!#REF!</definedName>
    <definedName name="__123Graph_BDUMMY" localSheetId="48" hidden="1">[1]weekly!#REF!</definedName>
    <definedName name="__123Graph_BDUMMY" localSheetId="49" hidden="1">[1]weekly!#REF!</definedName>
    <definedName name="__123Graph_BDUMMY" localSheetId="50" hidden="1">[1]weekly!#REF!</definedName>
    <definedName name="__123Graph_BDUMMY" localSheetId="51" hidden="1">[1]weekly!#REF!</definedName>
    <definedName name="__123Graph_BDUMMY" localSheetId="55" hidden="1">[1]weekly!#REF!</definedName>
    <definedName name="__123Graph_BDUMMY" localSheetId="52" hidden="1">[1]weekly!#REF!</definedName>
    <definedName name="__123Graph_BDUMMY" localSheetId="53" hidden="1">[1]weekly!#REF!</definedName>
    <definedName name="__123Graph_BDUMMY" localSheetId="35" hidden="1">[1]weekly!#REF!</definedName>
    <definedName name="__123Graph_BDUMMY" localSheetId="60" hidden="1">[1]weekly!#REF!</definedName>
    <definedName name="__123Graph_BDUMMY" localSheetId="22" hidden="1">[1]weekly!#REF!</definedName>
    <definedName name="__123Graph_BDUMMY" localSheetId="23" hidden="1">[1]weekly!#REF!</definedName>
    <definedName name="__123Graph_BDUMMY" localSheetId="54" hidden="1">[1]weekly!#REF!</definedName>
    <definedName name="__123Graph_BDUMMY" localSheetId="91" hidden="1">[1]weekly!#REF!</definedName>
    <definedName name="__123Graph_BDUMMY" localSheetId="28" hidden="1">[1]weekly!#REF!</definedName>
    <definedName name="__123Graph_BDUMMY" localSheetId="88" hidden="1">[1]weekly!#REF!</definedName>
    <definedName name="__123Graph_BDUMMY" localSheetId="90" hidden="1">[1]weekly!#REF!</definedName>
    <definedName name="__123Graph_BDUMMY" hidden="1">[1]weekly!#REF!</definedName>
    <definedName name="__123Graph_BMAIN" localSheetId="61" hidden="1">[1]weekly!#REF!</definedName>
    <definedName name="__123Graph_BMAIN" localSheetId="87" hidden="1">[1]weekly!#REF!</definedName>
    <definedName name="__123Graph_BMAIN" localSheetId="37" hidden="1">[1]weekly!#REF!</definedName>
    <definedName name="__123Graph_BMAIN" localSheetId="62" hidden="1">[1]weekly!#REF!</definedName>
    <definedName name="__123Graph_BMAIN" localSheetId="38" hidden="1">[1]weekly!#REF!</definedName>
    <definedName name="__123Graph_BMAIN" localSheetId="31" hidden="1">[1]weekly!#REF!</definedName>
    <definedName name="__123Graph_BMAIN" localSheetId="18" hidden="1">[1]weekly!#REF!</definedName>
    <definedName name="__123Graph_BMAIN" localSheetId="56" hidden="1">[1]weekly!#REF!</definedName>
    <definedName name="__123Graph_BMAIN" localSheetId="58" hidden="1">[1]weekly!#REF!</definedName>
    <definedName name="__123Graph_BMAIN" localSheetId="16" hidden="1">[1]weekly!#REF!</definedName>
    <definedName name="__123Graph_BMAIN" localSheetId="19" hidden="1">[1]weekly!#REF!</definedName>
    <definedName name="__123Graph_BMAIN" localSheetId="57" hidden="1">[1]weekly!#REF!</definedName>
    <definedName name="__123Graph_BMAIN" localSheetId="59" hidden="1">[1]weekly!#REF!</definedName>
    <definedName name="__123Graph_BMAIN" localSheetId="17" hidden="1">[1]weekly!#REF!</definedName>
    <definedName name="__123Graph_BMAIN" localSheetId="20" hidden="1">[1]weekly!#REF!</definedName>
    <definedName name="__123Graph_BMAIN" localSheetId="83" hidden="1">[1]weekly!#REF!</definedName>
    <definedName name="__123Graph_BMAIN" localSheetId="39" hidden="1">[1]weekly!#REF!</definedName>
    <definedName name="__123Graph_BMAIN" localSheetId="40" hidden="1">[1]weekly!#REF!</definedName>
    <definedName name="__123Graph_BMAIN" localSheetId="95" hidden="1">[1]weekly!#REF!</definedName>
    <definedName name="__123Graph_BMAIN" localSheetId="41" hidden="1">[1]weekly!#REF!</definedName>
    <definedName name="__123Graph_BMAIN" localSheetId="92" hidden="1">[1]weekly!#REF!</definedName>
    <definedName name="__123Graph_BMAIN" localSheetId="42" hidden="1">[1]weekly!#REF!</definedName>
    <definedName name="__123Graph_BMAIN" localSheetId="43" hidden="1">[1]weekly!#REF!</definedName>
    <definedName name="__123Graph_BMAIN" localSheetId="44" hidden="1">[1]weekly!#REF!</definedName>
    <definedName name="__123Graph_BMAIN" localSheetId="34" hidden="1">[1]weekly!#REF!</definedName>
    <definedName name="__123Graph_BMAIN" localSheetId="45" hidden="1">[1]weekly!#REF!</definedName>
    <definedName name="__123Graph_BMAIN" localSheetId="70" hidden="1">[1]weekly!#REF!</definedName>
    <definedName name="__123Graph_BMAIN" localSheetId="46" hidden="1">[1]weekly!#REF!</definedName>
    <definedName name="__123Graph_BMAIN" localSheetId="25" hidden="1">[1]weekly!#REF!</definedName>
    <definedName name="__123Graph_BMAIN" localSheetId="26" hidden="1">[1]weekly!#REF!</definedName>
    <definedName name="__123Graph_BMAIN" localSheetId="47" hidden="1">[1]weekly!#REF!</definedName>
    <definedName name="__123Graph_BMAIN" localSheetId="15" hidden="1">[1]weekly!#REF!</definedName>
    <definedName name="__123Graph_BMAIN" localSheetId="93" hidden="1">[1]weekly!#REF!</definedName>
    <definedName name="__123Graph_BMAIN" localSheetId="48" hidden="1">[1]weekly!#REF!</definedName>
    <definedName name="__123Graph_BMAIN" localSheetId="49" hidden="1">[1]weekly!#REF!</definedName>
    <definedName name="__123Graph_BMAIN" localSheetId="50" hidden="1">[1]weekly!#REF!</definedName>
    <definedName name="__123Graph_BMAIN" localSheetId="51" hidden="1">[1]weekly!#REF!</definedName>
    <definedName name="__123Graph_BMAIN" localSheetId="55" hidden="1">[1]weekly!#REF!</definedName>
    <definedName name="__123Graph_BMAIN" localSheetId="52" hidden="1">[1]weekly!#REF!</definedName>
    <definedName name="__123Graph_BMAIN" localSheetId="53" hidden="1">[1]weekly!#REF!</definedName>
    <definedName name="__123Graph_BMAIN" localSheetId="35" hidden="1">[1]weekly!#REF!</definedName>
    <definedName name="__123Graph_BMAIN" localSheetId="60" hidden="1">[1]weekly!#REF!</definedName>
    <definedName name="__123Graph_BMAIN" localSheetId="22" hidden="1">[1]weekly!#REF!</definedName>
    <definedName name="__123Graph_BMAIN" localSheetId="23" hidden="1">[1]weekly!#REF!</definedName>
    <definedName name="__123Graph_BMAIN" localSheetId="54" hidden="1">[1]weekly!#REF!</definedName>
    <definedName name="__123Graph_BMAIN" localSheetId="91" hidden="1">[1]weekly!#REF!</definedName>
    <definedName name="__123Graph_BMAIN" localSheetId="28" hidden="1">[1]weekly!#REF!</definedName>
    <definedName name="__123Graph_BMAIN" localSheetId="88" hidden="1">[1]weekly!#REF!</definedName>
    <definedName name="__123Graph_BMAIN" localSheetId="90" hidden="1">[1]weekly!#REF!</definedName>
    <definedName name="__123Graph_BMAIN" hidden="1">[1]weekly!#REF!</definedName>
    <definedName name="__123Graph_BMONTHLY" localSheetId="61" hidden="1">[1]weekly!#REF!</definedName>
    <definedName name="__123Graph_BMONTHLY" localSheetId="87" hidden="1">[1]weekly!#REF!</definedName>
    <definedName name="__123Graph_BMONTHLY" localSheetId="37" hidden="1">[1]weekly!#REF!</definedName>
    <definedName name="__123Graph_BMONTHLY" localSheetId="62" hidden="1">[1]weekly!#REF!</definedName>
    <definedName name="__123Graph_BMONTHLY" localSheetId="38" hidden="1">[1]weekly!#REF!</definedName>
    <definedName name="__123Graph_BMONTHLY" localSheetId="31" hidden="1">[1]weekly!#REF!</definedName>
    <definedName name="__123Graph_BMONTHLY" localSheetId="18" hidden="1">[1]weekly!#REF!</definedName>
    <definedName name="__123Graph_BMONTHLY" localSheetId="56" hidden="1">[1]weekly!#REF!</definedName>
    <definedName name="__123Graph_BMONTHLY" localSheetId="58" hidden="1">[1]weekly!#REF!</definedName>
    <definedName name="__123Graph_BMONTHLY" localSheetId="16" hidden="1">[1]weekly!#REF!</definedName>
    <definedName name="__123Graph_BMONTHLY" localSheetId="19" hidden="1">[1]weekly!#REF!</definedName>
    <definedName name="__123Graph_BMONTHLY" localSheetId="57" hidden="1">[1]weekly!#REF!</definedName>
    <definedName name="__123Graph_BMONTHLY" localSheetId="59" hidden="1">[1]weekly!#REF!</definedName>
    <definedName name="__123Graph_BMONTHLY" localSheetId="17" hidden="1">[1]weekly!#REF!</definedName>
    <definedName name="__123Graph_BMONTHLY" localSheetId="20" hidden="1">[1]weekly!#REF!</definedName>
    <definedName name="__123Graph_BMONTHLY" localSheetId="83" hidden="1">[1]weekly!#REF!</definedName>
    <definedName name="__123Graph_BMONTHLY" localSheetId="39" hidden="1">[1]weekly!#REF!</definedName>
    <definedName name="__123Graph_BMONTHLY" localSheetId="40" hidden="1">[1]weekly!#REF!</definedName>
    <definedName name="__123Graph_BMONTHLY" localSheetId="95" hidden="1">[1]weekly!#REF!</definedName>
    <definedName name="__123Graph_BMONTHLY" localSheetId="41" hidden="1">[1]weekly!#REF!</definedName>
    <definedName name="__123Graph_BMONTHLY" localSheetId="92" hidden="1">[1]weekly!#REF!</definedName>
    <definedName name="__123Graph_BMONTHLY" localSheetId="42" hidden="1">[1]weekly!#REF!</definedName>
    <definedName name="__123Graph_BMONTHLY" localSheetId="43" hidden="1">[1]weekly!#REF!</definedName>
    <definedName name="__123Graph_BMONTHLY" localSheetId="44" hidden="1">[1]weekly!#REF!</definedName>
    <definedName name="__123Graph_BMONTHLY" localSheetId="34" hidden="1">[1]weekly!#REF!</definedName>
    <definedName name="__123Graph_BMONTHLY" localSheetId="45" hidden="1">[1]weekly!#REF!</definedName>
    <definedName name="__123Graph_BMONTHLY" localSheetId="70" hidden="1">[1]weekly!#REF!</definedName>
    <definedName name="__123Graph_BMONTHLY" localSheetId="46" hidden="1">[1]weekly!#REF!</definedName>
    <definedName name="__123Graph_BMONTHLY" localSheetId="25" hidden="1">[1]weekly!#REF!</definedName>
    <definedName name="__123Graph_BMONTHLY" localSheetId="26" hidden="1">[1]weekly!#REF!</definedName>
    <definedName name="__123Graph_BMONTHLY" localSheetId="47" hidden="1">[1]weekly!#REF!</definedName>
    <definedName name="__123Graph_BMONTHLY" localSheetId="15" hidden="1">[1]weekly!#REF!</definedName>
    <definedName name="__123Graph_BMONTHLY" localSheetId="93" hidden="1">[1]weekly!#REF!</definedName>
    <definedName name="__123Graph_BMONTHLY" localSheetId="48" hidden="1">[1]weekly!#REF!</definedName>
    <definedName name="__123Graph_BMONTHLY" localSheetId="49" hidden="1">[1]weekly!#REF!</definedName>
    <definedName name="__123Graph_BMONTHLY" localSheetId="50" hidden="1">[1]weekly!#REF!</definedName>
    <definedName name="__123Graph_BMONTHLY" localSheetId="51" hidden="1">[1]weekly!#REF!</definedName>
    <definedName name="__123Graph_BMONTHLY" localSheetId="55" hidden="1">[1]weekly!#REF!</definedName>
    <definedName name="__123Graph_BMONTHLY" localSheetId="52" hidden="1">[1]weekly!#REF!</definedName>
    <definedName name="__123Graph_BMONTHLY" localSheetId="53" hidden="1">[1]weekly!#REF!</definedName>
    <definedName name="__123Graph_BMONTHLY" localSheetId="35" hidden="1">[1]weekly!#REF!</definedName>
    <definedName name="__123Graph_BMONTHLY" localSheetId="60" hidden="1">[1]weekly!#REF!</definedName>
    <definedName name="__123Graph_BMONTHLY" localSheetId="22" hidden="1">[1]weekly!#REF!</definedName>
    <definedName name="__123Graph_BMONTHLY" localSheetId="23" hidden="1">[1]weekly!#REF!</definedName>
    <definedName name="__123Graph_BMONTHLY" localSheetId="54" hidden="1">[1]weekly!#REF!</definedName>
    <definedName name="__123Graph_BMONTHLY" localSheetId="91" hidden="1">[1]weekly!#REF!</definedName>
    <definedName name="__123Graph_BMONTHLY" localSheetId="28" hidden="1">[1]weekly!#REF!</definedName>
    <definedName name="__123Graph_BMONTHLY" localSheetId="88" hidden="1">[1]weekly!#REF!</definedName>
    <definedName name="__123Graph_BMONTHLY" localSheetId="90" hidden="1">[1]weekly!#REF!</definedName>
    <definedName name="__123Graph_BMONTHLY" hidden="1">[1]weekly!#REF!</definedName>
    <definedName name="__123Graph_BMONTHLY2" localSheetId="61" hidden="1">[1]weekly!#REF!</definedName>
    <definedName name="__123Graph_BMONTHLY2" localSheetId="87" hidden="1">[1]weekly!#REF!</definedName>
    <definedName name="__123Graph_BMONTHLY2" localSheetId="37" hidden="1">[1]weekly!#REF!</definedName>
    <definedName name="__123Graph_BMONTHLY2" localSheetId="62" hidden="1">[1]weekly!#REF!</definedName>
    <definedName name="__123Graph_BMONTHLY2" localSheetId="38" hidden="1">[1]weekly!#REF!</definedName>
    <definedName name="__123Graph_BMONTHLY2" localSheetId="31" hidden="1">[1]weekly!#REF!</definedName>
    <definedName name="__123Graph_BMONTHLY2" localSheetId="18" hidden="1">[1]weekly!#REF!</definedName>
    <definedName name="__123Graph_BMONTHLY2" localSheetId="56" hidden="1">[1]weekly!#REF!</definedName>
    <definedName name="__123Graph_BMONTHLY2" localSheetId="58" hidden="1">[1]weekly!#REF!</definedName>
    <definedName name="__123Graph_BMONTHLY2" localSheetId="16" hidden="1">[1]weekly!#REF!</definedName>
    <definedName name="__123Graph_BMONTHLY2" localSheetId="19" hidden="1">[1]weekly!#REF!</definedName>
    <definedName name="__123Graph_BMONTHLY2" localSheetId="57" hidden="1">[1]weekly!#REF!</definedName>
    <definedName name="__123Graph_BMONTHLY2" localSheetId="59" hidden="1">[1]weekly!#REF!</definedName>
    <definedName name="__123Graph_BMONTHLY2" localSheetId="17" hidden="1">[1]weekly!#REF!</definedName>
    <definedName name="__123Graph_BMONTHLY2" localSheetId="20" hidden="1">[1]weekly!#REF!</definedName>
    <definedName name="__123Graph_BMONTHLY2" localSheetId="83" hidden="1">[1]weekly!#REF!</definedName>
    <definedName name="__123Graph_BMONTHLY2" localSheetId="39" hidden="1">[1]weekly!#REF!</definedName>
    <definedName name="__123Graph_BMONTHLY2" localSheetId="40" hidden="1">[1]weekly!#REF!</definedName>
    <definedName name="__123Graph_BMONTHLY2" localSheetId="95" hidden="1">[1]weekly!#REF!</definedName>
    <definedName name="__123Graph_BMONTHLY2" localSheetId="41" hidden="1">[1]weekly!#REF!</definedName>
    <definedName name="__123Graph_BMONTHLY2" localSheetId="92" hidden="1">[1]weekly!#REF!</definedName>
    <definedName name="__123Graph_BMONTHLY2" localSheetId="42" hidden="1">[1]weekly!#REF!</definedName>
    <definedName name="__123Graph_BMONTHLY2" localSheetId="43" hidden="1">[1]weekly!#REF!</definedName>
    <definedName name="__123Graph_BMONTHLY2" localSheetId="44" hidden="1">[1]weekly!#REF!</definedName>
    <definedName name="__123Graph_BMONTHLY2" localSheetId="34" hidden="1">[1]weekly!#REF!</definedName>
    <definedName name="__123Graph_BMONTHLY2" localSheetId="45" hidden="1">[1]weekly!#REF!</definedName>
    <definedName name="__123Graph_BMONTHLY2" localSheetId="70" hidden="1">[1]weekly!#REF!</definedName>
    <definedName name="__123Graph_BMONTHLY2" localSheetId="46" hidden="1">[1]weekly!#REF!</definedName>
    <definedName name="__123Graph_BMONTHLY2" localSheetId="25" hidden="1">[1]weekly!#REF!</definedName>
    <definedName name="__123Graph_BMONTHLY2" localSheetId="26" hidden="1">[1]weekly!#REF!</definedName>
    <definedName name="__123Graph_BMONTHLY2" localSheetId="47" hidden="1">[1]weekly!#REF!</definedName>
    <definedName name="__123Graph_BMONTHLY2" localSheetId="15" hidden="1">[1]weekly!#REF!</definedName>
    <definedName name="__123Graph_BMONTHLY2" localSheetId="93" hidden="1">[1]weekly!#REF!</definedName>
    <definedName name="__123Graph_BMONTHLY2" localSheetId="48" hidden="1">[1]weekly!#REF!</definedName>
    <definedName name="__123Graph_BMONTHLY2" localSheetId="49" hidden="1">[1]weekly!#REF!</definedName>
    <definedName name="__123Graph_BMONTHLY2" localSheetId="50" hidden="1">[1]weekly!#REF!</definedName>
    <definedName name="__123Graph_BMONTHLY2" localSheetId="51" hidden="1">[1]weekly!#REF!</definedName>
    <definedName name="__123Graph_BMONTHLY2" localSheetId="55" hidden="1">[1]weekly!#REF!</definedName>
    <definedName name="__123Graph_BMONTHLY2" localSheetId="52" hidden="1">[1]weekly!#REF!</definedName>
    <definedName name="__123Graph_BMONTHLY2" localSheetId="53" hidden="1">[1]weekly!#REF!</definedName>
    <definedName name="__123Graph_BMONTHLY2" localSheetId="35" hidden="1">[1]weekly!#REF!</definedName>
    <definedName name="__123Graph_BMONTHLY2" localSheetId="60" hidden="1">[1]weekly!#REF!</definedName>
    <definedName name="__123Graph_BMONTHLY2" localSheetId="22" hidden="1">[1]weekly!#REF!</definedName>
    <definedName name="__123Graph_BMONTHLY2" localSheetId="23" hidden="1">[1]weekly!#REF!</definedName>
    <definedName name="__123Graph_BMONTHLY2" localSheetId="54" hidden="1">[1]weekly!#REF!</definedName>
    <definedName name="__123Graph_BMONTHLY2" localSheetId="91" hidden="1">[1]weekly!#REF!</definedName>
    <definedName name="__123Graph_BMONTHLY2" localSheetId="28" hidden="1">[1]weekly!#REF!</definedName>
    <definedName name="__123Graph_BMONTHLY2" localSheetId="88" hidden="1">[1]weekly!#REF!</definedName>
    <definedName name="__123Graph_BMONTHLY2" localSheetId="90" hidden="1">[1]weekly!#REF!</definedName>
    <definedName name="__123Graph_BMONTHLY2" hidden="1">[1]weekly!#REF!</definedName>
    <definedName name="__123Graph_CDUMMY" localSheetId="61" hidden="1">[1]weekly!#REF!</definedName>
    <definedName name="__123Graph_CDUMMY" localSheetId="87" hidden="1">[1]weekly!#REF!</definedName>
    <definedName name="__123Graph_CDUMMY" localSheetId="37" hidden="1">[1]weekly!#REF!</definedName>
    <definedName name="__123Graph_CDUMMY" localSheetId="62" hidden="1">[1]weekly!#REF!</definedName>
    <definedName name="__123Graph_CDUMMY" localSheetId="38" hidden="1">[1]weekly!#REF!</definedName>
    <definedName name="__123Graph_CDUMMY" localSheetId="31" hidden="1">[1]weekly!#REF!</definedName>
    <definedName name="__123Graph_CDUMMY" localSheetId="18" hidden="1">[1]weekly!#REF!</definedName>
    <definedName name="__123Graph_CDUMMY" localSheetId="56" hidden="1">[1]weekly!#REF!</definedName>
    <definedName name="__123Graph_CDUMMY" localSheetId="58" hidden="1">[1]weekly!#REF!</definedName>
    <definedName name="__123Graph_CDUMMY" localSheetId="16" hidden="1">[1]weekly!#REF!</definedName>
    <definedName name="__123Graph_CDUMMY" localSheetId="19" hidden="1">[1]weekly!#REF!</definedName>
    <definedName name="__123Graph_CDUMMY" localSheetId="57" hidden="1">[1]weekly!#REF!</definedName>
    <definedName name="__123Graph_CDUMMY" localSheetId="59" hidden="1">[1]weekly!#REF!</definedName>
    <definedName name="__123Graph_CDUMMY" localSheetId="17" hidden="1">[1]weekly!#REF!</definedName>
    <definedName name="__123Graph_CDUMMY" localSheetId="20" hidden="1">[1]weekly!#REF!</definedName>
    <definedName name="__123Graph_CDUMMY" localSheetId="83" hidden="1">[1]weekly!#REF!</definedName>
    <definedName name="__123Graph_CDUMMY" localSheetId="39" hidden="1">[1]weekly!#REF!</definedName>
    <definedName name="__123Graph_CDUMMY" localSheetId="40" hidden="1">[1]weekly!#REF!</definedName>
    <definedName name="__123Graph_CDUMMY" localSheetId="95" hidden="1">[1]weekly!#REF!</definedName>
    <definedName name="__123Graph_CDUMMY" localSheetId="41" hidden="1">[1]weekly!#REF!</definedName>
    <definedName name="__123Graph_CDUMMY" localSheetId="92" hidden="1">[1]weekly!#REF!</definedName>
    <definedName name="__123Graph_CDUMMY" localSheetId="42" hidden="1">[1]weekly!#REF!</definedName>
    <definedName name="__123Graph_CDUMMY" localSheetId="43" hidden="1">[1]weekly!#REF!</definedName>
    <definedName name="__123Graph_CDUMMY" localSheetId="44" hidden="1">[1]weekly!#REF!</definedName>
    <definedName name="__123Graph_CDUMMY" localSheetId="34" hidden="1">[1]weekly!#REF!</definedName>
    <definedName name="__123Graph_CDUMMY" localSheetId="45" hidden="1">[1]weekly!#REF!</definedName>
    <definedName name="__123Graph_CDUMMY" localSheetId="70" hidden="1">[1]weekly!#REF!</definedName>
    <definedName name="__123Graph_CDUMMY" localSheetId="46" hidden="1">[1]weekly!#REF!</definedName>
    <definedName name="__123Graph_CDUMMY" localSheetId="25" hidden="1">[1]weekly!#REF!</definedName>
    <definedName name="__123Graph_CDUMMY" localSheetId="26" hidden="1">[1]weekly!#REF!</definedName>
    <definedName name="__123Graph_CDUMMY" localSheetId="47" hidden="1">[1]weekly!#REF!</definedName>
    <definedName name="__123Graph_CDUMMY" localSheetId="15" hidden="1">[1]weekly!#REF!</definedName>
    <definedName name="__123Graph_CDUMMY" localSheetId="93" hidden="1">[1]weekly!#REF!</definedName>
    <definedName name="__123Graph_CDUMMY" localSheetId="48" hidden="1">[1]weekly!#REF!</definedName>
    <definedName name="__123Graph_CDUMMY" localSheetId="49" hidden="1">[1]weekly!#REF!</definedName>
    <definedName name="__123Graph_CDUMMY" localSheetId="50" hidden="1">[1]weekly!#REF!</definedName>
    <definedName name="__123Graph_CDUMMY" localSheetId="51" hidden="1">[1]weekly!#REF!</definedName>
    <definedName name="__123Graph_CDUMMY" localSheetId="55" hidden="1">[1]weekly!#REF!</definedName>
    <definedName name="__123Graph_CDUMMY" localSheetId="52" hidden="1">[1]weekly!#REF!</definedName>
    <definedName name="__123Graph_CDUMMY" localSheetId="53" hidden="1">[1]weekly!#REF!</definedName>
    <definedName name="__123Graph_CDUMMY" localSheetId="35" hidden="1">[1]weekly!#REF!</definedName>
    <definedName name="__123Graph_CDUMMY" localSheetId="60" hidden="1">[1]weekly!#REF!</definedName>
    <definedName name="__123Graph_CDUMMY" localSheetId="22" hidden="1">[1]weekly!#REF!</definedName>
    <definedName name="__123Graph_CDUMMY" localSheetId="23" hidden="1">[1]weekly!#REF!</definedName>
    <definedName name="__123Graph_CDUMMY" localSheetId="54" hidden="1">[1]weekly!#REF!</definedName>
    <definedName name="__123Graph_CDUMMY" localSheetId="91" hidden="1">[1]weekly!#REF!</definedName>
    <definedName name="__123Graph_CDUMMY" localSheetId="28" hidden="1">[1]weekly!#REF!</definedName>
    <definedName name="__123Graph_CDUMMY" localSheetId="88" hidden="1">[1]weekly!#REF!</definedName>
    <definedName name="__123Graph_CDUMMY" localSheetId="90" hidden="1">[1]weekly!#REF!</definedName>
    <definedName name="__123Graph_CDUMMY" hidden="1">[1]weekly!#REF!</definedName>
    <definedName name="__123Graph_CMONTHLY" localSheetId="61" hidden="1">[1]weekly!#REF!</definedName>
    <definedName name="__123Graph_CMONTHLY" localSheetId="87" hidden="1">[1]weekly!#REF!</definedName>
    <definedName name="__123Graph_CMONTHLY" localSheetId="37" hidden="1">[1]weekly!#REF!</definedName>
    <definedName name="__123Graph_CMONTHLY" localSheetId="62" hidden="1">[1]weekly!#REF!</definedName>
    <definedName name="__123Graph_CMONTHLY" localSheetId="38" hidden="1">[1]weekly!#REF!</definedName>
    <definedName name="__123Graph_CMONTHLY" localSheetId="31" hidden="1">[1]weekly!#REF!</definedName>
    <definedName name="__123Graph_CMONTHLY" localSheetId="18" hidden="1">[1]weekly!#REF!</definedName>
    <definedName name="__123Graph_CMONTHLY" localSheetId="56" hidden="1">[1]weekly!#REF!</definedName>
    <definedName name="__123Graph_CMONTHLY" localSheetId="58" hidden="1">[1]weekly!#REF!</definedName>
    <definedName name="__123Graph_CMONTHLY" localSheetId="16" hidden="1">[1]weekly!#REF!</definedName>
    <definedName name="__123Graph_CMONTHLY" localSheetId="19" hidden="1">[1]weekly!#REF!</definedName>
    <definedName name="__123Graph_CMONTHLY" localSheetId="57" hidden="1">[1]weekly!#REF!</definedName>
    <definedName name="__123Graph_CMONTHLY" localSheetId="59" hidden="1">[1]weekly!#REF!</definedName>
    <definedName name="__123Graph_CMONTHLY" localSheetId="17" hidden="1">[1]weekly!#REF!</definedName>
    <definedName name="__123Graph_CMONTHLY" localSheetId="20" hidden="1">[1]weekly!#REF!</definedName>
    <definedName name="__123Graph_CMONTHLY" localSheetId="83" hidden="1">[1]weekly!#REF!</definedName>
    <definedName name="__123Graph_CMONTHLY" localSheetId="39" hidden="1">[1]weekly!#REF!</definedName>
    <definedName name="__123Graph_CMONTHLY" localSheetId="40" hidden="1">[1]weekly!#REF!</definedName>
    <definedName name="__123Graph_CMONTHLY" localSheetId="95" hidden="1">[1]weekly!#REF!</definedName>
    <definedName name="__123Graph_CMONTHLY" localSheetId="41" hidden="1">[1]weekly!#REF!</definedName>
    <definedName name="__123Graph_CMONTHLY" localSheetId="92" hidden="1">[1]weekly!#REF!</definedName>
    <definedName name="__123Graph_CMONTHLY" localSheetId="42" hidden="1">[1]weekly!#REF!</definedName>
    <definedName name="__123Graph_CMONTHLY" localSheetId="43" hidden="1">[1]weekly!#REF!</definedName>
    <definedName name="__123Graph_CMONTHLY" localSheetId="44" hidden="1">[1]weekly!#REF!</definedName>
    <definedName name="__123Graph_CMONTHLY" localSheetId="34" hidden="1">[1]weekly!#REF!</definedName>
    <definedName name="__123Graph_CMONTHLY" localSheetId="45" hidden="1">[1]weekly!#REF!</definedName>
    <definedName name="__123Graph_CMONTHLY" localSheetId="70" hidden="1">[1]weekly!#REF!</definedName>
    <definedName name="__123Graph_CMONTHLY" localSheetId="46" hidden="1">[1]weekly!#REF!</definedName>
    <definedName name="__123Graph_CMONTHLY" localSheetId="25" hidden="1">[1]weekly!#REF!</definedName>
    <definedName name="__123Graph_CMONTHLY" localSheetId="26" hidden="1">[1]weekly!#REF!</definedName>
    <definedName name="__123Graph_CMONTHLY" localSheetId="47" hidden="1">[1]weekly!#REF!</definedName>
    <definedName name="__123Graph_CMONTHLY" localSheetId="15" hidden="1">[1]weekly!#REF!</definedName>
    <definedName name="__123Graph_CMONTHLY" localSheetId="93" hidden="1">[1]weekly!#REF!</definedName>
    <definedName name="__123Graph_CMONTHLY" localSheetId="48" hidden="1">[1]weekly!#REF!</definedName>
    <definedName name="__123Graph_CMONTHLY" localSheetId="49" hidden="1">[1]weekly!#REF!</definedName>
    <definedName name="__123Graph_CMONTHLY" localSheetId="50" hidden="1">[1]weekly!#REF!</definedName>
    <definedName name="__123Graph_CMONTHLY" localSheetId="51" hidden="1">[1]weekly!#REF!</definedName>
    <definedName name="__123Graph_CMONTHLY" localSheetId="55" hidden="1">[1]weekly!#REF!</definedName>
    <definedName name="__123Graph_CMONTHLY" localSheetId="52" hidden="1">[1]weekly!#REF!</definedName>
    <definedName name="__123Graph_CMONTHLY" localSheetId="53" hidden="1">[1]weekly!#REF!</definedName>
    <definedName name="__123Graph_CMONTHLY" localSheetId="35" hidden="1">[1]weekly!#REF!</definedName>
    <definedName name="__123Graph_CMONTHLY" localSheetId="60" hidden="1">[1]weekly!#REF!</definedName>
    <definedName name="__123Graph_CMONTHLY" localSheetId="22" hidden="1">[1]weekly!#REF!</definedName>
    <definedName name="__123Graph_CMONTHLY" localSheetId="23" hidden="1">[1]weekly!#REF!</definedName>
    <definedName name="__123Graph_CMONTHLY" localSheetId="54" hidden="1">[1]weekly!#REF!</definedName>
    <definedName name="__123Graph_CMONTHLY" localSheetId="91" hidden="1">[1]weekly!#REF!</definedName>
    <definedName name="__123Graph_CMONTHLY" localSheetId="28" hidden="1">[1]weekly!#REF!</definedName>
    <definedName name="__123Graph_CMONTHLY" localSheetId="88" hidden="1">[1]weekly!#REF!</definedName>
    <definedName name="__123Graph_CMONTHLY" localSheetId="90" hidden="1">[1]weekly!#REF!</definedName>
    <definedName name="__123Graph_CMONTHLY" hidden="1">[1]weekly!#REF!</definedName>
    <definedName name="__123Graph_CMONTHLY2" localSheetId="61" hidden="1">[1]weekly!#REF!</definedName>
    <definedName name="__123Graph_CMONTHLY2" localSheetId="87" hidden="1">[1]weekly!#REF!</definedName>
    <definedName name="__123Graph_CMONTHLY2" localSheetId="37" hidden="1">[1]weekly!#REF!</definedName>
    <definedName name="__123Graph_CMONTHLY2" localSheetId="62" hidden="1">[1]weekly!#REF!</definedName>
    <definedName name="__123Graph_CMONTHLY2" localSheetId="38" hidden="1">[1]weekly!#REF!</definedName>
    <definedName name="__123Graph_CMONTHLY2" localSheetId="31" hidden="1">[1]weekly!#REF!</definedName>
    <definedName name="__123Graph_CMONTHLY2" localSheetId="18" hidden="1">[1]weekly!#REF!</definedName>
    <definedName name="__123Graph_CMONTHLY2" localSheetId="56" hidden="1">[1]weekly!#REF!</definedName>
    <definedName name="__123Graph_CMONTHLY2" localSheetId="58" hidden="1">[1]weekly!#REF!</definedName>
    <definedName name="__123Graph_CMONTHLY2" localSheetId="16" hidden="1">[1]weekly!#REF!</definedName>
    <definedName name="__123Graph_CMONTHLY2" localSheetId="19" hidden="1">[1]weekly!#REF!</definedName>
    <definedName name="__123Graph_CMONTHLY2" localSheetId="57" hidden="1">[1]weekly!#REF!</definedName>
    <definedName name="__123Graph_CMONTHLY2" localSheetId="59" hidden="1">[1]weekly!#REF!</definedName>
    <definedName name="__123Graph_CMONTHLY2" localSheetId="17" hidden="1">[1]weekly!#REF!</definedName>
    <definedName name="__123Graph_CMONTHLY2" localSheetId="20" hidden="1">[1]weekly!#REF!</definedName>
    <definedName name="__123Graph_CMONTHLY2" localSheetId="83" hidden="1">[1]weekly!#REF!</definedName>
    <definedName name="__123Graph_CMONTHLY2" localSheetId="39" hidden="1">[1]weekly!#REF!</definedName>
    <definedName name="__123Graph_CMONTHLY2" localSheetId="40" hidden="1">[1]weekly!#REF!</definedName>
    <definedName name="__123Graph_CMONTHLY2" localSheetId="95" hidden="1">[1]weekly!#REF!</definedName>
    <definedName name="__123Graph_CMONTHLY2" localSheetId="41" hidden="1">[1]weekly!#REF!</definedName>
    <definedName name="__123Graph_CMONTHLY2" localSheetId="92" hidden="1">[1]weekly!#REF!</definedName>
    <definedName name="__123Graph_CMONTHLY2" localSheetId="42" hidden="1">[1]weekly!#REF!</definedName>
    <definedName name="__123Graph_CMONTHLY2" localSheetId="43" hidden="1">[1]weekly!#REF!</definedName>
    <definedName name="__123Graph_CMONTHLY2" localSheetId="44" hidden="1">[1]weekly!#REF!</definedName>
    <definedName name="__123Graph_CMONTHLY2" localSheetId="34" hidden="1">[1]weekly!#REF!</definedName>
    <definedName name="__123Graph_CMONTHLY2" localSheetId="45" hidden="1">[1]weekly!#REF!</definedName>
    <definedName name="__123Graph_CMONTHLY2" localSheetId="70" hidden="1">[1]weekly!#REF!</definedName>
    <definedName name="__123Graph_CMONTHLY2" localSheetId="46" hidden="1">[1]weekly!#REF!</definedName>
    <definedName name="__123Graph_CMONTHLY2" localSheetId="25" hidden="1">[1]weekly!#REF!</definedName>
    <definedName name="__123Graph_CMONTHLY2" localSheetId="26" hidden="1">[1]weekly!#REF!</definedName>
    <definedName name="__123Graph_CMONTHLY2" localSheetId="47" hidden="1">[1]weekly!#REF!</definedName>
    <definedName name="__123Graph_CMONTHLY2" localSheetId="15" hidden="1">[1]weekly!#REF!</definedName>
    <definedName name="__123Graph_CMONTHLY2" localSheetId="93" hidden="1">[1]weekly!#REF!</definedName>
    <definedName name="__123Graph_CMONTHLY2" localSheetId="48" hidden="1">[1]weekly!#REF!</definedName>
    <definedName name="__123Graph_CMONTHLY2" localSheetId="49" hidden="1">[1]weekly!#REF!</definedName>
    <definedName name="__123Graph_CMONTHLY2" localSheetId="50" hidden="1">[1]weekly!#REF!</definedName>
    <definedName name="__123Graph_CMONTHLY2" localSheetId="51" hidden="1">[1]weekly!#REF!</definedName>
    <definedName name="__123Graph_CMONTHLY2" localSheetId="55" hidden="1">[1]weekly!#REF!</definedName>
    <definedName name="__123Graph_CMONTHLY2" localSheetId="52" hidden="1">[1]weekly!#REF!</definedName>
    <definedName name="__123Graph_CMONTHLY2" localSheetId="53" hidden="1">[1]weekly!#REF!</definedName>
    <definedName name="__123Graph_CMONTHLY2" localSheetId="35" hidden="1">[1]weekly!#REF!</definedName>
    <definedName name="__123Graph_CMONTHLY2" localSheetId="60" hidden="1">[1]weekly!#REF!</definedName>
    <definedName name="__123Graph_CMONTHLY2" localSheetId="22" hidden="1">[1]weekly!#REF!</definedName>
    <definedName name="__123Graph_CMONTHLY2" localSheetId="23" hidden="1">[1]weekly!#REF!</definedName>
    <definedName name="__123Graph_CMONTHLY2" localSheetId="54" hidden="1">[1]weekly!#REF!</definedName>
    <definedName name="__123Graph_CMONTHLY2" localSheetId="91" hidden="1">[1]weekly!#REF!</definedName>
    <definedName name="__123Graph_CMONTHLY2" localSheetId="28" hidden="1">[1]weekly!#REF!</definedName>
    <definedName name="__123Graph_CMONTHLY2" localSheetId="88" hidden="1">[1]weekly!#REF!</definedName>
    <definedName name="__123Graph_CMONTHLY2" localSheetId="90" hidden="1">[1]weekly!#REF!</definedName>
    <definedName name="__123Graph_CMONTHLY2" hidden="1">[1]weekly!#REF!</definedName>
    <definedName name="__123Graph_DMONTHLY2" localSheetId="61" hidden="1">[1]weekly!#REF!</definedName>
    <definedName name="__123Graph_DMONTHLY2" localSheetId="87" hidden="1">[1]weekly!#REF!</definedName>
    <definedName name="__123Graph_DMONTHLY2" localSheetId="37" hidden="1">[1]weekly!#REF!</definedName>
    <definedName name="__123Graph_DMONTHLY2" localSheetId="62" hidden="1">[1]weekly!#REF!</definedName>
    <definedName name="__123Graph_DMONTHLY2" localSheetId="38" hidden="1">[1]weekly!#REF!</definedName>
    <definedName name="__123Graph_DMONTHLY2" localSheetId="31" hidden="1">[1]weekly!#REF!</definedName>
    <definedName name="__123Graph_DMONTHLY2" localSheetId="18" hidden="1">[1]weekly!#REF!</definedName>
    <definedName name="__123Graph_DMONTHLY2" localSheetId="56" hidden="1">[1]weekly!#REF!</definedName>
    <definedName name="__123Graph_DMONTHLY2" localSheetId="58" hidden="1">[1]weekly!#REF!</definedName>
    <definedName name="__123Graph_DMONTHLY2" localSheetId="16" hidden="1">[1]weekly!#REF!</definedName>
    <definedName name="__123Graph_DMONTHLY2" localSheetId="19" hidden="1">[1]weekly!#REF!</definedName>
    <definedName name="__123Graph_DMONTHLY2" localSheetId="57" hidden="1">[1]weekly!#REF!</definedName>
    <definedName name="__123Graph_DMONTHLY2" localSheetId="59" hidden="1">[1]weekly!#REF!</definedName>
    <definedName name="__123Graph_DMONTHLY2" localSheetId="17" hidden="1">[1]weekly!#REF!</definedName>
    <definedName name="__123Graph_DMONTHLY2" localSheetId="20" hidden="1">[1]weekly!#REF!</definedName>
    <definedName name="__123Graph_DMONTHLY2" localSheetId="83" hidden="1">[1]weekly!#REF!</definedName>
    <definedName name="__123Graph_DMONTHLY2" localSheetId="39" hidden="1">[1]weekly!#REF!</definedName>
    <definedName name="__123Graph_DMONTHLY2" localSheetId="40" hidden="1">[1]weekly!#REF!</definedName>
    <definedName name="__123Graph_DMONTHLY2" localSheetId="95" hidden="1">[1]weekly!#REF!</definedName>
    <definedName name="__123Graph_DMONTHLY2" localSheetId="41" hidden="1">[1]weekly!#REF!</definedName>
    <definedName name="__123Graph_DMONTHLY2" localSheetId="92" hidden="1">[1]weekly!#REF!</definedName>
    <definedName name="__123Graph_DMONTHLY2" localSheetId="42" hidden="1">[1]weekly!#REF!</definedName>
    <definedName name="__123Graph_DMONTHLY2" localSheetId="43" hidden="1">[1]weekly!#REF!</definedName>
    <definedName name="__123Graph_DMONTHLY2" localSheetId="44" hidden="1">[1]weekly!#REF!</definedName>
    <definedName name="__123Graph_DMONTHLY2" localSheetId="34" hidden="1">[1]weekly!#REF!</definedName>
    <definedName name="__123Graph_DMONTHLY2" localSheetId="45" hidden="1">[1]weekly!#REF!</definedName>
    <definedName name="__123Graph_DMONTHLY2" localSheetId="70" hidden="1">[1]weekly!#REF!</definedName>
    <definedName name="__123Graph_DMONTHLY2" localSheetId="46" hidden="1">[1]weekly!#REF!</definedName>
    <definedName name="__123Graph_DMONTHLY2" localSheetId="25" hidden="1">[1]weekly!#REF!</definedName>
    <definedName name="__123Graph_DMONTHLY2" localSheetId="26" hidden="1">[1]weekly!#REF!</definedName>
    <definedName name="__123Graph_DMONTHLY2" localSheetId="47" hidden="1">[1]weekly!#REF!</definedName>
    <definedName name="__123Graph_DMONTHLY2" localSheetId="15" hidden="1">[1]weekly!#REF!</definedName>
    <definedName name="__123Graph_DMONTHLY2" localSheetId="93" hidden="1">[1]weekly!#REF!</definedName>
    <definedName name="__123Graph_DMONTHLY2" localSheetId="48" hidden="1">[1]weekly!#REF!</definedName>
    <definedName name="__123Graph_DMONTHLY2" localSheetId="49" hidden="1">[1]weekly!#REF!</definedName>
    <definedName name="__123Graph_DMONTHLY2" localSheetId="50" hidden="1">[1]weekly!#REF!</definedName>
    <definedName name="__123Graph_DMONTHLY2" localSheetId="51" hidden="1">[1]weekly!#REF!</definedName>
    <definedName name="__123Graph_DMONTHLY2" localSheetId="55" hidden="1">[1]weekly!#REF!</definedName>
    <definedName name="__123Graph_DMONTHLY2" localSheetId="52" hidden="1">[1]weekly!#REF!</definedName>
    <definedName name="__123Graph_DMONTHLY2" localSheetId="53" hidden="1">[1]weekly!#REF!</definedName>
    <definedName name="__123Graph_DMONTHLY2" localSheetId="35" hidden="1">[1]weekly!#REF!</definedName>
    <definedName name="__123Graph_DMONTHLY2" localSheetId="60" hidden="1">[1]weekly!#REF!</definedName>
    <definedName name="__123Graph_DMONTHLY2" localSheetId="22" hidden="1">[1]weekly!#REF!</definedName>
    <definedName name="__123Graph_DMONTHLY2" localSheetId="23" hidden="1">[1]weekly!#REF!</definedName>
    <definedName name="__123Graph_DMONTHLY2" localSheetId="54" hidden="1">[1]weekly!#REF!</definedName>
    <definedName name="__123Graph_DMONTHLY2" localSheetId="91" hidden="1">[1]weekly!#REF!</definedName>
    <definedName name="__123Graph_DMONTHLY2" localSheetId="28" hidden="1">[1]weekly!#REF!</definedName>
    <definedName name="__123Graph_DMONTHLY2" localSheetId="88" hidden="1">[1]weekly!#REF!</definedName>
    <definedName name="__123Graph_DMONTHLY2" localSheetId="90" hidden="1">[1]weekly!#REF!</definedName>
    <definedName name="__123Graph_DMONTHLY2" hidden="1">[1]weekly!#REF!</definedName>
    <definedName name="__123Graph_EMONTHLY2" localSheetId="61" hidden="1">[1]weekly!#REF!</definedName>
    <definedName name="__123Graph_EMONTHLY2" localSheetId="87" hidden="1">[1]weekly!#REF!</definedName>
    <definedName name="__123Graph_EMONTHLY2" localSheetId="37" hidden="1">[1]weekly!#REF!</definedName>
    <definedName name="__123Graph_EMONTHLY2" localSheetId="62" hidden="1">[1]weekly!#REF!</definedName>
    <definedName name="__123Graph_EMONTHLY2" localSheetId="38" hidden="1">[1]weekly!#REF!</definedName>
    <definedName name="__123Graph_EMONTHLY2" localSheetId="31" hidden="1">[1]weekly!#REF!</definedName>
    <definedName name="__123Graph_EMONTHLY2" localSheetId="18" hidden="1">[1]weekly!#REF!</definedName>
    <definedName name="__123Graph_EMONTHLY2" localSheetId="56" hidden="1">[1]weekly!#REF!</definedName>
    <definedName name="__123Graph_EMONTHLY2" localSheetId="58" hidden="1">[1]weekly!#REF!</definedName>
    <definedName name="__123Graph_EMONTHLY2" localSheetId="16" hidden="1">[1]weekly!#REF!</definedName>
    <definedName name="__123Graph_EMONTHLY2" localSheetId="19" hidden="1">[1]weekly!#REF!</definedName>
    <definedName name="__123Graph_EMONTHLY2" localSheetId="57" hidden="1">[1]weekly!#REF!</definedName>
    <definedName name="__123Graph_EMONTHLY2" localSheetId="59" hidden="1">[1]weekly!#REF!</definedName>
    <definedName name="__123Graph_EMONTHLY2" localSheetId="17" hidden="1">[1]weekly!#REF!</definedName>
    <definedName name="__123Graph_EMONTHLY2" localSheetId="20" hidden="1">[1]weekly!#REF!</definedName>
    <definedName name="__123Graph_EMONTHLY2" localSheetId="83" hidden="1">[1]weekly!#REF!</definedName>
    <definedName name="__123Graph_EMONTHLY2" localSheetId="39" hidden="1">[1]weekly!#REF!</definedName>
    <definedName name="__123Graph_EMONTHLY2" localSheetId="40" hidden="1">[1]weekly!#REF!</definedName>
    <definedName name="__123Graph_EMONTHLY2" localSheetId="95" hidden="1">[1]weekly!#REF!</definedName>
    <definedName name="__123Graph_EMONTHLY2" localSheetId="41" hidden="1">[1]weekly!#REF!</definedName>
    <definedName name="__123Graph_EMONTHLY2" localSheetId="92" hidden="1">[1]weekly!#REF!</definedName>
    <definedName name="__123Graph_EMONTHLY2" localSheetId="42" hidden="1">[1]weekly!#REF!</definedName>
    <definedName name="__123Graph_EMONTHLY2" localSheetId="43" hidden="1">[1]weekly!#REF!</definedName>
    <definedName name="__123Graph_EMONTHLY2" localSheetId="44" hidden="1">[1]weekly!#REF!</definedName>
    <definedName name="__123Graph_EMONTHLY2" localSheetId="34" hidden="1">[1]weekly!#REF!</definedName>
    <definedName name="__123Graph_EMONTHLY2" localSheetId="45" hidden="1">[1]weekly!#REF!</definedName>
    <definedName name="__123Graph_EMONTHLY2" localSheetId="70" hidden="1">[1]weekly!#REF!</definedName>
    <definedName name="__123Graph_EMONTHLY2" localSheetId="46" hidden="1">[1]weekly!#REF!</definedName>
    <definedName name="__123Graph_EMONTHLY2" localSheetId="25" hidden="1">[1]weekly!#REF!</definedName>
    <definedName name="__123Graph_EMONTHLY2" localSheetId="26" hidden="1">[1]weekly!#REF!</definedName>
    <definedName name="__123Graph_EMONTHLY2" localSheetId="47" hidden="1">[1]weekly!#REF!</definedName>
    <definedName name="__123Graph_EMONTHLY2" localSheetId="15" hidden="1">[1]weekly!#REF!</definedName>
    <definedName name="__123Graph_EMONTHLY2" localSheetId="93" hidden="1">[1]weekly!#REF!</definedName>
    <definedName name="__123Graph_EMONTHLY2" localSheetId="48" hidden="1">[1]weekly!#REF!</definedName>
    <definedName name="__123Graph_EMONTHLY2" localSheetId="49" hidden="1">[1]weekly!#REF!</definedName>
    <definedName name="__123Graph_EMONTHLY2" localSheetId="50" hidden="1">[1]weekly!#REF!</definedName>
    <definedName name="__123Graph_EMONTHLY2" localSheetId="51" hidden="1">[1]weekly!#REF!</definedName>
    <definedName name="__123Graph_EMONTHLY2" localSheetId="55" hidden="1">[1]weekly!#REF!</definedName>
    <definedName name="__123Graph_EMONTHLY2" localSheetId="52" hidden="1">[1]weekly!#REF!</definedName>
    <definedName name="__123Graph_EMONTHLY2" localSheetId="53" hidden="1">[1]weekly!#REF!</definedName>
    <definedName name="__123Graph_EMONTHLY2" localSheetId="35" hidden="1">[1]weekly!#REF!</definedName>
    <definedName name="__123Graph_EMONTHLY2" localSheetId="60" hidden="1">[1]weekly!#REF!</definedName>
    <definedName name="__123Graph_EMONTHLY2" localSheetId="22" hidden="1">[1]weekly!#REF!</definedName>
    <definedName name="__123Graph_EMONTHLY2" localSheetId="23" hidden="1">[1]weekly!#REF!</definedName>
    <definedName name="__123Graph_EMONTHLY2" localSheetId="54" hidden="1">[1]weekly!#REF!</definedName>
    <definedName name="__123Graph_EMONTHLY2" localSheetId="91" hidden="1">[1]weekly!#REF!</definedName>
    <definedName name="__123Graph_EMONTHLY2" localSheetId="28" hidden="1">[1]weekly!#REF!</definedName>
    <definedName name="__123Graph_EMONTHLY2" localSheetId="88" hidden="1">[1]weekly!#REF!</definedName>
    <definedName name="__123Graph_EMONTHLY2" localSheetId="90" hidden="1">[1]weekly!#REF!</definedName>
    <definedName name="__123Graph_EMONTHLY2" hidden="1">[1]weekly!#REF!</definedName>
    <definedName name="__123Graph_FMONTHLY2" localSheetId="61" hidden="1">[1]weekly!#REF!</definedName>
    <definedName name="__123Graph_FMONTHLY2" localSheetId="87" hidden="1">[1]weekly!#REF!</definedName>
    <definedName name="__123Graph_FMONTHLY2" localSheetId="37" hidden="1">[1]weekly!#REF!</definedName>
    <definedName name="__123Graph_FMONTHLY2" localSheetId="62" hidden="1">[1]weekly!#REF!</definedName>
    <definedName name="__123Graph_FMONTHLY2" localSheetId="38" hidden="1">[1]weekly!#REF!</definedName>
    <definedName name="__123Graph_FMONTHLY2" localSheetId="31" hidden="1">[1]weekly!#REF!</definedName>
    <definedName name="__123Graph_FMONTHLY2" localSheetId="18" hidden="1">[1]weekly!#REF!</definedName>
    <definedName name="__123Graph_FMONTHLY2" localSheetId="56" hidden="1">[1]weekly!#REF!</definedName>
    <definedName name="__123Graph_FMONTHLY2" localSheetId="58" hidden="1">[1]weekly!#REF!</definedName>
    <definedName name="__123Graph_FMONTHLY2" localSheetId="16" hidden="1">[1]weekly!#REF!</definedName>
    <definedName name="__123Graph_FMONTHLY2" localSheetId="19" hidden="1">[1]weekly!#REF!</definedName>
    <definedName name="__123Graph_FMONTHLY2" localSheetId="57" hidden="1">[1]weekly!#REF!</definedName>
    <definedName name="__123Graph_FMONTHLY2" localSheetId="59" hidden="1">[1]weekly!#REF!</definedName>
    <definedName name="__123Graph_FMONTHLY2" localSheetId="17" hidden="1">[1]weekly!#REF!</definedName>
    <definedName name="__123Graph_FMONTHLY2" localSheetId="20" hidden="1">[1]weekly!#REF!</definedName>
    <definedName name="__123Graph_FMONTHLY2" localSheetId="83" hidden="1">[1]weekly!#REF!</definedName>
    <definedName name="__123Graph_FMONTHLY2" localSheetId="39" hidden="1">[1]weekly!#REF!</definedName>
    <definedName name="__123Graph_FMONTHLY2" localSheetId="40" hidden="1">[1]weekly!#REF!</definedName>
    <definedName name="__123Graph_FMONTHLY2" localSheetId="95" hidden="1">[1]weekly!#REF!</definedName>
    <definedName name="__123Graph_FMONTHLY2" localSheetId="41" hidden="1">[1]weekly!#REF!</definedName>
    <definedName name="__123Graph_FMONTHLY2" localSheetId="92" hidden="1">[1]weekly!#REF!</definedName>
    <definedName name="__123Graph_FMONTHLY2" localSheetId="42" hidden="1">[1]weekly!#REF!</definedName>
    <definedName name="__123Graph_FMONTHLY2" localSheetId="43" hidden="1">[1]weekly!#REF!</definedName>
    <definedName name="__123Graph_FMONTHLY2" localSheetId="44" hidden="1">[1]weekly!#REF!</definedName>
    <definedName name="__123Graph_FMONTHLY2" localSheetId="34" hidden="1">[1]weekly!#REF!</definedName>
    <definedName name="__123Graph_FMONTHLY2" localSheetId="45" hidden="1">[1]weekly!#REF!</definedName>
    <definedName name="__123Graph_FMONTHLY2" localSheetId="70" hidden="1">[1]weekly!#REF!</definedName>
    <definedName name="__123Graph_FMONTHLY2" localSheetId="46" hidden="1">[1]weekly!#REF!</definedName>
    <definedName name="__123Graph_FMONTHLY2" localSheetId="25" hidden="1">[1]weekly!#REF!</definedName>
    <definedName name="__123Graph_FMONTHLY2" localSheetId="26" hidden="1">[1]weekly!#REF!</definedName>
    <definedName name="__123Graph_FMONTHLY2" localSheetId="47" hidden="1">[1]weekly!#REF!</definedName>
    <definedName name="__123Graph_FMONTHLY2" localSheetId="15" hidden="1">[1]weekly!#REF!</definedName>
    <definedName name="__123Graph_FMONTHLY2" localSheetId="93" hidden="1">[1]weekly!#REF!</definedName>
    <definedName name="__123Graph_FMONTHLY2" localSheetId="48" hidden="1">[1]weekly!#REF!</definedName>
    <definedName name="__123Graph_FMONTHLY2" localSheetId="49" hidden="1">[1]weekly!#REF!</definedName>
    <definedName name="__123Graph_FMONTHLY2" localSheetId="50" hidden="1">[1]weekly!#REF!</definedName>
    <definedName name="__123Graph_FMONTHLY2" localSheetId="51" hidden="1">[1]weekly!#REF!</definedName>
    <definedName name="__123Graph_FMONTHLY2" localSheetId="55" hidden="1">[1]weekly!#REF!</definedName>
    <definedName name="__123Graph_FMONTHLY2" localSheetId="52" hidden="1">[1]weekly!#REF!</definedName>
    <definedName name="__123Graph_FMONTHLY2" localSheetId="53" hidden="1">[1]weekly!#REF!</definedName>
    <definedName name="__123Graph_FMONTHLY2" localSheetId="35" hidden="1">[1]weekly!#REF!</definedName>
    <definedName name="__123Graph_FMONTHLY2" localSheetId="60" hidden="1">[1]weekly!#REF!</definedName>
    <definedName name="__123Graph_FMONTHLY2" localSheetId="22" hidden="1">[1]weekly!#REF!</definedName>
    <definedName name="__123Graph_FMONTHLY2" localSheetId="23" hidden="1">[1]weekly!#REF!</definedName>
    <definedName name="__123Graph_FMONTHLY2" localSheetId="54" hidden="1">[1]weekly!#REF!</definedName>
    <definedName name="__123Graph_FMONTHLY2" localSheetId="91" hidden="1">[1]weekly!#REF!</definedName>
    <definedName name="__123Graph_FMONTHLY2" localSheetId="28" hidden="1">[1]weekly!#REF!</definedName>
    <definedName name="__123Graph_FMONTHLY2" localSheetId="88" hidden="1">[1]weekly!#REF!</definedName>
    <definedName name="__123Graph_FMONTHLY2" localSheetId="90" hidden="1">[1]weekly!#REF!</definedName>
    <definedName name="__123Graph_FMONTHLY2" hidden="1">[1]weekly!#REF!</definedName>
    <definedName name="__123Graph_XMAIN" localSheetId="61" hidden="1">[1]weekly!#REF!</definedName>
    <definedName name="__123Graph_XMAIN" localSheetId="87" hidden="1">[1]weekly!#REF!</definedName>
    <definedName name="__123Graph_XMAIN" localSheetId="37" hidden="1">[1]weekly!#REF!</definedName>
    <definedName name="__123Graph_XMAIN" localSheetId="62" hidden="1">[1]weekly!#REF!</definedName>
    <definedName name="__123Graph_XMAIN" localSheetId="38" hidden="1">[1]weekly!#REF!</definedName>
    <definedName name="__123Graph_XMAIN" localSheetId="31" hidden="1">[1]weekly!#REF!</definedName>
    <definedName name="__123Graph_XMAIN" localSheetId="18" hidden="1">[1]weekly!#REF!</definedName>
    <definedName name="__123Graph_XMAIN" localSheetId="56" hidden="1">[1]weekly!#REF!</definedName>
    <definedName name="__123Graph_XMAIN" localSheetId="58" hidden="1">[1]weekly!#REF!</definedName>
    <definedName name="__123Graph_XMAIN" localSheetId="16" hidden="1">[1]weekly!#REF!</definedName>
    <definedName name="__123Graph_XMAIN" localSheetId="19" hidden="1">[1]weekly!#REF!</definedName>
    <definedName name="__123Graph_XMAIN" localSheetId="57" hidden="1">[1]weekly!#REF!</definedName>
    <definedName name="__123Graph_XMAIN" localSheetId="59" hidden="1">[1]weekly!#REF!</definedName>
    <definedName name="__123Graph_XMAIN" localSheetId="17" hidden="1">[1]weekly!#REF!</definedName>
    <definedName name="__123Graph_XMAIN" localSheetId="20" hidden="1">[1]weekly!#REF!</definedName>
    <definedName name="__123Graph_XMAIN" localSheetId="83" hidden="1">[1]weekly!#REF!</definedName>
    <definedName name="__123Graph_XMAIN" localSheetId="39" hidden="1">[1]weekly!#REF!</definedName>
    <definedName name="__123Graph_XMAIN" localSheetId="40" hidden="1">[1]weekly!#REF!</definedName>
    <definedName name="__123Graph_XMAIN" localSheetId="95" hidden="1">[1]weekly!#REF!</definedName>
    <definedName name="__123Graph_XMAIN" localSheetId="41" hidden="1">[1]weekly!#REF!</definedName>
    <definedName name="__123Graph_XMAIN" localSheetId="92" hidden="1">[1]weekly!#REF!</definedName>
    <definedName name="__123Graph_XMAIN" localSheetId="42" hidden="1">[1]weekly!#REF!</definedName>
    <definedName name="__123Graph_XMAIN" localSheetId="43" hidden="1">[1]weekly!#REF!</definedName>
    <definedName name="__123Graph_XMAIN" localSheetId="44" hidden="1">[1]weekly!#REF!</definedName>
    <definedName name="__123Graph_XMAIN" localSheetId="34" hidden="1">[1]weekly!#REF!</definedName>
    <definedName name="__123Graph_XMAIN" localSheetId="45" hidden="1">[1]weekly!#REF!</definedName>
    <definedName name="__123Graph_XMAIN" localSheetId="70" hidden="1">[1]weekly!#REF!</definedName>
    <definedName name="__123Graph_XMAIN" localSheetId="46" hidden="1">[1]weekly!#REF!</definedName>
    <definedName name="__123Graph_XMAIN" localSheetId="25" hidden="1">[1]weekly!#REF!</definedName>
    <definedName name="__123Graph_XMAIN" localSheetId="26" hidden="1">[1]weekly!#REF!</definedName>
    <definedName name="__123Graph_XMAIN" localSheetId="47" hidden="1">[1]weekly!#REF!</definedName>
    <definedName name="__123Graph_XMAIN" localSheetId="15" hidden="1">[1]weekly!#REF!</definedName>
    <definedName name="__123Graph_XMAIN" localSheetId="93" hidden="1">[1]weekly!#REF!</definedName>
    <definedName name="__123Graph_XMAIN" localSheetId="48" hidden="1">[1]weekly!#REF!</definedName>
    <definedName name="__123Graph_XMAIN" localSheetId="49" hidden="1">[1]weekly!#REF!</definedName>
    <definedName name="__123Graph_XMAIN" localSheetId="50" hidden="1">[1]weekly!#REF!</definedName>
    <definedName name="__123Graph_XMAIN" localSheetId="51" hidden="1">[1]weekly!#REF!</definedName>
    <definedName name="__123Graph_XMAIN" localSheetId="55" hidden="1">[1]weekly!#REF!</definedName>
    <definedName name="__123Graph_XMAIN" localSheetId="52" hidden="1">[1]weekly!#REF!</definedName>
    <definedName name="__123Graph_XMAIN" localSheetId="53" hidden="1">[1]weekly!#REF!</definedName>
    <definedName name="__123Graph_XMAIN" localSheetId="35" hidden="1">[1]weekly!#REF!</definedName>
    <definedName name="__123Graph_XMAIN" localSheetId="60" hidden="1">[1]weekly!#REF!</definedName>
    <definedName name="__123Graph_XMAIN" localSheetId="22" hidden="1">[1]weekly!#REF!</definedName>
    <definedName name="__123Graph_XMAIN" localSheetId="23" hidden="1">[1]weekly!#REF!</definedName>
    <definedName name="__123Graph_XMAIN" localSheetId="54" hidden="1">[1]weekly!#REF!</definedName>
    <definedName name="__123Graph_XMAIN" localSheetId="91" hidden="1">[1]weekly!#REF!</definedName>
    <definedName name="__123Graph_XMAIN" localSheetId="28" hidden="1">[1]weekly!#REF!</definedName>
    <definedName name="__123Graph_XMAIN" localSheetId="88" hidden="1">[1]weekly!#REF!</definedName>
    <definedName name="__123Graph_XMAIN" localSheetId="90" hidden="1">[1]weekly!#REF!</definedName>
    <definedName name="__123Graph_XMAIN" hidden="1">[1]weekly!#REF!</definedName>
    <definedName name="__123Graph_XMONTHLY" localSheetId="61" hidden="1">[1]weekly!#REF!</definedName>
    <definedName name="__123Graph_XMONTHLY" localSheetId="87" hidden="1">[1]weekly!#REF!</definedName>
    <definedName name="__123Graph_XMONTHLY" localSheetId="37" hidden="1">[1]weekly!#REF!</definedName>
    <definedName name="__123Graph_XMONTHLY" localSheetId="62" hidden="1">[1]weekly!#REF!</definedName>
    <definedName name="__123Graph_XMONTHLY" localSheetId="38" hidden="1">[1]weekly!#REF!</definedName>
    <definedName name="__123Graph_XMONTHLY" localSheetId="31" hidden="1">[1]weekly!#REF!</definedName>
    <definedName name="__123Graph_XMONTHLY" localSheetId="18" hidden="1">[1]weekly!#REF!</definedName>
    <definedName name="__123Graph_XMONTHLY" localSheetId="56" hidden="1">[1]weekly!#REF!</definedName>
    <definedName name="__123Graph_XMONTHLY" localSheetId="58" hidden="1">[1]weekly!#REF!</definedName>
    <definedName name="__123Graph_XMONTHLY" localSheetId="16" hidden="1">[1]weekly!#REF!</definedName>
    <definedName name="__123Graph_XMONTHLY" localSheetId="19" hidden="1">[1]weekly!#REF!</definedName>
    <definedName name="__123Graph_XMONTHLY" localSheetId="57" hidden="1">[1]weekly!#REF!</definedName>
    <definedName name="__123Graph_XMONTHLY" localSheetId="59" hidden="1">[1]weekly!#REF!</definedName>
    <definedName name="__123Graph_XMONTHLY" localSheetId="17" hidden="1">[1]weekly!#REF!</definedName>
    <definedName name="__123Graph_XMONTHLY" localSheetId="20" hidden="1">[1]weekly!#REF!</definedName>
    <definedName name="__123Graph_XMONTHLY" localSheetId="83" hidden="1">[1]weekly!#REF!</definedName>
    <definedName name="__123Graph_XMONTHLY" localSheetId="39" hidden="1">[1]weekly!#REF!</definedName>
    <definedName name="__123Graph_XMONTHLY" localSheetId="40" hidden="1">[1]weekly!#REF!</definedName>
    <definedName name="__123Graph_XMONTHLY" localSheetId="95" hidden="1">[1]weekly!#REF!</definedName>
    <definedName name="__123Graph_XMONTHLY" localSheetId="41" hidden="1">[1]weekly!#REF!</definedName>
    <definedName name="__123Graph_XMONTHLY" localSheetId="92" hidden="1">[1]weekly!#REF!</definedName>
    <definedName name="__123Graph_XMONTHLY" localSheetId="42" hidden="1">[1]weekly!#REF!</definedName>
    <definedName name="__123Graph_XMONTHLY" localSheetId="43" hidden="1">[1]weekly!#REF!</definedName>
    <definedName name="__123Graph_XMONTHLY" localSheetId="44" hidden="1">[1]weekly!#REF!</definedName>
    <definedName name="__123Graph_XMONTHLY" localSheetId="34" hidden="1">[1]weekly!#REF!</definedName>
    <definedName name="__123Graph_XMONTHLY" localSheetId="45" hidden="1">[1]weekly!#REF!</definedName>
    <definedName name="__123Graph_XMONTHLY" localSheetId="70" hidden="1">[1]weekly!#REF!</definedName>
    <definedName name="__123Graph_XMONTHLY" localSheetId="46" hidden="1">[1]weekly!#REF!</definedName>
    <definedName name="__123Graph_XMONTHLY" localSheetId="25" hidden="1">[1]weekly!#REF!</definedName>
    <definedName name="__123Graph_XMONTHLY" localSheetId="26" hidden="1">[1]weekly!#REF!</definedName>
    <definedName name="__123Graph_XMONTHLY" localSheetId="47" hidden="1">[1]weekly!#REF!</definedName>
    <definedName name="__123Graph_XMONTHLY" localSheetId="15" hidden="1">[1]weekly!#REF!</definedName>
    <definedName name="__123Graph_XMONTHLY" localSheetId="93" hidden="1">[1]weekly!#REF!</definedName>
    <definedName name="__123Graph_XMONTHLY" localSheetId="48" hidden="1">[1]weekly!#REF!</definedName>
    <definedName name="__123Graph_XMONTHLY" localSheetId="49" hidden="1">[1]weekly!#REF!</definedName>
    <definedName name="__123Graph_XMONTHLY" localSheetId="50" hidden="1">[1]weekly!#REF!</definedName>
    <definedName name="__123Graph_XMONTHLY" localSheetId="51" hidden="1">[1]weekly!#REF!</definedName>
    <definedName name="__123Graph_XMONTHLY" localSheetId="55" hidden="1">[1]weekly!#REF!</definedName>
    <definedName name="__123Graph_XMONTHLY" localSheetId="52" hidden="1">[1]weekly!#REF!</definedName>
    <definedName name="__123Graph_XMONTHLY" localSheetId="53" hidden="1">[1]weekly!#REF!</definedName>
    <definedName name="__123Graph_XMONTHLY" localSheetId="35" hidden="1">[1]weekly!#REF!</definedName>
    <definedName name="__123Graph_XMONTHLY" localSheetId="60" hidden="1">[1]weekly!#REF!</definedName>
    <definedName name="__123Graph_XMONTHLY" localSheetId="22" hidden="1">[1]weekly!#REF!</definedName>
    <definedName name="__123Graph_XMONTHLY" localSheetId="23" hidden="1">[1]weekly!#REF!</definedName>
    <definedName name="__123Graph_XMONTHLY" localSheetId="54" hidden="1">[1]weekly!#REF!</definedName>
    <definedName name="__123Graph_XMONTHLY" localSheetId="91" hidden="1">[1]weekly!#REF!</definedName>
    <definedName name="__123Graph_XMONTHLY" localSheetId="28" hidden="1">[1]weekly!#REF!</definedName>
    <definedName name="__123Graph_XMONTHLY" localSheetId="88" hidden="1">[1]weekly!#REF!</definedName>
    <definedName name="__123Graph_XMONTHLY" localSheetId="90" hidden="1">[1]weekly!#REF!</definedName>
    <definedName name="__123Graph_XMONTHLY" hidden="1">[1]weekly!#REF!</definedName>
    <definedName name="__123Graph_XMONTHLY2" localSheetId="61" hidden="1">[1]weekly!#REF!</definedName>
    <definedName name="__123Graph_XMONTHLY2" localSheetId="87" hidden="1">[1]weekly!#REF!</definedName>
    <definedName name="__123Graph_XMONTHLY2" localSheetId="37" hidden="1">[1]weekly!#REF!</definedName>
    <definedName name="__123Graph_XMONTHLY2" localSheetId="62" hidden="1">[1]weekly!#REF!</definedName>
    <definedName name="__123Graph_XMONTHLY2" localSheetId="38" hidden="1">[1]weekly!#REF!</definedName>
    <definedName name="__123Graph_XMONTHLY2" localSheetId="31" hidden="1">[1]weekly!#REF!</definedName>
    <definedName name="__123Graph_XMONTHLY2" localSheetId="18" hidden="1">[1]weekly!#REF!</definedName>
    <definedName name="__123Graph_XMONTHLY2" localSheetId="56" hidden="1">[1]weekly!#REF!</definedName>
    <definedName name="__123Graph_XMONTHLY2" localSheetId="58" hidden="1">[1]weekly!#REF!</definedName>
    <definedName name="__123Graph_XMONTHLY2" localSheetId="16" hidden="1">[1]weekly!#REF!</definedName>
    <definedName name="__123Graph_XMONTHLY2" localSheetId="19" hidden="1">[1]weekly!#REF!</definedName>
    <definedName name="__123Graph_XMONTHLY2" localSheetId="57" hidden="1">[1]weekly!#REF!</definedName>
    <definedName name="__123Graph_XMONTHLY2" localSheetId="59" hidden="1">[1]weekly!#REF!</definedName>
    <definedName name="__123Graph_XMONTHLY2" localSheetId="17" hidden="1">[1]weekly!#REF!</definedName>
    <definedName name="__123Graph_XMONTHLY2" localSheetId="20" hidden="1">[1]weekly!#REF!</definedName>
    <definedName name="__123Graph_XMONTHLY2" localSheetId="83" hidden="1">[1]weekly!#REF!</definedName>
    <definedName name="__123Graph_XMONTHLY2" localSheetId="39" hidden="1">[1]weekly!#REF!</definedName>
    <definedName name="__123Graph_XMONTHLY2" localSheetId="40" hidden="1">[1]weekly!#REF!</definedName>
    <definedName name="__123Graph_XMONTHLY2" localSheetId="95" hidden="1">[1]weekly!#REF!</definedName>
    <definedName name="__123Graph_XMONTHLY2" localSheetId="41" hidden="1">[1]weekly!#REF!</definedName>
    <definedName name="__123Graph_XMONTHLY2" localSheetId="92" hidden="1">[1]weekly!#REF!</definedName>
    <definedName name="__123Graph_XMONTHLY2" localSheetId="42" hidden="1">[1]weekly!#REF!</definedName>
    <definedName name="__123Graph_XMONTHLY2" localSheetId="43" hidden="1">[1]weekly!#REF!</definedName>
    <definedName name="__123Graph_XMONTHLY2" localSheetId="44" hidden="1">[1]weekly!#REF!</definedName>
    <definedName name="__123Graph_XMONTHLY2" localSheetId="34" hidden="1">[1]weekly!#REF!</definedName>
    <definedName name="__123Graph_XMONTHLY2" localSheetId="45" hidden="1">[1]weekly!#REF!</definedName>
    <definedName name="__123Graph_XMONTHLY2" localSheetId="70" hidden="1">[1]weekly!#REF!</definedName>
    <definedName name="__123Graph_XMONTHLY2" localSheetId="46" hidden="1">[1]weekly!#REF!</definedName>
    <definedName name="__123Graph_XMONTHLY2" localSheetId="25" hidden="1">[1]weekly!#REF!</definedName>
    <definedName name="__123Graph_XMONTHLY2" localSheetId="26" hidden="1">[1]weekly!#REF!</definedName>
    <definedName name="__123Graph_XMONTHLY2" localSheetId="47" hidden="1">[1]weekly!#REF!</definedName>
    <definedName name="__123Graph_XMONTHLY2" localSheetId="15" hidden="1">[1]weekly!#REF!</definedName>
    <definedName name="__123Graph_XMONTHLY2" localSheetId="93" hidden="1">[1]weekly!#REF!</definedName>
    <definedName name="__123Graph_XMONTHLY2" localSheetId="48" hidden="1">[1]weekly!#REF!</definedName>
    <definedName name="__123Graph_XMONTHLY2" localSheetId="49" hidden="1">[1]weekly!#REF!</definedName>
    <definedName name="__123Graph_XMONTHLY2" localSheetId="50" hidden="1">[1]weekly!#REF!</definedName>
    <definedName name="__123Graph_XMONTHLY2" localSheetId="51" hidden="1">[1]weekly!#REF!</definedName>
    <definedName name="__123Graph_XMONTHLY2" localSheetId="55" hidden="1">[1]weekly!#REF!</definedName>
    <definedName name="__123Graph_XMONTHLY2" localSheetId="52" hidden="1">[1]weekly!#REF!</definedName>
    <definedName name="__123Graph_XMONTHLY2" localSheetId="53" hidden="1">[1]weekly!#REF!</definedName>
    <definedName name="__123Graph_XMONTHLY2" localSheetId="35" hidden="1">[1]weekly!#REF!</definedName>
    <definedName name="__123Graph_XMONTHLY2" localSheetId="60" hidden="1">[1]weekly!#REF!</definedName>
    <definedName name="__123Graph_XMONTHLY2" localSheetId="22" hidden="1">[1]weekly!#REF!</definedName>
    <definedName name="__123Graph_XMONTHLY2" localSheetId="23" hidden="1">[1]weekly!#REF!</definedName>
    <definedName name="__123Graph_XMONTHLY2" localSheetId="54" hidden="1">[1]weekly!#REF!</definedName>
    <definedName name="__123Graph_XMONTHLY2" localSheetId="91" hidden="1">[1]weekly!#REF!</definedName>
    <definedName name="__123Graph_XMONTHLY2" localSheetId="28" hidden="1">[1]weekly!#REF!</definedName>
    <definedName name="__123Graph_XMONTHLY2" localSheetId="88" hidden="1">[1]weekly!#REF!</definedName>
    <definedName name="__123Graph_XMONTHLY2" localSheetId="90" hidden="1">[1]weekly!#REF!</definedName>
    <definedName name="__123Graph_XMONTHLY2" hidden="1">[1]weekly!#REF!</definedName>
    <definedName name="aaa" localSheetId="61" hidden="1">[1]weekly!#REF!</definedName>
    <definedName name="aaa" localSheetId="87" hidden="1">[1]weekly!#REF!</definedName>
    <definedName name="aaa" localSheetId="37" hidden="1">[1]weekly!#REF!</definedName>
    <definedName name="aaa" localSheetId="62" hidden="1">[1]weekly!#REF!</definedName>
    <definedName name="aaa" localSheetId="38" hidden="1">[1]weekly!#REF!</definedName>
    <definedName name="aaa" localSheetId="18" hidden="1">[1]weekly!#REF!</definedName>
    <definedName name="aaa" localSheetId="58" hidden="1">[1]weekly!#REF!</definedName>
    <definedName name="aaa" localSheetId="57" hidden="1">[1]weekly!#REF!</definedName>
    <definedName name="aaa" localSheetId="59" hidden="1">[1]weekly!#REF!</definedName>
    <definedName name="aaa" localSheetId="20" hidden="1">[1]weekly!#REF!</definedName>
    <definedName name="aaa" localSheetId="83" hidden="1">[1]weekly!#REF!</definedName>
    <definedName name="aaa" localSheetId="39" hidden="1">[1]weekly!#REF!</definedName>
    <definedName name="aaa" localSheetId="40" hidden="1">[1]weekly!#REF!</definedName>
    <definedName name="aaa" localSheetId="95" hidden="1">[1]weekly!#REF!</definedName>
    <definedName name="aaa" localSheetId="41" hidden="1">[1]weekly!#REF!</definedName>
    <definedName name="aaa" localSheetId="92" hidden="1">[1]weekly!#REF!</definedName>
    <definedName name="aaa" localSheetId="42" hidden="1">[1]weekly!#REF!</definedName>
    <definedName name="aaa" localSheetId="43" hidden="1">[1]weekly!#REF!</definedName>
    <definedName name="aaa" localSheetId="44" hidden="1">[1]weekly!#REF!</definedName>
    <definedName name="aaa" localSheetId="34" hidden="1">[1]weekly!#REF!</definedName>
    <definedName name="aaa" localSheetId="45" hidden="1">[1]weekly!#REF!</definedName>
    <definedName name="aaa" localSheetId="70" hidden="1">[1]weekly!#REF!</definedName>
    <definedName name="aaa" localSheetId="46" hidden="1">[1]weekly!#REF!</definedName>
    <definedName name="aaa" localSheetId="25" hidden="1">[1]weekly!#REF!</definedName>
    <definedName name="aaa" localSheetId="26" hidden="1">[1]weekly!#REF!</definedName>
    <definedName name="aaa" localSheetId="47" hidden="1">[1]weekly!#REF!</definedName>
    <definedName name="aaa" localSheetId="15" hidden="1">[1]weekly!#REF!</definedName>
    <definedName name="aaa" localSheetId="93" hidden="1">[1]weekly!#REF!</definedName>
    <definedName name="aaa" localSheetId="3" hidden="1">[1]weekly!#REF!</definedName>
    <definedName name="aaa" localSheetId="48" hidden="1">[1]weekly!#REF!</definedName>
    <definedName name="aaa" localSheetId="49" hidden="1">[1]weekly!#REF!</definedName>
    <definedName name="aaa" localSheetId="50" hidden="1">[1]weekly!#REF!</definedName>
    <definedName name="aaa" localSheetId="51" hidden="1">[1]weekly!#REF!</definedName>
    <definedName name="aaa" localSheetId="55" hidden="1">[1]weekly!#REF!</definedName>
    <definedName name="aaa" localSheetId="52" hidden="1">[1]weekly!#REF!</definedName>
    <definedName name="aaa" localSheetId="53" hidden="1">[1]weekly!#REF!</definedName>
    <definedName name="aaa" localSheetId="35" hidden="1">[1]weekly!#REF!</definedName>
    <definedName name="aaa" localSheetId="60" hidden="1">[1]weekly!#REF!</definedName>
    <definedName name="aaa" localSheetId="22" hidden="1">[1]weekly!#REF!</definedName>
    <definedName name="aaa" localSheetId="23" hidden="1">[1]weekly!#REF!</definedName>
    <definedName name="aaa" localSheetId="54" hidden="1">[1]weekly!#REF!</definedName>
    <definedName name="aaa" localSheetId="91" hidden="1">[1]weekly!#REF!</definedName>
    <definedName name="aaa" localSheetId="88" hidden="1">[1]weekly!#REF!</definedName>
    <definedName name="aaa" localSheetId="90" hidden="1">[1]weekly!#REF!</definedName>
    <definedName name="aaa" hidden="1">[1]weekly!#REF!</definedName>
    <definedName name="aaaaa" localSheetId="61" hidden="1">[1]weekly!#REF!</definedName>
    <definedName name="aaaaa" localSheetId="87" hidden="1">[1]weekly!#REF!</definedName>
    <definedName name="aaaaa" localSheetId="37" hidden="1">[1]weekly!#REF!</definedName>
    <definedName name="aaaaa" localSheetId="62" hidden="1">[1]weekly!#REF!</definedName>
    <definedName name="aaaaa" localSheetId="38" hidden="1">[1]weekly!#REF!</definedName>
    <definedName name="aaaaa" localSheetId="58" hidden="1">[1]weekly!#REF!</definedName>
    <definedName name="aaaaa" localSheetId="57" hidden="1">[1]weekly!#REF!</definedName>
    <definedName name="aaaaa" localSheetId="59" hidden="1">[1]weekly!#REF!</definedName>
    <definedName name="aaaaa" localSheetId="83" hidden="1">[1]weekly!#REF!</definedName>
    <definedName name="aaaaa" localSheetId="39" hidden="1">[1]weekly!#REF!</definedName>
    <definedName name="aaaaa" localSheetId="40" hidden="1">[1]weekly!#REF!</definedName>
    <definedName name="aaaaa" localSheetId="95" hidden="1">[1]weekly!#REF!</definedName>
    <definedName name="aaaaa" localSheetId="41" hidden="1">[1]weekly!#REF!</definedName>
    <definedName name="aaaaa" localSheetId="92" hidden="1">[1]weekly!#REF!</definedName>
    <definedName name="aaaaa" localSheetId="42" hidden="1">[1]weekly!#REF!</definedName>
    <definedName name="aaaaa" localSheetId="43" hidden="1">[1]weekly!#REF!</definedName>
    <definedName name="aaaaa" localSheetId="44" hidden="1">[1]weekly!#REF!</definedName>
    <definedName name="aaaaa" localSheetId="34" hidden="1">[1]weekly!#REF!</definedName>
    <definedName name="aaaaa" localSheetId="45" hidden="1">[1]weekly!#REF!</definedName>
    <definedName name="aaaaa" localSheetId="70" hidden="1">[1]weekly!#REF!</definedName>
    <definedName name="aaaaa" localSheetId="46" hidden="1">[1]weekly!#REF!</definedName>
    <definedName name="aaaaa" localSheetId="25" hidden="1">[1]weekly!#REF!</definedName>
    <definedName name="aaaaa" localSheetId="26" hidden="1">[1]weekly!#REF!</definedName>
    <definedName name="aaaaa" localSheetId="47" hidden="1">[1]weekly!#REF!</definedName>
    <definedName name="aaaaa" localSheetId="15" hidden="1">[1]weekly!#REF!</definedName>
    <definedName name="aaaaa" localSheetId="93" hidden="1">[1]weekly!#REF!</definedName>
    <definedName name="aaaaa" localSheetId="48" hidden="1">[1]weekly!#REF!</definedName>
    <definedName name="aaaaa" localSheetId="49" hidden="1">[1]weekly!#REF!</definedName>
    <definedName name="aaaaa" localSheetId="50" hidden="1">[1]weekly!#REF!</definedName>
    <definedName name="aaaaa" localSheetId="51" hidden="1">[1]weekly!#REF!</definedName>
    <definedName name="aaaaa" localSheetId="55" hidden="1">[1]weekly!#REF!</definedName>
    <definedName name="aaaaa" localSheetId="52" hidden="1">[1]weekly!#REF!</definedName>
    <definedName name="aaaaa" localSheetId="53" hidden="1">[1]weekly!#REF!</definedName>
    <definedName name="aaaaa" localSheetId="35" hidden="1">[1]weekly!#REF!</definedName>
    <definedName name="aaaaa" localSheetId="60" hidden="1">[1]weekly!#REF!</definedName>
    <definedName name="aaaaa" localSheetId="54" hidden="1">[1]weekly!#REF!</definedName>
    <definedName name="aaaaa" localSheetId="91" hidden="1">[1]weekly!#REF!</definedName>
    <definedName name="aaaaa" localSheetId="88" hidden="1">[1]weekly!#REF!</definedName>
    <definedName name="aaaaa" localSheetId="90" hidden="1">[1]weekly!#REF!</definedName>
    <definedName name="aaaaa" hidden="1">[1]weekly!#REF!</definedName>
    <definedName name="bb" localSheetId="61" hidden="1">[1]weekly!#REF!</definedName>
    <definedName name="bb" localSheetId="87" hidden="1">[1]weekly!#REF!</definedName>
    <definedName name="bb" localSheetId="37" hidden="1">[1]weekly!#REF!</definedName>
    <definedName name="bb" localSheetId="62" hidden="1">[1]weekly!#REF!</definedName>
    <definedName name="bb" localSheetId="38" hidden="1">[1]weekly!#REF!</definedName>
    <definedName name="bb" localSheetId="58" hidden="1">[1]weekly!#REF!</definedName>
    <definedName name="bb" localSheetId="57" hidden="1">[1]weekly!#REF!</definedName>
    <definedName name="bb" localSheetId="59" hidden="1">[1]weekly!#REF!</definedName>
    <definedName name="bb" localSheetId="83" hidden="1">[1]weekly!#REF!</definedName>
    <definedName name="bb" localSheetId="39" hidden="1">[1]weekly!#REF!</definedName>
    <definedName name="bb" localSheetId="40" hidden="1">[1]weekly!#REF!</definedName>
    <definedName name="bb" localSheetId="95" hidden="1">[1]weekly!#REF!</definedName>
    <definedName name="bb" localSheetId="41" hidden="1">[1]weekly!#REF!</definedName>
    <definedName name="bb" localSheetId="92" hidden="1">[1]weekly!#REF!</definedName>
    <definedName name="bb" localSheetId="42" hidden="1">[1]weekly!#REF!</definedName>
    <definedName name="bb" localSheetId="43" hidden="1">[1]weekly!#REF!</definedName>
    <definedName name="bb" localSheetId="44" hidden="1">[1]weekly!#REF!</definedName>
    <definedName name="bb" localSheetId="34" hidden="1">[1]weekly!#REF!</definedName>
    <definedName name="bb" localSheetId="45" hidden="1">[1]weekly!#REF!</definedName>
    <definedName name="bb" localSheetId="70" hidden="1">[1]weekly!#REF!</definedName>
    <definedName name="bb" localSheetId="46" hidden="1">[1]weekly!#REF!</definedName>
    <definedName name="bb" localSheetId="25" hidden="1">[1]weekly!#REF!</definedName>
    <definedName name="bb" localSheetId="26" hidden="1">[1]weekly!#REF!</definedName>
    <definedName name="bb" localSheetId="47" hidden="1">[1]weekly!#REF!</definedName>
    <definedName name="bb" localSheetId="15" hidden="1">[1]weekly!#REF!</definedName>
    <definedName name="bb" localSheetId="93" hidden="1">[1]weekly!#REF!</definedName>
    <definedName name="bb" localSheetId="3" hidden="1">[1]weekly!#REF!</definedName>
    <definedName name="bb" localSheetId="48" hidden="1">[1]weekly!#REF!</definedName>
    <definedName name="bb" localSheetId="49" hidden="1">[1]weekly!#REF!</definedName>
    <definedName name="bb" localSheetId="50" hidden="1">[1]weekly!#REF!</definedName>
    <definedName name="bb" localSheetId="51" hidden="1">[1]weekly!#REF!</definedName>
    <definedName name="bb" localSheetId="55" hidden="1">[1]weekly!#REF!</definedName>
    <definedName name="bb" localSheetId="52" hidden="1">[1]weekly!#REF!</definedName>
    <definedName name="bb" localSheetId="53" hidden="1">[1]weekly!#REF!</definedName>
    <definedName name="bb" localSheetId="35" hidden="1">[1]weekly!#REF!</definedName>
    <definedName name="bb" localSheetId="60" hidden="1">[1]weekly!#REF!</definedName>
    <definedName name="bb" localSheetId="54" hidden="1">[1]weekly!#REF!</definedName>
    <definedName name="bb" localSheetId="91" hidden="1">[1]weekly!#REF!</definedName>
    <definedName name="bb" localSheetId="88" hidden="1">[1]weekly!#REF!</definedName>
    <definedName name="bb" localSheetId="90" hidden="1">[1]weekly!#REF!</definedName>
    <definedName name="bb" hidden="1">[1]weekly!#REF!</definedName>
    <definedName name="bbbb" localSheetId="61" hidden="1">[1]weekly!#REF!</definedName>
    <definedName name="bbbb" localSheetId="87" hidden="1">[1]weekly!#REF!</definedName>
    <definedName name="bbbb" localSheetId="37" hidden="1">[1]weekly!#REF!</definedName>
    <definedName name="bbbb" localSheetId="62" hidden="1">[1]weekly!#REF!</definedName>
    <definedName name="bbbb" localSheetId="38" hidden="1">[1]weekly!#REF!</definedName>
    <definedName name="bbbb" localSheetId="58" hidden="1">[1]weekly!#REF!</definedName>
    <definedName name="bbbb" localSheetId="57" hidden="1">[1]weekly!#REF!</definedName>
    <definedName name="bbbb" localSheetId="59" hidden="1">[1]weekly!#REF!</definedName>
    <definedName name="bbbb" localSheetId="83" hidden="1">[1]weekly!#REF!</definedName>
    <definedName name="bbbb" localSheetId="39" hidden="1">[1]weekly!#REF!</definedName>
    <definedName name="bbbb" localSheetId="40" hidden="1">[1]weekly!#REF!</definedName>
    <definedName name="bbbb" localSheetId="95" hidden="1">[1]weekly!#REF!</definedName>
    <definedName name="bbbb" localSheetId="41" hidden="1">[1]weekly!#REF!</definedName>
    <definedName name="bbbb" localSheetId="92" hidden="1">[1]weekly!#REF!</definedName>
    <definedName name="bbbb" localSheetId="42" hidden="1">[1]weekly!#REF!</definedName>
    <definedName name="bbbb" localSheetId="43" hidden="1">[1]weekly!#REF!</definedName>
    <definedName name="bbbb" localSheetId="44" hidden="1">[1]weekly!#REF!</definedName>
    <definedName name="bbbb" localSheetId="34" hidden="1">[1]weekly!#REF!</definedName>
    <definedName name="bbbb" localSheetId="45" hidden="1">[1]weekly!#REF!</definedName>
    <definedName name="bbbb" localSheetId="70" hidden="1">[1]weekly!#REF!</definedName>
    <definedName name="bbbb" localSheetId="46" hidden="1">[1]weekly!#REF!</definedName>
    <definedName name="bbbb" localSheetId="25" hidden="1">[1]weekly!#REF!</definedName>
    <definedName name="bbbb" localSheetId="26" hidden="1">[1]weekly!#REF!</definedName>
    <definedName name="bbbb" localSheetId="47" hidden="1">[1]weekly!#REF!</definedName>
    <definedName name="bbbb" localSheetId="15" hidden="1">[1]weekly!#REF!</definedName>
    <definedName name="bbbb" localSheetId="93" hidden="1">[1]weekly!#REF!</definedName>
    <definedName name="bbbb" localSheetId="48" hidden="1">[1]weekly!#REF!</definedName>
    <definedName name="bbbb" localSheetId="49" hidden="1">[1]weekly!#REF!</definedName>
    <definedName name="bbbb" localSheetId="50" hidden="1">[1]weekly!#REF!</definedName>
    <definedName name="bbbb" localSheetId="51" hidden="1">[1]weekly!#REF!</definedName>
    <definedName name="bbbb" localSheetId="55" hidden="1">[1]weekly!#REF!</definedName>
    <definedName name="bbbb" localSheetId="52" hidden="1">[1]weekly!#REF!</definedName>
    <definedName name="bbbb" localSheetId="53" hidden="1">[1]weekly!#REF!</definedName>
    <definedName name="bbbb" localSheetId="35" hidden="1">[1]weekly!#REF!</definedName>
    <definedName name="bbbb" localSheetId="60" hidden="1">[1]weekly!#REF!</definedName>
    <definedName name="bbbb" localSheetId="54" hidden="1">[1]weekly!#REF!</definedName>
    <definedName name="bbbb" localSheetId="91" hidden="1">[1]weekly!#REF!</definedName>
    <definedName name="bbbb" localSheetId="88" hidden="1">[1]weekly!#REF!</definedName>
    <definedName name="bbbb" localSheetId="90" hidden="1">[1]weekly!#REF!</definedName>
    <definedName name="bbbb" hidden="1">[1]weekly!#REF!</definedName>
    <definedName name="cc" localSheetId="61" hidden="1">[1]weekly!#REF!</definedName>
    <definedName name="cc" localSheetId="87" hidden="1">[1]weekly!#REF!</definedName>
    <definedName name="cc" localSheetId="37" hidden="1">[1]weekly!#REF!</definedName>
    <definedName name="cc" localSheetId="62" hidden="1">[1]weekly!#REF!</definedName>
    <definedName name="cc" localSheetId="38" hidden="1">[1]weekly!#REF!</definedName>
    <definedName name="cc" localSheetId="58" hidden="1">[1]weekly!#REF!</definedName>
    <definedName name="cc" localSheetId="57" hidden="1">[1]weekly!#REF!</definedName>
    <definedName name="cc" localSheetId="59" hidden="1">[1]weekly!#REF!</definedName>
    <definedName name="cc" localSheetId="83" hidden="1">[1]weekly!#REF!</definedName>
    <definedName name="cc" localSheetId="39" hidden="1">[1]weekly!#REF!</definedName>
    <definedName name="cc" localSheetId="40" hidden="1">[1]weekly!#REF!</definedName>
    <definedName name="cc" localSheetId="95" hidden="1">[1]weekly!#REF!</definedName>
    <definedName name="cc" localSheetId="41" hidden="1">[1]weekly!#REF!</definedName>
    <definedName name="cc" localSheetId="92" hidden="1">[1]weekly!#REF!</definedName>
    <definedName name="cc" localSheetId="42" hidden="1">[1]weekly!#REF!</definedName>
    <definedName name="cc" localSheetId="43" hidden="1">[1]weekly!#REF!</definedName>
    <definedName name="cc" localSheetId="44" hidden="1">[1]weekly!#REF!</definedName>
    <definedName name="cc" localSheetId="34" hidden="1">[1]weekly!#REF!</definedName>
    <definedName name="cc" localSheetId="45" hidden="1">[1]weekly!#REF!</definedName>
    <definedName name="cc" localSheetId="70" hidden="1">[1]weekly!#REF!</definedName>
    <definedName name="cc" localSheetId="46" hidden="1">[1]weekly!#REF!</definedName>
    <definedName name="cc" localSheetId="25" hidden="1">[1]weekly!#REF!</definedName>
    <definedName name="cc" localSheetId="26" hidden="1">[1]weekly!#REF!</definedName>
    <definedName name="cc" localSheetId="47" hidden="1">[1]weekly!#REF!</definedName>
    <definedName name="cc" localSheetId="15" hidden="1">[1]weekly!#REF!</definedName>
    <definedName name="cc" localSheetId="93" hidden="1">[1]weekly!#REF!</definedName>
    <definedName name="cc" localSheetId="3" hidden="1">[1]weekly!#REF!</definedName>
    <definedName name="cc" localSheetId="48" hidden="1">[1]weekly!#REF!</definedName>
    <definedName name="cc" localSheetId="49" hidden="1">[1]weekly!#REF!</definedName>
    <definedName name="cc" localSheetId="50" hidden="1">[1]weekly!#REF!</definedName>
    <definedName name="cc" localSheetId="51" hidden="1">[1]weekly!#REF!</definedName>
    <definedName name="cc" localSheetId="55" hidden="1">[1]weekly!#REF!</definedName>
    <definedName name="cc" localSheetId="52" hidden="1">[1]weekly!#REF!</definedName>
    <definedName name="cc" localSheetId="53" hidden="1">[1]weekly!#REF!</definedName>
    <definedName name="cc" localSheetId="35" hidden="1">[1]weekly!#REF!</definedName>
    <definedName name="cc" localSheetId="60" hidden="1">[1]weekly!#REF!</definedName>
    <definedName name="cc" localSheetId="54" hidden="1">[1]weekly!#REF!</definedName>
    <definedName name="cc" localSheetId="91" hidden="1">[1]weekly!#REF!</definedName>
    <definedName name="cc" localSheetId="88" hidden="1">[1]weekly!#REF!</definedName>
    <definedName name="cc" localSheetId="90" hidden="1">[1]weekly!#REF!</definedName>
    <definedName name="cc" hidden="1">[1]weekly!#REF!</definedName>
    <definedName name="cccc" localSheetId="61" hidden="1">[1]weekly!#REF!</definedName>
    <definedName name="cccc" localSheetId="87" hidden="1">[1]weekly!#REF!</definedName>
    <definedName name="cccc" localSheetId="37" hidden="1">[1]weekly!#REF!</definedName>
    <definedName name="cccc" localSheetId="62" hidden="1">[1]weekly!#REF!</definedName>
    <definedName name="cccc" localSheetId="38" hidden="1">[1]weekly!#REF!</definedName>
    <definedName name="cccc" localSheetId="58" hidden="1">[1]weekly!#REF!</definedName>
    <definedName name="cccc" localSheetId="57" hidden="1">[1]weekly!#REF!</definedName>
    <definedName name="cccc" localSheetId="59" hidden="1">[1]weekly!#REF!</definedName>
    <definedName name="cccc" localSheetId="83" hidden="1">[1]weekly!#REF!</definedName>
    <definedName name="cccc" localSheetId="39" hidden="1">[1]weekly!#REF!</definedName>
    <definedName name="cccc" localSheetId="40" hidden="1">[1]weekly!#REF!</definedName>
    <definedName name="cccc" localSheetId="95" hidden="1">[1]weekly!#REF!</definedName>
    <definedName name="cccc" localSheetId="41" hidden="1">[1]weekly!#REF!</definedName>
    <definedName name="cccc" localSheetId="92" hidden="1">[1]weekly!#REF!</definedName>
    <definedName name="cccc" localSheetId="42" hidden="1">[1]weekly!#REF!</definedName>
    <definedName name="cccc" localSheetId="43" hidden="1">[1]weekly!#REF!</definedName>
    <definedName name="cccc" localSheetId="44" hidden="1">[1]weekly!#REF!</definedName>
    <definedName name="cccc" localSheetId="34" hidden="1">[1]weekly!#REF!</definedName>
    <definedName name="cccc" localSheetId="45" hidden="1">[1]weekly!#REF!</definedName>
    <definedName name="cccc" localSheetId="70" hidden="1">[1]weekly!#REF!</definedName>
    <definedName name="cccc" localSheetId="46" hidden="1">[1]weekly!#REF!</definedName>
    <definedName name="cccc" localSheetId="25" hidden="1">[1]weekly!#REF!</definedName>
    <definedName name="cccc" localSheetId="26" hidden="1">[1]weekly!#REF!</definedName>
    <definedName name="cccc" localSheetId="47" hidden="1">[1]weekly!#REF!</definedName>
    <definedName name="cccc" localSheetId="15" hidden="1">[1]weekly!#REF!</definedName>
    <definedName name="cccc" localSheetId="93" hidden="1">[1]weekly!#REF!</definedName>
    <definedName name="cccc" localSheetId="48" hidden="1">[1]weekly!#REF!</definedName>
    <definedName name="cccc" localSheetId="49" hidden="1">[1]weekly!#REF!</definedName>
    <definedName name="cccc" localSheetId="50" hidden="1">[1]weekly!#REF!</definedName>
    <definedName name="cccc" localSheetId="51" hidden="1">[1]weekly!#REF!</definedName>
    <definedName name="cccc" localSheetId="55" hidden="1">[1]weekly!#REF!</definedName>
    <definedName name="cccc" localSheetId="52" hidden="1">[1]weekly!#REF!</definedName>
    <definedName name="cccc" localSheetId="53" hidden="1">[1]weekly!#REF!</definedName>
    <definedName name="cccc" localSheetId="35" hidden="1">[1]weekly!#REF!</definedName>
    <definedName name="cccc" localSheetId="60" hidden="1">[1]weekly!#REF!</definedName>
    <definedName name="cccc" localSheetId="54" hidden="1">[1]weekly!#REF!</definedName>
    <definedName name="cccc" localSheetId="91" hidden="1">[1]weekly!#REF!</definedName>
    <definedName name="cccc" localSheetId="88" hidden="1">[1]weekly!#REF!</definedName>
    <definedName name="cccc" localSheetId="90" hidden="1">[1]weekly!#REF!</definedName>
    <definedName name="cccc" hidden="1">[1]weekly!#REF!</definedName>
    <definedName name="CurrentVersion">Details!$G$59</definedName>
    <definedName name="d" localSheetId="61" hidden="1">[1]weekly!#REF!</definedName>
    <definedName name="d" localSheetId="87" hidden="1">[1]weekly!#REF!</definedName>
    <definedName name="d" localSheetId="37" hidden="1">[1]weekly!#REF!</definedName>
    <definedName name="d" localSheetId="62" hidden="1">[1]weekly!#REF!</definedName>
    <definedName name="d" localSheetId="38" hidden="1">[1]weekly!#REF!</definedName>
    <definedName name="d" localSheetId="58" hidden="1">[1]weekly!#REF!</definedName>
    <definedName name="d" localSheetId="57" hidden="1">[1]weekly!#REF!</definedName>
    <definedName name="d" localSheetId="59" hidden="1">[1]weekly!#REF!</definedName>
    <definedName name="d" localSheetId="83" hidden="1">[1]weekly!#REF!</definedName>
    <definedName name="d" localSheetId="39" hidden="1">[1]weekly!#REF!</definedName>
    <definedName name="d" localSheetId="40" hidden="1">[1]weekly!#REF!</definedName>
    <definedName name="d" localSheetId="95" hidden="1">[1]weekly!#REF!</definedName>
    <definedName name="d" localSheetId="41" hidden="1">[1]weekly!#REF!</definedName>
    <definedName name="d" localSheetId="92" hidden="1">[1]weekly!#REF!</definedName>
    <definedName name="d" localSheetId="42" hidden="1">[1]weekly!#REF!</definedName>
    <definedName name="d" localSheetId="43" hidden="1">[1]weekly!#REF!</definedName>
    <definedName name="d" localSheetId="44" hidden="1">[1]weekly!#REF!</definedName>
    <definedName name="d" localSheetId="34" hidden="1">[1]weekly!#REF!</definedName>
    <definedName name="d" localSheetId="45" hidden="1">[1]weekly!#REF!</definedName>
    <definedName name="d" localSheetId="70" hidden="1">[1]weekly!#REF!</definedName>
    <definedName name="d" localSheetId="46" hidden="1">[1]weekly!#REF!</definedName>
    <definedName name="d" localSheetId="25" hidden="1">[1]weekly!#REF!</definedName>
    <definedName name="d" localSheetId="26" hidden="1">[1]weekly!#REF!</definedName>
    <definedName name="d" localSheetId="47" hidden="1">[1]weekly!#REF!</definedName>
    <definedName name="d" localSheetId="15" hidden="1">[1]weekly!#REF!</definedName>
    <definedName name="d" localSheetId="93" hidden="1">[1]weekly!#REF!</definedName>
    <definedName name="d" localSheetId="3" hidden="1">[1]weekly!#REF!</definedName>
    <definedName name="d" localSheetId="48" hidden="1">[1]weekly!#REF!</definedName>
    <definedName name="d" localSheetId="49" hidden="1">[1]weekly!#REF!</definedName>
    <definedName name="d" localSheetId="50" hidden="1">[1]weekly!#REF!</definedName>
    <definedName name="d" localSheetId="51" hidden="1">[1]weekly!#REF!</definedName>
    <definedName name="d" localSheetId="55" hidden="1">[1]weekly!#REF!</definedName>
    <definedName name="d" localSheetId="52" hidden="1">[1]weekly!#REF!</definedName>
    <definedName name="d" localSheetId="53" hidden="1">[1]weekly!#REF!</definedName>
    <definedName name="d" localSheetId="35" hidden="1">[1]weekly!#REF!</definedName>
    <definedName name="d" localSheetId="60" hidden="1">[1]weekly!#REF!</definedName>
    <definedName name="d" localSheetId="54" hidden="1">[1]weekly!#REF!</definedName>
    <definedName name="d" localSheetId="91" hidden="1">[1]weekly!#REF!</definedName>
    <definedName name="d" localSheetId="88" hidden="1">[1]weekly!#REF!</definedName>
    <definedName name="d" localSheetId="90" hidden="1">[1]weekly!#REF!</definedName>
    <definedName name="d" hidden="1">[1]weekly!#REF!</definedName>
    <definedName name="dd" localSheetId="61" hidden="1">[1]weekly!#REF!</definedName>
    <definedName name="dd" localSheetId="87" hidden="1">[1]weekly!#REF!</definedName>
    <definedName name="dd" localSheetId="37" hidden="1">[1]weekly!#REF!</definedName>
    <definedName name="dd" localSheetId="62" hidden="1">[1]weekly!#REF!</definedName>
    <definedName name="dd" localSheetId="38" hidden="1">[1]weekly!#REF!</definedName>
    <definedName name="dd" localSheetId="58" hidden="1">[1]weekly!#REF!</definedName>
    <definedName name="dd" localSheetId="57" hidden="1">[1]weekly!#REF!</definedName>
    <definedName name="dd" localSheetId="59" hidden="1">[1]weekly!#REF!</definedName>
    <definedName name="dd" localSheetId="83" hidden="1">[1]weekly!#REF!</definedName>
    <definedName name="dd" localSheetId="39" hidden="1">[1]weekly!#REF!</definedName>
    <definedName name="dd" localSheetId="40" hidden="1">[1]weekly!#REF!</definedName>
    <definedName name="dd" localSheetId="95" hidden="1">[1]weekly!#REF!</definedName>
    <definedName name="dd" localSheetId="41" hidden="1">[1]weekly!#REF!</definedName>
    <definedName name="dd" localSheetId="92" hidden="1">[1]weekly!#REF!</definedName>
    <definedName name="dd" localSheetId="42" hidden="1">[1]weekly!#REF!</definedName>
    <definedName name="dd" localSheetId="43" hidden="1">[1]weekly!#REF!</definedName>
    <definedName name="dd" localSheetId="44" hidden="1">[1]weekly!#REF!</definedName>
    <definedName name="dd" localSheetId="34" hidden="1">[1]weekly!#REF!</definedName>
    <definedName name="dd" localSheetId="45" hidden="1">[1]weekly!#REF!</definedName>
    <definedName name="dd" localSheetId="70" hidden="1">[1]weekly!#REF!</definedName>
    <definedName name="dd" localSheetId="46" hidden="1">[1]weekly!#REF!</definedName>
    <definedName name="dd" localSheetId="25" hidden="1">[1]weekly!#REF!</definedName>
    <definedName name="dd" localSheetId="26" hidden="1">[1]weekly!#REF!</definedName>
    <definedName name="dd" localSheetId="47" hidden="1">[1]weekly!#REF!</definedName>
    <definedName name="dd" localSheetId="15" hidden="1">[1]weekly!#REF!</definedName>
    <definedName name="dd" localSheetId="93" hidden="1">[1]weekly!#REF!</definedName>
    <definedName name="dd" localSheetId="3" hidden="1">[1]weekly!#REF!</definedName>
    <definedName name="dd" localSheetId="48" hidden="1">[1]weekly!#REF!</definedName>
    <definedName name="dd" localSheetId="49" hidden="1">[1]weekly!#REF!</definedName>
    <definedName name="dd" localSheetId="50" hidden="1">[1]weekly!#REF!</definedName>
    <definedName name="dd" localSheetId="51" hidden="1">[1]weekly!#REF!</definedName>
    <definedName name="dd" localSheetId="55" hidden="1">[1]weekly!#REF!</definedName>
    <definedName name="dd" localSheetId="52" hidden="1">[1]weekly!#REF!</definedName>
    <definedName name="dd" localSheetId="53" hidden="1">[1]weekly!#REF!</definedName>
    <definedName name="dd" localSheetId="35" hidden="1">[1]weekly!#REF!</definedName>
    <definedName name="dd" localSheetId="60" hidden="1">[1]weekly!#REF!</definedName>
    <definedName name="dd" localSheetId="54" hidden="1">[1]weekly!#REF!</definedName>
    <definedName name="dd" localSheetId="91" hidden="1">[1]weekly!#REF!</definedName>
    <definedName name="dd" localSheetId="88" hidden="1">[1]weekly!#REF!</definedName>
    <definedName name="dd" localSheetId="90" hidden="1">[1]weekly!#REF!</definedName>
    <definedName name="dd" hidden="1">[1]weekly!#REF!</definedName>
    <definedName name="dddd" localSheetId="61" hidden="1">[1]weekly!#REF!</definedName>
    <definedName name="dddd" localSheetId="87" hidden="1">[1]weekly!#REF!</definedName>
    <definedName name="dddd" localSheetId="37" hidden="1">[1]weekly!#REF!</definedName>
    <definedName name="dddd" localSheetId="62" hidden="1">[1]weekly!#REF!</definedName>
    <definedName name="dddd" localSheetId="38" hidden="1">[1]weekly!#REF!</definedName>
    <definedName name="dddd" localSheetId="18" hidden="1">[1]weekly!#REF!</definedName>
    <definedName name="dddd" localSheetId="58" hidden="1">[1]weekly!#REF!</definedName>
    <definedName name="dddd" localSheetId="57" hidden="1">[1]weekly!#REF!</definedName>
    <definedName name="dddd" localSheetId="59" hidden="1">[1]weekly!#REF!</definedName>
    <definedName name="dddd" localSheetId="20" hidden="1">[1]weekly!#REF!</definedName>
    <definedName name="dddd" localSheetId="83" hidden="1">[1]weekly!#REF!</definedName>
    <definedName name="dddd" localSheetId="39" hidden="1">[1]weekly!#REF!</definedName>
    <definedName name="dddd" localSheetId="40" hidden="1">[1]weekly!#REF!</definedName>
    <definedName name="dddd" localSheetId="95" hidden="1">[1]weekly!#REF!</definedName>
    <definedName name="dddd" localSheetId="41" hidden="1">[1]weekly!#REF!</definedName>
    <definedName name="dddd" localSheetId="92" hidden="1">[1]weekly!#REF!</definedName>
    <definedName name="dddd" localSheetId="42" hidden="1">[1]weekly!#REF!</definedName>
    <definedName name="dddd" localSheetId="43" hidden="1">[1]weekly!#REF!</definedName>
    <definedName name="dddd" localSheetId="44" hidden="1">[1]weekly!#REF!</definedName>
    <definedName name="dddd" localSheetId="34" hidden="1">[1]weekly!#REF!</definedName>
    <definedName name="dddd" localSheetId="45" hidden="1">[1]weekly!#REF!</definedName>
    <definedName name="dddd" localSheetId="70" hidden="1">[1]weekly!#REF!</definedName>
    <definedName name="dddd" localSheetId="46" hidden="1">[1]weekly!#REF!</definedName>
    <definedName name="dddd" localSheetId="25" hidden="1">[1]weekly!#REF!</definedName>
    <definedName name="dddd" localSheetId="26" hidden="1">[1]weekly!#REF!</definedName>
    <definedName name="dddd" localSheetId="47" hidden="1">[1]weekly!#REF!</definedName>
    <definedName name="dddd" localSheetId="15" hidden="1">[1]weekly!#REF!</definedName>
    <definedName name="dddd" localSheetId="93" hidden="1">[1]weekly!#REF!</definedName>
    <definedName name="dddd" localSheetId="48" hidden="1">[1]weekly!#REF!</definedName>
    <definedName name="dddd" localSheetId="49" hidden="1">[1]weekly!#REF!</definedName>
    <definedName name="dddd" localSheetId="50" hidden="1">[1]weekly!#REF!</definedName>
    <definedName name="dddd" localSheetId="51" hidden="1">[1]weekly!#REF!</definedName>
    <definedName name="dddd" localSheetId="55" hidden="1">[1]weekly!#REF!</definedName>
    <definedName name="dddd" localSheetId="52" hidden="1">[1]weekly!#REF!</definedName>
    <definedName name="dddd" localSheetId="53" hidden="1">[1]weekly!#REF!</definedName>
    <definedName name="dddd" localSheetId="35" hidden="1">[1]weekly!#REF!</definedName>
    <definedName name="dddd" localSheetId="60" hidden="1">[1]weekly!#REF!</definedName>
    <definedName name="dddd" localSheetId="22" hidden="1">[1]weekly!#REF!</definedName>
    <definedName name="dddd" localSheetId="23" hidden="1">[1]weekly!#REF!</definedName>
    <definedName name="dddd" localSheetId="54" hidden="1">[1]weekly!#REF!</definedName>
    <definedName name="dddd" localSheetId="91" hidden="1">[1]weekly!#REF!</definedName>
    <definedName name="dddd" localSheetId="88" hidden="1">[1]weekly!#REF!</definedName>
    <definedName name="dddd" localSheetId="90" hidden="1">[1]weekly!#REF!</definedName>
    <definedName name="dddd" hidden="1">[1]weekly!#REF!</definedName>
    <definedName name="ddddd" localSheetId="61" hidden="1">[1]weekly!#REF!</definedName>
    <definedName name="ddddd" localSheetId="87" hidden="1">[1]weekly!#REF!</definedName>
    <definedName name="ddddd" localSheetId="37" hidden="1">[1]weekly!#REF!</definedName>
    <definedName name="ddddd" localSheetId="62" hidden="1">[1]weekly!#REF!</definedName>
    <definedName name="ddddd" localSheetId="38" hidden="1">[1]weekly!#REF!</definedName>
    <definedName name="ddddd" localSheetId="18" hidden="1">[1]weekly!#REF!</definedName>
    <definedName name="ddddd" localSheetId="58" hidden="1">[1]weekly!#REF!</definedName>
    <definedName name="ddddd" localSheetId="57" hidden="1">[1]weekly!#REF!</definedName>
    <definedName name="ddddd" localSheetId="59" hidden="1">[1]weekly!#REF!</definedName>
    <definedName name="ddddd" localSheetId="20" hidden="1">[1]weekly!#REF!</definedName>
    <definedName name="ddddd" localSheetId="83" hidden="1">[1]weekly!#REF!</definedName>
    <definedName name="ddddd" localSheetId="39" hidden="1">[1]weekly!#REF!</definedName>
    <definedName name="ddddd" localSheetId="40" hidden="1">[1]weekly!#REF!</definedName>
    <definedName name="ddddd" localSheetId="95" hidden="1">[1]weekly!#REF!</definedName>
    <definedName name="ddddd" localSheetId="41" hidden="1">[1]weekly!#REF!</definedName>
    <definedName name="ddddd" localSheetId="92" hidden="1">[1]weekly!#REF!</definedName>
    <definedName name="ddddd" localSheetId="42" hidden="1">[1]weekly!#REF!</definedName>
    <definedName name="ddddd" localSheetId="43" hidden="1">[1]weekly!#REF!</definedName>
    <definedName name="ddddd" localSheetId="44" hidden="1">[1]weekly!#REF!</definedName>
    <definedName name="ddddd" localSheetId="34" hidden="1">[1]weekly!#REF!</definedName>
    <definedName name="ddddd" localSheetId="45" hidden="1">[1]weekly!#REF!</definedName>
    <definedName name="ddddd" localSheetId="70" hidden="1">[1]weekly!#REF!</definedName>
    <definedName name="ddddd" localSheetId="46" hidden="1">[1]weekly!#REF!</definedName>
    <definedName name="ddddd" localSheetId="25" hidden="1">[1]weekly!#REF!</definedName>
    <definedName name="ddddd" localSheetId="26" hidden="1">[1]weekly!#REF!</definedName>
    <definedName name="ddddd" localSheetId="47" hidden="1">[1]weekly!#REF!</definedName>
    <definedName name="ddddd" localSheetId="15" hidden="1">[1]weekly!#REF!</definedName>
    <definedName name="ddddd" localSheetId="93" hidden="1">[1]weekly!#REF!</definedName>
    <definedName name="ddddd" localSheetId="48" hidden="1">[1]weekly!#REF!</definedName>
    <definedName name="ddddd" localSheetId="49" hidden="1">[1]weekly!#REF!</definedName>
    <definedName name="ddddd" localSheetId="50" hidden="1">[1]weekly!#REF!</definedName>
    <definedName name="ddddd" localSheetId="51" hidden="1">[1]weekly!#REF!</definedName>
    <definedName name="ddddd" localSheetId="55" hidden="1">[1]weekly!#REF!</definedName>
    <definedName name="ddddd" localSheetId="52" hidden="1">[1]weekly!#REF!</definedName>
    <definedName name="ddddd" localSheetId="53" hidden="1">[1]weekly!#REF!</definedName>
    <definedName name="ddddd" localSheetId="35" hidden="1">[1]weekly!#REF!</definedName>
    <definedName name="ddddd" localSheetId="60" hidden="1">[1]weekly!#REF!</definedName>
    <definedName name="ddddd" localSheetId="22" hidden="1">[1]weekly!#REF!</definedName>
    <definedName name="ddddd" localSheetId="23" hidden="1">[1]weekly!#REF!</definedName>
    <definedName name="ddddd" localSheetId="54" hidden="1">[1]weekly!#REF!</definedName>
    <definedName name="ddddd" localSheetId="91" hidden="1">[1]weekly!#REF!</definedName>
    <definedName name="ddddd" localSheetId="88" hidden="1">[1]weekly!#REF!</definedName>
    <definedName name="ddddd" localSheetId="90" hidden="1">[1]weekly!#REF!</definedName>
    <definedName name="ddddd" hidden="1">[1]weekly!#REF!</definedName>
    <definedName name="dddddddddddd" localSheetId="61" hidden="1">[1]weekly!#REF!</definedName>
    <definedName name="dddddddddddd" localSheetId="87" hidden="1">[1]weekly!#REF!</definedName>
    <definedName name="dddddddddddd" localSheetId="37" hidden="1">[1]weekly!#REF!</definedName>
    <definedName name="dddddddddddd" localSheetId="62" hidden="1">[1]weekly!#REF!</definedName>
    <definedName name="dddddddddddd" localSheetId="38" hidden="1">[1]weekly!#REF!</definedName>
    <definedName name="dddddddddddd" localSheetId="18" hidden="1">[1]weekly!#REF!</definedName>
    <definedName name="dddddddddddd" localSheetId="58" hidden="1">[1]weekly!#REF!</definedName>
    <definedName name="dddddddddddd" localSheetId="57" hidden="1">[1]weekly!#REF!</definedName>
    <definedName name="dddddddddddd" localSheetId="59" hidden="1">[1]weekly!#REF!</definedName>
    <definedName name="dddddddddddd" localSheetId="20" hidden="1">[1]weekly!#REF!</definedName>
    <definedName name="dddddddddddd" localSheetId="83" hidden="1">[1]weekly!#REF!</definedName>
    <definedName name="dddddddddddd" localSheetId="39" hidden="1">[1]weekly!#REF!</definedName>
    <definedName name="dddddddddddd" localSheetId="40" hidden="1">[1]weekly!#REF!</definedName>
    <definedName name="dddddddddddd" localSheetId="95" hidden="1">[1]weekly!#REF!</definedName>
    <definedName name="dddddddddddd" localSheetId="41" hidden="1">[1]weekly!#REF!</definedName>
    <definedName name="dddddddddddd" localSheetId="92" hidden="1">[1]weekly!#REF!</definedName>
    <definedName name="dddddddddddd" localSheetId="42" hidden="1">[1]weekly!#REF!</definedName>
    <definedName name="dddddddddddd" localSheetId="43" hidden="1">[1]weekly!#REF!</definedName>
    <definedName name="dddddddddddd" localSheetId="44" hidden="1">[1]weekly!#REF!</definedName>
    <definedName name="dddddddddddd" localSheetId="34" hidden="1">[1]weekly!#REF!</definedName>
    <definedName name="dddddddddddd" localSheetId="45" hidden="1">[1]weekly!#REF!</definedName>
    <definedName name="dddddddddddd" localSheetId="70" hidden="1">[1]weekly!#REF!</definedName>
    <definedName name="dddddddddddd" localSheetId="46" hidden="1">[1]weekly!#REF!</definedName>
    <definedName name="dddddddddddd" localSheetId="25" hidden="1">[1]weekly!#REF!</definedName>
    <definedName name="dddddddddddd" localSheetId="26" hidden="1">[1]weekly!#REF!</definedName>
    <definedName name="dddddddddddd" localSheetId="47" hidden="1">[1]weekly!#REF!</definedName>
    <definedName name="dddddddddddd" localSheetId="15" hidden="1">[1]weekly!#REF!</definedName>
    <definedName name="dddddddddddd" localSheetId="93" hidden="1">[1]weekly!#REF!</definedName>
    <definedName name="dddddddddddd" localSheetId="48" hidden="1">[1]weekly!#REF!</definedName>
    <definedName name="dddddddddddd" localSheetId="49" hidden="1">[1]weekly!#REF!</definedName>
    <definedName name="dddddddddddd" localSheetId="50" hidden="1">[1]weekly!#REF!</definedName>
    <definedName name="dddddddddddd" localSheetId="51" hidden="1">[1]weekly!#REF!</definedName>
    <definedName name="dddddddddddd" localSheetId="55" hidden="1">[1]weekly!#REF!</definedName>
    <definedName name="dddddddddddd" localSheetId="52" hidden="1">[1]weekly!#REF!</definedName>
    <definedName name="dddddddddddd" localSheetId="53" hidden="1">[1]weekly!#REF!</definedName>
    <definedName name="dddddddddddd" localSheetId="35" hidden="1">[1]weekly!#REF!</definedName>
    <definedName name="dddddddddddd" localSheetId="60" hidden="1">[1]weekly!#REF!</definedName>
    <definedName name="dddddddddddd" localSheetId="22" hidden="1">[1]weekly!#REF!</definedName>
    <definedName name="dddddddddddd" localSheetId="23" hidden="1">[1]weekly!#REF!</definedName>
    <definedName name="dddddddddddd" localSheetId="54" hidden="1">[1]weekly!#REF!</definedName>
    <definedName name="dddddddddddd" localSheetId="91" hidden="1">[1]weekly!#REF!</definedName>
    <definedName name="dddddddddddd" localSheetId="88" hidden="1">[1]weekly!#REF!</definedName>
    <definedName name="dddddddddddd" localSheetId="90" hidden="1">[1]weekly!#REF!</definedName>
    <definedName name="dddddddddddd" hidden="1">[1]weekly!#REF!</definedName>
    <definedName name="ddddddddddddddd" localSheetId="61" hidden="1">[1]weekly!#REF!</definedName>
    <definedName name="ddddddddddddddd" localSheetId="87" hidden="1">[1]weekly!#REF!</definedName>
    <definedName name="ddddddddddddddd" localSheetId="37" hidden="1">[1]weekly!#REF!</definedName>
    <definedName name="ddddddddddddddd" localSheetId="62" hidden="1">[1]weekly!#REF!</definedName>
    <definedName name="ddddddddddddddd" localSheetId="38" hidden="1">[1]weekly!#REF!</definedName>
    <definedName name="ddddddddddddddd" localSheetId="18" hidden="1">[1]weekly!#REF!</definedName>
    <definedName name="ddddddddddddddd" localSheetId="58" hidden="1">[1]weekly!#REF!</definedName>
    <definedName name="ddddddddddddddd" localSheetId="57" hidden="1">[1]weekly!#REF!</definedName>
    <definedName name="ddddddddddddddd" localSheetId="59" hidden="1">[1]weekly!#REF!</definedName>
    <definedName name="ddddddddddddddd" localSheetId="20" hidden="1">[1]weekly!#REF!</definedName>
    <definedName name="ddddddddddddddd" localSheetId="83" hidden="1">[1]weekly!#REF!</definedName>
    <definedName name="ddddddddddddddd" localSheetId="39" hidden="1">[1]weekly!#REF!</definedName>
    <definedName name="ddddddddddddddd" localSheetId="40" hidden="1">[1]weekly!#REF!</definedName>
    <definedName name="ddddddddddddddd" localSheetId="95" hidden="1">[1]weekly!#REF!</definedName>
    <definedName name="ddddddddddddddd" localSheetId="41" hidden="1">[1]weekly!#REF!</definedName>
    <definedName name="ddddddddddddddd" localSheetId="92" hidden="1">[1]weekly!#REF!</definedName>
    <definedName name="ddddddddddddddd" localSheetId="42" hidden="1">[1]weekly!#REF!</definedName>
    <definedName name="ddddddddddddddd" localSheetId="43" hidden="1">[1]weekly!#REF!</definedName>
    <definedName name="ddddddddddddddd" localSheetId="44" hidden="1">[1]weekly!#REF!</definedName>
    <definedName name="ddddddddddddddd" localSheetId="34" hidden="1">[1]weekly!#REF!</definedName>
    <definedName name="ddddddddddddddd" localSheetId="45" hidden="1">[1]weekly!#REF!</definedName>
    <definedName name="ddddddddddddddd" localSheetId="70" hidden="1">[1]weekly!#REF!</definedName>
    <definedName name="ddddddddddddddd" localSheetId="46" hidden="1">[1]weekly!#REF!</definedName>
    <definedName name="ddddddddddddddd" localSheetId="25" hidden="1">[1]weekly!#REF!</definedName>
    <definedName name="ddddddddddddddd" localSheetId="26" hidden="1">[1]weekly!#REF!</definedName>
    <definedName name="ddddddddddddddd" localSheetId="47" hidden="1">[1]weekly!#REF!</definedName>
    <definedName name="ddddddddddddddd" localSheetId="15" hidden="1">[1]weekly!#REF!</definedName>
    <definedName name="ddddddddddddddd" localSheetId="93" hidden="1">[1]weekly!#REF!</definedName>
    <definedName name="ddddddddddddddd" localSheetId="48" hidden="1">[1]weekly!#REF!</definedName>
    <definedName name="ddddddddddddddd" localSheetId="49" hidden="1">[1]weekly!#REF!</definedName>
    <definedName name="ddddddddddddddd" localSheetId="50" hidden="1">[1]weekly!#REF!</definedName>
    <definedName name="ddddddddddddddd" localSheetId="51" hidden="1">[1]weekly!#REF!</definedName>
    <definedName name="ddddddddddddddd" localSheetId="55" hidden="1">[1]weekly!#REF!</definedName>
    <definedName name="ddddddddddddddd" localSheetId="52" hidden="1">[1]weekly!#REF!</definedName>
    <definedName name="ddddddddddddddd" localSheetId="53" hidden="1">[1]weekly!#REF!</definedName>
    <definedName name="ddddddddddddddd" localSheetId="35" hidden="1">[1]weekly!#REF!</definedName>
    <definedName name="ddddddddddddddd" localSheetId="60" hidden="1">[1]weekly!#REF!</definedName>
    <definedName name="ddddddddddddddd" localSheetId="22" hidden="1">[1]weekly!#REF!</definedName>
    <definedName name="ddddddddddddddd" localSheetId="23" hidden="1">[1]weekly!#REF!</definedName>
    <definedName name="ddddddddddddddd" localSheetId="54" hidden="1">[1]weekly!#REF!</definedName>
    <definedName name="ddddddddddddddd" localSheetId="91" hidden="1">[1]weekly!#REF!</definedName>
    <definedName name="ddddddddddddddd" localSheetId="88" hidden="1">[1]weekly!#REF!</definedName>
    <definedName name="ddddddddddddddd" localSheetId="90" hidden="1">[1]weekly!#REF!</definedName>
    <definedName name="ddddddddddddddd" hidden="1">[1]weekly!#REF!</definedName>
    <definedName name="dddddddddddddddd" localSheetId="61" hidden="1">[1]weekly!#REF!</definedName>
    <definedName name="dddddddddddddddd" localSheetId="87" hidden="1">[1]weekly!#REF!</definedName>
    <definedName name="dddddddddddddddd" localSheetId="37" hidden="1">[1]weekly!#REF!</definedName>
    <definedName name="dddddddddddddddd" localSheetId="62" hidden="1">[1]weekly!#REF!</definedName>
    <definedName name="dddddddddddddddd" localSheetId="38" hidden="1">[1]weekly!#REF!</definedName>
    <definedName name="dddddddddddddddd" localSheetId="18" hidden="1">[1]weekly!#REF!</definedName>
    <definedName name="dddddddddddddddd" localSheetId="58" hidden="1">[1]weekly!#REF!</definedName>
    <definedName name="dddddddddddddddd" localSheetId="57" hidden="1">[1]weekly!#REF!</definedName>
    <definedName name="dddddddddddddddd" localSheetId="59" hidden="1">[1]weekly!#REF!</definedName>
    <definedName name="dddddddddddddddd" localSheetId="20" hidden="1">[1]weekly!#REF!</definedName>
    <definedName name="dddddddddddddddd" localSheetId="83" hidden="1">[1]weekly!#REF!</definedName>
    <definedName name="dddddddddddddddd" localSheetId="39" hidden="1">[1]weekly!#REF!</definedName>
    <definedName name="dddddddddddddddd" localSheetId="40" hidden="1">[1]weekly!#REF!</definedName>
    <definedName name="dddddddddddddddd" localSheetId="95" hidden="1">[1]weekly!#REF!</definedName>
    <definedName name="dddddddddddddddd" localSheetId="41" hidden="1">[1]weekly!#REF!</definedName>
    <definedName name="dddddddddddddddd" localSheetId="92" hidden="1">[1]weekly!#REF!</definedName>
    <definedName name="dddddddddddddddd" localSheetId="42" hidden="1">[1]weekly!#REF!</definedName>
    <definedName name="dddddddddddddddd" localSheetId="43" hidden="1">[1]weekly!#REF!</definedName>
    <definedName name="dddddddddddddddd" localSheetId="44" hidden="1">[1]weekly!#REF!</definedName>
    <definedName name="dddddddddddddddd" localSheetId="34" hidden="1">[1]weekly!#REF!</definedName>
    <definedName name="dddddddddddddddd" localSheetId="45" hidden="1">[1]weekly!#REF!</definedName>
    <definedName name="dddddddddddddddd" localSheetId="70" hidden="1">[1]weekly!#REF!</definedName>
    <definedName name="dddddddddddddddd" localSheetId="46" hidden="1">[1]weekly!#REF!</definedName>
    <definedName name="dddddddddddddddd" localSheetId="25" hidden="1">[1]weekly!#REF!</definedName>
    <definedName name="dddddddddddddddd" localSheetId="26" hidden="1">[1]weekly!#REF!</definedName>
    <definedName name="dddddddddddddddd" localSheetId="47" hidden="1">[1]weekly!#REF!</definedName>
    <definedName name="dddddddddddddddd" localSheetId="15" hidden="1">[1]weekly!#REF!</definedName>
    <definedName name="dddddddddddddddd" localSheetId="93" hidden="1">[1]weekly!#REF!</definedName>
    <definedName name="dddddddddddddddd" localSheetId="48" hidden="1">[1]weekly!#REF!</definedName>
    <definedName name="dddddddddddddddd" localSheetId="49" hidden="1">[1]weekly!#REF!</definedName>
    <definedName name="dddddddddddddddd" localSheetId="50" hidden="1">[1]weekly!#REF!</definedName>
    <definedName name="dddddddddddddddd" localSheetId="51" hidden="1">[1]weekly!#REF!</definedName>
    <definedName name="dddddddddddddddd" localSheetId="55" hidden="1">[1]weekly!#REF!</definedName>
    <definedName name="dddddddddddddddd" localSheetId="52" hidden="1">[1]weekly!#REF!</definedName>
    <definedName name="dddddddddddddddd" localSheetId="53" hidden="1">[1]weekly!#REF!</definedName>
    <definedName name="dddddddddddddddd" localSheetId="35" hidden="1">[1]weekly!#REF!</definedName>
    <definedName name="dddddddddddddddd" localSheetId="60" hidden="1">[1]weekly!#REF!</definedName>
    <definedName name="dddddddddddddddd" localSheetId="22" hidden="1">[1]weekly!#REF!</definedName>
    <definedName name="dddddddddddddddd" localSheetId="23" hidden="1">[1]weekly!#REF!</definedName>
    <definedName name="dddddddddddddddd" localSheetId="54" hidden="1">[1]weekly!#REF!</definedName>
    <definedName name="dddddddddddddddd" localSheetId="91" hidden="1">[1]weekly!#REF!</definedName>
    <definedName name="dddddddddddddddd" localSheetId="88" hidden="1">[1]weekly!#REF!</definedName>
    <definedName name="dddddddddddddddd" localSheetId="90" hidden="1">[1]weekly!#REF!</definedName>
    <definedName name="dddddddddddddddd" hidden="1">[1]weekly!#REF!</definedName>
    <definedName name="ddddddddddddddddd" localSheetId="61" hidden="1">[1]weekly!#REF!</definedName>
    <definedName name="ddddddddddddddddd" localSheetId="87" hidden="1">[1]weekly!#REF!</definedName>
    <definedName name="ddddddddddddddddd" localSheetId="37" hidden="1">[1]weekly!#REF!</definedName>
    <definedName name="ddddddddddddddddd" localSheetId="62" hidden="1">[1]weekly!#REF!</definedName>
    <definedName name="ddddddddddddddddd" localSheetId="38" hidden="1">[1]weekly!#REF!</definedName>
    <definedName name="ddddddddddddddddd" localSheetId="18" hidden="1">[1]weekly!#REF!</definedName>
    <definedName name="ddddddddddddddddd" localSheetId="58" hidden="1">[1]weekly!#REF!</definedName>
    <definedName name="ddddddddddddddddd" localSheetId="57" hidden="1">[1]weekly!#REF!</definedName>
    <definedName name="ddddddddddddddddd" localSheetId="59" hidden="1">[1]weekly!#REF!</definedName>
    <definedName name="ddddddddddddddddd" localSheetId="20" hidden="1">[1]weekly!#REF!</definedName>
    <definedName name="ddddddddddddddddd" localSheetId="83" hidden="1">[1]weekly!#REF!</definedName>
    <definedName name="ddddddddddddddddd" localSheetId="39" hidden="1">[1]weekly!#REF!</definedName>
    <definedName name="ddddddddddddddddd" localSheetId="40" hidden="1">[1]weekly!#REF!</definedName>
    <definedName name="ddddddddddddddddd" localSheetId="95" hidden="1">[1]weekly!#REF!</definedName>
    <definedName name="ddddddddddddddddd" localSheetId="41" hidden="1">[1]weekly!#REF!</definedName>
    <definedName name="ddddddddddddddddd" localSheetId="92" hidden="1">[1]weekly!#REF!</definedName>
    <definedName name="ddddddddddddddddd" localSheetId="42" hidden="1">[1]weekly!#REF!</definedName>
    <definedName name="ddddddddddddddddd" localSheetId="43" hidden="1">[1]weekly!#REF!</definedName>
    <definedName name="ddddddddddddddddd" localSheetId="44" hidden="1">[1]weekly!#REF!</definedName>
    <definedName name="ddddddddddddddddd" localSheetId="34" hidden="1">[1]weekly!#REF!</definedName>
    <definedName name="ddddddddddddddddd" localSheetId="45" hidden="1">[1]weekly!#REF!</definedName>
    <definedName name="ddddddddddddddddd" localSheetId="70" hidden="1">[1]weekly!#REF!</definedName>
    <definedName name="ddddddddddddddddd" localSheetId="46" hidden="1">[1]weekly!#REF!</definedName>
    <definedName name="ddddddddddddddddd" localSheetId="25" hidden="1">[1]weekly!#REF!</definedName>
    <definedName name="ddddddddddddddddd" localSheetId="26" hidden="1">[1]weekly!#REF!</definedName>
    <definedName name="ddddddddddddddddd" localSheetId="47" hidden="1">[1]weekly!#REF!</definedName>
    <definedName name="ddddddddddddddddd" localSheetId="15" hidden="1">[1]weekly!#REF!</definedName>
    <definedName name="ddddddddddddddddd" localSheetId="93" hidden="1">[1]weekly!#REF!</definedName>
    <definedName name="ddddddddddddddddd" localSheetId="48" hidden="1">[1]weekly!#REF!</definedName>
    <definedName name="ddddddddddddddddd" localSheetId="49" hidden="1">[1]weekly!#REF!</definedName>
    <definedName name="ddddddddddddddddd" localSheetId="50" hidden="1">[1]weekly!#REF!</definedName>
    <definedName name="ddddddddddddddddd" localSheetId="51" hidden="1">[1]weekly!#REF!</definedName>
    <definedName name="ddddddddddddddddd" localSheetId="55" hidden="1">[1]weekly!#REF!</definedName>
    <definedName name="ddddddddddddddddd" localSheetId="52" hidden="1">[1]weekly!#REF!</definedName>
    <definedName name="ddddddddddddddddd" localSheetId="53" hidden="1">[1]weekly!#REF!</definedName>
    <definedName name="ddddddddddddddddd" localSheetId="35" hidden="1">[1]weekly!#REF!</definedName>
    <definedName name="ddddddddddddddddd" localSheetId="60" hidden="1">[1]weekly!#REF!</definedName>
    <definedName name="ddddddddddddddddd" localSheetId="22" hidden="1">[1]weekly!#REF!</definedName>
    <definedName name="ddddddddddddddddd" localSheetId="23" hidden="1">[1]weekly!#REF!</definedName>
    <definedName name="ddddddddddddddddd" localSheetId="54" hidden="1">[1]weekly!#REF!</definedName>
    <definedName name="ddddddddddddddddd" localSheetId="91" hidden="1">[1]weekly!#REF!</definedName>
    <definedName name="ddddddddddddddddd" localSheetId="88" hidden="1">[1]weekly!#REF!</definedName>
    <definedName name="ddddddddddddddddd" localSheetId="90" hidden="1">[1]weekly!#REF!</definedName>
    <definedName name="ddddddddddddddddd" hidden="1">[1]weekly!#REF!</definedName>
    <definedName name="ddddddddddddddddddd" localSheetId="61" hidden="1">[1]weekly!#REF!</definedName>
    <definedName name="ddddddddddddddddddd" localSheetId="87" hidden="1">[1]weekly!#REF!</definedName>
    <definedName name="ddddddddddddddddddd" localSheetId="37" hidden="1">[1]weekly!#REF!</definedName>
    <definedName name="ddddddddddddddddddd" localSheetId="62" hidden="1">[1]weekly!#REF!</definedName>
    <definedName name="ddddddddddddddddddd" localSheetId="38" hidden="1">[1]weekly!#REF!</definedName>
    <definedName name="ddddddddddddddddddd" localSheetId="18" hidden="1">[1]weekly!#REF!</definedName>
    <definedName name="ddddddddddddddddddd" localSheetId="58" hidden="1">[1]weekly!#REF!</definedName>
    <definedName name="ddddddddddddddddddd" localSheetId="57" hidden="1">[1]weekly!#REF!</definedName>
    <definedName name="ddddddddddddddddddd" localSheetId="59" hidden="1">[1]weekly!#REF!</definedName>
    <definedName name="ddddddddddddddddddd" localSheetId="20" hidden="1">[1]weekly!#REF!</definedName>
    <definedName name="ddddddddddddddddddd" localSheetId="83" hidden="1">[1]weekly!#REF!</definedName>
    <definedName name="ddddddddddddddddddd" localSheetId="39" hidden="1">[1]weekly!#REF!</definedName>
    <definedName name="ddddddddddddddddddd" localSheetId="40" hidden="1">[1]weekly!#REF!</definedName>
    <definedName name="ddddddddddddddddddd" localSheetId="95" hidden="1">[1]weekly!#REF!</definedName>
    <definedName name="ddddddddddddddddddd" localSheetId="41" hidden="1">[1]weekly!#REF!</definedName>
    <definedName name="ddddddddddddddddddd" localSheetId="92" hidden="1">[1]weekly!#REF!</definedName>
    <definedName name="ddddddddddddddddddd" localSheetId="42" hidden="1">[1]weekly!#REF!</definedName>
    <definedName name="ddddddddddddddddddd" localSheetId="43" hidden="1">[1]weekly!#REF!</definedName>
    <definedName name="ddddddddddddddddddd" localSheetId="44" hidden="1">[1]weekly!#REF!</definedName>
    <definedName name="ddddddddddddddddddd" localSheetId="34" hidden="1">[1]weekly!#REF!</definedName>
    <definedName name="ddddddddddddddddddd" localSheetId="45" hidden="1">[1]weekly!#REF!</definedName>
    <definedName name="ddddddddddddddddddd" localSheetId="70" hidden="1">[1]weekly!#REF!</definedName>
    <definedName name="ddddddddddddddddddd" localSheetId="46" hidden="1">[1]weekly!#REF!</definedName>
    <definedName name="ddddddddddddddddddd" localSheetId="25" hidden="1">[1]weekly!#REF!</definedName>
    <definedName name="ddddddddddddddddddd" localSheetId="26" hidden="1">[1]weekly!#REF!</definedName>
    <definedName name="ddddddddddddddddddd" localSheetId="47" hidden="1">[1]weekly!#REF!</definedName>
    <definedName name="ddddddddddddddddddd" localSheetId="15" hidden="1">[1]weekly!#REF!</definedName>
    <definedName name="ddddddddddddddddddd" localSheetId="93" hidden="1">[1]weekly!#REF!</definedName>
    <definedName name="ddddddddddddddddddd" localSheetId="48" hidden="1">[1]weekly!#REF!</definedName>
    <definedName name="ddddddddddddddddddd" localSheetId="49" hidden="1">[1]weekly!#REF!</definedName>
    <definedName name="ddddddddddddddddddd" localSheetId="50" hidden="1">[1]weekly!#REF!</definedName>
    <definedName name="ddddddddddddddddddd" localSheetId="51" hidden="1">[1]weekly!#REF!</definedName>
    <definedName name="ddddddddddddddddddd" localSheetId="55" hidden="1">[1]weekly!#REF!</definedName>
    <definedName name="ddddddddddddddddddd" localSheetId="52" hidden="1">[1]weekly!#REF!</definedName>
    <definedName name="ddddddddddddddddddd" localSheetId="53" hidden="1">[1]weekly!#REF!</definedName>
    <definedName name="ddddddddddddddddddd" localSheetId="35" hidden="1">[1]weekly!#REF!</definedName>
    <definedName name="ddddddddddddddddddd" localSheetId="60" hidden="1">[1]weekly!#REF!</definedName>
    <definedName name="ddddddddddddddddddd" localSheetId="22" hidden="1">[1]weekly!#REF!</definedName>
    <definedName name="ddddddddddddddddddd" localSheetId="23" hidden="1">[1]weekly!#REF!</definedName>
    <definedName name="ddddddddddddddddddd" localSheetId="54" hidden="1">[1]weekly!#REF!</definedName>
    <definedName name="ddddddddddddddddddd" localSheetId="91" hidden="1">[1]weekly!#REF!</definedName>
    <definedName name="ddddddddddddddddddd" localSheetId="88" hidden="1">[1]weekly!#REF!</definedName>
    <definedName name="ddddddddddddddddddd" localSheetId="90" hidden="1">[1]weekly!#REF!</definedName>
    <definedName name="ddddddddddddddddddd" hidden="1">[1]weekly!#REF!</definedName>
    <definedName name="dddddddddddddddddddddddddddddddd" localSheetId="61" hidden="1">[1]weekly!#REF!</definedName>
    <definedName name="dddddddddddddddddddddddddddddddd" localSheetId="87" hidden="1">[1]weekly!#REF!</definedName>
    <definedName name="dddddddddddddddddddddddddddddddd" localSheetId="37" hidden="1">[1]weekly!#REF!</definedName>
    <definedName name="dddddddddddddddddddddddddddddddd" localSheetId="62" hidden="1">[1]weekly!#REF!</definedName>
    <definedName name="dddddddddddddddddddddddddddddddd" localSheetId="38" hidden="1">[1]weekly!#REF!</definedName>
    <definedName name="dddddddddddddddddddddddddddddddd" localSheetId="18" hidden="1">[1]weekly!#REF!</definedName>
    <definedName name="dddddddddddddddddddddddddddddddd" localSheetId="58" hidden="1">[1]weekly!#REF!</definedName>
    <definedName name="dddddddddddddddddddddddddddddddd" localSheetId="57" hidden="1">[1]weekly!#REF!</definedName>
    <definedName name="dddddddddddddddddddddddddddddddd" localSheetId="59" hidden="1">[1]weekly!#REF!</definedName>
    <definedName name="dddddddddddddddddddddddddddddddd" localSheetId="20" hidden="1">[1]weekly!#REF!</definedName>
    <definedName name="dddddddddddddddddddddddddddddddd" localSheetId="83" hidden="1">[1]weekly!#REF!</definedName>
    <definedName name="dddddddddddddddddddddddddddddddd" localSheetId="39" hidden="1">[1]weekly!#REF!</definedName>
    <definedName name="dddddddddddddddddddddddddddddddd" localSheetId="40" hidden="1">[1]weekly!#REF!</definedName>
    <definedName name="dddddddddddddddddddddddddddddddd" localSheetId="95" hidden="1">[1]weekly!#REF!</definedName>
    <definedName name="dddddddddddddddddddddddddddddddd" localSheetId="41" hidden="1">[1]weekly!#REF!</definedName>
    <definedName name="dddddddddddddddddddddddddddddddd" localSheetId="92" hidden="1">[1]weekly!#REF!</definedName>
    <definedName name="dddddddddddddddddddddddddddddddd" localSheetId="42" hidden="1">[1]weekly!#REF!</definedName>
    <definedName name="dddddddddddddddddddddddddddddddd" localSheetId="43" hidden="1">[1]weekly!#REF!</definedName>
    <definedName name="dddddddddddddddddddddddddddddddd" localSheetId="44" hidden="1">[1]weekly!#REF!</definedName>
    <definedName name="dddddddddddddddddddddddddddddddd" localSheetId="34" hidden="1">[1]weekly!#REF!</definedName>
    <definedName name="dddddddddddddddddddddddddddddddd" localSheetId="45" hidden="1">[1]weekly!#REF!</definedName>
    <definedName name="dddddddddddddddddddddddddddddddd" localSheetId="70" hidden="1">[1]weekly!#REF!</definedName>
    <definedName name="dddddddddddddddddddddddddddddddd" localSheetId="46" hidden="1">[1]weekly!#REF!</definedName>
    <definedName name="dddddddddddddddddddddddddddddddd" localSheetId="25" hidden="1">[1]weekly!#REF!</definedName>
    <definedName name="dddddddddddddddddddddddddddddddd" localSheetId="26" hidden="1">[1]weekly!#REF!</definedName>
    <definedName name="dddddddddddddddddddddddddddddddd" localSheetId="47" hidden="1">[1]weekly!#REF!</definedName>
    <definedName name="dddddddddddddddddddddddddddddddd" localSheetId="15" hidden="1">[1]weekly!#REF!</definedName>
    <definedName name="dddddddddddddddddddddddddddddddd" localSheetId="93" hidden="1">[1]weekly!#REF!</definedName>
    <definedName name="dddddddddddddddddddddddddddddddd" localSheetId="48" hidden="1">[1]weekly!#REF!</definedName>
    <definedName name="dddddddddddddddddddddddddddddddd" localSheetId="49" hidden="1">[1]weekly!#REF!</definedName>
    <definedName name="dddddddddddddddddddddddddddddddd" localSheetId="50" hidden="1">[1]weekly!#REF!</definedName>
    <definedName name="dddddddddddddddddddddddddddddddd" localSheetId="51" hidden="1">[1]weekly!#REF!</definedName>
    <definedName name="dddddddddddddddddddddddddddddddd" localSheetId="55" hidden="1">[1]weekly!#REF!</definedName>
    <definedName name="dddddddddddddddddddddddddddddddd" localSheetId="52" hidden="1">[1]weekly!#REF!</definedName>
    <definedName name="dddddddddddddddddddddddddddddddd" localSheetId="53" hidden="1">[1]weekly!#REF!</definedName>
    <definedName name="dddddddddddddddddddddddddddddddd" localSheetId="35" hidden="1">[1]weekly!#REF!</definedName>
    <definedName name="dddddddddddddddddddddddddddddddd" localSheetId="60" hidden="1">[1]weekly!#REF!</definedName>
    <definedName name="dddddddddddddddddddddddddddddddd" localSheetId="22" hidden="1">[1]weekly!#REF!</definedName>
    <definedName name="dddddddddddddddddddddddddddddddd" localSheetId="23" hidden="1">[1]weekly!#REF!</definedName>
    <definedName name="dddddddddddddddddddddddddddddddd" localSheetId="54" hidden="1">[1]weekly!#REF!</definedName>
    <definedName name="dddddddddddddddddddddddddddddddd" localSheetId="91" hidden="1">[1]weekly!#REF!</definedName>
    <definedName name="dddddddddddddddddddddddddddddddd" localSheetId="88" hidden="1">[1]weekly!#REF!</definedName>
    <definedName name="dddddddddddddddddddddddddddddddd" localSheetId="90" hidden="1">[1]weekly!#REF!</definedName>
    <definedName name="dddddddddddddddddddddddddddddddd" hidden="1">[1]weekly!#REF!</definedName>
    <definedName name="dddddddddddddddddddddddddddddddddddddd" localSheetId="61" hidden="1">[1]weekly!#REF!</definedName>
    <definedName name="dddddddddddddddddddddddddddddddddddddd" localSheetId="87" hidden="1">[1]weekly!#REF!</definedName>
    <definedName name="dddddddddddddddddddddddddddddddddddddd" localSheetId="37" hidden="1">[1]weekly!#REF!</definedName>
    <definedName name="dddddddddddddddddddddddddddddddddddddd" localSheetId="62" hidden="1">[1]weekly!#REF!</definedName>
    <definedName name="dddddddddddddddddddddddddddddddddddddd" localSheetId="38" hidden="1">[1]weekly!#REF!</definedName>
    <definedName name="dddddddddddddddddddddddddddddddddddddd" localSheetId="18" hidden="1">[1]weekly!#REF!</definedName>
    <definedName name="dddddddddddddddddddddddddddddddddddddd" localSheetId="58" hidden="1">[1]weekly!#REF!</definedName>
    <definedName name="dddddddddddddddddddddddddddddddddddddd" localSheetId="57" hidden="1">[1]weekly!#REF!</definedName>
    <definedName name="dddddddddddddddddddddddddddddddddddddd" localSheetId="59" hidden="1">[1]weekly!#REF!</definedName>
    <definedName name="dddddddddddddddddddddddddddddddddddddd" localSheetId="20" hidden="1">[1]weekly!#REF!</definedName>
    <definedName name="dddddddddddddddddddddddddddddddddddddd" localSheetId="83" hidden="1">[1]weekly!#REF!</definedName>
    <definedName name="dddddddddddddddddddddddddddddddddddddd" localSheetId="39" hidden="1">[1]weekly!#REF!</definedName>
    <definedName name="dddddddddddddddddddddddddddddddddddddd" localSheetId="40" hidden="1">[1]weekly!#REF!</definedName>
    <definedName name="dddddddddddddddddddddddddddddddddddddd" localSheetId="95" hidden="1">[1]weekly!#REF!</definedName>
    <definedName name="dddddddddddddddddddddddddddddddddddddd" localSheetId="41" hidden="1">[1]weekly!#REF!</definedName>
    <definedName name="dddddddddddddddddddddddddddddddddddddd" localSheetId="92" hidden="1">[1]weekly!#REF!</definedName>
    <definedName name="dddddddddddddddddddddddddddddddddddddd" localSheetId="42" hidden="1">[1]weekly!#REF!</definedName>
    <definedName name="dddddddddddddddddddddddddddddddddddddd" localSheetId="43" hidden="1">[1]weekly!#REF!</definedName>
    <definedName name="dddddddddddddddddddddddddddddddddddddd" localSheetId="44" hidden="1">[1]weekly!#REF!</definedName>
    <definedName name="dddddddddddddddddddddddddddddddddddddd" localSheetId="34" hidden="1">[1]weekly!#REF!</definedName>
    <definedName name="dddddddddddddddddddddddddddddddddddddd" localSheetId="45" hidden="1">[1]weekly!#REF!</definedName>
    <definedName name="dddddddddddddddddddddddddddddddddddddd" localSheetId="70" hidden="1">[1]weekly!#REF!</definedName>
    <definedName name="dddddddddddddddddddddddddddddddddddddd" localSheetId="46" hidden="1">[1]weekly!#REF!</definedName>
    <definedName name="dddddddddddddddddddddddddddddddddddddd" localSheetId="25" hidden="1">[1]weekly!#REF!</definedName>
    <definedName name="dddddddddddddddddddddddddddddddddddddd" localSheetId="26" hidden="1">[1]weekly!#REF!</definedName>
    <definedName name="dddddddddddddddddddddddddddddddddddddd" localSheetId="47" hidden="1">[1]weekly!#REF!</definedName>
    <definedName name="dddddddddddddddddddddddddddddddddddddd" localSheetId="15" hidden="1">[1]weekly!#REF!</definedName>
    <definedName name="dddddddddddddddddddddddddddddddddddddd" localSheetId="93" hidden="1">[1]weekly!#REF!</definedName>
    <definedName name="dddddddddddddddddddddddddddddddddddddd" localSheetId="48" hidden="1">[1]weekly!#REF!</definedName>
    <definedName name="dddddddddddddddddddddddddddddddddddddd" localSheetId="49" hidden="1">[1]weekly!#REF!</definedName>
    <definedName name="dddddddddddddddddddddddddddddddddddddd" localSheetId="50" hidden="1">[1]weekly!#REF!</definedName>
    <definedName name="dddddddddddddddddddddddddddddddddddddd" localSheetId="51" hidden="1">[1]weekly!#REF!</definedName>
    <definedName name="dddddddddddddddddddddddddddddddddddddd" localSheetId="55" hidden="1">[1]weekly!#REF!</definedName>
    <definedName name="dddddddddddddddddddddddddddddddddddddd" localSheetId="52" hidden="1">[1]weekly!#REF!</definedName>
    <definedName name="dddddddddddddddddddddddddddddddddddddd" localSheetId="53" hidden="1">[1]weekly!#REF!</definedName>
    <definedName name="dddddddddddddddddddddddddddddddddddddd" localSheetId="35" hidden="1">[1]weekly!#REF!</definedName>
    <definedName name="dddddddddddddddddddddddddddddddddddddd" localSheetId="60" hidden="1">[1]weekly!#REF!</definedName>
    <definedName name="dddddddddddddddddddddddddddddddddddddd" localSheetId="22" hidden="1">[1]weekly!#REF!</definedName>
    <definedName name="dddddddddddddddddddddddddddddddddddddd" localSheetId="23" hidden="1">[1]weekly!#REF!</definedName>
    <definedName name="dddddddddddddddddddddddddddddddddddddd" localSheetId="54" hidden="1">[1]weekly!#REF!</definedName>
    <definedName name="dddddddddddddddddddddddddddddddddddddd" localSheetId="91" hidden="1">[1]weekly!#REF!</definedName>
    <definedName name="dddddddddddddddddddddddddddddddddddddd" localSheetId="88" hidden="1">[1]weekly!#REF!</definedName>
    <definedName name="dddddddddddddddddddddddddddddddddddddd" localSheetId="90" hidden="1">[1]weekly!#REF!</definedName>
    <definedName name="dddddddddddddddddddddddddddddddddddddd" hidden="1">[1]weekly!#REF!</definedName>
    <definedName name="ddff" localSheetId="61" hidden="1">[1]weekly!#REF!</definedName>
    <definedName name="ddff" localSheetId="87" hidden="1">[1]weekly!#REF!</definedName>
    <definedName name="ddff" localSheetId="37" hidden="1">[1]weekly!#REF!</definedName>
    <definedName name="ddff" localSheetId="62" hidden="1">[1]weekly!#REF!</definedName>
    <definedName name="ddff" localSheetId="38" hidden="1">[1]weekly!#REF!</definedName>
    <definedName name="ddff" localSheetId="18" hidden="1">[1]weekly!#REF!</definedName>
    <definedName name="ddff" localSheetId="58" hidden="1">[1]weekly!#REF!</definedName>
    <definedName name="ddff" localSheetId="57" hidden="1">[1]weekly!#REF!</definedName>
    <definedName name="ddff" localSheetId="59" hidden="1">[1]weekly!#REF!</definedName>
    <definedName name="ddff" localSheetId="20" hidden="1">[1]weekly!#REF!</definedName>
    <definedName name="ddff" localSheetId="83" hidden="1">[1]weekly!#REF!</definedName>
    <definedName name="ddff" localSheetId="39" hidden="1">[1]weekly!#REF!</definedName>
    <definedName name="ddff" localSheetId="40" hidden="1">[1]weekly!#REF!</definedName>
    <definedName name="ddff" localSheetId="95" hidden="1">[1]weekly!#REF!</definedName>
    <definedName name="ddff" localSheetId="41" hidden="1">[1]weekly!#REF!</definedName>
    <definedName name="ddff" localSheetId="92" hidden="1">[1]weekly!#REF!</definedName>
    <definedName name="ddff" localSheetId="42" hidden="1">[1]weekly!#REF!</definedName>
    <definedName name="ddff" localSheetId="43" hidden="1">[1]weekly!#REF!</definedName>
    <definedName name="ddff" localSheetId="44" hidden="1">[1]weekly!#REF!</definedName>
    <definedName name="ddff" localSheetId="34" hidden="1">[1]weekly!#REF!</definedName>
    <definedName name="ddff" localSheetId="45" hidden="1">[1]weekly!#REF!</definedName>
    <definedName name="ddff" localSheetId="70" hidden="1">[1]weekly!#REF!</definedName>
    <definedName name="ddff" localSheetId="46" hidden="1">[1]weekly!#REF!</definedName>
    <definedName name="ddff" localSheetId="25" hidden="1">[1]weekly!#REF!</definedName>
    <definedName name="ddff" localSheetId="26" hidden="1">[1]weekly!#REF!</definedName>
    <definedName name="ddff" localSheetId="47" hidden="1">[1]weekly!#REF!</definedName>
    <definedName name="ddff" localSheetId="15" hidden="1">[1]weekly!#REF!</definedName>
    <definedName name="ddff" localSheetId="93" hidden="1">[1]weekly!#REF!</definedName>
    <definedName name="ddff" localSheetId="48" hidden="1">[1]weekly!#REF!</definedName>
    <definedName name="ddff" localSheetId="49" hidden="1">[1]weekly!#REF!</definedName>
    <definedName name="ddff" localSheetId="50" hidden="1">[1]weekly!#REF!</definedName>
    <definedName name="ddff" localSheetId="51" hidden="1">[1]weekly!#REF!</definedName>
    <definedName name="ddff" localSheetId="55" hidden="1">[1]weekly!#REF!</definedName>
    <definedName name="ddff" localSheetId="52" hidden="1">[1]weekly!#REF!</definedName>
    <definedName name="ddff" localSheetId="53" hidden="1">[1]weekly!#REF!</definedName>
    <definedName name="ddff" localSheetId="35" hidden="1">[1]weekly!#REF!</definedName>
    <definedName name="ddff" localSheetId="60" hidden="1">[1]weekly!#REF!</definedName>
    <definedName name="ddff" localSheetId="22" hidden="1">[1]weekly!#REF!</definedName>
    <definedName name="ddff" localSheetId="23" hidden="1">[1]weekly!#REF!</definedName>
    <definedName name="ddff" localSheetId="54" hidden="1">[1]weekly!#REF!</definedName>
    <definedName name="ddff" localSheetId="91" hidden="1">[1]weekly!#REF!</definedName>
    <definedName name="ddff" localSheetId="88" hidden="1">[1]weekly!#REF!</definedName>
    <definedName name="ddff" localSheetId="90" hidden="1">[1]weekly!#REF!</definedName>
    <definedName name="ddff" hidden="1">[1]weekly!#REF!</definedName>
    <definedName name="e" localSheetId="61" hidden="1">[1]weekly!#REF!</definedName>
    <definedName name="e" localSheetId="87" hidden="1">[1]weekly!#REF!</definedName>
    <definedName name="e" localSheetId="37" hidden="1">[1]weekly!#REF!</definedName>
    <definedName name="e" localSheetId="62" hidden="1">[1]weekly!#REF!</definedName>
    <definedName name="e" localSheetId="38" hidden="1">[1]weekly!#REF!</definedName>
    <definedName name="e" localSheetId="58" hidden="1">[1]weekly!#REF!</definedName>
    <definedName name="e" localSheetId="57" hidden="1">[1]weekly!#REF!</definedName>
    <definedName name="e" localSheetId="59" hidden="1">[1]weekly!#REF!</definedName>
    <definedName name="e" localSheetId="83" hidden="1">[1]weekly!#REF!</definedName>
    <definedName name="e" localSheetId="39" hidden="1">[1]weekly!#REF!</definedName>
    <definedName name="e" localSheetId="40" hidden="1">[1]weekly!#REF!</definedName>
    <definedName name="e" localSheetId="95" hidden="1">[1]weekly!#REF!</definedName>
    <definedName name="e" localSheetId="41" hidden="1">[1]weekly!#REF!</definedName>
    <definedName name="e" localSheetId="92" hidden="1">[1]weekly!#REF!</definedName>
    <definedName name="e" localSheetId="42" hidden="1">[1]weekly!#REF!</definedName>
    <definedName name="e" localSheetId="43" hidden="1">[1]weekly!#REF!</definedName>
    <definedName name="e" localSheetId="44" hidden="1">[1]weekly!#REF!</definedName>
    <definedName name="e" localSheetId="34" hidden="1">[1]weekly!#REF!</definedName>
    <definedName name="e" localSheetId="45" hidden="1">[1]weekly!#REF!</definedName>
    <definedName name="e" localSheetId="70" hidden="1">[1]weekly!#REF!</definedName>
    <definedName name="e" localSheetId="46" hidden="1">[1]weekly!#REF!</definedName>
    <definedName name="e" localSheetId="25" hidden="1">[1]weekly!#REF!</definedName>
    <definedName name="e" localSheetId="26" hidden="1">[1]weekly!#REF!</definedName>
    <definedName name="e" localSheetId="47" hidden="1">[1]weekly!#REF!</definedName>
    <definedName name="e" localSheetId="15" hidden="1">[1]weekly!#REF!</definedName>
    <definedName name="e" localSheetId="93" hidden="1">[1]weekly!#REF!</definedName>
    <definedName name="e" localSheetId="48" hidden="1">[1]weekly!#REF!</definedName>
    <definedName name="e" localSheetId="49" hidden="1">[1]weekly!#REF!</definedName>
    <definedName name="e" localSheetId="50" hidden="1">[1]weekly!#REF!</definedName>
    <definedName name="e" localSheetId="51" hidden="1">[1]weekly!#REF!</definedName>
    <definedName name="e" localSheetId="55" hidden="1">[1]weekly!#REF!</definedName>
    <definedName name="e" localSheetId="52" hidden="1">[1]weekly!#REF!</definedName>
    <definedName name="e" localSheetId="53" hidden="1">[1]weekly!#REF!</definedName>
    <definedName name="e" localSheetId="35" hidden="1">[1]weekly!#REF!</definedName>
    <definedName name="e" localSheetId="60" hidden="1">[1]weekly!#REF!</definedName>
    <definedName name="e" localSheetId="54" hidden="1">[1]weekly!#REF!</definedName>
    <definedName name="e" localSheetId="91" hidden="1">[1]weekly!#REF!</definedName>
    <definedName name="e" localSheetId="88" hidden="1">[1]weekly!#REF!</definedName>
    <definedName name="e" localSheetId="90" hidden="1">[1]weekly!#REF!</definedName>
    <definedName name="e" hidden="1">[1]weekly!#REF!</definedName>
    <definedName name="eee" localSheetId="61" hidden="1">[1]weekly!#REF!</definedName>
    <definedName name="eee" localSheetId="87" hidden="1">[1]weekly!#REF!</definedName>
    <definedName name="eee" localSheetId="37" hidden="1">[1]weekly!#REF!</definedName>
    <definedName name="eee" localSheetId="62" hidden="1">[1]weekly!#REF!</definedName>
    <definedName name="eee" localSheetId="38" hidden="1">[1]weekly!#REF!</definedName>
    <definedName name="eee" localSheetId="58" hidden="1">[1]weekly!#REF!</definedName>
    <definedName name="eee" localSheetId="57" hidden="1">[1]weekly!#REF!</definedName>
    <definedName name="eee" localSheetId="59" hidden="1">[1]weekly!#REF!</definedName>
    <definedName name="eee" localSheetId="83" hidden="1">[1]weekly!#REF!</definedName>
    <definedName name="eee" localSheetId="39" hidden="1">[1]weekly!#REF!</definedName>
    <definedName name="eee" localSheetId="40" hidden="1">[1]weekly!#REF!</definedName>
    <definedName name="eee" localSheetId="95" hidden="1">[1]weekly!#REF!</definedName>
    <definedName name="eee" localSheetId="41" hidden="1">[1]weekly!#REF!</definedName>
    <definedName name="eee" localSheetId="92" hidden="1">[1]weekly!#REF!</definedName>
    <definedName name="eee" localSheetId="42" hidden="1">[1]weekly!#REF!</definedName>
    <definedName name="eee" localSheetId="43" hidden="1">[1]weekly!#REF!</definedName>
    <definedName name="eee" localSheetId="44" hidden="1">[1]weekly!#REF!</definedName>
    <definedName name="eee" localSheetId="34" hidden="1">[1]weekly!#REF!</definedName>
    <definedName name="eee" localSheetId="45" hidden="1">[1]weekly!#REF!</definedName>
    <definedName name="eee" localSheetId="70" hidden="1">[1]weekly!#REF!</definedName>
    <definedName name="eee" localSheetId="46" hidden="1">[1]weekly!#REF!</definedName>
    <definedName name="eee" localSheetId="25" hidden="1">[1]weekly!#REF!</definedName>
    <definedName name="eee" localSheetId="26" hidden="1">[1]weekly!#REF!</definedName>
    <definedName name="eee" localSheetId="47" hidden="1">[1]weekly!#REF!</definedName>
    <definedName name="eee" localSheetId="15" hidden="1">[1]weekly!#REF!</definedName>
    <definedName name="eee" localSheetId="93" hidden="1">[1]weekly!#REF!</definedName>
    <definedName name="eee" localSheetId="48" hidden="1">[1]weekly!#REF!</definedName>
    <definedName name="eee" localSheetId="49" hidden="1">[1]weekly!#REF!</definedName>
    <definedName name="eee" localSheetId="50" hidden="1">[1]weekly!#REF!</definedName>
    <definedName name="eee" localSheetId="51" hidden="1">[1]weekly!#REF!</definedName>
    <definedName name="eee" localSheetId="55" hidden="1">[1]weekly!#REF!</definedName>
    <definedName name="eee" localSheetId="52" hidden="1">[1]weekly!#REF!</definedName>
    <definedName name="eee" localSheetId="53" hidden="1">[1]weekly!#REF!</definedName>
    <definedName name="eee" localSheetId="35" hidden="1">[1]weekly!#REF!</definedName>
    <definedName name="eee" localSheetId="60" hidden="1">[1]weekly!#REF!</definedName>
    <definedName name="eee" localSheetId="54" hidden="1">[1]weekly!#REF!</definedName>
    <definedName name="eee" localSheetId="91" hidden="1">[1]weekly!#REF!</definedName>
    <definedName name="eee" localSheetId="88" hidden="1">[1]weekly!#REF!</definedName>
    <definedName name="eee" localSheetId="90" hidden="1">[1]weekly!#REF!</definedName>
    <definedName name="eee" hidden="1">[1]weekly!#REF!</definedName>
    <definedName name="eeeee" localSheetId="61" hidden="1">[1]weekly!#REF!</definedName>
    <definedName name="eeeee" localSheetId="87" hidden="1">[1]weekly!#REF!</definedName>
    <definedName name="eeeee" localSheetId="37" hidden="1">[1]weekly!#REF!</definedName>
    <definedName name="eeeee" localSheetId="62" hidden="1">[1]weekly!#REF!</definedName>
    <definedName name="eeeee" localSheetId="38" hidden="1">[1]weekly!#REF!</definedName>
    <definedName name="eeeee" localSheetId="18" hidden="1">[1]weekly!#REF!</definedName>
    <definedName name="eeeee" localSheetId="56" hidden="1">[1]weekly!#REF!</definedName>
    <definedName name="eeeee" localSheetId="58" hidden="1">[1]weekly!#REF!</definedName>
    <definedName name="eeeee" localSheetId="16" hidden="1">[1]weekly!#REF!</definedName>
    <definedName name="eeeee" localSheetId="57" hidden="1">[1]weekly!#REF!</definedName>
    <definedName name="eeeee" localSheetId="59" hidden="1">[1]weekly!#REF!</definedName>
    <definedName name="eeeee" localSheetId="20" hidden="1">[1]weekly!#REF!</definedName>
    <definedName name="eeeee" localSheetId="83" hidden="1">[1]weekly!#REF!</definedName>
    <definedName name="eeeee" localSheetId="39" hidden="1">[1]weekly!#REF!</definedName>
    <definedName name="eeeee" localSheetId="40" hidden="1">[1]weekly!#REF!</definedName>
    <definedName name="eeeee" localSheetId="95" hidden="1">[1]weekly!#REF!</definedName>
    <definedName name="eeeee" localSheetId="41" hidden="1">[1]weekly!#REF!</definedName>
    <definedName name="eeeee" localSheetId="92" hidden="1">[1]weekly!#REF!</definedName>
    <definedName name="eeeee" localSheetId="42" hidden="1">[1]weekly!#REF!</definedName>
    <definedName name="eeeee" localSheetId="43" hidden="1">[1]weekly!#REF!</definedName>
    <definedName name="eeeee" localSheetId="44" hidden="1">[1]weekly!#REF!</definedName>
    <definedName name="eeeee" localSheetId="34" hidden="1">[1]weekly!#REF!</definedName>
    <definedName name="eeeee" localSheetId="45" hidden="1">[1]weekly!#REF!</definedName>
    <definedName name="eeeee" localSheetId="70" hidden="1">[1]weekly!#REF!</definedName>
    <definedName name="eeeee" localSheetId="46" hidden="1">[1]weekly!#REF!</definedName>
    <definedName name="eeeee" localSheetId="25" hidden="1">[1]weekly!#REF!</definedName>
    <definedName name="eeeee" localSheetId="26" hidden="1">[1]weekly!#REF!</definedName>
    <definedName name="eeeee" localSheetId="47" hidden="1">[1]weekly!#REF!</definedName>
    <definedName name="eeeee" localSheetId="15" hidden="1">[1]weekly!#REF!</definedName>
    <definedName name="eeeee" localSheetId="93" hidden="1">[1]weekly!#REF!</definedName>
    <definedName name="eeeee" localSheetId="48" hidden="1">[1]weekly!#REF!</definedName>
    <definedName name="eeeee" localSheetId="49" hidden="1">[1]weekly!#REF!</definedName>
    <definedName name="eeeee" localSheetId="50" hidden="1">[1]weekly!#REF!</definedName>
    <definedName name="eeeee" localSheetId="51" hidden="1">[1]weekly!#REF!</definedName>
    <definedName name="eeeee" localSheetId="55" hidden="1">[1]weekly!#REF!</definedName>
    <definedName name="eeeee" localSheetId="52" hidden="1">[1]weekly!#REF!</definedName>
    <definedName name="eeeee" localSheetId="53" hidden="1">[1]weekly!#REF!</definedName>
    <definedName name="eeeee" localSheetId="35" hidden="1">[1]weekly!#REF!</definedName>
    <definedName name="eeeee" localSheetId="60" hidden="1">[1]weekly!#REF!</definedName>
    <definedName name="eeeee" localSheetId="22" hidden="1">[1]weekly!#REF!</definedName>
    <definedName name="eeeee" localSheetId="23" hidden="1">[1]weekly!#REF!</definedName>
    <definedName name="eeeee" localSheetId="54" hidden="1">[1]weekly!#REF!</definedName>
    <definedName name="eeeee" localSheetId="91" hidden="1">[1]weekly!#REF!</definedName>
    <definedName name="eeeee" localSheetId="88" hidden="1">[1]weekly!#REF!</definedName>
    <definedName name="eeeee" localSheetId="90" hidden="1">[1]weekly!#REF!</definedName>
    <definedName name="eeeee" hidden="1">[1]weekly!#REF!</definedName>
    <definedName name="eeeeee" localSheetId="61" hidden="1">[1]weekly!#REF!</definedName>
    <definedName name="eeeeee" localSheetId="87" hidden="1">[1]weekly!#REF!</definedName>
    <definedName name="eeeeee" localSheetId="37" hidden="1">[1]weekly!#REF!</definedName>
    <definedName name="eeeeee" localSheetId="62" hidden="1">[1]weekly!#REF!</definedName>
    <definedName name="eeeeee" localSheetId="38" hidden="1">[1]weekly!#REF!</definedName>
    <definedName name="eeeeee" localSheetId="18" hidden="1">[1]weekly!#REF!</definedName>
    <definedName name="eeeeee" localSheetId="56" hidden="1">[1]weekly!#REF!</definedName>
    <definedName name="eeeeee" localSheetId="58" hidden="1">[1]weekly!#REF!</definedName>
    <definedName name="eeeeee" localSheetId="16" hidden="1">[1]weekly!#REF!</definedName>
    <definedName name="eeeeee" localSheetId="57" hidden="1">[1]weekly!#REF!</definedName>
    <definedName name="eeeeee" localSheetId="59" hidden="1">[1]weekly!#REF!</definedName>
    <definedName name="eeeeee" localSheetId="20" hidden="1">[1]weekly!#REF!</definedName>
    <definedName name="eeeeee" localSheetId="83" hidden="1">[1]weekly!#REF!</definedName>
    <definedName name="eeeeee" localSheetId="39" hidden="1">[1]weekly!#REF!</definedName>
    <definedName name="eeeeee" localSheetId="40" hidden="1">[1]weekly!#REF!</definedName>
    <definedName name="eeeeee" localSheetId="95" hidden="1">[1]weekly!#REF!</definedName>
    <definedName name="eeeeee" localSheetId="41" hidden="1">[1]weekly!#REF!</definedName>
    <definedName name="eeeeee" localSheetId="92" hidden="1">[1]weekly!#REF!</definedName>
    <definedName name="eeeeee" localSheetId="42" hidden="1">[1]weekly!#REF!</definedName>
    <definedName name="eeeeee" localSheetId="43" hidden="1">[1]weekly!#REF!</definedName>
    <definedName name="eeeeee" localSheetId="44" hidden="1">[1]weekly!#REF!</definedName>
    <definedName name="eeeeee" localSheetId="34" hidden="1">[1]weekly!#REF!</definedName>
    <definedName name="eeeeee" localSheetId="45" hidden="1">[1]weekly!#REF!</definedName>
    <definedName name="eeeeee" localSheetId="70" hidden="1">[1]weekly!#REF!</definedName>
    <definedName name="eeeeee" localSheetId="46" hidden="1">[1]weekly!#REF!</definedName>
    <definedName name="eeeeee" localSheetId="25" hidden="1">[1]weekly!#REF!</definedName>
    <definedName name="eeeeee" localSheetId="26" hidden="1">[1]weekly!#REF!</definedName>
    <definedName name="eeeeee" localSheetId="47" hidden="1">[1]weekly!#REF!</definedName>
    <definedName name="eeeeee" localSheetId="15" hidden="1">[1]weekly!#REF!</definedName>
    <definedName name="eeeeee" localSheetId="93" hidden="1">[1]weekly!#REF!</definedName>
    <definedName name="eeeeee" localSheetId="48" hidden="1">[1]weekly!#REF!</definedName>
    <definedName name="eeeeee" localSheetId="49" hidden="1">[1]weekly!#REF!</definedName>
    <definedName name="eeeeee" localSheetId="50" hidden="1">[1]weekly!#REF!</definedName>
    <definedName name="eeeeee" localSheetId="51" hidden="1">[1]weekly!#REF!</definedName>
    <definedName name="eeeeee" localSheetId="55" hidden="1">[1]weekly!#REF!</definedName>
    <definedName name="eeeeee" localSheetId="52" hidden="1">[1]weekly!#REF!</definedName>
    <definedName name="eeeeee" localSheetId="53" hidden="1">[1]weekly!#REF!</definedName>
    <definedName name="eeeeee" localSheetId="35" hidden="1">[1]weekly!#REF!</definedName>
    <definedName name="eeeeee" localSheetId="60" hidden="1">[1]weekly!#REF!</definedName>
    <definedName name="eeeeee" localSheetId="22" hidden="1">[1]weekly!#REF!</definedName>
    <definedName name="eeeeee" localSheetId="23" hidden="1">[1]weekly!#REF!</definedName>
    <definedName name="eeeeee" localSheetId="54" hidden="1">[1]weekly!#REF!</definedName>
    <definedName name="eeeeee" localSheetId="91" hidden="1">[1]weekly!#REF!</definedName>
    <definedName name="eeeeee" localSheetId="88" hidden="1">[1]weekly!#REF!</definedName>
    <definedName name="eeeeee" localSheetId="90" hidden="1">[1]weekly!#REF!</definedName>
    <definedName name="eeeeee" hidden="1">[1]weekly!#REF!</definedName>
    <definedName name="eeeeeeeeeeeeeeeee" localSheetId="61" hidden="1">[1]weekly!#REF!</definedName>
    <definedName name="eeeeeeeeeeeeeeeee" localSheetId="87" hidden="1">[1]weekly!#REF!</definedName>
    <definedName name="eeeeeeeeeeeeeeeee" localSheetId="37" hidden="1">[1]weekly!#REF!</definedName>
    <definedName name="eeeeeeeeeeeeeeeee" localSheetId="62" hidden="1">[1]weekly!#REF!</definedName>
    <definedName name="eeeeeeeeeeeeeeeee" localSheetId="38" hidden="1">[1]weekly!#REF!</definedName>
    <definedName name="eeeeeeeeeeeeeeeee" localSheetId="18" hidden="1">[1]weekly!#REF!</definedName>
    <definedName name="eeeeeeeeeeeeeeeee" localSheetId="56" hidden="1">[1]weekly!#REF!</definedName>
    <definedName name="eeeeeeeeeeeeeeeee" localSheetId="58" hidden="1">[1]weekly!#REF!</definedName>
    <definedName name="eeeeeeeeeeeeeeeee" localSheetId="16" hidden="1">[1]weekly!#REF!</definedName>
    <definedName name="eeeeeeeeeeeeeeeee" localSheetId="57" hidden="1">[1]weekly!#REF!</definedName>
    <definedName name="eeeeeeeeeeeeeeeee" localSheetId="59" hidden="1">[1]weekly!#REF!</definedName>
    <definedName name="eeeeeeeeeeeeeeeee" localSheetId="20" hidden="1">[1]weekly!#REF!</definedName>
    <definedName name="eeeeeeeeeeeeeeeee" localSheetId="83" hidden="1">[1]weekly!#REF!</definedName>
    <definedName name="eeeeeeeeeeeeeeeee" localSheetId="39" hidden="1">[1]weekly!#REF!</definedName>
    <definedName name="eeeeeeeeeeeeeeeee" localSheetId="40" hidden="1">[1]weekly!#REF!</definedName>
    <definedName name="eeeeeeeeeeeeeeeee" localSheetId="95" hidden="1">[1]weekly!#REF!</definedName>
    <definedName name="eeeeeeeeeeeeeeeee" localSheetId="41" hidden="1">[1]weekly!#REF!</definedName>
    <definedName name="eeeeeeeeeeeeeeeee" localSheetId="92" hidden="1">[1]weekly!#REF!</definedName>
    <definedName name="eeeeeeeeeeeeeeeee" localSheetId="42" hidden="1">[1]weekly!#REF!</definedName>
    <definedName name="eeeeeeeeeeeeeeeee" localSheetId="43" hidden="1">[1]weekly!#REF!</definedName>
    <definedName name="eeeeeeeeeeeeeeeee" localSheetId="44" hidden="1">[1]weekly!#REF!</definedName>
    <definedName name="eeeeeeeeeeeeeeeee" localSheetId="34" hidden="1">[1]weekly!#REF!</definedName>
    <definedName name="eeeeeeeeeeeeeeeee" localSheetId="45" hidden="1">[1]weekly!#REF!</definedName>
    <definedName name="eeeeeeeeeeeeeeeee" localSheetId="70" hidden="1">[1]weekly!#REF!</definedName>
    <definedName name="eeeeeeeeeeeeeeeee" localSheetId="46" hidden="1">[1]weekly!#REF!</definedName>
    <definedName name="eeeeeeeeeeeeeeeee" localSheetId="25" hidden="1">[1]weekly!#REF!</definedName>
    <definedName name="eeeeeeeeeeeeeeeee" localSheetId="26" hidden="1">[1]weekly!#REF!</definedName>
    <definedName name="eeeeeeeeeeeeeeeee" localSheetId="47" hidden="1">[1]weekly!#REF!</definedName>
    <definedName name="eeeeeeeeeeeeeeeee" localSheetId="15" hidden="1">[1]weekly!#REF!</definedName>
    <definedName name="eeeeeeeeeeeeeeeee" localSheetId="93" hidden="1">[1]weekly!#REF!</definedName>
    <definedName name="eeeeeeeeeeeeeeeee" localSheetId="48" hidden="1">[1]weekly!#REF!</definedName>
    <definedName name="eeeeeeeeeeeeeeeee" localSheetId="49" hidden="1">[1]weekly!#REF!</definedName>
    <definedName name="eeeeeeeeeeeeeeeee" localSheetId="50" hidden="1">[1]weekly!#REF!</definedName>
    <definedName name="eeeeeeeeeeeeeeeee" localSheetId="51" hidden="1">[1]weekly!#REF!</definedName>
    <definedName name="eeeeeeeeeeeeeeeee" localSheetId="55" hidden="1">[1]weekly!#REF!</definedName>
    <definedName name="eeeeeeeeeeeeeeeee" localSheetId="52" hidden="1">[1]weekly!#REF!</definedName>
    <definedName name="eeeeeeeeeeeeeeeee" localSheetId="53" hidden="1">[1]weekly!#REF!</definedName>
    <definedName name="eeeeeeeeeeeeeeeee" localSheetId="35" hidden="1">[1]weekly!#REF!</definedName>
    <definedName name="eeeeeeeeeeeeeeeee" localSheetId="60" hidden="1">[1]weekly!#REF!</definedName>
    <definedName name="eeeeeeeeeeeeeeeee" localSheetId="22" hidden="1">[1]weekly!#REF!</definedName>
    <definedName name="eeeeeeeeeeeeeeeee" localSheetId="23" hidden="1">[1]weekly!#REF!</definedName>
    <definedName name="eeeeeeeeeeeeeeeee" localSheetId="54" hidden="1">[1]weekly!#REF!</definedName>
    <definedName name="eeeeeeeeeeeeeeeee" localSheetId="91" hidden="1">[1]weekly!#REF!</definedName>
    <definedName name="eeeeeeeeeeeeeeeee" localSheetId="88" hidden="1">[1]weekly!#REF!</definedName>
    <definedName name="eeeeeeeeeeeeeeeee" localSheetId="90" hidden="1">[1]weekly!#REF!</definedName>
    <definedName name="eeeeeeeeeeeeeeeee" hidden="1">[1]weekly!#REF!</definedName>
    <definedName name="eeeeeeeeeeeeeeeeeeeeee" localSheetId="61" hidden="1">[1]weekly!#REF!</definedName>
    <definedName name="eeeeeeeeeeeeeeeeeeeeee" localSheetId="87" hidden="1">[1]weekly!#REF!</definedName>
    <definedName name="eeeeeeeeeeeeeeeeeeeeee" localSheetId="37" hidden="1">[1]weekly!#REF!</definedName>
    <definedName name="eeeeeeeeeeeeeeeeeeeeee" localSheetId="62" hidden="1">[1]weekly!#REF!</definedName>
    <definedName name="eeeeeeeeeeeeeeeeeeeeee" localSheetId="38" hidden="1">[1]weekly!#REF!</definedName>
    <definedName name="eeeeeeeeeeeeeeeeeeeeee" localSheetId="18" hidden="1">[1]weekly!#REF!</definedName>
    <definedName name="eeeeeeeeeeeeeeeeeeeeee" localSheetId="56" hidden="1">[1]weekly!#REF!</definedName>
    <definedName name="eeeeeeeeeeeeeeeeeeeeee" localSheetId="58" hidden="1">[1]weekly!#REF!</definedName>
    <definedName name="eeeeeeeeeeeeeeeeeeeeee" localSheetId="16" hidden="1">[1]weekly!#REF!</definedName>
    <definedName name="eeeeeeeeeeeeeeeeeeeeee" localSheetId="57" hidden="1">[1]weekly!#REF!</definedName>
    <definedName name="eeeeeeeeeeeeeeeeeeeeee" localSheetId="59" hidden="1">[1]weekly!#REF!</definedName>
    <definedName name="eeeeeeeeeeeeeeeeeeeeee" localSheetId="20" hidden="1">[1]weekly!#REF!</definedName>
    <definedName name="eeeeeeeeeeeeeeeeeeeeee" localSheetId="83" hidden="1">[1]weekly!#REF!</definedName>
    <definedName name="eeeeeeeeeeeeeeeeeeeeee" localSheetId="39" hidden="1">[1]weekly!#REF!</definedName>
    <definedName name="eeeeeeeeeeeeeeeeeeeeee" localSheetId="40" hidden="1">[1]weekly!#REF!</definedName>
    <definedName name="eeeeeeeeeeeeeeeeeeeeee" localSheetId="95" hidden="1">[1]weekly!#REF!</definedName>
    <definedName name="eeeeeeeeeeeeeeeeeeeeee" localSheetId="41" hidden="1">[1]weekly!#REF!</definedName>
    <definedName name="eeeeeeeeeeeeeeeeeeeeee" localSheetId="92" hidden="1">[1]weekly!#REF!</definedName>
    <definedName name="eeeeeeeeeeeeeeeeeeeeee" localSheetId="42" hidden="1">[1]weekly!#REF!</definedName>
    <definedName name="eeeeeeeeeeeeeeeeeeeeee" localSheetId="43" hidden="1">[1]weekly!#REF!</definedName>
    <definedName name="eeeeeeeeeeeeeeeeeeeeee" localSheetId="44" hidden="1">[1]weekly!#REF!</definedName>
    <definedName name="eeeeeeeeeeeeeeeeeeeeee" localSheetId="34" hidden="1">[1]weekly!#REF!</definedName>
    <definedName name="eeeeeeeeeeeeeeeeeeeeee" localSheetId="45" hidden="1">[1]weekly!#REF!</definedName>
    <definedName name="eeeeeeeeeeeeeeeeeeeeee" localSheetId="70" hidden="1">[1]weekly!#REF!</definedName>
    <definedName name="eeeeeeeeeeeeeeeeeeeeee" localSheetId="46" hidden="1">[1]weekly!#REF!</definedName>
    <definedName name="eeeeeeeeeeeeeeeeeeeeee" localSheetId="25" hidden="1">[1]weekly!#REF!</definedName>
    <definedName name="eeeeeeeeeeeeeeeeeeeeee" localSheetId="26" hidden="1">[1]weekly!#REF!</definedName>
    <definedName name="eeeeeeeeeeeeeeeeeeeeee" localSheetId="47" hidden="1">[1]weekly!#REF!</definedName>
    <definedName name="eeeeeeeeeeeeeeeeeeeeee" localSheetId="15" hidden="1">[1]weekly!#REF!</definedName>
    <definedName name="eeeeeeeeeeeeeeeeeeeeee" localSheetId="93" hidden="1">[1]weekly!#REF!</definedName>
    <definedName name="eeeeeeeeeeeeeeeeeeeeee" localSheetId="48" hidden="1">[1]weekly!#REF!</definedName>
    <definedName name="eeeeeeeeeeeeeeeeeeeeee" localSheetId="49" hidden="1">[1]weekly!#REF!</definedName>
    <definedName name="eeeeeeeeeeeeeeeeeeeeee" localSheetId="50" hidden="1">[1]weekly!#REF!</definedName>
    <definedName name="eeeeeeeeeeeeeeeeeeeeee" localSheetId="51" hidden="1">[1]weekly!#REF!</definedName>
    <definedName name="eeeeeeeeeeeeeeeeeeeeee" localSheetId="55" hidden="1">[1]weekly!#REF!</definedName>
    <definedName name="eeeeeeeeeeeeeeeeeeeeee" localSheetId="52" hidden="1">[1]weekly!#REF!</definedName>
    <definedName name="eeeeeeeeeeeeeeeeeeeeee" localSheetId="53" hidden="1">[1]weekly!#REF!</definedName>
    <definedName name="eeeeeeeeeeeeeeeeeeeeee" localSheetId="35" hidden="1">[1]weekly!#REF!</definedName>
    <definedName name="eeeeeeeeeeeeeeeeeeeeee" localSheetId="60" hidden="1">[1]weekly!#REF!</definedName>
    <definedName name="eeeeeeeeeeeeeeeeeeeeee" localSheetId="22" hidden="1">[1]weekly!#REF!</definedName>
    <definedName name="eeeeeeeeeeeeeeeeeeeeee" localSheetId="23" hidden="1">[1]weekly!#REF!</definedName>
    <definedName name="eeeeeeeeeeeeeeeeeeeeee" localSheetId="54" hidden="1">[1]weekly!#REF!</definedName>
    <definedName name="eeeeeeeeeeeeeeeeeeeeee" localSheetId="91" hidden="1">[1]weekly!#REF!</definedName>
    <definedName name="eeeeeeeeeeeeeeeeeeeeee" localSheetId="88" hidden="1">[1]weekly!#REF!</definedName>
    <definedName name="eeeeeeeeeeeeeeeeeeeeee" localSheetId="90" hidden="1">[1]weekly!#REF!</definedName>
    <definedName name="eeeeeeeeeeeeeeeeeeeeee" hidden="1">[1]weekly!#REF!</definedName>
    <definedName name="efeef" localSheetId="61" hidden="1">[1]weekly!#REF!</definedName>
    <definedName name="efeef" localSheetId="87" hidden="1">[1]weekly!#REF!</definedName>
    <definedName name="efeef" localSheetId="37" hidden="1">[1]weekly!#REF!</definedName>
    <definedName name="efeef" localSheetId="62" hidden="1">[1]weekly!#REF!</definedName>
    <definedName name="efeef" localSheetId="38" hidden="1">[1]weekly!#REF!</definedName>
    <definedName name="efeef" localSheetId="18" hidden="1">[1]weekly!#REF!</definedName>
    <definedName name="efeef" localSheetId="58" hidden="1">[1]weekly!#REF!</definedName>
    <definedName name="efeef" localSheetId="57" hidden="1">[1]weekly!#REF!</definedName>
    <definedName name="efeef" localSheetId="59" hidden="1">[1]weekly!#REF!</definedName>
    <definedName name="efeef" localSheetId="20" hidden="1">[1]weekly!#REF!</definedName>
    <definedName name="efeef" localSheetId="83" hidden="1">[1]weekly!#REF!</definedName>
    <definedName name="efeef" localSheetId="39" hidden="1">[1]weekly!#REF!</definedName>
    <definedName name="efeef" localSheetId="40" hidden="1">[1]weekly!#REF!</definedName>
    <definedName name="efeef" localSheetId="95" hidden="1">[1]weekly!#REF!</definedName>
    <definedName name="efeef" localSheetId="41" hidden="1">[1]weekly!#REF!</definedName>
    <definedName name="efeef" localSheetId="92" hidden="1">[1]weekly!#REF!</definedName>
    <definedName name="efeef" localSheetId="42" hidden="1">[1]weekly!#REF!</definedName>
    <definedName name="efeef" localSheetId="43" hidden="1">[1]weekly!#REF!</definedName>
    <definedName name="efeef" localSheetId="44" hidden="1">[1]weekly!#REF!</definedName>
    <definedName name="efeef" localSheetId="34" hidden="1">[1]weekly!#REF!</definedName>
    <definedName name="efeef" localSheetId="45" hidden="1">[1]weekly!#REF!</definedName>
    <definedName name="efeef" localSheetId="70" hidden="1">[1]weekly!#REF!</definedName>
    <definedName name="efeef" localSheetId="46" hidden="1">[1]weekly!#REF!</definedName>
    <definedName name="efeef" localSheetId="25" hidden="1">[1]weekly!#REF!</definedName>
    <definedName name="efeef" localSheetId="26" hidden="1">[1]weekly!#REF!</definedName>
    <definedName name="efeef" localSheetId="47" hidden="1">[1]weekly!#REF!</definedName>
    <definedName name="efeef" localSheetId="15" hidden="1">[1]weekly!#REF!</definedName>
    <definedName name="efeef" localSheetId="93" hidden="1">[1]weekly!#REF!</definedName>
    <definedName name="efeef" localSheetId="48" hidden="1">[1]weekly!#REF!</definedName>
    <definedName name="efeef" localSheetId="49" hidden="1">[1]weekly!#REF!</definedName>
    <definedName name="efeef" localSheetId="50" hidden="1">[1]weekly!#REF!</definedName>
    <definedName name="efeef" localSheetId="51" hidden="1">[1]weekly!#REF!</definedName>
    <definedName name="efeef" localSheetId="55" hidden="1">[1]weekly!#REF!</definedName>
    <definedName name="efeef" localSheetId="52" hidden="1">[1]weekly!#REF!</definedName>
    <definedName name="efeef" localSheetId="53" hidden="1">[1]weekly!#REF!</definedName>
    <definedName name="efeef" localSheetId="35" hidden="1">[1]weekly!#REF!</definedName>
    <definedName name="efeef" localSheetId="60" hidden="1">[1]weekly!#REF!</definedName>
    <definedName name="efeef" localSheetId="22" hidden="1">[1]weekly!#REF!</definedName>
    <definedName name="efeef" localSheetId="23" hidden="1">[1]weekly!#REF!</definedName>
    <definedName name="efeef" localSheetId="54" hidden="1">[1]weekly!#REF!</definedName>
    <definedName name="efeef" localSheetId="91" hidden="1">[1]weekly!#REF!</definedName>
    <definedName name="efeef" localSheetId="88" hidden="1">[1]weekly!#REF!</definedName>
    <definedName name="efeef" localSheetId="90" hidden="1">[1]weekly!#REF!</definedName>
    <definedName name="efeef" hidden="1">[1]weekly!#REF!</definedName>
    <definedName name="efefefefe" localSheetId="61" hidden="1">[1]weekly!#REF!</definedName>
    <definedName name="efefefefe" localSheetId="87" hidden="1">[1]weekly!#REF!</definedName>
    <definedName name="efefefefe" localSheetId="37" hidden="1">[1]weekly!#REF!</definedName>
    <definedName name="efefefefe" localSheetId="62" hidden="1">[1]weekly!#REF!</definedName>
    <definedName name="efefefefe" localSheetId="38" hidden="1">[1]weekly!#REF!</definedName>
    <definedName name="efefefefe" localSheetId="18" hidden="1">[1]weekly!#REF!</definedName>
    <definedName name="efefefefe" localSheetId="58" hidden="1">[1]weekly!#REF!</definedName>
    <definedName name="efefefefe" localSheetId="57" hidden="1">[1]weekly!#REF!</definedName>
    <definedName name="efefefefe" localSheetId="59" hidden="1">[1]weekly!#REF!</definedName>
    <definedName name="efefefefe" localSheetId="20" hidden="1">[1]weekly!#REF!</definedName>
    <definedName name="efefefefe" localSheetId="83" hidden="1">[1]weekly!#REF!</definedName>
    <definedName name="efefefefe" localSheetId="39" hidden="1">[1]weekly!#REF!</definedName>
    <definedName name="efefefefe" localSheetId="40" hidden="1">[1]weekly!#REF!</definedName>
    <definedName name="efefefefe" localSheetId="95" hidden="1">[1]weekly!#REF!</definedName>
    <definedName name="efefefefe" localSheetId="41" hidden="1">[1]weekly!#REF!</definedName>
    <definedName name="efefefefe" localSheetId="92" hidden="1">[1]weekly!#REF!</definedName>
    <definedName name="efefefefe" localSheetId="42" hidden="1">[1]weekly!#REF!</definedName>
    <definedName name="efefefefe" localSheetId="43" hidden="1">[1]weekly!#REF!</definedName>
    <definedName name="efefefefe" localSheetId="44" hidden="1">[1]weekly!#REF!</definedName>
    <definedName name="efefefefe" localSheetId="34" hidden="1">[1]weekly!#REF!</definedName>
    <definedName name="efefefefe" localSheetId="45" hidden="1">[1]weekly!#REF!</definedName>
    <definedName name="efefefefe" localSheetId="70" hidden="1">[1]weekly!#REF!</definedName>
    <definedName name="efefefefe" localSheetId="46" hidden="1">[1]weekly!#REF!</definedName>
    <definedName name="efefefefe" localSheetId="25" hidden="1">[1]weekly!#REF!</definedName>
    <definedName name="efefefefe" localSheetId="26" hidden="1">[1]weekly!#REF!</definedName>
    <definedName name="efefefefe" localSheetId="47" hidden="1">[1]weekly!#REF!</definedName>
    <definedName name="efefefefe" localSheetId="15" hidden="1">[1]weekly!#REF!</definedName>
    <definedName name="efefefefe" localSheetId="93" hidden="1">[1]weekly!#REF!</definedName>
    <definedName name="efefefefe" localSheetId="48" hidden="1">[1]weekly!#REF!</definedName>
    <definedName name="efefefefe" localSheetId="49" hidden="1">[1]weekly!#REF!</definedName>
    <definedName name="efefefefe" localSheetId="50" hidden="1">[1]weekly!#REF!</definedName>
    <definedName name="efefefefe" localSheetId="51" hidden="1">[1]weekly!#REF!</definedName>
    <definedName name="efefefefe" localSheetId="55" hidden="1">[1]weekly!#REF!</definedName>
    <definedName name="efefefefe" localSheetId="52" hidden="1">[1]weekly!#REF!</definedName>
    <definedName name="efefefefe" localSheetId="53" hidden="1">[1]weekly!#REF!</definedName>
    <definedName name="efefefefe" localSheetId="35" hidden="1">[1]weekly!#REF!</definedName>
    <definedName name="efefefefe" localSheetId="60" hidden="1">[1]weekly!#REF!</definedName>
    <definedName name="efefefefe" localSheetId="22" hidden="1">[1]weekly!#REF!</definedName>
    <definedName name="efefefefe" localSheetId="23" hidden="1">[1]weekly!#REF!</definedName>
    <definedName name="efefefefe" localSheetId="54" hidden="1">[1]weekly!#REF!</definedName>
    <definedName name="efefefefe" localSheetId="91" hidden="1">[1]weekly!#REF!</definedName>
    <definedName name="efefefefe" localSheetId="88" hidden="1">[1]weekly!#REF!</definedName>
    <definedName name="efefefefe" localSheetId="90" hidden="1">[1]weekly!#REF!</definedName>
    <definedName name="efefefefe" hidden="1">[1]weekly!#REF!</definedName>
    <definedName name="efefefefefe" localSheetId="61" hidden="1">[1]weekly!#REF!</definedName>
    <definedName name="efefefefefe" localSheetId="87" hidden="1">[1]weekly!#REF!</definedName>
    <definedName name="efefefefefe" localSheetId="37" hidden="1">[1]weekly!#REF!</definedName>
    <definedName name="efefefefefe" localSheetId="62" hidden="1">[1]weekly!#REF!</definedName>
    <definedName name="efefefefefe" localSheetId="38" hidden="1">[1]weekly!#REF!</definedName>
    <definedName name="efefefefefe" localSheetId="18" hidden="1">[1]weekly!#REF!</definedName>
    <definedName name="efefefefefe" localSheetId="58" hidden="1">[1]weekly!#REF!</definedName>
    <definedName name="efefefefefe" localSheetId="57" hidden="1">[1]weekly!#REF!</definedName>
    <definedName name="efefefefefe" localSheetId="59" hidden="1">[1]weekly!#REF!</definedName>
    <definedName name="efefefefefe" localSheetId="20" hidden="1">[1]weekly!#REF!</definedName>
    <definedName name="efefefefefe" localSheetId="83" hidden="1">[1]weekly!#REF!</definedName>
    <definedName name="efefefefefe" localSheetId="39" hidden="1">[1]weekly!#REF!</definedName>
    <definedName name="efefefefefe" localSheetId="40" hidden="1">[1]weekly!#REF!</definedName>
    <definedName name="efefefefefe" localSheetId="95" hidden="1">[1]weekly!#REF!</definedName>
    <definedName name="efefefefefe" localSheetId="41" hidden="1">[1]weekly!#REF!</definedName>
    <definedName name="efefefefefe" localSheetId="92" hidden="1">[1]weekly!#REF!</definedName>
    <definedName name="efefefefefe" localSheetId="42" hidden="1">[1]weekly!#REF!</definedName>
    <definedName name="efefefefefe" localSheetId="43" hidden="1">[1]weekly!#REF!</definedName>
    <definedName name="efefefefefe" localSheetId="44" hidden="1">[1]weekly!#REF!</definedName>
    <definedName name="efefefefefe" localSheetId="34" hidden="1">[1]weekly!#REF!</definedName>
    <definedName name="efefefefefe" localSheetId="45" hidden="1">[1]weekly!#REF!</definedName>
    <definedName name="efefefefefe" localSheetId="70" hidden="1">[1]weekly!#REF!</definedName>
    <definedName name="efefefefefe" localSheetId="46" hidden="1">[1]weekly!#REF!</definedName>
    <definedName name="efefefefefe" localSheetId="25" hidden="1">[1]weekly!#REF!</definedName>
    <definedName name="efefefefefe" localSheetId="26" hidden="1">[1]weekly!#REF!</definedName>
    <definedName name="efefefefefe" localSheetId="47" hidden="1">[1]weekly!#REF!</definedName>
    <definedName name="efefefefefe" localSheetId="15" hidden="1">[1]weekly!#REF!</definedName>
    <definedName name="efefefefefe" localSheetId="93" hidden="1">[1]weekly!#REF!</definedName>
    <definedName name="efefefefefe" localSheetId="48" hidden="1">[1]weekly!#REF!</definedName>
    <definedName name="efefefefefe" localSheetId="49" hidden="1">[1]weekly!#REF!</definedName>
    <definedName name="efefefefefe" localSheetId="50" hidden="1">[1]weekly!#REF!</definedName>
    <definedName name="efefefefefe" localSheetId="51" hidden="1">[1]weekly!#REF!</definedName>
    <definedName name="efefefefefe" localSheetId="55" hidden="1">[1]weekly!#REF!</definedName>
    <definedName name="efefefefefe" localSheetId="52" hidden="1">[1]weekly!#REF!</definedName>
    <definedName name="efefefefefe" localSheetId="53" hidden="1">[1]weekly!#REF!</definedName>
    <definedName name="efefefefefe" localSheetId="35" hidden="1">[1]weekly!#REF!</definedName>
    <definedName name="efefefefefe" localSheetId="60" hidden="1">[1]weekly!#REF!</definedName>
    <definedName name="efefefefefe" localSheetId="22" hidden="1">[1]weekly!#REF!</definedName>
    <definedName name="efefefefefe" localSheetId="23" hidden="1">[1]weekly!#REF!</definedName>
    <definedName name="efefefefefe" localSheetId="54" hidden="1">[1]weekly!#REF!</definedName>
    <definedName name="efefefefefe" localSheetId="91" hidden="1">[1]weekly!#REF!</definedName>
    <definedName name="efefefefefe" localSheetId="88" hidden="1">[1]weekly!#REF!</definedName>
    <definedName name="efefefefefe" localSheetId="90" hidden="1">[1]weekly!#REF!</definedName>
    <definedName name="efefefefefe" hidden="1">[1]weekly!#REF!</definedName>
    <definedName name="efefeffefefefefefefe" localSheetId="61" hidden="1">[1]weekly!#REF!</definedName>
    <definedName name="efefeffefefefefefefe" localSheetId="87" hidden="1">[1]weekly!#REF!</definedName>
    <definedName name="efefeffefefefefefefe" localSheetId="37" hidden="1">[1]weekly!#REF!</definedName>
    <definedName name="efefeffefefefefefefe" localSheetId="62" hidden="1">[1]weekly!#REF!</definedName>
    <definedName name="efefeffefefefefefefe" localSheetId="38" hidden="1">[1]weekly!#REF!</definedName>
    <definedName name="efefeffefefefefefefe" localSheetId="18" hidden="1">[1]weekly!#REF!</definedName>
    <definedName name="efefeffefefefefefefe" localSheetId="58" hidden="1">[1]weekly!#REF!</definedName>
    <definedName name="efefeffefefefefefefe" localSheetId="57" hidden="1">[1]weekly!#REF!</definedName>
    <definedName name="efefeffefefefefefefe" localSheetId="59" hidden="1">[1]weekly!#REF!</definedName>
    <definedName name="efefeffefefefefefefe" localSheetId="20" hidden="1">[1]weekly!#REF!</definedName>
    <definedName name="efefeffefefefefefefe" localSheetId="83" hidden="1">[1]weekly!#REF!</definedName>
    <definedName name="efefeffefefefefefefe" localSheetId="39" hidden="1">[1]weekly!#REF!</definedName>
    <definedName name="efefeffefefefefefefe" localSheetId="40" hidden="1">[1]weekly!#REF!</definedName>
    <definedName name="efefeffefefefefefefe" localSheetId="95" hidden="1">[1]weekly!#REF!</definedName>
    <definedName name="efefeffefefefefefefe" localSheetId="41" hidden="1">[1]weekly!#REF!</definedName>
    <definedName name="efefeffefefefefefefe" localSheetId="92" hidden="1">[1]weekly!#REF!</definedName>
    <definedName name="efefeffefefefefefefe" localSheetId="42" hidden="1">[1]weekly!#REF!</definedName>
    <definedName name="efefeffefefefefefefe" localSheetId="43" hidden="1">[1]weekly!#REF!</definedName>
    <definedName name="efefeffefefefefefefe" localSheetId="44" hidden="1">[1]weekly!#REF!</definedName>
    <definedName name="efefeffefefefefefefe" localSheetId="34" hidden="1">[1]weekly!#REF!</definedName>
    <definedName name="efefeffefefefefefefe" localSheetId="45" hidden="1">[1]weekly!#REF!</definedName>
    <definedName name="efefeffefefefefefefe" localSheetId="70" hidden="1">[1]weekly!#REF!</definedName>
    <definedName name="efefeffefefefefefefe" localSheetId="46" hidden="1">[1]weekly!#REF!</definedName>
    <definedName name="efefeffefefefefefefe" localSheetId="25" hidden="1">[1]weekly!#REF!</definedName>
    <definedName name="efefeffefefefefefefe" localSheetId="26" hidden="1">[1]weekly!#REF!</definedName>
    <definedName name="efefeffefefefefefefe" localSheetId="47" hidden="1">[1]weekly!#REF!</definedName>
    <definedName name="efefeffefefefefefefe" localSheetId="15" hidden="1">[1]weekly!#REF!</definedName>
    <definedName name="efefeffefefefefefefe" localSheetId="93" hidden="1">[1]weekly!#REF!</definedName>
    <definedName name="efefeffefefefefefefe" localSheetId="48" hidden="1">[1]weekly!#REF!</definedName>
    <definedName name="efefeffefefefefefefe" localSheetId="49" hidden="1">[1]weekly!#REF!</definedName>
    <definedName name="efefeffefefefefefefe" localSheetId="50" hidden="1">[1]weekly!#REF!</definedName>
    <definedName name="efefeffefefefefefefe" localSheetId="51" hidden="1">[1]weekly!#REF!</definedName>
    <definedName name="efefeffefefefefefefe" localSheetId="55" hidden="1">[1]weekly!#REF!</definedName>
    <definedName name="efefeffefefefefefefe" localSheetId="52" hidden="1">[1]weekly!#REF!</definedName>
    <definedName name="efefeffefefefefefefe" localSheetId="53" hidden="1">[1]weekly!#REF!</definedName>
    <definedName name="efefeffefefefefefefe" localSheetId="35" hidden="1">[1]weekly!#REF!</definedName>
    <definedName name="efefeffefefefefefefe" localSheetId="60" hidden="1">[1]weekly!#REF!</definedName>
    <definedName name="efefeffefefefefefefe" localSheetId="22" hidden="1">[1]weekly!#REF!</definedName>
    <definedName name="efefeffefefefefefefe" localSheetId="23" hidden="1">[1]weekly!#REF!</definedName>
    <definedName name="efefeffefefefefefefe" localSheetId="54" hidden="1">[1]weekly!#REF!</definedName>
    <definedName name="efefeffefefefefefefe" localSheetId="91" hidden="1">[1]weekly!#REF!</definedName>
    <definedName name="efefeffefefefefefefe" localSheetId="88" hidden="1">[1]weekly!#REF!</definedName>
    <definedName name="efefeffefefefefefefe" localSheetId="90" hidden="1">[1]weekly!#REF!</definedName>
    <definedName name="efefeffefefefefefefe" hidden="1">[1]weekly!#REF!</definedName>
    <definedName name="f" localSheetId="61" hidden="1">[1]weekly!#REF!</definedName>
    <definedName name="f" localSheetId="87" hidden="1">[1]weekly!#REF!</definedName>
    <definedName name="f" localSheetId="37" hidden="1">[1]weekly!#REF!</definedName>
    <definedName name="f" localSheetId="62" hidden="1">[1]weekly!#REF!</definedName>
    <definedName name="f" localSheetId="38" hidden="1">[1]weekly!#REF!</definedName>
    <definedName name="f" localSheetId="58" hidden="1">[1]weekly!#REF!</definedName>
    <definedName name="f" localSheetId="57" hidden="1">[1]weekly!#REF!</definedName>
    <definedName name="f" localSheetId="59" hidden="1">[1]weekly!#REF!</definedName>
    <definedName name="f" localSheetId="83" hidden="1">[1]weekly!#REF!</definedName>
    <definedName name="f" localSheetId="39" hidden="1">[1]weekly!#REF!</definedName>
    <definedName name="f" localSheetId="40" hidden="1">[1]weekly!#REF!</definedName>
    <definedName name="f" localSheetId="95" hidden="1">[1]weekly!#REF!</definedName>
    <definedName name="f" localSheetId="41" hidden="1">[1]weekly!#REF!</definedName>
    <definedName name="f" localSheetId="92" hidden="1">[1]weekly!#REF!</definedName>
    <definedName name="f" localSheetId="42" hidden="1">[1]weekly!#REF!</definedName>
    <definedName name="f" localSheetId="43" hidden="1">[1]weekly!#REF!</definedName>
    <definedName name="f" localSheetId="44" hidden="1">[1]weekly!#REF!</definedName>
    <definedName name="f" localSheetId="34" hidden="1">[1]weekly!#REF!</definedName>
    <definedName name="f" localSheetId="45" hidden="1">[1]weekly!#REF!</definedName>
    <definedName name="f" localSheetId="70" hidden="1">[1]weekly!#REF!</definedName>
    <definedName name="f" localSheetId="46" hidden="1">[1]weekly!#REF!</definedName>
    <definedName name="f" localSheetId="25" hidden="1">[1]weekly!#REF!</definedName>
    <definedName name="f" localSheetId="26" hidden="1">[1]weekly!#REF!</definedName>
    <definedName name="f" localSheetId="47" hidden="1">[1]weekly!#REF!</definedName>
    <definedName name="f" localSheetId="15" hidden="1">[1]weekly!#REF!</definedName>
    <definedName name="f" localSheetId="93" hidden="1">[1]weekly!#REF!</definedName>
    <definedName name="f" localSheetId="48" hidden="1">[1]weekly!#REF!</definedName>
    <definedName name="f" localSheetId="49" hidden="1">[1]weekly!#REF!</definedName>
    <definedName name="f" localSheetId="50" hidden="1">[1]weekly!#REF!</definedName>
    <definedName name="f" localSheetId="51" hidden="1">[1]weekly!#REF!</definedName>
    <definedName name="f" localSheetId="55" hidden="1">[1]weekly!#REF!</definedName>
    <definedName name="f" localSheetId="52" hidden="1">[1]weekly!#REF!</definedName>
    <definedName name="f" localSheetId="53" hidden="1">[1]weekly!#REF!</definedName>
    <definedName name="f" localSheetId="35" hidden="1">[1]weekly!#REF!</definedName>
    <definedName name="f" localSheetId="60" hidden="1">[1]weekly!#REF!</definedName>
    <definedName name="f" localSheetId="54" hidden="1">[1]weekly!#REF!</definedName>
    <definedName name="f" localSheetId="91" hidden="1">[1]weekly!#REF!</definedName>
    <definedName name="f" localSheetId="88" hidden="1">[1]weekly!#REF!</definedName>
    <definedName name="f" localSheetId="90" hidden="1">[1]weekly!#REF!</definedName>
    <definedName name="f" hidden="1">[1]weekly!#REF!</definedName>
    <definedName name="feefe" localSheetId="61" hidden="1">[1]weekly!#REF!</definedName>
    <definedName name="feefe" localSheetId="87" hidden="1">[1]weekly!#REF!</definedName>
    <definedName name="feefe" localSheetId="37" hidden="1">[1]weekly!#REF!</definedName>
    <definedName name="feefe" localSheetId="62" hidden="1">[1]weekly!#REF!</definedName>
    <definedName name="feefe" localSheetId="38" hidden="1">[1]weekly!#REF!</definedName>
    <definedName name="feefe" localSheetId="18" hidden="1">[1]weekly!#REF!</definedName>
    <definedName name="feefe" localSheetId="58" hidden="1">[1]weekly!#REF!</definedName>
    <definedName name="feefe" localSheetId="57" hidden="1">[1]weekly!#REF!</definedName>
    <definedName name="feefe" localSheetId="59" hidden="1">[1]weekly!#REF!</definedName>
    <definedName name="feefe" localSheetId="20" hidden="1">[1]weekly!#REF!</definedName>
    <definedName name="feefe" localSheetId="83" hidden="1">[1]weekly!#REF!</definedName>
    <definedName name="feefe" localSheetId="39" hidden="1">[1]weekly!#REF!</definedName>
    <definedName name="feefe" localSheetId="40" hidden="1">[1]weekly!#REF!</definedName>
    <definedName name="feefe" localSheetId="95" hidden="1">[1]weekly!#REF!</definedName>
    <definedName name="feefe" localSheetId="41" hidden="1">[1]weekly!#REF!</definedName>
    <definedName name="feefe" localSheetId="92" hidden="1">[1]weekly!#REF!</definedName>
    <definedName name="feefe" localSheetId="42" hidden="1">[1]weekly!#REF!</definedName>
    <definedName name="feefe" localSheetId="43" hidden="1">[1]weekly!#REF!</definedName>
    <definedName name="feefe" localSheetId="44" hidden="1">[1]weekly!#REF!</definedName>
    <definedName name="feefe" localSheetId="34" hidden="1">[1]weekly!#REF!</definedName>
    <definedName name="feefe" localSheetId="45" hidden="1">[1]weekly!#REF!</definedName>
    <definedName name="feefe" localSheetId="70" hidden="1">[1]weekly!#REF!</definedName>
    <definedName name="feefe" localSheetId="46" hidden="1">[1]weekly!#REF!</definedName>
    <definedName name="feefe" localSheetId="25" hidden="1">[1]weekly!#REF!</definedName>
    <definedName name="feefe" localSheetId="26" hidden="1">[1]weekly!#REF!</definedName>
    <definedName name="feefe" localSheetId="47" hidden="1">[1]weekly!#REF!</definedName>
    <definedName name="feefe" localSheetId="15" hidden="1">[1]weekly!#REF!</definedName>
    <definedName name="feefe" localSheetId="93" hidden="1">[1]weekly!#REF!</definedName>
    <definedName name="feefe" localSheetId="48" hidden="1">[1]weekly!#REF!</definedName>
    <definedName name="feefe" localSheetId="49" hidden="1">[1]weekly!#REF!</definedName>
    <definedName name="feefe" localSheetId="50" hidden="1">[1]weekly!#REF!</definedName>
    <definedName name="feefe" localSheetId="51" hidden="1">[1]weekly!#REF!</definedName>
    <definedName name="feefe" localSheetId="55" hidden="1">[1]weekly!#REF!</definedName>
    <definedName name="feefe" localSheetId="52" hidden="1">[1]weekly!#REF!</definedName>
    <definedName name="feefe" localSheetId="53" hidden="1">[1]weekly!#REF!</definedName>
    <definedName name="feefe" localSheetId="35" hidden="1">[1]weekly!#REF!</definedName>
    <definedName name="feefe" localSheetId="60" hidden="1">[1]weekly!#REF!</definedName>
    <definedName name="feefe" localSheetId="22" hidden="1">[1]weekly!#REF!</definedName>
    <definedName name="feefe" localSheetId="23" hidden="1">[1]weekly!#REF!</definedName>
    <definedName name="feefe" localSheetId="54" hidden="1">[1]weekly!#REF!</definedName>
    <definedName name="feefe" localSheetId="91" hidden="1">[1]weekly!#REF!</definedName>
    <definedName name="feefe" localSheetId="88" hidden="1">[1]weekly!#REF!</definedName>
    <definedName name="feefe" localSheetId="90" hidden="1">[1]weekly!#REF!</definedName>
    <definedName name="feefe" hidden="1">[1]weekly!#REF!</definedName>
    <definedName name="fefefefeef" localSheetId="61" hidden="1">[1]weekly!#REF!</definedName>
    <definedName name="fefefefeef" localSheetId="87" hidden="1">[1]weekly!#REF!</definedName>
    <definedName name="fefefefeef" localSheetId="37" hidden="1">[1]weekly!#REF!</definedName>
    <definedName name="fefefefeef" localSheetId="62" hidden="1">[1]weekly!#REF!</definedName>
    <definedName name="fefefefeef" localSheetId="38" hidden="1">[1]weekly!#REF!</definedName>
    <definedName name="fefefefeef" localSheetId="18" hidden="1">[1]weekly!#REF!</definedName>
    <definedName name="fefefefeef" localSheetId="58" hidden="1">[1]weekly!#REF!</definedName>
    <definedName name="fefefefeef" localSheetId="57" hidden="1">[1]weekly!#REF!</definedName>
    <definedName name="fefefefeef" localSheetId="59" hidden="1">[1]weekly!#REF!</definedName>
    <definedName name="fefefefeef" localSheetId="20" hidden="1">[1]weekly!#REF!</definedName>
    <definedName name="fefefefeef" localSheetId="83" hidden="1">[1]weekly!#REF!</definedName>
    <definedName name="fefefefeef" localSheetId="39" hidden="1">[1]weekly!#REF!</definedName>
    <definedName name="fefefefeef" localSheetId="40" hidden="1">[1]weekly!#REF!</definedName>
    <definedName name="fefefefeef" localSheetId="95" hidden="1">[1]weekly!#REF!</definedName>
    <definedName name="fefefefeef" localSheetId="41" hidden="1">[1]weekly!#REF!</definedName>
    <definedName name="fefefefeef" localSheetId="92" hidden="1">[1]weekly!#REF!</definedName>
    <definedName name="fefefefeef" localSheetId="42" hidden="1">[1]weekly!#REF!</definedName>
    <definedName name="fefefefeef" localSheetId="43" hidden="1">[1]weekly!#REF!</definedName>
    <definedName name="fefefefeef" localSheetId="44" hidden="1">[1]weekly!#REF!</definedName>
    <definedName name="fefefefeef" localSheetId="34" hidden="1">[1]weekly!#REF!</definedName>
    <definedName name="fefefefeef" localSheetId="45" hidden="1">[1]weekly!#REF!</definedName>
    <definedName name="fefefefeef" localSheetId="70" hidden="1">[1]weekly!#REF!</definedName>
    <definedName name="fefefefeef" localSheetId="46" hidden="1">[1]weekly!#REF!</definedName>
    <definedName name="fefefefeef" localSheetId="25" hidden="1">[1]weekly!#REF!</definedName>
    <definedName name="fefefefeef" localSheetId="26" hidden="1">[1]weekly!#REF!</definedName>
    <definedName name="fefefefeef" localSheetId="47" hidden="1">[1]weekly!#REF!</definedName>
    <definedName name="fefefefeef" localSheetId="15" hidden="1">[1]weekly!#REF!</definedName>
    <definedName name="fefefefeef" localSheetId="93" hidden="1">[1]weekly!#REF!</definedName>
    <definedName name="fefefefeef" localSheetId="48" hidden="1">[1]weekly!#REF!</definedName>
    <definedName name="fefefefeef" localSheetId="49" hidden="1">[1]weekly!#REF!</definedName>
    <definedName name="fefefefeef" localSheetId="50" hidden="1">[1]weekly!#REF!</definedName>
    <definedName name="fefefefeef" localSheetId="51" hidden="1">[1]weekly!#REF!</definedName>
    <definedName name="fefefefeef" localSheetId="55" hidden="1">[1]weekly!#REF!</definedName>
    <definedName name="fefefefeef" localSheetId="52" hidden="1">[1]weekly!#REF!</definedName>
    <definedName name="fefefefeef" localSheetId="53" hidden="1">[1]weekly!#REF!</definedName>
    <definedName name="fefefefeef" localSheetId="35" hidden="1">[1]weekly!#REF!</definedName>
    <definedName name="fefefefeef" localSheetId="60" hidden="1">[1]weekly!#REF!</definedName>
    <definedName name="fefefefeef" localSheetId="22" hidden="1">[1]weekly!#REF!</definedName>
    <definedName name="fefefefeef" localSheetId="23" hidden="1">[1]weekly!#REF!</definedName>
    <definedName name="fefefefeef" localSheetId="54" hidden="1">[1]weekly!#REF!</definedName>
    <definedName name="fefefefeef" localSheetId="91" hidden="1">[1]weekly!#REF!</definedName>
    <definedName name="fefefefeef" localSheetId="88" hidden="1">[1]weekly!#REF!</definedName>
    <definedName name="fefefefeef" localSheetId="90" hidden="1">[1]weekly!#REF!</definedName>
    <definedName name="fefefefeef" hidden="1">[1]weekly!#REF!</definedName>
    <definedName name="fefefefef" localSheetId="61" hidden="1">[1]weekly!#REF!</definedName>
    <definedName name="fefefefef" localSheetId="87" hidden="1">[1]weekly!#REF!</definedName>
    <definedName name="fefefefef" localSheetId="37" hidden="1">[1]weekly!#REF!</definedName>
    <definedName name="fefefefef" localSheetId="62" hidden="1">[1]weekly!#REF!</definedName>
    <definedName name="fefefefef" localSheetId="38" hidden="1">[1]weekly!#REF!</definedName>
    <definedName name="fefefefef" localSheetId="18" hidden="1">[1]weekly!#REF!</definedName>
    <definedName name="fefefefef" localSheetId="58" hidden="1">[1]weekly!#REF!</definedName>
    <definedName name="fefefefef" localSheetId="57" hidden="1">[1]weekly!#REF!</definedName>
    <definedName name="fefefefef" localSheetId="59" hidden="1">[1]weekly!#REF!</definedName>
    <definedName name="fefefefef" localSheetId="20" hidden="1">[1]weekly!#REF!</definedName>
    <definedName name="fefefefef" localSheetId="83" hidden="1">[1]weekly!#REF!</definedName>
    <definedName name="fefefefef" localSheetId="39" hidden="1">[1]weekly!#REF!</definedName>
    <definedName name="fefefefef" localSheetId="40" hidden="1">[1]weekly!#REF!</definedName>
    <definedName name="fefefefef" localSheetId="95" hidden="1">[1]weekly!#REF!</definedName>
    <definedName name="fefefefef" localSheetId="41" hidden="1">[1]weekly!#REF!</definedName>
    <definedName name="fefefefef" localSheetId="92" hidden="1">[1]weekly!#REF!</definedName>
    <definedName name="fefefefef" localSheetId="42" hidden="1">[1]weekly!#REF!</definedName>
    <definedName name="fefefefef" localSheetId="43" hidden="1">[1]weekly!#REF!</definedName>
    <definedName name="fefefefef" localSheetId="44" hidden="1">[1]weekly!#REF!</definedName>
    <definedName name="fefefefef" localSheetId="34" hidden="1">[1]weekly!#REF!</definedName>
    <definedName name="fefefefef" localSheetId="45" hidden="1">[1]weekly!#REF!</definedName>
    <definedName name="fefefefef" localSheetId="70" hidden="1">[1]weekly!#REF!</definedName>
    <definedName name="fefefefef" localSheetId="46" hidden="1">[1]weekly!#REF!</definedName>
    <definedName name="fefefefef" localSheetId="25" hidden="1">[1]weekly!#REF!</definedName>
    <definedName name="fefefefef" localSheetId="26" hidden="1">[1]weekly!#REF!</definedName>
    <definedName name="fefefefef" localSheetId="47" hidden="1">[1]weekly!#REF!</definedName>
    <definedName name="fefefefef" localSheetId="15" hidden="1">[1]weekly!#REF!</definedName>
    <definedName name="fefefefef" localSheetId="93" hidden="1">[1]weekly!#REF!</definedName>
    <definedName name="fefefefef" localSheetId="48" hidden="1">[1]weekly!#REF!</definedName>
    <definedName name="fefefefef" localSheetId="49" hidden="1">[1]weekly!#REF!</definedName>
    <definedName name="fefefefef" localSheetId="50" hidden="1">[1]weekly!#REF!</definedName>
    <definedName name="fefefefef" localSheetId="51" hidden="1">[1]weekly!#REF!</definedName>
    <definedName name="fefefefef" localSheetId="55" hidden="1">[1]weekly!#REF!</definedName>
    <definedName name="fefefefef" localSheetId="52" hidden="1">[1]weekly!#REF!</definedName>
    <definedName name="fefefefef" localSheetId="53" hidden="1">[1]weekly!#REF!</definedName>
    <definedName name="fefefefef" localSheetId="35" hidden="1">[1]weekly!#REF!</definedName>
    <definedName name="fefefefef" localSheetId="60" hidden="1">[1]weekly!#REF!</definedName>
    <definedName name="fefefefef" localSheetId="22" hidden="1">[1]weekly!#REF!</definedName>
    <definedName name="fefefefef" localSheetId="23" hidden="1">[1]weekly!#REF!</definedName>
    <definedName name="fefefefef" localSheetId="54" hidden="1">[1]weekly!#REF!</definedName>
    <definedName name="fefefefef" localSheetId="91" hidden="1">[1]weekly!#REF!</definedName>
    <definedName name="fefefefef" localSheetId="88" hidden="1">[1]weekly!#REF!</definedName>
    <definedName name="fefefefef" localSheetId="90" hidden="1">[1]weekly!#REF!</definedName>
    <definedName name="fefefefef" hidden="1">[1]weekly!#REF!</definedName>
    <definedName name="fefefefefefe" localSheetId="61" hidden="1">[1]weekly!#REF!</definedName>
    <definedName name="fefefefefefe" localSheetId="87" hidden="1">[1]weekly!#REF!</definedName>
    <definedName name="fefefefefefe" localSheetId="37" hidden="1">[1]weekly!#REF!</definedName>
    <definedName name="fefefefefefe" localSheetId="62" hidden="1">[1]weekly!#REF!</definedName>
    <definedName name="fefefefefefe" localSheetId="38" hidden="1">[1]weekly!#REF!</definedName>
    <definedName name="fefefefefefe" localSheetId="18" hidden="1">[1]weekly!#REF!</definedName>
    <definedName name="fefefefefefe" localSheetId="58" hidden="1">[1]weekly!#REF!</definedName>
    <definedName name="fefefefefefe" localSheetId="57" hidden="1">[1]weekly!#REF!</definedName>
    <definedName name="fefefefefefe" localSheetId="59" hidden="1">[1]weekly!#REF!</definedName>
    <definedName name="fefefefefefe" localSheetId="20" hidden="1">[1]weekly!#REF!</definedName>
    <definedName name="fefefefefefe" localSheetId="83" hidden="1">[1]weekly!#REF!</definedName>
    <definedName name="fefefefefefe" localSheetId="39" hidden="1">[1]weekly!#REF!</definedName>
    <definedName name="fefefefefefe" localSheetId="40" hidden="1">[1]weekly!#REF!</definedName>
    <definedName name="fefefefefefe" localSheetId="95" hidden="1">[1]weekly!#REF!</definedName>
    <definedName name="fefefefefefe" localSheetId="41" hidden="1">[1]weekly!#REF!</definedName>
    <definedName name="fefefefefefe" localSheetId="92" hidden="1">[1]weekly!#REF!</definedName>
    <definedName name="fefefefefefe" localSheetId="42" hidden="1">[1]weekly!#REF!</definedName>
    <definedName name="fefefefefefe" localSheetId="43" hidden="1">[1]weekly!#REF!</definedName>
    <definedName name="fefefefefefe" localSheetId="44" hidden="1">[1]weekly!#REF!</definedName>
    <definedName name="fefefefefefe" localSheetId="34" hidden="1">[1]weekly!#REF!</definedName>
    <definedName name="fefefefefefe" localSheetId="45" hidden="1">[1]weekly!#REF!</definedName>
    <definedName name="fefefefefefe" localSheetId="70" hidden="1">[1]weekly!#REF!</definedName>
    <definedName name="fefefefefefe" localSheetId="46" hidden="1">[1]weekly!#REF!</definedName>
    <definedName name="fefefefefefe" localSheetId="25" hidden="1">[1]weekly!#REF!</definedName>
    <definedName name="fefefefefefe" localSheetId="26" hidden="1">[1]weekly!#REF!</definedName>
    <definedName name="fefefefefefe" localSheetId="47" hidden="1">[1]weekly!#REF!</definedName>
    <definedName name="fefefefefefe" localSheetId="15" hidden="1">[1]weekly!#REF!</definedName>
    <definedName name="fefefefefefe" localSheetId="93" hidden="1">[1]weekly!#REF!</definedName>
    <definedName name="fefefefefefe" localSheetId="48" hidden="1">[1]weekly!#REF!</definedName>
    <definedName name="fefefefefefe" localSheetId="49" hidden="1">[1]weekly!#REF!</definedName>
    <definedName name="fefefefefefe" localSheetId="50" hidden="1">[1]weekly!#REF!</definedName>
    <definedName name="fefefefefefe" localSheetId="51" hidden="1">[1]weekly!#REF!</definedName>
    <definedName name="fefefefefefe" localSheetId="55" hidden="1">[1]weekly!#REF!</definedName>
    <definedName name="fefefefefefe" localSheetId="52" hidden="1">[1]weekly!#REF!</definedName>
    <definedName name="fefefefefefe" localSheetId="53" hidden="1">[1]weekly!#REF!</definedName>
    <definedName name="fefefefefefe" localSheetId="35" hidden="1">[1]weekly!#REF!</definedName>
    <definedName name="fefefefefefe" localSheetId="60" hidden="1">[1]weekly!#REF!</definedName>
    <definedName name="fefefefefefe" localSheetId="22" hidden="1">[1]weekly!#REF!</definedName>
    <definedName name="fefefefefefe" localSheetId="23" hidden="1">[1]weekly!#REF!</definedName>
    <definedName name="fefefefefefe" localSheetId="54" hidden="1">[1]weekly!#REF!</definedName>
    <definedName name="fefefefefefe" localSheetId="91" hidden="1">[1]weekly!#REF!</definedName>
    <definedName name="fefefefefefe" localSheetId="88" hidden="1">[1]weekly!#REF!</definedName>
    <definedName name="fefefefefefe" localSheetId="90" hidden="1">[1]weekly!#REF!</definedName>
    <definedName name="fefefefefefe" hidden="1">[1]weekly!#REF!</definedName>
    <definedName name="ff" localSheetId="61" hidden="1">[1]weekly!#REF!</definedName>
    <definedName name="ff" localSheetId="87" hidden="1">[1]weekly!#REF!</definedName>
    <definedName name="ff" localSheetId="37" hidden="1">[1]weekly!#REF!</definedName>
    <definedName name="ff" localSheetId="62" hidden="1">[1]weekly!#REF!</definedName>
    <definedName name="ff" localSheetId="38" hidden="1">[1]weekly!#REF!</definedName>
    <definedName name="ff" localSheetId="58" hidden="1">[1]weekly!#REF!</definedName>
    <definedName name="ff" localSheetId="57" hidden="1">[1]weekly!#REF!</definedName>
    <definedName name="ff" localSheetId="59" hidden="1">[1]weekly!#REF!</definedName>
    <definedName name="ff" localSheetId="83" hidden="1">[1]weekly!#REF!</definedName>
    <definedName name="ff" localSheetId="39" hidden="1">[1]weekly!#REF!</definedName>
    <definedName name="ff" localSheetId="40" hidden="1">[1]weekly!#REF!</definedName>
    <definedName name="ff" localSheetId="95" hidden="1">[1]weekly!#REF!</definedName>
    <definedName name="ff" localSheetId="41" hidden="1">[1]weekly!#REF!</definedName>
    <definedName name="ff" localSheetId="92" hidden="1">[1]weekly!#REF!</definedName>
    <definedName name="ff" localSheetId="42" hidden="1">[1]weekly!#REF!</definedName>
    <definedName name="ff" localSheetId="43" hidden="1">[1]weekly!#REF!</definedName>
    <definedName name="ff" localSheetId="44" hidden="1">[1]weekly!#REF!</definedName>
    <definedName name="ff" localSheetId="34" hidden="1">[1]weekly!#REF!</definedName>
    <definedName name="ff" localSheetId="45" hidden="1">[1]weekly!#REF!</definedName>
    <definedName name="ff" localSheetId="70" hidden="1">[1]weekly!#REF!</definedName>
    <definedName name="ff" localSheetId="46" hidden="1">[1]weekly!#REF!</definedName>
    <definedName name="ff" localSheetId="25" hidden="1">[1]weekly!#REF!</definedName>
    <definedName name="ff" localSheetId="26" hidden="1">[1]weekly!#REF!</definedName>
    <definedName name="ff" localSheetId="47" hidden="1">[1]weekly!#REF!</definedName>
    <definedName name="ff" localSheetId="15" hidden="1">[1]weekly!#REF!</definedName>
    <definedName name="ff" localSheetId="93" hidden="1">[1]weekly!#REF!</definedName>
    <definedName name="ff" localSheetId="3" hidden="1">[1]weekly!#REF!</definedName>
    <definedName name="ff" localSheetId="48" hidden="1">[1]weekly!#REF!</definedName>
    <definedName name="ff" localSheetId="49" hidden="1">[1]weekly!#REF!</definedName>
    <definedName name="ff" localSheetId="50" hidden="1">[1]weekly!#REF!</definedName>
    <definedName name="ff" localSheetId="51" hidden="1">[1]weekly!#REF!</definedName>
    <definedName name="ff" localSheetId="55" hidden="1">[1]weekly!#REF!</definedName>
    <definedName name="ff" localSheetId="52" hidden="1">[1]weekly!#REF!</definedName>
    <definedName name="ff" localSheetId="53" hidden="1">[1]weekly!#REF!</definedName>
    <definedName name="ff" localSheetId="35" hidden="1">[1]weekly!#REF!</definedName>
    <definedName name="ff" localSheetId="60" hidden="1">[1]weekly!#REF!</definedName>
    <definedName name="ff" localSheetId="54" hidden="1">[1]weekly!#REF!</definedName>
    <definedName name="ff" localSheetId="91" hidden="1">[1]weekly!#REF!</definedName>
    <definedName name="ff" localSheetId="88" hidden="1">[1]weekly!#REF!</definedName>
    <definedName name="ff" localSheetId="90" hidden="1">[1]weekly!#REF!</definedName>
    <definedName name="ff" hidden="1">[1]weekly!#REF!</definedName>
    <definedName name="fff" localSheetId="61" hidden="1">[1]weekly!#REF!</definedName>
    <definedName name="fff" localSheetId="87" hidden="1">[1]weekly!#REF!</definedName>
    <definedName name="fff" localSheetId="37" hidden="1">[1]weekly!#REF!</definedName>
    <definedName name="fff" localSheetId="62" hidden="1">[1]weekly!#REF!</definedName>
    <definedName name="fff" localSheetId="38" hidden="1">[1]weekly!#REF!</definedName>
    <definedName name="fff" localSheetId="58" hidden="1">[1]weekly!#REF!</definedName>
    <definedName name="fff" localSheetId="57" hidden="1">[1]weekly!#REF!</definedName>
    <definedName name="fff" localSheetId="59" hidden="1">[1]weekly!#REF!</definedName>
    <definedName name="fff" localSheetId="83" hidden="1">[1]weekly!#REF!</definedName>
    <definedName name="fff" localSheetId="39" hidden="1">[1]weekly!#REF!</definedName>
    <definedName name="fff" localSheetId="40" hidden="1">[1]weekly!#REF!</definedName>
    <definedName name="fff" localSheetId="95" hidden="1">[1]weekly!#REF!</definedName>
    <definedName name="fff" localSheetId="41" hidden="1">[1]weekly!#REF!</definedName>
    <definedName name="fff" localSheetId="92" hidden="1">[1]weekly!#REF!</definedName>
    <definedName name="fff" localSheetId="42" hidden="1">[1]weekly!#REF!</definedName>
    <definedName name="fff" localSheetId="43" hidden="1">[1]weekly!#REF!</definedName>
    <definedName name="fff" localSheetId="44" hidden="1">[1]weekly!#REF!</definedName>
    <definedName name="fff" localSheetId="34" hidden="1">[1]weekly!#REF!</definedName>
    <definedName name="fff" localSheetId="45" hidden="1">[1]weekly!#REF!</definedName>
    <definedName name="fff" localSheetId="70" hidden="1">[1]weekly!#REF!</definedName>
    <definedName name="fff" localSheetId="46" hidden="1">[1]weekly!#REF!</definedName>
    <definedName name="fff" localSheetId="25" hidden="1">[1]weekly!#REF!</definedName>
    <definedName name="fff" localSheetId="26" hidden="1">[1]weekly!#REF!</definedName>
    <definedName name="fff" localSheetId="47" hidden="1">[1]weekly!#REF!</definedName>
    <definedName name="fff" localSheetId="15" hidden="1">[1]weekly!#REF!</definedName>
    <definedName name="fff" localSheetId="93" hidden="1">[1]weekly!#REF!</definedName>
    <definedName name="fff" localSheetId="48" hidden="1">[1]weekly!#REF!</definedName>
    <definedName name="fff" localSheetId="49" hidden="1">[1]weekly!#REF!</definedName>
    <definedName name="fff" localSheetId="50" hidden="1">[1]weekly!#REF!</definedName>
    <definedName name="fff" localSheetId="51" hidden="1">[1]weekly!#REF!</definedName>
    <definedName name="fff" localSheetId="55" hidden="1">[1]weekly!#REF!</definedName>
    <definedName name="fff" localSheetId="52" hidden="1">[1]weekly!#REF!</definedName>
    <definedName name="fff" localSheetId="53" hidden="1">[1]weekly!#REF!</definedName>
    <definedName name="fff" localSheetId="35" hidden="1">[1]weekly!#REF!</definedName>
    <definedName name="fff" localSheetId="60" hidden="1">[1]weekly!#REF!</definedName>
    <definedName name="fff" localSheetId="54" hidden="1">[1]weekly!#REF!</definedName>
    <definedName name="fff" localSheetId="91" hidden="1">[1]weekly!#REF!</definedName>
    <definedName name="fff" localSheetId="88" hidden="1">[1]weekly!#REF!</definedName>
    <definedName name="fff" localSheetId="90" hidden="1">[1]weekly!#REF!</definedName>
    <definedName name="fff" hidden="1">[1]weekly!#REF!</definedName>
    <definedName name="ffff" localSheetId="61" hidden="1">[1]weekly!#REF!</definedName>
    <definedName name="ffff" localSheetId="87" hidden="1">[1]weekly!#REF!</definedName>
    <definedName name="ffff" localSheetId="37" hidden="1">[1]weekly!#REF!</definedName>
    <definedName name="ffff" localSheetId="62" hidden="1">[1]weekly!#REF!</definedName>
    <definedName name="ffff" localSheetId="38" hidden="1">[1]weekly!#REF!</definedName>
    <definedName name="ffff" localSheetId="18" hidden="1">[1]weekly!#REF!</definedName>
    <definedName name="ffff" localSheetId="56" hidden="1">[1]weekly!#REF!</definedName>
    <definedName name="ffff" localSheetId="58" hidden="1">[1]weekly!#REF!</definedName>
    <definedName name="ffff" localSheetId="16" hidden="1">[1]weekly!#REF!</definedName>
    <definedName name="ffff" localSheetId="57" hidden="1">[1]weekly!#REF!</definedName>
    <definedName name="ffff" localSheetId="59" hidden="1">[1]weekly!#REF!</definedName>
    <definedName name="ffff" localSheetId="17" hidden="1">[1]weekly!#REF!</definedName>
    <definedName name="ffff" localSheetId="20" hidden="1">[1]weekly!#REF!</definedName>
    <definedName name="ffff" localSheetId="83" hidden="1">[1]weekly!#REF!</definedName>
    <definedName name="ffff" localSheetId="39" hidden="1">[1]weekly!#REF!</definedName>
    <definedName name="ffff" localSheetId="40" hidden="1">[1]weekly!#REF!</definedName>
    <definedName name="ffff" localSheetId="95" hidden="1">[1]weekly!#REF!</definedName>
    <definedName name="ffff" localSheetId="41" hidden="1">[1]weekly!#REF!</definedName>
    <definedName name="ffff" localSheetId="92" hidden="1">[1]weekly!#REF!</definedName>
    <definedName name="ffff" localSheetId="42" hidden="1">[1]weekly!#REF!</definedName>
    <definedName name="ffff" localSheetId="43" hidden="1">[1]weekly!#REF!</definedName>
    <definedName name="ffff" localSheetId="44" hidden="1">[1]weekly!#REF!</definedName>
    <definedName name="ffff" localSheetId="34" hidden="1">[1]weekly!#REF!</definedName>
    <definedName name="ffff" localSheetId="45" hidden="1">[1]weekly!#REF!</definedName>
    <definedName name="ffff" localSheetId="70" hidden="1">[1]weekly!#REF!</definedName>
    <definedName name="ffff" localSheetId="46" hidden="1">[1]weekly!#REF!</definedName>
    <definedName name="ffff" localSheetId="25" hidden="1">[1]weekly!#REF!</definedName>
    <definedName name="ffff" localSheetId="26" hidden="1">[1]weekly!#REF!</definedName>
    <definedName name="ffff" localSheetId="47" hidden="1">[1]weekly!#REF!</definedName>
    <definedName name="ffff" localSheetId="15" hidden="1">[1]weekly!#REF!</definedName>
    <definedName name="ffff" localSheetId="93" hidden="1">[1]weekly!#REF!</definedName>
    <definedName name="ffff" localSheetId="48" hidden="1">[1]weekly!#REF!</definedName>
    <definedName name="ffff" localSheetId="49" hidden="1">[1]weekly!#REF!</definedName>
    <definedName name="ffff" localSheetId="50" hidden="1">[1]weekly!#REF!</definedName>
    <definedName name="ffff" localSheetId="51" hidden="1">[1]weekly!#REF!</definedName>
    <definedName name="ffff" localSheetId="55" hidden="1">[1]weekly!#REF!</definedName>
    <definedName name="ffff" localSheetId="52" hidden="1">[1]weekly!#REF!</definedName>
    <definedName name="ffff" localSheetId="53" hidden="1">[1]weekly!#REF!</definedName>
    <definedName name="ffff" localSheetId="35" hidden="1">[1]weekly!#REF!</definedName>
    <definedName name="ffff" localSheetId="60" hidden="1">[1]weekly!#REF!</definedName>
    <definedName name="ffff" localSheetId="22" hidden="1">[1]weekly!#REF!</definedName>
    <definedName name="ffff" localSheetId="23" hidden="1">[1]weekly!#REF!</definedName>
    <definedName name="ffff" localSheetId="54" hidden="1">[1]weekly!#REF!</definedName>
    <definedName name="ffff" localSheetId="91" hidden="1">[1]weekly!#REF!</definedName>
    <definedName name="ffff" localSheetId="88" hidden="1">[1]weekly!#REF!</definedName>
    <definedName name="ffff" localSheetId="90" hidden="1">[1]weekly!#REF!</definedName>
    <definedName name="ffff" hidden="1">[1]weekly!#REF!</definedName>
    <definedName name="fffffffffffffffffffffffff" localSheetId="61" hidden="1">[1]weekly!#REF!</definedName>
    <definedName name="fffffffffffffffffffffffff" localSheetId="87" hidden="1">[1]weekly!#REF!</definedName>
    <definedName name="fffffffffffffffffffffffff" localSheetId="37" hidden="1">[1]weekly!#REF!</definedName>
    <definedName name="fffffffffffffffffffffffff" localSheetId="62" hidden="1">[1]weekly!#REF!</definedName>
    <definedName name="fffffffffffffffffffffffff" localSheetId="38" hidden="1">[1]weekly!#REF!</definedName>
    <definedName name="fffffffffffffffffffffffff" localSheetId="18" hidden="1">[1]weekly!#REF!</definedName>
    <definedName name="fffffffffffffffffffffffff" localSheetId="56" hidden="1">[1]weekly!#REF!</definedName>
    <definedName name="fffffffffffffffffffffffff" localSheetId="58" hidden="1">[1]weekly!#REF!</definedName>
    <definedName name="fffffffffffffffffffffffff" localSheetId="16" hidden="1">[1]weekly!#REF!</definedName>
    <definedName name="fffffffffffffffffffffffff" localSheetId="57" hidden="1">[1]weekly!#REF!</definedName>
    <definedName name="fffffffffffffffffffffffff" localSheetId="59" hidden="1">[1]weekly!#REF!</definedName>
    <definedName name="fffffffffffffffffffffffff" localSheetId="20" hidden="1">[1]weekly!#REF!</definedName>
    <definedName name="fffffffffffffffffffffffff" localSheetId="83" hidden="1">[1]weekly!#REF!</definedName>
    <definedName name="fffffffffffffffffffffffff" localSheetId="39" hidden="1">[1]weekly!#REF!</definedName>
    <definedName name="fffffffffffffffffffffffff" localSheetId="40" hidden="1">[1]weekly!#REF!</definedName>
    <definedName name="fffffffffffffffffffffffff" localSheetId="95" hidden="1">[1]weekly!#REF!</definedName>
    <definedName name="fffffffffffffffffffffffff" localSheetId="41" hidden="1">[1]weekly!#REF!</definedName>
    <definedName name="fffffffffffffffffffffffff" localSheetId="92" hidden="1">[1]weekly!#REF!</definedName>
    <definedName name="fffffffffffffffffffffffff" localSheetId="42" hidden="1">[1]weekly!#REF!</definedName>
    <definedName name="fffffffffffffffffffffffff" localSheetId="43" hidden="1">[1]weekly!#REF!</definedName>
    <definedName name="fffffffffffffffffffffffff" localSheetId="44" hidden="1">[1]weekly!#REF!</definedName>
    <definedName name="fffffffffffffffffffffffff" localSheetId="34" hidden="1">[1]weekly!#REF!</definedName>
    <definedName name="fffffffffffffffffffffffff" localSheetId="45" hidden="1">[1]weekly!#REF!</definedName>
    <definedName name="fffffffffffffffffffffffff" localSheetId="70" hidden="1">[1]weekly!#REF!</definedName>
    <definedName name="fffffffffffffffffffffffff" localSheetId="46" hidden="1">[1]weekly!#REF!</definedName>
    <definedName name="fffffffffffffffffffffffff" localSheetId="25" hidden="1">[1]weekly!#REF!</definedName>
    <definedName name="fffffffffffffffffffffffff" localSheetId="26" hidden="1">[1]weekly!#REF!</definedName>
    <definedName name="fffffffffffffffffffffffff" localSheetId="47" hidden="1">[1]weekly!#REF!</definedName>
    <definedName name="fffffffffffffffffffffffff" localSheetId="15" hidden="1">[1]weekly!#REF!</definedName>
    <definedName name="fffffffffffffffffffffffff" localSheetId="93" hidden="1">[1]weekly!#REF!</definedName>
    <definedName name="fffffffffffffffffffffffff" localSheetId="48" hidden="1">[1]weekly!#REF!</definedName>
    <definedName name="fffffffffffffffffffffffff" localSheetId="49" hidden="1">[1]weekly!#REF!</definedName>
    <definedName name="fffffffffffffffffffffffff" localSheetId="50" hidden="1">[1]weekly!#REF!</definedName>
    <definedName name="fffffffffffffffffffffffff" localSheetId="51" hidden="1">[1]weekly!#REF!</definedName>
    <definedName name="fffffffffffffffffffffffff" localSheetId="55" hidden="1">[1]weekly!#REF!</definedName>
    <definedName name="fffffffffffffffffffffffff" localSheetId="52" hidden="1">[1]weekly!#REF!</definedName>
    <definedName name="fffffffffffffffffffffffff" localSheetId="53" hidden="1">[1]weekly!#REF!</definedName>
    <definedName name="fffffffffffffffffffffffff" localSheetId="35" hidden="1">[1]weekly!#REF!</definedName>
    <definedName name="fffffffffffffffffffffffff" localSheetId="60" hidden="1">[1]weekly!#REF!</definedName>
    <definedName name="fffffffffffffffffffffffff" localSheetId="22" hidden="1">[1]weekly!#REF!</definedName>
    <definedName name="fffffffffffffffffffffffff" localSheetId="23" hidden="1">[1]weekly!#REF!</definedName>
    <definedName name="fffffffffffffffffffffffff" localSheetId="54" hidden="1">[1]weekly!#REF!</definedName>
    <definedName name="fffffffffffffffffffffffff" localSheetId="91" hidden="1">[1]weekly!#REF!</definedName>
    <definedName name="fffffffffffffffffffffffff" localSheetId="88" hidden="1">[1]weekly!#REF!</definedName>
    <definedName name="fffffffffffffffffffffffff" localSheetId="90" hidden="1">[1]weekly!#REF!</definedName>
    <definedName name="fffffffffffffffffffffffff" hidden="1">[1]weekly!#REF!</definedName>
    <definedName name="fffffffffffffffffffffffffffffffffffffffffffffffffffffffffffffff" localSheetId="61" hidden="1">[1]weekly!#REF!</definedName>
    <definedName name="fffffffffffffffffffffffffffffffffffffffffffffffffffffffffffffff" localSheetId="87" hidden="1">[1]weekly!#REF!</definedName>
    <definedName name="fffffffffffffffffffffffffffffffffffffffffffffffffffffffffffffff" localSheetId="37" hidden="1">[1]weekly!#REF!</definedName>
    <definedName name="fffffffffffffffffffffffffffffffffffffffffffffffffffffffffffffff" localSheetId="62" hidden="1">[1]weekly!#REF!</definedName>
    <definedName name="fffffffffffffffffffffffffffffffffffffffffffffffffffffffffffffff" localSheetId="38" hidden="1">[1]weekly!#REF!</definedName>
    <definedName name="fffffffffffffffffffffffffffffffffffffffffffffffffffffffffffffff" localSheetId="18" hidden="1">[1]weekly!#REF!</definedName>
    <definedName name="fffffffffffffffffffffffffffffffffffffffffffffffffffffffffffffff" localSheetId="58" hidden="1">[1]weekly!#REF!</definedName>
    <definedName name="fffffffffffffffffffffffffffffffffffffffffffffffffffffffffffffff" localSheetId="57" hidden="1">[1]weekly!#REF!</definedName>
    <definedName name="fffffffffffffffffffffffffffffffffffffffffffffffffffffffffffffff" localSheetId="59" hidden="1">[1]weekly!#REF!</definedName>
    <definedName name="fffffffffffffffffffffffffffffffffffffffffffffffffffffffffffffff" localSheetId="20" hidden="1">[1]weekly!#REF!</definedName>
    <definedName name="fffffffffffffffffffffffffffffffffffffffffffffffffffffffffffffff" localSheetId="83" hidden="1">[1]weekly!#REF!</definedName>
    <definedName name="fffffffffffffffffffffffffffffffffffffffffffffffffffffffffffffff" localSheetId="39" hidden="1">[1]weekly!#REF!</definedName>
    <definedName name="fffffffffffffffffffffffffffffffffffffffffffffffffffffffffffffff" localSheetId="40" hidden="1">[1]weekly!#REF!</definedName>
    <definedName name="fffffffffffffffffffffffffffffffffffffffffffffffffffffffffffffff" localSheetId="95" hidden="1">[1]weekly!#REF!</definedName>
    <definedName name="fffffffffffffffffffffffffffffffffffffffffffffffffffffffffffffff" localSheetId="41" hidden="1">[1]weekly!#REF!</definedName>
    <definedName name="fffffffffffffffffffffffffffffffffffffffffffffffffffffffffffffff" localSheetId="92" hidden="1">[1]weekly!#REF!</definedName>
    <definedName name="fffffffffffffffffffffffffffffffffffffffffffffffffffffffffffffff" localSheetId="42" hidden="1">[1]weekly!#REF!</definedName>
    <definedName name="fffffffffffffffffffffffffffffffffffffffffffffffffffffffffffffff" localSheetId="43" hidden="1">[1]weekly!#REF!</definedName>
    <definedName name="fffffffffffffffffffffffffffffffffffffffffffffffffffffffffffffff" localSheetId="44" hidden="1">[1]weekly!#REF!</definedName>
    <definedName name="fffffffffffffffffffffffffffffffffffffffffffffffffffffffffffffff" localSheetId="34" hidden="1">[1]weekly!#REF!</definedName>
    <definedName name="fffffffffffffffffffffffffffffffffffffffffffffffffffffffffffffff" localSheetId="45" hidden="1">[1]weekly!#REF!</definedName>
    <definedName name="fffffffffffffffffffffffffffffffffffffffffffffffffffffffffffffff" localSheetId="70" hidden="1">[1]weekly!#REF!</definedName>
    <definedName name="fffffffffffffffffffffffffffffffffffffffffffffffffffffffffffffff" localSheetId="46" hidden="1">[1]weekly!#REF!</definedName>
    <definedName name="fffffffffffffffffffffffffffffffffffffffffffffffffffffffffffffff" localSheetId="25" hidden="1">[1]weekly!#REF!</definedName>
    <definedName name="fffffffffffffffffffffffffffffffffffffffffffffffffffffffffffffff" localSheetId="26" hidden="1">[1]weekly!#REF!</definedName>
    <definedName name="fffffffffffffffffffffffffffffffffffffffffffffffffffffffffffffff" localSheetId="47" hidden="1">[1]weekly!#REF!</definedName>
    <definedName name="fffffffffffffffffffffffffffffffffffffffffffffffffffffffffffffff" localSheetId="15" hidden="1">[1]weekly!#REF!</definedName>
    <definedName name="fffffffffffffffffffffffffffffffffffffffffffffffffffffffffffffff" localSheetId="93" hidden="1">[1]weekly!#REF!</definedName>
    <definedName name="fffffffffffffffffffffffffffffffffffffffffffffffffffffffffffffff" localSheetId="48" hidden="1">[1]weekly!#REF!</definedName>
    <definedName name="fffffffffffffffffffffffffffffffffffffffffffffffffffffffffffffff" localSheetId="49" hidden="1">[1]weekly!#REF!</definedName>
    <definedName name="fffffffffffffffffffffffffffffffffffffffffffffffffffffffffffffff" localSheetId="50" hidden="1">[1]weekly!#REF!</definedName>
    <definedName name="fffffffffffffffffffffffffffffffffffffffffffffffffffffffffffffff" localSheetId="51" hidden="1">[1]weekly!#REF!</definedName>
    <definedName name="fffffffffffffffffffffffffffffffffffffffffffffffffffffffffffffff" localSheetId="55" hidden="1">[1]weekly!#REF!</definedName>
    <definedName name="fffffffffffffffffffffffffffffffffffffffffffffffffffffffffffffff" localSheetId="52" hidden="1">[1]weekly!#REF!</definedName>
    <definedName name="fffffffffffffffffffffffffffffffffffffffffffffffffffffffffffffff" localSheetId="53" hidden="1">[1]weekly!#REF!</definedName>
    <definedName name="fffffffffffffffffffffffffffffffffffffffffffffffffffffffffffffff" localSheetId="35" hidden="1">[1]weekly!#REF!</definedName>
    <definedName name="fffffffffffffffffffffffffffffffffffffffffffffffffffffffffffffff" localSheetId="60" hidden="1">[1]weekly!#REF!</definedName>
    <definedName name="fffffffffffffffffffffffffffffffffffffffffffffffffffffffffffffff" localSheetId="22" hidden="1">[1]weekly!#REF!</definedName>
    <definedName name="fffffffffffffffffffffffffffffffffffffffffffffffffffffffffffffff" localSheetId="23" hidden="1">[1]weekly!#REF!</definedName>
    <definedName name="fffffffffffffffffffffffffffffffffffffffffffffffffffffffffffffff" localSheetId="54" hidden="1">[1]weekly!#REF!</definedName>
    <definedName name="fffffffffffffffffffffffffffffffffffffffffffffffffffffffffffffff" localSheetId="91" hidden="1">[1]weekly!#REF!</definedName>
    <definedName name="fffffffffffffffffffffffffffffffffffffffffffffffffffffffffffffff" localSheetId="88" hidden="1">[1]weekly!#REF!</definedName>
    <definedName name="fffffffffffffffffffffffffffffffffffffffffffffffffffffffffffffff" localSheetId="90" hidden="1">[1]weekly!#REF!</definedName>
    <definedName name="fffffffffffffffffffffffffffffffffffffffffffffffffffffffffffffff" hidden="1">[1]weekly!#REF!</definedName>
    <definedName name="fjfijeijf" localSheetId="61" hidden="1">[1]weekly!#REF!</definedName>
    <definedName name="fjfijeijf" localSheetId="87" hidden="1">[1]weekly!#REF!</definedName>
    <definedName name="fjfijeijf" localSheetId="37" hidden="1">[1]weekly!#REF!</definedName>
    <definedName name="fjfijeijf" localSheetId="62" hidden="1">[1]weekly!#REF!</definedName>
    <definedName name="fjfijeijf" localSheetId="38" hidden="1">[1]weekly!#REF!</definedName>
    <definedName name="fjfijeijf" localSheetId="18" hidden="1">[1]weekly!#REF!</definedName>
    <definedName name="fjfijeijf" localSheetId="56" hidden="1">[1]weekly!#REF!</definedName>
    <definedName name="fjfijeijf" localSheetId="58" hidden="1">[1]weekly!#REF!</definedName>
    <definedName name="fjfijeijf" localSheetId="16" hidden="1">[1]weekly!#REF!</definedName>
    <definedName name="fjfijeijf" localSheetId="57" hidden="1">[1]weekly!#REF!</definedName>
    <definedName name="fjfijeijf" localSheetId="59" hidden="1">[1]weekly!#REF!</definedName>
    <definedName name="fjfijeijf" localSheetId="17" hidden="1">[1]weekly!#REF!</definedName>
    <definedName name="fjfijeijf" localSheetId="20" hidden="1">[1]weekly!#REF!</definedName>
    <definedName name="fjfijeijf" localSheetId="83" hidden="1">[1]weekly!#REF!</definedName>
    <definedName name="fjfijeijf" localSheetId="39" hidden="1">[1]weekly!#REF!</definedName>
    <definedName name="fjfijeijf" localSheetId="40" hidden="1">[1]weekly!#REF!</definedName>
    <definedName name="fjfijeijf" localSheetId="95" hidden="1">[1]weekly!#REF!</definedName>
    <definedName name="fjfijeijf" localSheetId="41" hidden="1">[1]weekly!#REF!</definedName>
    <definedName name="fjfijeijf" localSheetId="92" hidden="1">[1]weekly!#REF!</definedName>
    <definedName name="fjfijeijf" localSheetId="42" hidden="1">[1]weekly!#REF!</definedName>
    <definedName name="fjfijeijf" localSheetId="43" hidden="1">[1]weekly!#REF!</definedName>
    <definedName name="fjfijeijf" localSheetId="44" hidden="1">[1]weekly!#REF!</definedName>
    <definedName name="fjfijeijf" localSheetId="34" hidden="1">[1]weekly!#REF!</definedName>
    <definedName name="fjfijeijf" localSheetId="45" hidden="1">[1]weekly!#REF!</definedName>
    <definedName name="fjfijeijf" localSheetId="70" hidden="1">[1]weekly!#REF!</definedName>
    <definedName name="fjfijeijf" localSheetId="46" hidden="1">[1]weekly!#REF!</definedName>
    <definedName name="fjfijeijf" localSheetId="25" hidden="1">[1]weekly!#REF!</definedName>
    <definedName name="fjfijeijf" localSheetId="26" hidden="1">[1]weekly!#REF!</definedName>
    <definedName name="fjfijeijf" localSheetId="47" hidden="1">[1]weekly!#REF!</definedName>
    <definedName name="fjfijeijf" localSheetId="15" hidden="1">[1]weekly!#REF!</definedName>
    <definedName name="fjfijeijf" localSheetId="93" hidden="1">[1]weekly!#REF!</definedName>
    <definedName name="fjfijeijf" localSheetId="3" hidden="1">[1]weekly!#REF!</definedName>
    <definedName name="fjfijeijf" localSheetId="48" hidden="1">[1]weekly!#REF!</definedName>
    <definedName name="fjfijeijf" localSheetId="49" hidden="1">[1]weekly!#REF!</definedName>
    <definedName name="fjfijeijf" localSheetId="50" hidden="1">[1]weekly!#REF!</definedName>
    <definedName name="fjfijeijf" localSheetId="51" hidden="1">[1]weekly!#REF!</definedName>
    <definedName name="fjfijeijf" localSheetId="55" hidden="1">[1]weekly!#REF!</definedName>
    <definedName name="fjfijeijf" localSheetId="52" hidden="1">[1]weekly!#REF!</definedName>
    <definedName name="fjfijeijf" localSheetId="53" hidden="1">[1]weekly!#REF!</definedName>
    <definedName name="fjfijeijf" localSheetId="35" hidden="1">[1]weekly!#REF!</definedName>
    <definedName name="fjfijeijf" localSheetId="60" hidden="1">[1]weekly!#REF!</definedName>
    <definedName name="fjfijeijf" localSheetId="22" hidden="1">[1]weekly!#REF!</definedName>
    <definedName name="fjfijeijf" localSheetId="23" hidden="1">[1]weekly!#REF!</definedName>
    <definedName name="fjfijeijf" localSheetId="54" hidden="1">[1]weekly!#REF!</definedName>
    <definedName name="fjfijeijf" localSheetId="91" hidden="1">[1]weekly!#REF!</definedName>
    <definedName name="fjfijeijf" localSheetId="88" hidden="1">[1]weekly!#REF!</definedName>
    <definedName name="fjfijeijf" localSheetId="90" hidden="1">[1]weekly!#REF!</definedName>
    <definedName name="fjfijeijf" hidden="1">[1]weekly!#REF!</definedName>
    <definedName name="fjiejfiejfoi" localSheetId="61" hidden="1">[1]weekly!#REF!</definedName>
    <definedName name="fjiejfiejfoi" localSheetId="87" hidden="1">[1]weekly!#REF!</definedName>
    <definedName name="fjiejfiejfoi" localSheetId="37" hidden="1">[1]weekly!#REF!</definedName>
    <definedName name="fjiejfiejfoi" localSheetId="62" hidden="1">[1]weekly!#REF!</definedName>
    <definedName name="fjiejfiejfoi" localSheetId="38" hidden="1">[1]weekly!#REF!</definedName>
    <definedName name="fjiejfiejfoi" localSheetId="18" hidden="1">[1]weekly!#REF!</definedName>
    <definedName name="fjiejfiejfoi" localSheetId="56" hidden="1">[1]weekly!#REF!</definedName>
    <definedName name="fjiejfiejfoi" localSheetId="58" hidden="1">[1]weekly!#REF!</definedName>
    <definedName name="fjiejfiejfoi" localSheetId="16" hidden="1">[1]weekly!#REF!</definedName>
    <definedName name="fjiejfiejfoi" localSheetId="57" hidden="1">[1]weekly!#REF!</definedName>
    <definedName name="fjiejfiejfoi" localSheetId="59" hidden="1">[1]weekly!#REF!</definedName>
    <definedName name="fjiejfiejfoi" localSheetId="17" hidden="1">[1]weekly!#REF!</definedName>
    <definedName name="fjiejfiejfoi" localSheetId="20" hidden="1">[1]weekly!#REF!</definedName>
    <definedName name="fjiejfiejfoi" localSheetId="83" hidden="1">[1]weekly!#REF!</definedName>
    <definedName name="fjiejfiejfoi" localSheetId="39" hidden="1">[1]weekly!#REF!</definedName>
    <definedName name="fjiejfiejfoi" localSheetId="40" hidden="1">[1]weekly!#REF!</definedName>
    <definedName name="fjiejfiejfoi" localSheetId="95" hidden="1">[1]weekly!#REF!</definedName>
    <definedName name="fjiejfiejfoi" localSheetId="41" hidden="1">[1]weekly!#REF!</definedName>
    <definedName name="fjiejfiejfoi" localSheetId="92" hidden="1">[1]weekly!#REF!</definedName>
    <definedName name="fjiejfiejfoi" localSheetId="42" hidden="1">[1]weekly!#REF!</definedName>
    <definedName name="fjiejfiejfoi" localSheetId="43" hidden="1">[1]weekly!#REF!</definedName>
    <definedName name="fjiejfiejfoi" localSheetId="44" hidden="1">[1]weekly!#REF!</definedName>
    <definedName name="fjiejfiejfoi" localSheetId="34" hidden="1">[1]weekly!#REF!</definedName>
    <definedName name="fjiejfiejfoi" localSheetId="45" hidden="1">[1]weekly!#REF!</definedName>
    <definedName name="fjiejfiejfoi" localSheetId="70" hidden="1">[1]weekly!#REF!</definedName>
    <definedName name="fjiejfiejfoi" localSheetId="46" hidden="1">[1]weekly!#REF!</definedName>
    <definedName name="fjiejfiejfoi" localSheetId="25" hidden="1">[1]weekly!#REF!</definedName>
    <definedName name="fjiejfiejfoi" localSheetId="26" hidden="1">[1]weekly!#REF!</definedName>
    <definedName name="fjiejfiejfoi" localSheetId="47" hidden="1">[1]weekly!#REF!</definedName>
    <definedName name="fjiejfiejfoi" localSheetId="15" hidden="1">[1]weekly!#REF!</definedName>
    <definedName name="fjiejfiejfoi" localSheetId="93" hidden="1">[1]weekly!#REF!</definedName>
    <definedName name="fjiejfiejfoi" localSheetId="48" hidden="1">[1]weekly!#REF!</definedName>
    <definedName name="fjiejfiejfoi" localSheetId="49" hidden="1">[1]weekly!#REF!</definedName>
    <definedName name="fjiejfiejfoi" localSheetId="50" hidden="1">[1]weekly!#REF!</definedName>
    <definedName name="fjiejfiejfoi" localSheetId="51" hidden="1">[1]weekly!#REF!</definedName>
    <definedName name="fjiejfiejfoi" localSheetId="55" hidden="1">[1]weekly!#REF!</definedName>
    <definedName name="fjiejfiejfoi" localSheetId="52" hidden="1">[1]weekly!#REF!</definedName>
    <definedName name="fjiejfiejfoi" localSheetId="53" hidden="1">[1]weekly!#REF!</definedName>
    <definedName name="fjiejfiejfoi" localSheetId="35" hidden="1">[1]weekly!#REF!</definedName>
    <definedName name="fjiejfiejfoi" localSheetId="60" hidden="1">[1]weekly!#REF!</definedName>
    <definedName name="fjiejfiejfoi" localSheetId="22" hidden="1">[1]weekly!#REF!</definedName>
    <definedName name="fjiejfiejfoi" localSheetId="23" hidden="1">[1]weekly!#REF!</definedName>
    <definedName name="fjiejfiejfoi" localSheetId="54" hidden="1">[1]weekly!#REF!</definedName>
    <definedName name="fjiejfiejfoi" localSheetId="91" hidden="1">[1]weekly!#REF!</definedName>
    <definedName name="fjiejfiejfoi" localSheetId="88" hidden="1">[1]weekly!#REF!</definedName>
    <definedName name="fjiejfiejfoi" localSheetId="90" hidden="1">[1]weekly!#REF!</definedName>
    <definedName name="fjiejfiejfoi" hidden="1">[1]weekly!#REF!</definedName>
    <definedName name="fjiejfieojfioe" localSheetId="61" hidden="1">[1]weekly!#REF!</definedName>
    <definedName name="fjiejfieojfioe" localSheetId="87" hidden="1">[1]weekly!#REF!</definedName>
    <definedName name="fjiejfieojfioe" localSheetId="37" hidden="1">[1]weekly!#REF!</definedName>
    <definedName name="fjiejfieojfioe" localSheetId="62" hidden="1">[1]weekly!#REF!</definedName>
    <definedName name="fjiejfieojfioe" localSheetId="38" hidden="1">[1]weekly!#REF!</definedName>
    <definedName name="fjiejfieojfioe" localSheetId="18" hidden="1">[1]weekly!#REF!</definedName>
    <definedName name="fjiejfieojfioe" localSheetId="56" hidden="1">[1]weekly!#REF!</definedName>
    <definedName name="fjiejfieojfioe" localSheetId="58" hidden="1">[1]weekly!#REF!</definedName>
    <definedName name="fjiejfieojfioe" localSheetId="16" hidden="1">[1]weekly!#REF!</definedName>
    <definedName name="fjiejfieojfioe" localSheetId="57" hidden="1">[1]weekly!#REF!</definedName>
    <definedName name="fjiejfieojfioe" localSheetId="59" hidden="1">[1]weekly!#REF!</definedName>
    <definedName name="fjiejfieojfioe" localSheetId="17" hidden="1">[1]weekly!#REF!</definedName>
    <definedName name="fjiejfieojfioe" localSheetId="20" hidden="1">[1]weekly!#REF!</definedName>
    <definedName name="fjiejfieojfioe" localSheetId="83" hidden="1">[1]weekly!#REF!</definedName>
    <definedName name="fjiejfieojfioe" localSheetId="39" hidden="1">[1]weekly!#REF!</definedName>
    <definedName name="fjiejfieojfioe" localSheetId="40" hidden="1">[1]weekly!#REF!</definedName>
    <definedName name="fjiejfieojfioe" localSheetId="95" hidden="1">[1]weekly!#REF!</definedName>
    <definedName name="fjiejfieojfioe" localSheetId="41" hidden="1">[1]weekly!#REF!</definedName>
    <definedName name="fjiejfieojfioe" localSheetId="92" hidden="1">[1]weekly!#REF!</definedName>
    <definedName name="fjiejfieojfioe" localSheetId="42" hidden="1">[1]weekly!#REF!</definedName>
    <definedName name="fjiejfieojfioe" localSheetId="43" hidden="1">[1]weekly!#REF!</definedName>
    <definedName name="fjiejfieojfioe" localSheetId="44" hidden="1">[1]weekly!#REF!</definedName>
    <definedName name="fjiejfieojfioe" localSheetId="34" hidden="1">[1]weekly!#REF!</definedName>
    <definedName name="fjiejfieojfioe" localSheetId="45" hidden="1">[1]weekly!#REF!</definedName>
    <definedName name="fjiejfieojfioe" localSheetId="70" hidden="1">[1]weekly!#REF!</definedName>
    <definedName name="fjiejfieojfioe" localSheetId="46" hidden="1">[1]weekly!#REF!</definedName>
    <definedName name="fjiejfieojfioe" localSheetId="25" hidden="1">[1]weekly!#REF!</definedName>
    <definedName name="fjiejfieojfioe" localSheetId="26" hidden="1">[1]weekly!#REF!</definedName>
    <definedName name="fjiejfieojfioe" localSheetId="47" hidden="1">[1]weekly!#REF!</definedName>
    <definedName name="fjiejfieojfioe" localSheetId="15" hidden="1">[1]weekly!#REF!</definedName>
    <definedName name="fjiejfieojfioe" localSheetId="93" hidden="1">[1]weekly!#REF!</definedName>
    <definedName name="fjiejfieojfioe" localSheetId="48" hidden="1">[1]weekly!#REF!</definedName>
    <definedName name="fjiejfieojfioe" localSheetId="49" hidden="1">[1]weekly!#REF!</definedName>
    <definedName name="fjiejfieojfioe" localSheetId="50" hidden="1">[1]weekly!#REF!</definedName>
    <definedName name="fjiejfieojfioe" localSheetId="51" hidden="1">[1]weekly!#REF!</definedName>
    <definedName name="fjiejfieojfioe" localSheetId="55" hidden="1">[1]weekly!#REF!</definedName>
    <definedName name="fjiejfieojfioe" localSheetId="52" hidden="1">[1]weekly!#REF!</definedName>
    <definedName name="fjiejfieojfioe" localSheetId="53" hidden="1">[1]weekly!#REF!</definedName>
    <definedName name="fjiejfieojfioe" localSheetId="35" hidden="1">[1]weekly!#REF!</definedName>
    <definedName name="fjiejfieojfioe" localSheetId="60" hidden="1">[1]weekly!#REF!</definedName>
    <definedName name="fjiejfieojfioe" localSheetId="22" hidden="1">[1]weekly!#REF!</definedName>
    <definedName name="fjiejfieojfioe" localSheetId="23" hidden="1">[1]weekly!#REF!</definedName>
    <definedName name="fjiejfieojfioe" localSheetId="54" hidden="1">[1]weekly!#REF!</definedName>
    <definedName name="fjiejfieojfioe" localSheetId="91" hidden="1">[1]weekly!#REF!</definedName>
    <definedName name="fjiejfieojfioe" localSheetId="88" hidden="1">[1]weekly!#REF!</definedName>
    <definedName name="fjiejfieojfioe" localSheetId="90" hidden="1">[1]weekly!#REF!</definedName>
    <definedName name="fjiejfieojfioe" hidden="1">[1]weekly!#REF!</definedName>
    <definedName name="fjiejifjeio" localSheetId="61" hidden="1">[1]weekly!#REF!</definedName>
    <definedName name="fjiejifjeio" localSheetId="87" hidden="1">[1]weekly!#REF!</definedName>
    <definedName name="fjiejifjeio" localSheetId="37" hidden="1">[1]weekly!#REF!</definedName>
    <definedName name="fjiejifjeio" localSheetId="62" hidden="1">[1]weekly!#REF!</definedName>
    <definedName name="fjiejifjeio" localSheetId="38" hidden="1">[1]weekly!#REF!</definedName>
    <definedName name="fjiejifjeio" localSheetId="18" hidden="1">[1]weekly!#REF!</definedName>
    <definedName name="fjiejifjeio" localSheetId="56" hidden="1">[1]weekly!#REF!</definedName>
    <definedName name="fjiejifjeio" localSheetId="58" hidden="1">[1]weekly!#REF!</definedName>
    <definedName name="fjiejifjeio" localSheetId="16" hidden="1">[1]weekly!#REF!</definedName>
    <definedName name="fjiejifjeio" localSheetId="57" hidden="1">[1]weekly!#REF!</definedName>
    <definedName name="fjiejifjeio" localSheetId="59" hidden="1">[1]weekly!#REF!</definedName>
    <definedName name="fjiejifjeio" localSheetId="17" hidden="1">[1]weekly!#REF!</definedName>
    <definedName name="fjiejifjeio" localSheetId="20" hidden="1">[1]weekly!#REF!</definedName>
    <definedName name="fjiejifjeio" localSheetId="83" hidden="1">[1]weekly!#REF!</definedName>
    <definedName name="fjiejifjeio" localSheetId="39" hidden="1">[1]weekly!#REF!</definedName>
    <definedName name="fjiejifjeio" localSheetId="40" hidden="1">[1]weekly!#REF!</definedName>
    <definedName name="fjiejifjeio" localSheetId="95" hidden="1">[1]weekly!#REF!</definedName>
    <definedName name="fjiejifjeio" localSheetId="41" hidden="1">[1]weekly!#REF!</definedName>
    <definedName name="fjiejifjeio" localSheetId="92" hidden="1">[1]weekly!#REF!</definedName>
    <definedName name="fjiejifjeio" localSheetId="42" hidden="1">[1]weekly!#REF!</definedName>
    <definedName name="fjiejifjeio" localSheetId="43" hidden="1">[1]weekly!#REF!</definedName>
    <definedName name="fjiejifjeio" localSheetId="44" hidden="1">[1]weekly!#REF!</definedName>
    <definedName name="fjiejifjeio" localSheetId="34" hidden="1">[1]weekly!#REF!</definedName>
    <definedName name="fjiejifjeio" localSheetId="45" hidden="1">[1]weekly!#REF!</definedName>
    <definedName name="fjiejifjeio" localSheetId="70" hidden="1">[1]weekly!#REF!</definedName>
    <definedName name="fjiejifjeio" localSheetId="46" hidden="1">[1]weekly!#REF!</definedName>
    <definedName name="fjiejifjeio" localSheetId="25" hidden="1">[1]weekly!#REF!</definedName>
    <definedName name="fjiejifjeio" localSheetId="26" hidden="1">[1]weekly!#REF!</definedName>
    <definedName name="fjiejifjeio" localSheetId="47" hidden="1">[1]weekly!#REF!</definedName>
    <definedName name="fjiejifjeio" localSheetId="15" hidden="1">[1]weekly!#REF!</definedName>
    <definedName name="fjiejifjeio" localSheetId="93" hidden="1">[1]weekly!#REF!</definedName>
    <definedName name="fjiejifjeio" localSheetId="48" hidden="1">[1]weekly!#REF!</definedName>
    <definedName name="fjiejifjeio" localSheetId="49" hidden="1">[1]weekly!#REF!</definedName>
    <definedName name="fjiejifjeio" localSheetId="50" hidden="1">[1]weekly!#REF!</definedName>
    <definedName name="fjiejifjeio" localSheetId="51" hidden="1">[1]weekly!#REF!</definedName>
    <definedName name="fjiejifjeio" localSheetId="55" hidden="1">[1]weekly!#REF!</definedName>
    <definedName name="fjiejifjeio" localSheetId="52" hidden="1">[1]weekly!#REF!</definedName>
    <definedName name="fjiejifjeio" localSheetId="53" hidden="1">[1]weekly!#REF!</definedName>
    <definedName name="fjiejifjeio" localSheetId="35" hidden="1">[1]weekly!#REF!</definedName>
    <definedName name="fjiejifjeio" localSheetId="60" hidden="1">[1]weekly!#REF!</definedName>
    <definedName name="fjiejifjeio" localSheetId="22" hidden="1">[1]weekly!#REF!</definedName>
    <definedName name="fjiejifjeio" localSheetId="23" hidden="1">[1]weekly!#REF!</definedName>
    <definedName name="fjiejifjeio" localSheetId="54" hidden="1">[1]weekly!#REF!</definedName>
    <definedName name="fjiejifjeio" localSheetId="91" hidden="1">[1]weekly!#REF!</definedName>
    <definedName name="fjiejifjeio" localSheetId="88" hidden="1">[1]weekly!#REF!</definedName>
    <definedName name="fjiejifjeio" localSheetId="90" hidden="1">[1]weekly!#REF!</definedName>
    <definedName name="fjiejifjeio" hidden="1">[1]weekly!#REF!</definedName>
    <definedName name="fjiejifjeoi" localSheetId="61" hidden="1">[1]weekly!#REF!</definedName>
    <definedName name="fjiejifjeoi" localSheetId="87" hidden="1">[1]weekly!#REF!</definedName>
    <definedName name="fjiejifjeoi" localSheetId="37" hidden="1">[1]weekly!#REF!</definedName>
    <definedName name="fjiejifjeoi" localSheetId="62" hidden="1">[1]weekly!#REF!</definedName>
    <definedName name="fjiejifjeoi" localSheetId="38" hidden="1">[1]weekly!#REF!</definedName>
    <definedName name="fjiejifjeoi" localSheetId="18" hidden="1">[1]weekly!#REF!</definedName>
    <definedName name="fjiejifjeoi" localSheetId="56" hidden="1">[1]weekly!#REF!</definedName>
    <definedName name="fjiejifjeoi" localSheetId="58" hidden="1">[1]weekly!#REF!</definedName>
    <definedName name="fjiejifjeoi" localSheetId="16" hidden="1">[1]weekly!#REF!</definedName>
    <definedName name="fjiejifjeoi" localSheetId="57" hidden="1">[1]weekly!#REF!</definedName>
    <definedName name="fjiejifjeoi" localSheetId="59" hidden="1">[1]weekly!#REF!</definedName>
    <definedName name="fjiejifjeoi" localSheetId="17" hidden="1">[1]weekly!#REF!</definedName>
    <definedName name="fjiejifjeoi" localSheetId="20" hidden="1">[1]weekly!#REF!</definedName>
    <definedName name="fjiejifjeoi" localSheetId="83" hidden="1">[1]weekly!#REF!</definedName>
    <definedName name="fjiejifjeoi" localSheetId="39" hidden="1">[1]weekly!#REF!</definedName>
    <definedName name="fjiejifjeoi" localSheetId="40" hidden="1">[1]weekly!#REF!</definedName>
    <definedName name="fjiejifjeoi" localSheetId="95" hidden="1">[1]weekly!#REF!</definedName>
    <definedName name="fjiejifjeoi" localSheetId="41" hidden="1">[1]weekly!#REF!</definedName>
    <definedName name="fjiejifjeoi" localSheetId="92" hidden="1">[1]weekly!#REF!</definedName>
    <definedName name="fjiejifjeoi" localSheetId="42" hidden="1">[1]weekly!#REF!</definedName>
    <definedName name="fjiejifjeoi" localSheetId="43" hidden="1">[1]weekly!#REF!</definedName>
    <definedName name="fjiejifjeoi" localSheetId="44" hidden="1">[1]weekly!#REF!</definedName>
    <definedName name="fjiejifjeoi" localSheetId="34" hidden="1">[1]weekly!#REF!</definedName>
    <definedName name="fjiejifjeoi" localSheetId="45" hidden="1">[1]weekly!#REF!</definedName>
    <definedName name="fjiejifjeoi" localSheetId="70" hidden="1">[1]weekly!#REF!</definedName>
    <definedName name="fjiejifjeoi" localSheetId="46" hidden="1">[1]weekly!#REF!</definedName>
    <definedName name="fjiejifjeoi" localSheetId="25" hidden="1">[1]weekly!#REF!</definedName>
    <definedName name="fjiejifjeoi" localSheetId="26" hidden="1">[1]weekly!#REF!</definedName>
    <definedName name="fjiejifjeoi" localSheetId="47" hidden="1">[1]weekly!#REF!</definedName>
    <definedName name="fjiejifjeoi" localSheetId="15" hidden="1">[1]weekly!#REF!</definedName>
    <definedName name="fjiejifjeoi" localSheetId="93" hidden="1">[1]weekly!#REF!</definedName>
    <definedName name="fjiejifjeoi" localSheetId="48" hidden="1">[1]weekly!#REF!</definedName>
    <definedName name="fjiejifjeoi" localSheetId="49" hidden="1">[1]weekly!#REF!</definedName>
    <definedName name="fjiejifjeoi" localSheetId="50" hidden="1">[1]weekly!#REF!</definedName>
    <definedName name="fjiejifjeoi" localSheetId="51" hidden="1">[1]weekly!#REF!</definedName>
    <definedName name="fjiejifjeoi" localSheetId="55" hidden="1">[1]weekly!#REF!</definedName>
    <definedName name="fjiejifjeoi" localSheetId="52" hidden="1">[1]weekly!#REF!</definedName>
    <definedName name="fjiejifjeoi" localSheetId="53" hidden="1">[1]weekly!#REF!</definedName>
    <definedName name="fjiejifjeoi" localSheetId="35" hidden="1">[1]weekly!#REF!</definedName>
    <definedName name="fjiejifjeoi" localSheetId="60" hidden="1">[1]weekly!#REF!</definedName>
    <definedName name="fjiejifjeoi" localSheetId="22" hidden="1">[1]weekly!#REF!</definedName>
    <definedName name="fjiejifjeoi" localSheetId="23" hidden="1">[1]weekly!#REF!</definedName>
    <definedName name="fjiejifjeoi" localSheetId="54" hidden="1">[1]weekly!#REF!</definedName>
    <definedName name="fjiejifjeoi" localSheetId="91" hidden="1">[1]weekly!#REF!</definedName>
    <definedName name="fjiejifjeoi" localSheetId="88" hidden="1">[1]weekly!#REF!</definedName>
    <definedName name="fjiejifjeoi" localSheetId="90" hidden="1">[1]weekly!#REF!</definedName>
    <definedName name="fjiejifjeoi" hidden="1">[1]weekly!#REF!</definedName>
    <definedName name="g" localSheetId="61" hidden="1">[1]weekly!#REF!</definedName>
    <definedName name="g" localSheetId="87" hidden="1">[1]weekly!#REF!</definedName>
    <definedName name="g" localSheetId="37" hidden="1">[1]weekly!#REF!</definedName>
    <definedName name="g" localSheetId="62" hidden="1">[1]weekly!#REF!</definedName>
    <definedName name="g" localSheetId="38" hidden="1">[1]weekly!#REF!</definedName>
    <definedName name="g" localSheetId="58" hidden="1">[1]weekly!#REF!</definedName>
    <definedName name="g" localSheetId="57" hidden="1">[1]weekly!#REF!</definedName>
    <definedName name="g" localSheetId="59" hidden="1">[1]weekly!#REF!</definedName>
    <definedName name="g" localSheetId="83" hidden="1">[1]weekly!#REF!</definedName>
    <definedName name="g" localSheetId="39" hidden="1">[1]weekly!#REF!</definedName>
    <definedName name="g" localSheetId="40" hidden="1">[1]weekly!#REF!</definedName>
    <definedName name="g" localSheetId="95" hidden="1">[1]weekly!#REF!</definedName>
    <definedName name="g" localSheetId="41" hidden="1">[1]weekly!#REF!</definedName>
    <definedName name="g" localSheetId="92" hidden="1">[1]weekly!#REF!</definedName>
    <definedName name="g" localSheetId="42" hidden="1">[1]weekly!#REF!</definedName>
    <definedName name="g" localSheetId="43" hidden="1">[1]weekly!#REF!</definedName>
    <definedName name="g" localSheetId="44" hidden="1">[1]weekly!#REF!</definedName>
    <definedName name="g" localSheetId="34" hidden="1">[1]weekly!#REF!</definedName>
    <definedName name="g" localSheetId="45" hidden="1">[1]weekly!#REF!</definedName>
    <definedName name="g" localSheetId="70" hidden="1">[1]weekly!#REF!</definedName>
    <definedName name="g" localSheetId="46" hidden="1">[1]weekly!#REF!</definedName>
    <definedName name="g" localSheetId="25" hidden="1">[1]weekly!#REF!</definedName>
    <definedName name="g" localSheetId="26" hidden="1">[1]weekly!#REF!</definedName>
    <definedName name="g" localSheetId="47" hidden="1">[1]weekly!#REF!</definedName>
    <definedName name="g" localSheetId="15" hidden="1">[1]weekly!#REF!</definedName>
    <definedName name="g" localSheetId="93" hidden="1">[1]weekly!#REF!</definedName>
    <definedName name="g" localSheetId="48" hidden="1">[1]weekly!#REF!</definedName>
    <definedName name="g" localSheetId="49" hidden="1">[1]weekly!#REF!</definedName>
    <definedName name="g" localSheetId="50" hidden="1">[1]weekly!#REF!</definedName>
    <definedName name="g" localSheetId="51" hidden="1">[1]weekly!#REF!</definedName>
    <definedName name="g" localSheetId="55" hidden="1">[1]weekly!#REF!</definedName>
    <definedName name="g" localSheetId="52" hidden="1">[1]weekly!#REF!</definedName>
    <definedName name="g" localSheetId="53" hidden="1">[1]weekly!#REF!</definedName>
    <definedName name="g" localSheetId="35" hidden="1">[1]weekly!#REF!</definedName>
    <definedName name="g" localSheetId="60" hidden="1">[1]weekly!#REF!</definedName>
    <definedName name="g" localSheetId="54" hidden="1">[1]weekly!#REF!</definedName>
    <definedName name="g" localSheetId="91" hidden="1">[1]weekly!#REF!</definedName>
    <definedName name="g" localSheetId="88" hidden="1">[1]weekly!#REF!</definedName>
    <definedName name="g" localSheetId="90" hidden="1">[1]weekly!#REF!</definedName>
    <definedName name="g" hidden="1">[1]weekly!#REF!</definedName>
    <definedName name="gg" localSheetId="61" hidden="1">[1]weekly!#REF!</definedName>
    <definedName name="gg" localSheetId="87" hidden="1">[1]weekly!#REF!</definedName>
    <definedName name="gg" localSheetId="37" hidden="1">[1]weekly!#REF!</definedName>
    <definedName name="gg" localSheetId="62" hidden="1">[1]weekly!#REF!</definedName>
    <definedName name="gg" localSheetId="38" hidden="1">[1]weekly!#REF!</definedName>
    <definedName name="gg" localSheetId="58" hidden="1">[1]weekly!#REF!</definedName>
    <definedName name="gg" localSheetId="57" hidden="1">[1]weekly!#REF!</definedName>
    <definedName name="gg" localSheetId="59" hidden="1">[1]weekly!#REF!</definedName>
    <definedName name="gg" localSheetId="83" hidden="1">[1]weekly!#REF!</definedName>
    <definedName name="gg" localSheetId="39" hidden="1">[1]weekly!#REF!</definedName>
    <definedName name="gg" localSheetId="40" hidden="1">[1]weekly!#REF!</definedName>
    <definedName name="gg" localSheetId="95" hidden="1">[1]weekly!#REF!</definedName>
    <definedName name="gg" localSheetId="41" hidden="1">[1]weekly!#REF!</definedName>
    <definedName name="gg" localSheetId="92" hidden="1">[1]weekly!#REF!</definedName>
    <definedName name="gg" localSheetId="42" hidden="1">[1]weekly!#REF!</definedName>
    <definedName name="gg" localSheetId="43" hidden="1">[1]weekly!#REF!</definedName>
    <definedName name="gg" localSheetId="44" hidden="1">[1]weekly!#REF!</definedName>
    <definedName name="gg" localSheetId="34" hidden="1">[1]weekly!#REF!</definedName>
    <definedName name="gg" localSheetId="45" hidden="1">[1]weekly!#REF!</definedName>
    <definedName name="gg" localSheetId="70" hidden="1">[1]weekly!#REF!</definedName>
    <definedName name="gg" localSheetId="46" hidden="1">[1]weekly!#REF!</definedName>
    <definedName name="gg" localSheetId="25" hidden="1">[1]weekly!#REF!</definedName>
    <definedName name="gg" localSheetId="26" hidden="1">[1]weekly!#REF!</definedName>
    <definedName name="gg" localSheetId="47" hidden="1">[1]weekly!#REF!</definedName>
    <definedName name="gg" localSheetId="15" hidden="1">[1]weekly!#REF!</definedName>
    <definedName name="gg" localSheetId="93" hidden="1">[1]weekly!#REF!</definedName>
    <definedName name="gg" localSheetId="3" hidden="1">[1]weekly!#REF!</definedName>
    <definedName name="gg" localSheetId="48" hidden="1">[1]weekly!#REF!</definedName>
    <definedName name="gg" localSheetId="49" hidden="1">[1]weekly!#REF!</definedName>
    <definedName name="gg" localSheetId="50" hidden="1">[1]weekly!#REF!</definedName>
    <definedName name="gg" localSheetId="51" hidden="1">[1]weekly!#REF!</definedName>
    <definedName name="gg" localSheetId="55" hidden="1">[1]weekly!#REF!</definedName>
    <definedName name="gg" localSheetId="52" hidden="1">[1]weekly!#REF!</definedName>
    <definedName name="gg" localSheetId="53" hidden="1">[1]weekly!#REF!</definedName>
    <definedName name="gg" localSheetId="35" hidden="1">[1]weekly!#REF!</definedName>
    <definedName name="gg" localSheetId="60" hidden="1">[1]weekly!#REF!</definedName>
    <definedName name="gg" localSheetId="54" hidden="1">[1]weekly!#REF!</definedName>
    <definedName name="gg" localSheetId="91" hidden="1">[1]weekly!#REF!</definedName>
    <definedName name="gg" localSheetId="88" hidden="1">[1]weekly!#REF!</definedName>
    <definedName name="gg" localSheetId="90" hidden="1">[1]weekly!#REF!</definedName>
    <definedName name="gg" hidden="1">[1]weekly!#REF!</definedName>
    <definedName name="ggggg" localSheetId="61" hidden="1">[1]weekly!#REF!</definedName>
    <definedName name="ggggg" localSheetId="87" hidden="1">[1]weekly!#REF!</definedName>
    <definedName name="ggggg" localSheetId="37" hidden="1">[1]weekly!#REF!</definedName>
    <definedName name="ggggg" localSheetId="62" hidden="1">[1]weekly!#REF!</definedName>
    <definedName name="ggggg" localSheetId="38" hidden="1">[1]weekly!#REF!</definedName>
    <definedName name="ggggg" localSheetId="58" hidden="1">[1]weekly!#REF!</definedName>
    <definedName name="ggggg" localSheetId="57" hidden="1">[1]weekly!#REF!</definedName>
    <definedName name="ggggg" localSheetId="59" hidden="1">[1]weekly!#REF!</definedName>
    <definedName name="ggggg" localSheetId="83" hidden="1">[1]weekly!#REF!</definedName>
    <definedName name="ggggg" localSheetId="39" hidden="1">[1]weekly!#REF!</definedName>
    <definedName name="ggggg" localSheetId="40" hidden="1">[1]weekly!#REF!</definedName>
    <definedName name="ggggg" localSheetId="95" hidden="1">[1]weekly!#REF!</definedName>
    <definedName name="ggggg" localSheetId="41" hidden="1">[1]weekly!#REF!</definedName>
    <definedName name="ggggg" localSheetId="92" hidden="1">[1]weekly!#REF!</definedName>
    <definedName name="ggggg" localSheetId="42" hidden="1">[1]weekly!#REF!</definedName>
    <definedName name="ggggg" localSheetId="43" hidden="1">[1]weekly!#REF!</definedName>
    <definedName name="ggggg" localSheetId="44" hidden="1">[1]weekly!#REF!</definedName>
    <definedName name="ggggg" localSheetId="34" hidden="1">[1]weekly!#REF!</definedName>
    <definedName name="ggggg" localSheetId="45" hidden="1">[1]weekly!#REF!</definedName>
    <definedName name="ggggg" localSheetId="70" hidden="1">[1]weekly!#REF!</definedName>
    <definedName name="ggggg" localSheetId="46" hidden="1">[1]weekly!#REF!</definedName>
    <definedName name="ggggg" localSheetId="25" hidden="1">[1]weekly!#REF!</definedName>
    <definedName name="ggggg" localSheetId="26" hidden="1">[1]weekly!#REF!</definedName>
    <definedName name="ggggg" localSheetId="47" hidden="1">[1]weekly!#REF!</definedName>
    <definedName name="ggggg" localSheetId="15" hidden="1">[1]weekly!#REF!</definedName>
    <definedName name="ggggg" localSheetId="93" hidden="1">[1]weekly!#REF!</definedName>
    <definedName name="ggggg" localSheetId="48" hidden="1">[1]weekly!#REF!</definedName>
    <definedName name="ggggg" localSheetId="49" hidden="1">[1]weekly!#REF!</definedName>
    <definedName name="ggggg" localSheetId="50" hidden="1">[1]weekly!#REF!</definedName>
    <definedName name="ggggg" localSheetId="51" hidden="1">[1]weekly!#REF!</definedName>
    <definedName name="ggggg" localSheetId="55" hidden="1">[1]weekly!#REF!</definedName>
    <definedName name="ggggg" localSheetId="52" hidden="1">[1]weekly!#REF!</definedName>
    <definedName name="ggggg" localSheetId="53" hidden="1">[1]weekly!#REF!</definedName>
    <definedName name="ggggg" localSheetId="35" hidden="1">[1]weekly!#REF!</definedName>
    <definedName name="ggggg" localSheetId="60" hidden="1">[1]weekly!#REF!</definedName>
    <definedName name="ggggg" localSheetId="54" hidden="1">[1]weekly!#REF!</definedName>
    <definedName name="ggggg" localSheetId="91" hidden="1">[1]weekly!#REF!</definedName>
    <definedName name="ggggg" localSheetId="88" hidden="1">[1]weekly!#REF!</definedName>
    <definedName name="ggggg" localSheetId="90" hidden="1">[1]weekly!#REF!</definedName>
    <definedName name="ggggg" hidden="1">[1]weekly!#REF!</definedName>
    <definedName name="ggggggggg" localSheetId="61" hidden="1">[1]weekly!#REF!</definedName>
    <definedName name="ggggggggg" localSheetId="87" hidden="1">[1]weekly!#REF!</definedName>
    <definedName name="ggggggggg" localSheetId="37" hidden="1">[1]weekly!#REF!</definedName>
    <definedName name="ggggggggg" localSheetId="62" hidden="1">[1]weekly!#REF!</definedName>
    <definedName name="ggggggggg" localSheetId="38" hidden="1">[1]weekly!#REF!</definedName>
    <definedName name="ggggggggg" localSheetId="18" hidden="1">[1]weekly!#REF!</definedName>
    <definedName name="ggggggggg" localSheetId="56" hidden="1">[1]weekly!#REF!</definedName>
    <definedName name="ggggggggg" localSheetId="58" hidden="1">[1]weekly!#REF!</definedName>
    <definedName name="ggggggggg" localSheetId="16" hidden="1">[1]weekly!#REF!</definedName>
    <definedName name="ggggggggg" localSheetId="57" hidden="1">[1]weekly!#REF!</definedName>
    <definedName name="ggggggggg" localSheetId="59" hidden="1">[1]weekly!#REF!</definedName>
    <definedName name="ggggggggg" localSheetId="20" hidden="1">[1]weekly!#REF!</definedName>
    <definedName name="ggggggggg" localSheetId="83" hidden="1">[1]weekly!#REF!</definedName>
    <definedName name="ggggggggg" localSheetId="39" hidden="1">[1]weekly!#REF!</definedName>
    <definedName name="ggggggggg" localSheetId="40" hidden="1">[1]weekly!#REF!</definedName>
    <definedName name="ggggggggg" localSheetId="95" hidden="1">[1]weekly!#REF!</definedName>
    <definedName name="ggggggggg" localSheetId="41" hidden="1">[1]weekly!#REF!</definedName>
    <definedName name="ggggggggg" localSheetId="92" hidden="1">[1]weekly!#REF!</definedName>
    <definedName name="ggggggggg" localSheetId="42" hidden="1">[1]weekly!#REF!</definedName>
    <definedName name="ggggggggg" localSheetId="43" hidden="1">[1]weekly!#REF!</definedName>
    <definedName name="ggggggggg" localSheetId="44" hidden="1">[1]weekly!#REF!</definedName>
    <definedName name="ggggggggg" localSheetId="34" hidden="1">[1]weekly!#REF!</definedName>
    <definedName name="ggggggggg" localSheetId="45" hidden="1">[1]weekly!#REF!</definedName>
    <definedName name="ggggggggg" localSheetId="70" hidden="1">[1]weekly!#REF!</definedName>
    <definedName name="ggggggggg" localSheetId="46" hidden="1">[1]weekly!#REF!</definedName>
    <definedName name="ggggggggg" localSheetId="25" hidden="1">[1]weekly!#REF!</definedName>
    <definedName name="ggggggggg" localSheetId="26" hidden="1">[1]weekly!#REF!</definedName>
    <definedName name="ggggggggg" localSheetId="47" hidden="1">[1]weekly!#REF!</definedName>
    <definedName name="ggggggggg" localSheetId="15" hidden="1">[1]weekly!#REF!</definedName>
    <definedName name="ggggggggg" localSheetId="93" hidden="1">[1]weekly!#REF!</definedName>
    <definedName name="ggggggggg" localSheetId="48" hidden="1">[1]weekly!#REF!</definedName>
    <definedName name="ggggggggg" localSheetId="49" hidden="1">[1]weekly!#REF!</definedName>
    <definedName name="ggggggggg" localSheetId="50" hidden="1">[1]weekly!#REF!</definedName>
    <definedName name="ggggggggg" localSheetId="51" hidden="1">[1]weekly!#REF!</definedName>
    <definedName name="ggggggggg" localSheetId="55" hidden="1">[1]weekly!#REF!</definedName>
    <definedName name="ggggggggg" localSheetId="52" hidden="1">[1]weekly!#REF!</definedName>
    <definedName name="ggggggggg" localSheetId="53" hidden="1">[1]weekly!#REF!</definedName>
    <definedName name="ggggggggg" localSheetId="35" hidden="1">[1]weekly!#REF!</definedName>
    <definedName name="ggggggggg" localSheetId="60" hidden="1">[1]weekly!#REF!</definedName>
    <definedName name="ggggggggg" localSheetId="22" hidden="1">[1]weekly!#REF!</definedName>
    <definedName name="ggggggggg" localSheetId="23" hidden="1">[1]weekly!#REF!</definedName>
    <definedName name="ggggggggg" localSheetId="54" hidden="1">[1]weekly!#REF!</definedName>
    <definedName name="ggggggggg" localSheetId="91" hidden="1">[1]weekly!#REF!</definedName>
    <definedName name="ggggggggg" localSheetId="88" hidden="1">[1]weekly!#REF!</definedName>
    <definedName name="ggggggggg" localSheetId="90" hidden="1">[1]weekly!#REF!</definedName>
    <definedName name="ggggggggg" hidden="1">[1]weekly!#REF!</definedName>
    <definedName name="gggggggggggg" localSheetId="61" hidden="1">[1]weekly!#REF!</definedName>
    <definedName name="gggggggggggg" localSheetId="87" hidden="1">[1]weekly!#REF!</definedName>
    <definedName name="gggggggggggg" localSheetId="37" hidden="1">[1]weekly!#REF!</definedName>
    <definedName name="gggggggggggg" localSheetId="62" hidden="1">[1]weekly!#REF!</definedName>
    <definedName name="gggggggggggg" localSheetId="38" hidden="1">[1]weekly!#REF!</definedName>
    <definedName name="gggggggggggg" localSheetId="18" hidden="1">[1]weekly!#REF!</definedName>
    <definedName name="gggggggggggg" localSheetId="56" hidden="1">[1]weekly!#REF!</definedName>
    <definedName name="gggggggggggg" localSheetId="58" hidden="1">[1]weekly!#REF!</definedName>
    <definedName name="gggggggggggg" localSheetId="16" hidden="1">[1]weekly!#REF!</definedName>
    <definedName name="gggggggggggg" localSheetId="57" hidden="1">[1]weekly!#REF!</definedName>
    <definedName name="gggggggggggg" localSheetId="59" hidden="1">[1]weekly!#REF!</definedName>
    <definedName name="gggggggggggg" localSheetId="20" hidden="1">[1]weekly!#REF!</definedName>
    <definedName name="gggggggggggg" localSheetId="83" hidden="1">[1]weekly!#REF!</definedName>
    <definedName name="gggggggggggg" localSheetId="39" hidden="1">[1]weekly!#REF!</definedName>
    <definedName name="gggggggggggg" localSheetId="40" hidden="1">[1]weekly!#REF!</definedName>
    <definedName name="gggggggggggg" localSheetId="95" hidden="1">[1]weekly!#REF!</definedName>
    <definedName name="gggggggggggg" localSheetId="41" hidden="1">[1]weekly!#REF!</definedName>
    <definedName name="gggggggggggg" localSheetId="92" hidden="1">[1]weekly!#REF!</definedName>
    <definedName name="gggggggggggg" localSheetId="42" hidden="1">[1]weekly!#REF!</definedName>
    <definedName name="gggggggggggg" localSheetId="43" hidden="1">[1]weekly!#REF!</definedName>
    <definedName name="gggggggggggg" localSheetId="44" hidden="1">[1]weekly!#REF!</definedName>
    <definedName name="gggggggggggg" localSheetId="34" hidden="1">[1]weekly!#REF!</definedName>
    <definedName name="gggggggggggg" localSheetId="45" hidden="1">[1]weekly!#REF!</definedName>
    <definedName name="gggggggggggg" localSheetId="70" hidden="1">[1]weekly!#REF!</definedName>
    <definedName name="gggggggggggg" localSheetId="46" hidden="1">[1]weekly!#REF!</definedName>
    <definedName name="gggggggggggg" localSheetId="25" hidden="1">[1]weekly!#REF!</definedName>
    <definedName name="gggggggggggg" localSheetId="26" hidden="1">[1]weekly!#REF!</definedName>
    <definedName name="gggggggggggg" localSheetId="47" hidden="1">[1]weekly!#REF!</definedName>
    <definedName name="gggggggggggg" localSheetId="15" hidden="1">[1]weekly!#REF!</definedName>
    <definedName name="gggggggggggg" localSheetId="93" hidden="1">[1]weekly!#REF!</definedName>
    <definedName name="gggggggggggg" localSheetId="48" hidden="1">[1]weekly!#REF!</definedName>
    <definedName name="gggggggggggg" localSheetId="49" hidden="1">[1]weekly!#REF!</definedName>
    <definedName name="gggggggggggg" localSheetId="50" hidden="1">[1]weekly!#REF!</definedName>
    <definedName name="gggggggggggg" localSheetId="51" hidden="1">[1]weekly!#REF!</definedName>
    <definedName name="gggggggggggg" localSheetId="55" hidden="1">[1]weekly!#REF!</definedName>
    <definedName name="gggggggggggg" localSheetId="52" hidden="1">[1]weekly!#REF!</definedName>
    <definedName name="gggggggggggg" localSheetId="53" hidden="1">[1]weekly!#REF!</definedName>
    <definedName name="gggggggggggg" localSheetId="35" hidden="1">[1]weekly!#REF!</definedName>
    <definedName name="gggggggggggg" localSheetId="60" hidden="1">[1]weekly!#REF!</definedName>
    <definedName name="gggggggggggg" localSheetId="22" hidden="1">[1]weekly!#REF!</definedName>
    <definedName name="gggggggggggg" localSheetId="23" hidden="1">[1]weekly!#REF!</definedName>
    <definedName name="gggggggggggg" localSheetId="54" hidden="1">[1]weekly!#REF!</definedName>
    <definedName name="gggggggggggg" localSheetId="91" hidden="1">[1]weekly!#REF!</definedName>
    <definedName name="gggggggggggg" localSheetId="88" hidden="1">[1]weekly!#REF!</definedName>
    <definedName name="gggggggggggg" localSheetId="90" hidden="1">[1]weekly!#REF!</definedName>
    <definedName name="gggggggggggg" hidden="1">[1]weekly!#REF!</definedName>
    <definedName name="ggggggggggggggggg" localSheetId="61" hidden="1">[1]weekly!#REF!</definedName>
    <definedName name="ggggggggggggggggg" localSheetId="87" hidden="1">[1]weekly!#REF!</definedName>
    <definedName name="ggggggggggggggggg" localSheetId="37" hidden="1">[1]weekly!#REF!</definedName>
    <definedName name="ggggggggggggggggg" localSheetId="62" hidden="1">[1]weekly!#REF!</definedName>
    <definedName name="ggggggggggggggggg" localSheetId="38" hidden="1">[1]weekly!#REF!</definedName>
    <definedName name="ggggggggggggggggg" localSheetId="18" hidden="1">[1]weekly!#REF!</definedName>
    <definedName name="ggggggggggggggggg" localSheetId="56" hidden="1">[1]weekly!#REF!</definedName>
    <definedName name="ggggggggggggggggg" localSheetId="58" hidden="1">[1]weekly!#REF!</definedName>
    <definedName name="ggggggggggggggggg" localSheetId="16" hidden="1">[1]weekly!#REF!</definedName>
    <definedName name="ggggggggggggggggg" localSheetId="57" hidden="1">[1]weekly!#REF!</definedName>
    <definedName name="ggggggggggggggggg" localSheetId="59" hidden="1">[1]weekly!#REF!</definedName>
    <definedName name="ggggggggggggggggg" localSheetId="20" hidden="1">[1]weekly!#REF!</definedName>
    <definedName name="ggggggggggggggggg" localSheetId="83" hidden="1">[1]weekly!#REF!</definedName>
    <definedName name="ggggggggggggggggg" localSheetId="39" hidden="1">[1]weekly!#REF!</definedName>
    <definedName name="ggggggggggggggggg" localSheetId="40" hidden="1">[1]weekly!#REF!</definedName>
    <definedName name="ggggggggggggggggg" localSheetId="95" hidden="1">[1]weekly!#REF!</definedName>
    <definedName name="ggggggggggggggggg" localSheetId="41" hidden="1">[1]weekly!#REF!</definedName>
    <definedName name="ggggggggggggggggg" localSheetId="92" hidden="1">[1]weekly!#REF!</definedName>
    <definedName name="ggggggggggggggggg" localSheetId="42" hidden="1">[1]weekly!#REF!</definedName>
    <definedName name="ggggggggggggggggg" localSheetId="43" hidden="1">[1]weekly!#REF!</definedName>
    <definedName name="ggggggggggggggggg" localSheetId="44" hidden="1">[1]weekly!#REF!</definedName>
    <definedName name="ggggggggggggggggg" localSheetId="34" hidden="1">[1]weekly!#REF!</definedName>
    <definedName name="ggggggggggggggggg" localSheetId="45" hidden="1">[1]weekly!#REF!</definedName>
    <definedName name="ggggggggggggggggg" localSheetId="70" hidden="1">[1]weekly!#REF!</definedName>
    <definedName name="ggggggggggggggggg" localSheetId="46" hidden="1">[1]weekly!#REF!</definedName>
    <definedName name="ggggggggggggggggg" localSheetId="25" hidden="1">[1]weekly!#REF!</definedName>
    <definedName name="ggggggggggggggggg" localSheetId="26" hidden="1">[1]weekly!#REF!</definedName>
    <definedName name="ggggggggggggggggg" localSheetId="47" hidden="1">[1]weekly!#REF!</definedName>
    <definedName name="ggggggggggggggggg" localSheetId="15" hidden="1">[1]weekly!#REF!</definedName>
    <definedName name="ggggggggggggggggg" localSheetId="93" hidden="1">[1]weekly!#REF!</definedName>
    <definedName name="ggggggggggggggggg" localSheetId="48" hidden="1">[1]weekly!#REF!</definedName>
    <definedName name="ggggggggggggggggg" localSheetId="49" hidden="1">[1]weekly!#REF!</definedName>
    <definedName name="ggggggggggggggggg" localSheetId="50" hidden="1">[1]weekly!#REF!</definedName>
    <definedName name="ggggggggggggggggg" localSheetId="51" hidden="1">[1]weekly!#REF!</definedName>
    <definedName name="ggggggggggggggggg" localSheetId="55" hidden="1">[1]weekly!#REF!</definedName>
    <definedName name="ggggggggggggggggg" localSheetId="52" hidden="1">[1]weekly!#REF!</definedName>
    <definedName name="ggggggggggggggggg" localSheetId="53" hidden="1">[1]weekly!#REF!</definedName>
    <definedName name="ggggggggggggggggg" localSheetId="35" hidden="1">[1]weekly!#REF!</definedName>
    <definedName name="ggggggggggggggggg" localSheetId="60" hidden="1">[1]weekly!#REF!</definedName>
    <definedName name="ggggggggggggggggg" localSheetId="22" hidden="1">[1]weekly!#REF!</definedName>
    <definedName name="ggggggggggggggggg" localSheetId="23" hidden="1">[1]weekly!#REF!</definedName>
    <definedName name="ggggggggggggggggg" localSheetId="54" hidden="1">[1]weekly!#REF!</definedName>
    <definedName name="ggggggggggggggggg" localSheetId="91" hidden="1">[1]weekly!#REF!</definedName>
    <definedName name="ggggggggggggggggg" localSheetId="88" hidden="1">[1]weekly!#REF!</definedName>
    <definedName name="ggggggggggggggggg" localSheetId="90" hidden="1">[1]weekly!#REF!</definedName>
    <definedName name="ggggggggggggggggg" hidden="1">[1]weekly!#REF!</definedName>
    <definedName name="gggggggggggggggggg" localSheetId="61" hidden="1">[1]weekly!#REF!</definedName>
    <definedName name="gggggggggggggggggg" localSheetId="87" hidden="1">[1]weekly!#REF!</definedName>
    <definedName name="gggggggggggggggggg" localSheetId="37" hidden="1">[1]weekly!#REF!</definedName>
    <definedName name="gggggggggggggggggg" localSheetId="62" hidden="1">[1]weekly!#REF!</definedName>
    <definedName name="gggggggggggggggggg" localSheetId="38" hidden="1">[1]weekly!#REF!</definedName>
    <definedName name="gggggggggggggggggg" localSheetId="18" hidden="1">[1]weekly!#REF!</definedName>
    <definedName name="gggggggggggggggggg" localSheetId="56" hidden="1">[1]weekly!#REF!</definedName>
    <definedName name="gggggggggggggggggg" localSheetId="58" hidden="1">[1]weekly!#REF!</definedName>
    <definedName name="gggggggggggggggggg" localSheetId="16" hidden="1">[1]weekly!#REF!</definedName>
    <definedName name="gggggggggggggggggg" localSheetId="57" hidden="1">[1]weekly!#REF!</definedName>
    <definedName name="gggggggggggggggggg" localSheetId="59" hidden="1">[1]weekly!#REF!</definedName>
    <definedName name="gggggggggggggggggg" localSheetId="20" hidden="1">[1]weekly!#REF!</definedName>
    <definedName name="gggggggggggggggggg" localSheetId="83" hidden="1">[1]weekly!#REF!</definedName>
    <definedName name="gggggggggggggggggg" localSheetId="39" hidden="1">[1]weekly!#REF!</definedName>
    <definedName name="gggggggggggggggggg" localSheetId="40" hidden="1">[1]weekly!#REF!</definedName>
    <definedName name="gggggggggggggggggg" localSheetId="95" hidden="1">[1]weekly!#REF!</definedName>
    <definedName name="gggggggggggggggggg" localSheetId="41" hidden="1">[1]weekly!#REF!</definedName>
    <definedName name="gggggggggggggggggg" localSheetId="92" hidden="1">[1]weekly!#REF!</definedName>
    <definedName name="gggggggggggggggggg" localSheetId="42" hidden="1">[1]weekly!#REF!</definedName>
    <definedName name="gggggggggggggggggg" localSheetId="43" hidden="1">[1]weekly!#REF!</definedName>
    <definedName name="gggggggggggggggggg" localSheetId="44" hidden="1">[1]weekly!#REF!</definedName>
    <definedName name="gggggggggggggggggg" localSheetId="34" hidden="1">[1]weekly!#REF!</definedName>
    <definedName name="gggggggggggggggggg" localSheetId="45" hidden="1">[1]weekly!#REF!</definedName>
    <definedName name="gggggggggggggggggg" localSheetId="70" hidden="1">[1]weekly!#REF!</definedName>
    <definedName name="gggggggggggggggggg" localSheetId="46" hidden="1">[1]weekly!#REF!</definedName>
    <definedName name="gggggggggggggggggg" localSheetId="25" hidden="1">[1]weekly!#REF!</definedName>
    <definedName name="gggggggggggggggggg" localSheetId="26" hidden="1">[1]weekly!#REF!</definedName>
    <definedName name="gggggggggggggggggg" localSheetId="47" hidden="1">[1]weekly!#REF!</definedName>
    <definedName name="gggggggggggggggggg" localSheetId="15" hidden="1">[1]weekly!#REF!</definedName>
    <definedName name="gggggggggggggggggg" localSheetId="93" hidden="1">[1]weekly!#REF!</definedName>
    <definedName name="gggggggggggggggggg" localSheetId="48" hidden="1">[1]weekly!#REF!</definedName>
    <definedName name="gggggggggggggggggg" localSheetId="49" hidden="1">[1]weekly!#REF!</definedName>
    <definedName name="gggggggggggggggggg" localSheetId="50" hidden="1">[1]weekly!#REF!</definedName>
    <definedName name="gggggggggggggggggg" localSheetId="51" hidden="1">[1]weekly!#REF!</definedName>
    <definedName name="gggggggggggggggggg" localSheetId="55" hidden="1">[1]weekly!#REF!</definedName>
    <definedName name="gggggggggggggggggg" localSheetId="52" hidden="1">[1]weekly!#REF!</definedName>
    <definedName name="gggggggggggggggggg" localSheetId="53" hidden="1">[1]weekly!#REF!</definedName>
    <definedName name="gggggggggggggggggg" localSheetId="35" hidden="1">[1]weekly!#REF!</definedName>
    <definedName name="gggggggggggggggggg" localSheetId="60" hidden="1">[1]weekly!#REF!</definedName>
    <definedName name="gggggggggggggggggg" localSheetId="22" hidden="1">[1]weekly!#REF!</definedName>
    <definedName name="gggggggggggggggggg" localSheetId="23" hidden="1">[1]weekly!#REF!</definedName>
    <definedName name="gggggggggggggggggg" localSheetId="54" hidden="1">[1]weekly!#REF!</definedName>
    <definedName name="gggggggggggggggggg" localSheetId="91" hidden="1">[1]weekly!#REF!</definedName>
    <definedName name="gggggggggggggggggg" localSheetId="88" hidden="1">[1]weekly!#REF!</definedName>
    <definedName name="gggggggggggggggggg" localSheetId="90" hidden="1">[1]weekly!#REF!</definedName>
    <definedName name="gggggggggggggggggg" hidden="1">[1]weekly!#REF!</definedName>
    <definedName name="h" localSheetId="61" hidden="1">[1]weekly!#REF!</definedName>
    <definedName name="h" localSheetId="87" hidden="1">[1]weekly!#REF!</definedName>
    <definedName name="h" localSheetId="37" hidden="1">[1]weekly!#REF!</definedName>
    <definedName name="h" localSheetId="62" hidden="1">[1]weekly!#REF!</definedName>
    <definedName name="h" localSheetId="38" hidden="1">[1]weekly!#REF!</definedName>
    <definedName name="h" localSheetId="58" hidden="1">[1]weekly!#REF!</definedName>
    <definedName name="h" localSheetId="57" hidden="1">[1]weekly!#REF!</definedName>
    <definedName name="h" localSheetId="59" hidden="1">[1]weekly!#REF!</definedName>
    <definedName name="h" localSheetId="83" hidden="1">[1]weekly!#REF!</definedName>
    <definedName name="h" localSheetId="39" hidden="1">[1]weekly!#REF!</definedName>
    <definedName name="h" localSheetId="40" hidden="1">[1]weekly!#REF!</definedName>
    <definedName name="h" localSheetId="95" hidden="1">[1]weekly!#REF!</definedName>
    <definedName name="h" localSheetId="41" hidden="1">[1]weekly!#REF!</definedName>
    <definedName name="h" localSheetId="92" hidden="1">[1]weekly!#REF!</definedName>
    <definedName name="h" localSheetId="42" hidden="1">[1]weekly!#REF!</definedName>
    <definedName name="h" localSheetId="43" hidden="1">[1]weekly!#REF!</definedName>
    <definedName name="h" localSheetId="44" hidden="1">[1]weekly!#REF!</definedName>
    <definedName name="h" localSheetId="34" hidden="1">[1]weekly!#REF!</definedName>
    <definedName name="h" localSheetId="45" hidden="1">[1]weekly!#REF!</definedName>
    <definedName name="h" localSheetId="70" hidden="1">[1]weekly!#REF!</definedName>
    <definedName name="h" localSheetId="46" hidden="1">[1]weekly!#REF!</definedName>
    <definedName name="h" localSheetId="25" hidden="1">[1]weekly!#REF!</definedName>
    <definedName name="h" localSheetId="26" hidden="1">[1]weekly!#REF!</definedName>
    <definedName name="h" localSheetId="47" hidden="1">[1]weekly!#REF!</definedName>
    <definedName name="h" localSheetId="15" hidden="1">[1]weekly!#REF!</definedName>
    <definedName name="h" localSheetId="93" hidden="1">[1]weekly!#REF!</definedName>
    <definedName name="h" localSheetId="48" hidden="1">[1]weekly!#REF!</definedName>
    <definedName name="h" localSheetId="49" hidden="1">[1]weekly!#REF!</definedName>
    <definedName name="h" localSheetId="50" hidden="1">[1]weekly!#REF!</definedName>
    <definedName name="h" localSheetId="51" hidden="1">[1]weekly!#REF!</definedName>
    <definedName name="h" localSheetId="55" hidden="1">[1]weekly!#REF!</definedName>
    <definedName name="h" localSheetId="52" hidden="1">[1]weekly!#REF!</definedName>
    <definedName name="h" localSheetId="53" hidden="1">[1]weekly!#REF!</definedName>
    <definedName name="h" localSheetId="35" hidden="1">[1]weekly!#REF!</definedName>
    <definedName name="h" localSheetId="60" hidden="1">[1]weekly!#REF!</definedName>
    <definedName name="h" localSheetId="54" hidden="1">[1]weekly!#REF!</definedName>
    <definedName name="h" localSheetId="91" hidden="1">[1]weekly!#REF!</definedName>
    <definedName name="h" localSheetId="88" hidden="1">[1]weekly!#REF!</definedName>
    <definedName name="h" localSheetId="90" hidden="1">[1]weekly!#REF!</definedName>
    <definedName name="h" hidden="1">[1]weekly!#REF!</definedName>
    <definedName name="hh" localSheetId="61" hidden="1">[1]weekly!#REF!</definedName>
    <definedName name="hh" localSheetId="87" hidden="1">[1]weekly!#REF!</definedName>
    <definedName name="hh" localSheetId="37" hidden="1">[1]weekly!#REF!</definedName>
    <definedName name="hh" localSheetId="62" hidden="1">[1]weekly!#REF!</definedName>
    <definedName name="hh" localSheetId="38" hidden="1">[1]weekly!#REF!</definedName>
    <definedName name="hh" localSheetId="58" hidden="1">[1]weekly!#REF!</definedName>
    <definedName name="hh" localSheetId="57" hidden="1">[1]weekly!#REF!</definedName>
    <definedName name="hh" localSheetId="59" hidden="1">[1]weekly!#REF!</definedName>
    <definedName name="hh" localSheetId="83" hidden="1">[1]weekly!#REF!</definedName>
    <definedName name="hh" localSheetId="39" hidden="1">[1]weekly!#REF!</definedName>
    <definedName name="hh" localSheetId="40" hidden="1">[1]weekly!#REF!</definedName>
    <definedName name="hh" localSheetId="95" hidden="1">[1]weekly!#REF!</definedName>
    <definedName name="hh" localSheetId="41" hidden="1">[1]weekly!#REF!</definedName>
    <definedName name="hh" localSheetId="92" hidden="1">[1]weekly!#REF!</definedName>
    <definedName name="hh" localSheetId="42" hidden="1">[1]weekly!#REF!</definedName>
    <definedName name="hh" localSheetId="43" hidden="1">[1]weekly!#REF!</definedName>
    <definedName name="hh" localSheetId="44" hidden="1">[1]weekly!#REF!</definedName>
    <definedName name="hh" localSheetId="34" hidden="1">[1]weekly!#REF!</definedName>
    <definedName name="hh" localSheetId="45" hidden="1">[1]weekly!#REF!</definedName>
    <definedName name="hh" localSheetId="70" hidden="1">[1]weekly!#REF!</definedName>
    <definedName name="hh" localSheetId="46" hidden="1">[1]weekly!#REF!</definedName>
    <definedName name="hh" localSheetId="25" hidden="1">[1]weekly!#REF!</definedName>
    <definedName name="hh" localSheetId="26" hidden="1">[1]weekly!#REF!</definedName>
    <definedName name="hh" localSheetId="47" hidden="1">[1]weekly!#REF!</definedName>
    <definedName name="hh" localSheetId="15" hidden="1">[1]weekly!#REF!</definedName>
    <definedName name="hh" localSheetId="93" hidden="1">[1]weekly!#REF!</definedName>
    <definedName name="hh" localSheetId="48" hidden="1">[1]weekly!#REF!</definedName>
    <definedName name="hh" localSheetId="49" hidden="1">[1]weekly!#REF!</definedName>
    <definedName name="hh" localSheetId="50" hidden="1">[1]weekly!#REF!</definedName>
    <definedName name="hh" localSheetId="51" hidden="1">[1]weekly!#REF!</definedName>
    <definedName name="hh" localSheetId="55" hidden="1">[1]weekly!#REF!</definedName>
    <definedName name="hh" localSheetId="52" hidden="1">[1]weekly!#REF!</definedName>
    <definedName name="hh" localSheetId="53" hidden="1">[1]weekly!#REF!</definedName>
    <definedName name="hh" localSheetId="35" hidden="1">[1]weekly!#REF!</definedName>
    <definedName name="hh" localSheetId="60" hidden="1">[1]weekly!#REF!</definedName>
    <definedName name="hh" localSheetId="54" hidden="1">[1]weekly!#REF!</definedName>
    <definedName name="hh" localSheetId="91" hidden="1">[1]weekly!#REF!</definedName>
    <definedName name="hh" localSheetId="88" hidden="1">[1]weekly!#REF!</definedName>
    <definedName name="hh" localSheetId="90" hidden="1">[1]weekly!#REF!</definedName>
    <definedName name="hh" hidden="1">[1]weekly!#REF!</definedName>
    <definedName name="hhhhh" localSheetId="61" hidden="1">[1]weekly!#REF!</definedName>
    <definedName name="hhhhh" localSheetId="87" hidden="1">[1]weekly!#REF!</definedName>
    <definedName name="hhhhh" localSheetId="37" hidden="1">[1]weekly!#REF!</definedName>
    <definedName name="hhhhh" localSheetId="62" hidden="1">[1]weekly!#REF!</definedName>
    <definedName name="hhhhh" localSheetId="38" hidden="1">[1]weekly!#REF!</definedName>
    <definedName name="hhhhh" localSheetId="58" hidden="1">[1]weekly!#REF!</definedName>
    <definedName name="hhhhh" localSheetId="57" hidden="1">[1]weekly!#REF!</definedName>
    <definedName name="hhhhh" localSheetId="59" hidden="1">[1]weekly!#REF!</definedName>
    <definedName name="hhhhh" localSheetId="83" hidden="1">[1]weekly!#REF!</definedName>
    <definedName name="hhhhh" localSheetId="39" hidden="1">[1]weekly!#REF!</definedName>
    <definedName name="hhhhh" localSheetId="40" hidden="1">[1]weekly!#REF!</definedName>
    <definedName name="hhhhh" localSheetId="95" hidden="1">[1]weekly!#REF!</definedName>
    <definedName name="hhhhh" localSheetId="41" hidden="1">[1]weekly!#REF!</definedName>
    <definedName name="hhhhh" localSheetId="92" hidden="1">[1]weekly!#REF!</definedName>
    <definedName name="hhhhh" localSheetId="42" hidden="1">[1]weekly!#REF!</definedName>
    <definedName name="hhhhh" localSheetId="43" hidden="1">[1]weekly!#REF!</definedName>
    <definedName name="hhhhh" localSheetId="44" hidden="1">[1]weekly!#REF!</definedName>
    <definedName name="hhhhh" localSheetId="34" hidden="1">[1]weekly!#REF!</definedName>
    <definedName name="hhhhh" localSheetId="45" hidden="1">[1]weekly!#REF!</definedName>
    <definedName name="hhhhh" localSheetId="70" hidden="1">[1]weekly!#REF!</definedName>
    <definedName name="hhhhh" localSheetId="46" hidden="1">[1]weekly!#REF!</definedName>
    <definedName name="hhhhh" localSheetId="25" hidden="1">[1]weekly!#REF!</definedName>
    <definedName name="hhhhh" localSheetId="26" hidden="1">[1]weekly!#REF!</definedName>
    <definedName name="hhhhh" localSheetId="47" hidden="1">[1]weekly!#REF!</definedName>
    <definedName name="hhhhh" localSheetId="15" hidden="1">[1]weekly!#REF!</definedName>
    <definedName name="hhhhh" localSheetId="93" hidden="1">[1]weekly!#REF!</definedName>
    <definedName name="hhhhh" localSheetId="48" hidden="1">[1]weekly!#REF!</definedName>
    <definedName name="hhhhh" localSheetId="49" hidden="1">[1]weekly!#REF!</definedName>
    <definedName name="hhhhh" localSheetId="50" hidden="1">[1]weekly!#REF!</definedName>
    <definedName name="hhhhh" localSheetId="51" hidden="1">[1]weekly!#REF!</definedName>
    <definedName name="hhhhh" localSheetId="55" hidden="1">[1]weekly!#REF!</definedName>
    <definedName name="hhhhh" localSheetId="52" hidden="1">[1]weekly!#REF!</definedName>
    <definedName name="hhhhh" localSheetId="53" hidden="1">[1]weekly!#REF!</definedName>
    <definedName name="hhhhh" localSheetId="35" hidden="1">[1]weekly!#REF!</definedName>
    <definedName name="hhhhh" localSheetId="60" hidden="1">[1]weekly!#REF!</definedName>
    <definedName name="hhhhh" localSheetId="54" hidden="1">[1]weekly!#REF!</definedName>
    <definedName name="hhhhh" localSheetId="91" hidden="1">[1]weekly!#REF!</definedName>
    <definedName name="hhhhh" localSheetId="88" hidden="1">[1]weekly!#REF!</definedName>
    <definedName name="hhhhh" localSheetId="90" hidden="1">[1]weekly!#REF!</definedName>
    <definedName name="hhhhh" hidden="1">[1]weekly!#REF!</definedName>
    <definedName name="i" localSheetId="61" hidden="1">[1]weekly!#REF!</definedName>
    <definedName name="i" localSheetId="87" hidden="1">[1]weekly!#REF!</definedName>
    <definedName name="i" localSheetId="37" hidden="1">[1]weekly!#REF!</definedName>
    <definedName name="i" localSheetId="62" hidden="1">[1]weekly!#REF!</definedName>
    <definedName name="i" localSheetId="38" hidden="1">[1]weekly!#REF!</definedName>
    <definedName name="i" localSheetId="58" hidden="1">[1]weekly!#REF!</definedName>
    <definedName name="i" localSheetId="57" hidden="1">[1]weekly!#REF!</definedName>
    <definedName name="i" localSheetId="59" hidden="1">[1]weekly!#REF!</definedName>
    <definedName name="i" localSheetId="83" hidden="1">[1]weekly!#REF!</definedName>
    <definedName name="i" localSheetId="39" hidden="1">[1]weekly!#REF!</definedName>
    <definedName name="i" localSheetId="40" hidden="1">[1]weekly!#REF!</definedName>
    <definedName name="i" localSheetId="95" hidden="1">[1]weekly!#REF!</definedName>
    <definedName name="i" localSheetId="41" hidden="1">[1]weekly!#REF!</definedName>
    <definedName name="i" localSheetId="92" hidden="1">[1]weekly!#REF!</definedName>
    <definedName name="i" localSheetId="42" hidden="1">[1]weekly!#REF!</definedName>
    <definedName name="i" localSheetId="43" hidden="1">[1]weekly!#REF!</definedName>
    <definedName name="i" localSheetId="44" hidden="1">[1]weekly!#REF!</definedName>
    <definedName name="i" localSheetId="34" hidden="1">[1]weekly!#REF!</definedName>
    <definedName name="i" localSheetId="45" hidden="1">[1]weekly!#REF!</definedName>
    <definedName name="i" localSheetId="70" hidden="1">[1]weekly!#REF!</definedName>
    <definedName name="i" localSheetId="46" hidden="1">[1]weekly!#REF!</definedName>
    <definedName name="i" localSheetId="25" hidden="1">[1]weekly!#REF!</definedName>
    <definedName name="i" localSheetId="26" hidden="1">[1]weekly!#REF!</definedName>
    <definedName name="i" localSheetId="47" hidden="1">[1]weekly!#REF!</definedName>
    <definedName name="i" localSheetId="15" hidden="1">[1]weekly!#REF!</definedName>
    <definedName name="i" localSheetId="93" hidden="1">[1]weekly!#REF!</definedName>
    <definedName name="i" localSheetId="3" hidden="1">[1]weekly!#REF!</definedName>
    <definedName name="i" localSheetId="48" hidden="1">[1]weekly!#REF!</definedName>
    <definedName name="i" localSheetId="49" hidden="1">[1]weekly!#REF!</definedName>
    <definedName name="i" localSheetId="50" hidden="1">[1]weekly!#REF!</definedName>
    <definedName name="i" localSheetId="51" hidden="1">[1]weekly!#REF!</definedName>
    <definedName name="i" localSheetId="55" hidden="1">[1]weekly!#REF!</definedName>
    <definedName name="i" localSheetId="52" hidden="1">[1]weekly!#REF!</definedName>
    <definedName name="i" localSheetId="53" hidden="1">[1]weekly!#REF!</definedName>
    <definedName name="i" localSheetId="35" hidden="1">[1]weekly!#REF!</definedName>
    <definedName name="i" localSheetId="60" hidden="1">[1]weekly!#REF!</definedName>
    <definedName name="i" localSheetId="54" hidden="1">[1]weekly!#REF!</definedName>
    <definedName name="i" localSheetId="91" hidden="1">[1]weekly!#REF!</definedName>
    <definedName name="i" localSheetId="88" hidden="1">[1]weekly!#REF!</definedName>
    <definedName name="i" localSheetId="90" hidden="1">[1]weekly!#REF!</definedName>
    <definedName name="i" hidden="1">[1]weekly!#REF!</definedName>
    <definedName name="ii" localSheetId="61" hidden="1">[1]weekly!#REF!</definedName>
    <definedName name="ii" localSheetId="87" hidden="1">[1]weekly!#REF!</definedName>
    <definedName name="ii" localSheetId="37" hidden="1">[1]weekly!#REF!</definedName>
    <definedName name="ii" localSheetId="62" hidden="1">[1]weekly!#REF!</definedName>
    <definedName name="ii" localSheetId="38" hidden="1">[1]weekly!#REF!</definedName>
    <definedName name="ii" localSheetId="58" hidden="1">[1]weekly!#REF!</definedName>
    <definedName name="ii" localSheetId="57" hidden="1">[1]weekly!#REF!</definedName>
    <definedName name="ii" localSheetId="59" hidden="1">[1]weekly!#REF!</definedName>
    <definedName name="ii" localSheetId="83" hidden="1">[1]weekly!#REF!</definedName>
    <definedName name="ii" localSheetId="39" hidden="1">[1]weekly!#REF!</definedName>
    <definedName name="ii" localSheetId="40" hidden="1">[1]weekly!#REF!</definedName>
    <definedName name="ii" localSheetId="95" hidden="1">[1]weekly!#REF!</definedName>
    <definedName name="ii" localSheetId="41" hidden="1">[1]weekly!#REF!</definedName>
    <definedName name="ii" localSheetId="92" hidden="1">[1]weekly!#REF!</definedName>
    <definedName name="ii" localSheetId="42" hidden="1">[1]weekly!#REF!</definedName>
    <definedName name="ii" localSheetId="43" hidden="1">[1]weekly!#REF!</definedName>
    <definedName name="ii" localSheetId="44" hidden="1">[1]weekly!#REF!</definedName>
    <definedName name="ii" localSheetId="34" hidden="1">[1]weekly!#REF!</definedName>
    <definedName name="ii" localSheetId="45" hidden="1">[1]weekly!#REF!</definedName>
    <definedName name="ii" localSheetId="70" hidden="1">[1]weekly!#REF!</definedName>
    <definedName name="ii" localSheetId="46" hidden="1">[1]weekly!#REF!</definedName>
    <definedName name="ii" localSheetId="25" hidden="1">[1]weekly!#REF!</definedName>
    <definedName name="ii" localSheetId="26" hidden="1">[1]weekly!#REF!</definedName>
    <definedName name="ii" localSheetId="47" hidden="1">[1]weekly!#REF!</definedName>
    <definedName name="ii" localSheetId="15" hidden="1">[1]weekly!#REF!</definedName>
    <definedName name="ii" localSheetId="93" hidden="1">[1]weekly!#REF!</definedName>
    <definedName name="ii" localSheetId="48" hidden="1">[1]weekly!#REF!</definedName>
    <definedName name="ii" localSheetId="49" hidden="1">[1]weekly!#REF!</definedName>
    <definedName name="ii" localSheetId="50" hidden="1">[1]weekly!#REF!</definedName>
    <definedName name="ii" localSheetId="51" hidden="1">[1]weekly!#REF!</definedName>
    <definedName name="ii" localSheetId="55" hidden="1">[1]weekly!#REF!</definedName>
    <definedName name="ii" localSheetId="52" hidden="1">[1]weekly!#REF!</definedName>
    <definedName name="ii" localSheetId="53" hidden="1">[1]weekly!#REF!</definedName>
    <definedName name="ii" localSheetId="35" hidden="1">[1]weekly!#REF!</definedName>
    <definedName name="ii" localSheetId="60" hidden="1">[1]weekly!#REF!</definedName>
    <definedName name="ii" localSheetId="54" hidden="1">[1]weekly!#REF!</definedName>
    <definedName name="ii" localSheetId="91" hidden="1">[1]weekly!#REF!</definedName>
    <definedName name="ii" localSheetId="88" hidden="1">[1]weekly!#REF!</definedName>
    <definedName name="ii" localSheetId="90" hidden="1">[1]weekly!#REF!</definedName>
    <definedName name="ii" hidden="1">[1]weekly!#REF!</definedName>
    <definedName name="iii" localSheetId="61" hidden="1">[1]weekly!#REF!</definedName>
    <definedName name="iii" localSheetId="87" hidden="1">[1]weekly!#REF!</definedName>
    <definedName name="iii" localSheetId="37" hidden="1">[1]weekly!#REF!</definedName>
    <definedName name="iii" localSheetId="62" hidden="1">[1]weekly!#REF!</definedName>
    <definedName name="iii" localSheetId="38" hidden="1">[1]weekly!#REF!</definedName>
    <definedName name="iii" localSheetId="58" hidden="1">[1]weekly!#REF!</definedName>
    <definedName name="iii" localSheetId="57" hidden="1">[1]weekly!#REF!</definedName>
    <definedName name="iii" localSheetId="59" hidden="1">[1]weekly!#REF!</definedName>
    <definedName name="iii" localSheetId="83" hidden="1">[1]weekly!#REF!</definedName>
    <definedName name="iii" localSheetId="39" hidden="1">[1]weekly!#REF!</definedName>
    <definedName name="iii" localSheetId="40" hidden="1">[1]weekly!#REF!</definedName>
    <definedName name="iii" localSheetId="95" hidden="1">[1]weekly!#REF!</definedName>
    <definedName name="iii" localSheetId="41" hidden="1">[1]weekly!#REF!</definedName>
    <definedName name="iii" localSheetId="92" hidden="1">[1]weekly!#REF!</definedName>
    <definedName name="iii" localSheetId="42" hidden="1">[1]weekly!#REF!</definedName>
    <definedName name="iii" localSheetId="43" hidden="1">[1]weekly!#REF!</definedName>
    <definedName name="iii" localSheetId="44" hidden="1">[1]weekly!#REF!</definedName>
    <definedName name="iii" localSheetId="34" hidden="1">[1]weekly!#REF!</definedName>
    <definedName name="iii" localSheetId="45" hidden="1">[1]weekly!#REF!</definedName>
    <definedName name="iii" localSheetId="70" hidden="1">[1]weekly!#REF!</definedName>
    <definedName name="iii" localSheetId="46" hidden="1">[1]weekly!#REF!</definedName>
    <definedName name="iii" localSheetId="25" hidden="1">[1]weekly!#REF!</definedName>
    <definedName name="iii" localSheetId="26" hidden="1">[1]weekly!#REF!</definedName>
    <definedName name="iii" localSheetId="47" hidden="1">[1]weekly!#REF!</definedName>
    <definedName name="iii" localSheetId="15" hidden="1">[1]weekly!#REF!</definedName>
    <definedName name="iii" localSheetId="93" hidden="1">[1]weekly!#REF!</definedName>
    <definedName name="iii" localSheetId="48" hidden="1">[1]weekly!#REF!</definedName>
    <definedName name="iii" localSheetId="49" hidden="1">[1]weekly!#REF!</definedName>
    <definedName name="iii" localSheetId="50" hidden="1">[1]weekly!#REF!</definedName>
    <definedName name="iii" localSheetId="51" hidden="1">[1]weekly!#REF!</definedName>
    <definedName name="iii" localSheetId="55" hidden="1">[1]weekly!#REF!</definedName>
    <definedName name="iii" localSheetId="52" hidden="1">[1]weekly!#REF!</definedName>
    <definedName name="iii" localSheetId="53" hidden="1">[1]weekly!#REF!</definedName>
    <definedName name="iii" localSheetId="35" hidden="1">[1]weekly!#REF!</definedName>
    <definedName name="iii" localSheetId="60" hidden="1">[1]weekly!#REF!</definedName>
    <definedName name="iii" localSheetId="54" hidden="1">[1]weekly!#REF!</definedName>
    <definedName name="iii" localSheetId="91" hidden="1">[1]weekly!#REF!</definedName>
    <definedName name="iii" localSheetId="88" hidden="1">[1]weekly!#REF!</definedName>
    <definedName name="iii" localSheetId="90" hidden="1">[1]weekly!#REF!</definedName>
    <definedName name="iii" hidden="1">[1]weekly!#REF!</definedName>
    <definedName name="iiiii" localSheetId="61" hidden="1">[1]weekly!#REF!</definedName>
    <definedName name="iiiii" localSheetId="87" hidden="1">[1]weekly!#REF!</definedName>
    <definedName name="iiiii" localSheetId="37" hidden="1">[1]weekly!#REF!</definedName>
    <definedName name="iiiii" localSheetId="62" hidden="1">[1]weekly!#REF!</definedName>
    <definedName name="iiiii" localSheetId="38" hidden="1">[1]weekly!#REF!</definedName>
    <definedName name="iiiii" localSheetId="58" hidden="1">[1]weekly!#REF!</definedName>
    <definedName name="iiiii" localSheetId="57" hidden="1">[1]weekly!#REF!</definedName>
    <definedName name="iiiii" localSheetId="59" hidden="1">[1]weekly!#REF!</definedName>
    <definedName name="iiiii" localSheetId="83" hidden="1">[1]weekly!#REF!</definedName>
    <definedName name="iiiii" localSheetId="39" hidden="1">[1]weekly!#REF!</definedName>
    <definedName name="iiiii" localSheetId="40" hidden="1">[1]weekly!#REF!</definedName>
    <definedName name="iiiii" localSheetId="95" hidden="1">[1]weekly!#REF!</definedName>
    <definedName name="iiiii" localSheetId="41" hidden="1">[1]weekly!#REF!</definedName>
    <definedName name="iiiii" localSheetId="92" hidden="1">[1]weekly!#REF!</definedName>
    <definedName name="iiiii" localSheetId="42" hidden="1">[1]weekly!#REF!</definedName>
    <definedName name="iiiii" localSheetId="43" hidden="1">[1]weekly!#REF!</definedName>
    <definedName name="iiiii" localSheetId="44" hidden="1">[1]weekly!#REF!</definedName>
    <definedName name="iiiii" localSheetId="34" hidden="1">[1]weekly!#REF!</definedName>
    <definedName name="iiiii" localSheetId="45" hidden="1">[1]weekly!#REF!</definedName>
    <definedName name="iiiii" localSheetId="70" hidden="1">[1]weekly!#REF!</definedName>
    <definedName name="iiiii" localSheetId="46" hidden="1">[1]weekly!#REF!</definedName>
    <definedName name="iiiii" localSheetId="25" hidden="1">[1]weekly!#REF!</definedName>
    <definedName name="iiiii" localSheetId="26" hidden="1">[1]weekly!#REF!</definedName>
    <definedName name="iiiii" localSheetId="47" hidden="1">[1]weekly!#REF!</definedName>
    <definedName name="iiiii" localSheetId="15" hidden="1">[1]weekly!#REF!</definedName>
    <definedName name="iiiii" localSheetId="93" hidden="1">[1]weekly!#REF!</definedName>
    <definedName name="iiiii" localSheetId="48" hidden="1">[1]weekly!#REF!</definedName>
    <definedName name="iiiii" localSheetId="49" hidden="1">[1]weekly!#REF!</definedName>
    <definedName name="iiiii" localSheetId="50" hidden="1">[1]weekly!#REF!</definedName>
    <definedName name="iiiii" localSheetId="51" hidden="1">[1]weekly!#REF!</definedName>
    <definedName name="iiiii" localSheetId="55" hidden="1">[1]weekly!#REF!</definedName>
    <definedName name="iiiii" localSheetId="52" hidden="1">[1]weekly!#REF!</definedName>
    <definedName name="iiiii" localSheetId="53" hidden="1">[1]weekly!#REF!</definedName>
    <definedName name="iiiii" localSheetId="35" hidden="1">[1]weekly!#REF!</definedName>
    <definedName name="iiiii" localSheetId="60" hidden="1">[1]weekly!#REF!</definedName>
    <definedName name="iiiii" localSheetId="54" hidden="1">[1]weekly!#REF!</definedName>
    <definedName name="iiiii" localSheetId="91" hidden="1">[1]weekly!#REF!</definedName>
    <definedName name="iiiii" localSheetId="88" hidden="1">[1]weekly!#REF!</definedName>
    <definedName name="iiiii" localSheetId="90" hidden="1">[1]weekly!#REF!</definedName>
    <definedName name="iiiii" hidden="1">[1]weekly!#REF!</definedName>
    <definedName name="j" localSheetId="61" hidden="1">[1]weekly!#REF!</definedName>
    <definedName name="j" localSheetId="87" hidden="1">[1]weekly!#REF!</definedName>
    <definedName name="j" localSheetId="37" hidden="1">[1]weekly!#REF!</definedName>
    <definedName name="j" localSheetId="62" hidden="1">[1]weekly!#REF!</definedName>
    <definedName name="j" localSheetId="38" hidden="1">[1]weekly!#REF!</definedName>
    <definedName name="j" localSheetId="58" hidden="1">[1]weekly!#REF!</definedName>
    <definedName name="j" localSheetId="57" hidden="1">[1]weekly!#REF!</definedName>
    <definedName name="j" localSheetId="59" hidden="1">[1]weekly!#REF!</definedName>
    <definedName name="j" localSheetId="83" hidden="1">[1]weekly!#REF!</definedName>
    <definedName name="j" localSheetId="39" hidden="1">[1]weekly!#REF!</definedName>
    <definedName name="j" localSheetId="40" hidden="1">[1]weekly!#REF!</definedName>
    <definedName name="j" localSheetId="95" hidden="1">[1]weekly!#REF!</definedName>
    <definedName name="j" localSheetId="41" hidden="1">[1]weekly!#REF!</definedName>
    <definedName name="j" localSheetId="92" hidden="1">[1]weekly!#REF!</definedName>
    <definedName name="j" localSheetId="42" hidden="1">[1]weekly!#REF!</definedName>
    <definedName name="j" localSheetId="43" hidden="1">[1]weekly!#REF!</definedName>
    <definedName name="j" localSheetId="44" hidden="1">[1]weekly!#REF!</definedName>
    <definedName name="j" localSheetId="34" hidden="1">[1]weekly!#REF!</definedName>
    <definedName name="j" localSheetId="45" hidden="1">[1]weekly!#REF!</definedName>
    <definedName name="j" localSheetId="70" hidden="1">[1]weekly!#REF!</definedName>
    <definedName name="j" localSheetId="46" hidden="1">[1]weekly!#REF!</definedName>
    <definedName name="j" localSheetId="25" hidden="1">[1]weekly!#REF!</definedName>
    <definedName name="j" localSheetId="26" hidden="1">[1]weekly!#REF!</definedName>
    <definedName name="j" localSheetId="47" hidden="1">[1]weekly!#REF!</definedName>
    <definedName name="j" localSheetId="15" hidden="1">[1]weekly!#REF!</definedName>
    <definedName name="j" localSheetId="93" hidden="1">[1]weekly!#REF!</definedName>
    <definedName name="j" localSheetId="3" hidden="1">[1]weekly!#REF!</definedName>
    <definedName name="j" localSheetId="48" hidden="1">[1]weekly!#REF!</definedName>
    <definedName name="j" localSheetId="49" hidden="1">[1]weekly!#REF!</definedName>
    <definedName name="j" localSheetId="50" hidden="1">[1]weekly!#REF!</definedName>
    <definedName name="j" localSheetId="51" hidden="1">[1]weekly!#REF!</definedName>
    <definedName name="j" localSheetId="55" hidden="1">[1]weekly!#REF!</definedName>
    <definedName name="j" localSheetId="52" hidden="1">[1]weekly!#REF!</definedName>
    <definedName name="j" localSheetId="53" hidden="1">[1]weekly!#REF!</definedName>
    <definedName name="j" localSheetId="35" hidden="1">[1]weekly!#REF!</definedName>
    <definedName name="j" localSheetId="60" hidden="1">[1]weekly!#REF!</definedName>
    <definedName name="j" localSheetId="54" hidden="1">[1]weekly!#REF!</definedName>
    <definedName name="j" localSheetId="91" hidden="1">[1]weekly!#REF!</definedName>
    <definedName name="j" localSheetId="88" hidden="1">[1]weekly!#REF!</definedName>
    <definedName name="j" localSheetId="90" hidden="1">[1]weekly!#REF!</definedName>
    <definedName name="j" hidden="1">[1]weekly!#REF!</definedName>
    <definedName name="jgigigjgejigjei" localSheetId="61" hidden="1">[1]weekly!#REF!</definedName>
    <definedName name="jgigigjgejigjei" localSheetId="87" hidden="1">[1]weekly!#REF!</definedName>
    <definedName name="jgigigjgejigjei" localSheetId="37" hidden="1">[1]weekly!#REF!</definedName>
    <definedName name="jgigigjgejigjei" localSheetId="62" hidden="1">[1]weekly!#REF!</definedName>
    <definedName name="jgigigjgejigjei" localSheetId="38" hidden="1">[1]weekly!#REF!</definedName>
    <definedName name="jgigigjgejigjei" localSheetId="18" hidden="1">[1]weekly!#REF!</definedName>
    <definedName name="jgigigjgejigjei" localSheetId="56" hidden="1">[1]weekly!#REF!</definedName>
    <definedName name="jgigigjgejigjei" localSheetId="58" hidden="1">[1]weekly!#REF!</definedName>
    <definedName name="jgigigjgejigjei" localSheetId="16" hidden="1">[1]weekly!#REF!</definedName>
    <definedName name="jgigigjgejigjei" localSheetId="57" hidden="1">[1]weekly!#REF!</definedName>
    <definedName name="jgigigjgejigjei" localSheetId="59" hidden="1">[1]weekly!#REF!</definedName>
    <definedName name="jgigigjgejigjei" localSheetId="17" hidden="1">[1]weekly!#REF!</definedName>
    <definedName name="jgigigjgejigjei" localSheetId="20" hidden="1">[1]weekly!#REF!</definedName>
    <definedName name="jgigigjgejigjei" localSheetId="83" hidden="1">[1]weekly!#REF!</definedName>
    <definedName name="jgigigjgejigjei" localSheetId="39" hidden="1">[1]weekly!#REF!</definedName>
    <definedName name="jgigigjgejigjei" localSheetId="40" hidden="1">[1]weekly!#REF!</definedName>
    <definedName name="jgigigjgejigjei" localSheetId="95" hidden="1">[1]weekly!#REF!</definedName>
    <definedName name="jgigigjgejigjei" localSheetId="41" hidden="1">[1]weekly!#REF!</definedName>
    <definedName name="jgigigjgejigjei" localSheetId="92" hidden="1">[1]weekly!#REF!</definedName>
    <definedName name="jgigigjgejigjei" localSheetId="42" hidden="1">[1]weekly!#REF!</definedName>
    <definedName name="jgigigjgejigjei" localSheetId="43" hidden="1">[1]weekly!#REF!</definedName>
    <definedName name="jgigigjgejigjei" localSheetId="44" hidden="1">[1]weekly!#REF!</definedName>
    <definedName name="jgigigjgejigjei" localSheetId="34" hidden="1">[1]weekly!#REF!</definedName>
    <definedName name="jgigigjgejigjei" localSheetId="45" hidden="1">[1]weekly!#REF!</definedName>
    <definedName name="jgigigjgejigjei" localSheetId="70" hidden="1">[1]weekly!#REF!</definedName>
    <definedName name="jgigigjgejigjei" localSheetId="46" hidden="1">[1]weekly!#REF!</definedName>
    <definedName name="jgigigjgejigjei" localSheetId="25" hidden="1">[1]weekly!#REF!</definedName>
    <definedName name="jgigigjgejigjei" localSheetId="26" hidden="1">[1]weekly!#REF!</definedName>
    <definedName name="jgigigjgejigjei" localSheetId="47" hidden="1">[1]weekly!#REF!</definedName>
    <definedName name="jgigigjgejigjei" localSheetId="15" hidden="1">[1]weekly!#REF!</definedName>
    <definedName name="jgigigjgejigjei" localSheetId="93" hidden="1">[1]weekly!#REF!</definedName>
    <definedName name="jgigigjgejigjei" localSheetId="3" hidden="1">[1]weekly!#REF!</definedName>
    <definedName name="jgigigjgejigjei" localSheetId="48" hidden="1">[1]weekly!#REF!</definedName>
    <definedName name="jgigigjgejigjei" localSheetId="49" hidden="1">[1]weekly!#REF!</definedName>
    <definedName name="jgigigjgejigjei" localSheetId="50" hidden="1">[1]weekly!#REF!</definedName>
    <definedName name="jgigigjgejigjei" localSheetId="51" hidden="1">[1]weekly!#REF!</definedName>
    <definedName name="jgigigjgejigjei" localSheetId="55" hidden="1">[1]weekly!#REF!</definedName>
    <definedName name="jgigigjgejigjei" localSheetId="52" hidden="1">[1]weekly!#REF!</definedName>
    <definedName name="jgigigjgejigjei" localSheetId="53" hidden="1">[1]weekly!#REF!</definedName>
    <definedName name="jgigigjgejigjei" localSheetId="35" hidden="1">[1]weekly!#REF!</definedName>
    <definedName name="jgigigjgejigjei" localSheetId="60" hidden="1">[1]weekly!#REF!</definedName>
    <definedName name="jgigigjgejigjei" localSheetId="22" hidden="1">[1]weekly!#REF!</definedName>
    <definedName name="jgigigjgejigjei" localSheetId="23" hidden="1">[1]weekly!#REF!</definedName>
    <definedName name="jgigigjgejigjei" localSheetId="54" hidden="1">[1]weekly!#REF!</definedName>
    <definedName name="jgigigjgejigjei" localSheetId="91" hidden="1">[1]weekly!#REF!</definedName>
    <definedName name="jgigigjgejigjei" localSheetId="88" hidden="1">[1]weekly!#REF!</definedName>
    <definedName name="jgigigjgejigjei" localSheetId="90" hidden="1">[1]weekly!#REF!</definedName>
    <definedName name="jgigigjgejigjei" hidden="1">[1]weekly!#REF!</definedName>
    <definedName name="jifjeijeio" localSheetId="61" hidden="1">[1]weekly!#REF!</definedName>
    <definedName name="jifjeijeio" localSheetId="87" hidden="1">[1]weekly!#REF!</definedName>
    <definedName name="jifjeijeio" localSheetId="37" hidden="1">[1]weekly!#REF!</definedName>
    <definedName name="jifjeijeio" localSheetId="62" hidden="1">[1]weekly!#REF!</definedName>
    <definedName name="jifjeijeio" localSheetId="38" hidden="1">[1]weekly!#REF!</definedName>
    <definedName name="jifjeijeio" localSheetId="18" hidden="1">[1]weekly!#REF!</definedName>
    <definedName name="jifjeijeio" localSheetId="56" hidden="1">[1]weekly!#REF!</definedName>
    <definedName name="jifjeijeio" localSheetId="58" hidden="1">[1]weekly!#REF!</definedName>
    <definedName name="jifjeijeio" localSheetId="16" hidden="1">[1]weekly!#REF!</definedName>
    <definedName name="jifjeijeio" localSheetId="57" hidden="1">[1]weekly!#REF!</definedName>
    <definedName name="jifjeijeio" localSheetId="59" hidden="1">[1]weekly!#REF!</definedName>
    <definedName name="jifjeijeio" localSheetId="17" hidden="1">[1]weekly!#REF!</definedName>
    <definedName name="jifjeijeio" localSheetId="20" hidden="1">[1]weekly!#REF!</definedName>
    <definedName name="jifjeijeio" localSheetId="83" hidden="1">[1]weekly!#REF!</definedName>
    <definedName name="jifjeijeio" localSheetId="39" hidden="1">[1]weekly!#REF!</definedName>
    <definedName name="jifjeijeio" localSheetId="40" hidden="1">[1]weekly!#REF!</definedName>
    <definedName name="jifjeijeio" localSheetId="95" hidden="1">[1]weekly!#REF!</definedName>
    <definedName name="jifjeijeio" localSheetId="41" hidden="1">[1]weekly!#REF!</definedName>
    <definedName name="jifjeijeio" localSheetId="92" hidden="1">[1]weekly!#REF!</definedName>
    <definedName name="jifjeijeio" localSheetId="42" hidden="1">[1]weekly!#REF!</definedName>
    <definedName name="jifjeijeio" localSheetId="43" hidden="1">[1]weekly!#REF!</definedName>
    <definedName name="jifjeijeio" localSheetId="44" hidden="1">[1]weekly!#REF!</definedName>
    <definedName name="jifjeijeio" localSheetId="34" hidden="1">[1]weekly!#REF!</definedName>
    <definedName name="jifjeijeio" localSheetId="45" hidden="1">[1]weekly!#REF!</definedName>
    <definedName name="jifjeijeio" localSheetId="70" hidden="1">[1]weekly!#REF!</definedName>
    <definedName name="jifjeijeio" localSheetId="46" hidden="1">[1]weekly!#REF!</definedName>
    <definedName name="jifjeijeio" localSheetId="25" hidden="1">[1]weekly!#REF!</definedName>
    <definedName name="jifjeijeio" localSheetId="26" hidden="1">[1]weekly!#REF!</definedName>
    <definedName name="jifjeijeio" localSheetId="47" hidden="1">[1]weekly!#REF!</definedName>
    <definedName name="jifjeijeio" localSheetId="15" hidden="1">[1]weekly!#REF!</definedName>
    <definedName name="jifjeijeio" localSheetId="93" hidden="1">[1]weekly!#REF!</definedName>
    <definedName name="jifjeijeio" localSheetId="48" hidden="1">[1]weekly!#REF!</definedName>
    <definedName name="jifjeijeio" localSheetId="49" hidden="1">[1]weekly!#REF!</definedName>
    <definedName name="jifjeijeio" localSheetId="50" hidden="1">[1]weekly!#REF!</definedName>
    <definedName name="jifjeijeio" localSheetId="51" hidden="1">[1]weekly!#REF!</definedName>
    <definedName name="jifjeijeio" localSheetId="55" hidden="1">[1]weekly!#REF!</definedName>
    <definedName name="jifjeijeio" localSheetId="52" hidden="1">[1]weekly!#REF!</definedName>
    <definedName name="jifjeijeio" localSheetId="53" hidden="1">[1]weekly!#REF!</definedName>
    <definedName name="jifjeijeio" localSheetId="35" hidden="1">[1]weekly!#REF!</definedName>
    <definedName name="jifjeijeio" localSheetId="60" hidden="1">[1]weekly!#REF!</definedName>
    <definedName name="jifjeijeio" localSheetId="22" hidden="1">[1]weekly!#REF!</definedName>
    <definedName name="jifjeijeio" localSheetId="23" hidden="1">[1]weekly!#REF!</definedName>
    <definedName name="jifjeijeio" localSheetId="54" hidden="1">[1]weekly!#REF!</definedName>
    <definedName name="jifjeijeio" localSheetId="91" hidden="1">[1]weekly!#REF!</definedName>
    <definedName name="jifjeijeio" localSheetId="88" hidden="1">[1]weekly!#REF!</definedName>
    <definedName name="jifjeijeio" localSheetId="90" hidden="1">[1]weekly!#REF!</definedName>
    <definedName name="jifjeijeio" hidden="1">[1]weekly!#REF!</definedName>
    <definedName name="jj" localSheetId="61" hidden="1">[1]weekly!#REF!</definedName>
    <definedName name="jj" localSheetId="87" hidden="1">[1]weekly!#REF!</definedName>
    <definedName name="jj" localSheetId="37" hidden="1">[1]weekly!#REF!</definedName>
    <definedName name="jj" localSheetId="62" hidden="1">[1]weekly!#REF!</definedName>
    <definedName name="jj" localSheetId="38" hidden="1">[1]weekly!#REF!</definedName>
    <definedName name="jj" localSheetId="58" hidden="1">[1]weekly!#REF!</definedName>
    <definedName name="jj" localSheetId="57" hidden="1">[1]weekly!#REF!</definedName>
    <definedName name="jj" localSheetId="59" hidden="1">[1]weekly!#REF!</definedName>
    <definedName name="jj" localSheetId="83" hidden="1">[1]weekly!#REF!</definedName>
    <definedName name="jj" localSheetId="39" hidden="1">[1]weekly!#REF!</definedName>
    <definedName name="jj" localSheetId="40" hidden="1">[1]weekly!#REF!</definedName>
    <definedName name="jj" localSheetId="95" hidden="1">[1]weekly!#REF!</definedName>
    <definedName name="jj" localSheetId="41" hidden="1">[1]weekly!#REF!</definedName>
    <definedName name="jj" localSheetId="92" hidden="1">[1]weekly!#REF!</definedName>
    <definedName name="jj" localSheetId="42" hidden="1">[1]weekly!#REF!</definedName>
    <definedName name="jj" localSheetId="43" hidden="1">[1]weekly!#REF!</definedName>
    <definedName name="jj" localSheetId="44" hidden="1">[1]weekly!#REF!</definedName>
    <definedName name="jj" localSheetId="34" hidden="1">[1]weekly!#REF!</definedName>
    <definedName name="jj" localSheetId="45" hidden="1">[1]weekly!#REF!</definedName>
    <definedName name="jj" localSheetId="70" hidden="1">[1]weekly!#REF!</definedName>
    <definedName name="jj" localSheetId="46" hidden="1">[1]weekly!#REF!</definedName>
    <definedName name="jj" localSheetId="25" hidden="1">[1]weekly!#REF!</definedName>
    <definedName name="jj" localSheetId="26" hidden="1">[1]weekly!#REF!</definedName>
    <definedName name="jj" localSheetId="47" hidden="1">[1]weekly!#REF!</definedName>
    <definedName name="jj" localSheetId="15" hidden="1">[1]weekly!#REF!</definedName>
    <definedName name="jj" localSheetId="93" hidden="1">[1]weekly!#REF!</definedName>
    <definedName name="jj" localSheetId="48" hidden="1">[1]weekly!#REF!</definedName>
    <definedName name="jj" localSheetId="49" hidden="1">[1]weekly!#REF!</definedName>
    <definedName name="jj" localSheetId="50" hidden="1">[1]weekly!#REF!</definedName>
    <definedName name="jj" localSheetId="51" hidden="1">[1]weekly!#REF!</definedName>
    <definedName name="jj" localSheetId="55" hidden="1">[1]weekly!#REF!</definedName>
    <definedName name="jj" localSheetId="52" hidden="1">[1]weekly!#REF!</definedName>
    <definedName name="jj" localSheetId="53" hidden="1">[1]weekly!#REF!</definedName>
    <definedName name="jj" localSheetId="35" hidden="1">[1]weekly!#REF!</definedName>
    <definedName name="jj" localSheetId="60" hidden="1">[1]weekly!#REF!</definedName>
    <definedName name="jj" localSheetId="54" hidden="1">[1]weekly!#REF!</definedName>
    <definedName name="jj" localSheetId="91" hidden="1">[1]weekly!#REF!</definedName>
    <definedName name="jj" localSheetId="88" hidden="1">[1]weekly!#REF!</definedName>
    <definedName name="jj" localSheetId="90" hidden="1">[1]weekly!#REF!</definedName>
    <definedName name="jj" hidden="1">[1]weekly!#REF!</definedName>
    <definedName name="jjjjj" localSheetId="61" hidden="1">[1]weekly!#REF!</definedName>
    <definedName name="jjjjj" localSheetId="87" hidden="1">[1]weekly!#REF!</definedName>
    <definedName name="jjjjj" localSheetId="37" hidden="1">[1]weekly!#REF!</definedName>
    <definedName name="jjjjj" localSheetId="62" hidden="1">[1]weekly!#REF!</definedName>
    <definedName name="jjjjj" localSheetId="38" hidden="1">[1]weekly!#REF!</definedName>
    <definedName name="jjjjj" localSheetId="58" hidden="1">[1]weekly!#REF!</definedName>
    <definedName name="jjjjj" localSheetId="57" hidden="1">[1]weekly!#REF!</definedName>
    <definedName name="jjjjj" localSheetId="59" hidden="1">[1]weekly!#REF!</definedName>
    <definedName name="jjjjj" localSheetId="83" hidden="1">[1]weekly!#REF!</definedName>
    <definedName name="jjjjj" localSheetId="39" hidden="1">[1]weekly!#REF!</definedName>
    <definedName name="jjjjj" localSheetId="40" hidden="1">[1]weekly!#REF!</definedName>
    <definedName name="jjjjj" localSheetId="95" hidden="1">[1]weekly!#REF!</definedName>
    <definedName name="jjjjj" localSheetId="41" hidden="1">[1]weekly!#REF!</definedName>
    <definedName name="jjjjj" localSheetId="92" hidden="1">[1]weekly!#REF!</definedName>
    <definedName name="jjjjj" localSheetId="42" hidden="1">[1]weekly!#REF!</definedName>
    <definedName name="jjjjj" localSheetId="43" hidden="1">[1]weekly!#REF!</definedName>
    <definedName name="jjjjj" localSheetId="44" hidden="1">[1]weekly!#REF!</definedName>
    <definedName name="jjjjj" localSheetId="34" hidden="1">[1]weekly!#REF!</definedName>
    <definedName name="jjjjj" localSheetId="45" hidden="1">[1]weekly!#REF!</definedName>
    <definedName name="jjjjj" localSheetId="70" hidden="1">[1]weekly!#REF!</definedName>
    <definedName name="jjjjj" localSheetId="46" hidden="1">[1]weekly!#REF!</definedName>
    <definedName name="jjjjj" localSheetId="25" hidden="1">[1]weekly!#REF!</definedName>
    <definedName name="jjjjj" localSheetId="26" hidden="1">[1]weekly!#REF!</definedName>
    <definedName name="jjjjj" localSheetId="47" hidden="1">[1]weekly!#REF!</definedName>
    <definedName name="jjjjj" localSheetId="15" hidden="1">[1]weekly!#REF!</definedName>
    <definedName name="jjjjj" localSheetId="93" hidden="1">[1]weekly!#REF!</definedName>
    <definedName name="jjjjj" localSheetId="48" hidden="1">[1]weekly!#REF!</definedName>
    <definedName name="jjjjj" localSheetId="49" hidden="1">[1]weekly!#REF!</definedName>
    <definedName name="jjjjj" localSheetId="50" hidden="1">[1]weekly!#REF!</definedName>
    <definedName name="jjjjj" localSheetId="51" hidden="1">[1]weekly!#REF!</definedName>
    <definedName name="jjjjj" localSheetId="55" hidden="1">[1]weekly!#REF!</definedName>
    <definedName name="jjjjj" localSheetId="52" hidden="1">[1]weekly!#REF!</definedName>
    <definedName name="jjjjj" localSheetId="53" hidden="1">[1]weekly!#REF!</definedName>
    <definedName name="jjjjj" localSheetId="35" hidden="1">[1]weekly!#REF!</definedName>
    <definedName name="jjjjj" localSheetId="60" hidden="1">[1]weekly!#REF!</definedName>
    <definedName name="jjjjj" localSheetId="54" hidden="1">[1]weekly!#REF!</definedName>
    <definedName name="jjjjj" localSheetId="91" hidden="1">[1]weekly!#REF!</definedName>
    <definedName name="jjjjj" localSheetId="88" hidden="1">[1]weekly!#REF!</definedName>
    <definedName name="jjjjj" localSheetId="90" hidden="1">[1]weekly!#REF!</definedName>
    <definedName name="jjjjj" hidden="1">[1]weekly!#REF!</definedName>
    <definedName name="k" localSheetId="61" hidden="1">[1]weekly!#REF!</definedName>
    <definedName name="k" localSheetId="87" hidden="1">[1]weekly!#REF!</definedName>
    <definedName name="k" localSheetId="37" hidden="1">[1]weekly!#REF!</definedName>
    <definedName name="k" localSheetId="62" hidden="1">[1]weekly!#REF!</definedName>
    <definedName name="k" localSheetId="38" hidden="1">[1]weekly!#REF!</definedName>
    <definedName name="k" localSheetId="58" hidden="1">[1]weekly!#REF!</definedName>
    <definedName name="k" localSheetId="57" hidden="1">[1]weekly!#REF!</definedName>
    <definedName name="k" localSheetId="59" hidden="1">[1]weekly!#REF!</definedName>
    <definedName name="k" localSheetId="83" hidden="1">[1]weekly!#REF!</definedName>
    <definedName name="k" localSheetId="39" hidden="1">[1]weekly!#REF!</definedName>
    <definedName name="k" localSheetId="40" hidden="1">[1]weekly!#REF!</definedName>
    <definedName name="k" localSheetId="95" hidden="1">[1]weekly!#REF!</definedName>
    <definedName name="k" localSheetId="41" hidden="1">[1]weekly!#REF!</definedName>
    <definedName name="k" localSheetId="92" hidden="1">[1]weekly!#REF!</definedName>
    <definedName name="k" localSheetId="42" hidden="1">[1]weekly!#REF!</definedName>
    <definedName name="k" localSheetId="43" hidden="1">[1]weekly!#REF!</definedName>
    <definedName name="k" localSheetId="44" hidden="1">[1]weekly!#REF!</definedName>
    <definedName name="k" localSheetId="34" hidden="1">[1]weekly!#REF!</definedName>
    <definedName name="k" localSheetId="45" hidden="1">[1]weekly!#REF!</definedName>
    <definedName name="k" localSheetId="70" hidden="1">[1]weekly!#REF!</definedName>
    <definedName name="k" localSheetId="46" hidden="1">[1]weekly!#REF!</definedName>
    <definedName name="k" localSheetId="25" hidden="1">[1]weekly!#REF!</definedName>
    <definedName name="k" localSheetId="26" hidden="1">[1]weekly!#REF!</definedName>
    <definedName name="k" localSheetId="47" hidden="1">[1]weekly!#REF!</definedName>
    <definedName name="k" localSheetId="15" hidden="1">[1]weekly!#REF!</definedName>
    <definedName name="k" localSheetId="93" hidden="1">[1]weekly!#REF!</definedName>
    <definedName name="k" localSheetId="48" hidden="1">[1]weekly!#REF!</definedName>
    <definedName name="k" localSheetId="49" hidden="1">[1]weekly!#REF!</definedName>
    <definedName name="k" localSheetId="50" hidden="1">[1]weekly!#REF!</definedName>
    <definedName name="k" localSheetId="51" hidden="1">[1]weekly!#REF!</definedName>
    <definedName name="k" localSheetId="55" hidden="1">[1]weekly!#REF!</definedName>
    <definedName name="k" localSheetId="52" hidden="1">[1]weekly!#REF!</definedName>
    <definedName name="k" localSheetId="53" hidden="1">[1]weekly!#REF!</definedName>
    <definedName name="k" localSheetId="35" hidden="1">[1]weekly!#REF!</definedName>
    <definedName name="k" localSheetId="60" hidden="1">[1]weekly!#REF!</definedName>
    <definedName name="k" localSheetId="54" hidden="1">[1]weekly!#REF!</definedName>
    <definedName name="k" localSheetId="91" hidden="1">[1]weekly!#REF!</definedName>
    <definedName name="k" localSheetId="88" hidden="1">[1]weekly!#REF!</definedName>
    <definedName name="k" localSheetId="90" hidden="1">[1]weekly!#REF!</definedName>
    <definedName name="k" hidden="1">[1]weekly!#REF!</definedName>
    <definedName name="kk" localSheetId="61" hidden="1">[1]weekly!#REF!</definedName>
    <definedName name="kk" localSheetId="87" hidden="1">[1]weekly!#REF!</definedName>
    <definedName name="kk" localSheetId="37" hidden="1">[1]weekly!#REF!</definedName>
    <definedName name="kk" localSheetId="62" hidden="1">[1]weekly!#REF!</definedName>
    <definedName name="kk" localSheetId="38" hidden="1">[1]weekly!#REF!</definedName>
    <definedName name="kk" localSheetId="58" hidden="1">[1]weekly!#REF!</definedName>
    <definedName name="kk" localSheetId="57" hidden="1">[1]weekly!#REF!</definedName>
    <definedName name="kk" localSheetId="59" hidden="1">[1]weekly!#REF!</definedName>
    <definedName name="kk" localSheetId="83" hidden="1">[1]weekly!#REF!</definedName>
    <definedName name="kk" localSheetId="39" hidden="1">[1]weekly!#REF!</definedName>
    <definedName name="kk" localSheetId="40" hidden="1">[1]weekly!#REF!</definedName>
    <definedName name="kk" localSheetId="95" hidden="1">[1]weekly!#REF!</definedName>
    <definedName name="kk" localSheetId="41" hidden="1">[1]weekly!#REF!</definedName>
    <definedName name="kk" localSheetId="92" hidden="1">[1]weekly!#REF!</definedName>
    <definedName name="kk" localSheetId="42" hidden="1">[1]weekly!#REF!</definedName>
    <definedName name="kk" localSheetId="43" hidden="1">[1]weekly!#REF!</definedName>
    <definedName name="kk" localSheetId="44" hidden="1">[1]weekly!#REF!</definedName>
    <definedName name="kk" localSheetId="34" hidden="1">[1]weekly!#REF!</definedName>
    <definedName name="kk" localSheetId="45" hidden="1">[1]weekly!#REF!</definedName>
    <definedName name="kk" localSheetId="70" hidden="1">[1]weekly!#REF!</definedName>
    <definedName name="kk" localSheetId="46" hidden="1">[1]weekly!#REF!</definedName>
    <definedName name="kk" localSheetId="25" hidden="1">[1]weekly!#REF!</definedName>
    <definedName name="kk" localSheetId="26" hidden="1">[1]weekly!#REF!</definedName>
    <definedName name="kk" localSheetId="47" hidden="1">[1]weekly!#REF!</definedName>
    <definedName name="kk" localSheetId="15" hidden="1">[1]weekly!#REF!</definedName>
    <definedName name="kk" localSheetId="93" hidden="1">[1]weekly!#REF!</definedName>
    <definedName name="kk" localSheetId="48" hidden="1">[1]weekly!#REF!</definedName>
    <definedName name="kk" localSheetId="49" hidden="1">[1]weekly!#REF!</definedName>
    <definedName name="kk" localSheetId="50" hidden="1">[1]weekly!#REF!</definedName>
    <definedName name="kk" localSheetId="51" hidden="1">[1]weekly!#REF!</definedName>
    <definedName name="kk" localSheetId="55" hidden="1">[1]weekly!#REF!</definedName>
    <definedName name="kk" localSheetId="52" hidden="1">[1]weekly!#REF!</definedName>
    <definedName name="kk" localSheetId="53" hidden="1">[1]weekly!#REF!</definedName>
    <definedName name="kk" localSheetId="35" hidden="1">[1]weekly!#REF!</definedName>
    <definedName name="kk" localSheetId="60" hidden="1">[1]weekly!#REF!</definedName>
    <definedName name="kk" localSheetId="54" hidden="1">[1]weekly!#REF!</definedName>
    <definedName name="kk" localSheetId="91" hidden="1">[1]weekly!#REF!</definedName>
    <definedName name="kk" localSheetId="88" hidden="1">[1]weekly!#REF!</definedName>
    <definedName name="kk" localSheetId="90" hidden="1">[1]weekly!#REF!</definedName>
    <definedName name="kk" hidden="1">[1]weekly!#REF!</definedName>
    <definedName name="kkk" localSheetId="61" hidden="1">[1]weekly!#REF!</definedName>
    <definedName name="kkk" localSheetId="87" hidden="1">[1]weekly!#REF!</definedName>
    <definedName name="kkk" localSheetId="37" hidden="1">[1]weekly!#REF!</definedName>
    <definedName name="kkk" localSheetId="62" hidden="1">[1]weekly!#REF!</definedName>
    <definedName name="kkk" localSheetId="38" hidden="1">[1]weekly!#REF!</definedName>
    <definedName name="kkk" localSheetId="58" hidden="1">[1]weekly!#REF!</definedName>
    <definedName name="kkk" localSheetId="57" hidden="1">[1]weekly!#REF!</definedName>
    <definedName name="kkk" localSheetId="59" hidden="1">[1]weekly!#REF!</definedName>
    <definedName name="kkk" localSheetId="83" hidden="1">[1]weekly!#REF!</definedName>
    <definedName name="kkk" localSheetId="39" hidden="1">[1]weekly!#REF!</definedName>
    <definedName name="kkk" localSheetId="40" hidden="1">[1]weekly!#REF!</definedName>
    <definedName name="kkk" localSheetId="95" hidden="1">[1]weekly!#REF!</definedName>
    <definedName name="kkk" localSheetId="41" hidden="1">[1]weekly!#REF!</definedName>
    <definedName name="kkk" localSheetId="92" hidden="1">[1]weekly!#REF!</definedName>
    <definedName name="kkk" localSheetId="42" hidden="1">[1]weekly!#REF!</definedName>
    <definedName name="kkk" localSheetId="43" hidden="1">[1]weekly!#REF!</definedName>
    <definedName name="kkk" localSheetId="44" hidden="1">[1]weekly!#REF!</definedName>
    <definedName name="kkk" localSheetId="34" hidden="1">[1]weekly!#REF!</definedName>
    <definedName name="kkk" localSheetId="45" hidden="1">[1]weekly!#REF!</definedName>
    <definedName name="kkk" localSheetId="70" hidden="1">[1]weekly!#REF!</definedName>
    <definedName name="kkk" localSheetId="46" hidden="1">[1]weekly!#REF!</definedName>
    <definedName name="kkk" localSheetId="25" hidden="1">[1]weekly!#REF!</definedName>
    <definedName name="kkk" localSheetId="26" hidden="1">[1]weekly!#REF!</definedName>
    <definedName name="kkk" localSheetId="47" hidden="1">[1]weekly!#REF!</definedName>
    <definedName name="kkk" localSheetId="15" hidden="1">[1]weekly!#REF!</definedName>
    <definedName name="kkk" localSheetId="93" hidden="1">[1]weekly!#REF!</definedName>
    <definedName name="kkk" localSheetId="48" hidden="1">[1]weekly!#REF!</definedName>
    <definedName name="kkk" localSheetId="49" hidden="1">[1]weekly!#REF!</definedName>
    <definedName name="kkk" localSheetId="50" hidden="1">[1]weekly!#REF!</definedName>
    <definedName name="kkk" localSheetId="51" hidden="1">[1]weekly!#REF!</definedName>
    <definedName name="kkk" localSheetId="55" hidden="1">[1]weekly!#REF!</definedName>
    <definedName name="kkk" localSheetId="52" hidden="1">[1]weekly!#REF!</definedName>
    <definedName name="kkk" localSheetId="53" hidden="1">[1]weekly!#REF!</definedName>
    <definedName name="kkk" localSheetId="35" hidden="1">[1]weekly!#REF!</definedName>
    <definedName name="kkk" localSheetId="60" hidden="1">[1]weekly!#REF!</definedName>
    <definedName name="kkk" localSheetId="54" hidden="1">[1]weekly!#REF!</definedName>
    <definedName name="kkk" localSheetId="91" hidden="1">[1]weekly!#REF!</definedName>
    <definedName name="kkk" localSheetId="88" hidden="1">[1]weekly!#REF!</definedName>
    <definedName name="kkk" localSheetId="90" hidden="1">[1]weekly!#REF!</definedName>
    <definedName name="kkk" hidden="1">[1]weekly!#REF!</definedName>
    <definedName name="kkkkk" localSheetId="61" hidden="1">[1]weekly!#REF!</definedName>
    <definedName name="kkkkk" localSheetId="87" hidden="1">[1]weekly!#REF!</definedName>
    <definedName name="kkkkk" localSheetId="37" hidden="1">[1]weekly!#REF!</definedName>
    <definedName name="kkkkk" localSheetId="62" hidden="1">[1]weekly!#REF!</definedName>
    <definedName name="kkkkk" localSheetId="38" hidden="1">[1]weekly!#REF!</definedName>
    <definedName name="kkkkk" localSheetId="58" hidden="1">[1]weekly!#REF!</definedName>
    <definedName name="kkkkk" localSheetId="57" hidden="1">[1]weekly!#REF!</definedName>
    <definedName name="kkkkk" localSheetId="59" hidden="1">[1]weekly!#REF!</definedName>
    <definedName name="kkkkk" localSheetId="83" hidden="1">[1]weekly!#REF!</definedName>
    <definedName name="kkkkk" localSheetId="39" hidden="1">[1]weekly!#REF!</definedName>
    <definedName name="kkkkk" localSheetId="40" hidden="1">[1]weekly!#REF!</definedName>
    <definedName name="kkkkk" localSheetId="95" hidden="1">[1]weekly!#REF!</definedName>
    <definedName name="kkkkk" localSheetId="41" hidden="1">[1]weekly!#REF!</definedName>
    <definedName name="kkkkk" localSheetId="92" hidden="1">[1]weekly!#REF!</definedName>
    <definedName name="kkkkk" localSheetId="42" hidden="1">[1]weekly!#REF!</definedName>
    <definedName name="kkkkk" localSheetId="43" hidden="1">[1]weekly!#REF!</definedName>
    <definedName name="kkkkk" localSheetId="44" hidden="1">[1]weekly!#REF!</definedName>
    <definedName name="kkkkk" localSheetId="34" hidden="1">[1]weekly!#REF!</definedName>
    <definedName name="kkkkk" localSheetId="45" hidden="1">[1]weekly!#REF!</definedName>
    <definedName name="kkkkk" localSheetId="70" hidden="1">[1]weekly!#REF!</definedName>
    <definedName name="kkkkk" localSheetId="46" hidden="1">[1]weekly!#REF!</definedName>
    <definedName name="kkkkk" localSheetId="25" hidden="1">[1]weekly!#REF!</definedName>
    <definedName name="kkkkk" localSheetId="26" hidden="1">[1]weekly!#REF!</definedName>
    <definedName name="kkkkk" localSheetId="47" hidden="1">[1]weekly!#REF!</definedName>
    <definedName name="kkkkk" localSheetId="15" hidden="1">[1]weekly!#REF!</definedName>
    <definedName name="kkkkk" localSheetId="93" hidden="1">[1]weekly!#REF!</definedName>
    <definedName name="kkkkk" localSheetId="48" hidden="1">[1]weekly!#REF!</definedName>
    <definedName name="kkkkk" localSheetId="49" hidden="1">[1]weekly!#REF!</definedName>
    <definedName name="kkkkk" localSheetId="50" hidden="1">[1]weekly!#REF!</definedName>
    <definedName name="kkkkk" localSheetId="51" hidden="1">[1]weekly!#REF!</definedName>
    <definedName name="kkkkk" localSheetId="55" hidden="1">[1]weekly!#REF!</definedName>
    <definedName name="kkkkk" localSheetId="52" hidden="1">[1]weekly!#REF!</definedName>
    <definedName name="kkkkk" localSheetId="53" hidden="1">[1]weekly!#REF!</definedName>
    <definedName name="kkkkk" localSheetId="35" hidden="1">[1]weekly!#REF!</definedName>
    <definedName name="kkkkk" localSheetId="60" hidden="1">[1]weekly!#REF!</definedName>
    <definedName name="kkkkk" localSheetId="54" hidden="1">[1]weekly!#REF!</definedName>
    <definedName name="kkkkk" localSheetId="91" hidden="1">[1]weekly!#REF!</definedName>
    <definedName name="kkkkk" localSheetId="88" hidden="1">[1]weekly!#REF!</definedName>
    <definedName name="kkkkk" localSheetId="90" hidden="1">[1]weekly!#REF!</definedName>
    <definedName name="kkkkk" hidden="1">[1]weekly!#REF!</definedName>
    <definedName name="l" localSheetId="61" hidden="1">[1]weekly!#REF!</definedName>
    <definedName name="l" localSheetId="87" hidden="1">[1]weekly!#REF!</definedName>
    <definedName name="l" localSheetId="37" hidden="1">[1]weekly!#REF!</definedName>
    <definedName name="l" localSheetId="62" hidden="1">[1]weekly!#REF!</definedName>
    <definedName name="l" localSheetId="38" hidden="1">[1]weekly!#REF!</definedName>
    <definedName name="l" localSheetId="58" hidden="1">[1]weekly!#REF!</definedName>
    <definedName name="l" localSheetId="57" hidden="1">[1]weekly!#REF!</definedName>
    <definedName name="l" localSheetId="59" hidden="1">[1]weekly!#REF!</definedName>
    <definedName name="l" localSheetId="83" hidden="1">[1]weekly!#REF!</definedName>
    <definedName name="l" localSheetId="39" hidden="1">[1]weekly!#REF!</definedName>
    <definedName name="l" localSheetId="40" hidden="1">[1]weekly!#REF!</definedName>
    <definedName name="l" localSheetId="95" hidden="1">[1]weekly!#REF!</definedName>
    <definedName name="l" localSheetId="41" hidden="1">[1]weekly!#REF!</definedName>
    <definedName name="l" localSheetId="92" hidden="1">[1]weekly!#REF!</definedName>
    <definedName name="l" localSheetId="42" hidden="1">[1]weekly!#REF!</definedName>
    <definedName name="l" localSheetId="43" hidden="1">[1]weekly!#REF!</definedName>
    <definedName name="l" localSheetId="44" hidden="1">[1]weekly!#REF!</definedName>
    <definedName name="l" localSheetId="34" hidden="1">[1]weekly!#REF!</definedName>
    <definedName name="l" localSheetId="45" hidden="1">[1]weekly!#REF!</definedName>
    <definedName name="l" localSheetId="70" hidden="1">[1]weekly!#REF!</definedName>
    <definedName name="l" localSheetId="46" hidden="1">[1]weekly!#REF!</definedName>
    <definedName name="l" localSheetId="25" hidden="1">[1]weekly!#REF!</definedName>
    <definedName name="l" localSheetId="26" hidden="1">[1]weekly!#REF!</definedName>
    <definedName name="l" localSheetId="47" hidden="1">[1]weekly!#REF!</definedName>
    <definedName name="l" localSheetId="15" hidden="1">[1]weekly!#REF!</definedName>
    <definedName name="l" localSheetId="93" hidden="1">[1]weekly!#REF!</definedName>
    <definedName name="l" localSheetId="48" hidden="1">[1]weekly!#REF!</definedName>
    <definedName name="l" localSheetId="49" hidden="1">[1]weekly!#REF!</definedName>
    <definedName name="l" localSheetId="50" hidden="1">[1]weekly!#REF!</definedName>
    <definedName name="l" localSheetId="51" hidden="1">[1]weekly!#REF!</definedName>
    <definedName name="l" localSheetId="55" hidden="1">[1]weekly!#REF!</definedName>
    <definedName name="l" localSheetId="52" hidden="1">[1]weekly!#REF!</definedName>
    <definedName name="l" localSheetId="53" hidden="1">[1]weekly!#REF!</definedName>
    <definedName name="l" localSheetId="35" hidden="1">[1]weekly!#REF!</definedName>
    <definedName name="l" localSheetId="60" hidden="1">[1]weekly!#REF!</definedName>
    <definedName name="l" localSheetId="54" hidden="1">[1]weekly!#REF!</definedName>
    <definedName name="l" localSheetId="91" hidden="1">[1]weekly!#REF!</definedName>
    <definedName name="l" localSheetId="88" hidden="1">[1]weekly!#REF!</definedName>
    <definedName name="l" localSheetId="90" hidden="1">[1]weekly!#REF!</definedName>
    <definedName name="l" hidden="1">[1]weekly!#REF!</definedName>
    <definedName name="ll" localSheetId="61" hidden="1">[1]weekly!#REF!</definedName>
    <definedName name="ll" localSheetId="87" hidden="1">[1]weekly!#REF!</definedName>
    <definedName name="ll" localSheetId="37" hidden="1">[1]weekly!#REF!</definedName>
    <definedName name="ll" localSheetId="62" hidden="1">[1]weekly!#REF!</definedName>
    <definedName name="ll" localSheetId="38" hidden="1">[1]weekly!#REF!</definedName>
    <definedName name="ll" localSheetId="58" hidden="1">[1]weekly!#REF!</definedName>
    <definedName name="ll" localSheetId="57" hidden="1">[1]weekly!#REF!</definedName>
    <definedName name="ll" localSheetId="59" hidden="1">[1]weekly!#REF!</definedName>
    <definedName name="ll" localSheetId="83" hidden="1">[1]weekly!#REF!</definedName>
    <definedName name="ll" localSheetId="39" hidden="1">[1]weekly!#REF!</definedName>
    <definedName name="ll" localSheetId="40" hidden="1">[1]weekly!#REF!</definedName>
    <definedName name="ll" localSheetId="95" hidden="1">[1]weekly!#REF!</definedName>
    <definedName name="ll" localSheetId="41" hidden="1">[1]weekly!#REF!</definedName>
    <definedName name="ll" localSheetId="92" hidden="1">[1]weekly!#REF!</definedName>
    <definedName name="ll" localSheetId="42" hidden="1">[1]weekly!#REF!</definedName>
    <definedName name="ll" localSheetId="43" hidden="1">[1]weekly!#REF!</definedName>
    <definedName name="ll" localSheetId="44" hidden="1">[1]weekly!#REF!</definedName>
    <definedName name="ll" localSheetId="34" hidden="1">[1]weekly!#REF!</definedName>
    <definedName name="ll" localSheetId="45" hidden="1">[1]weekly!#REF!</definedName>
    <definedName name="ll" localSheetId="70" hidden="1">[1]weekly!#REF!</definedName>
    <definedName name="ll" localSheetId="46" hidden="1">[1]weekly!#REF!</definedName>
    <definedName name="ll" localSheetId="25" hidden="1">[1]weekly!#REF!</definedName>
    <definedName name="ll" localSheetId="26" hidden="1">[1]weekly!#REF!</definedName>
    <definedName name="ll" localSheetId="47" hidden="1">[1]weekly!#REF!</definedName>
    <definedName name="ll" localSheetId="15" hidden="1">[1]weekly!#REF!</definedName>
    <definedName name="ll" localSheetId="93" hidden="1">[1]weekly!#REF!</definedName>
    <definedName name="ll" localSheetId="3" hidden="1">[1]weekly!#REF!</definedName>
    <definedName name="ll" localSheetId="48" hidden="1">[1]weekly!#REF!</definedName>
    <definedName name="ll" localSheetId="49" hidden="1">[1]weekly!#REF!</definedName>
    <definedName name="ll" localSheetId="50" hidden="1">[1]weekly!#REF!</definedName>
    <definedName name="ll" localSheetId="51" hidden="1">[1]weekly!#REF!</definedName>
    <definedName name="ll" localSheetId="55" hidden="1">[1]weekly!#REF!</definedName>
    <definedName name="ll" localSheetId="52" hidden="1">[1]weekly!#REF!</definedName>
    <definedName name="ll" localSheetId="53" hidden="1">[1]weekly!#REF!</definedName>
    <definedName name="ll" localSheetId="35" hidden="1">[1]weekly!#REF!</definedName>
    <definedName name="ll" localSheetId="60" hidden="1">[1]weekly!#REF!</definedName>
    <definedName name="ll" localSheetId="54" hidden="1">[1]weekly!#REF!</definedName>
    <definedName name="ll" localSheetId="91" hidden="1">[1]weekly!#REF!</definedName>
    <definedName name="ll" localSheetId="88" hidden="1">[1]weekly!#REF!</definedName>
    <definedName name="ll" localSheetId="90" hidden="1">[1]weekly!#REF!</definedName>
    <definedName name="ll" hidden="1">[1]weekly!#REF!</definedName>
    <definedName name="lll" localSheetId="61" hidden="1">[1]weekly!#REF!</definedName>
    <definedName name="lll" localSheetId="87" hidden="1">[1]weekly!#REF!</definedName>
    <definedName name="lll" localSheetId="37" hidden="1">[1]weekly!#REF!</definedName>
    <definedName name="lll" localSheetId="62" hidden="1">[1]weekly!#REF!</definedName>
    <definedName name="lll" localSheetId="38" hidden="1">[1]weekly!#REF!</definedName>
    <definedName name="lll" localSheetId="58" hidden="1">[1]weekly!#REF!</definedName>
    <definedName name="lll" localSheetId="57" hidden="1">[1]weekly!#REF!</definedName>
    <definedName name="lll" localSheetId="59" hidden="1">[1]weekly!#REF!</definedName>
    <definedName name="lll" localSheetId="83" hidden="1">[1]weekly!#REF!</definedName>
    <definedName name="lll" localSheetId="39" hidden="1">[1]weekly!#REF!</definedName>
    <definedName name="lll" localSheetId="40" hidden="1">[1]weekly!#REF!</definedName>
    <definedName name="lll" localSheetId="95" hidden="1">[1]weekly!#REF!</definedName>
    <definedName name="lll" localSheetId="41" hidden="1">[1]weekly!#REF!</definedName>
    <definedName name="lll" localSheetId="92" hidden="1">[1]weekly!#REF!</definedName>
    <definedName name="lll" localSheetId="42" hidden="1">[1]weekly!#REF!</definedName>
    <definedName name="lll" localSheetId="43" hidden="1">[1]weekly!#REF!</definedName>
    <definedName name="lll" localSheetId="44" hidden="1">[1]weekly!#REF!</definedName>
    <definedName name="lll" localSheetId="34" hidden="1">[1]weekly!#REF!</definedName>
    <definedName name="lll" localSheetId="45" hidden="1">[1]weekly!#REF!</definedName>
    <definedName name="lll" localSheetId="70" hidden="1">[1]weekly!#REF!</definedName>
    <definedName name="lll" localSheetId="46" hidden="1">[1]weekly!#REF!</definedName>
    <definedName name="lll" localSheetId="25" hidden="1">[1]weekly!#REF!</definedName>
    <definedName name="lll" localSheetId="26" hidden="1">[1]weekly!#REF!</definedName>
    <definedName name="lll" localSheetId="47" hidden="1">[1]weekly!#REF!</definedName>
    <definedName name="lll" localSheetId="15" hidden="1">[1]weekly!#REF!</definedName>
    <definedName name="lll" localSheetId="93" hidden="1">[1]weekly!#REF!</definedName>
    <definedName name="lll" localSheetId="48" hidden="1">[1]weekly!#REF!</definedName>
    <definedName name="lll" localSheetId="49" hidden="1">[1]weekly!#REF!</definedName>
    <definedName name="lll" localSheetId="50" hidden="1">[1]weekly!#REF!</definedName>
    <definedName name="lll" localSheetId="51" hidden="1">[1]weekly!#REF!</definedName>
    <definedName name="lll" localSheetId="55" hidden="1">[1]weekly!#REF!</definedName>
    <definedName name="lll" localSheetId="52" hidden="1">[1]weekly!#REF!</definedName>
    <definedName name="lll" localSheetId="53" hidden="1">[1]weekly!#REF!</definedName>
    <definedName name="lll" localSheetId="35" hidden="1">[1]weekly!#REF!</definedName>
    <definedName name="lll" localSheetId="60" hidden="1">[1]weekly!#REF!</definedName>
    <definedName name="lll" localSheetId="54" hidden="1">[1]weekly!#REF!</definedName>
    <definedName name="lll" localSheetId="91" hidden="1">[1]weekly!#REF!</definedName>
    <definedName name="lll" localSheetId="88" hidden="1">[1]weekly!#REF!</definedName>
    <definedName name="lll" localSheetId="90" hidden="1">[1]weekly!#REF!</definedName>
    <definedName name="lll" hidden="1">[1]weekly!#REF!</definedName>
    <definedName name="mm" localSheetId="61" hidden="1">[1]weekly!#REF!</definedName>
    <definedName name="mm" localSheetId="87" hidden="1">[1]weekly!#REF!</definedName>
    <definedName name="mm" localSheetId="37" hidden="1">[1]weekly!#REF!</definedName>
    <definedName name="mm" localSheetId="62" hidden="1">[1]weekly!#REF!</definedName>
    <definedName name="mm" localSheetId="38" hidden="1">[1]weekly!#REF!</definedName>
    <definedName name="mm" localSheetId="58" hidden="1">[1]weekly!#REF!</definedName>
    <definedName name="mm" localSheetId="57" hidden="1">[1]weekly!#REF!</definedName>
    <definedName name="mm" localSheetId="59" hidden="1">[1]weekly!#REF!</definedName>
    <definedName name="mm" localSheetId="83" hidden="1">[1]weekly!#REF!</definedName>
    <definedName name="mm" localSheetId="39" hidden="1">[1]weekly!#REF!</definedName>
    <definedName name="mm" localSheetId="40" hidden="1">[1]weekly!#REF!</definedName>
    <definedName name="mm" localSheetId="95" hidden="1">[1]weekly!#REF!</definedName>
    <definedName name="mm" localSheetId="41" hidden="1">[1]weekly!#REF!</definedName>
    <definedName name="mm" localSheetId="92" hidden="1">[1]weekly!#REF!</definedName>
    <definedName name="mm" localSheetId="42" hidden="1">[1]weekly!#REF!</definedName>
    <definedName name="mm" localSheetId="43" hidden="1">[1]weekly!#REF!</definedName>
    <definedName name="mm" localSheetId="44" hidden="1">[1]weekly!#REF!</definedName>
    <definedName name="mm" localSheetId="34" hidden="1">[1]weekly!#REF!</definedName>
    <definedName name="mm" localSheetId="45" hidden="1">[1]weekly!#REF!</definedName>
    <definedName name="mm" localSheetId="70" hidden="1">[1]weekly!#REF!</definedName>
    <definedName name="mm" localSheetId="46" hidden="1">[1]weekly!#REF!</definedName>
    <definedName name="mm" localSheetId="25" hidden="1">[1]weekly!#REF!</definedName>
    <definedName name="mm" localSheetId="26" hidden="1">[1]weekly!#REF!</definedName>
    <definedName name="mm" localSheetId="47" hidden="1">[1]weekly!#REF!</definedName>
    <definedName name="mm" localSheetId="15" hidden="1">[1]weekly!#REF!</definedName>
    <definedName name="mm" localSheetId="93" hidden="1">[1]weekly!#REF!</definedName>
    <definedName name="mm" localSheetId="48" hidden="1">[1]weekly!#REF!</definedName>
    <definedName name="mm" localSheetId="49" hidden="1">[1]weekly!#REF!</definedName>
    <definedName name="mm" localSheetId="50" hidden="1">[1]weekly!#REF!</definedName>
    <definedName name="mm" localSheetId="51" hidden="1">[1]weekly!#REF!</definedName>
    <definedName name="mm" localSheetId="55" hidden="1">[1]weekly!#REF!</definedName>
    <definedName name="mm" localSheetId="52" hidden="1">[1]weekly!#REF!</definedName>
    <definedName name="mm" localSheetId="53" hidden="1">[1]weekly!#REF!</definedName>
    <definedName name="mm" localSheetId="35" hidden="1">[1]weekly!#REF!</definedName>
    <definedName name="mm" localSheetId="60" hidden="1">[1]weekly!#REF!</definedName>
    <definedName name="mm" localSheetId="54" hidden="1">[1]weekly!#REF!</definedName>
    <definedName name="mm" localSheetId="91" hidden="1">[1]weekly!#REF!</definedName>
    <definedName name="mm" localSheetId="88" hidden="1">[1]weekly!#REF!</definedName>
    <definedName name="mm" localSheetId="90" hidden="1">[1]weekly!#REF!</definedName>
    <definedName name="mm" hidden="1">[1]weekly!#REF!</definedName>
    <definedName name="mmmm" localSheetId="61" hidden="1">[1]weekly!#REF!</definedName>
    <definedName name="mmmm" localSheetId="87" hidden="1">[1]weekly!#REF!</definedName>
    <definedName name="mmmm" localSheetId="37" hidden="1">[1]weekly!#REF!</definedName>
    <definedName name="mmmm" localSheetId="62" hidden="1">[1]weekly!#REF!</definedName>
    <definedName name="mmmm" localSheetId="38" hidden="1">[1]weekly!#REF!</definedName>
    <definedName name="mmmm" localSheetId="58" hidden="1">[1]weekly!#REF!</definedName>
    <definedName name="mmmm" localSheetId="57" hidden="1">[1]weekly!#REF!</definedName>
    <definedName name="mmmm" localSheetId="59" hidden="1">[1]weekly!#REF!</definedName>
    <definedName name="mmmm" localSheetId="83" hidden="1">[1]weekly!#REF!</definedName>
    <definedName name="mmmm" localSheetId="39" hidden="1">[1]weekly!#REF!</definedName>
    <definedName name="mmmm" localSheetId="40" hidden="1">[1]weekly!#REF!</definedName>
    <definedName name="mmmm" localSheetId="95" hidden="1">[1]weekly!#REF!</definedName>
    <definedName name="mmmm" localSheetId="41" hidden="1">[1]weekly!#REF!</definedName>
    <definedName name="mmmm" localSheetId="92" hidden="1">[1]weekly!#REF!</definedName>
    <definedName name="mmmm" localSheetId="42" hidden="1">[1]weekly!#REF!</definedName>
    <definedName name="mmmm" localSheetId="43" hidden="1">[1]weekly!#REF!</definedName>
    <definedName name="mmmm" localSheetId="44" hidden="1">[1]weekly!#REF!</definedName>
    <definedName name="mmmm" localSheetId="34" hidden="1">[1]weekly!#REF!</definedName>
    <definedName name="mmmm" localSheetId="45" hidden="1">[1]weekly!#REF!</definedName>
    <definedName name="mmmm" localSheetId="70" hidden="1">[1]weekly!#REF!</definedName>
    <definedName name="mmmm" localSheetId="46" hidden="1">[1]weekly!#REF!</definedName>
    <definedName name="mmmm" localSheetId="25" hidden="1">[1]weekly!#REF!</definedName>
    <definedName name="mmmm" localSheetId="26" hidden="1">[1]weekly!#REF!</definedName>
    <definedName name="mmmm" localSheetId="47" hidden="1">[1]weekly!#REF!</definedName>
    <definedName name="mmmm" localSheetId="15" hidden="1">[1]weekly!#REF!</definedName>
    <definedName name="mmmm" localSheetId="93" hidden="1">[1]weekly!#REF!</definedName>
    <definedName name="mmmm" localSheetId="48" hidden="1">[1]weekly!#REF!</definedName>
    <definedName name="mmmm" localSheetId="49" hidden="1">[1]weekly!#REF!</definedName>
    <definedName name="mmmm" localSheetId="50" hidden="1">[1]weekly!#REF!</definedName>
    <definedName name="mmmm" localSheetId="51" hidden="1">[1]weekly!#REF!</definedName>
    <definedName name="mmmm" localSheetId="55" hidden="1">[1]weekly!#REF!</definedName>
    <definedName name="mmmm" localSheetId="52" hidden="1">[1]weekly!#REF!</definedName>
    <definedName name="mmmm" localSheetId="53" hidden="1">[1]weekly!#REF!</definedName>
    <definedName name="mmmm" localSheetId="35" hidden="1">[1]weekly!#REF!</definedName>
    <definedName name="mmmm" localSheetId="60" hidden="1">[1]weekly!#REF!</definedName>
    <definedName name="mmmm" localSheetId="54" hidden="1">[1]weekly!#REF!</definedName>
    <definedName name="mmmm" localSheetId="91" hidden="1">[1]weekly!#REF!</definedName>
    <definedName name="mmmm" localSheetId="88" hidden="1">[1]weekly!#REF!</definedName>
    <definedName name="mmmm" localSheetId="90" hidden="1">[1]weekly!#REF!</definedName>
    <definedName name="mmmm" hidden="1">[1]weekly!#REF!</definedName>
    <definedName name="ModelBanner">Details!$G$60</definedName>
    <definedName name="ModelName">Details!$G$58</definedName>
    <definedName name="nn" localSheetId="61" hidden="1">[1]weekly!#REF!</definedName>
    <definedName name="nn" localSheetId="87" hidden="1">[1]weekly!#REF!</definedName>
    <definedName name="nn" localSheetId="37" hidden="1">[1]weekly!#REF!</definedName>
    <definedName name="nn" localSheetId="62" hidden="1">[1]weekly!#REF!</definedName>
    <definedName name="nn" localSheetId="38" hidden="1">[1]weekly!#REF!</definedName>
    <definedName name="nn" localSheetId="58" hidden="1">[1]weekly!#REF!</definedName>
    <definedName name="nn" localSheetId="57" hidden="1">[1]weekly!#REF!</definedName>
    <definedName name="nn" localSheetId="59" hidden="1">[1]weekly!#REF!</definedName>
    <definedName name="nn" localSheetId="83" hidden="1">[1]weekly!#REF!</definedName>
    <definedName name="nn" localSheetId="39" hidden="1">[1]weekly!#REF!</definedName>
    <definedName name="nn" localSheetId="40" hidden="1">[1]weekly!#REF!</definedName>
    <definedName name="nn" localSheetId="95" hidden="1">[1]weekly!#REF!</definedName>
    <definedName name="nn" localSheetId="41" hidden="1">[1]weekly!#REF!</definedName>
    <definedName name="nn" localSheetId="92" hidden="1">[1]weekly!#REF!</definedName>
    <definedName name="nn" localSheetId="42" hidden="1">[1]weekly!#REF!</definedName>
    <definedName name="nn" localSheetId="43" hidden="1">[1]weekly!#REF!</definedName>
    <definedName name="nn" localSheetId="44" hidden="1">[1]weekly!#REF!</definedName>
    <definedName name="nn" localSheetId="34" hidden="1">[1]weekly!#REF!</definedName>
    <definedName name="nn" localSheetId="45" hidden="1">[1]weekly!#REF!</definedName>
    <definedName name="nn" localSheetId="70" hidden="1">[1]weekly!#REF!</definedName>
    <definedName name="nn" localSheetId="46" hidden="1">[1]weekly!#REF!</definedName>
    <definedName name="nn" localSheetId="25" hidden="1">[1]weekly!#REF!</definedName>
    <definedName name="nn" localSheetId="26" hidden="1">[1]weekly!#REF!</definedName>
    <definedName name="nn" localSheetId="47" hidden="1">[1]weekly!#REF!</definedName>
    <definedName name="nn" localSheetId="15" hidden="1">[1]weekly!#REF!</definedName>
    <definedName name="nn" localSheetId="93" hidden="1">[1]weekly!#REF!</definedName>
    <definedName name="nn" localSheetId="3" hidden="1">[1]weekly!#REF!</definedName>
    <definedName name="nn" localSheetId="48" hidden="1">[1]weekly!#REF!</definedName>
    <definedName name="nn" localSheetId="49" hidden="1">[1]weekly!#REF!</definedName>
    <definedName name="nn" localSheetId="50" hidden="1">[1]weekly!#REF!</definedName>
    <definedName name="nn" localSheetId="51" hidden="1">[1]weekly!#REF!</definedName>
    <definedName name="nn" localSheetId="55" hidden="1">[1]weekly!#REF!</definedName>
    <definedName name="nn" localSheetId="52" hidden="1">[1]weekly!#REF!</definedName>
    <definedName name="nn" localSheetId="53" hidden="1">[1]weekly!#REF!</definedName>
    <definedName name="nn" localSheetId="35" hidden="1">[1]weekly!#REF!</definedName>
    <definedName name="nn" localSheetId="60" hidden="1">[1]weekly!#REF!</definedName>
    <definedName name="nn" localSheetId="54" hidden="1">[1]weekly!#REF!</definedName>
    <definedName name="nn" localSheetId="91" hidden="1">[1]weekly!#REF!</definedName>
    <definedName name="nn" localSheetId="88" hidden="1">[1]weekly!#REF!</definedName>
    <definedName name="nn" localSheetId="90" hidden="1">[1]weekly!#REF!</definedName>
    <definedName name="nn" hidden="1">[1]weekly!#REF!</definedName>
    <definedName name="nnnn" localSheetId="61" hidden="1">[1]weekly!#REF!</definedName>
    <definedName name="nnnn" localSheetId="87" hidden="1">[1]weekly!#REF!</definedName>
    <definedName name="nnnn" localSheetId="37" hidden="1">[1]weekly!#REF!</definedName>
    <definedName name="nnnn" localSheetId="62" hidden="1">[1]weekly!#REF!</definedName>
    <definedName name="nnnn" localSheetId="38" hidden="1">[1]weekly!#REF!</definedName>
    <definedName name="nnnn" localSheetId="58" hidden="1">[1]weekly!#REF!</definedName>
    <definedName name="nnnn" localSheetId="57" hidden="1">[1]weekly!#REF!</definedName>
    <definedName name="nnnn" localSheetId="59" hidden="1">[1]weekly!#REF!</definedName>
    <definedName name="nnnn" localSheetId="83" hidden="1">[1]weekly!#REF!</definedName>
    <definedName name="nnnn" localSheetId="39" hidden="1">[1]weekly!#REF!</definedName>
    <definedName name="nnnn" localSheetId="40" hidden="1">[1]weekly!#REF!</definedName>
    <definedName name="nnnn" localSheetId="95" hidden="1">[1]weekly!#REF!</definedName>
    <definedName name="nnnn" localSheetId="41" hidden="1">[1]weekly!#REF!</definedName>
    <definedName name="nnnn" localSheetId="92" hidden="1">[1]weekly!#REF!</definedName>
    <definedName name="nnnn" localSheetId="42" hidden="1">[1]weekly!#REF!</definedName>
    <definedName name="nnnn" localSheetId="43" hidden="1">[1]weekly!#REF!</definedName>
    <definedName name="nnnn" localSheetId="44" hidden="1">[1]weekly!#REF!</definedName>
    <definedName name="nnnn" localSheetId="34" hidden="1">[1]weekly!#REF!</definedName>
    <definedName name="nnnn" localSheetId="45" hidden="1">[1]weekly!#REF!</definedName>
    <definedName name="nnnn" localSheetId="70" hidden="1">[1]weekly!#REF!</definedName>
    <definedName name="nnnn" localSheetId="46" hidden="1">[1]weekly!#REF!</definedName>
    <definedName name="nnnn" localSheetId="25" hidden="1">[1]weekly!#REF!</definedName>
    <definedName name="nnnn" localSheetId="26" hidden="1">[1]weekly!#REF!</definedName>
    <definedName name="nnnn" localSheetId="47" hidden="1">[1]weekly!#REF!</definedName>
    <definedName name="nnnn" localSheetId="15" hidden="1">[1]weekly!#REF!</definedName>
    <definedName name="nnnn" localSheetId="93" hidden="1">[1]weekly!#REF!</definedName>
    <definedName name="nnnn" localSheetId="48" hidden="1">[1]weekly!#REF!</definedName>
    <definedName name="nnnn" localSheetId="49" hidden="1">[1]weekly!#REF!</definedName>
    <definedName name="nnnn" localSheetId="50" hidden="1">[1]weekly!#REF!</definedName>
    <definedName name="nnnn" localSheetId="51" hidden="1">[1]weekly!#REF!</definedName>
    <definedName name="nnnn" localSheetId="55" hidden="1">[1]weekly!#REF!</definedName>
    <definedName name="nnnn" localSheetId="52" hidden="1">[1]weekly!#REF!</definedName>
    <definedName name="nnnn" localSheetId="53" hidden="1">[1]weekly!#REF!</definedName>
    <definedName name="nnnn" localSheetId="35" hidden="1">[1]weekly!#REF!</definedName>
    <definedName name="nnnn" localSheetId="60" hidden="1">[1]weekly!#REF!</definedName>
    <definedName name="nnnn" localSheetId="54" hidden="1">[1]weekly!#REF!</definedName>
    <definedName name="nnnn" localSheetId="91" hidden="1">[1]weekly!#REF!</definedName>
    <definedName name="nnnn" localSheetId="88" hidden="1">[1]weekly!#REF!</definedName>
    <definedName name="nnnn" localSheetId="90" hidden="1">[1]weekly!#REF!</definedName>
    <definedName name="nnnn" hidden="1">[1]weekly!#REF!</definedName>
    <definedName name="o" localSheetId="61" hidden="1">[1]weekly!#REF!</definedName>
    <definedName name="o" localSheetId="87" hidden="1">[1]weekly!#REF!</definedName>
    <definedName name="o" localSheetId="37" hidden="1">[1]weekly!#REF!</definedName>
    <definedName name="o" localSheetId="62" hidden="1">[1]weekly!#REF!</definedName>
    <definedName name="o" localSheetId="38" hidden="1">[1]weekly!#REF!</definedName>
    <definedName name="o" localSheetId="58" hidden="1">[1]weekly!#REF!</definedName>
    <definedName name="o" localSheetId="57" hidden="1">[1]weekly!#REF!</definedName>
    <definedName name="o" localSheetId="59" hidden="1">[1]weekly!#REF!</definedName>
    <definedName name="o" localSheetId="83" hidden="1">[1]weekly!#REF!</definedName>
    <definedName name="o" localSheetId="39" hidden="1">[1]weekly!#REF!</definedName>
    <definedName name="o" localSheetId="40" hidden="1">[1]weekly!#REF!</definedName>
    <definedName name="o" localSheetId="95" hidden="1">[1]weekly!#REF!</definedName>
    <definedName name="o" localSheetId="41" hidden="1">[1]weekly!#REF!</definedName>
    <definedName name="o" localSheetId="92" hidden="1">[1]weekly!#REF!</definedName>
    <definedName name="o" localSheetId="42" hidden="1">[1]weekly!#REF!</definedName>
    <definedName name="o" localSheetId="43" hidden="1">[1]weekly!#REF!</definedName>
    <definedName name="o" localSheetId="44" hidden="1">[1]weekly!#REF!</definedName>
    <definedName name="o" localSheetId="34" hidden="1">[1]weekly!#REF!</definedName>
    <definedName name="o" localSheetId="45" hidden="1">[1]weekly!#REF!</definedName>
    <definedName name="o" localSheetId="70" hidden="1">[1]weekly!#REF!</definedName>
    <definedName name="o" localSheetId="46" hidden="1">[1]weekly!#REF!</definedName>
    <definedName name="o" localSheetId="25" hidden="1">[1]weekly!#REF!</definedName>
    <definedName name="o" localSheetId="26" hidden="1">[1]weekly!#REF!</definedName>
    <definedName name="o" localSheetId="47" hidden="1">[1]weekly!#REF!</definedName>
    <definedName name="o" localSheetId="15" hidden="1">[1]weekly!#REF!</definedName>
    <definedName name="o" localSheetId="93" hidden="1">[1]weekly!#REF!</definedName>
    <definedName name="o" localSheetId="48" hidden="1">[1]weekly!#REF!</definedName>
    <definedName name="o" localSheetId="49" hidden="1">[1]weekly!#REF!</definedName>
    <definedName name="o" localSheetId="50" hidden="1">[1]weekly!#REF!</definedName>
    <definedName name="o" localSheetId="51" hidden="1">[1]weekly!#REF!</definedName>
    <definedName name="o" localSheetId="55" hidden="1">[1]weekly!#REF!</definedName>
    <definedName name="o" localSheetId="52" hidden="1">[1]weekly!#REF!</definedName>
    <definedName name="o" localSheetId="53" hidden="1">[1]weekly!#REF!</definedName>
    <definedName name="o" localSheetId="35" hidden="1">[1]weekly!#REF!</definedName>
    <definedName name="o" localSheetId="60" hidden="1">[1]weekly!#REF!</definedName>
    <definedName name="o" localSheetId="54" hidden="1">[1]weekly!#REF!</definedName>
    <definedName name="o" localSheetId="91" hidden="1">[1]weekly!#REF!</definedName>
    <definedName name="o" localSheetId="88" hidden="1">[1]weekly!#REF!</definedName>
    <definedName name="o" localSheetId="90" hidden="1">[1]weekly!#REF!</definedName>
    <definedName name="o" hidden="1">[1]weekly!#REF!</definedName>
    <definedName name="oo" localSheetId="61" hidden="1">[1]weekly!#REF!</definedName>
    <definedName name="oo" localSheetId="87" hidden="1">[1]weekly!#REF!</definedName>
    <definedName name="oo" localSheetId="37" hidden="1">[1]weekly!#REF!</definedName>
    <definedName name="oo" localSheetId="62" hidden="1">[1]weekly!#REF!</definedName>
    <definedName name="oo" localSheetId="38" hidden="1">[1]weekly!#REF!</definedName>
    <definedName name="oo" localSheetId="58" hidden="1">[1]weekly!#REF!</definedName>
    <definedName name="oo" localSheetId="57" hidden="1">[1]weekly!#REF!</definedName>
    <definedName name="oo" localSheetId="59" hidden="1">[1]weekly!#REF!</definedName>
    <definedName name="oo" localSheetId="83" hidden="1">[1]weekly!#REF!</definedName>
    <definedName name="oo" localSheetId="39" hidden="1">[1]weekly!#REF!</definedName>
    <definedName name="oo" localSheetId="40" hidden="1">[1]weekly!#REF!</definedName>
    <definedName name="oo" localSheetId="95" hidden="1">[1]weekly!#REF!</definedName>
    <definedName name="oo" localSheetId="41" hidden="1">[1]weekly!#REF!</definedName>
    <definedName name="oo" localSheetId="92" hidden="1">[1]weekly!#REF!</definedName>
    <definedName name="oo" localSheetId="42" hidden="1">[1]weekly!#REF!</definedName>
    <definedName name="oo" localSheetId="43" hidden="1">[1]weekly!#REF!</definedName>
    <definedName name="oo" localSheetId="44" hidden="1">[1]weekly!#REF!</definedName>
    <definedName name="oo" localSheetId="34" hidden="1">[1]weekly!#REF!</definedName>
    <definedName name="oo" localSheetId="45" hidden="1">[1]weekly!#REF!</definedName>
    <definedName name="oo" localSheetId="70" hidden="1">[1]weekly!#REF!</definedName>
    <definedName name="oo" localSheetId="46" hidden="1">[1]weekly!#REF!</definedName>
    <definedName name="oo" localSheetId="25" hidden="1">[1]weekly!#REF!</definedName>
    <definedName name="oo" localSheetId="26" hidden="1">[1]weekly!#REF!</definedName>
    <definedName name="oo" localSheetId="47" hidden="1">[1]weekly!#REF!</definedName>
    <definedName name="oo" localSheetId="15" hidden="1">[1]weekly!#REF!</definedName>
    <definedName name="oo" localSheetId="93" hidden="1">[1]weekly!#REF!</definedName>
    <definedName name="oo" localSheetId="48" hidden="1">[1]weekly!#REF!</definedName>
    <definedName name="oo" localSheetId="49" hidden="1">[1]weekly!#REF!</definedName>
    <definedName name="oo" localSheetId="50" hidden="1">[1]weekly!#REF!</definedName>
    <definedName name="oo" localSheetId="51" hidden="1">[1]weekly!#REF!</definedName>
    <definedName name="oo" localSheetId="55" hidden="1">[1]weekly!#REF!</definedName>
    <definedName name="oo" localSheetId="52" hidden="1">[1]weekly!#REF!</definedName>
    <definedName name="oo" localSheetId="53" hidden="1">[1]weekly!#REF!</definedName>
    <definedName name="oo" localSheetId="35" hidden="1">[1]weekly!#REF!</definedName>
    <definedName name="oo" localSheetId="60" hidden="1">[1]weekly!#REF!</definedName>
    <definedName name="oo" localSheetId="54" hidden="1">[1]weekly!#REF!</definedName>
    <definedName name="oo" localSheetId="91" hidden="1">[1]weekly!#REF!</definedName>
    <definedName name="oo" localSheetId="88" hidden="1">[1]weekly!#REF!</definedName>
    <definedName name="oo" localSheetId="90" hidden="1">[1]weekly!#REF!</definedName>
    <definedName name="oo" hidden="1">[1]weekly!#REF!</definedName>
    <definedName name="p" localSheetId="61" hidden="1">[1]weekly!#REF!</definedName>
    <definedName name="p" localSheetId="87" hidden="1">[1]weekly!#REF!</definedName>
    <definedName name="p" localSheetId="37" hidden="1">[1]weekly!#REF!</definedName>
    <definedName name="p" localSheetId="62" hidden="1">[1]weekly!#REF!</definedName>
    <definedName name="p" localSheetId="38" hidden="1">[1]weekly!#REF!</definedName>
    <definedName name="p" localSheetId="58" hidden="1">[1]weekly!#REF!</definedName>
    <definedName name="p" localSheetId="57" hidden="1">[1]weekly!#REF!</definedName>
    <definedName name="p" localSheetId="59" hidden="1">[1]weekly!#REF!</definedName>
    <definedName name="p" localSheetId="83" hidden="1">[1]weekly!#REF!</definedName>
    <definedName name="p" localSheetId="39" hidden="1">[1]weekly!#REF!</definedName>
    <definedName name="p" localSheetId="40" hidden="1">[1]weekly!#REF!</definedName>
    <definedName name="p" localSheetId="95" hidden="1">[1]weekly!#REF!</definedName>
    <definedName name="p" localSheetId="41" hidden="1">[1]weekly!#REF!</definedName>
    <definedName name="p" localSheetId="92" hidden="1">[1]weekly!#REF!</definedName>
    <definedName name="p" localSheetId="42" hidden="1">[1]weekly!#REF!</definedName>
    <definedName name="p" localSheetId="43" hidden="1">[1]weekly!#REF!</definedName>
    <definedName name="p" localSheetId="44" hidden="1">[1]weekly!#REF!</definedName>
    <definedName name="p" localSheetId="34" hidden="1">[1]weekly!#REF!</definedName>
    <definedName name="p" localSheetId="45" hidden="1">[1]weekly!#REF!</definedName>
    <definedName name="p" localSheetId="70" hidden="1">[1]weekly!#REF!</definedName>
    <definedName name="p" localSheetId="46" hidden="1">[1]weekly!#REF!</definedName>
    <definedName name="p" localSheetId="25" hidden="1">[1]weekly!#REF!</definedName>
    <definedName name="p" localSheetId="26" hidden="1">[1]weekly!#REF!</definedName>
    <definedName name="p" localSheetId="47" hidden="1">[1]weekly!#REF!</definedName>
    <definedName name="p" localSheetId="15" hidden="1">[1]weekly!#REF!</definedName>
    <definedName name="p" localSheetId="93" hidden="1">[1]weekly!#REF!</definedName>
    <definedName name="p" localSheetId="3" hidden="1">[1]weekly!#REF!</definedName>
    <definedName name="p" localSheetId="48" hidden="1">[1]weekly!#REF!</definedName>
    <definedName name="p" localSheetId="49" hidden="1">[1]weekly!#REF!</definedName>
    <definedName name="p" localSheetId="50" hidden="1">[1]weekly!#REF!</definedName>
    <definedName name="p" localSheetId="51" hidden="1">[1]weekly!#REF!</definedName>
    <definedName name="p" localSheetId="55" hidden="1">[1]weekly!#REF!</definedName>
    <definedName name="p" localSheetId="52" hidden="1">[1]weekly!#REF!</definedName>
    <definedName name="p" localSheetId="53" hidden="1">[1]weekly!#REF!</definedName>
    <definedName name="p" localSheetId="35" hidden="1">[1]weekly!#REF!</definedName>
    <definedName name="p" localSheetId="60" hidden="1">[1]weekly!#REF!</definedName>
    <definedName name="p" localSheetId="54" hidden="1">[1]weekly!#REF!</definedName>
    <definedName name="p" localSheetId="91" hidden="1">[1]weekly!#REF!</definedName>
    <definedName name="p" localSheetId="88" hidden="1">[1]weekly!#REF!</definedName>
    <definedName name="p" localSheetId="90" hidden="1">[1]weekly!#REF!</definedName>
    <definedName name="p" hidden="1">[1]weekly!#REF!</definedName>
    <definedName name="pp" localSheetId="61" hidden="1">[1]weekly!#REF!</definedName>
    <definedName name="pp" localSheetId="87" hidden="1">[1]weekly!#REF!</definedName>
    <definedName name="pp" localSheetId="37" hidden="1">[1]weekly!#REF!</definedName>
    <definedName name="pp" localSheetId="62" hidden="1">[1]weekly!#REF!</definedName>
    <definedName name="pp" localSheetId="38" hidden="1">[1]weekly!#REF!</definedName>
    <definedName name="pp" localSheetId="58" hidden="1">[1]weekly!#REF!</definedName>
    <definedName name="pp" localSheetId="57" hidden="1">[1]weekly!#REF!</definedName>
    <definedName name="pp" localSheetId="59" hidden="1">[1]weekly!#REF!</definedName>
    <definedName name="pp" localSheetId="83" hidden="1">[1]weekly!#REF!</definedName>
    <definedName name="pp" localSheetId="39" hidden="1">[1]weekly!#REF!</definedName>
    <definedName name="pp" localSheetId="40" hidden="1">[1]weekly!#REF!</definedName>
    <definedName name="pp" localSheetId="95" hidden="1">[1]weekly!#REF!</definedName>
    <definedName name="pp" localSheetId="41" hidden="1">[1]weekly!#REF!</definedName>
    <definedName name="pp" localSheetId="92" hidden="1">[1]weekly!#REF!</definedName>
    <definedName name="pp" localSheetId="42" hidden="1">[1]weekly!#REF!</definedName>
    <definedName name="pp" localSheetId="43" hidden="1">[1]weekly!#REF!</definedName>
    <definedName name="pp" localSheetId="44" hidden="1">[1]weekly!#REF!</definedName>
    <definedName name="pp" localSheetId="34" hidden="1">[1]weekly!#REF!</definedName>
    <definedName name="pp" localSheetId="45" hidden="1">[1]weekly!#REF!</definedName>
    <definedName name="pp" localSheetId="70" hidden="1">[1]weekly!#REF!</definedName>
    <definedName name="pp" localSheetId="46" hidden="1">[1]weekly!#REF!</definedName>
    <definedName name="pp" localSheetId="25" hidden="1">[1]weekly!#REF!</definedName>
    <definedName name="pp" localSheetId="26" hidden="1">[1]weekly!#REF!</definedName>
    <definedName name="pp" localSheetId="47" hidden="1">[1]weekly!#REF!</definedName>
    <definedName name="pp" localSheetId="15" hidden="1">[1]weekly!#REF!</definedName>
    <definedName name="pp" localSheetId="93" hidden="1">[1]weekly!#REF!</definedName>
    <definedName name="pp" localSheetId="3" hidden="1">[1]weekly!#REF!</definedName>
    <definedName name="pp" localSheetId="48" hidden="1">[1]weekly!#REF!</definedName>
    <definedName name="pp" localSheetId="49" hidden="1">[1]weekly!#REF!</definedName>
    <definedName name="pp" localSheetId="50" hidden="1">[1]weekly!#REF!</definedName>
    <definedName name="pp" localSheetId="51" hidden="1">[1]weekly!#REF!</definedName>
    <definedName name="pp" localSheetId="55" hidden="1">[1]weekly!#REF!</definedName>
    <definedName name="pp" localSheetId="52" hidden="1">[1]weekly!#REF!</definedName>
    <definedName name="pp" localSheetId="53" hidden="1">[1]weekly!#REF!</definedName>
    <definedName name="pp" localSheetId="35" hidden="1">[1]weekly!#REF!</definedName>
    <definedName name="pp" localSheetId="60" hidden="1">[1]weekly!#REF!</definedName>
    <definedName name="pp" localSheetId="54" hidden="1">[1]weekly!#REF!</definedName>
    <definedName name="pp" localSheetId="91" hidden="1">[1]weekly!#REF!</definedName>
    <definedName name="pp" localSheetId="88" hidden="1">[1]weekly!#REF!</definedName>
    <definedName name="pp" localSheetId="90" hidden="1">[1]weekly!#REF!</definedName>
    <definedName name="pp" hidden="1">[1]weekly!#REF!</definedName>
    <definedName name="ppppp" localSheetId="61" hidden="1">[1]weekly!#REF!</definedName>
    <definedName name="ppppp" localSheetId="87" hidden="1">[1]weekly!#REF!</definedName>
    <definedName name="ppppp" localSheetId="37" hidden="1">[1]weekly!#REF!</definedName>
    <definedName name="ppppp" localSheetId="62" hidden="1">[1]weekly!#REF!</definedName>
    <definedName name="ppppp" localSheetId="38" hidden="1">[1]weekly!#REF!</definedName>
    <definedName name="ppppp" localSheetId="58" hidden="1">[1]weekly!#REF!</definedName>
    <definedName name="ppppp" localSheetId="57" hidden="1">[1]weekly!#REF!</definedName>
    <definedName name="ppppp" localSheetId="59" hidden="1">[1]weekly!#REF!</definedName>
    <definedName name="ppppp" localSheetId="83" hidden="1">[1]weekly!#REF!</definedName>
    <definedName name="ppppp" localSheetId="39" hidden="1">[1]weekly!#REF!</definedName>
    <definedName name="ppppp" localSheetId="40" hidden="1">[1]weekly!#REF!</definedName>
    <definedName name="ppppp" localSheetId="95" hidden="1">[1]weekly!#REF!</definedName>
    <definedName name="ppppp" localSheetId="41" hidden="1">[1]weekly!#REF!</definedName>
    <definedName name="ppppp" localSheetId="92" hidden="1">[1]weekly!#REF!</definedName>
    <definedName name="ppppp" localSheetId="42" hidden="1">[1]weekly!#REF!</definedName>
    <definedName name="ppppp" localSheetId="43" hidden="1">[1]weekly!#REF!</definedName>
    <definedName name="ppppp" localSheetId="44" hidden="1">[1]weekly!#REF!</definedName>
    <definedName name="ppppp" localSheetId="34" hidden="1">[1]weekly!#REF!</definedName>
    <definedName name="ppppp" localSheetId="45" hidden="1">[1]weekly!#REF!</definedName>
    <definedName name="ppppp" localSheetId="70" hidden="1">[1]weekly!#REF!</definedName>
    <definedName name="ppppp" localSheetId="46" hidden="1">[1]weekly!#REF!</definedName>
    <definedName name="ppppp" localSheetId="25" hidden="1">[1]weekly!#REF!</definedName>
    <definedName name="ppppp" localSheetId="26" hidden="1">[1]weekly!#REF!</definedName>
    <definedName name="ppppp" localSheetId="47" hidden="1">[1]weekly!#REF!</definedName>
    <definedName name="ppppp" localSheetId="15" hidden="1">[1]weekly!#REF!</definedName>
    <definedName name="ppppp" localSheetId="93" hidden="1">[1]weekly!#REF!</definedName>
    <definedName name="ppppp" localSheetId="48" hidden="1">[1]weekly!#REF!</definedName>
    <definedName name="ppppp" localSheetId="49" hidden="1">[1]weekly!#REF!</definedName>
    <definedName name="ppppp" localSheetId="50" hidden="1">[1]weekly!#REF!</definedName>
    <definedName name="ppppp" localSheetId="51" hidden="1">[1]weekly!#REF!</definedName>
    <definedName name="ppppp" localSheetId="55" hidden="1">[1]weekly!#REF!</definedName>
    <definedName name="ppppp" localSheetId="52" hidden="1">[1]weekly!#REF!</definedName>
    <definedName name="ppppp" localSheetId="53" hidden="1">[1]weekly!#REF!</definedName>
    <definedName name="ppppp" localSheetId="35" hidden="1">[1]weekly!#REF!</definedName>
    <definedName name="ppppp" localSheetId="60" hidden="1">[1]weekly!#REF!</definedName>
    <definedName name="ppppp" localSheetId="54" hidden="1">[1]weekly!#REF!</definedName>
    <definedName name="ppppp" localSheetId="91" hidden="1">[1]weekly!#REF!</definedName>
    <definedName name="ppppp" localSheetId="88" hidden="1">[1]weekly!#REF!</definedName>
    <definedName name="ppppp" localSheetId="90" hidden="1">[1]weekly!#REF!</definedName>
    <definedName name="ppppp" hidden="1">[1]weekly!#REF!</definedName>
    <definedName name="q" localSheetId="61" hidden="1">[1]weekly!#REF!</definedName>
    <definedName name="q" localSheetId="87" hidden="1">[1]weekly!#REF!</definedName>
    <definedName name="q" localSheetId="37" hidden="1">[1]weekly!#REF!</definedName>
    <definedName name="q" localSheetId="62" hidden="1">[1]weekly!#REF!</definedName>
    <definedName name="q" localSheetId="38" hidden="1">[1]weekly!#REF!</definedName>
    <definedName name="q" localSheetId="58" hidden="1">[1]weekly!#REF!</definedName>
    <definedName name="q" localSheetId="57" hidden="1">[1]weekly!#REF!</definedName>
    <definedName name="q" localSheetId="59" hidden="1">[1]weekly!#REF!</definedName>
    <definedName name="q" localSheetId="83" hidden="1">[1]weekly!#REF!</definedName>
    <definedName name="q" localSheetId="39" hidden="1">[1]weekly!#REF!</definedName>
    <definedName name="q" localSheetId="40" hidden="1">[1]weekly!#REF!</definedName>
    <definedName name="q" localSheetId="95" hidden="1">[1]weekly!#REF!</definedName>
    <definedName name="q" localSheetId="41" hidden="1">[1]weekly!#REF!</definedName>
    <definedName name="q" localSheetId="92" hidden="1">[1]weekly!#REF!</definedName>
    <definedName name="q" localSheetId="42" hidden="1">[1]weekly!#REF!</definedName>
    <definedName name="q" localSheetId="43" hidden="1">[1]weekly!#REF!</definedName>
    <definedName name="q" localSheetId="44" hidden="1">[1]weekly!#REF!</definedName>
    <definedName name="q" localSheetId="34" hidden="1">[1]weekly!#REF!</definedName>
    <definedName name="q" localSheetId="45" hidden="1">[1]weekly!#REF!</definedName>
    <definedName name="q" localSheetId="70" hidden="1">[1]weekly!#REF!</definedName>
    <definedName name="q" localSheetId="46" hidden="1">[1]weekly!#REF!</definedName>
    <definedName name="q" localSheetId="25" hidden="1">[1]weekly!#REF!</definedName>
    <definedName name="q" localSheetId="26" hidden="1">[1]weekly!#REF!</definedName>
    <definedName name="q" localSheetId="47" hidden="1">[1]weekly!#REF!</definedName>
    <definedName name="q" localSheetId="15" hidden="1">[1]weekly!#REF!</definedName>
    <definedName name="q" localSheetId="93" hidden="1">[1]weekly!#REF!</definedName>
    <definedName name="q" localSheetId="3" hidden="1">[1]weekly!#REF!</definedName>
    <definedName name="q" localSheetId="48" hidden="1">[1]weekly!#REF!</definedName>
    <definedName name="q" localSheetId="49" hidden="1">[1]weekly!#REF!</definedName>
    <definedName name="q" localSheetId="50" hidden="1">[1]weekly!#REF!</definedName>
    <definedName name="q" localSheetId="51" hidden="1">[1]weekly!#REF!</definedName>
    <definedName name="q" localSheetId="55" hidden="1">[1]weekly!#REF!</definedName>
    <definedName name="q" localSheetId="52" hidden="1">[1]weekly!#REF!</definedName>
    <definedName name="q" localSheetId="53" hidden="1">[1]weekly!#REF!</definedName>
    <definedName name="q" localSheetId="35" hidden="1">[1]weekly!#REF!</definedName>
    <definedName name="q" localSheetId="60" hidden="1">[1]weekly!#REF!</definedName>
    <definedName name="q" localSheetId="54" hidden="1">[1]weekly!#REF!</definedName>
    <definedName name="q" localSheetId="91" hidden="1">[1]weekly!#REF!</definedName>
    <definedName name="q" localSheetId="88" hidden="1">[1]weekly!#REF!</definedName>
    <definedName name="q" localSheetId="90" hidden="1">[1]weekly!#REF!</definedName>
    <definedName name="q" hidden="1">[1]weekly!#REF!</definedName>
    <definedName name="qq" localSheetId="61" hidden="1">[1]weekly!#REF!</definedName>
    <definedName name="qq" localSheetId="87" hidden="1">[1]weekly!#REF!</definedName>
    <definedName name="qq" localSheetId="37" hidden="1">[1]weekly!#REF!</definedName>
    <definedName name="qq" localSheetId="62" hidden="1">[1]weekly!#REF!</definedName>
    <definedName name="qq" localSheetId="38" hidden="1">[1]weekly!#REF!</definedName>
    <definedName name="qq" localSheetId="18" hidden="1">[1]weekly!#REF!</definedName>
    <definedName name="qq" localSheetId="58" hidden="1">[1]weekly!#REF!</definedName>
    <definedName name="qq" localSheetId="57" hidden="1">[1]weekly!#REF!</definedName>
    <definedName name="qq" localSheetId="59" hidden="1">[1]weekly!#REF!</definedName>
    <definedName name="qq" localSheetId="20" hidden="1">[1]weekly!#REF!</definedName>
    <definedName name="qq" localSheetId="83" hidden="1">[1]weekly!#REF!</definedName>
    <definedName name="qq" localSheetId="39" hidden="1">[1]weekly!#REF!</definedName>
    <definedName name="qq" localSheetId="40" hidden="1">[1]weekly!#REF!</definedName>
    <definedName name="qq" localSheetId="95" hidden="1">[1]weekly!#REF!</definedName>
    <definedName name="qq" localSheetId="41" hidden="1">[1]weekly!#REF!</definedName>
    <definedName name="qq" localSheetId="92" hidden="1">[1]weekly!#REF!</definedName>
    <definedName name="qq" localSheetId="42" hidden="1">[1]weekly!#REF!</definedName>
    <definedName name="qq" localSheetId="43" hidden="1">[1]weekly!#REF!</definedName>
    <definedName name="qq" localSheetId="44" hidden="1">[1]weekly!#REF!</definedName>
    <definedName name="qq" localSheetId="34" hidden="1">[1]weekly!#REF!</definedName>
    <definedName name="qq" localSheetId="45" hidden="1">[1]weekly!#REF!</definedName>
    <definedName name="qq" localSheetId="70" hidden="1">[1]weekly!#REF!</definedName>
    <definedName name="qq" localSheetId="46" hidden="1">[1]weekly!#REF!</definedName>
    <definedName name="qq" localSheetId="25" hidden="1">[1]weekly!#REF!</definedName>
    <definedName name="qq" localSheetId="26" hidden="1">[1]weekly!#REF!</definedName>
    <definedName name="qq" localSheetId="47" hidden="1">[1]weekly!#REF!</definedName>
    <definedName name="qq" localSheetId="15" hidden="1">[1]weekly!#REF!</definedName>
    <definedName name="qq" localSheetId="93" hidden="1">[1]weekly!#REF!</definedName>
    <definedName name="qq" localSheetId="48" hidden="1">[1]weekly!#REF!</definedName>
    <definedName name="qq" localSheetId="49" hidden="1">[1]weekly!#REF!</definedName>
    <definedName name="qq" localSheetId="50" hidden="1">[1]weekly!#REF!</definedName>
    <definedName name="qq" localSheetId="51" hidden="1">[1]weekly!#REF!</definedName>
    <definedName name="qq" localSheetId="55" hidden="1">[1]weekly!#REF!</definedName>
    <definedName name="qq" localSheetId="52" hidden="1">[1]weekly!#REF!</definedName>
    <definedName name="qq" localSheetId="53" hidden="1">[1]weekly!#REF!</definedName>
    <definedName name="qq" localSheetId="35" hidden="1">[1]weekly!#REF!</definedName>
    <definedName name="qq" localSheetId="60" hidden="1">[1]weekly!#REF!</definedName>
    <definedName name="qq" localSheetId="22" hidden="1">[1]weekly!#REF!</definedName>
    <definedName name="qq" localSheetId="23" hidden="1">[1]weekly!#REF!</definedName>
    <definedName name="qq" localSheetId="54" hidden="1">[1]weekly!#REF!</definedName>
    <definedName name="qq" localSheetId="91" hidden="1">[1]weekly!#REF!</definedName>
    <definedName name="qq" localSheetId="88" hidden="1">[1]weekly!#REF!</definedName>
    <definedName name="qq" localSheetId="90" hidden="1">[1]weekly!#REF!</definedName>
    <definedName name="qq" hidden="1">[1]weekly!#REF!</definedName>
    <definedName name="qqq" localSheetId="61" hidden="1">[1]weekly!#REF!</definedName>
    <definedName name="qqq" localSheetId="87" hidden="1">[1]weekly!#REF!</definedName>
    <definedName name="qqq" localSheetId="37" hidden="1">[1]weekly!#REF!</definedName>
    <definedName name="qqq" localSheetId="62" hidden="1">[1]weekly!#REF!</definedName>
    <definedName name="qqq" localSheetId="38" hidden="1">[1]weekly!#REF!</definedName>
    <definedName name="qqq" localSheetId="58" hidden="1">[1]weekly!#REF!</definedName>
    <definedName name="qqq" localSheetId="57" hidden="1">[1]weekly!#REF!</definedName>
    <definedName name="qqq" localSheetId="59" hidden="1">[1]weekly!#REF!</definedName>
    <definedName name="qqq" localSheetId="83" hidden="1">[1]weekly!#REF!</definedName>
    <definedName name="qqq" localSheetId="39" hidden="1">[1]weekly!#REF!</definedName>
    <definedName name="qqq" localSheetId="40" hidden="1">[1]weekly!#REF!</definedName>
    <definedName name="qqq" localSheetId="95" hidden="1">[1]weekly!#REF!</definedName>
    <definedName name="qqq" localSheetId="41" hidden="1">[1]weekly!#REF!</definedName>
    <definedName name="qqq" localSheetId="92" hidden="1">[1]weekly!#REF!</definedName>
    <definedName name="qqq" localSheetId="42" hidden="1">[1]weekly!#REF!</definedName>
    <definedName name="qqq" localSheetId="43" hidden="1">[1]weekly!#REF!</definedName>
    <definedName name="qqq" localSheetId="44" hidden="1">[1]weekly!#REF!</definedName>
    <definedName name="qqq" localSheetId="34" hidden="1">[1]weekly!#REF!</definedName>
    <definedName name="qqq" localSheetId="45" hidden="1">[1]weekly!#REF!</definedName>
    <definedName name="qqq" localSheetId="70" hidden="1">[1]weekly!#REF!</definedName>
    <definedName name="qqq" localSheetId="46" hidden="1">[1]weekly!#REF!</definedName>
    <definedName name="qqq" localSheetId="25" hidden="1">[1]weekly!#REF!</definedName>
    <definedName name="qqq" localSheetId="26" hidden="1">[1]weekly!#REF!</definedName>
    <definedName name="qqq" localSheetId="47" hidden="1">[1]weekly!#REF!</definedName>
    <definedName name="qqq" localSheetId="15" hidden="1">[1]weekly!#REF!</definedName>
    <definedName name="qqq" localSheetId="93" hidden="1">[1]weekly!#REF!</definedName>
    <definedName name="qqq" localSheetId="48" hidden="1">[1]weekly!#REF!</definedName>
    <definedName name="qqq" localSheetId="49" hidden="1">[1]weekly!#REF!</definedName>
    <definedName name="qqq" localSheetId="50" hidden="1">[1]weekly!#REF!</definedName>
    <definedName name="qqq" localSheetId="51" hidden="1">[1]weekly!#REF!</definedName>
    <definedName name="qqq" localSheetId="55" hidden="1">[1]weekly!#REF!</definedName>
    <definedName name="qqq" localSheetId="52" hidden="1">[1]weekly!#REF!</definedName>
    <definedName name="qqq" localSheetId="53" hidden="1">[1]weekly!#REF!</definedName>
    <definedName name="qqq" localSheetId="35" hidden="1">[1]weekly!#REF!</definedName>
    <definedName name="qqq" localSheetId="60" hidden="1">[1]weekly!#REF!</definedName>
    <definedName name="qqq" localSheetId="54" hidden="1">[1]weekly!#REF!</definedName>
    <definedName name="qqq" localSheetId="91" hidden="1">[1]weekly!#REF!</definedName>
    <definedName name="qqq" localSheetId="88" hidden="1">[1]weekly!#REF!</definedName>
    <definedName name="qqq" localSheetId="90" hidden="1">[1]weekly!#REF!</definedName>
    <definedName name="qqq" hidden="1">[1]weekly!#REF!</definedName>
    <definedName name="qqqqq" localSheetId="61" hidden="1">[1]weekly!#REF!</definedName>
    <definedName name="qqqqq" localSheetId="87" hidden="1">[1]weekly!#REF!</definedName>
    <definedName name="qqqqq" localSheetId="37" hidden="1">[1]weekly!#REF!</definedName>
    <definedName name="qqqqq" localSheetId="62" hidden="1">[1]weekly!#REF!</definedName>
    <definedName name="qqqqq" localSheetId="38" hidden="1">[1]weekly!#REF!</definedName>
    <definedName name="qqqqq" localSheetId="58" hidden="1">[1]weekly!#REF!</definedName>
    <definedName name="qqqqq" localSheetId="57" hidden="1">[1]weekly!#REF!</definedName>
    <definedName name="qqqqq" localSheetId="59" hidden="1">[1]weekly!#REF!</definedName>
    <definedName name="qqqqq" localSheetId="83" hidden="1">[1]weekly!#REF!</definedName>
    <definedName name="qqqqq" localSheetId="39" hidden="1">[1]weekly!#REF!</definedName>
    <definedName name="qqqqq" localSheetId="40" hidden="1">[1]weekly!#REF!</definedName>
    <definedName name="qqqqq" localSheetId="95" hidden="1">[1]weekly!#REF!</definedName>
    <definedName name="qqqqq" localSheetId="41" hidden="1">[1]weekly!#REF!</definedName>
    <definedName name="qqqqq" localSheetId="92" hidden="1">[1]weekly!#REF!</definedName>
    <definedName name="qqqqq" localSheetId="42" hidden="1">[1]weekly!#REF!</definedName>
    <definedName name="qqqqq" localSheetId="43" hidden="1">[1]weekly!#REF!</definedName>
    <definedName name="qqqqq" localSheetId="44" hidden="1">[1]weekly!#REF!</definedName>
    <definedName name="qqqqq" localSheetId="34" hidden="1">[1]weekly!#REF!</definedName>
    <definedName name="qqqqq" localSheetId="45" hidden="1">[1]weekly!#REF!</definedName>
    <definedName name="qqqqq" localSheetId="70" hidden="1">[1]weekly!#REF!</definedName>
    <definedName name="qqqqq" localSheetId="46" hidden="1">[1]weekly!#REF!</definedName>
    <definedName name="qqqqq" localSheetId="25" hidden="1">[1]weekly!#REF!</definedName>
    <definedName name="qqqqq" localSheetId="26" hidden="1">[1]weekly!#REF!</definedName>
    <definedName name="qqqqq" localSheetId="47" hidden="1">[1]weekly!#REF!</definedName>
    <definedName name="qqqqq" localSheetId="15" hidden="1">[1]weekly!#REF!</definedName>
    <definedName name="qqqqq" localSheetId="93" hidden="1">[1]weekly!#REF!</definedName>
    <definedName name="qqqqq" localSheetId="48" hidden="1">[1]weekly!#REF!</definedName>
    <definedName name="qqqqq" localSheetId="49" hidden="1">[1]weekly!#REF!</definedName>
    <definedName name="qqqqq" localSheetId="50" hidden="1">[1]weekly!#REF!</definedName>
    <definedName name="qqqqq" localSheetId="51" hidden="1">[1]weekly!#REF!</definedName>
    <definedName name="qqqqq" localSheetId="55" hidden="1">[1]weekly!#REF!</definedName>
    <definedName name="qqqqq" localSheetId="52" hidden="1">[1]weekly!#REF!</definedName>
    <definedName name="qqqqq" localSheetId="53" hidden="1">[1]weekly!#REF!</definedName>
    <definedName name="qqqqq" localSheetId="35" hidden="1">[1]weekly!#REF!</definedName>
    <definedName name="qqqqq" localSheetId="60" hidden="1">[1]weekly!#REF!</definedName>
    <definedName name="qqqqq" localSheetId="54" hidden="1">[1]weekly!#REF!</definedName>
    <definedName name="qqqqq" localSheetId="91" hidden="1">[1]weekly!#REF!</definedName>
    <definedName name="qqqqq" localSheetId="88" hidden="1">[1]weekly!#REF!</definedName>
    <definedName name="qqqqq" localSheetId="90" hidden="1">[1]weekly!#REF!</definedName>
    <definedName name="qqqqq" hidden="1">[1]weekly!#REF!</definedName>
    <definedName name="qqqqqqqqqq" localSheetId="61" hidden="1">[1]weekly!#REF!</definedName>
    <definedName name="qqqqqqqqqq" localSheetId="87" hidden="1">[1]weekly!#REF!</definedName>
    <definedName name="qqqqqqqqqq" localSheetId="37" hidden="1">[1]weekly!#REF!</definedName>
    <definedName name="qqqqqqqqqq" localSheetId="62" hidden="1">[1]weekly!#REF!</definedName>
    <definedName name="qqqqqqqqqq" localSheetId="38" hidden="1">[1]weekly!#REF!</definedName>
    <definedName name="qqqqqqqqqq" localSheetId="18" hidden="1">[1]weekly!#REF!</definedName>
    <definedName name="qqqqqqqqqq" localSheetId="56" hidden="1">[1]weekly!#REF!</definedName>
    <definedName name="qqqqqqqqqq" localSheetId="58" hidden="1">[1]weekly!#REF!</definedName>
    <definedName name="qqqqqqqqqq" localSheetId="16" hidden="1">[1]weekly!#REF!</definedName>
    <definedName name="qqqqqqqqqq" localSheetId="57" hidden="1">[1]weekly!#REF!</definedName>
    <definedName name="qqqqqqqqqq" localSheetId="59" hidden="1">[1]weekly!#REF!</definedName>
    <definedName name="qqqqqqqqqq" localSheetId="20" hidden="1">[1]weekly!#REF!</definedName>
    <definedName name="qqqqqqqqqq" localSheetId="83" hidden="1">[1]weekly!#REF!</definedName>
    <definedName name="qqqqqqqqqq" localSheetId="39" hidden="1">[1]weekly!#REF!</definedName>
    <definedName name="qqqqqqqqqq" localSheetId="40" hidden="1">[1]weekly!#REF!</definedName>
    <definedName name="qqqqqqqqqq" localSheetId="95" hidden="1">[1]weekly!#REF!</definedName>
    <definedName name="qqqqqqqqqq" localSheetId="41" hidden="1">[1]weekly!#REF!</definedName>
    <definedName name="qqqqqqqqqq" localSheetId="92" hidden="1">[1]weekly!#REF!</definedName>
    <definedName name="qqqqqqqqqq" localSheetId="42" hidden="1">[1]weekly!#REF!</definedName>
    <definedName name="qqqqqqqqqq" localSheetId="43" hidden="1">[1]weekly!#REF!</definedName>
    <definedName name="qqqqqqqqqq" localSheetId="44" hidden="1">[1]weekly!#REF!</definedName>
    <definedName name="qqqqqqqqqq" localSheetId="34" hidden="1">[1]weekly!#REF!</definedName>
    <definedName name="qqqqqqqqqq" localSheetId="45" hidden="1">[1]weekly!#REF!</definedName>
    <definedName name="qqqqqqqqqq" localSheetId="70" hidden="1">[1]weekly!#REF!</definedName>
    <definedName name="qqqqqqqqqq" localSheetId="46" hidden="1">[1]weekly!#REF!</definedName>
    <definedName name="qqqqqqqqqq" localSheetId="25" hidden="1">[1]weekly!#REF!</definedName>
    <definedName name="qqqqqqqqqq" localSheetId="26" hidden="1">[1]weekly!#REF!</definedName>
    <definedName name="qqqqqqqqqq" localSheetId="47" hidden="1">[1]weekly!#REF!</definedName>
    <definedName name="qqqqqqqqqq" localSheetId="15" hidden="1">[1]weekly!#REF!</definedName>
    <definedName name="qqqqqqqqqq" localSheetId="93" hidden="1">[1]weekly!#REF!</definedName>
    <definedName name="qqqqqqqqqq" localSheetId="48" hidden="1">[1]weekly!#REF!</definedName>
    <definedName name="qqqqqqqqqq" localSheetId="49" hidden="1">[1]weekly!#REF!</definedName>
    <definedName name="qqqqqqqqqq" localSheetId="50" hidden="1">[1]weekly!#REF!</definedName>
    <definedName name="qqqqqqqqqq" localSheetId="51" hidden="1">[1]weekly!#REF!</definedName>
    <definedName name="qqqqqqqqqq" localSheetId="55" hidden="1">[1]weekly!#REF!</definedName>
    <definedName name="qqqqqqqqqq" localSheetId="52" hidden="1">[1]weekly!#REF!</definedName>
    <definedName name="qqqqqqqqqq" localSheetId="53" hidden="1">[1]weekly!#REF!</definedName>
    <definedName name="qqqqqqqqqq" localSheetId="35" hidden="1">[1]weekly!#REF!</definedName>
    <definedName name="qqqqqqqqqq" localSheetId="60" hidden="1">[1]weekly!#REF!</definedName>
    <definedName name="qqqqqqqqqq" localSheetId="22" hidden="1">[1]weekly!#REF!</definedName>
    <definedName name="qqqqqqqqqq" localSheetId="23" hidden="1">[1]weekly!#REF!</definedName>
    <definedName name="qqqqqqqqqq" localSheetId="54" hidden="1">[1]weekly!#REF!</definedName>
    <definedName name="qqqqqqqqqq" localSheetId="91" hidden="1">[1]weekly!#REF!</definedName>
    <definedName name="qqqqqqqqqq" localSheetId="88" hidden="1">[1]weekly!#REF!</definedName>
    <definedName name="qqqqqqqqqq" localSheetId="90" hidden="1">[1]weekly!#REF!</definedName>
    <definedName name="qqqqqqqqqq" hidden="1">[1]weekly!#REF!</definedName>
    <definedName name="qqqqqqqqqqqqqqqq" localSheetId="61" hidden="1">[1]weekly!#REF!</definedName>
    <definedName name="qqqqqqqqqqqqqqqq" localSheetId="87" hidden="1">[1]weekly!#REF!</definedName>
    <definedName name="qqqqqqqqqqqqqqqq" localSheetId="37" hidden="1">[1]weekly!#REF!</definedName>
    <definedName name="qqqqqqqqqqqqqqqq" localSheetId="62" hidden="1">[1]weekly!#REF!</definedName>
    <definedName name="qqqqqqqqqqqqqqqq" localSheetId="38" hidden="1">[1]weekly!#REF!</definedName>
    <definedName name="qqqqqqqqqqqqqqqq" localSheetId="18" hidden="1">[1]weekly!#REF!</definedName>
    <definedName name="qqqqqqqqqqqqqqqq" localSheetId="58" hidden="1">[1]weekly!#REF!</definedName>
    <definedName name="qqqqqqqqqqqqqqqq" localSheetId="57" hidden="1">[1]weekly!#REF!</definedName>
    <definedName name="qqqqqqqqqqqqqqqq" localSheetId="59" hidden="1">[1]weekly!#REF!</definedName>
    <definedName name="qqqqqqqqqqqqqqqq" localSheetId="20" hidden="1">[1]weekly!#REF!</definedName>
    <definedName name="qqqqqqqqqqqqqqqq" localSheetId="83" hidden="1">[1]weekly!#REF!</definedName>
    <definedName name="qqqqqqqqqqqqqqqq" localSheetId="39" hidden="1">[1]weekly!#REF!</definedName>
    <definedName name="qqqqqqqqqqqqqqqq" localSheetId="40" hidden="1">[1]weekly!#REF!</definedName>
    <definedName name="qqqqqqqqqqqqqqqq" localSheetId="95" hidden="1">[1]weekly!#REF!</definedName>
    <definedName name="qqqqqqqqqqqqqqqq" localSheetId="41" hidden="1">[1]weekly!#REF!</definedName>
    <definedName name="qqqqqqqqqqqqqqqq" localSheetId="92" hidden="1">[1]weekly!#REF!</definedName>
    <definedName name="qqqqqqqqqqqqqqqq" localSheetId="42" hidden="1">[1]weekly!#REF!</definedName>
    <definedName name="qqqqqqqqqqqqqqqq" localSheetId="43" hidden="1">[1]weekly!#REF!</definedName>
    <definedName name="qqqqqqqqqqqqqqqq" localSheetId="44" hidden="1">[1]weekly!#REF!</definedName>
    <definedName name="qqqqqqqqqqqqqqqq" localSheetId="34" hidden="1">[1]weekly!#REF!</definedName>
    <definedName name="qqqqqqqqqqqqqqqq" localSheetId="45" hidden="1">[1]weekly!#REF!</definedName>
    <definedName name="qqqqqqqqqqqqqqqq" localSheetId="70" hidden="1">[1]weekly!#REF!</definedName>
    <definedName name="qqqqqqqqqqqqqqqq" localSheetId="46" hidden="1">[1]weekly!#REF!</definedName>
    <definedName name="qqqqqqqqqqqqqqqq" localSheetId="25" hidden="1">[1]weekly!#REF!</definedName>
    <definedName name="qqqqqqqqqqqqqqqq" localSheetId="26" hidden="1">[1]weekly!#REF!</definedName>
    <definedName name="qqqqqqqqqqqqqqqq" localSheetId="47" hidden="1">[1]weekly!#REF!</definedName>
    <definedName name="qqqqqqqqqqqqqqqq" localSheetId="15" hidden="1">[1]weekly!#REF!</definedName>
    <definedName name="qqqqqqqqqqqqqqqq" localSheetId="93" hidden="1">[1]weekly!#REF!</definedName>
    <definedName name="qqqqqqqqqqqqqqqq" localSheetId="48" hidden="1">[1]weekly!#REF!</definedName>
    <definedName name="qqqqqqqqqqqqqqqq" localSheetId="49" hidden="1">[1]weekly!#REF!</definedName>
    <definedName name="qqqqqqqqqqqqqqqq" localSheetId="50" hidden="1">[1]weekly!#REF!</definedName>
    <definedName name="qqqqqqqqqqqqqqqq" localSheetId="51" hidden="1">[1]weekly!#REF!</definedName>
    <definedName name="qqqqqqqqqqqqqqqq" localSheetId="55" hidden="1">[1]weekly!#REF!</definedName>
    <definedName name="qqqqqqqqqqqqqqqq" localSheetId="52" hidden="1">[1]weekly!#REF!</definedName>
    <definedName name="qqqqqqqqqqqqqqqq" localSheetId="53" hidden="1">[1]weekly!#REF!</definedName>
    <definedName name="qqqqqqqqqqqqqqqq" localSheetId="35" hidden="1">[1]weekly!#REF!</definedName>
    <definedName name="qqqqqqqqqqqqqqqq" localSheetId="60" hidden="1">[1]weekly!#REF!</definedName>
    <definedName name="qqqqqqqqqqqqqqqq" localSheetId="22" hidden="1">[1]weekly!#REF!</definedName>
    <definedName name="qqqqqqqqqqqqqqqq" localSheetId="23" hidden="1">[1]weekly!#REF!</definedName>
    <definedName name="qqqqqqqqqqqqqqqq" localSheetId="54" hidden="1">[1]weekly!#REF!</definedName>
    <definedName name="qqqqqqqqqqqqqqqq" localSheetId="91" hidden="1">[1]weekly!#REF!</definedName>
    <definedName name="qqqqqqqqqqqqqqqq" localSheetId="88" hidden="1">[1]weekly!#REF!</definedName>
    <definedName name="qqqqqqqqqqqqqqqq" localSheetId="90" hidden="1">[1]weekly!#REF!</definedName>
    <definedName name="qqqqqqqqqqqqqqqq" hidden="1">[1]weekly!#REF!</definedName>
    <definedName name="qqqqqqqqqqqqqqqqq" localSheetId="61" hidden="1">[1]weekly!#REF!</definedName>
    <definedName name="qqqqqqqqqqqqqqqqq" localSheetId="87" hidden="1">[1]weekly!#REF!</definedName>
    <definedName name="qqqqqqqqqqqqqqqqq" localSheetId="37" hidden="1">[1]weekly!#REF!</definedName>
    <definedName name="qqqqqqqqqqqqqqqqq" localSheetId="62" hidden="1">[1]weekly!#REF!</definedName>
    <definedName name="qqqqqqqqqqqqqqqqq" localSheetId="38" hidden="1">[1]weekly!#REF!</definedName>
    <definedName name="qqqqqqqqqqqqqqqqq" localSheetId="18" hidden="1">[1]weekly!#REF!</definedName>
    <definedName name="qqqqqqqqqqqqqqqqq" localSheetId="58" hidden="1">[1]weekly!#REF!</definedName>
    <definedName name="qqqqqqqqqqqqqqqqq" localSheetId="57" hidden="1">[1]weekly!#REF!</definedName>
    <definedName name="qqqqqqqqqqqqqqqqq" localSheetId="59" hidden="1">[1]weekly!#REF!</definedName>
    <definedName name="qqqqqqqqqqqqqqqqq" localSheetId="20" hidden="1">[1]weekly!#REF!</definedName>
    <definedName name="qqqqqqqqqqqqqqqqq" localSheetId="83" hidden="1">[1]weekly!#REF!</definedName>
    <definedName name="qqqqqqqqqqqqqqqqq" localSheetId="39" hidden="1">[1]weekly!#REF!</definedName>
    <definedName name="qqqqqqqqqqqqqqqqq" localSheetId="40" hidden="1">[1]weekly!#REF!</definedName>
    <definedName name="qqqqqqqqqqqqqqqqq" localSheetId="95" hidden="1">[1]weekly!#REF!</definedName>
    <definedName name="qqqqqqqqqqqqqqqqq" localSheetId="41" hidden="1">[1]weekly!#REF!</definedName>
    <definedName name="qqqqqqqqqqqqqqqqq" localSheetId="92" hidden="1">[1]weekly!#REF!</definedName>
    <definedName name="qqqqqqqqqqqqqqqqq" localSheetId="42" hidden="1">[1]weekly!#REF!</definedName>
    <definedName name="qqqqqqqqqqqqqqqqq" localSheetId="43" hidden="1">[1]weekly!#REF!</definedName>
    <definedName name="qqqqqqqqqqqqqqqqq" localSheetId="44" hidden="1">[1]weekly!#REF!</definedName>
    <definedName name="qqqqqqqqqqqqqqqqq" localSheetId="34" hidden="1">[1]weekly!#REF!</definedName>
    <definedName name="qqqqqqqqqqqqqqqqq" localSheetId="45" hidden="1">[1]weekly!#REF!</definedName>
    <definedName name="qqqqqqqqqqqqqqqqq" localSheetId="70" hidden="1">[1]weekly!#REF!</definedName>
    <definedName name="qqqqqqqqqqqqqqqqq" localSheetId="46" hidden="1">[1]weekly!#REF!</definedName>
    <definedName name="qqqqqqqqqqqqqqqqq" localSheetId="25" hidden="1">[1]weekly!#REF!</definedName>
    <definedName name="qqqqqqqqqqqqqqqqq" localSheetId="26" hidden="1">[1]weekly!#REF!</definedName>
    <definedName name="qqqqqqqqqqqqqqqqq" localSheetId="47" hidden="1">[1]weekly!#REF!</definedName>
    <definedName name="qqqqqqqqqqqqqqqqq" localSheetId="15" hidden="1">[1]weekly!#REF!</definedName>
    <definedName name="qqqqqqqqqqqqqqqqq" localSheetId="93" hidden="1">[1]weekly!#REF!</definedName>
    <definedName name="qqqqqqqqqqqqqqqqq" localSheetId="48" hidden="1">[1]weekly!#REF!</definedName>
    <definedName name="qqqqqqqqqqqqqqqqq" localSheetId="49" hidden="1">[1]weekly!#REF!</definedName>
    <definedName name="qqqqqqqqqqqqqqqqq" localSheetId="50" hidden="1">[1]weekly!#REF!</definedName>
    <definedName name="qqqqqqqqqqqqqqqqq" localSheetId="51" hidden="1">[1]weekly!#REF!</definedName>
    <definedName name="qqqqqqqqqqqqqqqqq" localSheetId="55" hidden="1">[1]weekly!#REF!</definedName>
    <definedName name="qqqqqqqqqqqqqqqqq" localSheetId="52" hidden="1">[1]weekly!#REF!</definedName>
    <definedName name="qqqqqqqqqqqqqqqqq" localSheetId="53" hidden="1">[1]weekly!#REF!</definedName>
    <definedName name="qqqqqqqqqqqqqqqqq" localSheetId="35" hidden="1">[1]weekly!#REF!</definedName>
    <definedName name="qqqqqqqqqqqqqqqqq" localSheetId="60" hidden="1">[1]weekly!#REF!</definedName>
    <definedName name="qqqqqqqqqqqqqqqqq" localSheetId="22" hidden="1">[1]weekly!#REF!</definedName>
    <definedName name="qqqqqqqqqqqqqqqqq" localSheetId="23" hidden="1">[1]weekly!#REF!</definedName>
    <definedName name="qqqqqqqqqqqqqqqqq" localSheetId="54" hidden="1">[1]weekly!#REF!</definedName>
    <definedName name="qqqqqqqqqqqqqqqqq" localSheetId="91" hidden="1">[1]weekly!#REF!</definedName>
    <definedName name="qqqqqqqqqqqqqqqqq" localSheetId="88" hidden="1">[1]weekly!#REF!</definedName>
    <definedName name="qqqqqqqqqqqqqqqqq" localSheetId="90" hidden="1">[1]weekly!#REF!</definedName>
    <definedName name="qqqqqqqqqqqqqqqqq" hidden="1">[1]weekly!#REF!</definedName>
    <definedName name="rrr" localSheetId="61" hidden="1">[1]weekly!#REF!</definedName>
    <definedName name="rrr" localSheetId="87" hidden="1">[1]weekly!#REF!</definedName>
    <definedName name="rrr" localSheetId="37" hidden="1">[1]weekly!#REF!</definedName>
    <definedName name="rrr" localSheetId="62" hidden="1">[1]weekly!#REF!</definedName>
    <definedName name="rrr" localSheetId="38" hidden="1">[1]weekly!#REF!</definedName>
    <definedName name="rrr" localSheetId="58" hidden="1">[1]weekly!#REF!</definedName>
    <definedName name="rrr" localSheetId="57" hidden="1">[1]weekly!#REF!</definedName>
    <definedName name="rrr" localSheetId="59" hidden="1">[1]weekly!#REF!</definedName>
    <definedName name="rrr" localSheetId="83" hidden="1">[1]weekly!#REF!</definedName>
    <definedName name="rrr" localSheetId="39" hidden="1">[1]weekly!#REF!</definedName>
    <definedName name="rrr" localSheetId="40" hidden="1">[1]weekly!#REF!</definedName>
    <definedName name="rrr" localSheetId="95" hidden="1">[1]weekly!#REF!</definedName>
    <definedName name="rrr" localSheetId="41" hidden="1">[1]weekly!#REF!</definedName>
    <definedName name="rrr" localSheetId="92" hidden="1">[1]weekly!#REF!</definedName>
    <definedName name="rrr" localSheetId="42" hidden="1">[1]weekly!#REF!</definedName>
    <definedName name="rrr" localSheetId="43" hidden="1">[1]weekly!#REF!</definedName>
    <definedName name="rrr" localSheetId="44" hidden="1">[1]weekly!#REF!</definedName>
    <definedName name="rrr" localSheetId="34" hidden="1">[1]weekly!#REF!</definedName>
    <definedName name="rrr" localSheetId="45" hidden="1">[1]weekly!#REF!</definedName>
    <definedName name="rrr" localSheetId="70" hidden="1">[1]weekly!#REF!</definedName>
    <definedName name="rrr" localSheetId="46" hidden="1">[1]weekly!#REF!</definedName>
    <definedName name="rrr" localSheetId="25" hidden="1">[1]weekly!#REF!</definedName>
    <definedName name="rrr" localSheetId="26" hidden="1">[1]weekly!#REF!</definedName>
    <definedName name="rrr" localSheetId="47" hidden="1">[1]weekly!#REF!</definedName>
    <definedName name="rrr" localSheetId="15" hidden="1">[1]weekly!#REF!</definedName>
    <definedName name="rrr" localSheetId="93" hidden="1">[1]weekly!#REF!</definedName>
    <definedName name="rrr" localSheetId="3" hidden="1">[1]weekly!#REF!</definedName>
    <definedName name="rrr" localSheetId="48" hidden="1">[1]weekly!#REF!</definedName>
    <definedName name="rrr" localSheetId="49" hidden="1">[1]weekly!#REF!</definedName>
    <definedName name="rrr" localSheetId="50" hidden="1">[1]weekly!#REF!</definedName>
    <definedName name="rrr" localSheetId="51" hidden="1">[1]weekly!#REF!</definedName>
    <definedName name="rrr" localSheetId="55" hidden="1">[1]weekly!#REF!</definedName>
    <definedName name="rrr" localSheetId="52" hidden="1">[1]weekly!#REF!</definedName>
    <definedName name="rrr" localSheetId="53" hidden="1">[1]weekly!#REF!</definedName>
    <definedName name="rrr" localSheetId="35" hidden="1">[1]weekly!#REF!</definedName>
    <definedName name="rrr" localSheetId="60" hidden="1">[1]weekly!#REF!</definedName>
    <definedName name="rrr" localSheetId="54" hidden="1">[1]weekly!#REF!</definedName>
    <definedName name="rrr" localSheetId="91" hidden="1">[1]weekly!#REF!</definedName>
    <definedName name="rrr" localSheetId="88" hidden="1">[1]weekly!#REF!</definedName>
    <definedName name="rrr" localSheetId="90" hidden="1">[1]weekly!#REF!</definedName>
    <definedName name="rrr" hidden="1">[1]weekly!#REF!</definedName>
    <definedName name="rrrrr" localSheetId="61" hidden="1">[1]weekly!#REF!</definedName>
    <definedName name="rrrrr" localSheetId="87" hidden="1">[1]weekly!#REF!</definedName>
    <definedName name="rrrrr" localSheetId="37" hidden="1">[1]weekly!#REF!</definedName>
    <definedName name="rrrrr" localSheetId="62" hidden="1">[1]weekly!#REF!</definedName>
    <definedName name="rrrrr" localSheetId="38" hidden="1">[1]weekly!#REF!</definedName>
    <definedName name="rrrrr" localSheetId="58" hidden="1">[1]weekly!#REF!</definedName>
    <definedName name="rrrrr" localSheetId="57" hidden="1">[1]weekly!#REF!</definedName>
    <definedName name="rrrrr" localSheetId="59" hidden="1">[1]weekly!#REF!</definedName>
    <definedName name="rrrrr" localSheetId="83" hidden="1">[1]weekly!#REF!</definedName>
    <definedName name="rrrrr" localSheetId="39" hidden="1">[1]weekly!#REF!</definedName>
    <definedName name="rrrrr" localSheetId="40" hidden="1">[1]weekly!#REF!</definedName>
    <definedName name="rrrrr" localSheetId="95" hidden="1">[1]weekly!#REF!</definedName>
    <definedName name="rrrrr" localSheetId="41" hidden="1">[1]weekly!#REF!</definedName>
    <definedName name="rrrrr" localSheetId="92" hidden="1">[1]weekly!#REF!</definedName>
    <definedName name="rrrrr" localSheetId="42" hidden="1">[1]weekly!#REF!</definedName>
    <definedName name="rrrrr" localSheetId="43" hidden="1">[1]weekly!#REF!</definedName>
    <definedName name="rrrrr" localSheetId="44" hidden="1">[1]weekly!#REF!</definedName>
    <definedName name="rrrrr" localSheetId="34" hidden="1">[1]weekly!#REF!</definedName>
    <definedName name="rrrrr" localSheetId="45" hidden="1">[1]weekly!#REF!</definedName>
    <definedName name="rrrrr" localSheetId="70" hidden="1">[1]weekly!#REF!</definedName>
    <definedName name="rrrrr" localSheetId="46" hidden="1">[1]weekly!#REF!</definedName>
    <definedName name="rrrrr" localSheetId="25" hidden="1">[1]weekly!#REF!</definedName>
    <definedName name="rrrrr" localSheetId="26" hidden="1">[1]weekly!#REF!</definedName>
    <definedName name="rrrrr" localSheetId="47" hidden="1">[1]weekly!#REF!</definedName>
    <definedName name="rrrrr" localSheetId="15" hidden="1">[1]weekly!#REF!</definedName>
    <definedName name="rrrrr" localSheetId="93" hidden="1">[1]weekly!#REF!</definedName>
    <definedName name="rrrrr" localSheetId="48" hidden="1">[1]weekly!#REF!</definedName>
    <definedName name="rrrrr" localSheetId="49" hidden="1">[1]weekly!#REF!</definedName>
    <definedName name="rrrrr" localSheetId="50" hidden="1">[1]weekly!#REF!</definedName>
    <definedName name="rrrrr" localSheetId="51" hidden="1">[1]weekly!#REF!</definedName>
    <definedName name="rrrrr" localSheetId="55" hidden="1">[1]weekly!#REF!</definedName>
    <definedName name="rrrrr" localSheetId="52" hidden="1">[1]weekly!#REF!</definedName>
    <definedName name="rrrrr" localSheetId="53" hidden="1">[1]weekly!#REF!</definedName>
    <definedName name="rrrrr" localSheetId="35" hidden="1">[1]weekly!#REF!</definedName>
    <definedName name="rrrrr" localSheetId="60" hidden="1">[1]weekly!#REF!</definedName>
    <definedName name="rrrrr" localSheetId="54" hidden="1">[1]weekly!#REF!</definedName>
    <definedName name="rrrrr" localSheetId="91" hidden="1">[1]weekly!#REF!</definedName>
    <definedName name="rrrrr" localSheetId="88" hidden="1">[1]weekly!#REF!</definedName>
    <definedName name="rrrrr" localSheetId="90" hidden="1">[1]weekly!#REF!</definedName>
    <definedName name="rrrrr" hidden="1">[1]weekly!#REF!</definedName>
    <definedName name="s" localSheetId="61" hidden="1">[1]weekly!#REF!</definedName>
    <definedName name="s" localSheetId="87" hidden="1">[1]weekly!#REF!</definedName>
    <definedName name="s" localSheetId="37" hidden="1">[1]weekly!#REF!</definedName>
    <definedName name="s" localSheetId="62" hidden="1">[1]weekly!#REF!</definedName>
    <definedName name="s" localSheetId="38" hidden="1">[1]weekly!#REF!</definedName>
    <definedName name="s" localSheetId="58" hidden="1">[1]weekly!#REF!</definedName>
    <definedName name="s" localSheetId="57" hidden="1">[1]weekly!#REF!</definedName>
    <definedName name="s" localSheetId="59" hidden="1">[1]weekly!#REF!</definedName>
    <definedName name="s" localSheetId="83" hidden="1">[1]weekly!#REF!</definedName>
    <definedName name="s" localSheetId="39" hidden="1">[1]weekly!#REF!</definedName>
    <definedName name="s" localSheetId="40" hidden="1">[1]weekly!#REF!</definedName>
    <definedName name="s" localSheetId="95" hidden="1">[1]weekly!#REF!</definedName>
    <definedName name="s" localSheetId="41" hidden="1">[1]weekly!#REF!</definedName>
    <definedName name="s" localSheetId="92" hidden="1">[1]weekly!#REF!</definedName>
    <definedName name="s" localSheetId="42" hidden="1">[1]weekly!#REF!</definedName>
    <definedName name="s" localSheetId="43" hidden="1">[1]weekly!#REF!</definedName>
    <definedName name="s" localSheetId="44" hidden="1">[1]weekly!#REF!</definedName>
    <definedName name="s" localSheetId="34" hidden="1">[1]weekly!#REF!</definedName>
    <definedName name="s" localSheetId="45" hidden="1">[1]weekly!#REF!</definedName>
    <definedName name="s" localSheetId="70" hidden="1">[1]weekly!#REF!</definedName>
    <definedName name="s" localSheetId="46" hidden="1">[1]weekly!#REF!</definedName>
    <definedName name="s" localSheetId="25" hidden="1">[1]weekly!#REF!</definedName>
    <definedName name="s" localSheetId="26" hidden="1">[1]weekly!#REF!</definedName>
    <definedName name="s" localSheetId="47" hidden="1">[1]weekly!#REF!</definedName>
    <definedName name="s" localSheetId="15" hidden="1">[1]weekly!#REF!</definedName>
    <definedName name="s" localSheetId="93" hidden="1">[1]weekly!#REF!</definedName>
    <definedName name="s" localSheetId="48" hidden="1">[1]weekly!#REF!</definedName>
    <definedName name="s" localSheetId="49" hidden="1">[1]weekly!#REF!</definedName>
    <definedName name="s" localSheetId="50" hidden="1">[1]weekly!#REF!</definedName>
    <definedName name="s" localSheetId="51" hidden="1">[1]weekly!#REF!</definedName>
    <definedName name="s" localSheetId="55" hidden="1">[1]weekly!#REF!</definedName>
    <definedName name="s" localSheetId="52" hidden="1">[1]weekly!#REF!</definedName>
    <definedName name="s" localSheetId="53" hidden="1">[1]weekly!#REF!</definedName>
    <definedName name="s" localSheetId="35" hidden="1">[1]weekly!#REF!</definedName>
    <definedName name="s" localSheetId="60" hidden="1">[1]weekly!#REF!</definedName>
    <definedName name="s" localSheetId="54" hidden="1">[1]weekly!#REF!</definedName>
    <definedName name="s" localSheetId="91" hidden="1">[1]weekly!#REF!</definedName>
    <definedName name="s" localSheetId="88" hidden="1">[1]weekly!#REF!</definedName>
    <definedName name="s" localSheetId="90" hidden="1">[1]weekly!#REF!</definedName>
    <definedName name="s" hidden="1">[1]weekly!#REF!</definedName>
    <definedName name="ss" localSheetId="61" hidden="1">[1]weekly!#REF!</definedName>
    <definedName name="ss" localSheetId="87" hidden="1">[1]weekly!#REF!</definedName>
    <definedName name="ss" localSheetId="37" hidden="1">[1]weekly!#REF!</definedName>
    <definedName name="ss" localSheetId="62" hidden="1">[1]weekly!#REF!</definedName>
    <definedName name="ss" localSheetId="38" hidden="1">[1]weekly!#REF!</definedName>
    <definedName name="ss" localSheetId="58" hidden="1">[1]weekly!#REF!</definedName>
    <definedName name="ss" localSheetId="57" hidden="1">[1]weekly!#REF!</definedName>
    <definedName name="ss" localSheetId="59" hidden="1">[1]weekly!#REF!</definedName>
    <definedName name="ss" localSheetId="83" hidden="1">[1]weekly!#REF!</definedName>
    <definedName name="ss" localSheetId="39" hidden="1">[1]weekly!#REF!</definedName>
    <definedName name="ss" localSheetId="40" hidden="1">[1]weekly!#REF!</definedName>
    <definedName name="ss" localSheetId="95" hidden="1">[1]weekly!#REF!</definedName>
    <definedName name="ss" localSheetId="41" hidden="1">[1]weekly!#REF!</definedName>
    <definedName name="ss" localSheetId="92" hidden="1">[1]weekly!#REF!</definedName>
    <definedName name="ss" localSheetId="42" hidden="1">[1]weekly!#REF!</definedName>
    <definedName name="ss" localSheetId="43" hidden="1">[1]weekly!#REF!</definedName>
    <definedName name="ss" localSheetId="44" hidden="1">[1]weekly!#REF!</definedName>
    <definedName name="ss" localSheetId="34" hidden="1">[1]weekly!#REF!</definedName>
    <definedName name="ss" localSheetId="45" hidden="1">[1]weekly!#REF!</definedName>
    <definedName name="ss" localSheetId="70" hidden="1">[1]weekly!#REF!</definedName>
    <definedName name="ss" localSheetId="46" hidden="1">[1]weekly!#REF!</definedName>
    <definedName name="ss" localSheetId="25" hidden="1">[1]weekly!#REF!</definedName>
    <definedName name="ss" localSheetId="26" hidden="1">[1]weekly!#REF!</definedName>
    <definedName name="ss" localSheetId="47" hidden="1">[1]weekly!#REF!</definedName>
    <definedName name="ss" localSheetId="15" hidden="1">[1]weekly!#REF!</definedName>
    <definedName name="ss" localSheetId="93" hidden="1">[1]weekly!#REF!</definedName>
    <definedName name="ss" localSheetId="3" hidden="1">[1]weekly!#REF!</definedName>
    <definedName name="ss" localSheetId="48" hidden="1">[1]weekly!#REF!</definedName>
    <definedName name="ss" localSheetId="49" hidden="1">[1]weekly!#REF!</definedName>
    <definedName name="ss" localSheetId="50" hidden="1">[1]weekly!#REF!</definedName>
    <definedName name="ss" localSheetId="51" hidden="1">[1]weekly!#REF!</definedName>
    <definedName name="ss" localSheetId="55" hidden="1">[1]weekly!#REF!</definedName>
    <definedName name="ss" localSheetId="52" hidden="1">[1]weekly!#REF!</definedName>
    <definedName name="ss" localSheetId="53" hidden="1">[1]weekly!#REF!</definedName>
    <definedName name="ss" localSheetId="35" hidden="1">[1]weekly!#REF!</definedName>
    <definedName name="ss" localSheetId="60" hidden="1">[1]weekly!#REF!</definedName>
    <definedName name="ss" localSheetId="54" hidden="1">[1]weekly!#REF!</definedName>
    <definedName name="ss" localSheetId="91" hidden="1">[1]weekly!#REF!</definedName>
    <definedName name="ss" localSheetId="88" hidden="1">[1]weekly!#REF!</definedName>
    <definedName name="ss" localSheetId="90" hidden="1">[1]weekly!#REF!</definedName>
    <definedName name="ss" hidden="1">[1]weekly!#REF!</definedName>
    <definedName name="t" localSheetId="61" hidden="1">[1]weekly!#REF!</definedName>
    <definedName name="t" localSheetId="87" hidden="1">[1]weekly!#REF!</definedName>
    <definedName name="t" localSheetId="37" hidden="1">[1]weekly!#REF!</definedName>
    <definedName name="t" localSheetId="62" hidden="1">[1]weekly!#REF!</definedName>
    <definedName name="t" localSheetId="38" hidden="1">[1]weekly!#REF!</definedName>
    <definedName name="t" localSheetId="58" hidden="1">[1]weekly!#REF!</definedName>
    <definedName name="t" localSheetId="57" hidden="1">[1]weekly!#REF!</definedName>
    <definedName name="t" localSheetId="59" hidden="1">[1]weekly!#REF!</definedName>
    <definedName name="t" localSheetId="83" hidden="1">[1]weekly!#REF!</definedName>
    <definedName name="t" localSheetId="39" hidden="1">[1]weekly!#REF!</definedName>
    <definedName name="t" localSheetId="40" hidden="1">[1]weekly!#REF!</definedName>
    <definedName name="t" localSheetId="95" hidden="1">[1]weekly!#REF!</definedName>
    <definedName name="t" localSheetId="41" hidden="1">[1]weekly!#REF!</definedName>
    <definedName name="t" localSheetId="92" hidden="1">[1]weekly!#REF!</definedName>
    <definedName name="t" localSheetId="42" hidden="1">[1]weekly!#REF!</definedName>
    <definedName name="t" localSheetId="43" hidden="1">[1]weekly!#REF!</definedName>
    <definedName name="t" localSheetId="44" hidden="1">[1]weekly!#REF!</definedName>
    <definedName name="t" localSheetId="34" hidden="1">[1]weekly!#REF!</definedName>
    <definedName name="t" localSheetId="45" hidden="1">[1]weekly!#REF!</definedName>
    <definedName name="t" localSheetId="70" hidden="1">[1]weekly!#REF!</definedName>
    <definedName name="t" localSheetId="46" hidden="1">[1]weekly!#REF!</definedName>
    <definedName name="t" localSheetId="25" hidden="1">[1]weekly!#REF!</definedName>
    <definedName name="t" localSheetId="26" hidden="1">[1]weekly!#REF!</definedName>
    <definedName name="t" localSheetId="47" hidden="1">[1]weekly!#REF!</definedName>
    <definedName name="t" localSheetId="15" hidden="1">[1]weekly!#REF!</definedName>
    <definedName name="t" localSheetId="93" hidden="1">[1]weekly!#REF!</definedName>
    <definedName name="t" localSheetId="3" hidden="1">[1]weekly!#REF!</definedName>
    <definedName name="t" localSheetId="48" hidden="1">[1]weekly!#REF!</definedName>
    <definedName name="t" localSheetId="49" hidden="1">[1]weekly!#REF!</definedName>
    <definedName name="t" localSheetId="50" hidden="1">[1]weekly!#REF!</definedName>
    <definedName name="t" localSheetId="51" hidden="1">[1]weekly!#REF!</definedName>
    <definedName name="t" localSheetId="55" hidden="1">[1]weekly!#REF!</definedName>
    <definedName name="t" localSheetId="52" hidden="1">[1]weekly!#REF!</definedName>
    <definedName name="t" localSheetId="53" hidden="1">[1]weekly!#REF!</definedName>
    <definedName name="t" localSheetId="35" hidden="1">[1]weekly!#REF!</definedName>
    <definedName name="t" localSheetId="60" hidden="1">[1]weekly!#REF!</definedName>
    <definedName name="t" localSheetId="54" hidden="1">[1]weekly!#REF!</definedName>
    <definedName name="t" localSheetId="91" hidden="1">[1]weekly!#REF!</definedName>
    <definedName name="t" localSheetId="88" hidden="1">[1]weekly!#REF!</definedName>
    <definedName name="t" localSheetId="90" hidden="1">[1]weekly!#REF!</definedName>
    <definedName name="t" hidden="1">[1]weekly!#REF!</definedName>
    <definedName name="ttt" localSheetId="61" hidden="1">[1]weekly!#REF!</definedName>
    <definedName name="ttt" localSheetId="87" hidden="1">[1]weekly!#REF!</definedName>
    <definedName name="ttt" localSheetId="37" hidden="1">[1]weekly!#REF!</definedName>
    <definedName name="ttt" localSheetId="62" hidden="1">[1]weekly!#REF!</definedName>
    <definedName name="ttt" localSheetId="38" hidden="1">[1]weekly!#REF!</definedName>
    <definedName name="ttt" localSheetId="58" hidden="1">[1]weekly!#REF!</definedName>
    <definedName name="ttt" localSheetId="57" hidden="1">[1]weekly!#REF!</definedName>
    <definedName name="ttt" localSheetId="59" hidden="1">[1]weekly!#REF!</definedName>
    <definedName name="ttt" localSheetId="83" hidden="1">[1]weekly!#REF!</definedName>
    <definedName name="ttt" localSheetId="39" hidden="1">[1]weekly!#REF!</definedName>
    <definedName name="ttt" localSheetId="40" hidden="1">[1]weekly!#REF!</definedName>
    <definedName name="ttt" localSheetId="95" hidden="1">[1]weekly!#REF!</definedName>
    <definedName name="ttt" localSheetId="41" hidden="1">[1]weekly!#REF!</definedName>
    <definedName name="ttt" localSheetId="92" hidden="1">[1]weekly!#REF!</definedName>
    <definedName name="ttt" localSheetId="42" hidden="1">[1]weekly!#REF!</definedName>
    <definedName name="ttt" localSheetId="43" hidden="1">[1]weekly!#REF!</definedName>
    <definedName name="ttt" localSheetId="44" hidden="1">[1]weekly!#REF!</definedName>
    <definedName name="ttt" localSheetId="34" hidden="1">[1]weekly!#REF!</definedName>
    <definedName name="ttt" localSheetId="45" hidden="1">[1]weekly!#REF!</definedName>
    <definedName name="ttt" localSheetId="70" hidden="1">[1]weekly!#REF!</definedName>
    <definedName name="ttt" localSheetId="46" hidden="1">[1]weekly!#REF!</definedName>
    <definedName name="ttt" localSheetId="25" hidden="1">[1]weekly!#REF!</definedName>
    <definedName name="ttt" localSheetId="26" hidden="1">[1]weekly!#REF!</definedName>
    <definedName name="ttt" localSheetId="47" hidden="1">[1]weekly!#REF!</definedName>
    <definedName name="ttt" localSheetId="15" hidden="1">[1]weekly!#REF!</definedName>
    <definedName name="ttt" localSheetId="93" hidden="1">[1]weekly!#REF!</definedName>
    <definedName name="ttt" localSheetId="3" hidden="1">[1]weekly!#REF!</definedName>
    <definedName name="ttt" localSheetId="48" hidden="1">[1]weekly!#REF!</definedName>
    <definedName name="ttt" localSheetId="49" hidden="1">[1]weekly!#REF!</definedName>
    <definedName name="ttt" localSheetId="50" hidden="1">[1]weekly!#REF!</definedName>
    <definedName name="ttt" localSheetId="51" hidden="1">[1]weekly!#REF!</definedName>
    <definedName name="ttt" localSheetId="55" hidden="1">[1]weekly!#REF!</definedName>
    <definedName name="ttt" localSheetId="52" hidden="1">[1]weekly!#REF!</definedName>
    <definedName name="ttt" localSheetId="53" hidden="1">[1]weekly!#REF!</definedName>
    <definedName name="ttt" localSheetId="35" hidden="1">[1]weekly!#REF!</definedName>
    <definedName name="ttt" localSheetId="60" hidden="1">[1]weekly!#REF!</definedName>
    <definedName name="ttt" localSheetId="54" hidden="1">[1]weekly!#REF!</definedName>
    <definedName name="ttt" localSheetId="91" hidden="1">[1]weekly!#REF!</definedName>
    <definedName name="ttt" localSheetId="88" hidden="1">[1]weekly!#REF!</definedName>
    <definedName name="ttt" localSheetId="90" hidden="1">[1]weekly!#REF!</definedName>
    <definedName name="ttt" hidden="1">[1]weekly!#REF!</definedName>
    <definedName name="ttttt" localSheetId="61" hidden="1">[1]weekly!#REF!</definedName>
    <definedName name="ttttt" localSheetId="87" hidden="1">[1]weekly!#REF!</definedName>
    <definedName name="ttttt" localSheetId="37" hidden="1">[1]weekly!#REF!</definedName>
    <definedName name="ttttt" localSheetId="62" hidden="1">[1]weekly!#REF!</definedName>
    <definedName name="ttttt" localSheetId="38" hidden="1">[1]weekly!#REF!</definedName>
    <definedName name="ttttt" localSheetId="58" hidden="1">[1]weekly!#REF!</definedName>
    <definedName name="ttttt" localSheetId="57" hidden="1">[1]weekly!#REF!</definedName>
    <definedName name="ttttt" localSheetId="59" hidden="1">[1]weekly!#REF!</definedName>
    <definedName name="ttttt" localSheetId="83" hidden="1">[1]weekly!#REF!</definedName>
    <definedName name="ttttt" localSheetId="39" hidden="1">[1]weekly!#REF!</definedName>
    <definedName name="ttttt" localSheetId="40" hidden="1">[1]weekly!#REF!</definedName>
    <definedName name="ttttt" localSheetId="95" hidden="1">[1]weekly!#REF!</definedName>
    <definedName name="ttttt" localSheetId="41" hidden="1">[1]weekly!#REF!</definedName>
    <definedName name="ttttt" localSheetId="92" hidden="1">[1]weekly!#REF!</definedName>
    <definedName name="ttttt" localSheetId="42" hidden="1">[1]weekly!#REF!</definedName>
    <definedName name="ttttt" localSheetId="43" hidden="1">[1]weekly!#REF!</definedName>
    <definedName name="ttttt" localSheetId="44" hidden="1">[1]weekly!#REF!</definedName>
    <definedName name="ttttt" localSheetId="34" hidden="1">[1]weekly!#REF!</definedName>
    <definedName name="ttttt" localSheetId="45" hidden="1">[1]weekly!#REF!</definedName>
    <definedName name="ttttt" localSheetId="70" hidden="1">[1]weekly!#REF!</definedName>
    <definedName name="ttttt" localSheetId="46" hidden="1">[1]weekly!#REF!</definedName>
    <definedName name="ttttt" localSheetId="25" hidden="1">[1]weekly!#REF!</definedName>
    <definedName name="ttttt" localSheetId="26" hidden="1">[1]weekly!#REF!</definedName>
    <definedName name="ttttt" localSheetId="47" hidden="1">[1]weekly!#REF!</definedName>
    <definedName name="ttttt" localSheetId="15" hidden="1">[1]weekly!#REF!</definedName>
    <definedName name="ttttt" localSheetId="93" hidden="1">[1]weekly!#REF!</definedName>
    <definedName name="ttttt" localSheetId="48" hidden="1">[1]weekly!#REF!</definedName>
    <definedName name="ttttt" localSheetId="49" hidden="1">[1]weekly!#REF!</definedName>
    <definedName name="ttttt" localSheetId="50" hidden="1">[1]weekly!#REF!</definedName>
    <definedName name="ttttt" localSheetId="51" hidden="1">[1]weekly!#REF!</definedName>
    <definedName name="ttttt" localSheetId="55" hidden="1">[1]weekly!#REF!</definedName>
    <definedName name="ttttt" localSheetId="52" hidden="1">[1]weekly!#REF!</definedName>
    <definedName name="ttttt" localSheetId="53" hidden="1">[1]weekly!#REF!</definedName>
    <definedName name="ttttt" localSheetId="35" hidden="1">[1]weekly!#REF!</definedName>
    <definedName name="ttttt" localSheetId="60" hidden="1">[1]weekly!#REF!</definedName>
    <definedName name="ttttt" localSheetId="54" hidden="1">[1]weekly!#REF!</definedName>
    <definedName name="ttttt" localSheetId="91" hidden="1">[1]weekly!#REF!</definedName>
    <definedName name="ttttt" localSheetId="88" hidden="1">[1]weekly!#REF!</definedName>
    <definedName name="ttttt" localSheetId="90" hidden="1">[1]weekly!#REF!</definedName>
    <definedName name="ttttt" hidden="1">[1]weekly!#REF!</definedName>
    <definedName name="u" localSheetId="61" hidden="1">[1]weekly!#REF!</definedName>
    <definedName name="u" localSheetId="87" hidden="1">[1]weekly!#REF!</definedName>
    <definedName name="u" localSheetId="37" hidden="1">[1]weekly!#REF!</definedName>
    <definedName name="u" localSheetId="62" hidden="1">[1]weekly!#REF!</definedName>
    <definedName name="u" localSheetId="38" hidden="1">[1]weekly!#REF!</definedName>
    <definedName name="u" localSheetId="58" hidden="1">[1]weekly!#REF!</definedName>
    <definedName name="u" localSheetId="57" hidden="1">[1]weekly!#REF!</definedName>
    <definedName name="u" localSheetId="59" hidden="1">[1]weekly!#REF!</definedName>
    <definedName name="u" localSheetId="83" hidden="1">[1]weekly!#REF!</definedName>
    <definedName name="u" localSheetId="39" hidden="1">[1]weekly!#REF!</definedName>
    <definedName name="u" localSheetId="40" hidden="1">[1]weekly!#REF!</definedName>
    <definedName name="u" localSheetId="95" hidden="1">[1]weekly!#REF!</definedName>
    <definedName name="u" localSheetId="41" hidden="1">[1]weekly!#REF!</definedName>
    <definedName name="u" localSheetId="92" hidden="1">[1]weekly!#REF!</definedName>
    <definedName name="u" localSheetId="42" hidden="1">[1]weekly!#REF!</definedName>
    <definedName name="u" localSheetId="43" hidden="1">[1]weekly!#REF!</definedName>
    <definedName name="u" localSheetId="44" hidden="1">[1]weekly!#REF!</definedName>
    <definedName name="u" localSheetId="34" hidden="1">[1]weekly!#REF!</definedName>
    <definedName name="u" localSheetId="45" hidden="1">[1]weekly!#REF!</definedName>
    <definedName name="u" localSheetId="70" hidden="1">[1]weekly!#REF!</definedName>
    <definedName name="u" localSheetId="46" hidden="1">[1]weekly!#REF!</definedName>
    <definedName name="u" localSheetId="25" hidden="1">[1]weekly!#REF!</definedName>
    <definedName name="u" localSheetId="26" hidden="1">[1]weekly!#REF!</definedName>
    <definedName name="u" localSheetId="47" hidden="1">[1]weekly!#REF!</definedName>
    <definedName name="u" localSheetId="15" hidden="1">[1]weekly!#REF!</definedName>
    <definedName name="u" localSheetId="93" hidden="1">[1]weekly!#REF!</definedName>
    <definedName name="u" localSheetId="48" hidden="1">[1]weekly!#REF!</definedName>
    <definedName name="u" localSheetId="49" hidden="1">[1]weekly!#REF!</definedName>
    <definedName name="u" localSheetId="50" hidden="1">[1]weekly!#REF!</definedName>
    <definedName name="u" localSheetId="51" hidden="1">[1]weekly!#REF!</definedName>
    <definedName name="u" localSheetId="55" hidden="1">[1]weekly!#REF!</definedName>
    <definedName name="u" localSheetId="52" hidden="1">[1]weekly!#REF!</definedName>
    <definedName name="u" localSheetId="53" hidden="1">[1]weekly!#REF!</definedName>
    <definedName name="u" localSheetId="35" hidden="1">[1]weekly!#REF!</definedName>
    <definedName name="u" localSheetId="60" hidden="1">[1]weekly!#REF!</definedName>
    <definedName name="u" localSheetId="54" hidden="1">[1]weekly!#REF!</definedName>
    <definedName name="u" localSheetId="91" hidden="1">[1]weekly!#REF!</definedName>
    <definedName name="u" localSheetId="88" hidden="1">[1]weekly!#REF!</definedName>
    <definedName name="u" localSheetId="90" hidden="1">[1]weekly!#REF!</definedName>
    <definedName name="u" hidden="1">[1]weekly!#REF!</definedName>
    <definedName name="uuu" localSheetId="61" hidden="1">[1]weekly!#REF!</definedName>
    <definedName name="uuu" localSheetId="87" hidden="1">[1]weekly!#REF!</definedName>
    <definedName name="uuu" localSheetId="37" hidden="1">[1]weekly!#REF!</definedName>
    <definedName name="uuu" localSheetId="62" hidden="1">[1]weekly!#REF!</definedName>
    <definedName name="uuu" localSheetId="38" hidden="1">[1]weekly!#REF!</definedName>
    <definedName name="uuu" localSheetId="58" hidden="1">[1]weekly!#REF!</definedName>
    <definedName name="uuu" localSheetId="57" hidden="1">[1]weekly!#REF!</definedName>
    <definedName name="uuu" localSheetId="59" hidden="1">[1]weekly!#REF!</definedName>
    <definedName name="uuu" localSheetId="83" hidden="1">[1]weekly!#REF!</definedName>
    <definedName name="uuu" localSheetId="39" hidden="1">[1]weekly!#REF!</definedName>
    <definedName name="uuu" localSheetId="40" hidden="1">[1]weekly!#REF!</definedName>
    <definedName name="uuu" localSheetId="95" hidden="1">[1]weekly!#REF!</definedName>
    <definedName name="uuu" localSheetId="41" hidden="1">[1]weekly!#REF!</definedName>
    <definedName name="uuu" localSheetId="92" hidden="1">[1]weekly!#REF!</definedName>
    <definedName name="uuu" localSheetId="42" hidden="1">[1]weekly!#REF!</definedName>
    <definedName name="uuu" localSheetId="43" hidden="1">[1]weekly!#REF!</definedName>
    <definedName name="uuu" localSheetId="44" hidden="1">[1]weekly!#REF!</definedName>
    <definedName name="uuu" localSheetId="34" hidden="1">[1]weekly!#REF!</definedName>
    <definedName name="uuu" localSheetId="45" hidden="1">[1]weekly!#REF!</definedName>
    <definedName name="uuu" localSheetId="70" hidden="1">[1]weekly!#REF!</definedName>
    <definedName name="uuu" localSheetId="46" hidden="1">[1]weekly!#REF!</definedName>
    <definedName name="uuu" localSheetId="25" hidden="1">[1]weekly!#REF!</definedName>
    <definedName name="uuu" localSheetId="26" hidden="1">[1]weekly!#REF!</definedName>
    <definedName name="uuu" localSheetId="47" hidden="1">[1]weekly!#REF!</definedName>
    <definedName name="uuu" localSheetId="15" hidden="1">[1]weekly!#REF!</definedName>
    <definedName name="uuu" localSheetId="93" hidden="1">[1]weekly!#REF!</definedName>
    <definedName name="uuu" localSheetId="48" hidden="1">[1]weekly!#REF!</definedName>
    <definedName name="uuu" localSheetId="49" hidden="1">[1]weekly!#REF!</definedName>
    <definedName name="uuu" localSheetId="50" hidden="1">[1]weekly!#REF!</definedName>
    <definedName name="uuu" localSheetId="51" hidden="1">[1]weekly!#REF!</definedName>
    <definedName name="uuu" localSheetId="55" hidden="1">[1]weekly!#REF!</definedName>
    <definedName name="uuu" localSheetId="52" hidden="1">[1]weekly!#REF!</definedName>
    <definedName name="uuu" localSheetId="53" hidden="1">[1]weekly!#REF!</definedName>
    <definedName name="uuu" localSheetId="35" hidden="1">[1]weekly!#REF!</definedName>
    <definedName name="uuu" localSheetId="60" hidden="1">[1]weekly!#REF!</definedName>
    <definedName name="uuu" localSheetId="54" hidden="1">[1]weekly!#REF!</definedName>
    <definedName name="uuu" localSheetId="91" hidden="1">[1]weekly!#REF!</definedName>
    <definedName name="uuu" localSheetId="88" hidden="1">[1]weekly!#REF!</definedName>
    <definedName name="uuu" localSheetId="90" hidden="1">[1]weekly!#REF!</definedName>
    <definedName name="uuu" hidden="1">[1]weekly!#REF!</definedName>
    <definedName name="uuuuu" localSheetId="61" hidden="1">[1]weekly!#REF!</definedName>
    <definedName name="uuuuu" localSheetId="87" hidden="1">[1]weekly!#REF!</definedName>
    <definedName name="uuuuu" localSheetId="37" hidden="1">[1]weekly!#REF!</definedName>
    <definedName name="uuuuu" localSheetId="62" hidden="1">[1]weekly!#REF!</definedName>
    <definedName name="uuuuu" localSheetId="38" hidden="1">[1]weekly!#REF!</definedName>
    <definedName name="uuuuu" localSheetId="58" hidden="1">[1]weekly!#REF!</definedName>
    <definedName name="uuuuu" localSheetId="57" hidden="1">[1]weekly!#REF!</definedName>
    <definedName name="uuuuu" localSheetId="59" hidden="1">[1]weekly!#REF!</definedName>
    <definedName name="uuuuu" localSheetId="83" hidden="1">[1]weekly!#REF!</definedName>
    <definedName name="uuuuu" localSheetId="39" hidden="1">[1]weekly!#REF!</definedName>
    <definedName name="uuuuu" localSheetId="40" hidden="1">[1]weekly!#REF!</definedName>
    <definedName name="uuuuu" localSheetId="95" hidden="1">[1]weekly!#REF!</definedName>
    <definedName name="uuuuu" localSheetId="41" hidden="1">[1]weekly!#REF!</definedName>
    <definedName name="uuuuu" localSheetId="92" hidden="1">[1]weekly!#REF!</definedName>
    <definedName name="uuuuu" localSheetId="42" hidden="1">[1]weekly!#REF!</definedName>
    <definedName name="uuuuu" localSheetId="43" hidden="1">[1]weekly!#REF!</definedName>
    <definedName name="uuuuu" localSheetId="44" hidden="1">[1]weekly!#REF!</definedName>
    <definedName name="uuuuu" localSheetId="34" hidden="1">[1]weekly!#REF!</definedName>
    <definedName name="uuuuu" localSheetId="45" hidden="1">[1]weekly!#REF!</definedName>
    <definedName name="uuuuu" localSheetId="70" hidden="1">[1]weekly!#REF!</definedName>
    <definedName name="uuuuu" localSheetId="46" hidden="1">[1]weekly!#REF!</definedName>
    <definedName name="uuuuu" localSheetId="25" hidden="1">[1]weekly!#REF!</definedName>
    <definedName name="uuuuu" localSheetId="26" hidden="1">[1]weekly!#REF!</definedName>
    <definedName name="uuuuu" localSheetId="47" hidden="1">[1]weekly!#REF!</definedName>
    <definedName name="uuuuu" localSheetId="15" hidden="1">[1]weekly!#REF!</definedName>
    <definedName name="uuuuu" localSheetId="93" hidden="1">[1]weekly!#REF!</definedName>
    <definedName name="uuuuu" localSheetId="48" hidden="1">[1]weekly!#REF!</definedName>
    <definedName name="uuuuu" localSheetId="49" hidden="1">[1]weekly!#REF!</definedName>
    <definedName name="uuuuu" localSheetId="50" hidden="1">[1]weekly!#REF!</definedName>
    <definedName name="uuuuu" localSheetId="51" hidden="1">[1]weekly!#REF!</definedName>
    <definedName name="uuuuu" localSheetId="55" hidden="1">[1]weekly!#REF!</definedName>
    <definedName name="uuuuu" localSheetId="52" hidden="1">[1]weekly!#REF!</definedName>
    <definedName name="uuuuu" localSheetId="53" hidden="1">[1]weekly!#REF!</definedName>
    <definedName name="uuuuu" localSheetId="35" hidden="1">[1]weekly!#REF!</definedName>
    <definedName name="uuuuu" localSheetId="60" hidden="1">[1]weekly!#REF!</definedName>
    <definedName name="uuuuu" localSheetId="54" hidden="1">[1]weekly!#REF!</definedName>
    <definedName name="uuuuu" localSheetId="91" hidden="1">[1]weekly!#REF!</definedName>
    <definedName name="uuuuu" localSheetId="88" hidden="1">[1]weekly!#REF!</definedName>
    <definedName name="uuuuu" localSheetId="90" hidden="1">[1]weekly!#REF!</definedName>
    <definedName name="uuuuu" hidden="1">[1]weekly!#REF!</definedName>
    <definedName name="v" localSheetId="61" hidden="1">[1]weekly!#REF!</definedName>
    <definedName name="v" localSheetId="87" hidden="1">[1]weekly!#REF!</definedName>
    <definedName name="v" localSheetId="37" hidden="1">[1]weekly!#REF!</definedName>
    <definedName name="v" localSheetId="62" hidden="1">[1]weekly!#REF!</definedName>
    <definedName name="v" localSheetId="38" hidden="1">[1]weekly!#REF!</definedName>
    <definedName name="v" localSheetId="58" hidden="1">[1]weekly!#REF!</definedName>
    <definedName name="v" localSheetId="57" hidden="1">[1]weekly!#REF!</definedName>
    <definedName name="v" localSheetId="59" hidden="1">[1]weekly!#REF!</definedName>
    <definedName name="v" localSheetId="83" hidden="1">[1]weekly!#REF!</definedName>
    <definedName name="v" localSheetId="39" hidden="1">[1]weekly!#REF!</definedName>
    <definedName name="v" localSheetId="40" hidden="1">[1]weekly!#REF!</definedName>
    <definedName name="v" localSheetId="95" hidden="1">[1]weekly!#REF!</definedName>
    <definedName name="v" localSheetId="41" hidden="1">[1]weekly!#REF!</definedName>
    <definedName name="v" localSheetId="92" hidden="1">[1]weekly!#REF!</definedName>
    <definedName name="v" localSheetId="42" hidden="1">[1]weekly!#REF!</definedName>
    <definedName name="v" localSheetId="43" hidden="1">[1]weekly!#REF!</definedName>
    <definedName name="v" localSheetId="44" hidden="1">[1]weekly!#REF!</definedName>
    <definedName name="v" localSheetId="34" hidden="1">[1]weekly!#REF!</definedName>
    <definedName name="v" localSheetId="45" hidden="1">[1]weekly!#REF!</definedName>
    <definedName name="v" localSheetId="70" hidden="1">[1]weekly!#REF!</definedName>
    <definedName name="v" localSheetId="46" hidden="1">[1]weekly!#REF!</definedName>
    <definedName name="v" localSheetId="25" hidden="1">[1]weekly!#REF!</definedName>
    <definedName name="v" localSheetId="26" hidden="1">[1]weekly!#REF!</definedName>
    <definedName name="v" localSheetId="47" hidden="1">[1]weekly!#REF!</definedName>
    <definedName name="v" localSheetId="15" hidden="1">[1]weekly!#REF!</definedName>
    <definedName name="v" localSheetId="93" hidden="1">[1]weekly!#REF!</definedName>
    <definedName name="v" localSheetId="48" hidden="1">[1]weekly!#REF!</definedName>
    <definedName name="v" localSheetId="49" hidden="1">[1]weekly!#REF!</definedName>
    <definedName name="v" localSheetId="50" hidden="1">[1]weekly!#REF!</definedName>
    <definedName name="v" localSheetId="51" hidden="1">[1]weekly!#REF!</definedName>
    <definedName name="v" localSheetId="55" hidden="1">[1]weekly!#REF!</definedName>
    <definedName name="v" localSheetId="52" hidden="1">[1]weekly!#REF!</definedName>
    <definedName name="v" localSheetId="53" hidden="1">[1]weekly!#REF!</definedName>
    <definedName name="v" localSheetId="35" hidden="1">[1]weekly!#REF!</definedName>
    <definedName name="v" localSheetId="60" hidden="1">[1]weekly!#REF!</definedName>
    <definedName name="v" localSheetId="54" hidden="1">[1]weekly!#REF!</definedName>
    <definedName name="v" localSheetId="91" hidden="1">[1]weekly!#REF!</definedName>
    <definedName name="v" localSheetId="88" hidden="1">[1]weekly!#REF!</definedName>
    <definedName name="v" localSheetId="90" hidden="1">[1]weekly!#REF!</definedName>
    <definedName name="v" hidden="1">[1]weekly!#REF!</definedName>
    <definedName name="vv" localSheetId="61" hidden="1">[1]weekly!#REF!</definedName>
    <definedName name="vv" localSheetId="87" hidden="1">[1]weekly!#REF!</definedName>
    <definedName name="vv" localSheetId="37" hidden="1">[1]weekly!#REF!</definedName>
    <definedName name="vv" localSheetId="62" hidden="1">[1]weekly!#REF!</definedName>
    <definedName name="vv" localSheetId="38" hidden="1">[1]weekly!#REF!</definedName>
    <definedName name="vv" localSheetId="58" hidden="1">[1]weekly!#REF!</definedName>
    <definedName name="vv" localSheetId="57" hidden="1">[1]weekly!#REF!</definedName>
    <definedName name="vv" localSheetId="59" hidden="1">[1]weekly!#REF!</definedName>
    <definedName name="vv" localSheetId="83" hidden="1">[1]weekly!#REF!</definedName>
    <definedName name="vv" localSheetId="39" hidden="1">[1]weekly!#REF!</definedName>
    <definedName name="vv" localSheetId="40" hidden="1">[1]weekly!#REF!</definedName>
    <definedName name="vv" localSheetId="95" hidden="1">[1]weekly!#REF!</definedName>
    <definedName name="vv" localSheetId="41" hidden="1">[1]weekly!#REF!</definedName>
    <definedName name="vv" localSheetId="92" hidden="1">[1]weekly!#REF!</definedName>
    <definedName name="vv" localSheetId="42" hidden="1">[1]weekly!#REF!</definedName>
    <definedName name="vv" localSheetId="43" hidden="1">[1]weekly!#REF!</definedName>
    <definedName name="vv" localSheetId="44" hidden="1">[1]weekly!#REF!</definedName>
    <definedName name="vv" localSheetId="34" hidden="1">[1]weekly!#REF!</definedName>
    <definedName name="vv" localSheetId="45" hidden="1">[1]weekly!#REF!</definedName>
    <definedName name="vv" localSheetId="70" hidden="1">[1]weekly!#REF!</definedName>
    <definedName name="vv" localSheetId="46" hidden="1">[1]weekly!#REF!</definedName>
    <definedName name="vv" localSheetId="25" hidden="1">[1]weekly!#REF!</definedName>
    <definedName name="vv" localSheetId="26" hidden="1">[1]weekly!#REF!</definedName>
    <definedName name="vv" localSheetId="47" hidden="1">[1]weekly!#REF!</definedName>
    <definedName name="vv" localSheetId="15" hidden="1">[1]weekly!#REF!</definedName>
    <definedName name="vv" localSheetId="93" hidden="1">[1]weekly!#REF!</definedName>
    <definedName name="vv" localSheetId="48" hidden="1">[1]weekly!#REF!</definedName>
    <definedName name="vv" localSheetId="49" hidden="1">[1]weekly!#REF!</definedName>
    <definedName name="vv" localSheetId="50" hidden="1">[1]weekly!#REF!</definedName>
    <definedName name="vv" localSheetId="51" hidden="1">[1]weekly!#REF!</definedName>
    <definedName name="vv" localSheetId="55" hidden="1">[1]weekly!#REF!</definedName>
    <definedName name="vv" localSheetId="52" hidden="1">[1]weekly!#REF!</definedName>
    <definedName name="vv" localSheetId="53" hidden="1">[1]weekly!#REF!</definedName>
    <definedName name="vv" localSheetId="35" hidden="1">[1]weekly!#REF!</definedName>
    <definedName name="vv" localSheetId="60" hidden="1">[1]weekly!#REF!</definedName>
    <definedName name="vv" localSheetId="54" hidden="1">[1]weekly!#REF!</definedName>
    <definedName name="vv" localSheetId="91" hidden="1">[1]weekly!#REF!</definedName>
    <definedName name="vv" localSheetId="88" hidden="1">[1]weekly!#REF!</definedName>
    <definedName name="vv" localSheetId="90" hidden="1">[1]weekly!#REF!</definedName>
    <definedName name="vv" hidden="1">[1]weekly!#REF!</definedName>
    <definedName name="vvvv" localSheetId="61" hidden="1">[1]weekly!#REF!</definedName>
    <definedName name="vvvv" localSheetId="87" hidden="1">[1]weekly!#REF!</definedName>
    <definedName name="vvvv" localSheetId="37" hidden="1">[1]weekly!#REF!</definedName>
    <definedName name="vvvv" localSheetId="62" hidden="1">[1]weekly!#REF!</definedName>
    <definedName name="vvvv" localSheetId="38" hidden="1">[1]weekly!#REF!</definedName>
    <definedName name="vvvv" localSheetId="58" hidden="1">[1]weekly!#REF!</definedName>
    <definedName name="vvvv" localSheetId="57" hidden="1">[1]weekly!#REF!</definedName>
    <definedName name="vvvv" localSheetId="59" hidden="1">[1]weekly!#REF!</definedName>
    <definedName name="vvvv" localSheetId="83" hidden="1">[1]weekly!#REF!</definedName>
    <definedName name="vvvv" localSheetId="39" hidden="1">[1]weekly!#REF!</definedName>
    <definedName name="vvvv" localSheetId="40" hidden="1">[1]weekly!#REF!</definedName>
    <definedName name="vvvv" localSheetId="95" hidden="1">[1]weekly!#REF!</definedName>
    <definedName name="vvvv" localSheetId="41" hidden="1">[1]weekly!#REF!</definedName>
    <definedName name="vvvv" localSheetId="92" hidden="1">[1]weekly!#REF!</definedName>
    <definedName name="vvvv" localSheetId="42" hidden="1">[1]weekly!#REF!</definedName>
    <definedName name="vvvv" localSheetId="43" hidden="1">[1]weekly!#REF!</definedName>
    <definedName name="vvvv" localSheetId="44" hidden="1">[1]weekly!#REF!</definedName>
    <definedName name="vvvv" localSheetId="34" hidden="1">[1]weekly!#REF!</definedName>
    <definedName name="vvvv" localSheetId="45" hidden="1">[1]weekly!#REF!</definedName>
    <definedName name="vvvv" localSheetId="70" hidden="1">[1]weekly!#REF!</definedName>
    <definedName name="vvvv" localSheetId="46" hidden="1">[1]weekly!#REF!</definedName>
    <definedName name="vvvv" localSheetId="25" hidden="1">[1]weekly!#REF!</definedName>
    <definedName name="vvvv" localSheetId="26" hidden="1">[1]weekly!#REF!</definedName>
    <definedName name="vvvv" localSheetId="47" hidden="1">[1]weekly!#REF!</definedName>
    <definedName name="vvvv" localSheetId="15" hidden="1">[1]weekly!#REF!</definedName>
    <definedName name="vvvv" localSheetId="93" hidden="1">[1]weekly!#REF!</definedName>
    <definedName name="vvvv" localSheetId="48" hidden="1">[1]weekly!#REF!</definedName>
    <definedName name="vvvv" localSheetId="49" hidden="1">[1]weekly!#REF!</definedName>
    <definedName name="vvvv" localSheetId="50" hidden="1">[1]weekly!#REF!</definedName>
    <definedName name="vvvv" localSheetId="51" hidden="1">[1]weekly!#REF!</definedName>
    <definedName name="vvvv" localSheetId="55" hidden="1">[1]weekly!#REF!</definedName>
    <definedName name="vvvv" localSheetId="52" hidden="1">[1]weekly!#REF!</definedName>
    <definedName name="vvvv" localSheetId="53" hidden="1">[1]weekly!#REF!</definedName>
    <definedName name="vvvv" localSheetId="35" hidden="1">[1]weekly!#REF!</definedName>
    <definedName name="vvvv" localSheetId="60" hidden="1">[1]weekly!#REF!</definedName>
    <definedName name="vvvv" localSheetId="54" hidden="1">[1]weekly!#REF!</definedName>
    <definedName name="vvvv" localSheetId="91" hidden="1">[1]weekly!#REF!</definedName>
    <definedName name="vvvv" localSheetId="88" hidden="1">[1]weekly!#REF!</definedName>
    <definedName name="vvvv" localSheetId="90" hidden="1">[1]weekly!#REF!</definedName>
    <definedName name="vvvv" hidden="1">[1]weekly!#REF!</definedName>
    <definedName name="w" localSheetId="61" hidden="1">[1]weekly!#REF!</definedName>
    <definedName name="w" localSheetId="87" hidden="1">[1]weekly!#REF!</definedName>
    <definedName name="w" localSheetId="37" hidden="1">[1]weekly!#REF!</definedName>
    <definedName name="w" localSheetId="62" hidden="1">[1]weekly!#REF!</definedName>
    <definedName name="w" localSheetId="38" hidden="1">[1]weekly!#REF!</definedName>
    <definedName name="w" localSheetId="58" hidden="1">[1]weekly!#REF!</definedName>
    <definedName name="w" localSheetId="57" hidden="1">[1]weekly!#REF!</definedName>
    <definedName name="w" localSheetId="59" hidden="1">[1]weekly!#REF!</definedName>
    <definedName name="w" localSheetId="83" hidden="1">[1]weekly!#REF!</definedName>
    <definedName name="w" localSheetId="39" hidden="1">[1]weekly!#REF!</definedName>
    <definedName name="w" localSheetId="40" hidden="1">[1]weekly!#REF!</definedName>
    <definedName name="w" localSheetId="95" hidden="1">[1]weekly!#REF!</definedName>
    <definedName name="w" localSheetId="41" hidden="1">[1]weekly!#REF!</definedName>
    <definedName name="w" localSheetId="92" hidden="1">[1]weekly!#REF!</definedName>
    <definedName name="w" localSheetId="42" hidden="1">[1]weekly!#REF!</definedName>
    <definedName name="w" localSheetId="43" hidden="1">[1]weekly!#REF!</definedName>
    <definedName name="w" localSheetId="44" hidden="1">[1]weekly!#REF!</definedName>
    <definedName name="w" localSheetId="34" hidden="1">[1]weekly!#REF!</definedName>
    <definedName name="w" localSheetId="45" hidden="1">[1]weekly!#REF!</definedName>
    <definedName name="w" localSheetId="70" hidden="1">[1]weekly!#REF!</definedName>
    <definedName name="w" localSheetId="46" hidden="1">[1]weekly!#REF!</definedName>
    <definedName name="w" localSheetId="25" hidden="1">[1]weekly!#REF!</definedName>
    <definedName name="w" localSheetId="26" hidden="1">[1]weekly!#REF!</definedName>
    <definedName name="w" localSheetId="47" hidden="1">[1]weekly!#REF!</definedName>
    <definedName name="w" localSheetId="15" hidden="1">[1]weekly!#REF!</definedName>
    <definedName name="w" localSheetId="93" hidden="1">[1]weekly!#REF!</definedName>
    <definedName name="w" localSheetId="48" hidden="1">[1]weekly!#REF!</definedName>
    <definedName name="w" localSheetId="49" hidden="1">[1]weekly!#REF!</definedName>
    <definedName name="w" localSheetId="50" hidden="1">[1]weekly!#REF!</definedName>
    <definedName name="w" localSheetId="51" hidden="1">[1]weekly!#REF!</definedName>
    <definedName name="w" localSheetId="55" hidden="1">[1]weekly!#REF!</definedName>
    <definedName name="w" localSheetId="52" hidden="1">[1]weekly!#REF!</definedName>
    <definedName name="w" localSheetId="53" hidden="1">[1]weekly!#REF!</definedName>
    <definedName name="w" localSheetId="35" hidden="1">[1]weekly!#REF!</definedName>
    <definedName name="w" localSheetId="60" hidden="1">[1]weekly!#REF!</definedName>
    <definedName name="w" localSheetId="54" hidden="1">[1]weekly!#REF!</definedName>
    <definedName name="w" localSheetId="91" hidden="1">[1]weekly!#REF!</definedName>
    <definedName name="w" localSheetId="88" hidden="1">[1]weekly!#REF!</definedName>
    <definedName name="w" localSheetId="90" hidden="1">[1]weekly!#REF!</definedName>
    <definedName name="w" hidden="1">[1]weekly!#REF!</definedName>
    <definedName name="ww" localSheetId="61" hidden="1">[1]weekly!#REF!</definedName>
    <definedName name="ww" localSheetId="87" hidden="1">[1]weekly!#REF!</definedName>
    <definedName name="ww" localSheetId="37" hidden="1">[1]weekly!#REF!</definedName>
    <definedName name="ww" localSheetId="62" hidden="1">[1]weekly!#REF!</definedName>
    <definedName name="ww" localSheetId="38" hidden="1">[1]weekly!#REF!</definedName>
    <definedName name="ww" localSheetId="18" hidden="1">[1]weekly!#REF!</definedName>
    <definedName name="ww" localSheetId="56" hidden="1">[1]weekly!#REF!</definedName>
    <definedName name="ww" localSheetId="58" hidden="1">[1]weekly!#REF!</definedName>
    <definedName name="ww" localSheetId="16" hidden="1">[1]weekly!#REF!</definedName>
    <definedName name="ww" localSheetId="57" hidden="1">[1]weekly!#REF!</definedName>
    <definedName name="ww" localSheetId="59" hidden="1">[1]weekly!#REF!</definedName>
    <definedName name="ww" localSheetId="20" hidden="1">[1]weekly!#REF!</definedName>
    <definedName name="ww" localSheetId="83" hidden="1">[1]weekly!#REF!</definedName>
    <definedName name="ww" localSheetId="39" hidden="1">[1]weekly!#REF!</definedName>
    <definedName name="ww" localSheetId="40" hidden="1">[1]weekly!#REF!</definedName>
    <definedName name="ww" localSheetId="95" hidden="1">[1]weekly!#REF!</definedName>
    <definedName name="ww" localSheetId="41" hidden="1">[1]weekly!#REF!</definedName>
    <definedName name="ww" localSheetId="92" hidden="1">[1]weekly!#REF!</definedName>
    <definedName name="ww" localSheetId="42" hidden="1">[1]weekly!#REF!</definedName>
    <definedName name="ww" localSheetId="43" hidden="1">[1]weekly!#REF!</definedName>
    <definedName name="ww" localSheetId="44" hidden="1">[1]weekly!#REF!</definedName>
    <definedName name="ww" localSheetId="34" hidden="1">[1]weekly!#REF!</definedName>
    <definedName name="ww" localSheetId="45" hidden="1">[1]weekly!#REF!</definedName>
    <definedName name="ww" localSheetId="70" hidden="1">[1]weekly!#REF!</definedName>
    <definedName name="ww" localSheetId="46" hidden="1">[1]weekly!#REF!</definedName>
    <definedName name="ww" localSheetId="25" hidden="1">[1]weekly!#REF!</definedName>
    <definedName name="ww" localSheetId="26" hidden="1">[1]weekly!#REF!</definedName>
    <definedName name="ww" localSheetId="47" hidden="1">[1]weekly!#REF!</definedName>
    <definedName name="ww" localSheetId="15" hidden="1">[1]weekly!#REF!</definedName>
    <definedName name="ww" localSheetId="93" hidden="1">[1]weekly!#REF!</definedName>
    <definedName name="ww" localSheetId="3" hidden="1">[1]weekly!#REF!</definedName>
    <definedName name="ww" localSheetId="48" hidden="1">[1]weekly!#REF!</definedName>
    <definedName name="ww" localSheetId="49" hidden="1">[1]weekly!#REF!</definedName>
    <definedName name="ww" localSheetId="50" hidden="1">[1]weekly!#REF!</definedName>
    <definedName name="ww" localSheetId="51" hidden="1">[1]weekly!#REF!</definedName>
    <definedName name="ww" localSheetId="55" hidden="1">[1]weekly!#REF!</definedName>
    <definedName name="ww" localSheetId="52" hidden="1">[1]weekly!#REF!</definedName>
    <definedName name="ww" localSheetId="53" hidden="1">[1]weekly!#REF!</definedName>
    <definedName name="ww" localSheetId="35" hidden="1">[1]weekly!#REF!</definedName>
    <definedName name="ww" localSheetId="60" hidden="1">[1]weekly!#REF!</definedName>
    <definedName name="ww" localSheetId="22" hidden="1">[1]weekly!#REF!</definedName>
    <definedName name="ww" localSheetId="23" hidden="1">[1]weekly!#REF!</definedName>
    <definedName name="ww" localSheetId="54" hidden="1">[1]weekly!#REF!</definedName>
    <definedName name="ww" localSheetId="91" hidden="1">[1]weekly!#REF!</definedName>
    <definedName name="ww" localSheetId="88" hidden="1">[1]weekly!#REF!</definedName>
    <definedName name="ww" localSheetId="90" hidden="1">[1]weekly!#REF!</definedName>
    <definedName name="ww" hidden="1">[1]weekly!#REF!</definedName>
    <definedName name="wwww" localSheetId="61" hidden="1">[1]weekly!#REF!</definedName>
    <definedName name="wwww" localSheetId="87" hidden="1">[1]weekly!#REF!</definedName>
    <definedName name="wwww" localSheetId="37" hidden="1">[1]weekly!#REF!</definedName>
    <definedName name="wwww" localSheetId="62" hidden="1">[1]weekly!#REF!</definedName>
    <definedName name="wwww" localSheetId="38" hidden="1">[1]weekly!#REF!</definedName>
    <definedName name="wwww" localSheetId="18" hidden="1">[1]weekly!#REF!</definedName>
    <definedName name="wwww" localSheetId="56" hidden="1">[1]weekly!#REF!</definedName>
    <definedName name="wwww" localSheetId="58" hidden="1">[1]weekly!#REF!</definedName>
    <definedName name="wwww" localSheetId="16" hidden="1">[1]weekly!#REF!</definedName>
    <definedName name="wwww" localSheetId="57" hidden="1">[1]weekly!#REF!</definedName>
    <definedName name="wwww" localSheetId="59" hidden="1">[1]weekly!#REF!</definedName>
    <definedName name="wwww" localSheetId="20" hidden="1">[1]weekly!#REF!</definedName>
    <definedName name="wwww" localSheetId="83" hidden="1">[1]weekly!#REF!</definedName>
    <definedName name="wwww" localSheetId="39" hidden="1">[1]weekly!#REF!</definedName>
    <definedName name="wwww" localSheetId="40" hidden="1">[1]weekly!#REF!</definedName>
    <definedName name="wwww" localSheetId="95" hidden="1">[1]weekly!#REF!</definedName>
    <definedName name="wwww" localSheetId="41" hidden="1">[1]weekly!#REF!</definedName>
    <definedName name="wwww" localSheetId="92" hidden="1">[1]weekly!#REF!</definedName>
    <definedName name="wwww" localSheetId="42" hidden="1">[1]weekly!#REF!</definedName>
    <definedName name="wwww" localSheetId="43" hidden="1">[1]weekly!#REF!</definedName>
    <definedName name="wwww" localSheetId="44" hidden="1">[1]weekly!#REF!</definedName>
    <definedName name="wwww" localSheetId="34" hidden="1">[1]weekly!#REF!</definedName>
    <definedName name="wwww" localSheetId="45" hidden="1">[1]weekly!#REF!</definedName>
    <definedName name="wwww" localSheetId="70" hidden="1">[1]weekly!#REF!</definedName>
    <definedName name="wwww" localSheetId="46" hidden="1">[1]weekly!#REF!</definedName>
    <definedName name="wwww" localSheetId="25" hidden="1">[1]weekly!#REF!</definedName>
    <definedName name="wwww" localSheetId="26" hidden="1">[1]weekly!#REF!</definedName>
    <definedName name="wwww" localSheetId="47" hidden="1">[1]weekly!#REF!</definedName>
    <definedName name="wwww" localSheetId="15" hidden="1">[1]weekly!#REF!</definedName>
    <definedName name="wwww" localSheetId="93" hidden="1">[1]weekly!#REF!</definedName>
    <definedName name="wwww" localSheetId="48" hidden="1">[1]weekly!#REF!</definedName>
    <definedName name="wwww" localSheetId="49" hidden="1">[1]weekly!#REF!</definedName>
    <definedName name="wwww" localSheetId="50" hidden="1">[1]weekly!#REF!</definedName>
    <definedName name="wwww" localSheetId="51" hidden="1">[1]weekly!#REF!</definedName>
    <definedName name="wwww" localSheetId="55" hidden="1">[1]weekly!#REF!</definedName>
    <definedName name="wwww" localSheetId="52" hidden="1">[1]weekly!#REF!</definedName>
    <definedName name="wwww" localSheetId="53" hidden="1">[1]weekly!#REF!</definedName>
    <definedName name="wwww" localSheetId="35" hidden="1">[1]weekly!#REF!</definedName>
    <definedName name="wwww" localSheetId="60" hidden="1">[1]weekly!#REF!</definedName>
    <definedName name="wwww" localSheetId="22" hidden="1">[1]weekly!#REF!</definedName>
    <definedName name="wwww" localSheetId="23" hidden="1">[1]weekly!#REF!</definedName>
    <definedName name="wwww" localSheetId="54" hidden="1">[1]weekly!#REF!</definedName>
    <definedName name="wwww" localSheetId="91" hidden="1">[1]weekly!#REF!</definedName>
    <definedName name="wwww" localSheetId="88" hidden="1">[1]weekly!#REF!</definedName>
    <definedName name="wwww" localSheetId="90" hidden="1">[1]weekly!#REF!</definedName>
    <definedName name="wwww" hidden="1">[1]weekly!#REF!</definedName>
    <definedName name="wwwwwwwwww" localSheetId="61" hidden="1">[1]weekly!#REF!</definedName>
    <definedName name="wwwwwwwwww" localSheetId="87" hidden="1">[1]weekly!#REF!</definedName>
    <definedName name="wwwwwwwwww" localSheetId="37" hidden="1">[1]weekly!#REF!</definedName>
    <definedName name="wwwwwwwwww" localSheetId="62" hidden="1">[1]weekly!#REF!</definedName>
    <definedName name="wwwwwwwwww" localSheetId="38" hidden="1">[1]weekly!#REF!</definedName>
    <definedName name="wwwwwwwwww" localSheetId="18" hidden="1">[1]weekly!#REF!</definedName>
    <definedName name="wwwwwwwwww" localSheetId="56" hidden="1">[1]weekly!#REF!</definedName>
    <definedName name="wwwwwwwwww" localSheetId="58" hidden="1">[1]weekly!#REF!</definedName>
    <definedName name="wwwwwwwwww" localSheetId="16" hidden="1">[1]weekly!#REF!</definedName>
    <definedName name="wwwwwwwwww" localSheetId="57" hidden="1">[1]weekly!#REF!</definedName>
    <definedName name="wwwwwwwwww" localSheetId="59" hidden="1">[1]weekly!#REF!</definedName>
    <definedName name="wwwwwwwwww" localSheetId="20" hidden="1">[1]weekly!#REF!</definedName>
    <definedName name="wwwwwwwwww" localSheetId="83" hidden="1">[1]weekly!#REF!</definedName>
    <definedName name="wwwwwwwwww" localSheetId="39" hidden="1">[1]weekly!#REF!</definedName>
    <definedName name="wwwwwwwwww" localSheetId="40" hidden="1">[1]weekly!#REF!</definedName>
    <definedName name="wwwwwwwwww" localSheetId="95" hidden="1">[1]weekly!#REF!</definedName>
    <definedName name="wwwwwwwwww" localSheetId="41" hidden="1">[1]weekly!#REF!</definedName>
    <definedName name="wwwwwwwwww" localSheetId="92" hidden="1">[1]weekly!#REF!</definedName>
    <definedName name="wwwwwwwwww" localSheetId="42" hidden="1">[1]weekly!#REF!</definedName>
    <definedName name="wwwwwwwwww" localSheetId="43" hidden="1">[1]weekly!#REF!</definedName>
    <definedName name="wwwwwwwwww" localSheetId="44" hidden="1">[1]weekly!#REF!</definedName>
    <definedName name="wwwwwwwwww" localSheetId="34" hidden="1">[1]weekly!#REF!</definedName>
    <definedName name="wwwwwwwwww" localSheetId="45" hidden="1">[1]weekly!#REF!</definedName>
    <definedName name="wwwwwwwwww" localSheetId="70" hidden="1">[1]weekly!#REF!</definedName>
    <definedName name="wwwwwwwwww" localSheetId="46" hidden="1">[1]weekly!#REF!</definedName>
    <definedName name="wwwwwwwwww" localSheetId="25" hidden="1">[1]weekly!#REF!</definedName>
    <definedName name="wwwwwwwwww" localSheetId="26" hidden="1">[1]weekly!#REF!</definedName>
    <definedName name="wwwwwwwwww" localSheetId="47" hidden="1">[1]weekly!#REF!</definedName>
    <definedName name="wwwwwwwwww" localSheetId="15" hidden="1">[1]weekly!#REF!</definedName>
    <definedName name="wwwwwwwwww" localSheetId="93" hidden="1">[1]weekly!#REF!</definedName>
    <definedName name="wwwwwwwwww" localSheetId="48" hidden="1">[1]weekly!#REF!</definedName>
    <definedName name="wwwwwwwwww" localSheetId="49" hidden="1">[1]weekly!#REF!</definedName>
    <definedName name="wwwwwwwwww" localSheetId="50" hidden="1">[1]weekly!#REF!</definedName>
    <definedName name="wwwwwwwwww" localSheetId="51" hidden="1">[1]weekly!#REF!</definedName>
    <definedName name="wwwwwwwwww" localSheetId="55" hidden="1">[1]weekly!#REF!</definedName>
    <definedName name="wwwwwwwwww" localSheetId="52" hidden="1">[1]weekly!#REF!</definedName>
    <definedName name="wwwwwwwwww" localSheetId="53" hidden="1">[1]weekly!#REF!</definedName>
    <definedName name="wwwwwwwwww" localSheetId="35" hidden="1">[1]weekly!#REF!</definedName>
    <definedName name="wwwwwwwwww" localSheetId="60" hidden="1">[1]weekly!#REF!</definedName>
    <definedName name="wwwwwwwwww" localSheetId="22" hidden="1">[1]weekly!#REF!</definedName>
    <definedName name="wwwwwwwwww" localSheetId="23" hidden="1">[1]weekly!#REF!</definedName>
    <definedName name="wwwwwwwwww" localSheetId="54" hidden="1">[1]weekly!#REF!</definedName>
    <definedName name="wwwwwwwwww" localSheetId="91" hidden="1">[1]weekly!#REF!</definedName>
    <definedName name="wwwwwwwwww" localSheetId="88" hidden="1">[1]weekly!#REF!</definedName>
    <definedName name="wwwwwwwwww" localSheetId="90" hidden="1">[1]weekly!#REF!</definedName>
    <definedName name="wwwwwwwwww" hidden="1">[1]weekly!#REF!</definedName>
    <definedName name="wwwwwwwwwww" localSheetId="61" hidden="1">[1]weekly!#REF!</definedName>
    <definedName name="wwwwwwwwwww" localSheetId="87" hidden="1">[1]weekly!#REF!</definedName>
    <definedName name="wwwwwwwwwww" localSheetId="37" hidden="1">[1]weekly!#REF!</definedName>
    <definedName name="wwwwwwwwwww" localSheetId="62" hidden="1">[1]weekly!#REF!</definedName>
    <definedName name="wwwwwwwwwww" localSheetId="38" hidden="1">[1]weekly!#REF!</definedName>
    <definedName name="wwwwwwwwwww" localSheetId="18" hidden="1">[1]weekly!#REF!</definedName>
    <definedName name="wwwwwwwwwww" localSheetId="56" hidden="1">[1]weekly!#REF!</definedName>
    <definedName name="wwwwwwwwwww" localSheetId="58" hidden="1">[1]weekly!#REF!</definedName>
    <definedName name="wwwwwwwwwww" localSheetId="16" hidden="1">[1]weekly!#REF!</definedName>
    <definedName name="wwwwwwwwwww" localSheetId="57" hidden="1">[1]weekly!#REF!</definedName>
    <definedName name="wwwwwwwwwww" localSheetId="59" hidden="1">[1]weekly!#REF!</definedName>
    <definedName name="wwwwwwwwwww" localSheetId="20" hidden="1">[1]weekly!#REF!</definedName>
    <definedName name="wwwwwwwwwww" localSheetId="83" hidden="1">[1]weekly!#REF!</definedName>
    <definedName name="wwwwwwwwwww" localSheetId="39" hidden="1">[1]weekly!#REF!</definedName>
    <definedName name="wwwwwwwwwww" localSheetId="40" hidden="1">[1]weekly!#REF!</definedName>
    <definedName name="wwwwwwwwwww" localSheetId="95" hidden="1">[1]weekly!#REF!</definedName>
    <definedName name="wwwwwwwwwww" localSheetId="41" hidden="1">[1]weekly!#REF!</definedName>
    <definedName name="wwwwwwwwwww" localSheetId="92" hidden="1">[1]weekly!#REF!</definedName>
    <definedName name="wwwwwwwwwww" localSheetId="42" hidden="1">[1]weekly!#REF!</definedName>
    <definedName name="wwwwwwwwwww" localSheetId="43" hidden="1">[1]weekly!#REF!</definedName>
    <definedName name="wwwwwwwwwww" localSheetId="44" hidden="1">[1]weekly!#REF!</definedName>
    <definedName name="wwwwwwwwwww" localSheetId="34" hidden="1">[1]weekly!#REF!</definedName>
    <definedName name="wwwwwwwwwww" localSheetId="45" hidden="1">[1]weekly!#REF!</definedName>
    <definedName name="wwwwwwwwwww" localSheetId="70" hidden="1">[1]weekly!#REF!</definedName>
    <definedName name="wwwwwwwwwww" localSheetId="46" hidden="1">[1]weekly!#REF!</definedName>
    <definedName name="wwwwwwwwwww" localSheetId="25" hidden="1">[1]weekly!#REF!</definedName>
    <definedName name="wwwwwwwwwww" localSheetId="26" hidden="1">[1]weekly!#REF!</definedName>
    <definedName name="wwwwwwwwwww" localSheetId="47" hidden="1">[1]weekly!#REF!</definedName>
    <definedName name="wwwwwwwwwww" localSheetId="15" hidden="1">[1]weekly!#REF!</definedName>
    <definedName name="wwwwwwwwwww" localSheetId="93" hidden="1">[1]weekly!#REF!</definedName>
    <definedName name="wwwwwwwwwww" localSheetId="48" hidden="1">[1]weekly!#REF!</definedName>
    <definedName name="wwwwwwwwwww" localSheetId="49" hidden="1">[1]weekly!#REF!</definedName>
    <definedName name="wwwwwwwwwww" localSheetId="50" hidden="1">[1]weekly!#REF!</definedName>
    <definedName name="wwwwwwwwwww" localSheetId="51" hidden="1">[1]weekly!#REF!</definedName>
    <definedName name="wwwwwwwwwww" localSheetId="55" hidden="1">[1]weekly!#REF!</definedName>
    <definedName name="wwwwwwwwwww" localSheetId="52" hidden="1">[1]weekly!#REF!</definedName>
    <definedName name="wwwwwwwwwww" localSheetId="53" hidden="1">[1]weekly!#REF!</definedName>
    <definedName name="wwwwwwwwwww" localSheetId="35" hidden="1">[1]weekly!#REF!</definedName>
    <definedName name="wwwwwwwwwww" localSheetId="60" hidden="1">[1]weekly!#REF!</definedName>
    <definedName name="wwwwwwwwwww" localSheetId="22" hidden="1">[1]weekly!#REF!</definedName>
    <definedName name="wwwwwwwwwww" localSheetId="23" hidden="1">[1]weekly!#REF!</definedName>
    <definedName name="wwwwwwwwwww" localSheetId="54" hidden="1">[1]weekly!#REF!</definedName>
    <definedName name="wwwwwwwwwww" localSheetId="91" hidden="1">[1]weekly!#REF!</definedName>
    <definedName name="wwwwwwwwwww" localSheetId="88" hidden="1">[1]weekly!#REF!</definedName>
    <definedName name="wwwwwwwwwww" localSheetId="90" hidden="1">[1]weekly!#REF!</definedName>
    <definedName name="wwwwwwwwwww" hidden="1">[1]weekly!#REF!</definedName>
    <definedName name="wwwwwwwwwwwwwwwww" localSheetId="61" hidden="1">[1]weekly!#REF!</definedName>
    <definedName name="wwwwwwwwwwwwwwwww" localSheetId="87" hidden="1">[1]weekly!#REF!</definedName>
    <definedName name="wwwwwwwwwwwwwwwww" localSheetId="37" hidden="1">[1]weekly!#REF!</definedName>
    <definedName name="wwwwwwwwwwwwwwwww" localSheetId="62" hidden="1">[1]weekly!#REF!</definedName>
    <definedName name="wwwwwwwwwwwwwwwww" localSheetId="38" hidden="1">[1]weekly!#REF!</definedName>
    <definedName name="wwwwwwwwwwwwwwwww" localSheetId="18" hidden="1">[1]weekly!#REF!</definedName>
    <definedName name="wwwwwwwwwwwwwwwww" localSheetId="56" hidden="1">[1]weekly!#REF!</definedName>
    <definedName name="wwwwwwwwwwwwwwwww" localSheetId="58" hidden="1">[1]weekly!#REF!</definedName>
    <definedName name="wwwwwwwwwwwwwwwww" localSheetId="16" hidden="1">[1]weekly!#REF!</definedName>
    <definedName name="wwwwwwwwwwwwwwwww" localSheetId="57" hidden="1">[1]weekly!#REF!</definedName>
    <definedName name="wwwwwwwwwwwwwwwww" localSheetId="59" hidden="1">[1]weekly!#REF!</definedName>
    <definedName name="wwwwwwwwwwwwwwwww" localSheetId="20" hidden="1">[1]weekly!#REF!</definedName>
    <definedName name="wwwwwwwwwwwwwwwww" localSheetId="83" hidden="1">[1]weekly!#REF!</definedName>
    <definedName name="wwwwwwwwwwwwwwwww" localSheetId="39" hidden="1">[1]weekly!#REF!</definedName>
    <definedName name="wwwwwwwwwwwwwwwww" localSheetId="40" hidden="1">[1]weekly!#REF!</definedName>
    <definedName name="wwwwwwwwwwwwwwwww" localSheetId="95" hidden="1">[1]weekly!#REF!</definedName>
    <definedName name="wwwwwwwwwwwwwwwww" localSheetId="41" hidden="1">[1]weekly!#REF!</definedName>
    <definedName name="wwwwwwwwwwwwwwwww" localSheetId="92" hidden="1">[1]weekly!#REF!</definedName>
    <definedName name="wwwwwwwwwwwwwwwww" localSheetId="42" hidden="1">[1]weekly!#REF!</definedName>
    <definedName name="wwwwwwwwwwwwwwwww" localSheetId="43" hidden="1">[1]weekly!#REF!</definedName>
    <definedName name="wwwwwwwwwwwwwwwww" localSheetId="44" hidden="1">[1]weekly!#REF!</definedName>
    <definedName name="wwwwwwwwwwwwwwwww" localSheetId="34" hidden="1">[1]weekly!#REF!</definedName>
    <definedName name="wwwwwwwwwwwwwwwww" localSheetId="45" hidden="1">[1]weekly!#REF!</definedName>
    <definedName name="wwwwwwwwwwwwwwwww" localSheetId="70" hidden="1">[1]weekly!#REF!</definedName>
    <definedName name="wwwwwwwwwwwwwwwww" localSheetId="46" hidden="1">[1]weekly!#REF!</definedName>
    <definedName name="wwwwwwwwwwwwwwwww" localSheetId="25" hidden="1">[1]weekly!#REF!</definedName>
    <definedName name="wwwwwwwwwwwwwwwww" localSheetId="26" hidden="1">[1]weekly!#REF!</definedName>
    <definedName name="wwwwwwwwwwwwwwwww" localSheetId="47" hidden="1">[1]weekly!#REF!</definedName>
    <definedName name="wwwwwwwwwwwwwwwww" localSheetId="15" hidden="1">[1]weekly!#REF!</definedName>
    <definedName name="wwwwwwwwwwwwwwwww" localSheetId="93" hidden="1">[1]weekly!#REF!</definedName>
    <definedName name="wwwwwwwwwwwwwwwww" localSheetId="48" hidden="1">[1]weekly!#REF!</definedName>
    <definedName name="wwwwwwwwwwwwwwwww" localSheetId="49" hidden="1">[1]weekly!#REF!</definedName>
    <definedName name="wwwwwwwwwwwwwwwww" localSheetId="50" hidden="1">[1]weekly!#REF!</definedName>
    <definedName name="wwwwwwwwwwwwwwwww" localSheetId="51" hidden="1">[1]weekly!#REF!</definedName>
    <definedName name="wwwwwwwwwwwwwwwww" localSheetId="55" hidden="1">[1]weekly!#REF!</definedName>
    <definedName name="wwwwwwwwwwwwwwwww" localSheetId="52" hidden="1">[1]weekly!#REF!</definedName>
    <definedName name="wwwwwwwwwwwwwwwww" localSheetId="53" hidden="1">[1]weekly!#REF!</definedName>
    <definedName name="wwwwwwwwwwwwwwwww" localSheetId="35" hidden="1">[1]weekly!#REF!</definedName>
    <definedName name="wwwwwwwwwwwwwwwww" localSheetId="60" hidden="1">[1]weekly!#REF!</definedName>
    <definedName name="wwwwwwwwwwwwwwwww" localSheetId="22" hidden="1">[1]weekly!#REF!</definedName>
    <definedName name="wwwwwwwwwwwwwwwww" localSheetId="23" hidden="1">[1]weekly!#REF!</definedName>
    <definedName name="wwwwwwwwwwwwwwwww" localSheetId="54" hidden="1">[1]weekly!#REF!</definedName>
    <definedName name="wwwwwwwwwwwwwwwww" localSheetId="91" hidden="1">[1]weekly!#REF!</definedName>
    <definedName name="wwwwwwwwwwwwwwwww" localSheetId="88" hidden="1">[1]weekly!#REF!</definedName>
    <definedName name="wwwwwwwwwwwwwwwww" localSheetId="90" hidden="1">[1]weekly!#REF!</definedName>
    <definedName name="wwwwwwwwwwwwwwwww" hidden="1">[1]weekly!#REF!</definedName>
    <definedName name="xx" localSheetId="61" hidden="1">[1]weekly!#REF!</definedName>
    <definedName name="xx" localSheetId="87" hidden="1">[1]weekly!#REF!</definedName>
    <definedName name="xx" localSheetId="37" hidden="1">[1]weekly!#REF!</definedName>
    <definedName name="xx" localSheetId="62" hidden="1">[1]weekly!#REF!</definedName>
    <definedName name="xx" localSheetId="38" hidden="1">[1]weekly!#REF!</definedName>
    <definedName name="xx" localSheetId="58" hidden="1">[1]weekly!#REF!</definedName>
    <definedName name="xx" localSheetId="57" hidden="1">[1]weekly!#REF!</definedName>
    <definedName name="xx" localSheetId="59" hidden="1">[1]weekly!#REF!</definedName>
    <definedName name="xx" localSheetId="83" hidden="1">[1]weekly!#REF!</definedName>
    <definedName name="xx" localSheetId="39" hidden="1">[1]weekly!#REF!</definedName>
    <definedName name="xx" localSheetId="40" hidden="1">[1]weekly!#REF!</definedName>
    <definedName name="xx" localSheetId="95" hidden="1">[1]weekly!#REF!</definedName>
    <definedName name="xx" localSheetId="41" hidden="1">[1]weekly!#REF!</definedName>
    <definedName name="xx" localSheetId="92" hidden="1">[1]weekly!#REF!</definedName>
    <definedName name="xx" localSheetId="42" hidden="1">[1]weekly!#REF!</definedName>
    <definedName name="xx" localSheetId="43" hidden="1">[1]weekly!#REF!</definedName>
    <definedName name="xx" localSheetId="44" hidden="1">[1]weekly!#REF!</definedName>
    <definedName name="xx" localSheetId="34" hidden="1">[1]weekly!#REF!</definedName>
    <definedName name="xx" localSheetId="45" hidden="1">[1]weekly!#REF!</definedName>
    <definedName name="xx" localSheetId="70" hidden="1">[1]weekly!#REF!</definedName>
    <definedName name="xx" localSheetId="46" hidden="1">[1]weekly!#REF!</definedName>
    <definedName name="xx" localSheetId="25" hidden="1">[1]weekly!#REF!</definedName>
    <definedName name="xx" localSheetId="26" hidden="1">[1]weekly!#REF!</definedName>
    <definedName name="xx" localSheetId="47" hidden="1">[1]weekly!#REF!</definedName>
    <definedName name="xx" localSheetId="15" hidden="1">[1]weekly!#REF!</definedName>
    <definedName name="xx" localSheetId="93" hidden="1">[1]weekly!#REF!</definedName>
    <definedName name="xx" localSheetId="48" hidden="1">[1]weekly!#REF!</definedName>
    <definedName name="xx" localSheetId="49" hidden="1">[1]weekly!#REF!</definedName>
    <definedName name="xx" localSheetId="50" hidden="1">[1]weekly!#REF!</definedName>
    <definedName name="xx" localSheetId="51" hidden="1">[1]weekly!#REF!</definedName>
    <definedName name="xx" localSheetId="55" hidden="1">[1]weekly!#REF!</definedName>
    <definedName name="xx" localSheetId="52" hidden="1">[1]weekly!#REF!</definedName>
    <definedName name="xx" localSheetId="53" hidden="1">[1]weekly!#REF!</definedName>
    <definedName name="xx" localSheetId="35" hidden="1">[1]weekly!#REF!</definedName>
    <definedName name="xx" localSheetId="60" hidden="1">[1]weekly!#REF!</definedName>
    <definedName name="xx" localSheetId="54" hidden="1">[1]weekly!#REF!</definedName>
    <definedName name="xx" localSheetId="91" hidden="1">[1]weekly!#REF!</definedName>
    <definedName name="xx" localSheetId="88" hidden="1">[1]weekly!#REF!</definedName>
    <definedName name="xx" localSheetId="90" hidden="1">[1]weekly!#REF!</definedName>
    <definedName name="xx" hidden="1">[1]weekly!#REF!</definedName>
    <definedName name="xxxx" localSheetId="61" hidden="1">[1]weekly!#REF!</definedName>
    <definedName name="xxxx" localSheetId="87" hidden="1">[1]weekly!#REF!</definedName>
    <definedName name="xxxx" localSheetId="37" hidden="1">[1]weekly!#REF!</definedName>
    <definedName name="xxxx" localSheetId="62" hidden="1">[1]weekly!#REF!</definedName>
    <definedName name="xxxx" localSheetId="38" hidden="1">[1]weekly!#REF!</definedName>
    <definedName name="xxxx" localSheetId="58" hidden="1">[1]weekly!#REF!</definedName>
    <definedName name="xxxx" localSheetId="57" hidden="1">[1]weekly!#REF!</definedName>
    <definedName name="xxxx" localSheetId="59" hidden="1">[1]weekly!#REF!</definedName>
    <definedName name="xxxx" localSheetId="83" hidden="1">[1]weekly!#REF!</definedName>
    <definedName name="xxxx" localSheetId="39" hidden="1">[1]weekly!#REF!</definedName>
    <definedName name="xxxx" localSheetId="40" hidden="1">[1]weekly!#REF!</definedName>
    <definedName name="xxxx" localSheetId="95" hidden="1">[1]weekly!#REF!</definedName>
    <definedName name="xxxx" localSheetId="41" hidden="1">[1]weekly!#REF!</definedName>
    <definedName name="xxxx" localSheetId="92" hidden="1">[1]weekly!#REF!</definedName>
    <definedName name="xxxx" localSheetId="42" hidden="1">[1]weekly!#REF!</definedName>
    <definedName name="xxxx" localSheetId="43" hidden="1">[1]weekly!#REF!</definedName>
    <definedName name="xxxx" localSheetId="44" hidden="1">[1]weekly!#REF!</definedName>
    <definedName name="xxxx" localSheetId="34" hidden="1">[1]weekly!#REF!</definedName>
    <definedName name="xxxx" localSheetId="45" hidden="1">[1]weekly!#REF!</definedName>
    <definedName name="xxxx" localSheetId="70" hidden="1">[1]weekly!#REF!</definedName>
    <definedName name="xxxx" localSheetId="46" hidden="1">[1]weekly!#REF!</definedName>
    <definedName name="xxxx" localSheetId="25" hidden="1">[1]weekly!#REF!</definedName>
    <definedName name="xxxx" localSheetId="26" hidden="1">[1]weekly!#REF!</definedName>
    <definedName name="xxxx" localSheetId="47" hidden="1">[1]weekly!#REF!</definedName>
    <definedName name="xxxx" localSheetId="15" hidden="1">[1]weekly!#REF!</definedName>
    <definedName name="xxxx" localSheetId="93" hidden="1">[1]weekly!#REF!</definedName>
    <definedName name="xxxx" localSheetId="48" hidden="1">[1]weekly!#REF!</definedName>
    <definedName name="xxxx" localSheetId="49" hidden="1">[1]weekly!#REF!</definedName>
    <definedName name="xxxx" localSheetId="50" hidden="1">[1]weekly!#REF!</definedName>
    <definedName name="xxxx" localSheetId="51" hidden="1">[1]weekly!#REF!</definedName>
    <definedName name="xxxx" localSheetId="55" hidden="1">[1]weekly!#REF!</definedName>
    <definedName name="xxxx" localSheetId="52" hidden="1">[1]weekly!#REF!</definedName>
    <definedName name="xxxx" localSheetId="53" hidden="1">[1]weekly!#REF!</definedName>
    <definedName name="xxxx" localSheetId="35" hidden="1">[1]weekly!#REF!</definedName>
    <definedName name="xxxx" localSheetId="60" hidden="1">[1]weekly!#REF!</definedName>
    <definedName name="xxxx" localSheetId="54" hidden="1">[1]weekly!#REF!</definedName>
    <definedName name="xxxx" localSheetId="91" hidden="1">[1]weekly!#REF!</definedName>
    <definedName name="xxxx" localSheetId="88" hidden="1">[1]weekly!#REF!</definedName>
    <definedName name="xxxx" localSheetId="90" hidden="1">[1]weekly!#REF!</definedName>
    <definedName name="xxxx" hidden="1">[1]weekly!#REF!</definedName>
    <definedName name="y" localSheetId="61" hidden="1">[1]weekly!#REF!</definedName>
    <definedName name="y" localSheetId="87" hidden="1">[1]weekly!#REF!</definedName>
    <definedName name="y" localSheetId="37" hidden="1">[1]weekly!#REF!</definedName>
    <definedName name="y" localSheetId="62" hidden="1">[1]weekly!#REF!</definedName>
    <definedName name="y" localSheetId="38" hidden="1">[1]weekly!#REF!</definedName>
    <definedName name="y" localSheetId="58" hidden="1">[1]weekly!#REF!</definedName>
    <definedName name="y" localSheetId="57" hidden="1">[1]weekly!#REF!</definedName>
    <definedName name="y" localSheetId="59" hidden="1">[1]weekly!#REF!</definedName>
    <definedName name="y" localSheetId="83" hidden="1">[1]weekly!#REF!</definedName>
    <definedName name="y" localSheetId="39" hidden="1">[1]weekly!#REF!</definedName>
    <definedName name="y" localSheetId="40" hidden="1">[1]weekly!#REF!</definedName>
    <definedName name="y" localSheetId="95" hidden="1">[1]weekly!#REF!</definedName>
    <definedName name="y" localSheetId="41" hidden="1">[1]weekly!#REF!</definedName>
    <definedName name="y" localSheetId="92" hidden="1">[1]weekly!#REF!</definedName>
    <definedName name="y" localSheetId="42" hidden="1">[1]weekly!#REF!</definedName>
    <definedName name="y" localSheetId="43" hidden="1">[1]weekly!#REF!</definedName>
    <definedName name="y" localSheetId="44" hidden="1">[1]weekly!#REF!</definedName>
    <definedName name="y" localSheetId="34" hidden="1">[1]weekly!#REF!</definedName>
    <definedName name="y" localSheetId="45" hidden="1">[1]weekly!#REF!</definedName>
    <definedName name="y" localSheetId="70" hidden="1">[1]weekly!#REF!</definedName>
    <definedName name="y" localSheetId="46" hidden="1">[1]weekly!#REF!</definedName>
    <definedName name="y" localSheetId="25" hidden="1">[1]weekly!#REF!</definedName>
    <definedName name="y" localSheetId="26" hidden="1">[1]weekly!#REF!</definedName>
    <definedName name="y" localSheetId="47" hidden="1">[1]weekly!#REF!</definedName>
    <definedName name="y" localSheetId="15" hidden="1">[1]weekly!#REF!</definedName>
    <definedName name="y" localSheetId="93" hidden="1">[1]weekly!#REF!</definedName>
    <definedName name="y" localSheetId="48" hidden="1">[1]weekly!#REF!</definedName>
    <definedName name="y" localSheetId="49" hidden="1">[1]weekly!#REF!</definedName>
    <definedName name="y" localSheetId="50" hidden="1">[1]weekly!#REF!</definedName>
    <definedName name="y" localSheetId="51" hidden="1">[1]weekly!#REF!</definedName>
    <definedName name="y" localSheetId="55" hidden="1">[1]weekly!#REF!</definedName>
    <definedName name="y" localSheetId="52" hidden="1">[1]weekly!#REF!</definedName>
    <definedName name="y" localSheetId="53" hidden="1">[1]weekly!#REF!</definedName>
    <definedName name="y" localSheetId="35" hidden="1">[1]weekly!#REF!</definedName>
    <definedName name="y" localSheetId="60" hidden="1">[1]weekly!#REF!</definedName>
    <definedName name="y" localSheetId="54" hidden="1">[1]weekly!#REF!</definedName>
    <definedName name="y" localSheetId="91" hidden="1">[1]weekly!#REF!</definedName>
    <definedName name="y" localSheetId="88" hidden="1">[1]weekly!#REF!</definedName>
    <definedName name="y" localSheetId="90" hidden="1">[1]weekly!#REF!</definedName>
    <definedName name="y" hidden="1">[1]weekly!#REF!</definedName>
    <definedName name="z" localSheetId="61" hidden="1">[1]weekly!#REF!</definedName>
    <definedName name="z" localSheetId="87" hidden="1">[1]weekly!#REF!</definedName>
    <definedName name="z" localSheetId="37" hidden="1">[1]weekly!#REF!</definedName>
    <definedName name="z" localSheetId="62" hidden="1">[1]weekly!#REF!</definedName>
    <definedName name="z" localSheetId="38" hidden="1">[1]weekly!#REF!</definedName>
    <definedName name="z" localSheetId="58" hidden="1">[1]weekly!#REF!</definedName>
    <definedName name="z" localSheetId="57" hidden="1">[1]weekly!#REF!</definedName>
    <definedName name="z" localSheetId="59" hidden="1">[1]weekly!#REF!</definedName>
    <definedName name="z" localSheetId="83" hidden="1">[1]weekly!#REF!</definedName>
    <definedName name="z" localSheetId="39" hidden="1">[1]weekly!#REF!</definedName>
    <definedName name="z" localSheetId="40" hidden="1">[1]weekly!#REF!</definedName>
    <definedName name="z" localSheetId="95" hidden="1">[1]weekly!#REF!</definedName>
    <definedName name="z" localSheetId="41" hidden="1">[1]weekly!#REF!</definedName>
    <definedName name="z" localSheetId="92" hidden="1">[1]weekly!#REF!</definedName>
    <definedName name="z" localSheetId="42" hidden="1">[1]weekly!#REF!</definedName>
    <definedName name="z" localSheetId="43" hidden="1">[1]weekly!#REF!</definedName>
    <definedName name="z" localSheetId="44" hidden="1">[1]weekly!#REF!</definedName>
    <definedName name="z" localSheetId="34" hidden="1">[1]weekly!#REF!</definedName>
    <definedName name="z" localSheetId="45" hidden="1">[1]weekly!#REF!</definedName>
    <definedName name="z" localSheetId="70" hidden="1">[1]weekly!#REF!</definedName>
    <definedName name="z" localSheetId="46" hidden="1">[1]weekly!#REF!</definedName>
    <definedName name="z" localSheetId="25" hidden="1">[1]weekly!#REF!</definedName>
    <definedName name="z" localSheetId="26" hidden="1">[1]weekly!#REF!</definedName>
    <definedName name="z" localSheetId="47" hidden="1">[1]weekly!#REF!</definedName>
    <definedName name="z" localSheetId="15" hidden="1">[1]weekly!#REF!</definedName>
    <definedName name="z" localSheetId="93" hidden="1">[1]weekly!#REF!</definedName>
    <definedName name="z" localSheetId="3" hidden="1">[1]weekly!#REF!</definedName>
    <definedName name="z" localSheetId="48" hidden="1">[1]weekly!#REF!</definedName>
    <definedName name="z" localSheetId="49" hidden="1">[1]weekly!#REF!</definedName>
    <definedName name="z" localSheetId="50" hidden="1">[1]weekly!#REF!</definedName>
    <definedName name="z" localSheetId="51" hidden="1">[1]weekly!#REF!</definedName>
    <definedName name="z" localSheetId="55" hidden="1">[1]weekly!#REF!</definedName>
    <definedName name="z" localSheetId="52" hidden="1">[1]weekly!#REF!</definedName>
    <definedName name="z" localSheetId="53" hidden="1">[1]weekly!#REF!</definedName>
    <definedName name="z" localSheetId="35" hidden="1">[1]weekly!#REF!</definedName>
    <definedName name="z" localSheetId="60" hidden="1">[1]weekly!#REF!</definedName>
    <definedName name="z" localSheetId="54" hidden="1">[1]weekly!#REF!</definedName>
    <definedName name="z" localSheetId="91" hidden="1">[1]weekly!#REF!</definedName>
    <definedName name="z" localSheetId="88" hidden="1">[1]weekly!#REF!</definedName>
    <definedName name="z" localSheetId="90" hidden="1">[1]weekly!#REF!</definedName>
    <definedName name="z" hidden="1">[1]weekly!#REF!</definedName>
    <definedName name="zz" localSheetId="61" hidden="1">[1]weekly!#REF!</definedName>
    <definedName name="zz" localSheetId="87" hidden="1">[1]weekly!#REF!</definedName>
    <definedName name="zz" localSheetId="37" hidden="1">[1]weekly!#REF!</definedName>
    <definedName name="zz" localSheetId="62" hidden="1">[1]weekly!#REF!</definedName>
    <definedName name="zz" localSheetId="38" hidden="1">[1]weekly!#REF!</definedName>
    <definedName name="zz" localSheetId="58" hidden="1">[1]weekly!#REF!</definedName>
    <definedName name="zz" localSheetId="57" hidden="1">[1]weekly!#REF!</definedName>
    <definedName name="zz" localSheetId="59" hidden="1">[1]weekly!#REF!</definedName>
    <definedName name="zz" localSheetId="83" hidden="1">[1]weekly!#REF!</definedName>
    <definedName name="zz" localSheetId="39" hidden="1">[1]weekly!#REF!</definedName>
    <definedName name="zz" localSheetId="40" hidden="1">[1]weekly!#REF!</definedName>
    <definedName name="zz" localSheetId="95" hidden="1">[1]weekly!#REF!</definedName>
    <definedName name="zz" localSheetId="41" hidden="1">[1]weekly!#REF!</definedName>
    <definedName name="zz" localSheetId="92" hidden="1">[1]weekly!#REF!</definedName>
    <definedName name="zz" localSheetId="42" hidden="1">[1]weekly!#REF!</definedName>
    <definedName name="zz" localSheetId="43" hidden="1">[1]weekly!#REF!</definedName>
    <definedName name="zz" localSheetId="44" hidden="1">[1]weekly!#REF!</definedName>
    <definedName name="zz" localSheetId="34" hidden="1">[1]weekly!#REF!</definedName>
    <definedName name="zz" localSheetId="45" hidden="1">[1]weekly!#REF!</definedName>
    <definedName name="zz" localSheetId="70" hidden="1">[1]weekly!#REF!</definedName>
    <definedName name="zz" localSheetId="46" hidden="1">[1]weekly!#REF!</definedName>
    <definedName name="zz" localSheetId="25" hidden="1">[1]weekly!#REF!</definedName>
    <definedName name="zz" localSheetId="26" hidden="1">[1]weekly!#REF!</definedName>
    <definedName name="zz" localSheetId="47" hidden="1">[1]weekly!#REF!</definedName>
    <definedName name="zz" localSheetId="15" hidden="1">[1]weekly!#REF!</definedName>
    <definedName name="zz" localSheetId="93" hidden="1">[1]weekly!#REF!</definedName>
    <definedName name="zz" localSheetId="48" hidden="1">[1]weekly!#REF!</definedName>
    <definedName name="zz" localSheetId="49" hidden="1">[1]weekly!#REF!</definedName>
    <definedName name="zz" localSheetId="50" hidden="1">[1]weekly!#REF!</definedName>
    <definedName name="zz" localSheetId="51" hidden="1">[1]weekly!#REF!</definedName>
    <definedName name="zz" localSheetId="55" hidden="1">[1]weekly!#REF!</definedName>
    <definedName name="zz" localSheetId="52" hidden="1">[1]weekly!#REF!</definedName>
    <definedName name="zz" localSheetId="53" hidden="1">[1]weekly!#REF!</definedName>
    <definedName name="zz" localSheetId="35" hidden="1">[1]weekly!#REF!</definedName>
    <definedName name="zz" localSheetId="60" hidden="1">[1]weekly!#REF!</definedName>
    <definedName name="zz" localSheetId="54" hidden="1">[1]weekly!#REF!</definedName>
    <definedName name="zz" localSheetId="91" hidden="1">[1]weekly!#REF!</definedName>
    <definedName name="zz" localSheetId="88" hidden="1">[1]weekly!#REF!</definedName>
    <definedName name="zz" localSheetId="90" hidden="1">[1]weekly!#REF!</definedName>
    <definedName name="zz" hidden="1">[1]weekly!#REF!</definedName>
  </definedNames>
  <calcPr calcId="162913"/>
</workbook>
</file>

<file path=xl/calcChain.xml><?xml version="1.0" encoding="utf-8"?>
<calcChain xmlns="http://schemas.openxmlformats.org/spreadsheetml/2006/main">
  <c r="D62" i="225" l="1"/>
  <c r="E62" i="225"/>
  <c r="F62" i="225"/>
  <c r="G62" i="225"/>
  <c r="H62" i="225"/>
  <c r="I62" i="225"/>
  <c r="J62" i="225"/>
  <c r="K62" i="225"/>
  <c r="L62" i="225"/>
  <c r="M62" i="225"/>
  <c r="N62" i="225"/>
  <c r="O62" i="225"/>
  <c r="D63" i="225"/>
  <c r="E63" i="225"/>
  <c r="F63" i="225"/>
  <c r="G63" i="225"/>
  <c r="H63" i="225"/>
  <c r="I63" i="225"/>
  <c r="J63" i="225"/>
  <c r="K63" i="225"/>
  <c r="L63" i="225"/>
  <c r="M63" i="225"/>
  <c r="N63" i="225"/>
  <c r="O63" i="225"/>
  <c r="D64" i="225"/>
  <c r="E64" i="225"/>
  <c r="F64" i="225"/>
  <c r="G64" i="225"/>
  <c r="H64" i="225"/>
  <c r="I64" i="225"/>
  <c r="J64" i="225"/>
  <c r="K64" i="225"/>
  <c r="L64" i="225"/>
  <c r="M64" i="225"/>
  <c r="N64" i="225"/>
  <c r="O64" i="225"/>
  <c r="D65" i="225"/>
  <c r="E65" i="225"/>
  <c r="F65" i="225"/>
  <c r="G65" i="225"/>
  <c r="H65" i="225"/>
  <c r="I65" i="225"/>
  <c r="J65" i="225"/>
  <c r="K65" i="225"/>
  <c r="L65" i="225"/>
  <c r="M65" i="225"/>
  <c r="N65" i="225"/>
  <c r="O65" i="225"/>
  <c r="D66" i="225"/>
  <c r="E66" i="225"/>
  <c r="F66" i="225"/>
  <c r="G66" i="225"/>
  <c r="H66" i="225"/>
  <c r="I66" i="225"/>
  <c r="J66" i="225"/>
  <c r="K66" i="225"/>
  <c r="L66" i="225"/>
  <c r="M66" i="225"/>
  <c r="N66" i="225"/>
  <c r="O66" i="225"/>
  <c r="D67" i="225"/>
  <c r="E67" i="225"/>
  <c r="F67" i="225"/>
  <c r="G67" i="225"/>
  <c r="H67" i="225"/>
  <c r="I67" i="225"/>
  <c r="J67" i="225"/>
  <c r="K67" i="225"/>
  <c r="L67" i="225"/>
  <c r="M67" i="225"/>
  <c r="N67" i="225"/>
  <c r="O67" i="225"/>
  <c r="D68" i="225"/>
  <c r="E68" i="225"/>
  <c r="F68" i="225"/>
  <c r="G68" i="225"/>
  <c r="H68" i="225"/>
  <c r="I68" i="225"/>
  <c r="J68" i="225"/>
  <c r="K68" i="225"/>
  <c r="L68" i="225"/>
  <c r="M68" i="225"/>
  <c r="N68" i="225"/>
  <c r="O68" i="225"/>
  <c r="D69" i="225"/>
  <c r="E69" i="225"/>
  <c r="F69" i="225"/>
  <c r="G69" i="225"/>
  <c r="H69" i="225"/>
  <c r="I69" i="225"/>
  <c r="J69" i="225"/>
  <c r="K69" i="225"/>
  <c r="L69" i="225"/>
  <c r="M69" i="225"/>
  <c r="N69" i="225"/>
  <c r="O69" i="225"/>
  <c r="D70" i="225"/>
  <c r="E70" i="225"/>
  <c r="F70" i="225"/>
  <c r="G70" i="225"/>
  <c r="H70" i="225"/>
  <c r="I70" i="225"/>
  <c r="J70" i="225"/>
  <c r="K70" i="225"/>
  <c r="L70" i="225"/>
  <c r="M70" i="225"/>
  <c r="N70" i="225"/>
  <c r="O70" i="225"/>
  <c r="D71" i="225"/>
  <c r="E71" i="225"/>
  <c r="F71" i="225"/>
  <c r="G71" i="225"/>
  <c r="H71" i="225"/>
  <c r="I71" i="225"/>
  <c r="J71" i="225"/>
  <c r="K71" i="225"/>
  <c r="L71" i="225"/>
  <c r="M71" i="225"/>
  <c r="N71" i="225"/>
  <c r="O71" i="225"/>
  <c r="D72" i="225"/>
  <c r="E72" i="225"/>
  <c r="F72" i="225"/>
  <c r="G72" i="225"/>
  <c r="H72" i="225"/>
  <c r="I72" i="225"/>
  <c r="J72" i="225"/>
  <c r="K72" i="225"/>
  <c r="L72" i="225"/>
  <c r="M72" i="225"/>
  <c r="N72" i="225"/>
  <c r="O72" i="225"/>
  <c r="D73" i="225"/>
  <c r="E73" i="225"/>
  <c r="F73" i="225"/>
  <c r="G73" i="225"/>
  <c r="H73" i="225"/>
  <c r="I73" i="225"/>
  <c r="J73" i="225"/>
  <c r="K73" i="225"/>
  <c r="L73" i="225"/>
  <c r="M73" i="225"/>
  <c r="N73" i="225"/>
  <c r="O73" i="225"/>
  <c r="D74" i="225"/>
  <c r="E74" i="225"/>
  <c r="F74" i="225"/>
  <c r="G74" i="225"/>
  <c r="H74" i="225"/>
  <c r="I74" i="225"/>
  <c r="J74" i="225"/>
  <c r="K74" i="225"/>
  <c r="L74" i="225"/>
  <c r="M74" i="225"/>
  <c r="N74" i="225"/>
  <c r="O74" i="225"/>
  <c r="D75" i="225"/>
  <c r="E75" i="225"/>
  <c r="F75" i="225"/>
  <c r="G75" i="225"/>
  <c r="H75" i="225"/>
  <c r="I75" i="225"/>
  <c r="J75" i="225"/>
  <c r="K75" i="225"/>
  <c r="L75" i="225"/>
  <c r="M75" i="225"/>
  <c r="N75" i="225"/>
  <c r="O75" i="225"/>
  <c r="D76" i="225"/>
  <c r="E76" i="225"/>
  <c r="F76" i="225"/>
  <c r="G76" i="225"/>
  <c r="H76" i="225"/>
  <c r="I76" i="225"/>
  <c r="J76" i="225"/>
  <c r="K76" i="225"/>
  <c r="L76" i="225"/>
  <c r="M76" i="225"/>
  <c r="N76" i="225"/>
  <c r="O76" i="225"/>
  <c r="D77" i="225"/>
  <c r="E77" i="225"/>
  <c r="F77" i="225"/>
  <c r="G77" i="225"/>
  <c r="H77" i="225"/>
  <c r="I77" i="225"/>
  <c r="J77" i="225"/>
  <c r="K77" i="225"/>
  <c r="L77" i="225"/>
  <c r="M77" i="225"/>
  <c r="N77" i="225"/>
  <c r="O77" i="225"/>
  <c r="D78" i="225"/>
  <c r="E78" i="225"/>
  <c r="F78" i="225"/>
  <c r="G78" i="225"/>
  <c r="H78" i="225"/>
  <c r="I78" i="225"/>
  <c r="J78" i="225"/>
  <c r="K78" i="225"/>
  <c r="L78" i="225"/>
  <c r="M78" i="225"/>
  <c r="N78" i="225"/>
  <c r="O78" i="225"/>
  <c r="D79" i="225"/>
  <c r="E79" i="225"/>
  <c r="F79" i="225"/>
  <c r="G79" i="225"/>
  <c r="H79" i="225"/>
  <c r="I79" i="225"/>
  <c r="J79" i="225"/>
  <c r="K79" i="225"/>
  <c r="L79" i="225"/>
  <c r="M79" i="225"/>
  <c r="N79" i="225"/>
  <c r="O79" i="225"/>
  <c r="E61" i="225"/>
  <c r="F61" i="225"/>
  <c r="G61" i="225"/>
  <c r="H61" i="225"/>
  <c r="I61" i="225"/>
  <c r="J61" i="225"/>
  <c r="K61" i="225"/>
  <c r="L61" i="225"/>
  <c r="M61" i="225"/>
  <c r="N61" i="225"/>
  <c r="O61" i="225"/>
  <c r="D61" i="225"/>
  <c r="R37" i="226" l="1"/>
  <c r="Q37" i="226"/>
  <c r="P37" i="226"/>
  <c r="O37" i="226"/>
  <c r="N37" i="226"/>
  <c r="M37" i="226"/>
  <c r="L37" i="226"/>
  <c r="K37" i="226"/>
  <c r="A37" i="226"/>
  <c r="R36" i="226"/>
  <c r="Q36" i="226"/>
  <c r="P36" i="226"/>
  <c r="O36" i="226"/>
  <c r="N36" i="226"/>
  <c r="M36" i="226"/>
  <c r="L36" i="226"/>
  <c r="K36" i="226"/>
  <c r="J36" i="226"/>
  <c r="I36" i="226"/>
  <c r="H36" i="226"/>
  <c r="G36" i="226"/>
  <c r="F36" i="226"/>
  <c r="E36" i="226"/>
  <c r="D36" i="226"/>
  <c r="C36" i="226"/>
  <c r="B36" i="226"/>
  <c r="V35" i="226"/>
  <c r="U35" i="226"/>
  <c r="T35" i="226"/>
  <c r="S35" i="226"/>
  <c r="R35" i="226"/>
  <c r="Q35" i="226"/>
  <c r="P35" i="226"/>
  <c r="O35" i="226"/>
  <c r="N35" i="226"/>
  <c r="M35" i="226"/>
  <c r="L35" i="226"/>
  <c r="K35" i="226"/>
  <c r="J35" i="226"/>
  <c r="F35" i="226"/>
  <c r="E35" i="226"/>
  <c r="D35" i="226"/>
  <c r="C35" i="226"/>
  <c r="B35" i="226"/>
  <c r="V34" i="226"/>
  <c r="U34" i="226"/>
  <c r="T34" i="226"/>
  <c r="S34" i="226"/>
  <c r="R34" i="226"/>
  <c r="Q34" i="226"/>
  <c r="P34" i="226"/>
  <c r="O34" i="226"/>
  <c r="N34" i="226"/>
  <c r="M34" i="226"/>
  <c r="L34" i="226"/>
  <c r="K34" i="226"/>
  <c r="J34" i="226"/>
  <c r="F34" i="226"/>
  <c r="E34" i="226"/>
  <c r="D34" i="226"/>
  <c r="C34" i="226"/>
  <c r="B34" i="226"/>
  <c r="V33" i="226"/>
  <c r="U33" i="226"/>
  <c r="T33" i="226"/>
  <c r="S33" i="226"/>
  <c r="R33" i="226"/>
  <c r="Q33" i="226"/>
  <c r="P33" i="226"/>
  <c r="O33" i="226"/>
  <c r="N33" i="226"/>
  <c r="M33" i="226"/>
  <c r="L33" i="226"/>
  <c r="K33" i="226"/>
  <c r="J33" i="226"/>
  <c r="F33" i="226"/>
  <c r="E33" i="226"/>
  <c r="D33" i="226"/>
  <c r="C33" i="226"/>
  <c r="B33" i="226"/>
  <c r="V32" i="226"/>
  <c r="U32" i="226"/>
  <c r="T32" i="226"/>
  <c r="S32" i="226"/>
  <c r="R32" i="226"/>
  <c r="Q32" i="226"/>
  <c r="P32" i="226"/>
  <c r="O32" i="226"/>
  <c r="N32" i="226"/>
  <c r="M32" i="226"/>
  <c r="L32" i="226"/>
  <c r="K32" i="226"/>
  <c r="J32" i="226"/>
  <c r="F32" i="226"/>
  <c r="E32" i="226"/>
  <c r="D32" i="226"/>
  <c r="C32" i="226"/>
  <c r="B32" i="226"/>
  <c r="V31" i="226"/>
  <c r="U31" i="226"/>
  <c r="T31" i="226"/>
  <c r="S31" i="226"/>
  <c r="R31" i="226"/>
  <c r="Q31" i="226"/>
  <c r="P31" i="226"/>
  <c r="O31" i="226"/>
  <c r="N31" i="226"/>
  <c r="M31" i="226"/>
  <c r="L31" i="226"/>
  <c r="K31" i="226"/>
  <c r="J31" i="226"/>
  <c r="F31" i="226"/>
  <c r="E31" i="226"/>
  <c r="D31" i="226"/>
  <c r="C31" i="226"/>
  <c r="B31" i="226"/>
  <c r="V30" i="226"/>
  <c r="U30" i="226"/>
  <c r="T30" i="226"/>
  <c r="S30" i="226"/>
  <c r="R30" i="226"/>
  <c r="Q30" i="226"/>
  <c r="P30" i="226"/>
  <c r="O30" i="226"/>
  <c r="N30" i="226"/>
  <c r="M30" i="226"/>
  <c r="L30" i="226"/>
  <c r="K30" i="226"/>
  <c r="J30" i="226"/>
  <c r="F30" i="226"/>
  <c r="E30" i="226"/>
  <c r="D30" i="226"/>
  <c r="C30" i="226"/>
  <c r="B30" i="226"/>
  <c r="V29" i="226"/>
  <c r="U29" i="226"/>
  <c r="T29" i="226"/>
  <c r="S29" i="226"/>
  <c r="R29" i="226"/>
  <c r="Q29" i="226"/>
  <c r="P29" i="226"/>
  <c r="O29" i="226"/>
  <c r="N29" i="226"/>
  <c r="M29" i="226"/>
  <c r="L29" i="226"/>
  <c r="K29" i="226"/>
  <c r="J29" i="226"/>
  <c r="F29" i="226"/>
  <c r="E29" i="226"/>
  <c r="D29" i="226"/>
  <c r="C29" i="226"/>
  <c r="B29" i="226"/>
  <c r="V28" i="226"/>
  <c r="U28" i="226"/>
  <c r="T28" i="226"/>
  <c r="S28" i="226"/>
  <c r="R28" i="226"/>
  <c r="Q28" i="226"/>
  <c r="P28" i="226"/>
  <c r="O28" i="226"/>
  <c r="N28" i="226"/>
  <c r="M28" i="226"/>
  <c r="L28" i="226"/>
  <c r="K28" i="226"/>
  <c r="J28" i="226"/>
  <c r="F28" i="226"/>
  <c r="E28" i="226"/>
  <c r="D28" i="226"/>
  <c r="C28" i="226"/>
  <c r="B28" i="226"/>
  <c r="V27" i="226"/>
  <c r="U27" i="226"/>
  <c r="T27" i="226"/>
  <c r="S27" i="226"/>
  <c r="R27" i="226"/>
  <c r="Q27" i="226"/>
  <c r="P27" i="226"/>
  <c r="O27" i="226"/>
  <c r="N27" i="226"/>
  <c r="M27" i="226"/>
  <c r="L27" i="226"/>
  <c r="K27" i="226"/>
  <c r="J27" i="226"/>
  <c r="F27" i="226"/>
  <c r="E27" i="226"/>
  <c r="D27" i="226"/>
  <c r="C27" i="226"/>
  <c r="B27" i="226"/>
  <c r="V26" i="226"/>
  <c r="U26" i="226"/>
  <c r="T26" i="226"/>
  <c r="S26" i="226"/>
  <c r="R26" i="226"/>
  <c r="Q26" i="226"/>
  <c r="P26" i="226"/>
  <c r="O26" i="226"/>
  <c r="N26" i="226"/>
  <c r="M26" i="226"/>
  <c r="L26" i="226"/>
  <c r="K26" i="226"/>
  <c r="J26" i="226"/>
  <c r="F26" i="226"/>
  <c r="E26" i="226"/>
  <c r="D26" i="226"/>
  <c r="C26" i="226"/>
  <c r="B26" i="226"/>
  <c r="V25" i="226"/>
  <c r="U25" i="226"/>
  <c r="T25" i="226"/>
  <c r="S25" i="226"/>
  <c r="R25" i="226"/>
  <c r="Q25" i="226"/>
  <c r="P25" i="226"/>
  <c r="O25" i="226"/>
  <c r="N25" i="226"/>
  <c r="M25" i="226"/>
  <c r="L25" i="226"/>
  <c r="K25" i="226"/>
  <c r="J25" i="226"/>
  <c r="F25" i="226"/>
  <c r="E25" i="226"/>
  <c r="D25" i="226"/>
  <c r="C25" i="226"/>
  <c r="B25" i="226"/>
  <c r="V24" i="226"/>
  <c r="U24" i="226"/>
  <c r="T24" i="226"/>
  <c r="S24" i="226"/>
  <c r="R24" i="226"/>
  <c r="Q24" i="226"/>
  <c r="P24" i="226"/>
  <c r="O24" i="226"/>
  <c r="N24" i="226"/>
  <c r="M24" i="226"/>
  <c r="L24" i="226"/>
  <c r="K24" i="226"/>
  <c r="J24" i="226"/>
  <c r="F24" i="226"/>
  <c r="E24" i="226"/>
  <c r="D24" i="226"/>
  <c r="C24" i="226"/>
  <c r="B24" i="226"/>
  <c r="V23" i="226"/>
  <c r="U23" i="226"/>
  <c r="T23" i="226"/>
  <c r="S23" i="226"/>
  <c r="R23" i="226"/>
  <c r="Q23" i="226"/>
  <c r="P23" i="226"/>
  <c r="O23" i="226"/>
  <c r="N23" i="226"/>
  <c r="M23" i="226"/>
  <c r="L23" i="226"/>
  <c r="K23" i="226"/>
  <c r="J23" i="226"/>
  <c r="F23" i="226"/>
  <c r="E23" i="226"/>
  <c r="D23" i="226"/>
  <c r="C23" i="226"/>
  <c r="B23" i="226"/>
  <c r="V22" i="226"/>
  <c r="U22" i="226"/>
  <c r="T22" i="226"/>
  <c r="S22" i="226"/>
  <c r="R22" i="226"/>
  <c r="Q22" i="226"/>
  <c r="P22" i="226"/>
  <c r="O22" i="226"/>
  <c r="N22" i="226"/>
  <c r="M22" i="226"/>
  <c r="L22" i="226"/>
  <c r="K22" i="226"/>
  <c r="J22" i="226"/>
  <c r="F22" i="226"/>
  <c r="E22" i="226"/>
  <c r="D22" i="226"/>
  <c r="C22" i="226"/>
  <c r="B22" i="226"/>
  <c r="V21" i="226"/>
  <c r="U21" i="226"/>
  <c r="T21" i="226"/>
  <c r="S21" i="226"/>
  <c r="R21" i="226"/>
  <c r="Q21" i="226"/>
  <c r="P21" i="226"/>
  <c r="O21" i="226"/>
  <c r="N21" i="226"/>
  <c r="M21" i="226"/>
  <c r="L21" i="226"/>
  <c r="K21" i="226"/>
  <c r="J21" i="226"/>
  <c r="F21" i="226"/>
  <c r="E21" i="226"/>
  <c r="D21" i="226"/>
  <c r="C21" i="226"/>
  <c r="B21" i="226"/>
  <c r="V20" i="226"/>
  <c r="U20" i="226"/>
  <c r="T20" i="226"/>
  <c r="S20" i="226"/>
  <c r="R20" i="226"/>
  <c r="Q20" i="226"/>
  <c r="P20" i="226"/>
  <c r="O20" i="226"/>
  <c r="N20" i="226"/>
  <c r="M20" i="226"/>
  <c r="L20" i="226"/>
  <c r="K20" i="226"/>
  <c r="J20" i="226"/>
  <c r="F20" i="226"/>
  <c r="E20" i="226"/>
  <c r="D20" i="226"/>
  <c r="C20" i="226"/>
  <c r="B20" i="226"/>
  <c r="V19" i="226"/>
  <c r="U19" i="226"/>
  <c r="T19" i="226"/>
  <c r="S19" i="226"/>
  <c r="R19" i="226"/>
  <c r="Q19" i="226"/>
  <c r="P19" i="226"/>
  <c r="O19" i="226"/>
  <c r="N19" i="226"/>
  <c r="M19" i="226"/>
  <c r="L19" i="226"/>
  <c r="K19" i="226"/>
  <c r="J19" i="226"/>
  <c r="F19" i="226"/>
  <c r="E19" i="226"/>
  <c r="D19" i="226"/>
  <c r="C19" i="226"/>
  <c r="B19" i="226"/>
  <c r="V18" i="226"/>
  <c r="U18" i="226"/>
  <c r="T18" i="226"/>
  <c r="S18" i="226"/>
  <c r="R18" i="226"/>
  <c r="Q18" i="226"/>
  <c r="P18" i="226"/>
  <c r="O18" i="226"/>
  <c r="N18" i="226"/>
  <c r="M18" i="226"/>
  <c r="L18" i="226"/>
  <c r="K18" i="226"/>
  <c r="J18" i="226"/>
  <c r="F18" i="226"/>
  <c r="E18" i="226"/>
  <c r="D18" i="226"/>
  <c r="C18" i="226"/>
  <c r="B18" i="226"/>
  <c r="V17" i="226"/>
  <c r="U17" i="226"/>
  <c r="T17" i="226"/>
  <c r="S17" i="226"/>
  <c r="R17" i="226"/>
  <c r="Q17" i="226"/>
  <c r="P17" i="226"/>
  <c r="O17" i="226"/>
  <c r="N17" i="226"/>
  <c r="M17" i="226"/>
  <c r="L17" i="226"/>
  <c r="K17" i="226"/>
  <c r="J17" i="226"/>
  <c r="F17" i="226"/>
  <c r="E17" i="226"/>
  <c r="D17" i="226"/>
  <c r="C17" i="226"/>
  <c r="B17" i="226"/>
  <c r="E16" i="226"/>
  <c r="D16" i="226"/>
  <c r="C16" i="226"/>
  <c r="C15" i="226"/>
  <c r="B14" i="226"/>
  <c r="A9" i="226"/>
  <c r="A1" i="226"/>
  <c r="I78" i="218"/>
  <c r="H63" i="218"/>
  <c r="G63" i="218"/>
  <c r="F63" i="218"/>
  <c r="E63" i="218"/>
  <c r="D63" i="218"/>
  <c r="C63" i="218"/>
  <c r="H62" i="218"/>
  <c r="G62" i="218"/>
  <c r="F62" i="218"/>
  <c r="E62" i="218"/>
  <c r="D62" i="218"/>
  <c r="C62" i="218"/>
  <c r="H61" i="218"/>
  <c r="G61" i="218"/>
  <c r="F61" i="218"/>
  <c r="A10" i="218"/>
  <c r="A1" i="218"/>
  <c r="X93" i="227"/>
  <c r="W93" i="227"/>
  <c r="V93" i="227"/>
  <c r="U93" i="227"/>
  <c r="T93" i="227"/>
  <c r="S93" i="227"/>
  <c r="R93" i="227"/>
  <c r="Q93" i="227"/>
  <c r="P93" i="227"/>
  <c r="O93" i="227"/>
  <c r="N93" i="227"/>
  <c r="M93" i="227"/>
  <c r="L93" i="227"/>
  <c r="K93" i="227"/>
  <c r="J93" i="227"/>
  <c r="I93" i="227"/>
  <c r="H93" i="227"/>
  <c r="G93" i="227"/>
  <c r="F93" i="227"/>
  <c r="E93" i="227"/>
  <c r="D93" i="227"/>
  <c r="C93" i="227"/>
  <c r="X92" i="227"/>
  <c r="W92" i="227"/>
  <c r="V92" i="227"/>
  <c r="U92" i="227"/>
  <c r="T92" i="227"/>
  <c r="S92" i="227"/>
  <c r="R92" i="227"/>
  <c r="Q92" i="227"/>
  <c r="P92" i="227"/>
  <c r="O92" i="227"/>
  <c r="N92" i="227"/>
  <c r="M92" i="227"/>
  <c r="L92" i="227"/>
  <c r="K92" i="227"/>
  <c r="J92" i="227"/>
  <c r="I92" i="227"/>
  <c r="H92" i="227"/>
  <c r="G92" i="227"/>
  <c r="F92" i="227"/>
  <c r="E92" i="227"/>
  <c r="D92" i="227"/>
  <c r="C92" i="227"/>
  <c r="X91" i="227"/>
  <c r="W91" i="227"/>
  <c r="V91" i="227"/>
  <c r="U91" i="227"/>
  <c r="T91" i="227"/>
  <c r="S91" i="227"/>
  <c r="R91" i="227"/>
  <c r="Q91" i="227"/>
  <c r="P91" i="227"/>
  <c r="O91" i="227"/>
  <c r="N91" i="227"/>
  <c r="M91" i="227"/>
  <c r="L91" i="227"/>
  <c r="K91" i="227"/>
  <c r="J91" i="227"/>
  <c r="I91" i="227"/>
  <c r="H91" i="227"/>
  <c r="G91" i="227"/>
  <c r="F91" i="227"/>
  <c r="E91" i="227"/>
  <c r="D91" i="227"/>
  <c r="C91" i="227"/>
  <c r="X90" i="227"/>
  <c r="W90" i="227"/>
  <c r="V90" i="227"/>
  <c r="U90" i="227"/>
  <c r="T90" i="227"/>
  <c r="S90" i="227"/>
  <c r="R90" i="227"/>
  <c r="Q90" i="227"/>
  <c r="P90" i="227"/>
  <c r="O90" i="227"/>
  <c r="N90" i="227"/>
  <c r="M90" i="227"/>
  <c r="L90" i="227"/>
  <c r="K90" i="227"/>
  <c r="J90" i="227"/>
  <c r="I90" i="227"/>
  <c r="H90" i="227"/>
  <c r="G90" i="227"/>
  <c r="F90" i="227"/>
  <c r="E90" i="227"/>
  <c r="D90" i="227"/>
  <c r="C90" i="227"/>
  <c r="X89" i="227"/>
  <c r="W89" i="227"/>
  <c r="V89" i="227"/>
  <c r="U89" i="227"/>
  <c r="T89" i="227"/>
  <c r="S89" i="227"/>
  <c r="R89" i="227"/>
  <c r="Q89" i="227"/>
  <c r="P89" i="227"/>
  <c r="O89" i="227"/>
  <c r="N89" i="227"/>
  <c r="M89" i="227"/>
  <c r="L89" i="227"/>
  <c r="K89" i="227"/>
  <c r="J89" i="227"/>
  <c r="I89" i="227"/>
  <c r="H89" i="227"/>
  <c r="G89" i="227"/>
  <c r="F89" i="227"/>
  <c r="E89" i="227"/>
  <c r="D89" i="227"/>
  <c r="C89" i="227"/>
  <c r="X88" i="227"/>
  <c r="W88" i="227"/>
  <c r="V88" i="227"/>
  <c r="U88" i="227"/>
  <c r="T88" i="227"/>
  <c r="S88" i="227"/>
  <c r="R88" i="227"/>
  <c r="Q88" i="227"/>
  <c r="P88" i="227"/>
  <c r="O88" i="227"/>
  <c r="N88" i="227"/>
  <c r="M88" i="227"/>
  <c r="L88" i="227"/>
  <c r="K88" i="227"/>
  <c r="J88" i="227"/>
  <c r="I88" i="227"/>
  <c r="H88" i="227"/>
  <c r="G88" i="227"/>
  <c r="F88" i="227"/>
  <c r="E88" i="227"/>
  <c r="D88" i="227"/>
  <c r="C88" i="227"/>
  <c r="Y87" i="227"/>
  <c r="X87" i="227"/>
  <c r="W87" i="227"/>
  <c r="V87" i="227"/>
  <c r="U87" i="227"/>
  <c r="T87" i="227"/>
  <c r="S87" i="227"/>
  <c r="R87" i="227"/>
  <c r="Q87" i="227"/>
  <c r="P87" i="227"/>
  <c r="O87" i="227"/>
  <c r="N87" i="227"/>
  <c r="M87" i="227"/>
  <c r="L87" i="227"/>
  <c r="K87" i="227"/>
  <c r="J87" i="227"/>
  <c r="I87" i="227"/>
  <c r="H87" i="227"/>
  <c r="G87" i="227"/>
  <c r="F87" i="227"/>
  <c r="E87" i="227"/>
  <c r="D87" i="227"/>
  <c r="C87" i="227"/>
  <c r="Y86" i="227"/>
  <c r="X86" i="227"/>
  <c r="W86" i="227"/>
  <c r="V86" i="227"/>
  <c r="U86" i="227"/>
  <c r="T86" i="227"/>
  <c r="S86" i="227"/>
  <c r="R86" i="227"/>
  <c r="Q86" i="227"/>
  <c r="P86" i="227"/>
  <c r="O86" i="227"/>
  <c r="N86" i="227"/>
  <c r="M86" i="227"/>
  <c r="L86" i="227"/>
  <c r="K86" i="227"/>
  <c r="J86" i="227"/>
  <c r="I86" i="227"/>
  <c r="H86" i="227"/>
  <c r="G86" i="227"/>
  <c r="F86" i="227"/>
  <c r="E86" i="227"/>
  <c r="D86" i="227"/>
  <c r="C86" i="227"/>
  <c r="Y85" i="227"/>
  <c r="X85" i="227"/>
  <c r="W85" i="227"/>
  <c r="V85" i="227"/>
  <c r="U85" i="227"/>
  <c r="T85" i="227"/>
  <c r="S85" i="227"/>
  <c r="R85" i="227"/>
  <c r="Q85" i="227"/>
  <c r="P85" i="227"/>
  <c r="O85" i="227"/>
  <c r="N85" i="227"/>
  <c r="M85" i="227"/>
  <c r="L85" i="227"/>
  <c r="K85" i="227"/>
  <c r="J85" i="227"/>
  <c r="I85" i="227"/>
  <c r="H85" i="227"/>
  <c r="G85" i="227"/>
  <c r="F85" i="227"/>
  <c r="E85" i="227"/>
  <c r="D85" i="227"/>
  <c r="C85" i="227"/>
  <c r="Y84" i="227"/>
  <c r="X84" i="227"/>
  <c r="W84" i="227"/>
  <c r="V84" i="227"/>
  <c r="U84" i="227"/>
  <c r="T84" i="227"/>
  <c r="S84" i="227"/>
  <c r="R84" i="227"/>
  <c r="Q84" i="227"/>
  <c r="P84" i="227"/>
  <c r="O84" i="227"/>
  <c r="N84" i="227"/>
  <c r="M84" i="227"/>
  <c r="L84" i="227"/>
  <c r="K84" i="227"/>
  <c r="J84" i="227"/>
  <c r="I84" i="227"/>
  <c r="H84" i="227"/>
  <c r="G84" i="227"/>
  <c r="F84" i="227"/>
  <c r="E84" i="227"/>
  <c r="D84" i="227"/>
  <c r="C84" i="227"/>
  <c r="Y83" i="227"/>
  <c r="X83" i="227"/>
  <c r="W83" i="227"/>
  <c r="V83" i="227"/>
  <c r="U83" i="227"/>
  <c r="T83" i="227"/>
  <c r="S83" i="227"/>
  <c r="R83" i="227"/>
  <c r="Q83" i="227"/>
  <c r="P83" i="227"/>
  <c r="O83" i="227"/>
  <c r="N83" i="227"/>
  <c r="M83" i="227"/>
  <c r="L83" i="227"/>
  <c r="K83" i="227"/>
  <c r="J83" i="227"/>
  <c r="I83" i="227"/>
  <c r="H83" i="227"/>
  <c r="G83" i="227"/>
  <c r="F83" i="227"/>
  <c r="E83" i="227"/>
  <c r="D83" i="227"/>
  <c r="C83" i="227"/>
  <c r="Y82" i="227"/>
  <c r="X82" i="227"/>
  <c r="W82" i="227"/>
  <c r="V82" i="227"/>
  <c r="U82" i="227"/>
  <c r="T82" i="227"/>
  <c r="S82" i="227"/>
  <c r="R82" i="227"/>
  <c r="Q82" i="227"/>
  <c r="P82" i="227"/>
  <c r="O82" i="227"/>
  <c r="N82" i="227"/>
  <c r="M82" i="227"/>
  <c r="L82" i="227"/>
  <c r="K82" i="227"/>
  <c r="J82" i="227"/>
  <c r="I82" i="227"/>
  <c r="H82" i="227"/>
  <c r="G82" i="227"/>
  <c r="F82" i="227"/>
  <c r="E82" i="227"/>
  <c r="D82" i="227"/>
  <c r="C82" i="227"/>
  <c r="Y81" i="227"/>
  <c r="X81" i="227"/>
  <c r="W81" i="227"/>
  <c r="V81" i="227"/>
  <c r="U81" i="227"/>
  <c r="T81" i="227"/>
  <c r="S81" i="227"/>
  <c r="R81" i="227"/>
  <c r="Q81" i="227"/>
  <c r="P81" i="227"/>
  <c r="O81" i="227"/>
  <c r="N81" i="227"/>
  <c r="M81" i="227"/>
  <c r="L81" i="227"/>
  <c r="K81" i="227"/>
  <c r="J81" i="227"/>
  <c r="I81" i="227"/>
  <c r="H81" i="227"/>
  <c r="G81" i="227"/>
  <c r="F81" i="227"/>
  <c r="E81" i="227"/>
  <c r="D81" i="227"/>
  <c r="C81" i="227"/>
  <c r="Y40" i="227"/>
  <c r="X40" i="227"/>
  <c r="W40" i="227"/>
  <c r="V40" i="227"/>
  <c r="U40" i="227"/>
  <c r="T40" i="227"/>
  <c r="S40" i="227"/>
  <c r="R40" i="227"/>
  <c r="Q40" i="227"/>
  <c r="P40" i="227"/>
  <c r="O40" i="227"/>
  <c r="N40" i="227"/>
  <c r="M40" i="227"/>
  <c r="L40" i="227"/>
  <c r="K40" i="227"/>
  <c r="J40" i="227"/>
  <c r="I40" i="227"/>
  <c r="H40" i="227"/>
  <c r="G40" i="227"/>
  <c r="F40" i="227"/>
  <c r="E40" i="227"/>
  <c r="D40" i="227"/>
  <c r="C40" i="227"/>
  <c r="Z39" i="227"/>
  <c r="Y39" i="227"/>
  <c r="X39" i="227"/>
  <c r="W39" i="227"/>
  <c r="V39" i="227"/>
  <c r="U39" i="227"/>
  <c r="T39" i="227"/>
  <c r="S39" i="227"/>
  <c r="R39" i="227"/>
  <c r="Q39" i="227"/>
  <c r="P39" i="227"/>
  <c r="O39" i="227"/>
  <c r="N39" i="227"/>
  <c r="M39" i="227"/>
  <c r="L39" i="227"/>
  <c r="K39" i="227"/>
  <c r="J39" i="227"/>
  <c r="I39" i="227"/>
  <c r="H39" i="227"/>
  <c r="G39" i="227"/>
  <c r="F39" i="227"/>
  <c r="E39" i="227"/>
  <c r="D39" i="227"/>
  <c r="C39" i="227"/>
  <c r="Y38" i="227"/>
  <c r="X38" i="227"/>
  <c r="W38" i="227"/>
  <c r="V38" i="227"/>
  <c r="U38" i="227"/>
  <c r="T38" i="227"/>
  <c r="S38" i="227"/>
  <c r="R38" i="227"/>
  <c r="Q38" i="227"/>
  <c r="P38" i="227"/>
  <c r="O38" i="227"/>
  <c r="N38" i="227"/>
  <c r="M38" i="227"/>
  <c r="L38" i="227"/>
  <c r="K38" i="227"/>
  <c r="J38" i="227"/>
  <c r="I38" i="227"/>
  <c r="H38" i="227"/>
  <c r="G38" i="227"/>
  <c r="F38" i="227"/>
  <c r="E38" i="227"/>
  <c r="D38" i="227"/>
  <c r="C38" i="227"/>
  <c r="Z37" i="227"/>
  <c r="Y37" i="227"/>
  <c r="X37" i="227"/>
  <c r="W37" i="227"/>
  <c r="V37" i="227"/>
  <c r="U37" i="227"/>
  <c r="T37" i="227"/>
  <c r="S37" i="227"/>
  <c r="R37" i="227"/>
  <c r="Q37" i="227"/>
  <c r="P37" i="227"/>
  <c r="O37" i="227"/>
  <c r="N37" i="227"/>
  <c r="M37" i="227"/>
  <c r="L37" i="227"/>
  <c r="K37" i="227"/>
  <c r="J37" i="227"/>
  <c r="I37" i="227"/>
  <c r="H37" i="227"/>
  <c r="G37" i="227"/>
  <c r="F37" i="227"/>
  <c r="E37" i="227"/>
  <c r="D37" i="227"/>
  <c r="C37" i="227"/>
  <c r="Z36" i="227"/>
  <c r="Y36" i="227"/>
  <c r="X36" i="227"/>
  <c r="W36" i="227"/>
  <c r="V36" i="227"/>
  <c r="U36" i="227"/>
  <c r="T36" i="227"/>
  <c r="S36" i="227"/>
  <c r="R36" i="227"/>
  <c r="Q36" i="227"/>
  <c r="P36" i="227"/>
  <c r="O36" i="227"/>
  <c r="N36" i="227"/>
  <c r="M36" i="227"/>
  <c r="L36" i="227"/>
  <c r="K36" i="227"/>
  <c r="J36" i="227"/>
  <c r="I36" i="227"/>
  <c r="H36" i="227"/>
  <c r="G36" i="227"/>
  <c r="F36" i="227"/>
  <c r="E36" i="227"/>
  <c r="D36" i="227"/>
  <c r="C36" i="227"/>
  <c r="Y34" i="227"/>
  <c r="X34" i="227"/>
  <c r="W34" i="227"/>
  <c r="V34" i="227"/>
  <c r="U34" i="227"/>
  <c r="T34" i="227"/>
  <c r="S34" i="227"/>
  <c r="R34" i="227"/>
  <c r="Q34" i="227"/>
  <c r="P34" i="227"/>
  <c r="O34" i="227"/>
  <c r="N34" i="227"/>
  <c r="M34" i="227"/>
  <c r="L34" i="227"/>
  <c r="K34" i="227"/>
  <c r="J34" i="227"/>
  <c r="I34" i="227"/>
  <c r="H34" i="227"/>
  <c r="G34" i="227"/>
  <c r="F34" i="227"/>
  <c r="E34" i="227"/>
  <c r="D34" i="227"/>
  <c r="C34" i="227"/>
  <c r="Z33" i="227"/>
  <c r="Y33" i="227"/>
  <c r="X33" i="227"/>
  <c r="W33" i="227"/>
  <c r="V33" i="227"/>
  <c r="U33" i="227"/>
  <c r="T33" i="227"/>
  <c r="S33" i="227"/>
  <c r="R33" i="227"/>
  <c r="Q33" i="227"/>
  <c r="P33" i="227"/>
  <c r="O33" i="227"/>
  <c r="N33" i="227"/>
  <c r="M33" i="227"/>
  <c r="L33" i="227"/>
  <c r="K33" i="227"/>
  <c r="J33" i="227"/>
  <c r="I33" i="227"/>
  <c r="H33" i="227"/>
  <c r="G33" i="227"/>
  <c r="F33" i="227"/>
  <c r="E33" i="227"/>
  <c r="D33" i="227"/>
  <c r="C33" i="227"/>
  <c r="Z32" i="227"/>
  <c r="Y32" i="227"/>
  <c r="X32" i="227"/>
  <c r="W32" i="227"/>
  <c r="V32" i="227"/>
  <c r="U32" i="227"/>
  <c r="T32" i="227"/>
  <c r="S32" i="227"/>
  <c r="R32" i="227"/>
  <c r="Q32" i="227"/>
  <c r="P32" i="227"/>
  <c r="O32" i="227"/>
  <c r="N32" i="227"/>
  <c r="M32" i="227"/>
  <c r="L32" i="227"/>
  <c r="K32" i="227"/>
  <c r="J32" i="227"/>
  <c r="I32" i="227"/>
  <c r="H32" i="227"/>
  <c r="G32" i="227"/>
  <c r="F32" i="227"/>
  <c r="E32" i="227"/>
  <c r="D32" i="227"/>
  <c r="C32" i="227"/>
  <c r="Z28" i="227"/>
  <c r="Y28" i="227"/>
  <c r="X28" i="227"/>
  <c r="W28" i="227"/>
  <c r="V28" i="227"/>
  <c r="U28" i="227"/>
  <c r="T28" i="227"/>
  <c r="S28" i="227"/>
  <c r="R28" i="227"/>
  <c r="Q28" i="227"/>
  <c r="P28" i="227"/>
  <c r="O28" i="227"/>
  <c r="N28" i="227"/>
  <c r="M28" i="227"/>
  <c r="L28" i="227"/>
  <c r="K28" i="227"/>
  <c r="J28" i="227"/>
  <c r="I28" i="227"/>
  <c r="H28" i="227"/>
  <c r="G28" i="227"/>
  <c r="F28" i="227"/>
  <c r="E28" i="227"/>
  <c r="D28" i="227"/>
  <c r="C28" i="227"/>
  <c r="Z27" i="227"/>
  <c r="Y27" i="227"/>
  <c r="X27" i="227"/>
  <c r="W27" i="227"/>
  <c r="V27" i="227"/>
  <c r="U27" i="227"/>
  <c r="T27" i="227"/>
  <c r="S27" i="227"/>
  <c r="R27" i="227"/>
  <c r="Q27" i="227"/>
  <c r="P27" i="227"/>
  <c r="O27" i="227"/>
  <c r="N27" i="227"/>
  <c r="M27" i="227"/>
  <c r="L27" i="227"/>
  <c r="K27" i="227"/>
  <c r="J27" i="227"/>
  <c r="I27" i="227"/>
  <c r="H27" i="227"/>
  <c r="G27" i="227"/>
  <c r="F27" i="227"/>
  <c r="E27" i="227"/>
  <c r="D27" i="227"/>
  <c r="C27" i="227"/>
  <c r="Z23" i="227"/>
  <c r="Y23" i="227"/>
  <c r="X23" i="227"/>
  <c r="W23" i="227"/>
  <c r="V23" i="227"/>
  <c r="U23" i="227"/>
  <c r="T23" i="227"/>
  <c r="S23" i="227"/>
  <c r="R23" i="227"/>
  <c r="Q23" i="227"/>
  <c r="P23" i="227"/>
  <c r="O23" i="227"/>
  <c r="N23" i="227"/>
  <c r="M23" i="227"/>
  <c r="L23" i="227"/>
  <c r="K23" i="227"/>
  <c r="J23" i="227"/>
  <c r="I23" i="227"/>
  <c r="H23" i="227"/>
  <c r="G23" i="227"/>
  <c r="F23" i="227"/>
  <c r="E23" i="227"/>
  <c r="D23" i="227"/>
  <c r="C23" i="227"/>
  <c r="Z22" i="227"/>
  <c r="Y22" i="227"/>
  <c r="X22" i="227"/>
  <c r="W22" i="227"/>
  <c r="V22" i="227"/>
  <c r="U22" i="227"/>
  <c r="T22" i="227"/>
  <c r="S22" i="227"/>
  <c r="R22" i="227"/>
  <c r="Q22" i="227"/>
  <c r="P22" i="227"/>
  <c r="O22" i="227"/>
  <c r="N22" i="227"/>
  <c r="M22" i="227"/>
  <c r="L22" i="227"/>
  <c r="K22" i="227"/>
  <c r="J22" i="227"/>
  <c r="I22" i="227"/>
  <c r="H22" i="227"/>
  <c r="G22" i="227"/>
  <c r="F22" i="227"/>
  <c r="E22" i="227"/>
  <c r="D22" i="227"/>
  <c r="C22" i="227"/>
  <c r="Z18" i="227"/>
  <c r="Y18" i="227"/>
  <c r="X18" i="227"/>
  <c r="W18" i="227"/>
  <c r="V18" i="227"/>
  <c r="U18" i="227"/>
  <c r="T18" i="227"/>
  <c r="S18" i="227"/>
  <c r="R18" i="227"/>
  <c r="Q18" i="227"/>
  <c r="P18" i="227"/>
  <c r="O18" i="227"/>
  <c r="N18" i="227"/>
  <c r="M18" i="227"/>
  <c r="L18" i="227"/>
  <c r="K18" i="227"/>
  <c r="J18" i="227"/>
  <c r="I18" i="227"/>
  <c r="H18" i="227"/>
  <c r="G18" i="227"/>
  <c r="F18" i="227"/>
  <c r="E18" i="227"/>
  <c r="D18" i="227"/>
  <c r="C18" i="227"/>
  <c r="Z17" i="227"/>
  <c r="Y17" i="227"/>
  <c r="X17" i="227"/>
  <c r="W17" i="227"/>
  <c r="V17" i="227"/>
  <c r="U17" i="227"/>
  <c r="T17" i="227"/>
  <c r="S17" i="227"/>
  <c r="R17" i="227"/>
  <c r="Q17" i="227"/>
  <c r="P17" i="227"/>
  <c r="O17" i="227"/>
  <c r="N17" i="227"/>
  <c r="M17" i="227"/>
  <c r="L17" i="227"/>
  <c r="K17" i="227"/>
  <c r="J17" i="227"/>
  <c r="I17" i="227"/>
  <c r="H17" i="227"/>
  <c r="G17" i="227"/>
  <c r="F17" i="227"/>
  <c r="E17" i="227"/>
  <c r="D17" i="227"/>
  <c r="C17" i="227"/>
  <c r="Z13" i="227"/>
  <c r="Y13" i="227"/>
  <c r="X13" i="227"/>
  <c r="W13" i="227"/>
  <c r="V13" i="227"/>
  <c r="U13" i="227"/>
  <c r="T13" i="227"/>
  <c r="S13" i="227"/>
  <c r="R13" i="227"/>
  <c r="Q13" i="227"/>
  <c r="P13" i="227"/>
  <c r="O13" i="227"/>
  <c r="N13" i="227"/>
  <c r="M13" i="227"/>
  <c r="L13" i="227"/>
  <c r="K13" i="227"/>
  <c r="J13" i="227"/>
  <c r="I13" i="227"/>
  <c r="H13" i="227"/>
  <c r="G13" i="227"/>
  <c r="F13" i="227"/>
  <c r="E13" i="227"/>
  <c r="D13" i="227"/>
  <c r="C13" i="227"/>
  <c r="Z12" i="227"/>
  <c r="Y12" i="227"/>
  <c r="X12" i="227"/>
  <c r="W12" i="227"/>
  <c r="V12" i="227"/>
  <c r="U12" i="227"/>
  <c r="T12" i="227"/>
  <c r="S12" i="227"/>
  <c r="R12" i="227"/>
  <c r="Q12" i="227"/>
  <c r="P12" i="227"/>
  <c r="O12" i="227"/>
  <c r="N12" i="227"/>
  <c r="M12" i="227"/>
  <c r="L12" i="227"/>
  <c r="K12" i="227"/>
  <c r="J12" i="227"/>
  <c r="I12" i="227"/>
  <c r="H12" i="227"/>
  <c r="G12" i="227"/>
  <c r="F12" i="227"/>
  <c r="E12" i="227"/>
  <c r="D12" i="227"/>
  <c r="C12" i="227"/>
  <c r="A1" i="227"/>
  <c r="G625" i="217"/>
  <c r="F625" i="217"/>
  <c r="E625" i="217"/>
  <c r="D625" i="217"/>
  <c r="G623" i="217"/>
  <c r="F623" i="217"/>
  <c r="E623" i="217"/>
  <c r="D623" i="217"/>
  <c r="G621" i="217"/>
  <c r="F621" i="217"/>
  <c r="E621" i="217"/>
  <c r="D621" i="217"/>
  <c r="C621" i="217"/>
  <c r="G619" i="217"/>
  <c r="F619" i="217"/>
  <c r="E619" i="217"/>
  <c r="D619" i="217"/>
  <c r="G617" i="217"/>
  <c r="F617" i="217"/>
  <c r="E617" i="217"/>
  <c r="D617" i="217"/>
  <c r="G615" i="217"/>
  <c r="F615" i="217"/>
  <c r="E615" i="217"/>
  <c r="D615" i="217"/>
  <c r="C615" i="217"/>
  <c r="T614" i="217"/>
  <c r="S614" i="217"/>
  <c r="R614" i="217"/>
  <c r="Q614" i="217"/>
  <c r="P614" i="217"/>
  <c r="O614" i="217"/>
  <c r="N614" i="217"/>
  <c r="M614" i="217"/>
  <c r="L614" i="217"/>
  <c r="K614" i="217"/>
  <c r="J614" i="217"/>
  <c r="I614" i="217"/>
  <c r="H614" i="217"/>
  <c r="G614" i="217"/>
  <c r="F614" i="217"/>
  <c r="E614" i="217"/>
  <c r="D614" i="217"/>
  <c r="C614" i="217"/>
  <c r="F588" i="217"/>
  <c r="E588" i="217"/>
  <c r="D588" i="217"/>
  <c r="C588" i="217"/>
  <c r="H587" i="217"/>
  <c r="H586" i="217"/>
  <c r="H585" i="217"/>
  <c r="H584" i="217"/>
  <c r="H583" i="217"/>
  <c r="H582" i="217"/>
  <c r="G582" i="217"/>
  <c r="F582" i="217"/>
  <c r="E582" i="217"/>
  <c r="D582" i="217"/>
  <c r="C582" i="217"/>
  <c r="H581" i="217"/>
  <c r="G581" i="217"/>
  <c r="F581" i="217"/>
  <c r="E581" i="217"/>
  <c r="D581" i="217"/>
  <c r="C581" i="217"/>
  <c r="H580" i="217"/>
  <c r="G580" i="217"/>
  <c r="F580" i="217"/>
  <c r="E580" i="217"/>
  <c r="D580" i="217"/>
  <c r="C580" i="217"/>
  <c r="H579" i="217"/>
  <c r="G579" i="217"/>
  <c r="F579" i="217"/>
  <c r="E579" i="217"/>
  <c r="D579" i="217"/>
  <c r="C579" i="217"/>
  <c r="H578" i="217"/>
  <c r="G578" i="217"/>
  <c r="F578" i="217"/>
  <c r="E578" i="217"/>
  <c r="D578" i="217"/>
  <c r="C578" i="217"/>
  <c r="H577" i="217"/>
  <c r="H576" i="217"/>
  <c r="H575" i="217"/>
  <c r="H574" i="217"/>
  <c r="H573" i="217"/>
  <c r="H572" i="217"/>
  <c r="G572" i="217"/>
  <c r="F572" i="217"/>
  <c r="E572" i="217"/>
  <c r="D572" i="217"/>
  <c r="C572" i="217"/>
  <c r="H571" i="217"/>
  <c r="G571" i="217"/>
  <c r="F571" i="217"/>
  <c r="E571" i="217"/>
  <c r="D571" i="217"/>
  <c r="C571" i="217"/>
  <c r="H570" i="217"/>
  <c r="G570" i="217"/>
  <c r="F570" i="217"/>
  <c r="E570" i="217"/>
  <c r="D570" i="217"/>
  <c r="C570" i="217"/>
  <c r="H569" i="217"/>
  <c r="G569" i="217"/>
  <c r="F569" i="217"/>
  <c r="E569" i="217"/>
  <c r="D569" i="217"/>
  <c r="C569" i="217"/>
  <c r="H568" i="217"/>
  <c r="G568" i="217"/>
  <c r="F568" i="217"/>
  <c r="E568" i="217"/>
  <c r="D568" i="217"/>
  <c r="C568" i="217"/>
  <c r="T567" i="217"/>
  <c r="S567" i="217"/>
  <c r="R567" i="217"/>
  <c r="Q567" i="217"/>
  <c r="P567" i="217"/>
  <c r="O567" i="217"/>
  <c r="N567" i="217"/>
  <c r="M567" i="217"/>
  <c r="L567" i="217"/>
  <c r="K567" i="217"/>
  <c r="J567" i="217"/>
  <c r="I567" i="217"/>
  <c r="H567" i="217"/>
  <c r="G567" i="217"/>
  <c r="F567" i="217"/>
  <c r="E567" i="217"/>
  <c r="D567" i="217"/>
  <c r="C567" i="217"/>
  <c r="H531" i="217"/>
  <c r="H530" i="217"/>
  <c r="H529" i="217"/>
  <c r="F529" i="217"/>
  <c r="E529" i="217"/>
  <c r="D529" i="217"/>
  <c r="C529" i="217"/>
  <c r="H528" i="217"/>
  <c r="H527" i="217"/>
  <c r="H526" i="217"/>
  <c r="H525" i="217"/>
  <c r="H524" i="217"/>
  <c r="H523" i="217"/>
  <c r="G523" i="217"/>
  <c r="F523" i="217"/>
  <c r="E523" i="217"/>
  <c r="D523" i="217"/>
  <c r="H522" i="217"/>
  <c r="G522" i="217"/>
  <c r="F522" i="217"/>
  <c r="E522" i="217"/>
  <c r="D522" i="217"/>
  <c r="H521" i="217"/>
  <c r="G521" i="217"/>
  <c r="F521" i="217"/>
  <c r="E521" i="217"/>
  <c r="D521" i="217"/>
  <c r="H520" i="217"/>
  <c r="G520" i="217"/>
  <c r="F520" i="217"/>
  <c r="E520" i="217"/>
  <c r="D520" i="217"/>
  <c r="H519" i="217"/>
  <c r="G519" i="217"/>
  <c r="F519" i="217"/>
  <c r="E519" i="217"/>
  <c r="D519" i="217"/>
  <c r="H518" i="217"/>
  <c r="H517" i="217"/>
  <c r="H516" i="217"/>
  <c r="H515" i="217"/>
  <c r="H514" i="217"/>
  <c r="H513" i="217"/>
  <c r="G513" i="217"/>
  <c r="F513" i="217"/>
  <c r="E513" i="217"/>
  <c r="D513" i="217"/>
  <c r="H512" i="217"/>
  <c r="G512" i="217"/>
  <c r="F512" i="217"/>
  <c r="E512" i="217"/>
  <c r="D512" i="217"/>
  <c r="H511" i="217"/>
  <c r="G511" i="217"/>
  <c r="F511" i="217"/>
  <c r="E511" i="217"/>
  <c r="D511" i="217"/>
  <c r="H510" i="217"/>
  <c r="G510" i="217"/>
  <c r="F510" i="217"/>
  <c r="E510" i="217"/>
  <c r="D510" i="217"/>
  <c r="H509" i="217"/>
  <c r="G509" i="217"/>
  <c r="F509" i="217"/>
  <c r="E509" i="217"/>
  <c r="D509" i="217"/>
  <c r="T508" i="217"/>
  <c r="S508" i="217"/>
  <c r="R508" i="217"/>
  <c r="Q508" i="217"/>
  <c r="P508" i="217"/>
  <c r="O508" i="217"/>
  <c r="N508" i="217"/>
  <c r="M508" i="217"/>
  <c r="L508" i="217"/>
  <c r="K508" i="217"/>
  <c r="J508" i="217"/>
  <c r="I508" i="217"/>
  <c r="H508" i="217"/>
  <c r="G508" i="217"/>
  <c r="F508" i="217"/>
  <c r="E508" i="217"/>
  <c r="D508" i="217"/>
  <c r="C508" i="217"/>
  <c r="G482" i="217"/>
  <c r="F482" i="217"/>
  <c r="E482" i="217"/>
  <c r="D482" i="217"/>
  <c r="C482" i="217"/>
  <c r="G480" i="217"/>
  <c r="F480" i="217"/>
  <c r="E480" i="217"/>
  <c r="D480" i="217"/>
  <c r="C480" i="217"/>
  <c r="G478" i="217"/>
  <c r="F478" i="217"/>
  <c r="E478" i="217"/>
  <c r="D478" i="217"/>
  <c r="C478" i="217"/>
  <c r="G476" i="217"/>
  <c r="F476" i="217"/>
  <c r="E476" i="217"/>
  <c r="D476" i="217"/>
  <c r="C476" i="217"/>
  <c r="G474" i="217"/>
  <c r="F474" i="217"/>
  <c r="E474" i="217"/>
  <c r="D474" i="217"/>
  <c r="C474" i="217"/>
  <c r="G472" i="217"/>
  <c r="F472" i="217"/>
  <c r="E472" i="217"/>
  <c r="D472" i="217"/>
  <c r="C472" i="217"/>
  <c r="T471" i="217"/>
  <c r="S471" i="217"/>
  <c r="R471" i="217"/>
  <c r="Q471" i="217"/>
  <c r="P471" i="217"/>
  <c r="O471" i="217"/>
  <c r="N471" i="217"/>
  <c r="M471" i="217"/>
  <c r="L471" i="217"/>
  <c r="K471" i="217"/>
  <c r="J471" i="217"/>
  <c r="I471" i="217"/>
  <c r="H471" i="217"/>
  <c r="G471" i="217"/>
  <c r="F471" i="217"/>
  <c r="E471" i="217"/>
  <c r="D471" i="217"/>
  <c r="C471" i="217"/>
  <c r="G445" i="217"/>
  <c r="F445" i="217"/>
  <c r="E445" i="217"/>
  <c r="D445" i="217"/>
  <c r="G443" i="217"/>
  <c r="F443" i="217"/>
  <c r="E443" i="217"/>
  <c r="D443" i="217"/>
  <c r="T442" i="217"/>
  <c r="S442" i="217"/>
  <c r="R442" i="217"/>
  <c r="Q442" i="217"/>
  <c r="P442" i="217"/>
  <c r="O442" i="217"/>
  <c r="N442" i="217"/>
  <c r="M442" i="217"/>
  <c r="L442" i="217"/>
  <c r="K442" i="217"/>
  <c r="J442" i="217"/>
  <c r="I442" i="217"/>
  <c r="H442" i="217"/>
  <c r="G442" i="217"/>
  <c r="F442" i="217"/>
  <c r="E442" i="217"/>
  <c r="D442" i="217"/>
  <c r="C442" i="217"/>
  <c r="G416" i="217"/>
  <c r="F416" i="217"/>
  <c r="E416" i="217"/>
  <c r="D416" i="217"/>
  <c r="G414" i="217"/>
  <c r="F414" i="217"/>
  <c r="E414" i="217"/>
  <c r="D414" i="217"/>
  <c r="T413" i="217"/>
  <c r="S413" i="217"/>
  <c r="R413" i="217"/>
  <c r="Q413" i="217"/>
  <c r="P413" i="217"/>
  <c r="O413" i="217"/>
  <c r="N413" i="217"/>
  <c r="M413" i="217"/>
  <c r="L413" i="217"/>
  <c r="K413" i="217"/>
  <c r="J413" i="217"/>
  <c r="I413" i="217"/>
  <c r="H413" i="217"/>
  <c r="G413" i="217"/>
  <c r="F413" i="217"/>
  <c r="E413" i="217"/>
  <c r="D413" i="217"/>
  <c r="C413" i="217"/>
  <c r="G387" i="217"/>
  <c r="F387" i="217"/>
  <c r="E387" i="217"/>
  <c r="D387" i="217"/>
  <c r="G385" i="217"/>
  <c r="F385" i="217"/>
  <c r="E385" i="217"/>
  <c r="D385" i="217"/>
  <c r="T384" i="217"/>
  <c r="S384" i="217"/>
  <c r="R384" i="217"/>
  <c r="Q384" i="217"/>
  <c r="P384" i="217"/>
  <c r="O384" i="217"/>
  <c r="N384" i="217"/>
  <c r="M384" i="217"/>
  <c r="L384" i="217"/>
  <c r="K384" i="217"/>
  <c r="J384" i="217"/>
  <c r="I384" i="217"/>
  <c r="H384" i="217"/>
  <c r="G384" i="217"/>
  <c r="F384" i="217"/>
  <c r="E384" i="217"/>
  <c r="D384" i="217"/>
  <c r="C384" i="217"/>
  <c r="G358" i="217"/>
  <c r="F358" i="217"/>
  <c r="E358" i="217"/>
  <c r="D358" i="217"/>
  <c r="C358" i="217"/>
  <c r="G356" i="217"/>
  <c r="F356" i="217"/>
  <c r="E356" i="217"/>
  <c r="D356" i="217"/>
  <c r="C356" i="217"/>
  <c r="T355" i="217"/>
  <c r="S355" i="217"/>
  <c r="R355" i="217"/>
  <c r="Q355" i="217"/>
  <c r="P355" i="217"/>
  <c r="O355" i="217"/>
  <c r="N355" i="217"/>
  <c r="M355" i="217"/>
  <c r="L355" i="217"/>
  <c r="K355" i="217"/>
  <c r="J355" i="217"/>
  <c r="I355" i="217"/>
  <c r="H355" i="217"/>
  <c r="G355" i="217"/>
  <c r="F355" i="217"/>
  <c r="E355" i="217"/>
  <c r="D355" i="217"/>
  <c r="C355" i="217"/>
  <c r="G329" i="217"/>
  <c r="F329" i="217"/>
  <c r="E329" i="217"/>
  <c r="D329" i="217"/>
  <c r="G327" i="217"/>
  <c r="F327" i="217"/>
  <c r="E327" i="217"/>
  <c r="D327" i="217"/>
  <c r="T326" i="217"/>
  <c r="S326" i="217"/>
  <c r="R326" i="217"/>
  <c r="Q326" i="217"/>
  <c r="P326" i="217"/>
  <c r="O326" i="217"/>
  <c r="N326" i="217"/>
  <c r="M326" i="217"/>
  <c r="L326" i="217"/>
  <c r="K326" i="217"/>
  <c r="J326" i="217"/>
  <c r="I326" i="217"/>
  <c r="H326" i="217"/>
  <c r="G326" i="217"/>
  <c r="F326" i="217"/>
  <c r="E326" i="217"/>
  <c r="D326" i="217"/>
  <c r="C326" i="217"/>
  <c r="G300" i="217"/>
  <c r="F300" i="217"/>
  <c r="E300" i="217"/>
  <c r="D300" i="217"/>
  <c r="G298" i="217"/>
  <c r="F298" i="217"/>
  <c r="E298" i="217"/>
  <c r="D298" i="217"/>
  <c r="T297" i="217"/>
  <c r="S297" i="217"/>
  <c r="R297" i="217"/>
  <c r="Q297" i="217"/>
  <c r="P297" i="217"/>
  <c r="O297" i="217"/>
  <c r="N297" i="217"/>
  <c r="M297" i="217"/>
  <c r="L297" i="217"/>
  <c r="K297" i="217"/>
  <c r="J297" i="217"/>
  <c r="I297" i="217"/>
  <c r="H297" i="217"/>
  <c r="G297" i="217"/>
  <c r="F297" i="217"/>
  <c r="E297" i="217"/>
  <c r="D297" i="217"/>
  <c r="C297" i="217"/>
  <c r="G271" i="217"/>
  <c r="F271" i="217"/>
  <c r="E271" i="217"/>
  <c r="D271" i="217"/>
  <c r="G269" i="217"/>
  <c r="F269" i="217"/>
  <c r="E269" i="217"/>
  <c r="D269" i="217"/>
  <c r="T268" i="217"/>
  <c r="S268" i="217"/>
  <c r="R268" i="217"/>
  <c r="Q268" i="217"/>
  <c r="P268" i="217"/>
  <c r="O268" i="217"/>
  <c r="N268" i="217"/>
  <c r="M268" i="217"/>
  <c r="L268" i="217"/>
  <c r="K268" i="217"/>
  <c r="J268" i="217"/>
  <c r="I268" i="217"/>
  <c r="H268" i="217"/>
  <c r="G268" i="217"/>
  <c r="F268" i="217"/>
  <c r="E268" i="217"/>
  <c r="D268" i="217"/>
  <c r="C268" i="217"/>
  <c r="G241" i="217"/>
  <c r="F241" i="217"/>
  <c r="E241" i="217"/>
  <c r="D241" i="217"/>
  <c r="C241" i="217"/>
  <c r="G239" i="217"/>
  <c r="F239" i="217"/>
  <c r="E239" i="217"/>
  <c r="D239" i="217"/>
  <c r="C239" i="217"/>
  <c r="T238" i="217"/>
  <c r="S238" i="217"/>
  <c r="R238" i="217"/>
  <c r="Q238" i="217"/>
  <c r="P238" i="217"/>
  <c r="O238" i="217"/>
  <c r="N238" i="217"/>
  <c r="M238" i="217"/>
  <c r="L238" i="217"/>
  <c r="K238" i="217"/>
  <c r="J238" i="217"/>
  <c r="I238" i="217"/>
  <c r="H238" i="217"/>
  <c r="G238" i="217"/>
  <c r="F238" i="217"/>
  <c r="E238" i="217"/>
  <c r="D238" i="217"/>
  <c r="C238" i="217"/>
  <c r="I213" i="217"/>
  <c r="G212" i="217"/>
  <c r="F212" i="217"/>
  <c r="E212" i="217"/>
  <c r="D212" i="217"/>
  <c r="I211" i="217"/>
  <c r="G210" i="217"/>
  <c r="F210" i="217"/>
  <c r="E210" i="217"/>
  <c r="D210" i="217"/>
  <c r="T209" i="217"/>
  <c r="S209" i="217"/>
  <c r="R209" i="217"/>
  <c r="Q209" i="217"/>
  <c r="P209" i="217"/>
  <c r="O209" i="217"/>
  <c r="N209" i="217"/>
  <c r="M209" i="217"/>
  <c r="L209" i="217"/>
  <c r="K209" i="217"/>
  <c r="J209" i="217"/>
  <c r="I209" i="217"/>
  <c r="H209" i="217"/>
  <c r="G209" i="217"/>
  <c r="F209" i="217"/>
  <c r="E209" i="217"/>
  <c r="D209" i="217"/>
  <c r="C209" i="217"/>
  <c r="G182" i="217"/>
  <c r="F182" i="217"/>
  <c r="E182" i="217"/>
  <c r="D182" i="217"/>
  <c r="C182" i="217"/>
  <c r="G180" i="217"/>
  <c r="F180" i="217"/>
  <c r="E180" i="217"/>
  <c r="D180" i="217"/>
  <c r="C180" i="217"/>
  <c r="T179" i="217"/>
  <c r="S179" i="217"/>
  <c r="R179" i="217"/>
  <c r="Q179" i="217"/>
  <c r="P179" i="217"/>
  <c r="O179" i="217"/>
  <c r="N179" i="217"/>
  <c r="M179" i="217"/>
  <c r="L179" i="217"/>
  <c r="K179" i="217"/>
  <c r="J179" i="217"/>
  <c r="I179" i="217"/>
  <c r="H179" i="217"/>
  <c r="G179" i="217"/>
  <c r="F179" i="217"/>
  <c r="E179" i="217"/>
  <c r="D179" i="217"/>
  <c r="C179" i="217"/>
  <c r="I154" i="217"/>
  <c r="G153" i="217"/>
  <c r="F153" i="217"/>
  <c r="E153" i="217"/>
  <c r="D153" i="217"/>
  <c r="I152" i="217"/>
  <c r="G151" i="217"/>
  <c r="F151" i="217"/>
  <c r="E151" i="217"/>
  <c r="D151" i="217"/>
  <c r="T150" i="217"/>
  <c r="S150" i="217"/>
  <c r="R150" i="217"/>
  <c r="Q150" i="217"/>
  <c r="P150" i="217"/>
  <c r="O150" i="217"/>
  <c r="N150" i="217"/>
  <c r="M150" i="217"/>
  <c r="L150" i="217"/>
  <c r="K150" i="217"/>
  <c r="J150" i="217"/>
  <c r="I150" i="217"/>
  <c r="H150" i="217"/>
  <c r="G150" i="217"/>
  <c r="F150" i="217"/>
  <c r="E150" i="217"/>
  <c r="D150" i="217"/>
  <c r="C150" i="217"/>
  <c r="G122" i="217"/>
  <c r="F122" i="217"/>
  <c r="E122" i="217"/>
  <c r="D122" i="217"/>
  <c r="C122" i="217"/>
  <c r="G120" i="217"/>
  <c r="F120" i="217"/>
  <c r="E120" i="217"/>
  <c r="D120" i="217"/>
  <c r="G118" i="217"/>
  <c r="F118" i="217"/>
  <c r="E118" i="217"/>
  <c r="D118" i="217"/>
  <c r="T117" i="217"/>
  <c r="S117" i="217"/>
  <c r="R117" i="217"/>
  <c r="Q117" i="217"/>
  <c r="P117" i="217"/>
  <c r="O117" i="217"/>
  <c r="N117" i="217"/>
  <c r="M117" i="217"/>
  <c r="L117" i="217"/>
  <c r="K117" i="217"/>
  <c r="J117" i="217"/>
  <c r="I117" i="217"/>
  <c r="H117" i="217"/>
  <c r="G117" i="217"/>
  <c r="F117" i="217"/>
  <c r="E117" i="217"/>
  <c r="D117" i="217"/>
  <c r="C117" i="217"/>
  <c r="G91" i="217"/>
  <c r="F91" i="217"/>
  <c r="E91" i="217"/>
  <c r="D91" i="217"/>
  <c r="G89" i="217"/>
  <c r="F89" i="217"/>
  <c r="E89" i="217"/>
  <c r="D89" i="217"/>
  <c r="G87" i="217"/>
  <c r="F87" i="217"/>
  <c r="E87" i="217"/>
  <c r="D87" i="217"/>
  <c r="T86" i="217"/>
  <c r="S86" i="217"/>
  <c r="R86" i="217"/>
  <c r="Q86" i="217"/>
  <c r="P86" i="217"/>
  <c r="O86" i="217"/>
  <c r="N86" i="217"/>
  <c r="M86" i="217"/>
  <c r="L86" i="217"/>
  <c r="K86" i="217"/>
  <c r="J86" i="217"/>
  <c r="I86" i="217"/>
  <c r="H86" i="217"/>
  <c r="G86" i="217"/>
  <c r="F86" i="217"/>
  <c r="E86" i="217"/>
  <c r="D86" i="217"/>
  <c r="C86" i="217"/>
  <c r="V60" i="217"/>
  <c r="U60" i="217"/>
  <c r="T60" i="217"/>
  <c r="S60" i="217"/>
  <c r="R60" i="217"/>
  <c r="Q60" i="217"/>
  <c r="P60" i="217"/>
  <c r="O60" i="217"/>
  <c r="N60" i="217"/>
  <c r="M60" i="217"/>
  <c r="L60" i="217"/>
  <c r="K60" i="217"/>
  <c r="J60" i="217"/>
  <c r="I60" i="217"/>
  <c r="H60" i="217"/>
  <c r="H59" i="217"/>
  <c r="G59" i="217"/>
  <c r="F59" i="217"/>
  <c r="E59" i="217"/>
  <c r="D59" i="217"/>
  <c r="C59" i="217"/>
  <c r="H58" i="217"/>
  <c r="H57" i="217"/>
  <c r="G57" i="217"/>
  <c r="F57" i="217"/>
  <c r="E57" i="217"/>
  <c r="D57" i="217"/>
  <c r="C57" i="217"/>
  <c r="V56" i="217"/>
  <c r="U56" i="217"/>
  <c r="T56" i="217"/>
  <c r="S56" i="217"/>
  <c r="R56" i="217"/>
  <c r="Q56" i="217"/>
  <c r="P56" i="217"/>
  <c r="O56" i="217"/>
  <c r="N56" i="217"/>
  <c r="M56" i="217"/>
  <c r="L56" i="217"/>
  <c r="K56" i="217"/>
  <c r="J56" i="217"/>
  <c r="I56" i="217"/>
  <c r="H56" i="217"/>
  <c r="H55" i="217"/>
  <c r="G55" i="217"/>
  <c r="F55" i="217"/>
  <c r="E55" i="217"/>
  <c r="D55" i="217"/>
  <c r="C55" i="217"/>
  <c r="H54" i="217"/>
  <c r="H53" i="217"/>
  <c r="G53" i="217"/>
  <c r="F53" i="217"/>
  <c r="E53" i="217"/>
  <c r="D53" i="217"/>
  <c r="C53" i="217"/>
  <c r="T52" i="217"/>
  <c r="S52" i="217"/>
  <c r="R52" i="217"/>
  <c r="Q52" i="217"/>
  <c r="P52" i="217"/>
  <c r="O52" i="217"/>
  <c r="N52" i="217"/>
  <c r="M52" i="217"/>
  <c r="L52" i="217"/>
  <c r="K52" i="217"/>
  <c r="J52" i="217"/>
  <c r="I52" i="217"/>
  <c r="H52" i="217"/>
  <c r="G52" i="217"/>
  <c r="F52" i="217"/>
  <c r="E52" i="217"/>
  <c r="D52" i="217"/>
  <c r="C52" i="217"/>
  <c r="H28" i="217"/>
  <c r="H27" i="217"/>
  <c r="G27" i="217"/>
  <c r="F27" i="217"/>
  <c r="E27" i="217"/>
  <c r="D27" i="217"/>
  <c r="H26" i="217"/>
  <c r="H25" i="217"/>
  <c r="G25" i="217"/>
  <c r="F25" i="217"/>
  <c r="E25" i="217"/>
  <c r="D25" i="217"/>
  <c r="A10" i="217"/>
  <c r="A1" i="217"/>
  <c r="B33" i="130"/>
  <c r="B32" i="130"/>
  <c r="B31" i="130"/>
  <c r="B30" i="130"/>
  <c r="B29" i="130"/>
  <c r="B28" i="130"/>
  <c r="B27" i="130"/>
  <c r="B26" i="130"/>
  <c r="B25" i="130"/>
  <c r="B24" i="130"/>
  <c r="B23" i="130"/>
  <c r="B22" i="130"/>
  <c r="B21" i="130"/>
  <c r="B20" i="130"/>
  <c r="B19" i="130"/>
  <c r="B18" i="130"/>
  <c r="B17" i="130"/>
  <c r="B16" i="130"/>
  <c r="B15" i="130"/>
  <c r="B14" i="130"/>
  <c r="N13" i="130"/>
  <c r="M13" i="130"/>
  <c r="L13" i="130"/>
  <c r="K13" i="130"/>
  <c r="J13" i="130"/>
  <c r="I13" i="130"/>
  <c r="H13" i="130"/>
  <c r="G13" i="130"/>
  <c r="F13" i="130"/>
  <c r="E13" i="130"/>
  <c r="D13" i="130"/>
  <c r="C13" i="130"/>
  <c r="A10" i="130"/>
  <c r="A1" i="130"/>
  <c r="C34" i="133"/>
  <c r="C33" i="133"/>
  <c r="B33" i="133"/>
  <c r="C32" i="133"/>
  <c r="B32" i="133"/>
  <c r="C31" i="133"/>
  <c r="B31" i="133"/>
  <c r="C30" i="133"/>
  <c r="B30" i="133"/>
  <c r="C29" i="133"/>
  <c r="B29" i="133"/>
  <c r="C28" i="133"/>
  <c r="B28" i="133"/>
  <c r="C27" i="133"/>
  <c r="B27" i="133"/>
  <c r="C26" i="133"/>
  <c r="B26" i="133"/>
  <c r="C25" i="133"/>
  <c r="B25" i="133"/>
  <c r="C24" i="133"/>
  <c r="B24" i="133"/>
  <c r="C23" i="133"/>
  <c r="B23" i="133"/>
  <c r="C22" i="133"/>
  <c r="B22" i="133"/>
  <c r="C21" i="133"/>
  <c r="B21" i="133"/>
  <c r="C20" i="133"/>
  <c r="B20" i="133"/>
  <c r="C19" i="133"/>
  <c r="B19" i="133"/>
  <c r="C18" i="133"/>
  <c r="B18" i="133"/>
  <c r="C17" i="133"/>
  <c r="B17" i="133"/>
  <c r="C16" i="133"/>
  <c r="B16" i="133"/>
  <c r="C15" i="133"/>
  <c r="B15" i="133"/>
  <c r="C14" i="133"/>
  <c r="B14" i="133"/>
  <c r="N13" i="133"/>
  <c r="M13" i="133"/>
  <c r="L13" i="133"/>
  <c r="K13" i="133"/>
  <c r="J13" i="133"/>
  <c r="I13" i="133"/>
  <c r="H13" i="133"/>
  <c r="G13" i="133"/>
  <c r="F13" i="133"/>
  <c r="E13" i="133"/>
  <c r="D13" i="133"/>
  <c r="C13" i="133"/>
  <c r="A10" i="133"/>
  <c r="A1" i="133"/>
  <c r="C34" i="131"/>
  <c r="C33" i="131"/>
  <c r="B33" i="131"/>
  <c r="C32" i="131"/>
  <c r="B32" i="131"/>
  <c r="C31" i="131"/>
  <c r="B31" i="131"/>
  <c r="C30" i="131"/>
  <c r="B30" i="131"/>
  <c r="C29" i="131"/>
  <c r="B29" i="131"/>
  <c r="C28" i="131"/>
  <c r="B28" i="131"/>
  <c r="C27" i="131"/>
  <c r="B27" i="131"/>
  <c r="C26" i="131"/>
  <c r="B26" i="131"/>
  <c r="C25" i="131"/>
  <c r="B25" i="131"/>
  <c r="C24" i="131"/>
  <c r="B24" i="131"/>
  <c r="C23" i="131"/>
  <c r="B23" i="131"/>
  <c r="C22" i="131"/>
  <c r="B22" i="131"/>
  <c r="C21" i="131"/>
  <c r="B21" i="131"/>
  <c r="C20" i="131"/>
  <c r="B20" i="131"/>
  <c r="C19" i="131"/>
  <c r="B19" i="131"/>
  <c r="C18" i="131"/>
  <c r="B18" i="131"/>
  <c r="C17" i="131"/>
  <c r="B17" i="131"/>
  <c r="C16" i="131"/>
  <c r="B16" i="131"/>
  <c r="C15" i="131"/>
  <c r="B15" i="131"/>
  <c r="C14" i="131"/>
  <c r="B14" i="131"/>
  <c r="N13" i="131"/>
  <c r="M13" i="131"/>
  <c r="L13" i="131"/>
  <c r="K13" i="131"/>
  <c r="J13" i="131"/>
  <c r="I13" i="131"/>
  <c r="H13" i="131"/>
  <c r="G13" i="131"/>
  <c r="F13" i="131"/>
  <c r="E13" i="131"/>
  <c r="D13" i="131"/>
  <c r="C13" i="131"/>
  <c r="A10" i="131"/>
  <c r="A1" i="131"/>
  <c r="B33" i="132"/>
  <c r="B32" i="132"/>
  <c r="B31" i="132"/>
  <c r="B30" i="132"/>
  <c r="B29" i="132"/>
  <c r="B28" i="132"/>
  <c r="B27" i="132"/>
  <c r="B26" i="132"/>
  <c r="B25" i="132"/>
  <c r="B24" i="132"/>
  <c r="B23" i="132"/>
  <c r="B22" i="132"/>
  <c r="B21" i="132"/>
  <c r="B20" i="132"/>
  <c r="B19" i="132"/>
  <c r="B18" i="132"/>
  <c r="B17" i="132"/>
  <c r="B16" i="132"/>
  <c r="B15" i="132"/>
  <c r="B14" i="132"/>
  <c r="N13" i="132"/>
  <c r="M13" i="132"/>
  <c r="L13" i="132"/>
  <c r="K13" i="132"/>
  <c r="J13" i="132"/>
  <c r="I13" i="132"/>
  <c r="H13" i="132"/>
  <c r="G13" i="132"/>
  <c r="F13" i="132"/>
  <c r="E13" i="132"/>
  <c r="D13" i="132"/>
  <c r="C13" i="132"/>
  <c r="A10" i="132"/>
  <c r="A1" i="132"/>
  <c r="N129" i="102"/>
  <c r="M129" i="102"/>
  <c r="L129" i="102"/>
  <c r="K129" i="102"/>
  <c r="J129" i="102"/>
  <c r="I129" i="102"/>
  <c r="H129" i="102"/>
  <c r="G129" i="102"/>
  <c r="F129" i="102"/>
  <c r="E129" i="102"/>
  <c r="D129" i="102"/>
  <c r="C129" i="102"/>
  <c r="B129" i="102"/>
  <c r="N128" i="102"/>
  <c r="M128" i="102"/>
  <c r="L128" i="102"/>
  <c r="K128" i="102"/>
  <c r="J128" i="102"/>
  <c r="I128" i="102"/>
  <c r="H128" i="102"/>
  <c r="G128" i="102"/>
  <c r="F128" i="102"/>
  <c r="E128" i="102"/>
  <c r="D128" i="102"/>
  <c r="C128" i="102"/>
  <c r="B128" i="102"/>
  <c r="N127" i="102"/>
  <c r="M127" i="102"/>
  <c r="L127" i="102"/>
  <c r="K127" i="102"/>
  <c r="J127" i="102"/>
  <c r="I127" i="102"/>
  <c r="H127" i="102"/>
  <c r="G127" i="102"/>
  <c r="F127" i="102"/>
  <c r="E127" i="102"/>
  <c r="D127" i="102"/>
  <c r="C127" i="102"/>
  <c r="B127" i="102"/>
  <c r="N126" i="102"/>
  <c r="M126" i="102"/>
  <c r="L126" i="102"/>
  <c r="K126" i="102"/>
  <c r="J126" i="102"/>
  <c r="I126" i="102"/>
  <c r="H126" i="102"/>
  <c r="G126" i="102"/>
  <c r="F126" i="102"/>
  <c r="E126" i="102"/>
  <c r="D126" i="102"/>
  <c r="C126" i="102"/>
  <c r="B126" i="102"/>
  <c r="N125" i="102"/>
  <c r="M125" i="102"/>
  <c r="L125" i="102"/>
  <c r="K125" i="102"/>
  <c r="J125" i="102"/>
  <c r="I125" i="102"/>
  <c r="H125" i="102"/>
  <c r="G125" i="102"/>
  <c r="F125" i="102"/>
  <c r="E125" i="102"/>
  <c r="D125" i="102"/>
  <c r="C125" i="102"/>
  <c r="B125" i="102"/>
  <c r="N124" i="102"/>
  <c r="M124" i="102"/>
  <c r="L124" i="102"/>
  <c r="K124" i="102"/>
  <c r="J124" i="102"/>
  <c r="I124" i="102"/>
  <c r="H124" i="102"/>
  <c r="G124" i="102"/>
  <c r="F124" i="102"/>
  <c r="E124" i="102"/>
  <c r="D124" i="102"/>
  <c r="C124" i="102"/>
  <c r="B124" i="102"/>
  <c r="N123" i="102"/>
  <c r="M123" i="102"/>
  <c r="L123" i="102"/>
  <c r="K123" i="102"/>
  <c r="J123" i="102"/>
  <c r="I123" i="102"/>
  <c r="H123" i="102"/>
  <c r="G123" i="102"/>
  <c r="F123" i="102"/>
  <c r="E123" i="102"/>
  <c r="D123" i="102"/>
  <c r="C123" i="102"/>
  <c r="B123" i="102"/>
  <c r="N122" i="102"/>
  <c r="M122" i="102"/>
  <c r="L122" i="102"/>
  <c r="K122" i="102"/>
  <c r="J122" i="102"/>
  <c r="I122" i="102"/>
  <c r="H122" i="102"/>
  <c r="G122" i="102"/>
  <c r="F122" i="102"/>
  <c r="E122" i="102"/>
  <c r="D122" i="102"/>
  <c r="C122" i="102"/>
  <c r="B122" i="102"/>
  <c r="N121" i="102"/>
  <c r="M121" i="102"/>
  <c r="L121" i="102"/>
  <c r="K121" i="102"/>
  <c r="J121" i="102"/>
  <c r="I121" i="102"/>
  <c r="H121" i="102"/>
  <c r="G121" i="102"/>
  <c r="F121" i="102"/>
  <c r="E121" i="102"/>
  <c r="D121" i="102"/>
  <c r="C121" i="102"/>
  <c r="B121" i="102"/>
  <c r="N120" i="102"/>
  <c r="M120" i="102"/>
  <c r="L120" i="102"/>
  <c r="K120" i="102"/>
  <c r="J120" i="102"/>
  <c r="I120" i="102"/>
  <c r="H120" i="102"/>
  <c r="G120" i="102"/>
  <c r="F120" i="102"/>
  <c r="E120" i="102"/>
  <c r="D120" i="102"/>
  <c r="C120" i="102"/>
  <c r="B120" i="102"/>
  <c r="N119" i="102"/>
  <c r="M119" i="102"/>
  <c r="L119" i="102"/>
  <c r="K119" i="102"/>
  <c r="J119" i="102"/>
  <c r="I119" i="102"/>
  <c r="H119" i="102"/>
  <c r="G119" i="102"/>
  <c r="F119" i="102"/>
  <c r="E119" i="102"/>
  <c r="D119" i="102"/>
  <c r="C119" i="102"/>
  <c r="B119" i="102"/>
  <c r="N118" i="102"/>
  <c r="M118" i="102"/>
  <c r="L118" i="102"/>
  <c r="K118" i="102"/>
  <c r="J118" i="102"/>
  <c r="I118" i="102"/>
  <c r="H118" i="102"/>
  <c r="G118" i="102"/>
  <c r="F118" i="102"/>
  <c r="E118" i="102"/>
  <c r="D118" i="102"/>
  <c r="C118" i="102"/>
  <c r="B118" i="102"/>
  <c r="N117" i="102"/>
  <c r="M117" i="102"/>
  <c r="L117" i="102"/>
  <c r="K117" i="102"/>
  <c r="J117" i="102"/>
  <c r="I117" i="102"/>
  <c r="H117" i="102"/>
  <c r="G117" i="102"/>
  <c r="F117" i="102"/>
  <c r="E117" i="102"/>
  <c r="D117" i="102"/>
  <c r="C117" i="102"/>
  <c r="B117" i="102"/>
  <c r="N116" i="102"/>
  <c r="M116" i="102"/>
  <c r="L116" i="102"/>
  <c r="K116" i="102"/>
  <c r="J116" i="102"/>
  <c r="I116" i="102"/>
  <c r="H116" i="102"/>
  <c r="G116" i="102"/>
  <c r="F116" i="102"/>
  <c r="E116" i="102"/>
  <c r="D116" i="102"/>
  <c r="C116" i="102"/>
  <c r="B116" i="102"/>
  <c r="N115" i="102"/>
  <c r="M115" i="102"/>
  <c r="L115" i="102"/>
  <c r="K115" i="102"/>
  <c r="J115" i="102"/>
  <c r="I115" i="102"/>
  <c r="H115" i="102"/>
  <c r="G115" i="102"/>
  <c r="F115" i="102"/>
  <c r="E115" i="102"/>
  <c r="D115" i="102"/>
  <c r="C115" i="102"/>
  <c r="B115" i="102"/>
  <c r="N114" i="102"/>
  <c r="M114" i="102"/>
  <c r="L114" i="102"/>
  <c r="K114" i="102"/>
  <c r="J114" i="102"/>
  <c r="I114" i="102"/>
  <c r="H114" i="102"/>
  <c r="G114" i="102"/>
  <c r="F114" i="102"/>
  <c r="E114" i="102"/>
  <c r="D114" i="102"/>
  <c r="C114" i="102"/>
  <c r="B114" i="102"/>
  <c r="N113" i="102"/>
  <c r="M113" i="102"/>
  <c r="L113" i="102"/>
  <c r="K113" i="102"/>
  <c r="J113" i="102"/>
  <c r="I113" i="102"/>
  <c r="H113" i="102"/>
  <c r="G113" i="102"/>
  <c r="F113" i="102"/>
  <c r="E113" i="102"/>
  <c r="D113" i="102"/>
  <c r="C113" i="102"/>
  <c r="B113" i="102"/>
  <c r="N112" i="102"/>
  <c r="M112" i="102"/>
  <c r="L112" i="102"/>
  <c r="K112" i="102"/>
  <c r="J112" i="102"/>
  <c r="I112" i="102"/>
  <c r="H112" i="102"/>
  <c r="G112" i="102"/>
  <c r="F112" i="102"/>
  <c r="E112" i="102"/>
  <c r="D112" i="102"/>
  <c r="C112" i="102"/>
  <c r="B112" i="102"/>
  <c r="N111" i="102"/>
  <c r="M111" i="102"/>
  <c r="L111" i="102"/>
  <c r="K111" i="102"/>
  <c r="J111" i="102"/>
  <c r="I111" i="102"/>
  <c r="H111" i="102"/>
  <c r="G111" i="102"/>
  <c r="F111" i="102"/>
  <c r="E111" i="102"/>
  <c r="D111" i="102"/>
  <c r="C111" i="102"/>
  <c r="B111" i="102"/>
  <c r="N110" i="102"/>
  <c r="M110" i="102"/>
  <c r="L110" i="102"/>
  <c r="K110" i="102"/>
  <c r="J110" i="102"/>
  <c r="I110" i="102"/>
  <c r="H110" i="102"/>
  <c r="G110" i="102"/>
  <c r="F110" i="102"/>
  <c r="E110" i="102"/>
  <c r="D110" i="102"/>
  <c r="C110" i="102"/>
  <c r="B110" i="102"/>
  <c r="N109" i="102"/>
  <c r="M109" i="102"/>
  <c r="L109" i="102"/>
  <c r="K109" i="102"/>
  <c r="J109" i="102"/>
  <c r="I109" i="102"/>
  <c r="H109" i="102"/>
  <c r="G109" i="102"/>
  <c r="F109" i="102"/>
  <c r="E109" i="102"/>
  <c r="D109" i="102"/>
  <c r="C109" i="102"/>
  <c r="B109" i="102"/>
  <c r="N87" i="102"/>
  <c r="M87" i="102"/>
  <c r="L87" i="102"/>
  <c r="K87" i="102"/>
  <c r="J87" i="102"/>
  <c r="I87" i="102"/>
  <c r="H87" i="102"/>
  <c r="G87" i="102"/>
  <c r="F87" i="102"/>
  <c r="E87" i="102"/>
  <c r="D87" i="102"/>
  <c r="C87" i="102"/>
  <c r="N42" i="102"/>
  <c r="M42" i="102"/>
  <c r="L42" i="102"/>
  <c r="K42" i="102"/>
  <c r="J42" i="102"/>
  <c r="I42" i="102"/>
  <c r="H42" i="102"/>
  <c r="G42" i="102"/>
  <c r="F42" i="102"/>
  <c r="E42" i="102"/>
  <c r="D42" i="102"/>
  <c r="C42" i="102"/>
  <c r="N37" i="102"/>
  <c r="M37" i="102"/>
  <c r="L37" i="102"/>
  <c r="K37" i="102"/>
  <c r="J37" i="102"/>
  <c r="I37" i="102"/>
  <c r="H37" i="102"/>
  <c r="G37" i="102"/>
  <c r="F37" i="102"/>
  <c r="E37" i="102"/>
  <c r="D37" i="102"/>
  <c r="C37" i="102"/>
  <c r="B34" i="102"/>
  <c r="B33" i="102"/>
  <c r="B32" i="102"/>
  <c r="B31" i="102"/>
  <c r="B30" i="102"/>
  <c r="B29" i="102"/>
  <c r="B28" i="102"/>
  <c r="B27" i="102"/>
  <c r="B26" i="102"/>
  <c r="B25" i="102"/>
  <c r="B24" i="102"/>
  <c r="B23" i="102"/>
  <c r="B22" i="102"/>
  <c r="B21" i="102"/>
  <c r="B20" i="102"/>
  <c r="B19" i="102"/>
  <c r="B18" i="102"/>
  <c r="B17" i="102"/>
  <c r="B16" i="102"/>
  <c r="B15" i="102"/>
  <c r="N14" i="102"/>
  <c r="M14" i="102"/>
  <c r="L14" i="102"/>
  <c r="K14" i="102"/>
  <c r="J14" i="102"/>
  <c r="I14" i="102"/>
  <c r="H14" i="102"/>
  <c r="G14" i="102"/>
  <c r="F14" i="102"/>
  <c r="E14" i="102"/>
  <c r="D14" i="102"/>
  <c r="C14" i="102"/>
  <c r="A10" i="102"/>
  <c r="A1" i="102"/>
  <c r="B59" i="127"/>
  <c r="B58" i="127"/>
  <c r="B57" i="127"/>
  <c r="B56" i="127"/>
  <c r="B55" i="127"/>
  <c r="B54" i="127"/>
  <c r="B53" i="127"/>
  <c r="B52" i="127"/>
  <c r="B51" i="127"/>
  <c r="B50" i="127"/>
  <c r="B49" i="127"/>
  <c r="B48" i="127"/>
  <c r="B47" i="127"/>
  <c r="B46" i="127"/>
  <c r="B45" i="127"/>
  <c r="B44" i="127"/>
  <c r="B43" i="127"/>
  <c r="B42" i="127"/>
  <c r="B41" i="127"/>
  <c r="B40" i="127"/>
  <c r="B39" i="127"/>
  <c r="N38" i="127"/>
  <c r="M38" i="127"/>
  <c r="L38" i="127"/>
  <c r="K38" i="127"/>
  <c r="J38" i="127"/>
  <c r="I38" i="127"/>
  <c r="H38" i="127"/>
  <c r="G38" i="127"/>
  <c r="F38" i="127"/>
  <c r="E38" i="127"/>
  <c r="D38" i="127"/>
  <c r="C38" i="127"/>
  <c r="B38" i="127"/>
  <c r="N13" i="127"/>
  <c r="M13" i="127"/>
  <c r="L13" i="127"/>
  <c r="K13" i="127"/>
  <c r="J13" i="127"/>
  <c r="I13" i="127"/>
  <c r="H13" i="127"/>
  <c r="G13" i="127"/>
  <c r="F13" i="127"/>
  <c r="E13" i="127"/>
  <c r="D13" i="127"/>
  <c r="C13" i="127"/>
  <c r="B13" i="127"/>
  <c r="A1" i="127"/>
  <c r="C415" i="152"/>
  <c r="B415" i="152"/>
  <c r="C414" i="152"/>
  <c r="B414" i="152"/>
  <c r="C413" i="152"/>
  <c r="B413" i="152"/>
  <c r="C412" i="152"/>
  <c r="B412" i="152"/>
  <c r="C411" i="152"/>
  <c r="B411" i="152"/>
  <c r="C410" i="152"/>
  <c r="B410" i="152"/>
  <c r="C409" i="152"/>
  <c r="B409" i="152"/>
  <c r="C408" i="152"/>
  <c r="B408" i="152"/>
  <c r="C407" i="152"/>
  <c r="B407" i="152"/>
  <c r="C406" i="152"/>
  <c r="B406" i="152"/>
  <c r="C405" i="152"/>
  <c r="B405" i="152"/>
  <c r="C404" i="152"/>
  <c r="B404" i="152"/>
  <c r="C403" i="152"/>
  <c r="B403" i="152"/>
  <c r="C402" i="152"/>
  <c r="B402" i="152"/>
  <c r="C401" i="152"/>
  <c r="B401" i="152"/>
  <c r="C400" i="152"/>
  <c r="B400" i="152"/>
  <c r="C399" i="152"/>
  <c r="B399" i="152"/>
  <c r="C398" i="152"/>
  <c r="B398" i="152"/>
  <c r="C397" i="152"/>
  <c r="B397" i="152"/>
  <c r="C396" i="152"/>
  <c r="B396" i="152"/>
  <c r="B395" i="152"/>
  <c r="C391" i="152"/>
  <c r="B391" i="152"/>
  <c r="C390" i="152"/>
  <c r="B390" i="152"/>
  <c r="C389" i="152"/>
  <c r="B389" i="152"/>
  <c r="C388" i="152"/>
  <c r="B388" i="152"/>
  <c r="C387" i="152"/>
  <c r="B387" i="152"/>
  <c r="C386" i="152"/>
  <c r="B386" i="152"/>
  <c r="C385" i="152"/>
  <c r="B385" i="152"/>
  <c r="C384" i="152"/>
  <c r="B384" i="152"/>
  <c r="C383" i="152"/>
  <c r="B383" i="152"/>
  <c r="C382" i="152"/>
  <c r="B382" i="152"/>
  <c r="C381" i="152"/>
  <c r="C380" i="152"/>
  <c r="B380" i="152"/>
  <c r="C379" i="152"/>
  <c r="B379" i="152"/>
  <c r="C378" i="152"/>
  <c r="B378" i="152"/>
  <c r="C377" i="152"/>
  <c r="B377" i="152"/>
  <c r="C376" i="152"/>
  <c r="B376" i="152"/>
  <c r="C375" i="152"/>
  <c r="B375" i="152"/>
  <c r="C374" i="152"/>
  <c r="B374" i="152"/>
  <c r="C373" i="152"/>
  <c r="B373" i="152"/>
  <c r="C372" i="152"/>
  <c r="B372" i="152"/>
  <c r="C367" i="152"/>
  <c r="B367" i="152"/>
  <c r="C366" i="152"/>
  <c r="B366" i="152"/>
  <c r="C365" i="152"/>
  <c r="B365" i="152"/>
  <c r="B364" i="152"/>
  <c r="C360" i="152"/>
  <c r="B360" i="152"/>
  <c r="C359" i="152"/>
  <c r="B359" i="152"/>
  <c r="C358" i="152"/>
  <c r="B358" i="152"/>
  <c r="B357" i="152"/>
  <c r="C351" i="152"/>
  <c r="B351" i="152"/>
  <c r="C350" i="152"/>
  <c r="B350" i="152"/>
  <c r="C349" i="152"/>
  <c r="B349" i="152"/>
  <c r="B345" i="152"/>
  <c r="B344" i="152"/>
  <c r="B343" i="152"/>
  <c r="B342" i="152"/>
  <c r="B338" i="152"/>
  <c r="B337" i="152"/>
  <c r="B336" i="152"/>
  <c r="B335" i="152"/>
  <c r="C327" i="152"/>
  <c r="B327" i="152"/>
  <c r="C326" i="152"/>
  <c r="B326" i="152"/>
  <c r="C325" i="152"/>
  <c r="B325" i="152"/>
  <c r="C324" i="152"/>
  <c r="B324" i="152"/>
  <c r="C323" i="152"/>
  <c r="B323" i="152"/>
  <c r="C322" i="152"/>
  <c r="B322" i="152"/>
  <c r="C321" i="152"/>
  <c r="B321" i="152"/>
  <c r="C320" i="152"/>
  <c r="B320" i="152"/>
  <c r="C319" i="152"/>
  <c r="B319" i="152"/>
  <c r="C318" i="152"/>
  <c r="B318" i="152"/>
  <c r="C317" i="152"/>
  <c r="B317" i="152"/>
  <c r="B316" i="152"/>
  <c r="C312" i="152"/>
  <c r="B312" i="152"/>
  <c r="C311" i="152"/>
  <c r="B311" i="152"/>
  <c r="C310" i="152"/>
  <c r="B310" i="152"/>
  <c r="C309" i="152"/>
  <c r="B309" i="152"/>
  <c r="C308" i="152"/>
  <c r="B308" i="152"/>
  <c r="C307" i="152"/>
  <c r="B307" i="152"/>
  <c r="C306" i="152"/>
  <c r="B306" i="152"/>
  <c r="C305" i="152"/>
  <c r="B305" i="152"/>
  <c r="C304" i="152"/>
  <c r="B304" i="152"/>
  <c r="C303" i="152"/>
  <c r="B303" i="152"/>
  <c r="C302" i="152"/>
  <c r="B302" i="152"/>
  <c r="B301" i="152"/>
  <c r="E291" i="152"/>
  <c r="D291" i="152"/>
  <c r="C291" i="152"/>
  <c r="B291" i="152"/>
  <c r="E290" i="152"/>
  <c r="D290" i="152"/>
  <c r="C290" i="152"/>
  <c r="B290" i="152"/>
  <c r="E289" i="152"/>
  <c r="D289" i="152"/>
  <c r="C289" i="152"/>
  <c r="B289" i="152"/>
  <c r="E288" i="152"/>
  <c r="D288" i="152"/>
  <c r="C288" i="152"/>
  <c r="B288" i="152"/>
  <c r="E287" i="152"/>
  <c r="D287" i="152"/>
  <c r="C287" i="152"/>
  <c r="B287" i="152"/>
  <c r="E286" i="152"/>
  <c r="D286" i="152"/>
  <c r="C286" i="152"/>
  <c r="B286" i="152"/>
  <c r="E285" i="152"/>
  <c r="D285" i="152"/>
  <c r="C285" i="152"/>
  <c r="B285" i="152"/>
  <c r="E284" i="152"/>
  <c r="D284" i="152"/>
  <c r="C284" i="152"/>
  <c r="B284" i="152"/>
  <c r="E283" i="152"/>
  <c r="D283" i="152"/>
  <c r="C283" i="152"/>
  <c r="B283" i="152"/>
  <c r="E282" i="152"/>
  <c r="D282" i="152"/>
  <c r="C282" i="152"/>
  <c r="B282" i="152"/>
  <c r="E281" i="152"/>
  <c r="D281" i="152"/>
  <c r="C281" i="152"/>
  <c r="B281" i="152"/>
  <c r="E280" i="152"/>
  <c r="D280" i="152"/>
  <c r="C280" i="152"/>
  <c r="B280" i="152"/>
  <c r="E279" i="152"/>
  <c r="D279" i="152"/>
  <c r="C279" i="152"/>
  <c r="B279" i="152"/>
  <c r="E278" i="152"/>
  <c r="D278" i="152"/>
  <c r="C278" i="152"/>
  <c r="B278" i="152"/>
  <c r="E277" i="152"/>
  <c r="D277" i="152"/>
  <c r="C277" i="152"/>
  <c r="B277" i="152"/>
  <c r="E276" i="152"/>
  <c r="D276" i="152"/>
  <c r="C276" i="152"/>
  <c r="B276" i="152"/>
  <c r="E275" i="152"/>
  <c r="D275" i="152"/>
  <c r="C275" i="152"/>
  <c r="B275" i="152"/>
  <c r="E274" i="152"/>
  <c r="D274" i="152"/>
  <c r="C274" i="152"/>
  <c r="B274" i="152"/>
  <c r="E273" i="152"/>
  <c r="D273" i="152"/>
  <c r="C273" i="152"/>
  <c r="B273" i="152"/>
  <c r="E272" i="152"/>
  <c r="D272" i="152"/>
  <c r="C272" i="152"/>
  <c r="B272" i="152"/>
  <c r="E271" i="152"/>
  <c r="D271" i="152"/>
  <c r="C271" i="152"/>
  <c r="B271" i="152"/>
  <c r="C267" i="152"/>
  <c r="C266" i="152"/>
  <c r="O265" i="152"/>
  <c r="N265" i="152"/>
  <c r="M265" i="152"/>
  <c r="L265" i="152"/>
  <c r="K265" i="152"/>
  <c r="J265" i="152"/>
  <c r="I265" i="152"/>
  <c r="H265" i="152"/>
  <c r="G265" i="152"/>
  <c r="F265" i="152"/>
  <c r="E265" i="152"/>
  <c r="D265" i="152"/>
  <c r="C265" i="152"/>
  <c r="C261" i="152"/>
  <c r="C260" i="152"/>
  <c r="O259" i="152"/>
  <c r="N259" i="152"/>
  <c r="M259" i="152"/>
  <c r="L259" i="152"/>
  <c r="K259" i="152"/>
  <c r="J259" i="152"/>
  <c r="I259" i="152"/>
  <c r="H259" i="152"/>
  <c r="G259" i="152"/>
  <c r="F259" i="152"/>
  <c r="E259" i="152"/>
  <c r="D259" i="152"/>
  <c r="C259" i="152"/>
  <c r="C253" i="152"/>
  <c r="B253" i="152"/>
  <c r="C252" i="152"/>
  <c r="B252" i="152"/>
  <c r="C251" i="152"/>
  <c r="B251" i="152"/>
  <c r="C250" i="152"/>
  <c r="B250" i="152"/>
  <c r="C249" i="152"/>
  <c r="B249" i="152"/>
  <c r="C248" i="152"/>
  <c r="B248" i="152"/>
  <c r="C247" i="152"/>
  <c r="B247" i="152"/>
  <c r="C246" i="152"/>
  <c r="B246" i="152"/>
  <c r="C245" i="152"/>
  <c r="B245" i="152"/>
  <c r="C244" i="152"/>
  <c r="B244" i="152"/>
  <c r="C243" i="152"/>
  <c r="B243" i="152"/>
  <c r="C242" i="152"/>
  <c r="B242" i="152"/>
  <c r="C241" i="152"/>
  <c r="B241" i="152"/>
  <c r="C240" i="152"/>
  <c r="B240" i="152"/>
  <c r="C239" i="152"/>
  <c r="B239" i="152"/>
  <c r="C238" i="152"/>
  <c r="B238" i="152"/>
  <c r="C237" i="152"/>
  <c r="B237" i="152"/>
  <c r="C236" i="152"/>
  <c r="B236" i="152"/>
  <c r="C235" i="152"/>
  <c r="B235" i="152"/>
  <c r="C234" i="152"/>
  <c r="D233" i="152"/>
  <c r="C233" i="152"/>
  <c r="B233" i="152"/>
  <c r="B227" i="152"/>
  <c r="B226" i="152"/>
  <c r="B225" i="152"/>
  <c r="B224" i="152"/>
  <c r="B223" i="152"/>
  <c r="B222" i="152"/>
  <c r="B221" i="152"/>
  <c r="B220" i="152"/>
  <c r="B219" i="152"/>
  <c r="B218" i="152"/>
  <c r="B217" i="152"/>
  <c r="P216" i="152"/>
  <c r="O216" i="152"/>
  <c r="N216" i="152"/>
  <c r="M216" i="152"/>
  <c r="L216" i="152"/>
  <c r="K216" i="152"/>
  <c r="J216" i="152"/>
  <c r="I216" i="152"/>
  <c r="H216" i="152"/>
  <c r="G216" i="152"/>
  <c r="F216" i="152"/>
  <c r="E216" i="152"/>
  <c r="D216" i="152"/>
  <c r="C216" i="152"/>
  <c r="B216" i="152"/>
  <c r="B212" i="152"/>
  <c r="B211" i="152"/>
  <c r="B210" i="152"/>
  <c r="B209" i="152"/>
  <c r="B208" i="152"/>
  <c r="B207" i="152"/>
  <c r="B206" i="152"/>
  <c r="B205" i="152"/>
  <c r="B204" i="152"/>
  <c r="B203" i="152"/>
  <c r="B202" i="152"/>
  <c r="P201" i="152"/>
  <c r="O201" i="152"/>
  <c r="N201" i="152"/>
  <c r="M201" i="152"/>
  <c r="L201" i="152"/>
  <c r="K201" i="152"/>
  <c r="J201" i="152"/>
  <c r="I201" i="152"/>
  <c r="H201" i="152"/>
  <c r="G201" i="152"/>
  <c r="F201" i="152"/>
  <c r="E201" i="152"/>
  <c r="D201" i="152"/>
  <c r="C201" i="152"/>
  <c r="B201" i="152"/>
  <c r="B195" i="152"/>
  <c r="B194" i="152"/>
  <c r="B193" i="152"/>
  <c r="B192" i="152"/>
  <c r="B191" i="152"/>
  <c r="B190" i="152"/>
  <c r="B189" i="152"/>
  <c r="B188" i="152"/>
  <c r="B187" i="152"/>
  <c r="B186" i="152"/>
  <c r="B185" i="152"/>
  <c r="P184" i="152"/>
  <c r="O184" i="152"/>
  <c r="N184" i="152"/>
  <c r="M184" i="152"/>
  <c r="L184" i="152"/>
  <c r="K184" i="152"/>
  <c r="J184" i="152"/>
  <c r="I184" i="152"/>
  <c r="H184" i="152"/>
  <c r="G184" i="152"/>
  <c r="F184" i="152"/>
  <c r="E184" i="152"/>
  <c r="D184" i="152"/>
  <c r="C184" i="152"/>
  <c r="B184" i="152"/>
  <c r="B180" i="152"/>
  <c r="B179" i="152"/>
  <c r="B178" i="152"/>
  <c r="B177" i="152"/>
  <c r="B176" i="152"/>
  <c r="B175" i="152"/>
  <c r="B174" i="152"/>
  <c r="B173" i="152"/>
  <c r="B172" i="152"/>
  <c r="B171" i="152"/>
  <c r="B170" i="152"/>
  <c r="P169" i="152"/>
  <c r="O169" i="152"/>
  <c r="N169" i="152"/>
  <c r="M169" i="152"/>
  <c r="L169" i="152"/>
  <c r="K169" i="152"/>
  <c r="J169" i="152"/>
  <c r="I169" i="152"/>
  <c r="H169" i="152"/>
  <c r="G169" i="152"/>
  <c r="F169" i="152"/>
  <c r="E169" i="152"/>
  <c r="D169" i="152"/>
  <c r="C169" i="152"/>
  <c r="B169" i="152"/>
  <c r="D157" i="152"/>
  <c r="C157" i="152"/>
  <c r="B157" i="152"/>
  <c r="D156" i="152"/>
  <c r="C156" i="152"/>
  <c r="B156" i="152"/>
  <c r="D155" i="152"/>
  <c r="C155" i="152"/>
  <c r="B155" i="152"/>
  <c r="D154" i="152"/>
  <c r="C154" i="152"/>
  <c r="B154" i="152"/>
  <c r="D153" i="152"/>
  <c r="C153" i="152"/>
  <c r="B153" i="152"/>
  <c r="D152" i="152"/>
  <c r="C152" i="152"/>
  <c r="B152" i="152"/>
  <c r="D151" i="152"/>
  <c r="C151" i="152"/>
  <c r="B151" i="152"/>
  <c r="D150" i="152"/>
  <c r="C150" i="152"/>
  <c r="B150" i="152"/>
  <c r="D149" i="152"/>
  <c r="C149" i="152"/>
  <c r="B149" i="152"/>
  <c r="D148" i="152"/>
  <c r="C148" i="152"/>
  <c r="B148" i="152"/>
  <c r="D147" i="152"/>
  <c r="C147" i="152"/>
  <c r="B147" i="152"/>
  <c r="D146" i="152"/>
  <c r="C146" i="152"/>
  <c r="B146" i="152"/>
  <c r="D142" i="152"/>
  <c r="C142" i="152"/>
  <c r="B142" i="152"/>
  <c r="D141" i="152"/>
  <c r="C141" i="152"/>
  <c r="B141" i="152"/>
  <c r="D140" i="152"/>
  <c r="C140" i="152"/>
  <c r="B140" i="152"/>
  <c r="D139" i="152"/>
  <c r="C139" i="152"/>
  <c r="B139" i="152"/>
  <c r="D138" i="152"/>
  <c r="C138" i="152"/>
  <c r="B138" i="152"/>
  <c r="D137" i="152"/>
  <c r="C137" i="152"/>
  <c r="B137" i="152"/>
  <c r="D136" i="152"/>
  <c r="C136" i="152"/>
  <c r="B136" i="152"/>
  <c r="D135" i="152"/>
  <c r="C135" i="152"/>
  <c r="B135" i="152"/>
  <c r="D134" i="152"/>
  <c r="C134" i="152"/>
  <c r="B134" i="152"/>
  <c r="D133" i="152"/>
  <c r="C133" i="152"/>
  <c r="B133" i="152"/>
  <c r="D132" i="152"/>
  <c r="C132" i="152"/>
  <c r="B132" i="152"/>
  <c r="D131" i="152"/>
  <c r="B131" i="152"/>
  <c r="D121" i="152"/>
  <c r="C121" i="152"/>
  <c r="B121" i="152"/>
  <c r="D120" i="152"/>
  <c r="C120" i="152"/>
  <c r="B120" i="152"/>
  <c r="D119" i="152"/>
  <c r="C119" i="152"/>
  <c r="B119" i="152"/>
  <c r="D118" i="152"/>
  <c r="C118" i="152"/>
  <c r="B118" i="152"/>
  <c r="D117" i="152"/>
  <c r="C117" i="152"/>
  <c r="B117" i="152"/>
  <c r="D116" i="152"/>
  <c r="C116" i="152"/>
  <c r="B116" i="152"/>
  <c r="D115" i="152"/>
  <c r="C115" i="152"/>
  <c r="B115" i="152"/>
  <c r="D114" i="152"/>
  <c r="C114" i="152"/>
  <c r="B114" i="152"/>
  <c r="D113" i="152"/>
  <c r="C113" i="152"/>
  <c r="B113" i="152"/>
  <c r="D112" i="152"/>
  <c r="C112" i="152"/>
  <c r="B112" i="152"/>
  <c r="D111" i="152"/>
  <c r="C111" i="152"/>
  <c r="B111" i="152"/>
  <c r="D110" i="152"/>
  <c r="C110" i="152"/>
  <c r="B110" i="152"/>
  <c r="D106" i="152"/>
  <c r="C106" i="152"/>
  <c r="B106" i="152"/>
  <c r="D105" i="152"/>
  <c r="C105" i="152"/>
  <c r="B105" i="152"/>
  <c r="D104" i="152"/>
  <c r="C104" i="152"/>
  <c r="B104" i="152"/>
  <c r="D103" i="152"/>
  <c r="C103" i="152"/>
  <c r="B103" i="152"/>
  <c r="D102" i="152"/>
  <c r="C102" i="152"/>
  <c r="B102" i="152"/>
  <c r="D101" i="152"/>
  <c r="C101" i="152"/>
  <c r="B101" i="152"/>
  <c r="D100" i="152"/>
  <c r="C100" i="152"/>
  <c r="B100" i="152"/>
  <c r="D99" i="152"/>
  <c r="C99" i="152"/>
  <c r="B99" i="152"/>
  <c r="D98" i="152"/>
  <c r="C98" i="152"/>
  <c r="B98" i="152"/>
  <c r="D97" i="152"/>
  <c r="C97" i="152"/>
  <c r="B97" i="152"/>
  <c r="D96" i="152"/>
  <c r="C96" i="152"/>
  <c r="B96" i="152"/>
  <c r="B95" i="152"/>
  <c r="D85" i="152"/>
  <c r="C85" i="152"/>
  <c r="B85" i="152"/>
  <c r="D84" i="152"/>
  <c r="C84" i="152"/>
  <c r="B84" i="152"/>
  <c r="D83" i="152"/>
  <c r="C83" i="152"/>
  <c r="B83" i="152"/>
  <c r="D82" i="152"/>
  <c r="C82" i="152"/>
  <c r="B82" i="152"/>
  <c r="D81" i="152"/>
  <c r="C81" i="152"/>
  <c r="B81" i="152"/>
  <c r="D80" i="152"/>
  <c r="C80" i="152"/>
  <c r="B80" i="152"/>
  <c r="D79" i="152"/>
  <c r="C79" i="152"/>
  <c r="B79" i="152"/>
  <c r="D78" i="152"/>
  <c r="C78" i="152"/>
  <c r="B78" i="152"/>
  <c r="D77" i="152"/>
  <c r="C77" i="152"/>
  <c r="B77" i="152"/>
  <c r="D76" i="152"/>
  <c r="C76" i="152"/>
  <c r="B76" i="152"/>
  <c r="D75" i="152"/>
  <c r="C75" i="152"/>
  <c r="B75" i="152"/>
  <c r="D74" i="152"/>
  <c r="C74" i="152"/>
  <c r="B74" i="152"/>
  <c r="D70" i="152"/>
  <c r="C70" i="152"/>
  <c r="B70" i="152"/>
  <c r="D69" i="152"/>
  <c r="C69" i="152"/>
  <c r="B69" i="152"/>
  <c r="D68" i="152"/>
  <c r="C68" i="152"/>
  <c r="B68" i="152"/>
  <c r="D67" i="152"/>
  <c r="C67" i="152"/>
  <c r="B67" i="152"/>
  <c r="D66" i="152"/>
  <c r="C66" i="152"/>
  <c r="B66" i="152"/>
  <c r="D65" i="152"/>
  <c r="C65" i="152"/>
  <c r="B65" i="152"/>
  <c r="D64" i="152"/>
  <c r="C64" i="152"/>
  <c r="B64" i="152"/>
  <c r="D63" i="152"/>
  <c r="C63" i="152"/>
  <c r="B63" i="152"/>
  <c r="D62" i="152"/>
  <c r="C62" i="152"/>
  <c r="B62" i="152"/>
  <c r="D61" i="152"/>
  <c r="C61" i="152"/>
  <c r="B61" i="152"/>
  <c r="D60" i="152"/>
  <c r="C60" i="152"/>
  <c r="B60" i="152"/>
  <c r="B59" i="152"/>
  <c r="Y31" i="152"/>
  <c r="X31" i="152"/>
  <c r="W31" i="152"/>
  <c r="V31" i="152"/>
  <c r="U31" i="152"/>
  <c r="T31" i="152"/>
  <c r="S31" i="152"/>
  <c r="R31" i="152"/>
  <c r="Q31" i="152"/>
  <c r="P31" i="152"/>
  <c r="O31" i="152"/>
  <c r="N31" i="152"/>
  <c r="M31" i="152"/>
  <c r="L31" i="152"/>
  <c r="K31" i="152"/>
  <c r="J31" i="152"/>
  <c r="I31" i="152"/>
  <c r="H31" i="152"/>
  <c r="G31" i="152"/>
  <c r="F31" i="152"/>
  <c r="E31" i="152"/>
  <c r="D31" i="152"/>
  <c r="C31" i="152"/>
  <c r="B31" i="152"/>
  <c r="Y30" i="152"/>
  <c r="X30" i="152"/>
  <c r="W30" i="152"/>
  <c r="V30" i="152"/>
  <c r="U30" i="152"/>
  <c r="T30" i="152"/>
  <c r="S30" i="152"/>
  <c r="R30" i="152"/>
  <c r="Q30" i="152"/>
  <c r="P30" i="152"/>
  <c r="O30" i="152"/>
  <c r="N30" i="152"/>
  <c r="M30" i="152"/>
  <c r="L30" i="152"/>
  <c r="K30" i="152"/>
  <c r="J30" i="152"/>
  <c r="I30" i="152"/>
  <c r="H30" i="152"/>
  <c r="G30" i="152"/>
  <c r="F30" i="152"/>
  <c r="E30" i="152"/>
  <c r="D30" i="152"/>
  <c r="C30" i="152"/>
  <c r="B30" i="152"/>
  <c r="Y29" i="152"/>
  <c r="X29" i="152"/>
  <c r="W29" i="152"/>
  <c r="V29" i="152"/>
  <c r="U29" i="152"/>
  <c r="T29" i="152"/>
  <c r="S29" i="152"/>
  <c r="R29" i="152"/>
  <c r="Q29" i="152"/>
  <c r="P29" i="152"/>
  <c r="O29" i="152"/>
  <c r="N29" i="152"/>
  <c r="M29" i="152"/>
  <c r="L29" i="152"/>
  <c r="K29" i="152"/>
  <c r="J29" i="152"/>
  <c r="I29" i="152"/>
  <c r="H29" i="152"/>
  <c r="G29" i="152"/>
  <c r="F29" i="152"/>
  <c r="E29" i="152"/>
  <c r="D29" i="152"/>
  <c r="C29" i="152"/>
  <c r="B29" i="152"/>
  <c r="Y28" i="152"/>
  <c r="X28" i="152"/>
  <c r="W28" i="152"/>
  <c r="V28" i="152"/>
  <c r="U28" i="152"/>
  <c r="T28" i="152"/>
  <c r="S28" i="152"/>
  <c r="R28" i="152"/>
  <c r="Q28" i="152"/>
  <c r="P28" i="152"/>
  <c r="O28" i="152"/>
  <c r="N28" i="152"/>
  <c r="M28" i="152"/>
  <c r="L28" i="152"/>
  <c r="K28" i="152"/>
  <c r="J28" i="152"/>
  <c r="I28" i="152"/>
  <c r="H28" i="152"/>
  <c r="G28" i="152"/>
  <c r="F28" i="152"/>
  <c r="E28" i="152"/>
  <c r="D28" i="152"/>
  <c r="C28" i="152"/>
  <c r="B28" i="152"/>
  <c r="Y27" i="152"/>
  <c r="X27" i="152"/>
  <c r="W27" i="152"/>
  <c r="V27" i="152"/>
  <c r="U27" i="152"/>
  <c r="T27" i="152"/>
  <c r="S27" i="152"/>
  <c r="R27" i="152"/>
  <c r="Q27" i="152"/>
  <c r="P27" i="152"/>
  <c r="O27" i="152"/>
  <c r="N27" i="152"/>
  <c r="M27" i="152"/>
  <c r="L27" i="152"/>
  <c r="K27" i="152"/>
  <c r="J27" i="152"/>
  <c r="I27" i="152"/>
  <c r="H27" i="152"/>
  <c r="G27" i="152"/>
  <c r="F27" i="152"/>
  <c r="E27" i="152"/>
  <c r="D27" i="152"/>
  <c r="C27" i="152"/>
  <c r="B19" i="152"/>
  <c r="B18" i="152"/>
  <c r="I17" i="152"/>
  <c r="H17" i="152"/>
  <c r="G17" i="152"/>
  <c r="F17" i="152"/>
  <c r="E17" i="152"/>
  <c r="D17" i="152"/>
  <c r="C17" i="152"/>
  <c r="A1" i="152"/>
  <c r="B273" i="211"/>
  <c r="B272" i="211"/>
  <c r="B271" i="211"/>
  <c r="B270" i="211"/>
  <c r="B269" i="211"/>
  <c r="B268" i="211"/>
  <c r="B267" i="211"/>
  <c r="B266" i="211"/>
  <c r="B265" i="211"/>
  <c r="B264" i="211"/>
  <c r="B263" i="211"/>
  <c r="B262" i="211"/>
  <c r="B261" i="211"/>
  <c r="B260" i="211"/>
  <c r="B259" i="211"/>
  <c r="B258" i="211"/>
  <c r="B257" i="211"/>
  <c r="B256" i="211"/>
  <c r="B255" i="211"/>
  <c r="B254" i="211"/>
  <c r="B253" i="211"/>
  <c r="L252" i="211"/>
  <c r="K252" i="211"/>
  <c r="J252" i="211"/>
  <c r="I252" i="211"/>
  <c r="H252" i="211"/>
  <c r="G252" i="211"/>
  <c r="F252" i="211"/>
  <c r="E252" i="211"/>
  <c r="D252" i="211"/>
  <c r="C252" i="211"/>
  <c r="B252" i="211"/>
  <c r="B247" i="211"/>
  <c r="B246" i="211"/>
  <c r="B245" i="211"/>
  <c r="B244" i="211"/>
  <c r="B243" i="211"/>
  <c r="B242" i="211"/>
  <c r="B241" i="211"/>
  <c r="B240" i="211"/>
  <c r="B239" i="211"/>
  <c r="B238" i="211"/>
  <c r="B237" i="211"/>
  <c r="B236" i="211"/>
  <c r="B235" i="211"/>
  <c r="B234" i="211"/>
  <c r="B233" i="211"/>
  <c r="B232" i="211"/>
  <c r="B231" i="211"/>
  <c r="B230" i="211"/>
  <c r="B229" i="211"/>
  <c r="B228" i="211"/>
  <c r="L227" i="211"/>
  <c r="K227" i="211"/>
  <c r="J227" i="211"/>
  <c r="I227" i="211"/>
  <c r="H227" i="211"/>
  <c r="G227" i="211"/>
  <c r="F227" i="211"/>
  <c r="E227" i="211"/>
  <c r="D227" i="211"/>
  <c r="C227" i="211"/>
  <c r="B227" i="211"/>
  <c r="B223" i="211"/>
  <c r="B222" i="211"/>
  <c r="B221" i="211"/>
  <c r="B220" i="211"/>
  <c r="B219" i="211"/>
  <c r="B218" i="211"/>
  <c r="B217" i="211"/>
  <c r="B216" i="211"/>
  <c r="B215" i="211"/>
  <c r="B214" i="211"/>
  <c r="B213" i="211"/>
  <c r="B212" i="211"/>
  <c r="B211" i="211"/>
  <c r="B210" i="211"/>
  <c r="B209" i="211"/>
  <c r="B208" i="211"/>
  <c r="B207" i="211"/>
  <c r="B206" i="211"/>
  <c r="B205" i="211"/>
  <c r="B204" i="211"/>
  <c r="L203" i="211"/>
  <c r="K203" i="211"/>
  <c r="J203" i="211"/>
  <c r="I203" i="211"/>
  <c r="H203" i="211"/>
  <c r="G203" i="211"/>
  <c r="F203" i="211"/>
  <c r="E203" i="211"/>
  <c r="D203" i="211"/>
  <c r="C203" i="211"/>
  <c r="B203" i="211"/>
  <c r="B199" i="211"/>
  <c r="B198" i="211"/>
  <c r="B197" i="211"/>
  <c r="B196" i="211"/>
  <c r="B195" i="211"/>
  <c r="B194" i="211"/>
  <c r="B193" i="211"/>
  <c r="B192" i="211"/>
  <c r="B191" i="211"/>
  <c r="B190" i="211"/>
  <c r="B189" i="211"/>
  <c r="B188" i="211"/>
  <c r="B187" i="211"/>
  <c r="B186" i="211"/>
  <c r="B185" i="211"/>
  <c r="B184" i="211"/>
  <c r="B183" i="211"/>
  <c r="B182" i="211"/>
  <c r="B181" i="211"/>
  <c r="B180" i="211"/>
  <c r="L179" i="211"/>
  <c r="K179" i="211"/>
  <c r="J179" i="211"/>
  <c r="I179" i="211"/>
  <c r="H179" i="211"/>
  <c r="G179" i="211"/>
  <c r="F179" i="211"/>
  <c r="E179" i="211"/>
  <c r="D179" i="211"/>
  <c r="C179" i="211"/>
  <c r="B179" i="211"/>
  <c r="B175" i="211"/>
  <c r="B174" i="211"/>
  <c r="B173" i="211"/>
  <c r="B172" i="211"/>
  <c r="B171" i="211"/>
  <c r="B170" i="211"/>
  <c r="B169" i="211"/>
  <c r="B168" i="211"/>
  <c r="B167" i="211"/>
  <c r="B166" i="211"/>
  <c r="B165" i="211"/>
  <c r="B164" i="211"/>
  <c r="B163" i="211"/>
  <c r="B162" i="211"/>
  <c r="B161" i="211"/>
  <c r="B160" i="211"/>
  <c r="B159" i="211"/>
  <c r="B158" i="211"/>
  <c r="B157" i="211"/>
  <c r="B156" i="211"/>
  <c r="L155" i="211"/>
  <c r="K155" i="211"/>
  <c r="J155" i="211"/>
  <c r="I155" i="211"/>
  <c r="H155" i="211"/>
  <c r="G155" i="211"/>
  <c r="F155" i="211"/>
  <c r="E155" i="211"/>
  <c r="D155" i="211"/>
  <c r="C155" i="211"/>
  <c r="B155" i="211"/>
  <c r="L149" i="211"/>
  <c r="K149" i="211"/>
  <c r="J149" i="211"/>
  <c r="I149" i="211"/>
  <c r="H149" i="211"/>
  <c r="G149" i="211"/>
  <c r="F149" i="211"/>
  <c r="E149" i="211"/>
  <c r="D149" i="211"/>
  <c r="C149" i="211"/>
  <c r="B149" i="211"/>
  <c r="L148" i="211"/>
  <c r="K148" i="211"/>
  <c r="J148" i="211"/>
  <c r="I148" i="211"/>
  <c r="H148" i="211"/>
  <c r="G148" i="211"/>
  <c r="F148" i="211"/>
  <c r="E148" i="211"/>
  <c r="D148" i="211"/>
  <c r="C148" i="211"/>
  <c r="B148" i="211"/>
  <c r="L147" i="211"/>
  <c r="K147" i="211"/>
  <c r="J147" i="211"/>
  <c r="I147" i="211"/>
  <c r="H147" i="211"/>
  <c r="G147" i="211"/>
  <c r="F147" i="211"/>
  <c r="E147" i="211"/>
  <c r="D147" i="211"/>
  <c r="C147" i="211"/>
  <c r="B147" i="211"/>
  <c r="L146" i="211"/>
  <c r="K146" i="211"/>
  <c r="J146" i="211"/>
  <c r="I146" i="211"/>
  <c r="H146" i="211"/>
  <c r="G146" i="211"/>
  <c r="F146" i="211"/>
  <c r="E146" i="211"/>
  <c r="D146" i="211"/>
  <c r="C146" i="211"/>
  <c r="B146" i="211"/>
  <c r="L145" i="211"/>
  <c r="K145" i="211"/>
  <c r="J145" i="211"/>
  <c r="I145" i="211"/>
  <c r="H145" i="211"/>
  <c r="G145" i="211"/>
  <c r="F145" i="211"/>
  <c r="E145" i="211"/>
  <c r="D145" i="211"/>
  <c r="C145" i="211"/>
  <c r="B145" i="211"/>
  <c r="L144" i="211"/>
  <c r="K144" i="211"/>
  <c r="J144" i="211"/>
  <c r="I144" i="211"/>
  <c r="H144" i="211"/>
  <c r="G144" i="211"/>
  <c r="F144" i="211"/>
  <c r="E144" i="211"/>
  <c r="D144" i="211"/>
  <c r="C144" i="211"/>
  <c r="B144" i="211"/>
  <c r="L143" i="211"/>
  <c r="K143" i="211"/>
  <c r="J143" i="211"/>
  <c r="I143" i="211"/>
  <c r="H143" i="211"/>
  <c r="G143" i="211"/>
  <c r="F143" i="211"/>
  <c r="E143" i="211"/>
  <c r="D143" i="211"/>
  <c r="C143" i="211"/>
  <c r="B143" i="211"/>
  <c r="L142" i="211"/>
  <c r="K142" i="211"/>
  <c r="J142" i="211"/>
  <c r="I142" i="211"/>
  <c r="H142" i="211"/>
  <c r="G142" i="211"/>
  <c r="F142" i="211"/>
  <c r="E142" i="211"/>
  <c r="D142" i="211"/>
  <c r="C142" i="211"/>
  <c r="B142" i="211"/>
  <c r="L141" i="211"/>
  <c r="K141" i="211"/>
  <c r="J141" i="211"/>
  <c r="I141" i="211"/>
  <c r="H141" i="211"/>
  <c r="G141" i="211"/>
  <c r="F141" i="211"/>
  <c r="E141" i="211"/>
  <c r="D141" i="211"/>
  <c r="C141" i="211"/>
  <c r="B141" i="211"/>
  <c r="L140" i="211"/>
  <c r="K140" i="211"/>
  <c r="J140" i="211"/>
  <c r="I140" i="211"/>
  <c r="H140" i="211"/>
  <c r="G140" i="211"/>
  <c r="F140" i="211"/>
  <c r="E140" i="211"/>
  <c r="D140" i="211"/>
  <c r="C140" i="211"/>
  <c r="B140" i="211"/>
  <c r="L139" i="211"/>
  <c r="K139" i="211"/>
  <c r="J139" i="211"/>
  <c r="I139" i="211"/>
  <c r="H139" i="211"/>
  <c r="G139" i="211"/>
  <c r="F139" i="211"/>
  <c r="E139" i="211"/>
  <c r="D139" i="211"/>
  <c r="C139" i="211"/>
  <c r="B139" i="211"/>
  <c r="L138" i="211"/>
  <c r="K138" i="211"/>
  <c r="J138" i="211"/>
  <c r="I138" i="211"/>
  <c r="H138" i="211"/>
  <c r="G138" i="211"/>
  <c r="F138" i="211"/>
  <c r="E138" i="211"/>
  <c r="D138" i="211"/>
  <c r="C138" i="211"/>
  <c r="B138" i="211"/>
  <c r="L137" i="211"/>
  <c r="K137" i="211"/>
  <c r="J137" i="211"/>
  <c r="I137" i="211"/>
  <c r="H137" i="211"/>
  <c r="G137" i="211"/>
  <c r="F137" i="211"/>
  <c r="E137" i="211"/>
  <c r="D137" i="211"/>
  <c r="C137" i="211"/>
  <c r="B137" i="211"/>
  <c r="L136" i="211"/>
  <c r="K136" i="211"/>
  <c r="J136" i="211"/>
  <c r="I136" i="211"/>
  <c r="H136" i="211"/>
  <c r="G136" i="211"/>
  <c r="F136" i="211"/>
  <c r="E136" i="211"/>
  <c r="D136" i="211"/>
  <c r="C136" i="211"/>
  <c r="B136" i="211"/>
  <c r="L135" i="211"/>
  <c r="K135" i="211"/>
  <c r="J135" i="211"/>
  <c r="I135" i="211"/>
  <c r="H135" i="211"/>
  <c r="G135" i="211"/>
  <c r="F135" i="211"/>
  <c r="E135" i="211"/>
  <c r="D135" i="211"/>
  <c r="C135" i="211"/>
  <c r="B135" i="211"/>
  <c r="L134" i="211"/>
  <c r="K134" i="211"/>
  <c r="J134" i="211"/>
  <c r="I134" i="211"/>
  <c r="H134" i="211"/>
  <c r="G134" i="211"/>
  <c r="F134" i="211"/>
  <c r="E134" i="211"/>
  <c r="D134" i="211"/>
  <c r="C134" i="211"/>
  <c r="B134" i="211"/>
  <c r="L133" i="211"/>
  <c r="K133" i="211"/>
  <c r="J133" i="211"/>
  <c r="I133" i="211"/>
  <c r="H133" i="211"/>
  <c r="G133" i="211"/>
  <c r="F133" i="211"/>
  <c r="E133" i="211"/>
  <c r="D133" i="211"/>
  <c r="C133" i="211"/>
  <c r="B133" i="211"/>
  <c r="L132" i="211"/>
  <c r="K132" i="211"/>
  <c r="J132" i="211"/>
  <c r="I132" i="211"/>
  <c r="H132" i="211"/>
  <c r="G132" i="211"/>
  <c r="F132" i="211"/>
  <c r="E132" i="211"/>
  <c r="D132" i="211"/>
  <c r="C132" i="211"/>
  <c r="B132" i="211"/>
  <c r="L131" i="211"/>
  <c r="K131" i="211"/>
  <c r="J131" i="211"/>
  <c r="I131" i="211"/>
  <c r="H131" i="211"/>
  <c r="G131" i="211"/>
  <c r="F131" i="211"/>
  <c r="E131" i="211"/>
  <c r="D131" i="211"/>
  <c r="C131" i="211"/>
  <c r="B131" i="211"/>
  <c r="L130" i="211"/>
  <c r="K130" i="211"/>
  <c r="J130" i="211"/>
  <c r="I130" i="211"/>
  <c r="H130" i="211"/>
  <c r="G130" i="211"/>
  <c r="F130" i="211"/>
  <c r="E130" i="211"/>
  <c r="D130" i="211"/>
  <c r="C130" i="211"/>
  <c r="B130" i="211"/>
  <c r="L129" i="211"/>
  <c r="K129" i="211"/>
  <c r="J129" i="211"/>
  <c r="I129" i="211"/>
  <c r="H129" i="211"/>
  <c r="G129" i="211"/>
  <c r="F129" i="211"/>
  <c r="E129" i="211"/>
  <c r="D129" i="211"/>
  <c r="C129" i="211"/>
  <c r="B129" i="211"/>
  <c r="L125" i="211"/>
  <c r="K125" i="211"/>
  <c r="J125" i="211"/>
  <c r="I125" i="211"/>
  <c r="H125" i="211"/>
  <c r="G125" i="211"/>
  <c r="F125" i="211"/>
  <c r="E125" i="211"/>
  <c r="D125" i="211"/>
  <c r="C125" i="211"/>
  <c r="B125" i="211"/>
  <c r="L124" i="211"/>
  <c r="K124" i="211"/>
  <c r="J124" i="211"/>
  <c r="I124" i="211"/>
  <c r="H124" i="211"/>
  <c r="G124" i="211"/>
  <c r="F124" i="211"/>
  <c r="E124" i="211"/>
  <c r="D124" i="211"/>
  <c r="C124" i="211"/>
  <c r="B124" i="211"/>
  <c r="L123" i="211"/>
  <c r="K123" i="211"/>
  <c r="J123" i="211"/>
  <c r="I123" i="211"/>
  <c r="H123" i="211"/>
  <c r="G123" i="211"/>
  <c r="F123" i="211"/>
  <c r="E123" i="211"/>
  <c r="D123" i="211"/>
  <c r="C123" i="211"/>
  <c r="B123" i="211"/>
  <c r="L122" i="211"/>
  <c r="K122" i="211"/>
  <c r="J122" i="211"/>
  <c r="I122" i="211"/>
  <c r="H122" i="211"/>
  <c r="G122" i="211"/>
  <c r="F122" i="211"/>
  <c r="E122" i="211"/>
  <c r="D122" i="211"/>
  <c r="C122" i="211"/>
  <c r="B122" i="211"/>
  <c r="L121" i="211"/>
  <c r="K121" i="211"/>
  <c r="J121" i="211"/>
  <c r="I121" i="211"/>
  <c r="H121" i="211"/>
  <c r="G121" i="211"/>
  <c r="F121" i="211"/>
  <c r="E121" i="211"/>
  <c r="D121" i="211"/>
  <c r="C121" i="211"/>
  <c r="B121" i="211"/>
  <c r="L120" i="211"/>
  <c r="K120" i="211"/>
  <c r="J120" i="211"/>
  <c r="I120" i="211"/>
  <c r="H120" i="211"/>
  <c r="G120" i="211"/>
  <c r="F120" i="211"/>
  <c r="E120" i="211"/>
  <c r="D120" i="211"/>
  <c r="C120" i="211"/>
  <c r="B120" i="211"/>
  <c r="L119" i="211"/>
  <c r="K119" i="211"/>
  <c r="J119" i="211"/>
  <c r="I119" i="211"/>
  <c r="H119" i="211"/>
  <c r="G119" i="211"/>
  <c r="F119" i="211"/>
  <c r="E119" i="211"/>
  <c r="D119" i="211"/>
  <c r="C119" i="211"/>
  <c r="B119" i="211"/>
  <c r="L118" i="211"/>
  <c r="K118" i="211"/>
  <c r="J118" i="211"/>
  <c r="I118" i="211"/>
  <c r="H118" i="211"/>
  <c r="G118" i="211"/>
  <c r="F118" i="211"/>
  <c r="E118" i="211"/>
  <c r="D118" i="211"/>
  <c r="C118" i="211"/>
  <c r="B118" i="211"/>
  <c r="L117" i="211"/>
  <c r="K117" i="211"/>
  <c r="J117" i="211"/>
  <c r="I117" i="211"/>
  <c r="H117" i="211"/>
  <c r="G117" i="211"/>
  <c r="F117" i="211"/>
  <c r="E117" i="211"/>
  <c r="D117" i="211"/>
  <c r="C117" i="211"/>
  <c r="B117" i="211"/>
  <c r="L116" i="211"/>
  <c r="K116" i="211"/>
  <c r="J116" i="211"/>
  <c r="I116" i="211"/>
  <c r="H116" i="211"/>
  <c r="G116" i="211"/>
  <c r="F116" i="211"/>
  <c r="E116" i="211"/>
  <c r="D116" i="211"/>
  <c r="C116" i="211"/>
  <c r="B116" i="211"/>
  <c r="L115" i="211"/>
  <c r="K115" i="211"/>
  <c r="J115" i="211"/>
  <c r="I115" i="211"/>
  <c r="H115" i="211"/>
  <c r="G115" i="211"/>
  <c r="F115" i="211"/>
  <c r="E115" i="211"/>
  <c r="D115" i="211"/>
  <c r="C115" i="211"/>
  <c r="B115" i="211"/>
  <c r="L114" i="211"/>
  <c r="K114" i="211"/>
  <c r="J114" i="211"/>
  <c r="I114" i="211"/>
  <c r="H114" i="211"/>
  <c r="G114" i="211"/>
  <c r="F114" i="211"/>
  <c r="E114" i="211"/>
  <c r="D114" i="211"/>
  <c r="C114" i="211"/>
  <c r="B114" i="211"/>
  <c r="L113" i="211"/>
  <c r="K113" i="211"/>
  <c r="J113" i="211"/>
  <c r="I113" i="211"/>
  <c r="H113" i="211"/>
  <c r="G113" i="211"/>
  <c r="F113" i="211"/>
  <c r="E113" i="211"/>
  <c r="D113" i="211"/>
  <c r="C113" i="211"/>
  <c r="B113" i="211"/>
  <c r="L112" i="211"/>
  <c r="K112" i="211"/>
  <c r="J112" i="211"/>
  <c r="I112" i="211"/>
  <c r="H112" i="211"/>
  <c r="G112" i="211"/>
  <c r="F112" i="211"/>
  <c r="E112" i="211"/>
  <c r="D112" i="211"/>
  <c r="C112" i="211"/>
  <c r="B112" i="211"/>
  <c r="L111" i="211"/>
  <c r="K111" i="211"/>
  <c r="J111" i="211"/>
  <c r="I111" i="211"/>
  <c r="H111" i="211"/>
  <c r="G111" i="211"/>
  <c r="F111" i="211"/>
  <c r="E111" i="211"/>
  <c r="D111" i="211"/>
  <c r="C111" i="211"/>
  <c r="B111" i="211"/>
  <c r="L110" i="211"/>
  <c r="K110" i="211"/>
  <c r="J110" i="211"/>
  <c r="I110" i="211"/>
  <c r="H110" i="211"/>
  <c r="G110" i="211"/>
  <c r="F110" i="211"/>
  <c r="E110" i="211"/>
  <c r="D110" i="211"/>
  <c r="C110" i="211"/>
  <c r="B110" i="211"/>
  <c r="L109" i="211"/>
  <c r="K109" i="211"/>
  <c r="J109" i="211"/>
  <c r="I109" i="211"/>
  <c r="H109" i="211"/>
  <c r="G109" i="211"/>
  <c r="F109" i="211"/>
  <c r="E109" i="211"/>
  <c r="D109" i="211"/>
  <c r="C109" i="211"/>
  <c r="B109" i="211"/>
  <c r="L108" i="211"/>
  <c r="K108" i="211"/>
  <c r="J108" i="211"/>
  <c r="I108" i="211"/>
  <c r="H108" i="211"/>
  <c r="G108" i="211"/>
  <c r="F108" i="211"/>
  <c r="E108" i="211"/>
  <c r="D108" i="211"/>
  <c r="C108" i="211"/>
  <c r="B108" i="211"/>
  <c r="L107" i="211"/>
  <c r="K107" i="211"/>
  <c r="J107" i="211"/>
  <c r="I107" i="211"/>
  <c r="H107" i="211"/>
  <c r="G107" i="211"/>
  <c r="F107" i="211"/>
  <c r="E107" i="211"/>
  <c r="D107" i="211"/>
  <c r="C107" i="211"/>
  <c r="B107" i="211"/>
  <c r="L106" i="211"/>
  <c r="K106" i="211"/>
  <c r="J106" i="211"/>
  <c r="I106" i="211"/>
  <c r="H106" i="211"/>
  <c r="G106" i="211"/>
  <c r="F106" i="211"/>
  <c r="E106" i="211"/>
  <c r="D106" i="211"/>
  <c r="C106" i="211"/>
  <c r="B106" i="211"/>
  <c r="L105" i="211"/>
  <c r="K105" i="211"/>
  <c r="J105" i="211"/>
  <c r="I105" i="211"/>
  <c r="H105" i="211"/>
  <c r="G105" i="211"/>
  <c r="F105" i="211"/>
  <c r="E105" i="211"/>
  <c r="D105" i="211"/>
  <c r="C105" i="211"/>
  <c r="B105" i="211"/>
  <c r="L101" i="211"/>
  <c r="K101" i="211"/>
  <c r="J101" i="211"/>
  <c r="I101" i="211"/>
  <c r="H101" i="211"/>
  <c r="G101" i="211"/>
  <c r="F101" i="211"/>
  <c r="E101" i="211"/>
  <c r="D101" i="211"/>
  <c r="C101" i="211"/>
  <c r="B101" i="211"/>
  <c r="L100" i="211"/>
  <c r="K100" i="211"/>
  <c r="J100" i="211"/>
  <c r="I100" i="211"/>
  <c r="H100" i="211"/>
  <c r="G100" i="211"/>
  <c r="F100" i="211"/>
  <c r="E100" i="211"/>
  <c r="D100" i="211"/>
  <c r="C100" i="211"/>
  <c r="B100" i="211"/>
  <c r="L99" i="211"/>
  <c r="K99" i="211"/>
  <c r="J99" i="211"/>
  <c r="I99" i="211"/>
  <c r="H99" i="211"/>
  <c r="G99" i="211"/>
  <c r="F99" i="211"/>
  <c r="E99" i="211"/>
  <c r="D99" i="211"/>
  <c r="C99" i="211"/>
  <c r="B99" i="211"/>
  <c r="L98" i="211"/>
  <c r="K98" i="211"/>
  <c r="J98" i="211"/>
  <c r="I98" i="211"/>
  <c r="H98" i="211"/>
  <c r="G98" i="211"/>
  <c r="F98" i="211"/>
  <c r="E98" i="211"/>
  <c r="D98" i="211"/>
  <c r="C98" i="211"/>
  <c r="B98" i="211"/>
  <c r="L97" i="211"/>
  <c r="K97" i="211"/>
  <c r="J97" i="211"/>
  <c r="I97" i="211"/>
  <c r="H97" i="211"/>
  <c r="G97" i="211"/>
  <c r="F97" i="211"/>
  <c r="E97" i="211"/>
  <c r="D97" i="211"/>
  <c r="C97" i="211"/>
  <c r="B97" i="211"/>
  <c r="L96" i="211"/>
  <c r="K96" i="211"/>
  <c r="J96" i="211"/>
  <c r="I96" i="211"/>
  <c r="H96" i="211"/>
  <c r="G96" i="211"/>
  <c r="F96" i="211"/>
  <c r="E96" i="211"/>
  <c r="D96" i="211"/>
  <c r="C96" i="211"/>
  <c r="B96" i="211"/>
  <c r="L95" i="211"/>
  <c r="K95" i="211"/>
  <c r="J95" i="211"/>
  <c r="I95" i="211"/>
  <c r="H95" i="211"/>
  <c r="G95" i="211"/>
  <c r="F95" i="211"/>
  <c r="E95" i="211"/>
  <c r="D95" i="211"/>
  <c r="C95" i="211"/>
  <c r="B95" i="211"/>
  <c r="L94" i="211"/>
  <c r="K94" i="211"/>
  <c r="J94" i="211"/>
  <c r="I94" i="211"/>
  <c r="H94" i="211"/>
  <c r="G94" i="211"/>
  <c r="F94" i="211"/>
  <c r="E94" i="211"/>
  <c r="D94" i="211"/>
  <c r="C94" i="211"/>
  <c r="B94" i="211"/>
  <c r="L93" i="211"/>
  <c r="K93" i="211"/>
  <c r="J93" i="211"/>
  <c r="I93" i="211"/>
  <c r="H93" i="211"/>
  <c r="G93" i="211"/>
  <c r="F93" i="211"/>
  <c r="E93" i="211"/>
  <c r="D93" i="211"/>
  <c r="C93" i="211"/>
  <c r="B93" i="211"/>
  <c r="L92" i="211"/>
  <c r="K92" i="211"/>
  <c r="J92" i="211"/>
  <c r="I92" i="211"/>
  <c r="H92" i="211"/>
  <c r="G92" i="211"/>
  <c r="F92" i="211"/>
  <c r="E92" i="211"/>
  <c r="D92" i="211"/>
  <c r="C92" i="211"/>
  <c r="B92" i="211"/>
  <c r="L91" i="211"/>
  <c r="K91" i="211"/>
  <c r="J91" i="211"/>
  <c r="I91" i="211"/>
  <c r="H91" i="211"/>
  <c r="G91" i="211"/>
  <c r="F91" i="211"/>
  <c r="E91" i="211"/>
  <c r="D91" i="211"/>
  <c r="C91" i="211"/>
  <c r="B91" i="211"/>
  <c r="L90" i="211"/>
  <c r="K90" i="211"/>
  <c r="J90" i="211"/>
  <c r="I90" i="211"/>
  <c r="H90" i="211"/>
  <c r="G90" i="211"/>
  <c r="F90" i="211"/>
  <c r="E90" i="211"/>
  <c r="D90" i="211"/>
  <c r="C90" i="211"/>
  <c r="B90" i="211"/>
  <c r="L89" i="211"/>
  <c r="K89" i="211"/>
  <c r="J89" i="211"/>
  <c r="I89" i="211"/>
  <c r="H89" i="211"/>
  <c r="G89" i="211"/>
  <c r="F89" i="211"/>
  <c r="E89" i="211"/>
  <c r="D89" i="211"/>
  <c r="C89" i="211"/>
  <c r="B89" i="211"/>
  <c r="L88" i="211"/>
  <c r="K88" i="211"/>
  <c r="J88" i="211"/>
  <c r="I88" i="211"/>
  <c r="H88" i="211"/>
  <c r="G88" i="211"/>
  <c r="F88" i="211"/>
  <c r="E88" i="211"/>
  <c r="D88" i="211"/>
  <c r="C88" i="211"/>
  <c r="B88" i="211"/>
  <c r="L87" i="211"/>
  <c r="K87" i="211"/>
  <c r="J87" i="211"/>
  <c r="I87" i="211"/>
  <c r="H87" i="211"/>
  <c r="G87" i="211"/>
  <c r="F87" i="211"/>
  <c r="E87" i="211"/>
  <c r="D87" i="211"/>
  <c r="C87" i="211"/>
  <c r="B87" i="211"/>
  <c r="L86" i="211"/>
  <c r="K86" i="211"/>
  <c r="J86" i="211"/>
  <c r="I86" i="211"/>
  <c r="H86" i="211"/>
  <c r="G86" i="211"/>
  <c r="F86" i="211"/>
  <c r="E86" i="211"/>
  <c r="D86" i="211"/>
  <c r="C86" i="211"/>
  <c r="B86" i="211"/>
  <c r="L85" i="211"/>
  <c r="K85" i="211"/>
  <c r="J85" i="211"/>
  <c r="I85" i="211"/>
  <c r="H85" i="211"/>
  <c r="G85" i="211"/>
  <c r="F85" i="211"/>
  <c r="E85" i="211"/>
  <c r="D85" i="211"/>
  <c r="C85" i="211"/>
  <c r="B85" i="211"/>
  <c r="L84" i="211"/>
  <c r="K84" i="211"/>
  <c r="J84" i="211"/>
  <c r="I84" i="211"/>
  <c r="H84" i="211"/>
  <c r="G84" i="211"/>
  <c r="F84" i="211"/>
  <c r="E84" i="211"/>
  <c r="D84" i="211"/>
  <c r="C84" i="211"/>
  <c r="B84" i="211"/>
  <c r="L83" i="211"/>
  <c r="K83" i="211"/>
  <c r="J83" i="211"/>
  <c r="I83" i="211"/>
  <c r="H83" i="211"/>
  <c r="G83" i="211"/>
  <c r="F83" i="211"/>
  <c r="E83" i="211"/>
  <c r="D83" i="211"/>
  <c r="C83" i="211"/>
  <c r="B83" i="211"/>
  <c r="L82" i="211"/>
  <c r="K82" i="211"/>
  <c r="J82" i="211"/>
  <c r="I82" i="211"/>
  <c r="H82" i="211"/>
  <c r="G82" i="211"/>
  <c r="F82" i="211"/>
  <c r="E82" i="211"/>
  <c r="D82" i="211"/>
  <c r="C82" i="211"/>
  <c r="B82" i="211"/>
  <c r="L81" i="211"/>
  <c r="K81" i="211"/>
  <c r="J81" i="211"/>
  <c r="I81" i="211"/>
  <c r="H81" i="211"/>
  <c r="G81" i="211"/>
  <c r="F81" i="211"/>
  <c r="E81" i="211"/>
  <c r="D81" i="211"/>
  <c r="B81" i="211"/>
  <c r="B75" i="211"/>
  <c r="B74" i="211"/>
  <c r="B73" i="211"/>
  <c r="B72" i="211"/>
  <c r="B71" i="211"/>
  <c r="B70" i="211"/>
  <c r="B69" i="211"/>
  <c r="B68" i="211"/>
  <c r="B67" i="211"/>
  <c r="B66" i="211"/>
  <c r="B65" i="211"/>
  <c r="B64" i="211"/>
  <c r="B63" i="211"/>
  <c r="B62" i="211"/>
  <c r="B61" i="211"/>
  <c r="B60" i="211"/>
  <c r="B59" i="211"/>
  <c r="B58" i="211"/>
  <c r="B57" i="211"/>
  <c r="B56" i="211"/>
  <c r="B55" i="211"/>
  <c r="L54" i="211"/>
  <c r="K54" i="211"/>
  <c r="J54" i="211"/>
  <c r="I54" i="211"/>
  <c r="H54" i="211"/>
  <c r="G54" i="211"/>
  <c r="F54" i="211"/>
  <c r="E54" i="211"/>
  <c r="D54" i="211"/>
  <c r="C54" i="211"/>
  <c r="B54" i="211"/>
  <c r="E49" i="211"/>
  <c r="E48" i="211"/>
  <c r="F47" i="211"/>
  <c r="E47" i="211"/>
  <c r="E46" i="211"/>
  <c r="E45" i="211"/>
  <c r="E41" i="211"/>
  <c r="D41" i="211"/>
  <c r="C41" i="211"/>
  <c r="B41" i="211"/>
  <c r="E40" i="211"/>
  <c r="D40" i="211"/>
  <c r="C40" i="211"/>
  <c r="B40" i="211"/>
  <c r="E39" i="211"/>
  <c r="D39" i="211"/>
  <c r="C39" i="211"/>
  <c r="B39" i="211"/>
  <c r="E38" i="211"/>
  <c r="D38" i="211"/>
  <c r="C38" i="211"/>
  <c r="B38" i="211"/>
  <c r="E37" i="211"/>
  <c r="D37" i="211"/>
  <c r="C37" i="211"/>
  <c r="B37" i="211"/>
  <c r="E36" i="211"/>
  <c r="D36" i="211"/>
  <c r="C36" i="211"/>
  <c r="B36" i="211"/>
  <c r="E35" i="211"/>
  <c r="D35" i="211"/>
  <c r="C35" i="211"/>
  <c r="B35" i="211"/>
  <c r="E34" i="211"/>
  <c r="D34" i="211"/>
  <c r="C34" i="211"/>
  <c r="B34" i="211"/>
  <c r="E33" i="211"/>
  <c r="D33" i="211"/>
  <c r="C33" i="211"/>
  <c r="B33" i="211"/>
  <c r="E32" i="211"/>
  <c r="D32" i="211"/>
  <c r="C32" i="211"/>
  <c r="B32" i="211"/>
  <c r="E31" i="211"/>
  <c r="D31" i="211"/>
  <c r="C31" i="211"/>
  <c r="B31" i="211"/>
  <c r="E30" i="211"/>
  <c r="D30" i="211"/>
  <c r="C30" i="211"/>
  <c r="B30" i="211"/>
  <c r="E29" i="211"/>
  <c r="D29" i="211"/>
  <c r="C29" i="211"/>
  <c r="B29" i="211"/>
  <c r="E28" i="211"/>
  <c r="D28" i="211"/>
  <c r="C28" i="211"/>
  <c r="B28" i="211"/>
  <c r="E27" i="211"/>
  <c r="D27" i="211"/>
  <c r="C27" i="211"/>
  <c r="B27" i="211"/>
  <c r="E26" i="211"/>
  <c r="D26" i="211"/>
  <c r="C26" i="211"/>
  <c r="B26" i="211"/>
  <c r="E25" i="211"/>
  <c r="D25" i="211"/>
  <c r="C25" i="211"/>
  <c r="B25" i="211"/>
  <c r="E24" i="211"/>
  <c r="D24" i="211"/>
  <c r="C24" i="211"/>
  <c r="B24" i="211"/>
  <c r="E23" i="211"/>
  <c r="D23" i="211"/>
  <c r="C23" i="211"/>
  <c r="B23" i="211"/>
  <c r="E22" i="211"/>
  <c r="D22" i="211"/>
  <c r="C22" i="211"/>
  <c r="B22" i="211"/>
  <c r="A10" i="211"/>
  <c r="A1" i="211"/>
  <c r="B36" i="210"/>
  <c r="B35" i="210"/>
  <c r="B34" i="210"/>
  <c r="B33" i="210"/>
  <c r="B32" i="210"/>
  <c r="B31" i="210"/>
  <c r="B30" i="210"/>
  <c r="B29" i="210"/>
  <c r="B28" i="210"/>
  <c r="B27" i="210"/>
  <c r="B26" i="210"/>
  <c r="B25" i="210"/>
  <c r="B24" i="210"/>
  <c r="B23" i="210"/>
  <c r="B22" i="210"/>
  <c r="B21" i="210"/>
  <c r="B20" i="210"/>
  <c r="B19" i="210"/>
  <c r="B18" i="210"/>
  <c r="B17" i="210"/>
  <c r="B16" i="210"/>
  <c r="L15" i="210"/>
  <c r="K15" i="210"/>
  <c r="J15" i="210"/>
  <c r="I15" i="210"/>
  <c r="H15" i="210"/>
  <c r="G15" i="210"/>
  <c r="F15" i="210"/>
  <c r="E15" i="210"/>
  <c r="D15" i="210"/>
  <c r="C15" i="210"/>
  <c r="B15" i="210"/>
  <c r="A1" i="210"/>
  <c r="B267" i="209"/>
  <c r="B266" i="209"/>
  <c r="B265" i="209"/>
  <c r="B264" i="209"/>
  <c r="B263" i="209"/>
  <c r="B262" i="209"/>
  <c r="B261" i="209"/>
  <c r="B260" i="209"/>
  <c r="B259" i="209"/>
  <c r="B258" i="209"/>
  <c r="B257" i="209"/>
  <c r="B256" i="209"/>
  <c r="B255" i="209"/>
  <c r="B254" i="209"/>
  <c r="B253" i="209"/>
  <c r="B252" i="209"/>
  <c r="B251" i="209"/>
  <c r="B250" i="209"/>
  <c r="B249" i="209"/>
  <c r="B248" i="209"/>
  <c r="B247" i="209"/>
  <c r="L246" i="209"/>
  <c r="K246" i="209"/>
  <c r="J246" i="209"/>
  <c r="I246" i="209"/>
  <c r="H246" i="209"/>
  <c r="G246" i="209"/>
  <c r="F246" i="209"/>
  <c r="E246" i="209"/>
  <c r="D246" i="209"/>
  <c r="C246" i="209"/>
  <c r="B241" i="209"/>
  <c r="B240" i="209"/>
  <c r="B239" i="209"/>
  <c r="B238" i="209"/>
  <c r="B237" i="209"/>
  <c r="B236" i="209"/>
  <c r="B235" i="209"/>
  <c r="B234" i="209"/>
  <c r="B233" i="209"/>
  <c r="B232" i="209"/>
  <c r="B231" i="209"/>
  <c r="B230" i="209"/>
  <c r="B229" i="209"/>
  <c r="B228" i="209"/>
  <c r="B227" i="209"/>
  <c r="B226" i="209"/>
  <c r="B225" i="209"/>
  <c r="B224" i="209"/>
  <c r="B223" i="209"/>
  <c r="B222" i="209"/>
  <c r="B221" i="209"/>
  <c r="L220" i="209"/>
  <c r="K220" i="209"/>
  <c r="J220" i="209"/>
  <c r="I220" i="209"/>
  <c r="H220" i="209"/>
  <c r="G220" i="209"/>
  <c r="F220" i="209"/>
  <c r="E220" i="209"/>
  <c r="D220" i="209"/>
  <c r="C220" i="209"/>
  <c r="B216" i="209"/>
  <c r="B215" i="209"/>
  <c r="B214" i="209"/>
  <c r="B213" i="209"/>
  <c r="B212" i="209"/>
  <c r="B211" i="209"/>
  <c r="B210" i="209"/>
  <c r="B209" i="209"/>
  <c r="B208" i="209"/>
  <c r="B207" i="209"/>
  <c r="B206" i="209"/>
  <c r="B205" i="209"/>
  <c r="B204" i="209"/>
  <c r="B203" i="209"/>
  <c r="B202" i="209"/>
  <c r="B201" i="209"/>
  <c r="B200" i="209"/>
  <c r="B199" i="209"/>
  <c r="B198" i="209"/>
  <c r="B197" i="209"/>
  <c r="B196" i="209"/>
  <c r="B195" i="209"/>
  <c r="L194" i="209"/>
  <c r="K194" i="209"/>
  <c r="J194" i="209"/>
  <c r="I194" i="209"/>
  <c r="H194" i="209"/>
  <c r="G194" i="209"/>
  <c r="F194" i="209"/>
  <c r="E194" i="209"/>
  <c r="D194" i="209"/>
  <c r="C194" i="209"/>
  <c r="L190" i="209"/>
  <c r="K190" i="209"/>
  <c r="J190" i="209"/>
  <c r="I190" i="209"/>
  <c r="H190" i="209"/>
  <c r="G190" i="209"/>
  <c r="F190" i="209"/>
  <c r="E190" i="209"/>
  <c r="D190" i="209"/>
  <c r="C190" i="209"/>
  <c r="A190" i="209"/>
  <c r="L189" i="209"/>
  <c r="K189" i="209"/>
  <c r="J189" i="209"/>
  <c r="I189" i="209"/>
  <c r="H189" i="209"/>
  <c r="G189" i="209"/>
  <c r="F189" i="209"/>
  <c r="E189" i="209"/>
  <c r="D189" i="209"/>
  <c r="C189" i="209"/>
  <c r="B189" i="209"/>
  <c r="L188" i="209"/>
  <c r="K188" i="209"/>
  <c r="J188" i="209"/>
  <c r="I188" i="209"/>
  <c r="H188" i="209"/>
  <c r="G188" i="209"/>
  <c r="F188" i="209"/>
  <c r="E188" i="209"/>
  <c r="D188" i="209"/>
  <c r="C188" i="209"/>
  <c r="B188" i="209"/>
  <c r="L187" i="209"/>
  <c r="K187" i="209"/>
  <c r="J187" i="209"/>
  <c r="I187" i="209"/>
  <c r="H187" i="209"/>
  <c r="G187" i="209"/>
  <c r="F187" i="209"/>
  <c r="E187" i="209"/>
  <c r="D187" i="209"/>
  <c r="C187" i="209"/>
  <c r="B187" i="209"/>
  <c r="L186" i="209"/>
  <c r="K186" i="209"/>
  <c r="J186" i="209"/>
  <c r="I186" i="209"/>
  <c r="H186" i="209"/>
  <c r="G186" i="209"/>
  <c r="F186" i="209"/>
  <c r="E186" i="209"/>
  <c r="D186" i="209"/>
  <c r="C186" i="209"/>
  <c r="B186" i="209"/>
  <c r="L185" i="209"/>
  <c r="K185" i="209"/>
  <c r="J185" i="209"/>
  <c r="I185" i="209"/>
  <c r="H185" i="209"/>
  <c r="G185" i="209"/>
  <c r="F185" i="209"/>
  <c r="E185" i="209"/>
  <c r="D185" i="209"/>
  <c r="C185" i="209"/>
  <c r="B185" i="209"/>
  <c r="L184" i="209"/>
  <c r="K184" i="209"/>
  <c r="J184" i="209"/>
  <c r="I184" i="209"/>
  <c r="H184" i="209"/>
  <c r="G184" i="209"/>
  <c r="F184" i="209"/>
  <c r="E184" i="209"/>
  <c r="D184" i="209"/>
  <c r="C184" i="209"/>
  <c r="B184" i="209"/>
  <c r="L183" i="209"/>
  <c r="K183" i="209"/>
  <c r="J183" i="209"/>
  <c r="I183" i="209"/>
  <c r="H183" i="209"/>
  <c r="G183" i="209"/>
  <c r="F183" i="209"/>
  <c r="E183" i="209"/>
  <c r="D183" i="209"/>
  <c r="C183" i="209"/>
  <c r="B183" i="209"/>
  <c r="L182" i="209"/>
  <c r="K182" i="209"/>
  <c r="J182" i="209"/>
  <c r="I182" i="209"/>
  <c r="H182" i="209"/>
  <c r="G182" i="209"/>
  <c r="F182" i="209"/>
  <c r="E182" i="209"/>
  <c r="D182" i="209"/>
  <c r="C182" i="209"/>
  <c r="B182" i="209"/>
  <c r="L181" i="209"/>
  <c r="K181" i="209"/>
  <c r="J181" i="209"/>
  <c r="I181" i="209"/>
  <c r="H181" i="209"/>
  <c r="G181" i="209"/>
  <c r="F181" i="209"/>
  <c r="E181" i="209"/>
  <c r="D181" i="209"/>
  <c r="C181" i="209"/>
  <c r="B181" i="209"/>
  <c r="L180" i="209"/>
  <c r="K180" i="209"/>
  <c r="J180" i="209"/>
  <c r="I180" i="209"/>
  <c r="H180" i="209"/>
  <c r="G180" i="209"/>
  <c r="F180" i="209"/>
  <c r="E180" i="209"/>
  <c r="D180" i="209"/>
  <c r="C180" i="209"/>
  <c r="B180" i="209"/>
  <c r="L179" i="209"/>
  <c r="K179" i="209"/>
  <c r="J179" i="209"/>
  <c r="I179" i="209"/>
  <c r="H179" i="209"/>
  <c r="G179" i="209"/>
  <c r="F179" i="209"/>
  <c r="E179" i="209"/>
  <c r="D179" i="209"/>
  <c r="C179" i="209"/>
  <c r="B179" i="209"/>
  <c r="L178" i="209"/>
  <c r="K178" i="209"/>
  <c r="J178" i="209"/>
  <c r="I178" i="209"/>
  <c r="H178" i="209"/>
  <c r="G178" i="209"/>
  <c r="F178" i="209"/>
  <c r="E178" i="209"/>
  <c r="D178" i="209"/>
  <c r="C178" i="209"/>
  <c r="B178" i="209"/>
  <c r="L177" i="209"/>
  <c r="K177" i="209"/>
  <c r="J177" i="209"/>
  <c r="I177" i="209"/>
  <c r="H177" i="209"/>
  <c r="G177" i="209"/>
  <c r="F177" i="209"/>
  <c r="E177" i="209"/>
  <c r="D177" i="209"/>
  <c r="C177" i="209"/>
  <c r="B177" i="209"/>
  <c r="L176" i="209"/>
  <c r="K176" i="209"/>
  <c r="J176" i="209"/>
  <c r="I176" i="209"/>
  <c r="H176" i="209"/>
  <c r="G176" i="209"/>
  <c r="F176" i="209"/>
  <c r="E176" i="209"/>
  <c r="D176" i="209"/>
  <c r="C176" i="209"/>
  <c r="B176" i="209"/>
  <c r="L175" i="209"/>
  <c r="K175" i="209"/>
  <c r="J175" i="209"/>
  <c r="I175" i="209"/>
  <c r="H175" i="209"/>
  <c r="G175" i="209"/>
  <c r="F175" i="209"/>
  <c r="E175" i="209"/>
  <c r="D175" i="209"/>
  <c r="C175" i="209"/>
  <c r="B175" i="209"/>
  <c r="L174" i="209"/>
  <c r="K174" i="209"/>
  <c r="J174" i="209"/>
  <c r="I174" i="209"/>
  <c r="H174" i="209"/>
  <c r="G174" i="209"/>
  <c r="F174" i="209"/>
  <c r="E174" i="209"/>
  <c r="D174" i="209"/>
  <c r="C174" i="209"/>
  <c r="B174" i="209"/>
  <c r="L173" i="209"/>
  <c r="K173" i="209"/>
  <c r="J173" i="209"/>
  <c r="I173" i="209"/>
  <c r="H173" i="209"/>
  <c r="G173" i="209"/>
  <c r="F173" i="209"/>
  <c r="E173" i="209"/>
  <c r="D173" i="209"/>
  <c r="C173" i="209"/>
  <c r="B173" i="209"/>
  <c r="L172" i="209"/>
  <c r="K172" i="209"/>
  <c r="J172" i="209"/>
  <c r="I172" i="209"/>
  <c r="H172" i="209"/>
  <c r="G172" i="209"/>
  <c r="F172" i="209"/>
  <c r="E172" i="209"/>
  <c r="D172" i="209"/>
  <c r="C172" i="209"/>
  <c r="B172" i="209"/>
  <c r="L171" i="209"/>
  <c r="K171" i="209"/>
  <c r="J171" i="209"/>
  <c r="I171" i="209"/>
  <c r="H171" i="209"/>
  <c r="G171" i="209"/>
  <c r="F171" i="209"/>
  <c r="E171" i="209"/>
  <c r="D171" i="209"/>
  <c r="C171" i="209"/>
  <c r="B171" i="209"/>
  <c r="L170" i="209"/>
  <c r="K170" i="209"/>
  <c r="J170" i="209"/>
  <c r="I170" i="209"/>
  <c r="H170" i="209"/>
  <c r="G170" i="209"/>
  <c r="F170" i="209"/>
  <c r="E170" i="209"/>
  <c r="D170" i="209"/>
  <c r="C170" i="209"/>
  <c r="B170" i="209"/>
  <c r="L169" i="209"/>
  <c r="K169" i="209"/>
  <c r="J169" i="209"/>
  <c r="I169" i="209"/>
  <c r="H169" i="209"/>
  <c r="G169" i="209"/>
  <c r="F169" i="209"/>
  <c r="E169" i="209"/>
  <c r="D169" i="209"/>
  <c r="C169" i="209"/>
  <c r="B169" i="209"/>
  <c r="L168" i="209"/>
  <c r="K168" i="209"/>
  <c r="J168" i="209"/>
  <c r="I168" i="209"/>
  <c r="H168" i="209"/>
  <c r="G168" i="209"/>
  <c r="F168" i="209"/>
  <c r="E168" i="209"/>
  <c r="D168" i="209"/>
  <c r="C168" i="209"/>
  <c r="L164" i="209"/>
  <c r="K164" i="209"/>
  <c r="J164" i="209"/>
  <c r="I164" i="209"/>
  <c r="H164" i="209"/>
  <c r="G164" i="209"/>
  <c r="F164" i="209"/>
  <c r="E164" i="209"/>
  <c r="D164" i="209"/>
  <c r="C164" i="209"/>
  <c r="B164" i="209"/>
  <c r="L163" i="209"/>
  <c r="K163" i="209"/>
  <c r="J163" i="209"/>
  <c r="I163" i="209"/>
  <c r="H163" i="209"/>
  <c r="G163" i="209"/>
  <c r="F163" i="209"/>
  <c r="E163" i="209"/>
  <c r="D163" i="209"/>
  <c r="C163" i="209"/>
  <c r="B163" i="209"/>
  <c r="L162" i="209"/>
  <c r="K162" i="209"/>
  <c r="J162" i="209"/>
  <c r="I162" i="209"/>
  <c r="H162" i="209"/>
  <c r="G162" i="209"/>
  <c r="F162" i="209"/>
  <c r="E162" i="209"/>
  <c r="D162" i="209"/>
  <c r="C162" i="209"/>
  <c r="B162" i="209"/>
  <c r="L161" i="209"/>
  <c r="K161" i="209"/>
  <c r="J161" i="209"/>
  <c r="I161" i="209"/>
  <c r="H161" i="209"/>
  <c r="G161" i="209"/>
  <c r="F161" i="209"/>
  <c r="E161" i="209"/>
  <c r="D161" i="209"/>
  <c r="C161" i="209"/>
  <c r="B161" i="209"/>
  <c r="L160" i="209"/>
  <c r="K160" i="209"/>
  <c r="J160" i="209"/>
  <c r="I160" i="209"/>
  <c r="H160" i="209"/>
  <c r="G160" i="209"/>
  <c r="F160" i="209"/>
  <c r="E160" i="209"/>
  <c r="D160" i="209"/>
  <c r="C160" i="209"/>
  <c r="B160" i="209"/>
  <c r="L159" i="209"/>
  <c r="K159" i="209"/>
  <c r="J159" i="209"/>
  <c r="I159" i="209"/>
  <c r="H159" i="209"/>
  <c r="G159" i="209"/>
  <c r="F159" i="209"/>
  <c r="E159" i="209"/>
  <c r="D159" i="209"/>
  <c r="C159" i="209"/>
  <c r="B159" i="209"/>
  <c r="L158" i="209"/>
  <c r="K158" i="209"/>
  <c r="J158" i="209"/>
  <c r="I158" i="209"/>
  <c r="H158" i="209"/>
  <c r="G158" i="209"/>
  <c r="F158" i="209"/>
  <c r="E158" i="209"/>
  <c r="D158" i="209"/>
  <c r="C158" i="209"/>
  <c r="B158" i="209"/>
  <c r="L157" i="209"/>
  <c r="K157" i="209"/>
  <c r="J157" i="209"/>
  <c r="I157" i="209"/>
  <c r="H157" i="209"/>
  <c r="G157" i="209"/>
  <c r="F157" i="209"/>
  <c r="E157" i="209"/>
  <c r="D157" i="209"/>
  <c r="C157" i="209"/>
  <c r="B157" i="209"/>
  <c r="L156" i="209"/>
  <c r="K156" i="209"/>
  <c r="J156" i="209"/>
  <c r="I156" i="209"/>
  <c r="H156" i="209"/>
  <c r="G156" i="209"/>
  <c r="F156" i="209"/>
  <c r="E156" i="209"/>
  <c r="D156" i="209"/>
  <c r="C156" i="209"/>
  <c r="B156" i="209"/>
  <c r="L155" i="209"/>
  <c r="K155" i="209"/>
  <c r="J155" i="209"/>
  <c r="I155" i="209"/>
  <c r="H155" i="209"/>
  <c r="G155" i="209"/>
  <c r="F155" i="209"/>
  <c r="E155" i="209"/>
  <c r="D155" i="209"/>
  <c r="C155" i="209"/>
  <c r="B155" i="209"/>
  <c r="L154" i="209"/>
  <c r="K154" i="209"/>
  <c r="J154" i="209"/>
  <c r="I154" i="209"/>
  <c r="H154" i="209"/>
  <c r="G154" i="209"/>
  <c r="F154" i="209"/>
  <c r="E154" i="209"/>
  <c r="D154" i="209"/>
  <c r="C154" i="209"/>
  <c r="B154" i="209"/>
  <c r="L153" i="209"/>
  <c r="K153" i="209"/>
  <c r="J153" i="209"/>
  <c r="I153" i="209"/>
  <c r="H153" i="209"/>
  <c r="G153" i="209"/>
  <c r="F153" i="209"/>
  <c r="E153" i="209"/>
  <c r="D153" i="209"/>
  <c r="C153" i="209"/>
  <c r="B153" i="209"/>
  <c r="L152" i="209"/>
  <c r="K152" i="209"/>
  <c r="J152" i="209"/>
  <c r="I152" i="209"/>
  <c r="H152" i="209"/>
  <c r="G152" i="209"/>
  <c r="F152" i="209"/>
  <c r="E152" i="209"/>
  <c r="D152" i="209"/>
  <c r="C152" i="209"/>
  <c r="B152" i="209"/>
  <c r="L151" i="209"/>
  <c r="K151" i="209"/>
  <c r="J151" i="209"/>
  <c r="I151" i="209"/>
  <c r="H151" i="209"/>
  <c r="G151" i="209"/>
  <c r="F151" i="209"/>
  <c r="E151" i="209"/>
  <c r="D151" i="209"/>
  <c r="C151" i="209"/>
  <c r="B151" i="209"/>
  <c r="L150" i="209"/>
  <c r="K150" i="209"/>
  <c r="J150" i="209"/>
  <c r="I150" i="209"/>
  <c r="H150" i="209"/>
  <c r="G150" i="209"/>
  <c r="F150" i="209"/>
  <c r="E150" i="209"/>
  <c r="D150" i="209"/>
  <c r="C150" i="209"/>
  <c r="B150" i="209"/>
  <c r="L149" i="209"/>
  <c r="K149" i="209"/>
  <c r="J149" i="209"/>
  <c r="I149" i="209"/>
  <c r="H149" i="209"/>
  <c r="G149" i="209"/>
  <c r="F149" i="209"/>
  <c r="E149" i="209"/>
  <c r="D149" i="209"/>
  <c r="C149" i="209"/>
  <c r="B149" i="209"/>
  <c r="L148" i="209"/>
  <c r="K148" i="209"/>
  <c r="J148" i="209"/>
  <c r="I148" i="209"/>
  <c r="H148" i="209"/>
  <c r="G148" i="209"/>
  <c r="F148" i="209"/>
  <c r="E148" i="209"/>
  <c r="D148" i="209"/>
  <c r="C148" i="209"/>
  <c r="B148" i="209"/>
  <c r="L147" i="209"/>
  <c r="K147" i="209"/>
  <c r="J147" i="209"/>
  <c r="I147" i="209"/>
  <c r="H147" i="209"/>
  <c r="G147" i="209"/>
  <c r="F147" i="209"/>
  <c r="E147" i="209"/>
  <c r="D147" i="209"/>
  <c r="C147" i="209"/>
  <c r="B147" i="209"/>
  <c r="L146" i="209"/>
  <c r="K146" i="209"/>
  <c r="J146" i="209"/>
  <c r="I146" i="209"/>
  <c r="H146" i="209"/>
  <c r="G146" i="209"/>
  <c r="F146" i="209"/>
  <c r="E146" i="209"/>
  <c r="D146" i="209"/>
  <c r="C146" i="209"/>
  <c r="B146" i="209"/>
  <c r="L145" i="209"/>
  <c r="K145" i="209"/>
  <c r="J145" i="209"/>
  <c r="I145" i="209"/>
  <c r="H145" i="209"/>
  <c r="G145" i="209"/>
  <c r="F145" i="209"/>
  <c r="E145" i="209"/>
  <c r="D145" i="209"/>
  <c r="C145" i="209"/>
  <c r="B145" i="209"/>
  <c r="L144" i="209"/>
  <c r="K144" i="209"/>
  <c r="J144" i="209"/>
  <c r="I144" i="209"/>
  <c r="H144" i="209"/>
  <c r="G144" i="209"/>
  <c r="F144" i="209"/>
  <c r="E144" i="209"/>
  <c r="D144" i="209"/>
  <c r="C144" i="209"/>
  <c r="B144" i="209"/>
  <c r="L143" i="209"/>
  <c r="K143" i="209"/>
  <c r="J143" i="209"/>
  <c r="I143" i="209"/>
  <c r="H143" i="209"/>
  <c r="G143" i="209"/>
  <c r="F143" i="209"/>
  <c r="E143" i="209"/>
  <c r="D143" i="209"/>
  <c r="C143" i="209"/>
  <c r="B143" i="209"/>
  <c r="L142" i="209"/>
  <c r="K142" i="209"/>
  <c r="J142" i="209"/>
  <c r="I142" i="209"/>
  <c r="H142" i="209"/>
  <c r="G142" i="209"/>
  <c r="F142" i="209"/>
  <c r="E142" i="209"/>
  <c r="D142" i="209"/>
  <c r="C142" i="209"/>
  <c r="B138" i="209"/>
  <c r="B137" i="209"/>
  <c r="B136" i="209"/>
  <c r="B135" i="209"/>
  <c r="B134" i="209"/>
  <c r="B133" i="209"/>
  <c r="B132" i="209"/>
  <c r="B131" i="209"/>
  <c r="B130" i="209"/>
  <c r="B129" i="209"/>
  <c r="B128" i="209"/>
  <c r="B127" i="209"/>
  <c r="B126" i="209"/>
  <c r="B125" i="209"/>
  <c r="B124" i="209"/>
  <c r="B123" i="209"/>
  <c r="B122" i="209"/>
  <c r="B121" i="209"/>
  <c r="B120" i="209"/>
  <c r="B119" i="209"/>
  <c r="L118" i="209"/>
  <c r="K118" i="209"/>
  <c r="J118" i="209"/>
  <c r="I118" i="209"/>
  <c r="H118" i="209"/>
  <c r="G118" i="209"/>
  <c r="F118" i="209"/>
  <c r="E118" i="209"/>
  <c r="D118" i="209"/>
  <c r="C118" i="209"/>
  <c r="L114" i="209"/>
  <c r="K114" i="209"/>
  <c r="J114" i="209"/>
  <c r="I114" i="209"/>
  <c r="H114" i="209"/>
  <c r="G114" i="209"/>
  <c r="F114" i="209"/>
  <c r="E114" i="209"/>
  <c r="D114" i="209"/>
  <c r="C114" i="209"/>
  <c r="B114" i="209"/>
  <c r="L113" i="209"/>
  <c r="K113" i="209"/>
  <c r="J113" i="209"/>
  <c r="I113" i="209"/>
  <c r="H113" i="209"/>
  <c r="G113" i="209"/>
  <c r="F113" i="209"/>
  <c r="E113" i="209"/>
  <c r="D113" i="209"/>
  <c r="C113" i="209"/>
  <c r="B113" i="209"/>
  <c r="L112" i="209"/>
  <c r="K112" i="209"/>
  <c r="J112" i="209"/>
  <c r="I112" i="209"/>
  <c r="H112" i="209"/>
  <c r="G112" i="209"/>
  <c r="F112" i="209"/>
  <c r="E112" i="209"/>
  <c r="D112" i="209"/>
  <c r="C112" i="209"/>
  <c r="B112" i="209"/>
  <c r="L111" i="209"/>
  <c r="K111" i="209"/>
  <c r="J111" i="209"/>
  <c r="I111" i="209"/>
  <c r="H111" i="209"/>
  <c r="G111" i="209"/>
  <c r="F111" i="209"/>
  <c r="E111" i="209"/>
  <c r="D111" i="209"/>
  <c r="C111" i="209"/>
  <c r="B111" i="209"/>
  <c r="L110" i="209"/>
  <c r="K110" i="209"/>
  <c r="J110" i="209"/>
  <c r="I110" i="209"/>
  <c r="H110" i="209"/>
  <c r="G110" i="209"/>
  <c r="F110" i="209"/>
  <c r="E110" i="209"/>
  <c r="D110" i="209"/>
  <c r="C110" i="209"/>
  <c r="B110" i="209"/>
  <c r="L109" i="209"/>
  <c r="K109" i="209"/>
  <c r="J109" i="209"/>
  <c r="I109" i="209"/>
  <c r="H109" i="209"/>
  <c r="G109" i="209"/>
  <c r="F109" i="209"/>
  <c r="E109" i="209"/>
  <c r="D109" i="209"/>
  <c r="C109" i="209"/>
  <c r="B109" i="209"/>
  <c r="L108" i="209"/>
  <c r="K108" i="209"/>
  <c r="J108" i="209"/>
  <c r="I108" i="209"/>
  <c r="H108" i="209"/>
  <c r="G108" i="209"/>
  <c r="F108" i="209"/>
  <c r="E108" i="209"/>
  <c r="D108" i="209"/>
  <c r="C108" i="209"/>
  <c r="B108" i="209"/>
  <c r="L107" i="209"/>
  <c r="K107" i="209"/>
  <c r="J107" i="209"/>
  <c r="I107" i="209"/>
  <c r="H107" i="209"/>
  <c r="G107" i="209"/>
  <c r="F107" i="209"/>
  <c r="E107" i="209"/>
  <c r="D107" i="209"/>
  <c r="C107" i="209"/>
  <c r="B107" i="209"/>
  <c r="L106" i="209"/>
  <c r="K106" i="209"/>
  <c r="J106" i="209"/>
  <c r="I106" i="209"/>
  <c r="H106" i="209"/>
  <c r="G106" i="209"/>
  <c r="F106" i="209"/>
  <c r="E106" i="209"/>
  <c r="D106" i="209"/>
  <c r="C106" i="209"/>
  <c r="B106" i="209"/>
  <c r="L105" i="209"/>
  <c r="K105" i="209"/>
  <c r="J105" i="209"/>
  <c r="I105" i="209"/>
  <c r="H105" i="209"/>
  <c r="G105" i="209"/>
  <c r="F105" i="209"/>
  <c r="E105" i="209"/>
  <c r="D105" i="209"/>
  <c r="C105" i="209"/>
  <c r="B105" i="209"/>
  <c r="L104" i="209"/>
  <c r="K104" i="209"/>
  <c r="J104" i="209"/>
  <c r="I104" i="209"/>
  <c r="H104" i="209"/>
  <c r="G104" i="209"/>
  <c r="F104" i="209"/>
  <c r="E104" i="209"/>
  <c r="D104" i="209"/>
  <c r="C104" i="209"/>
  <c r="B104" i="209"/>
  <c r="L103" i="209"/>
  <c r="K103" i="209"/>
  <c r="J103" i="209"/>
  <c r="I103" i="209"/>
  <c r="H103" i="209"/>
  <c r="G103" i="209"/>
  <c r="F103" i="209"/>
  <c r="E103" i="209"/>
  <c r="D103" i="209"/>
  <c r="C103" i="209"/>
  <c r="B103" i="209"/>
  <c r="L102" i="209"/>
  <c r="K102" i="209"/>
  <c r="J102" i="209"/>
  <c r="I102" i="209"/>
  <c r="H102" i="209"/>
  <c r="G102" i="209"/>
  <c r="F102" i="209"/>
  <c r="E102" i="209"/>
  <c r="D102" i="209"/>
  <c r="C102" i="209"/>
  <c r="B102" i="209"/>
  <c r="L101" i="209"/>
  <c r="K101" i="209"/>
  <c r="J101" i="209"/>
  <c r="I101" i="209"/>
  <c r="H101" i="209"/>
  <c r="G101" i="209"/>
  <c r="F101" i="209"/>
  <c r="E101" i="209"/>
  <c r="D101" i="209"/>
  <c r="C101" i="209"/>
  <c r="B101" i="209"/>
  <c r="L100" i="209"/>
  <c r="K100" i="209"/>
  <c r="J100" i="209"/>
  <c r="I100" i="209"/>
  <c r="H100" i="209"/>
  <c r="G100" i="209"/>
  <c r="F100" i="209"/>
  <c r="E100" i="209"/>
  <c r="D100" i="209"/>
  <c r="C100" i="209"/>
  <c r="B100" i="209"/>
  <c r="L99" i="209"/>
  <c r="K99" i="209"/>
  <c r="J99" i="209"/>
  <c r="I99" i="209"/>
  <c r="H99" i="209"/>
  <c r="G99" i="209"/>
  <c r="F99" i="209"/>
  <c r="E99" i="209"/>
  <c r="D99" i="209"/>
  <c r="C99" i="209"/>
  <c r="B99" i="209"/>
  <c r="L98" i="209"/>
  <c r="K98" i="209"/>
  <c r="J98" i="209"/>
  <c r="I98" i="209"/>
  <c r="H98" i="209"/>
  <c r="G98" i="209"/>
  <c r="F98" i="209"/>
  <c r="E98" i="209"/>
  <c r="D98" i="209"/>
  <c r="C98" i="209"/>
  <c r="B98" i="209"/>
  <c r="L97" i="209"/>
  <c r="K97" i="209"/>
  <c r="J97" i="209"/>
  <c r="I97" i="209"/>
  <c r="H97" i="209"/>
  <c r="G97" i="209"/>
  <c r="F97" i="209"/>
  <c r="E97" i="209"/>
  <c r="D97" i="209"/>
  <c r="C97" i="209"/>
  <c r="B97" i="209"/>
  <c r="L96" i="209"/>
  <c r="K96" i="209"/>
  <c r="J96" i="209"/>
  <c r="I96" i="209"/>
  <c r="H96" i="209"/>
  <c r="G96" i="209"/>
  <c r="F96" i="209"/>
  <c r="E96" i="209"/>
  <c r="D96" i="209"/>
  <c r="C96" i="209"/>
  <c r="B96" i="209"/>
  <c r="L95" i="209"/>
  <c r="K95" i="209"/>
  <c r="J95" i="209"/>
  <c r="I95" i="209"/>
  <c r="H95" i="209"/>
  <c r="G95" i="209"/>
  <c r="F95" i="209"/>
  <c r="E95" i="209"/>
  <c r="D95" i="209"/>
  <c r="C95" i="209"/>
  <c r="B95" i="209"/>
  <c r="L94" i="209"/>
  <c r="K94" i="209"/>
  <c r="J94" i="209"/>
  <c r="I94" i="209"/>
  <c r="H94" i="209"/>
  <c r="G94" i="209"/>
  <c r="F94" i="209"/>
  <c r="E94" i="209"/>
  <c r="D94" i="209"/>
  <c r="C94" i="209"/>
  <c r="L88" i="209"/>
  <c r="K88" i="209"/>
  <c r="J88" i="209"/>
  <c r="I88" i="209"/>
  <c r="H88" i="209"/>
  <c r="G88" i="209"/>
  <c r="F88" i="209"/>
  <c r="E88" i="209"/>
  <c r="D88" i="209"/>
  <c r="C88" i="209"/>
  <c r="A88" i="209"/>
  <c r="L87" i="209"/>
  <c r="K87" i="209"/>
  <c r="J87" i="209"/>
  <c r="I87" i="209"/>
  <c r="H87" i="209"/>
  <c r="G87" i="209"/>
  <c r="F87" i="209"/>
  <c r="E87" i="209"/>
  <c r="D87" i="209"/>
  <c r="C87" i="209"/>
  <c r="B87" i="209"/>
  <c r="L86" i="209"/>
  <c r="K86" i="209"/>
  <c r="J86" i="209"/>
  <c r="I86" i="209"/>
  <c r="H86" i="209"/>
  <c r="G86" i="209"/>
  <c r="F86" i="209"/>
  <c r="E86" i="209"/>
  <c r="D86" i="209"/>
  <c r="C86" i="209"/>
  <c r="B86" i="209"/>
  <c r="L85" i="209"/>
  <c r="K85" i="209"/>
  <c r="J85" i="209"/>
  <c r="I85" i="209"/>
  <c r="H85" i="209"/>
  <c r="G85" i="209"/>
  <c r="F85" i="209"/>
  <c r="E85" i="209"/>
  <c r="D85" i="209"/>
  <c r="C85" i="209"/>
  <c r="B85" i="209"/>
  <c r="L84" i="209"/>
  <c r="K84" i="209"/>
  <c r="J84" i="209"/>
  <c r="I84" i="209"/>
  <c r="H84" i="209"/>
  <c r="G84" i="209"/>
  <c r="F84" i="209"/>
  <c r="E84" i="209"/>
  <c r="D84" i="209"/>
  <c r="C84" i="209"/>
  <c r="B84" i="209"/>
  <c r="L83" i="209"/>
  <c r="K83" i="209"/>
  <c r="J83" i="209"/>
  <c r="I83" i="209"/>
  <c r="H83" i="209"/>
  <c r="G83" i="209"/>
  <c r="F83" i="209"/>
  <c r="E83" i="209"/>
  <c r="D83" i="209"/>
  <c r="C83" i="209"/>
  <c r="B83" i="209"/>
  <c r="L82" i="209"/>
  <c r="K82" i="209"/>
  <c r="J82" i="209"/>
  <c r="I82" i="209"/>
  <c r="H82" i="209"/>
  <c r="G82" i="209"/>
  <c r="F82" i="209"/>
  <c r="E82" i="209"/>
  <c r="D82" i="209"/>
  <c r="C82" i="209"/>
  <c r="B82" i="209"/>
  <c r="L81" i="209"/>
  <c r="K81" i="209"/>
  <c r="J81" i="209"/>
  <c r="I81" i="209"/>
  <c r="H81" i="209"/>
  <c r="G81" i="209"/>
  <c r="F81" i="209"/>
  <c r="E81" i="209"/>
  <c r="D81" i="209"/>
  <c r="C81" i="209"/>
  <c r="B81" i="209"/>
  <c r="L80" i="209"/>
  <c r="K80" i="209"/>
  <c r="J80" i="209"/>
  <c r="I80" i="209"/>
  <c r="H80" i="209"/>
  <c r="G80" i="209"/>
  <c r="F80" i="209"/>
  <c r="E80" i="209"/>
  <c r="D80" i="209"/>
  <c r="C80" i="209"/>
  <c r="B80" i="209"/>
  <c r="L79" i="209"/>
  <c r="K79" i="209"/>
  <c r="J79" i="209"/>
  <c r="I79" i="209"/>
  <c r="H79" i="209"/>
  <c r="G79" i="209"/>
  <c r="F79" i="209"/>
  <c r="E79" i="209"/>
  <c r="D79" i="209"/>
  <c r="C79" i="209"/>
  <c r="B79" i="209"/>
  <c r="L78" i="209"/>
  <c r="K78" i="209"/>
  <c r="J78" i="209"/>
  <c r="I78" i="209"/>
  <c r="H78" i="209"/>
  <c r="G78" i="209"/>
  <c r="F78" i="209"/>
  <c r="E78" i="209"/>
  <c r="D78" i="209"/>
  <c r="C78" i="209"/>
  <c r="B78" i="209"/>
  <c r="L77" i="209"/>
  <c r="K77" i="209"/>
  <c r="J77" i="209"/>
  <c r="I77" i="209"/>
  <c r="H77" i="209"/>
  <c r="G77" i="209"/>
  <c r="F77" i="209"/>
  <c r="E77" i="209"/>
  <c r="D77" i="209"/>
  <c r="C77" i="209"/>
  <c r="B77" i="209"/>
  <c r="L76" i="209"/>
  <c r="K76" i="209"/>
  <c r="J76" i="209"/>
  <c r="I76" i="209"/>
  <c r="H76" i="209"/>
  <c r="G76" i="209"/>
  <c r="F76" i="209"/>
  <c r="E76" i="209"/>
  <c r="D76" i="209"/>
  <c r="C76" i="209"/>
  <c r="B76" i="209"/>
  <c r="L75" i="209"/>
  <c r="K75" i="209"/>
  <c r="J75" i="209"/>
  <c r="I75" i="209"/>
  <c r="H75" i="209"/>
  <c r="G75" i="209"/>
  <c r="F75" i="209"/>
  <c r="E75" i="209"/>
  <c r="D75" i="209"/>
  <c r="C75" i="209"/>
  <c r="B75" i="209"/>
  <c r="L74" i="209"/>
  <c r="K74" i="209"/>
  <c r="J74" i="209"/>
  <c r="I74" i="209"/>
  <c r="H74" i="209"/>
  <c r="G74" i="209"/>
  <c r="F74" i="209"/>
  <c r="E74" i="209"/>
  <c r="D74" i="209"/>
  <c r="C74" i="209"/>
  <c r="B74" i="209"/>
  <c r="L73" i="209"/>
  <c r="K73" i="209"/>
  <c r="J73" i="209"/>
  <c r="I73" i="209"/>
  <c r="H73" i="209"/>
  <c r="G73" i="209"/>
  <c r="F73" i="209"/>
  <c r="E73" i="209"/>
  <c r="D73" i="209"/>
  <c r="C73" i="209"/>
  <c r="B73" i="209"/>
  <c r="L72" i="209"/>
  <c r="K72" i="209"/>
  <c r="J72" i="209"/>
  <c r="I72" i="209"/>
  <c r="H72" i="209"/>
  <c r="G72" i="209"/>
  <c r="F72" i="209"/>
  <c r="E72" i="209"/>
  <c r="D72" i="209"/>
  <c r="C72" i="209"/>
  <c r="B72" i="209"/>
  <c r="L71" i="209"/>
  <c r="K71" i="209"/>
  <c r="J71" i="209"/>
  <c r="I71" i="209"/>
  <c r="H71" i="209"/>
  <c r="G71" i="209"/>
  <c r="F71" i="209"/>
  <c r="E71" i="209"/>
  <c r="D71" i="209"/>
  <c r="C71" i="209"/>
  <c r="B71" i="209"/>
  <c r="L70" i="209"/>
  <c r="K70" i="209"/>
  <c r="J70" i="209"/>
  <c r="I70" i="209"/>
  <c r="H70" i="209"/>
  <c r="G70" i="209"/>
  <c r="F70" i="209"/>
  <c r="E70" i="209"/>
  <c r="D70" i="209"/>
  <c r="C70" i="209"/>
  <c r="B70" i="209"/>
  <c r="L69" i="209"/>
  <c r="K69" i="209"/>
  <c r="J69" i="209"/>
  <c r="I69" i="209"/>
  <c r="H69" i="209"/>
  <c r="G69" i="209"/>
  <c r="F69" i="209"/>
  <c r="E69" i="209"/>
  <c r="D69" i="209"/>
  <c r="C69" i="209"/>
  <c r="B69" i="209"/>
  <c r="L68" i="209"/>
  <c r="K68" i="209"/>
  <c r="J68" i="209"/>
  <c r="I68" i="209"/>
  <c r="H68" i="209"/>
  <c r="G68" i="209"/>
  <c r="F68" i="209"/>
  <c r="E68" i="209"/>
  <c r="D68" i="209"/>
  <c r="C68" i="209"/>
  <c r="B68" i="209"/>
  <c r="L67" i="209"/>
  <c r="K67" i="209"/>
  <c r="J67" i="209"/>
  <c r="I67" i="209"/>
  <c r="H67" i="209"/>
  <c r="G67" i="209"/>
  <c r="F67" i="209"/>
  <c r="E67" i="209"/>
  <c r="D67" i="209"/>
  <c r="C67" i="209"/>
  <c r="B67" i="209"/>
  <c r="L66" i="209"/>
  <c r="K66" i="209"/>
  <c r="J66" i="209"/>
  <c r="I66" i="209"/>
  <c r="H66" i="209"/>
  <c r="G66" i="209"/>
  <c r="F66" i="209"/>
  <c r="E66" i="209"/>
  <c r="D66" i="209"/>
  <c r="L62" i="209"/>
  <c r="K62" i="209"/>
  <c r="J62" i="209"/>
  <c r="I62" i="209"/>
  <c r="H62" i="209"/>
  <c r="G62" i="209"/>
  <c r="F62" i="209"/>
  <c r="E62" i="209"/>
  <c r="D62" i="209"/>
  <c r="C62" i="209"/>
  <c r="L61" i="209"/>
  <c r="K61" i="209"/>
  <c r="J61" i="209"/>
  <c r="I61" i="209"/>
  <c r="H61" i="209"/>
  <c r="G61" i="209"/>
  <c r="F61" i="209"/>
  <c r="E61" i="209"/>
  <c r="D61" i="209"/>
  <c r="C61" i="209"/>
  <c r="L60" i="209"/>
  <c r="K60" i="209"/>
  <c r="J60" i="209"/>
  <c r="I60" i="209"/>
  <c r="H60" i="209"/>
  <c r="G60" i="209"/>
  <c r="F60" i="209"/>
  <c r="E60" i="209"/>
  <c r="D60" i="209"/>
  <c r="C60" i="209"/>
  <c r="B60" i="209"/>
  <c r="L59" i="209"/>
  <c r="K59" i="209"/>
  <c r="J59" i="209"/>
  <c r="I59" i="209"/>
  <c r="H59" i="209"/>
  <c r="G59" i="209"/>
  <c r="F59" i="209"/>
  <c r="E59" i="209"/>
  <c r="D59" i="209"/>
  <c r="C59" i="209"/>
  <c r="B59" i="209"/>
  <c r="L58" i="209"/>
  <c r="K58" i="209"/>
  <c r="J58" i="209"/>
  <c r="I58" i="209"/>
  <c r="H58" i="209"/>
  <c r="G58" i="209"/>
  <c r="F58" i="209"/>
  <c r="E58" i="209"/>
  <c r="D58" i="209"/>
  <c r="C58" i="209"/>
  <c r="B58" i="209"/>
  <c r="L57" i="209"/>
  <c r="K57" i="209"/>
  <c r="J57" i="209"/>
  <c r="I57" i="209"/>
  <c r="H57" i="209"/>
  <c r="G57" i="209"/>
  <c r="F57" i="209"/>
  <c r="E57" i="209"/>
  <c r="D57" i="209"/>
  <c r="C57" i="209"/>
  <c r="B57" i="209"/>
  <c r="L56" i="209"/>
  <c r="K56" i="209"/>
  <c r="J56" i="209"/>
  <c r="I56" i="209"/>
  <c r="H56" i="209"/>
  <c r="G56" i="209"/>
  <c r="F56" i="209"/>
  <c r="E56" i="209"/>
  <c r="D56" i="209"/>
  <c r="C56" i="209"/>
  <c r="B56" i="209"/>
  <c r="L55" i="209"/>
  <c r="K55" i="209"/>
  <c r="J55" i="209"/>
  <c r="I55" i="209"/>
  <c r="H55" i="209"/>
  <c r="G55" i="209"/>
  <c r="F55" i="209"/>
  <c r="E55" i="209"/>
  <c r="D55" i="209"/>
  <c r="C55" i="209"/>
  <c r="B55" i="209"/>
  <c r="L54" i="209"/>
  <c r="K54" i="209"/>
  <c r="J54" i="209"/>
  <c r="I54" i="209"/>
  <c r="H54" i="209"/>
  <c r="G54" i="209"/>
  <c r="F54" i="209"/>
  <c r="E54" i="209"/>
  <c r="D54" i="209"/>
  <c r="C54" i="209"/>
  <c r="B54" i="209"/>
  <c r="L53" i="209"/>
  <c r="K53" i="209"/>
  <c r="J53" i="209"/>
  <c r="I53" i="209"/>
  <c r="H53" i="209"/>
  <c r="G53" i="209"/>
  <c r="F53" i="209"/>
  <c r="E53" i="209"/>
  <c r="D53" i="209"/>
  <c r="C53" i="209"/>
  <c r="B53" i="209"/>
  <c r="L52" i="209"/>
  <c r="K52" i="209"/>
  <c r="J52" i="209"/>
  <c r="I52" i="209"/>
  <c r="H52" i="209"/>
  <c r="G52" i="209"/>
  <c r="F52" i="209"/>
  <c r="E52" i="209"/>
  <c r="D52" i="209"/>
  <c r="C52" i="209"/>
  <c r="B52" i="209"/>
  <c r="L51" i="209"/>
  <c r="K51" i="209"/>
  <c r="J51" i="209"/>
  <c r="I51" i="209"/>
  <c r="H51" i="209"/>
  <c r="G51" i="209"/>
  <c r="F51" i="209"/>
  <c r="E51" i="209"/>
  <c r="D51" i="209"/>
  <c r="C51" i="209"/>
  <c r="B51" i="209"/>
  <c r="L50" i="209"/>
  <c r="K50" i="209"/>
  <c r="J50" i="209"/>
  <c r="I50" i="209"/>
  <c r="H50" i="209"/>
  <c r="G50" i="209"/>
  <c r="F50" i="209"/>
  <c r="E50" i="209"/>
  <c r="D50" i="209"/>
  <c r="C50" i="209"/>
  <c r="B50" i="209"/>
  <c r="L49" i="209"/>
  <c r="K49" i="209"/>
  <c r="J49" i="209"/>
  <c r="I49" i="209"/>
  <c r="H49" i="209"/>
  <c r="G49" i="209"/>
  <c r="F49" i="209"/>
  <c r="E49" i="209"/>
  <c r="D49" i="209"/>
  <c r="C49" i="209"/>
  <c r="B49" i="209"/>
  <c r="L48" i="209"/>
  <c r="K48" i="209"/>
  <c r="J48" i="209"/>
  <c r="I48" i="209"/>
  <c r="H48" i="209"/>
  <c r="G48" i="209"/>
  <c r="F48" i="209"/>
  <c r="E48" i="209"/>
  <c r="D48" i="209"/>
  <c r="C48" i="209"/>
  <c r="B48" i="209"/>
  <c r="L47" i="209"/>
  <c r="K47" i="209"/>
  <c r="J47" i="209"/>
  <c r="I47" i="209"/>
  <c r="H47" i="209"/>
  <c r="G47" i="209"/>
  <c r="F47" i="209"/>
  <c r="E47" i="209"/>
  <c r="D47" i="209"/>
  <c r="C47" i="209"/>
  <c r="B47" i="209"/>
  <c r="L46" i="209"/>
  <c r="K46" i="209"/>
  <c r="J46" i="209"/>
  <c r="I46" i="209"/>
  <c r="H46" i="209"/>
  <c r="G46" i="209"/>
  <c r="F46" i="209"/>
  <c r="E46" i="209"/>
  <c r="D46" i="209"/>
  <c r="C46" i="209"/>
  <c r="B46" i="209"/>
  <c r="L45" i="209"/>
  <c r="K45" i="209"/>
  <c r="J45" i="209"/>
  <c r="I45" i="209"/>
  <c r="H45" i="209"/>
  <c r="G45" i="209"/>
  <c r="F45" i="209"/>
  <c r="E45" i="209"/>
  <c r="D45" i="209"/>
  <c r="C45" i="209"/>
  <c r="B45" i="209"/>
  <c r="L44" i="209"/>
  <c r="K44" i="209"/>
  <c r="J44" i="209"/>
  <c r="I44" i="209"/>
  <c r="H44" i="209"/>
  <c r="G44" i="209"/>
  <c r="F44" i="209"/>
  <c r="E44" i="209"/>
  <c r="D44" i="209"/>
  <c r="C44" i="209"/>
  <c r="B44" i="209"/>
  <c r="L43" i="209"/>
  <c r="K43" i="209"/>
  <c r="J43" i="209"/>
  <c r="I43" i="209"/>
  <c r="H43" i="209"/>
  <c r="G43" i="209"/>
  <c r="F43" i="209"/>
  <c r="E43" i="209"/>
  <c r="D43" i="209"/>
  <c r="C43" i="209"/>
  <c r="B43" i="209"/>
  <c r="L42" i="209"/>
  <c r="K42" i="209"/>
  <c r="J42" i="209"/>
  <c r="I42" i="209"/>
  <c r="H42" i="209"/>
  <c r="G42" i="209"/>
  <c r="F42" i="209"/>
  <c r="E42" i="209"/>
  <c r="D42" i="209"/>
  <c r="C42" i="209"/>
  <c r="B42" i="209"/>
  <c r="L41" i="209"/>
  <c r="K41" i="209"/>
  <c r="J41" i="209"/>
  <c r="I41" i="209"/>
  <c r="H41" i="209"/>
  <c r="G41" i="209"/>
  <c r="F41" i="209"/>
  <c r="E41" i="209"/>
  <c r="D41" i="209"/>
  <c r="C41" i="209"/>
  <c r="B41" i="209"/>
  <c r="L40" i="209"/>
  <c r="K40" i="209"/>
  <c r="J40" i="209"/>
  <c r="I40" i="209"/>
  <c r="H40" i="209"/>
  <c r="G40" i="209"/>
  <c r="F40" i="209"/>
  <c r="E40" i="209"/>
  <c r="D40" i="209"/>
  <c r="C39" i="209"/>
  <c r="B34" i="209"/>
  <c r="B33" i="209"/>
  <c r="B32" i="209"/>
  <c r="B31" i="209"/>
  <c r="B30" i="209"/>
  <c r="B29" i="209"/>
  <c r="B28" i="209"/>
  <c r="B27" i="209"/>
  <c r="B26" i="209"/>
  <c r="B25" i="209"/>
  <c r="B24" i="209"/>
  <c r="B23" i="209"/>
  <c r="B22" i="209"/>
  <c r="B21" i="209"/>
  <c r="B20" i="209"/>
  <c r="B19" i="209"/>
  <c r="B18" i="209"/>
  <c r="B17" i="209"/>
  <c r="B16" i="209"/>
  <c r="B15" i="209"/>
  <c r="L14" i="209"/>
  <c r="K14" i="209"/>
  <c r="J14" i="209"/>
  <c r="I14" i="209"/>
  <c r="H14" i="209"/>
  <c r="G14" i="209"/>
  <c r="F14" i="209"/>
  <c r="E14" i="209"/>
  <c r="D14" i="209"/>
  <c r="C14" i="209"/>
  <c r="A1" i="209"/>
  <c r="C87" i="208"/>
  <c r="M72" i="208"/>
  <c r="L72" i="208"/>
  <c r="K72" i="208"/>
  <c r="J72" i="208"/>
  <c r="I72" i="208"/>
  <c r="H72" i="208"/>
  <c r="G72" i="208"/>
  <c r="F72" i="208"/>
  <c r="E72" i="208"/>
  <c r="D72" i="208"/>
  <c r="A1" i="208"/>
  <c r="B33" i="207"/>
  <c r="B32" i="207"/>
  <c r="B31" i="207"/>
  <c r="B30" i="207"/>
  <c r="B29" i="207"/>
  <c r="B28" i="207"/>
  <c r="B27" i="207"/>
  <c r="B26" i="207"/>
  <c r="B25" i="207"/>
  <c r="B24" i="207"/>
  <c r="B23" i="207"/>
  <c r="B22" i="207"/>
  <c r="B21" i="207"/>
  <c r="B20" i="207"/>
  <c r="B19" i="207"/>
  <c r="B18" i="207"/>
  <c r="B17" i="207"/>
  <c r="B16" i="207"/>
  <c r="B15" i="207"/>
  <c r="B14" i="207"/>
  <c r="L13" i="207"/>
  <c r="K13" i="207"/>
  <c r="J13" i="207"/>
  <c r="I13" i="207"/>
  <c r="H13" i="207"/>
  <c r="G13" i="207"/>
  <c r="F13" i="207"/>
  <c r="E13" i="207"/>
  <c r="D13" i="207"/>
  <c r="C13" i="207"/>
  <c r="A1" i="207"/>
  <c r="B33" i="206"/>
  <c r="B32" i="206"/>
  <c r="B31" i="206"/>
  <c r="B30" i="206"/>
  <c r="B29" i="206"/>
  <c r="B28" i="206"/>
  <c r="B27" i="206"/>
  <c r="B26" i="206"/>
  <c r="B25" i="206"/>
  <c r="B24" i="206"/>
  <c r="B23" i="206"/>
  <c r="B22" i="206"/>
  <c r="B21" i="206"/>
  <c r="B20" i="206"/>
  <c r="B19" i="206"/>
  <c r="B18" i="206"/>
  <c r="B17" i="206"/>
  <c r="B16" i="206"/>
  <c r="B15" i="206"/>
  <c r="B14" i="206"/>
  <c r="L13" i="206"/>
  <c r="K13" i="206"/>
  <c r="J13" i="206"/>
  <c r="I13" i="206"/>
  <c r="H13" i="206"/>
  <c r="G13" i="206"/>
  <c r="F13" i="206"/>
  <c r="E13" i="206"/>
  <c r="D13" i="206"/>
  <c r="C13" i="206"/>
  <c r="A1" i="206"/>
  <c r="B33" i="205"/>
  <c r="B32" i="205"/>
  <c r="B31" i="205"/>
  <c r="B30" i="205"/>
  <c r="B29" i="205"/>
  <c r="B28" i="205"/>
  <c r="B27" i="205"/>
  <c r="B26" i="205"/>
  <c r="B25" i="205"/>
  <c r="B24" i="205"/>
  <c r="B23" i="205"/>
  <c r="B22" i="205"/>
  <c r="B21" i="205"/>
  <c r="B20" i="205"/>
  <c r="B19" i="205"/>
  <c r="B18" i="205"/>
  <c r="B17" i="205"/>
  <c r="B16" i="205"/>
  <c r="B15" i="205"/>
  <c r="B14" i="205"/>
  <c r="L13" i="205"/>
  <c r="K13" i="205"/>
  <c r="J13" i="205"/>
  <c r="I13" i="205"/>
  <c r="H13" i="205"/>
  <c r="G13" i="205"/>
  <c r="F13" i="205"/>
  <c r="E13" i="205"/>
  <c r="D13" i="205"/>
  <c r="C13" i="205"/>
  <c r="A1" i="205"/>
  <c r="L102" i="204"/>
  <c r="K102" i="204"/>
  <c r="J102" i="204"/>
  <c r="I102" i="204"/>
  <c r="H102" i="204"/>
  <c r="G102" i="204"/>
  <c r="F102" i="204"/>
  <c r="E102" i="204"/>
  <c r="D102" i="204"/>
  <c r="C102" i="204"/>
  <c r="L85" i="204"/>
  <c r="K85" i="204"/>
  <c r="J85" i="204"/>
  <c r="I85" i="204"/>
  <c r="H85" i="204"/>
  <c r="G85" i="204"/>
  <c r="F85" i="204"/>
  <c r="E85" i="204"/>
  <c r="D85" i="204"/>
  <c r="C85" i="204"/>
  <c r="L74" i="204"/>
  <c r="K74" i="204"/>
  <c r="J74" i="204"/>
  <c r="I74" i="204"/>
  <c r="H74" i="204"/>
  <c r="G74" i="204"/>
  <c r="F74" i="204"/>
  <c r="E74" i="204"/>
  <c r="D74" i="204"/>
  <c r="C74" i="204"/>
  <c r="L63" i="204"/>
  <c r="K63" i="204"/>
  <c r="J63" i="204"/>
  <c r="I63" i="204"/>
  <c r="H63" i="204"/>
  <c r="G63" i="204"/>
  <c r="F63" i="204"/>
  <c r="E63" i="204"/>
  <c r="D63" i="204"/>
  <c r="C63" i="204"/>
  <c r="L56" i="204"/>
  <c r="K56" i="204"/>
  <c r="J56" i="204"/>
  <c r="I56" i="204"/>
  <c r="H56" i="204"/>
  <c r="G56" i="204"/>
  <c r="F56" i="204"/>
  <c r="E56" i="204"/>
  <c r="D56" i="204"/>
  <c r="C56" i="204"/>
  <c r="B52" i="204"/>
  <c r="B51" i="204"/>
  <c r="B50" i="204"/>
  <c r="L43" i="204"/>
  <c r="K43" i="204"/>
  <c r="J43" i="204"/>
  <c r="I43" i="204"/>
  <c r="H43" i="204"/>
  <c r="G43" i="204"/>
  <c r="F43" i="204"/>
  <c r="E43" i="204"/>
  <c r="D43" i="204"/>
  <c r="C43" i="204"/>
  <c r="D41" i="204"/>
  <c r="C39" i="204"/>
  <c r="C35" i="204"/>
  <c r="B35" i="204"/>
  <c r="C34" i="204"/>
  <c r="B34" i="204"/>
  <c r="C33" i="204"/>
  <c r="B33" i="204"/>
  <c r="B29" i="204"/>
  <c r="B28" i="204"/>
  <c r="B27" i="204"/>
  <c r="L26" i="204"/>
  <c r="K26" i="204"/>
  <c r="J26" i="204"/>
  <c r="I26" i="204"/>
  <c r="H26" i="204"/>
  <c r="G26" i="204"/>
  <c r="F26" i="204"/>
  <c r="E26" i="204"/>
  <c r="D26" i="204"/>
  <c r="C26" i="204"/>
  <c r="C20" i="204"/>
  <c r="B20" i="204"/>
  <c r="B15" i="204"/>
  <c r="L14" i="204"/>
  <c r="K14" i="204"/>
  <c r="J14" i="204"/>
  <c r="I14" i="204"/>
  <c r="H14" i="204"/>
  <c r="G14" i="204"/>
  <c r="F14" i="204"/>
  <c r="E14" i="204"/>
  <c r="D14" i="204"/>
  <c r="C14" i="204"/>
  <c r="A1" i="204"/>
  <c r="L102" i="203"/>
  <c r="K102" i="203"/>
  <c r="J102" i="203"/>
  <c r="I102" i="203"/>
  <c r="H102" i="203"/>
  <c r="G102" i="203"/>
  <c r="F102" i="203"/>
  <c r="E102" i="203"/>
  <c r="D102" i="203"/>
  <c r="C102" i="203"/>
  <c r="L85" i="203"/>
  <c r="K85" i="203"/>
  <c r="J85" i="203"/>
  <c r="I85" i="203"/>
  <c r="H85" i="203"/>
  <c r="G85" i="203"/>
  <c r="F85" i="203"/>
  <c r="E85" i="203"/>
  <c r="D85" i="203"/>
  <c r="C85" i="203"/>
  <c r="L74" i="203"/>
  <c r="K74" i="203"/>
  <c r="J74" i="203"/>
  <c r="I74" i="203"/>
  <c r="H74" i="203"/>
  <c r="G74" i="203"/>
  <c r="F74" i="203"/>
  <c r="E74" i="203"/>
  <c r="D74" i="203"/>
  <c r="C74" i="203"/>
  <c r="L63" i="203"/>
  <c r="K63" i="203"/>
  <c r="J63" i="203"/>
  <c r="I63" i="203"/>
  <c r="H63" i="203"/>
  <c r="G63" i="203"/>
  <c r="F63" i="203"/>
  <c r="E63" i="203"/>
  <c r="D63" i="203"/>
  <c r="C63" i="203"/>
  <c r="L56" i="203"/>
  <c r="K56" i="203"/>
  <c r="J56" i="203"/>
  <c r="I56" i="203"/>
  <c r="H56" i="203"/>
  <c r="G56" i="203"/>
  <c r="F56" i="203"/>
  <c r="E56" i="203"/>
  <c r="D56" i="203"/>
  <c r="C56" i="203"/>
  <c r="B52" i="203"/>
  <c r="B51" i="203"/>
  <c r="B50" i="203"/>
  <c r="L43" i="203"/>
  <c r="K43" i="203"/>
  <c r="J43" i="203"/>
  <c r="I43" i="203"/>
  <c r="H43" i="203"/>
  <c r="G43" i="203"/>
  <c r="F43" i="203"/>
  <c r="E43" i="203"/>
  <c r="D43" i="203"/>
  <c r="C43" i="203"/>
  <c r="D41" i="203"/>
  <c r="C39" i="203"/>
  <c r="C35" i="203"/>
  <c r="B35" i="203"/>
  <c r="C34" i="203"/>
  <c r="B34" i="203"/>
  <c r="C33" i="203"/>
  <c r="B33" i="203"/>
  <c r="B29" i="203"/>
  <c r="B28" i="203"/>
  <c r="B27" i="203"/>
  <c r="L26" i="203"/>
  <c r="K26" i="203"/>
  <c r="J26" i="203"/>
  <c r="I26" i="203"/>
  <c r="H26" i="203"/>
  <c r="G26" i="203"/>
  <c r="F26" i="203"/>
  <c r="E26" i="203"/>
  <c r="D26" i="203"/>
  <c r="C26" i="203"/>
  <c r="C20" i="203"/>
  <c r="B20" i="203"/>
  <c r="B15" i="203"/>
  <c r="L14" i="203"/>
  <c r="K14" i="203"/>
  <c r="J14" i="203"/>
  <c r="I14" i="203"/>
  <c r="H14" i="203"/>
  <c r="G14" i="203"/>
  <c r="F14" i="203"/>
  <c r="E14" i="203"/>
  <c r="D14" i="203"/>
  <c r="C14" i="203"/>
  <c r="A1" i="203"/>
  <c r="L102" i="202"/>
  <c r="K102" i="202"/>
  <c r="J102" i="202"/>
  <c r="I102" i="202"/>
  <c r="H102" i="202"/>
  <c r="G102" i="202"/>
  <c r="F102" i="202"/>
  <c r="E102" i="202"/>
  <c r="D102" i="202"/>
  <c r="C102" i="202"/>
  <c r="L85" i="202"/>
  <c r="K85" i="202"/>
  <c r="J85" i="202"/>
  <c r="I85" i="202"/>
  <c r="H85" i="202"/>
  <c r="G85" i="202"/>
  <c r="F85" i="202"/>
  <c r="E85" i="202"/>
  <c r="D85" i="202"/>
  <c r="C85" i="202"/>
  <c r="L74" i="202"/>
  <c r="K74" i="202"/>
  <c r="J74" i="202"/>
  <c r="I74" i="202"/>
  <c r="H74" i="202"/>
  <c r="G74" i="202"/>
  <c r="F74" i="202"/>
  <c r="E74" i="202"/>
  <c r="D74" i="202"/>
  <c r="C74" i="202"/>
  <c r="L63" i="202"/>
  <c r="K63" i="202"/>
  <c r="J63" i="202"/>
  <c r="I63" i="202"/>
  <c r="H63" i="202"/>
  <c r="G63" i="202"/>
  <c r="F63" i="202"/>
  <c r="E63" i="202"/>
  <c r="D63" i="202"/>
  <c r="C63" i="202"/>
  <c r="L56" i="202"/>
  <c r="K56" i="202"/>
  <c r="J56" i="202"/>
  <c r="I56" i="202"/>
  <c r="H56" i="202"/>
  <c r="G56" i="202"/>
  <c r="F56" i="202"/>
  <c r="E56" i="202"/>
  <c r="D56" i="202"/>
  <c r="C56" i="202"/>
  <c r="B52" i="202"/>
  <c r="B51" i="202"/>
  <c r="B50" i="202"/>
  <c r="L43" i="202"/>
  <c r="K43" i="202"/>
  <c r="J43" i="202"/>
  <c r="I43" i="202"/>
  <c r="H43" i="202"/>
  <c r="G43" i="202"/>
  <c r="F43" i="202"/>
  <c r="E43" i="202"/>
  <c r="D43" i="202"/>
  <c r="C43" i="202"/>
  <c r="D41" i="202"/>
  <c r="C39" i="202"/>
  <c r="C35" i="202"/>
  <c r="B35" i="202"/>
  <c r="C34" i="202"/>
  <c r="B34" i="202"/>
  <c r="C33" i="202"/>
  <c r="B33" i="202"/>
  <c r="B29" i="202"/>
  <c r="B28" i="202"/>
  <c r="B27" i="202"/>
  <c r="L26" i="202"/>
  <c r="K26" i="202"/>
  <c r="J26" i="202"/>
  <c r="I26" i="202"/>
  <c r="H26" i="202"/>
  <c r="G26" i="202"/>
  <c r="F26" i="202"/>
  <c r="E26" i="202"/>
  <c r="D26" i="202"/>
  <c r="C26" i="202"/>
  <c r="C20" i="202"/>
  <c r="B20" i="202"/>
  <c r="B15" i="202"/>
  <c r="L14" i="202"/>
  <c r="K14" i="202"/>
  <c r="J14" i="202"/>
  <c r="I14" i="202"/>
  <c r="H14" i="202"/>
  <c r="G14" i="202"/>
  <c r="F14" i="202"/>
  <c r="E14" i="202"/>
  <c r="D14" i="202"/>
  <c r="C14" i="202"/>
  <c r="A1" i="202"/>
  <c r="L102" i="201"/>
  <c r="K102" i="201"/>
  <c r="J102" i="201"/>
  <c r="I102" i="201"/>
  <c r="H102" i="201"/>
  <c r="G102" i="201"/>
  <c r="F102" i="201"/>
  <c r="E102" i="201"/>
  <c r="D102" i="201"/>
  <c r="C102" i="201"/>
  <c r="L85" i="201"/>
  <c r="K85" i="201"/>
  <c r="J85" i="201"/>
  <c r="I85" i="201"/>
  <c r="H85" i="201"/>
  <c r="G85" i="201"/>
  <c r="F85" i="201"/>
  <c r="E85" i="201"/>
  <c r="D85" i="201"/>
  <c r="C85" i="201"/>
  <c r="L74" i="201"/>
  <c r="K74" i="201"/>
  <c r="J74" i="201"/>
  <c r="I74" i="201"/>
  <c r="H74" i="201"/>
  <c r="G74" i="201"/>
  <c r="F74" i="201"/>
  <c r="E74" i="201"/>
  <c r="D74" i="201"/>
  <c r="C74" i="201"/>
  <c r="L63" i="201"/>
  <c r="K63" i="201"/>
  <c r="J63" i="201"/>
  <c r="I63" i="201"/>
  <c r="H63" i="201"/>
  <c r="G63" i="201"/>
  <c r="F63" i="201"/>
  <c r="E63" i="201"/>
  <c r="D63" i="201"/>
  <c r="C63" i="201"/>
  <c r="L56" i="201"/>
  <c r="K56" i="201"/>
  <c r="J56" i="201"/>
  <c r="I56" i="201"/>
  <c r="H56" i="201"/>
  <c r="G56" i="201"/>
  <c r="F56" i="201"/>
  <c r="E56" i="201"/>
  <c r="D56" i="201"/>
  <c r="C56" i="201"/>
  <c r="B52" i="201"/>
  <c r="B51" i="201"/>
  <c r="B50" i="201"/>
  <c r="L43" i="201"/>
  <c r="K43" i="201"/>
  <c r="J43" i="201"/>
  <c r="I43" i="201"/>
  <c r="H43" i="201"/>
  <c r="G43" i="201"/>
  <c r="F43" i="201"/>
  <c r="E43" i="201"/>
  <c r="D43" i="201"/>
  <c r="C43" i="201"/>
  <c r="D41" i="201"/>
  <c r="C39" i="201"/>
  <c r="C35" i="201"/>
  <c r="B35" i="201"/>
  <c r="C34" i="201"/>
  <c r="B34" i="201"/>
  <c r="C33" i="201"/>
  <c r="B33" i="201"/>
  <c r="B29" i="201"/>
  <c r="B28" i="201"/>
  <c r="B27" i="201"/>
  <c r="L26" i="201"/>
  <c r="K26" i="201"/>
  <c r="J26" i="201"/>
  <c r="I26" i="201"/>
  <c r="H26" i="201"/>
  <c r="G26" i="201"/>
  <c r="F26" i="201"/>
  <c r="E26" i="201"/>
  <c r="D26" i="201"/>
  <c r="C26" i="201"/>
  <c r="C20" i="201"/>
  <c r="B20" i="201"/>
  <c r="B15" i="201"/>
  <c r="L14" i="201"/>
  <c r="K14" i="201"/>
  <c r="J14" i="201"/>
  <c r="I14" i="201"/>
  <c r="H14" i="201"/>
  <c r="G14" i="201"/>
  <c r="F14" i="201"/>
  <c r="E14" i="201"/>
  <c r="D14" i="201"/>
  <c r="C14" i="201"/>
  <c r="A1" i="201"/>
  <c r="L102" i="200"/>
  <c r="K102" i="200"/>
  <c r="J102" i="200"/>
  <c r="I102" i="200"/>
  <c r="H102" i="200"/>
  <c r="G102" i="200"/>
  <c r="F102" i="200"/>
  <c r="E102" i="200"/>
  <c r="D102" i="200"/>
  <c r="C102" i="200"/>
  <c r="L85" i="200"/>
  <c r="K85" i="200"/>
  <c r="J85" i="200"/>
  <c r="I85" i="200"/>
  <c r="H85" i="200"/>
  <c r="G85" i="200"/>
  <c r="F85" i="200"/>
  <c r="E85" i="200"/>
  <c r="D85" i="200"/>
  <c r="C85" i="200"/>
  <c r="L74" i="200"/>
  <c r="K74" i="200"/>
  <c r="J74" i="200"/>
  <c r="I74" i="200"/>
  <c r="H74" i="200"/>
  <c r="G74" i="200"/>
  <c r="F74" i="200"/>
  <c r="E74" i="200"/>
  <c r="D74" i="200"/>
  <c r="C74" i="200"/>
  <c r="L63" i="200"/>
  <c r="K63" i="200"/>
  <c r="J63" i="200"/>
  <c r="I63" i="200"/>
  <c r="H63" i="200"/>
  <c r="G63" i="200"/>
  <c r="F63" i="200"/>
  <c r="E63" i="200"/>
  <c r="D63" i="200"/>
  <c r="C63" i="200"/>
  <c r="L56" i="200"/>
  <c r="K56" i="200"/>
  <c r="J56" i="200"/>
  <c r="I56" i="200"/>
  <c r="H56" i="200"/>
  <c r="G56" i="200"/>
  <c r="F56" i="200"/>
  <c r="E56" i="200"/>
  <c r="D56" i="200"/>
  <c r="C56" i="200"/>
  <c r="B52" i="200"/>
  <c r="B51" i="200"/>
  <c r="B50" i="200"/>
  <c r="L43" i="200"/>
  <c r="K43" i="200"/>
  <c r="J43" i="200"/>
  <c r="I43" i="200"/>
  <c r="H43" i="200"/>
  <c r="G43" i="200"/>
  <c r="F43" i="200"/>
  <c r="E43" i="200"/>
  <c r="D43" i="200"/>
  <c r="C43" i="200"/>
  <c r="D41" i="200"/>
  <c r="C39" i="200"/>
  <c r="C35" i="200"/>
  <c r="B35" i="200"/>
  <c r="C34" i="200"/>
  <c r="B34" i="200"/>
  <c r="C33" i="200"/>
  <c r="B33" i="200"/>
  <c r="B29" i="200"/>
  <c r="B28" i="200"/>
  <c r="B27" i="200"/>
  <c r="L26" i="200"/>
  <c r="K26" i="200"/>
  <c r="J26" i="200"/>
  <c r="I26" i="200"/>
  <c r="H26" i="200"/>
  <c r="G26" i="200"/>
  <c r="F26" i="200"/>
  <c r="E26" i="200"/>
  <c r="D26" i="200"/>
  <c r="C26" i="200"/>
  <c r="C20" i="200"/>
  <c r="B20" i="200"/>
  <c r="B15" i="200"/>
  <c r="L14" i="200"/>
  <c r="K14" i="200"/>
  <c r="J14" i="200"/>
  <c r="I14" i="200"/>
  <c r="H14" i="200"/>
  <c r="G14" i="200"/>
  <c r="F14" i="200"/>
  <c r="E14" i="200"/>
  <c r="D14" i="200"/>
  <c r="C14" i="200"/>
  <c r="A1" i="200"/>
  <c r="B155" i="199"/>
  <c r="B154" i="199"/>
  <c r="B153" i="199"/>
  <c r="B152" i="199"/>
  <c r="B150" i="199"/>
  <c r="B149" i="199"/>
  <c r="B148" i="199"/>
  <c r="B147" i="199"/>
  <c r="L145" i="199"/>
  <c r="K145" i="199"/>
  <c r="J145" i="199"/>
  <c r="I145" i="199"/>
  <c r="H145" i="199"/>
  <c r="G145" i="199"/>
  <c r="F145" i="199"/>
  <c r="E145" i="199"/>
  <c r="D145" i="199"/>
  <c r="C145" i="199"/>
  <c r="B141" i="199"/>
  <c r="B140" i="199"/>
  <c r="L139" i="199"/>
  <c r="K139" i="199"/>
  <c r="J139" i="199"/>
  <c r="I139" i="199"/>
  <c r="H139" i="199"/>
  <c r="G139" i="199"/>
  <c r="F139" i="199"/>
  <c r="E139" i="199"/>
  <c r="D139" i="199"/>
  <c r="C139" i="199"/>
  <c r="F137" i="199"/>
  <c r="F136" i="199"/>
  <c r="L102" i="199"/>
  <c r="K102" i="199"/>
  <c r="J102" i="199"/>
  <c r="I102" i="199"/>
  <c r="H102" i="199"/>
  <c r="G102" i="199"/>
  <c r="F102" i="199"/>
  <c r="E102" i="199"/>
  <c r="D102" i="199"/>
  <c r="C102" i="199"/>
  <c r="L85" i="199"/>
  <c r="K85" i="199"/>
  <c r="J85" i="199"/>
  <c r="I85" i="199"/>
  <c r="H85" i="199"/>
  <c r="G85" i="199"/>
  <c r="F85" i="199"/>
  <c r="E85" i="199"/>
  <c r="D85" i="199"/>
  <c r="C85" i="199"/>
  <c r="L74" i="199"/>
  <c r="K74" i="199"/>
  <c r="J74" i="199"/>
  <c r="I74" i="199"/>
  <c r="H74" i="199"/>
  <c r="G74" i="199"/>
  <c r="F74" i="199"/>
  <c r="E74" i="199"/>
  <c r="D74" i="199"/>
  <c r="C74" i="199"/>
  <c r="L63" i="199"/>
  <c r="K63" i="199"/>
  <c r="J63" i="199"/>
  <c r="I63" i="199"/>
  <c r="H63" i="199"/>
  <c r="G63" i="199"/>
  <c r="F63" i="199"/>
  <c r="E63" i="199"/>
  <c r="D63" i="199"/>
  <c r="C63" i="199"/>
  <c r="L56" i="199"/>
  <c r="K56" i="199"/>
  <c r="J56" i="199"/>
  <c r="I56" i="199"/>
  <c r="H56" i="199"/>
  <c r="G56" i="199"/>
  <c r="F56" i="199"/>
  <c r="E56" i="199"/>
  <c r="D56" i="199"/>
  <c r="C56" i="199"/>
  <c r="B52" i="199"/>
  <c r="B51" i="199"/>
  <c r="B50" i="199"/>
  <c r="L43" i="199"/>
  <c r="K43" i="199"/>
  <c r="J43" i="199"/>
  <c r="I43" i="199"/>
  <c r="H43" i="199"/>
  <c r="G43" i="199"/>
  <c r="F43" i="199"/>
  <c r="E43" i="199"/>
  <c r="D43" i="199"/>
  <c r="C43" i="199"/>
  <c r="D41" i="199"/>
  <c r="C39" i="199"/>
  <c r="C35" i="199"/>
  <c r="B35" i="199"/>
  <c r="C34" i="199"/>
  <c r="B34" i="199"/>
  <c r="C33" i="199"/>
  <c r="B33" i="199"/>
  <c r="B29" i="199"/>
  <c r="B28" i="199"/>
  <c r="B27" i="199"/>
  <c r="L26" i="199"/>
  <c r="K26" i="199"/>
  <c r="J26" i="199"/>
  <c r="I26" i="199"/>
  <c r="H26" i="199"/>
  <c r="G26" i="199"/>
  <c r="F26" i="199"/>
  <c r="E26" i="199"/>
  <c r="D26" i="199"/>
  <c r="C26" i="199"/>
  <c r="C20" i="199"/>
  <c r="B20" i="199"/>
  <c r="B15" i="199"/>
  <c r="L14" i="199"/>
  <c r="K14" i="199"/>
  <c r="J14" i="199"/>
  <c r="I14" i="199"/>
  <c r="H14" i="199"/>
  <c r="G14" i="199"/>
  <c r="F14" i="199"/>
  <c r="E14" i="199"/>
  <c r="D14" i="199"/>
  <c r="C14" i="199"/>
  <c r="A1" i="199"/>
  <c r="L102" i="198"/>
  <c r="K102" i="198"/>
  <c r="J102" i="198"/>
  <c r="I102" i="198"/>
  <c r="H102" i="198"/>
  <c r="G102" i="198"/>
  <c r="F102" i="198"/>
  <c r="E102" i="198"/>
  <c r="D102" i="198"/>
  <c r="C102" i="198"/>
  <c r="L85" i="198"/>
  <c r="K85" i="198"/>
  <c r="J85" i="198"/>
  <c r="I85" i="198"/>
  <c r="H85" i="198"/>
  <c r="G85" i="198"/>
  <c r="F85" i="198"/>
  <c r="E85" i="198"/>
  <c r="D85" i="198"/>
  <c r="C85" i="198"/>
  <c r="L74" i="198"/>
  <c r="K74" i="198"/>
  <c r="J74" i="198"/>
  <c r="I74" i="198"/>
  <c r="H74" i="198"/>
  <c r="G74" i="198"/>
  <c r="F74" i="198"/>
  <c r="E74" i="198"/>
  <c r="D74" i="198"/>
  <c r="C74" i="198"/>
  <c r="L63" i="198"/>
  <c r="K63" i="198"/>
  <c r="J63" i="198"/>
  <c r="I63" i="198"/>
  <c r="H63" i="198"/>
  <c r="G63" i="198"/>
  <c r="F63" i="198"/>
  <c r="E63" i="198"/>
  <c r="D63" i="198"/>
  <c r="C63" i="198"/>
  <c r="L56" i="198"/>
  <c r="K56" i="198"/>
  <c r="J56" i="198"/>
  <c r="I56" i="198"/>
  <c r="H56" i="198"/>
  <c r="G56" i="198"/>
  <c r="F56" i="198"/>
  <c r="E56" i="198"/>
  <c r="D56" i="198"/>
  <c r="C56" i="198"/>
  <c r="B52" i="198"/>
  <c r="B51" i="198"/>
  <c r="B50" i="198"/>
  <c r="L43" i="198"/>
  <c r="K43" i="198"/>
  <c r="J43" i="198"/>
  <c r="I43" i="198"/>
  <c r="H43" i="198"/>
  <c r="G43" i="198"/>
  <c r="F43" i="198"/>
  <c r="E43" i="198"/>
  <c r="D43" i="198"/>
  <c r="C43" i="198"/>
  <c r="D41" i="198"/>
  <c r="C39" i="198"/>
  <c r="C35" i="198"/>
  <c r="B35" i="198"/>
  <c r="C34" i="198"/>
  <c r="B34" i="198"/>
  <c r="C33" i="198"/>
  <c r="B33" i="198"/>
  <c r="B29" i="198"/>
  <c r="B28" i="198"/>
  <c r="B27" i="198"/>
  <c r="L26" i="198"/>
  <c r="K26" i="198"/>
  <c r="J26" i="198"/>
  <c r="I26" i="198"/>
  <c r="H26" i="198"/>
  <c r="G26" i="198"/>
  <c r="F26" i="198"/>
  <c r="E26" i="198"/>
  <c r="D26" i="198"/>
  <c r="C26" i="198"/>
  <c r="C20" i="198"/>
  <c r="B20" i="198"/>
  <c r="B15" i="198"/>
  <c r="L14" i="198"/>
  <c r="K14" i="198"/>
  <c r="J14" i="198"/>
  <c r="I14" i="198"/>
  <c r="H14" i="198"/>
  <c r="G14" i="198"/>
  <c r="F14" i="198"/>
  <c r="E14" i="198"/>
  <c r="D14" i="198"/>
  <c r="C14" i="198"/>
  <c r="A1" i="198"/>
  <c r="B155" i="197"/>
  <c r="B154" i="197"/>
  <c r="B153" i="197"/>
  <c r="B152" i="197"/>
  <c r="B150" i="197"/>
  <c r="B149" i="197"/>
  <c r="B148" i="197"/>
  <c r="B147" i="197"/>
  <c r="L145" i="197"/>
  <c r="K145" i="197"/>
  <c r="J145" i="197"/>
  <c r="I145" i="197"/>
  <c r="H145" i="197"/>
  <c r="G145" i="197"/>
  <c r="F145" i="197"/>
  <c r="E145" i="197"/>
  <c r="D145" i="197"/>
  <c r="C145" i="197"/>
  <c r="B141" i="197"/>
  <c r="B140" i="197"/>
  <c r="L139" i="197"/>
  <c r="K139" i="197"/>
  <c r="J139" i="197"/>
  <c r="I139" i="197"/>
  <c r="H139" i="197"/>
  <c r="G139" i="197"/>
  <c r="F139" i="197"/>
  <c r="E139" i="197"/>
  <c r="D139" i="197"/>
  <c r="C139" i="197"/>
  <c r="F137" i="197"/>
  <c r="F136" i="197"/>
  <c r="L102" i="197"/>
  <c r="K102" i="197"/>
  <c r="J102" i="197"/>
  <c r="I102" i="197"/>
  <c r="H102" i="197"/>
  <c r="G102" i="197"/>
  <c r="F102" i="197"/>
  <c r="E102" i="197"/>
  <c r="D102" i="197"/>
  <c r="C102" i="197"/>
  <c r="L85" i="197"/>
  <c r="K85" i="197"/>
  <c r="J85" i="197"/>
  <c r="I85" i="197"/>
  <c r="H85" i="197"/>
  <c r="G85" i="197"/>
  <c r="F85" i="197"/>
  <c r="E85" i="197"/>
  <c r="D85" i="197"/>
  <c r="C85" i="197"/>
  <c r="L74" i="197"/>
  <c r="K74" i="197"/>
  <c r="J74" i="197"/>
  <c r="I74" i="197"/>
  <c r="H74" i="197"/>
  <c r="G74" i="197"/>
  <c r="F74" i="197"/>
  <c r="E74" i="197"/>
  <c r="D74" i="197"/>
  <c r="C74" i="197"/>
  <c r="L63" i="197"/>
  <c r="K63" i="197"/>
  <c r="J63" i="197"/>
  <c r="I63" i="197"/>
  <c r="H63" i="197"/>
  <c r="G63" i="197"/>
  <c r="F63" i="197"/>
  <c r="E63" i="197"/>
  <c r="D63" i="197"/>
  <c r="C63" i="197"/>
  <c r="L56" i="197"/>
  <c r="K56" i="197"/>
  <c r="J56" i="197"/>
  <c r="I56" i="197"/>
  <c r="H56" i="197"/>
  <c r="G56" i="197"/>
  <c r="F56" i="197"/>
  <c r="E56" i="197"/>
  <c r="D56" i="197"/>
  <c r="C56" i="197"/>
  <c r="B52" i="197"/>
  <c r="B51" i="197"/>
  <c r="B50" i="197"/>
  <c r="L43" i="197"/>
  <c r="K43" i="197"/>
  <c r="J43" i="197"/>
  <c r="I43" i="197"/>
  <c r="H43" i="197"/>
  <c r="G43" i="197"/>
  <c r="F43" i="197"/>
  <c r="E43" i="197"/>
  <c r="D43" i="197"/>
  <c r="C43" i="197"/>
  <c r="D41" i="197"/>
  <c r="C39" i="197"/>
  <c r="C35" i="197"/>
  <c r="B35" i="197"/>
  <c r="C34" i="197"/>
  <c r="B34" i="197"/>
  <c r="C33" i="197"/>
  <c r="B33" i="197"/>
  <c r="B29" i="197"/>
  <c r="B28" i="197"/>
  <c r="B27" i="197"/>
  <c r="L26" i="197"/>
  <c r="K26" i="197"/>
  <c r="J26" i="197"/>
  <c r="I26" i="197"/>
  <c r="H26" i="197"/>
  <c r="G26" i="197"/>
  <c r="F26" i="197"/>
  <c r="E26" i="197"/>
  <c r="D26" i="197"/>
  <c r="C26" i="197"/>
  <c r="C20" i="197"/>
  <c r="B20" i="197"/>
  <c r="B15" i="197"/>
  <c r="L14" i="197"/>
  <c r="K14" i="197"/>
  <c r="J14" i="197"/>
  <c r="I14" i="197"/>
  <c r="H14" i="197"/>
  <c r="G14" i="197"/>
  <c r="F14" i="197"/>
  <c r="E14" i="197"/>
  <c r="D14" i="197"/>
  <c r="C14" i="197"/>
  <c r="A1" i="197"/>
  <c r="B155" i="196"/>
  <c r="B154" i="196"/>
  <c r="B153" i="196"/>
  <c r="B152" i="196"/>
  <c r="B150" i="196"/>
  <c r="B149" i="196"/>
  <c r="B148" i="196"/>
  <c r="B147" i="196"/>
  <c r="L145" i="196"/>
  <c r="K145" i="196"/>
  <c r="J145" i="196"/>
  <c r="I145" i="196"/>
  <c r="H145" i="196"/>
  <c r="G145" i="196"/>
  <c r="F145" i="196"/>
  <c r="E145" i="196"/>
  <c r="D145" i="196"/>
  <c r="C145" i="196"/>
  <c r="B141" i="196"/>
  <c r="B140" i="196"/>
  <c r="L139" i="196"/>
  <c r="K139" i="196"/>
  <c r="J139" i="196"/>
  <c r="I139" i="196"/>
  <c r="H139" i="196"/>
  <c r="G139" i="196"/>
  <c r="F139" i="196"/>
  <c r="E139" i="196"/>
  <c r="D139" i="196"/>
  <c r="C139" i="196"/>
  <c r="F137" i="196"/>
  <c r="F136" i="196"/>
  <c r="L102" i="196"/>
  <c r="K102" i="196"/>
  <c r="J102" i="196"/>
  <c r="I102" i="196"/>
  <c r="H102" i="196"/>
  <c r="G102" i="196"/>
  <c r="F102" i="196"/>
  <c r="E102" i="196"/>
  <c r="D102" i="196"/>
  <c r="C102" i="196"/>
  <c r="L85" i="196"/>
  <c r="K85" i="196"/>
  <c r="J85" i="196"/>
  <c r="I85" i="196"/>
  <c r="H85" i="196"/>
  <c r="G85" i="196"/>
  <c r="F85" i="196"/>
  <c r="E85" i="196"/>
  <c r="D85" i="196"/>
  <c r="C85" i="196"/>
  <c r="L74" i="196"/>
  <c r="K74" i="196"/>
  <c r="J74" i="196"/>
  <c r="I74" i="196"/>
  <c r="H74" i="196"/>
  <c r="G74" i="196"/>
  <c r="F74" i="196"/>
  <c r="E74" i="196"/>
  <c r="D74" i="196"/>
  <c r="C74" i="196"/>
  <c r="L63" i="196"/>
  <c r="K63" i="196"/>
  <c r="J63" i="196"/>
  <c r="I63" i="196"/>
  <c r="H63" i="196"/>
  <c r="G63" i="196"/>
  <c r="F63" i="196"/>
  <c r="E63" i="196"/>
  <c r="D63" i="196"/>
  <c r="C63" i="196"/>
  <c r="L56" i="196"/>
  <c r="K56" i="196"/>
  <c r="J56" i="196"/>
  <c r="I56" i="196"/>
  <c r="H56" i="196"/>
  <c r="G56" i="196"/>
  <c r="F56" i="196"/>
  <c r="E56" i="196"/>
  <c r="D56" i="196"/>
  <c r="C56" i="196"/>
  <c r="B52" i="196"/>
  <c r="B51" i="196"/>
  <c r="B50" i="196"/>
  <c r="L43" i="196"/>
  <c r="K43" i="196"/>
  <c r="J43" i="196"/>
  <c r="I43" i="196"/>
  <c r="H43" i="196"/>
  <c r="G43" i="196"/>
  <c r="F43" i="196"/>
  <c r="E43" i="196"/>
  <c r="D43" i="196"/>
  <c r="C43" i="196"/>
  <c r="D41" i="196"/>
  <c r="C39" i="196"/>
  <c r="C35" i="196"/>
  <c r="B35" i="196"/>
  <c r="C34" i="196"/>
  <c r="B34" i="196"/>
  <c r="C33" i="196"/>
  <c r="B33" i="196"/>
  <c r="B29" i="196"/>
  <c r="B28" i="196"/>
  <c r="B27" i="196"/>
  <c r="L26" i="196"/>
  <c r="K26" i="196"/>
  <c r="J26" i="196"/>
  <c r="I26" i="196"/>
  <c r="H26" i="196"/>
  <c r="G26" i="196"/>
  <c r="F26" i="196"/>
  <c r="E26" i="196"/>
  <c r="D26" i="196"/>
  <c r="C26" i="196"/>
  <c r="C20" i="196"/>
  <c r="B20" i="196"/>
  <c r="B15" i="196"/>
  <c r="L14" i="196"/>
  <c r="K14" i="196"/>
  <c r="J14" i="196"/>
  <c r="I14" i="196"/>
  <c r="H14" i="196"/>
  <c r="G14" i="196"/>
  <c r="F14" i="196"/>
  <c r="E14" i="196"/>
  <c r="D14" i="196"/>
  <c r="C14" i="196"/>
  <c r="A1" i="196"/>
  <c r="L102" i="195"/>
  <c r="K102" i="195"/>
  <c r="J102" i="195"/>
  <c r="I102" i="195"/>
  <c r="H102" i="195"/>
  <c r="G102" i="195"/>
  <c r="F102" i="195"/>
  <c r="E102" i="195"/>
  <c r="D102" i="195"/>
  <c r="C102" i="195"/>
  <c r="L85" i="195"/>
  <c r="K85" i="195"/>
  <c r="J85" i="195"/>
  <c r="I85" i="195"/>
  <c r="H85" i="195"/>
  <c r="G85" i="195"/>
  <c r="F85" i="195"/>
  <c r="E85" i="195"/>
  <c r="D85" i="195"/>
  <c r="C85" i="195"/>
  <c r="L74" i="195"/>
  <c r="K74" i="195"/>
  <c r="J74" i="195"/>
  <c r="I74" i="195"/>
  <c r="H74" i="195"/>
  <c r="G74" i="195"/>
  <c r="F74" i="195"/>
  <c r="E74" i="195"/>
  <c r="D74" i="195"/>
  <c r="C74" i="195"/>
  <c r="L63" i="195"/>
  <c r="K63" i="195"/>
  <c r="J63" i="195"/>
  <c r="I63" i="195"/>
  <c r="H63" i="195"/>
  <c r="G63" i="195"/>
  <c r="F63" i="195"/>
  <c r="E63" i="195"/>
  <c r="D63" i="195"/>
  <c r="C63" i="195"/>
  <c r="L56" i="195"/>
  <c r="K56" i="195"/>
  <c r="J56" i="195"/>
  <c r="I56" i="195"/>
  <c r="H56" i="195"/>
  <c r="G56" i="195"/>
  <c r="F56" i="195"/>
  <c r="E56" i="195"/>
  <c r="D56" i="195"/>
  <c r="C56" i="195"/>
  <c r="B52" i="195"/>
  <c r="B51" i="195"/>
  <c r="B50" i="195"/>
  <c r="L43" i="195"/>
  <c r="K43" i="195"/>
  <c r="J43" i="195"/>
  <c r="I43" i="195"/>
  <c r="H43" i="195"/>
  <c r="G43" i="195"/>
  <c r="F43" i="195"/>
  <c r="E43" i="195"/>
  <c r="D43" i="195"/>
  <c r="C43" i="195"/>
  <c r="D41" i="195"/>
  <c r="C39" i="195"/>
  <c r="C35" i="195"/>
  <c r="B35" i="195"/>
  <c r="C34" i="195"/>
  <c r="B34" i="195"/>
  <c r="C33" i="195"/>
  <c r="B33" i="195"/>
  <c r="B29" i="195"/>
  <c r="B28" i="195"/>
  <c r="B27" i="195"/>
  <c r="L26" i="195"/>
  <c r="K26" i="195"/>
  <c r="J26" i="195"/>
  <c r="I26" i="195"/>
  <c r="H26" i="195"/>
  <c r="G26" i="195"/>
  <c r="F26" i="195"/>
  <c r="E26" i="195"/>
  <c r="D26" i="195"/>
  <c r="C26" i="195"/>
  <c r="C20" i="195"/>
  <c r="B20" i="195"/>
  <c r="B15" i="195"/>
  <c r="L14" i="195"/>
  <c r="K14" i="195"/>
  <c r="J14" i="195"/>
  <c r="I14" i="195"/>
  <c r="H14" i="195"/>
  <c r="G14" i="195"/>
  <c r="F14" i="195"/>
  <c r="E14" i="195"/>
  <c r="D14" i="195"/>
  <c r="C14" i="195"/>
  <c r="A1" i="195"/>
  <c r="L102" i="194"/>
  <c r="K102" i="194"/>
  <c r="J102" i="194"/>
  <c r="I102" i="194"/>
  <c r="H102" i="194"/>
  <c r="G102" i="194"/>
  <c r="F102" i="194"/>
  <c r="E102" i="194"/>
  <c r="D102" i="194"/>
  <c r="C102" i="194"/>
  <c r="L85" i="194"/>
  <c r="K85" i="194"/>
  <c r="J85" i="194"/>
  <c r="I85" i="194"/>
  <c r="H85" i="194"/>
  <c r="G85" i="194"/>
  <c r="F85" i="194"/>
  <c r="E85" i="194"/>
  <c r="D85" i="194"/>
  <c r="C85" i="194"/>
  <c r="L74" i="194"/>
  <c r="K74" i="194"/>
  <c r="J74" i="194"/>
  <c r="I74" i="194"/>
  <c r="H74" i="194"/>
  <c r="G74" i="194"/>
  <c r="F74" i="194"/>
  <c r="E74" i="194"/>
  <c r="D74" i="194"/>
  <c r="C74" i="194"/>
  <c r="L63" i="194"/>
  <c r="K63" i="194"/>
  <c r="J63" i="194"/>
  <c r="I63" i="194"/>
  <c r="H63" i="194"/>
  <c r="G63" i="194"/>
  <c r="F63" i="194"/>
  <c r="E63" i="194"/>
  <c r="D63" i="194"/>
  <c r="C63" i="194"/>
  <c r="L56" i="194"/>
  <c r="K56" i="194"/>
  <c r="J56" i="194"/>
  <c r="I56" i="194"/>
  <c r="H56" i="194"/>
  <c r="G56" i="194"/>
  <c r="F56" i="194"/>
  <c r="E56" i="194"/>
  <c r="D56" i="194"/>
  <c r="C56" i="194"/>
  <c r="B52" i="194"/>
  <c r="B51" i="194"/>
  <c r="B50" i="194"/>
  <c r="L43" i="194"/>
  <c r="K43" i="194"/>
  <c r="J43" i="194"/>
  <c r="I43" i="194"/>
  <c r="H43" i="194"/>
  <c r="G43" i="194"/>
  <c r="F43" i="194"/>
  <c r="E43" i="194"/>
  <c r="D43" i="194"/>
  <c r="C43" i="194"/>
  <c r="D41" i="194"/>
  <c r="C39" i="194"/>
  <c r="C35" i="194"/>
  <c r="B35" i="194"/>
  <c r="C34" i="194"/>
  <c r="B34" i="194"/>
  <c r="C33" i="194"/>
  <c r="B33" i="194"/>
  <c r="B29" i="194"/>
  <c r="B28" i="194"/>
  <c r="B27" i="194"/>
  <c r="L26" i="194"/>
  <c r="K26" i="194"/>
  <c r="J26" i="194"/>
  <c r="I26" i="194"/>
  <c r="H26" i="194"/>
  <c r="G26" i="194"/>
  <c r="F26" i="194"/>
  <c r="E26" i="194"/>
  <c r="D26" i="194"/>
  <c r="C26" i="194"/>
  <c r="C20" i="194"/>
  <c r="B20" i="194"/>
  <c r="B15" i="194"/>
  <c r="L14" i="194"/>
  <c r="K14" i="194"/>
  <c r="J14" i="194"/>
  <c r="I14" i="194"/>
  <c r="H14" i="194"/>
  <c r="G14" i="194"/>
  <c r="F14" i="194"/>
  <c r="E14" i="194"/>
  <c r="D14" i="194"/>
  <c r="C14" i="194"/>
  <c r="A1" i="194"/>
  <c r="L102" i="193"/>
  <c r="K102" i="193"/>
  <c r="J102" i="193"/>
  <c r="I102" i="193"/>
  <c r="H102" i="193"/>
  <c r="G102" i="193"/>
  <c r="F102" i="193"/>
  <c r="E102" i="193"/>
  <c r="D102" i="193"/>
  <c r="C102" i="193"/>
  <c r="L85" i="193"/>
  <c r="K85" i="193"/>
  <c r="J85" i="193"/>
  <c r="I85" i="193"/>
  <c r="H85" i="193"/>
  <c r="G85" i="193"/>
  <c r="F85" i="193"/>
  <c r="E85" i="193"/>
  <c r="D85" i="193"/>
  <c r="C85" i="193"/>
  <c r="L74" i="193"/>
  <c r="K74" i="193"/>
  <c r="J74" i="193"/>
  <c r="I74" i="193"/>
  <c r="H74" i="193"/>
  <c r="G74" i="193"/>
  <c r="F74" i="193"/>
  <c r="E74" i="193"/>
  <c r="D74" i="193"/>
  <c r="C74" i="193"/>
  <c r="L63" i="193"/>
  <c r="K63" i="193"/>
  <c r="J63" i="193"/>
  <c r="I63" i="193"/>
  <c r="H63" i="193"/>
  <c r="G63" i="193"/>
  <c r="F63" i="193"/>
  <c r="E63" i="193"/>
  <c r="D63" i="193"/>
  <c r="C63" i="193"/>
  <c r="L56" i="193"/>
  <c r="K56" i="193"/>
  <c r="J56" i="193"/>
  <c r="I56" i="193"/>
  <c r="H56" i="193"/>
  <c r="G56" i="193"/>
  <c r="F56" i="193"/>
  <c r="E56" i="193"/>
  <c r="D56" i="193"/>
  <c r="C56" i="193"/>
  <c r="B52" i="193"/>
  <c r="B51" i="193"/>
  <c r="B50" i="193"/>
  <c r="L43" i="193"/>
  <c r="K43" i="193"/>
  <c r="J43" i="193"/>
  <c r="I43" i="193"/>
  <c r="H43" i="193"/>
  <c r="G43" i="193"/>
  <c r="F43" i="193"/>
  <c r="E43" i="193"/>
  <c r="D43" i="193"/>
  <c r="C43" i="193"/>
  <c r="D41" i="193"/>
  <c r="C39" i="193"/>
  <c r="C35" i="193"/>
  <c r="B35" i="193"/>
  <c r="C34" i="193"/>
  <c r="B34" i="193"/>
  <c r="C33" i="193"/>
  <c r="B33" i="193"/>
  <c r="B29" i="193"/>
  <c r="B28" i="193"/>
  <c r="B27" i="193"/>
  <c r="L26" i="193"/>
  <c r="K26" i="193"/>
  <c r="J26" i="193"/>
  <c r="I26" i="193"/>
  <c r="H26" i="193"/>
  <c r="G26" i="193"/>
  <c r="F26" i="193"/>
  <c r="E26" i="193"/>
  <c r="D26" i="193"/>
  <c r="C26" i="193"/>
  <c r="C20" i="193"/>
  <c r="B20" i="193"/>
  <c r="B15" i="193"/>
  <c r="L14" i="193"/>
  <c r="K14" i="193"/>
  <c r="J14" i="193"/>
  <c r="I14" i="193"/>
  <c r="H14" i="193"/>
  <c r="G14" i="193"/>
  <c r="F14" i="193"/>
  <c r="E14" i="193"/>
  <c r="D14" i="193"/>
  <c r="C14" i="193"/>
  <c r="A1" i="193"/>
  <c r="L102" i="192"/>
  <c r="K102" i="192"/>
  <c r="J102" i="192"/>
  <c r="I102" i="192"/>
  <c r="H102" i="192"/>
  <c r="G102" i="192"/>
  <c r="F102" i="192"/>
  <c r="E102" i="192"/>
  <c r="D102" i="192"/>
  <c r="C102" i="192"/>
  <c r="L85" i="192"/>
  <c r="K85" i="192"/>
  <c r="J85" i="192"/>
  <c r="I85" i="192"/>
  <c r="H85" i="192"/>
  <c r="G85" i="192"/>
  <c r="F85" i="192"/>
  <c r="E85" i="192"/>
  <c r="D85" i="192"/>
  <c r="C85" i="192"/>
  <c r="L74" i="192"/>
  <c r="K74" i="192"/>
  <c r="J74" i="192"/>
  <c r="I74" i="192"/>
  <c r="H74" i="192"/>
  <c r="G74" i="192"/>
  <c r="F74" i="192"/>
  <c r="E74" i="192"/>
  <c r="D74" i="192"/>
  <c r="C74" i="192"/>
  <c r="L63" i="192"/>
  <c r="K63" i="192"/>
  <c r="J63" i="192"/>
  <c r="I63" i="192"/>
  <c r="H63" i="192"/>
  <c r="G63" i="192"/>
  <c r="F63" i="192"/>
  <c r="E63" i="192"/>
  <c r="D63" i="192"/>
  <c r="C63" i="192"/>
  <c r="L56" i="192"/>
  <c r="K56" i="192"/>
  <c r="J56" i="192"/>
  <c r="I56" i="192"/>
  <c r="H56" i="192"/>
  <c r="G56" i="192"/>
  <c r="F56" i="192"/>
  <c r="E56" i="192"/>
  <c r="D56" i="192"/>
  <c r="C56" i="192"/>
  <c r="B52" i="192"/>
  <c r="B51" i="192"/>
  <c r="B50" i="192"/>
  <c r="L43" i="192"/>
  <c r="K43" i="192"/>
  <c r="J43" i="192"/>
  <c r="I43" i="192"/>
  <c r="H43" i="192"/>
  <c r="G43" i="192"/>
  <c r="F43" i="192"/>
  <c r="E43" i="192"/>
  <c r="D43" i="192"/>
  <c r="C43" i="192"/>
  <c r="D41" i="192"/>
  <c r="C39" i="192"/>
  <c r="C35" i="192"/>
  <c r="B35" i="192"/>
  <c r="C34" i="192"/>
  <c r="B34" i="192"/>
  <c r="C33" i="192"/>
  <c r="B33" i="192"/>
  <c r="B29" i="192"/>
  <c r="B28" i="192"/>
  <c r="B27" i="192"/>
  <c r="L26" i="192"/>
  <c r="K26" i="192"/>
  <c r="J26" i="192"/>
  <c r="I26" i="192"/>
  <c r="H26" i="192"/>
  <c r="G26" i="192"/>
  <c r="F26" i="192"/>
  <c r="E26" i="192"/>
  <c r="D26" i="192"/>
  <c r="C26" i="192"/>
  <c r="C20" i="192"/>
  <c r="B20" i="192"/>
  <c r="B15" i="192"/>
  <c r="L14" i="192"/>
  <c r="K14" i="192"/>
  <c r="J14" i="192"/>
  <c r="I14" i="192"/>
  <c r="H14" i="192"/>
  <c r="G14" i="192"/>
  <c r="F14" i="192"/>
  <c r="E14" i="192"/>
  <c r="D14" i="192"/>
  <c r="C14" i="192"/>
  <c r="A1" i="192"/>
  <c r="L102" i="191"/>
  <c r="K102" i="191"/>
  <c r="J102" i="191"/>
  <c r="I102" i="191"/>
  <c r="H102" i="191"/>
  <c r="G102" i="191"/>
  <c r="F102" i="191"/>
  <c r="E102" i="191"/>
  <c r="D102" i="191"/>
  <c r="C102" i="191"/>
  <c r="L85" i="191"/>
  <c r="K85" i="191"/>
  <c r="J85" i="191"/>
  <c r="I85" i="191"/>
  <c r="H85" i="191"/>
  <c r="G85" i="191"/>
  <c r="F85" i="191"/>
  <c r="E85" i="191"/>
  <c r="D85" i="191"/>
  <c r="C85" i="191"/>
  <c r="L74" i="191"/>
  <c r="K74" i="191"/>
  <c r="J74" i="191"/>
  <c r="I74" i="191"/>
  <c r="H74" i="191"/>
  <c r="G74" i="191"/>
  <c r="F74" i="191"/>
  <c r="E74" i="191"/>
  <c r="D74" i="191"/>
  <c r="C74" i="191"/>
  <c r="L63" i="191"/>
  <c r="K63" i="191"/>
  <c r="J63" i="191"/>
  <c r="I63" i="191"/>
  <c r="H63" i="191"/>
  <c r="G63" i="191"/>
  <c r="F63" i="191"/>
  <c r="E63" i="191"/>
  <c r="D63" i="191"/>
  <c r="C63" i="191"/>
  <c r="L56" i="191"/>
  <c r="K56" i="191"/>
  <c r="J56" i="191"/>
  <c r="I56" i="191"/>
  <c r="H56" i="191"/>
  <c r="G56" i="191"/>
  <c r="F56" i="191"/>
  <c r="E56" i="191"/>
  <c r="D56" i="191"/>
  <c r="C56" i="191"/>
  <c r="B52" i="191"/>
  <c r="B51" i="191"/>
  <c r="B50" i="191"/>
  <c r="L43" i="191"/>
  <c r="K43" i="191"/>
  <c r="J43" i="191"/>
  <c r="I43" i="191"/>
  <c r="H43" i="191"/>
  <c r="G43" i="191"/>
  <c r="F43" i="191"/>
  <c r="E43" i="191"/>
  <c r="D43" i="191"/>
  <c r="C43" i="191"/>
  <c r="D41" i="191"/>
  <c r="C39" i="191"/>
  <c r="C35" i="191"/>
  <c r="B35" i="191"/>
  <c r="C34" i="191"/>
  <c r="B34" i="191"/>
  <c r="C33" i="191"/>
  <c r="B33" i="191"/>
  <c r="B29" i="191"/>
  <c r="B28" i="191"/>
  <c r="B27" i="191"/>
  <c r="L26" i="191"/>
  <c r="K26" i="191"/>
  <c r="J26" i="191"/>
  <c r="I26" i="191"/>
  <c r="H26" i="191"/>
  <c r="G26" i="191"/>
  <c r="F26" i="191"/>
  <c r="E26" i="191"/>
  <c r="D26" i="191"/>
  <c r="C26" i="191"/>
  <c r="C20" i="191"/>
  <c r="B20" i="191"/>
  <c r="B15" i="191"/>
  <c r="L14" i="191"/>
  <c r="K14" i="191"/>
  <c r="J14" i="191"/>
  <c r="I14" i="191"/>
  <c r="H14" i="191"/>
  <c r="G14" i="191"/>
  <c r="F14" i="191"/>
  <c r="E14" i="191"/>
  <c r="D14" i="191"/>
  <c r="C14" i="191"/>
  <c r="A1" i="191"/>
  <c r="L102" i="190"/>
  <c r="K102" i="190"/>
  <c r="J102" i="190"/>
  <c r="I102" i="190"/>
  <c r="H102" i="190"/>
  <c r="G102" i="190"/>
  <c r="F102" i="190"/>
  <c r="E102" i="190"/>
  <c r="D102" i="190"/>
  <c r="C102" i="190"/>
  <c r="L85" i="190"/>
  <c r="K85" i="190"/>
  <c r="J85" i="190"/>
  <c r="I85" i="190"/>
  <c r="H85" i="190"/>
  <c r="G85" i="190"/>
  <c r="F85" i="190"/>
  <c r="E85" i="190"/>
  <c r="D85" i="190"/>
  <c r="C85" i="190"/>
  <c r="L74" i="190"/>
  <c r="K74" i="190"/>
  <c r="J74" i="190"/>
  <c r="I74" i="190"/>
  <c r="H74" i="190"/>
  <c r="G74" i="190"/>
  <c r="F74" i="190"/>
  <c r="E74" i="190"/>
  <c r="D74" i="190"/>
  <c r="C74" i="190"/>
  <c r="L63" i="190"/>
  <c r="K63" i="190"/>
  <c r="J63" i="190"/>
  <c r="I63" i="190"/>
  <c r="H63" i="190"/>
  <c r="G63" i="190"/>
  <c r="F63" i="190"/>
  <c r="E63" i="190"/>
  <c r="D63" i="190"/>
  <c r="C63" i="190"/>
  <c r="L56" i="190"/>
  <c r="K56" i="190"/>
  <c r="J56" i="190"/>
  <c r="I56" i="190"/>
  <c r="H56" i="190"/>
  <c r="G56" i="190"/>
  <c r="F56" i="190"/>
  <c r="E56" i="190"/>
  <c r="D56" i="190"/>
  <c r="C56" i="190"/>
  <c r="B52" i="190"/>
  <c r="B51" i="190"/>
  <c r="B50" i="190"/>
  <c r="L43" i="190"/>
  <c r="K43" i="190"/>
  <c r="J43" i="190"/>
  <c r="I43" i="190"/>
  <c r="H43" i="190"/>
  <c r="G43" i="190"/>
  <c r="F43" i="190"/>
  <c r="E43" i="190"/>
  <c r="D43" i="190"/>
  <c r="C43" i="190"/>
  <c r="D41" i="190"/>
  <c r="C39" i="190"/>
  <c r="C35" i="190"/>
  <c r="B35" i="190"/>
  <c r="C34" i="190"/>
  <c r="B34" i="190"/>
  <c r="C33" i="190"/>
  <c r="B33" i="190"/>
  <c r="B29" i="190"/>
  <c r="B28" i="190"/>
  <c r="B27" i="190"/>
  <c r="L26" i="190"/>
  <c r="K26" i="190"/>
  <c r="J26" i="190"/>
  <c r="I26" i="190"/>
  <c r="H26" i="190"/>
  <c r="G26" i="190"/>
  <c r="F26" i="190"/>
  <c r="E26" i="190"/>
  <c r="D26" i="190"/>
  <c r="C26" i="190"/>
  <c r="C20" i="190"/>
  <c r="B20" i="190"/>
  <c r="B15" i="190"/>
  <c r="L14" i="190"/>
  <c r="K14" i="190"/>
  <c r="J14" i="190"/>
  <c r="I14" i="190"/>
  <c r="H14" i="190"/>
  <c r="G14" i="190"/>
  <c r="F14" i="190"/>
  <c r="E14" i="190"/>
  <c r="D14" i="190"/>
  <c r="C14" i="190"/>
  <c r="A1" i="190"/>
  <c r="L102" i="189"/>
  <c r="K102" i="189"/>
  <c r="J102" i="189"/>
  <c r="I102" i="189"/>
  <c r="H102" i="189"/>
  <c r="G102" i="189"/>
  <c r="F102" i="189"/>
  <c r="E102" i="189"/>
  <c r="D102" i="189"/>
  <c r="C102" i="189"/>
  <c r="L85" i="189"/>
  <c r="K85" i="189"/>
  <c r="J85" i="189"/>
  <c r="I85" i="189"/>
  <c r="H85" i="189"/>
  <c r="G85" i="189"/>
  <c r="F85" i="189"/>
  <c r="E85" i="189"/>
  <c r="D85" i="189"/>
  <c r="C85" i="189"/>
  <c r="L74" i="189"/>
  <c r="K74" i="189"/>
  <c r="J74" i="189"/>
  <c r="I74" i="189"/>
  <c r="H74" i="189"/>
  <c r="G74" i="189"/>
  <c r="F74" i="189"/>
  <c r="E74" i="189"/>
  <c r="D74" i="189"/>
  <c r="C74" i="189"/>
  <c r="L63" i="189"/>
  <c r="K63" i="189"/>
  <c r="J63" i="189"/>
  <c r="I63" i="189"/>
  <c r="H63" i="189"/>
  <c r="G63" i="189"/>
  <c r="F63" i="189"/>
  <c r="E63" i="189"/>
  <c r="D63" i="189"/>
  <c r="C63" i="189"/>
  <c r="L56" i="189"/>
  <c r="K56" i="189"/>
  <c r="J56" i="189"/>
  <c r="I56" i="189"/>
  <c r="H56" i="189"/>
  <c r="G56" i="189"/>
  <c r="F56" i="189"/>
  <c r="E56" i="189"/>
  <c r="D56" i="189"/>
  <c r="C56" i="189"/>
  <c r="B52" i="189"/>
  <c r="B51" i="189"/>
  <c r="B50" i="189"/>
  <c r="L43" i="189"/>
  <c r="K43" i="189"/>
  <c r="J43" i="189"/>
  <c r="I43" i="189"/>
  <c r="H43" i="189"/>
  <c r="G43" i="189"/>
  <c r="F43" i="189"/>
  <c r="E43" i="189"/>
  <c r="D43" i="189"/>
  <c r="C43" i="189"/>
  <c r="D41" i="189"/>
  <c r="C39" i="189"/>
  <c r="C35" i="189"/>
  <c r="B35" i="189"/>
  <c r="C34" i="189"/>
  <c r="B34" i="189"/>
  <c r="C33" i="189"/>
  <c r="B33" i="189"/>
  <c r="B29" i="189"/>
  <c r="B28" i="189"/>
  <c r="B27" i="189"/>
  <c r="L26" i="189"/>
  <c r="K26" i="189"/>
  <c r="J26" i="189"/>
  <c r="I26" i="189"/>
  <c r="H26" i="189"/>
  <c r="G26" i="189"/>
  <c r="F26" i="189"/>
  <c r="E26" i="189"/>
  <c r="D26" i="189"/>
  <c r="C26" i="189"/>
  <c r="C20" i="189"/>
  <c r="B20" i="189"/>
  <c r="B15" i="189"/>
  <c r="L14" i="189"/>
  <c r="K14" i="189"/>
  <c r="J14" i="189"/>
  <c r="I14" i="189"/>
  <c r="H14" i="189"/>
  <c r="G14" i="189"/>
  <c r="F14" i="189"/>
  <c r="E14" i="189"/>
  <c r="D14" i="189"/>
  <c r="C14" i="189"/>
  <c r="A1" i="189"/>
  <c r="L102" i="188"/>
  <c r="K102" i="188"/>
  <c r="J102" i="188"/>
  <c r="I102" i="188"/>
  <c r="H102" i="188"/>
  <c r="G102" i="188"/>
  <c r="F102" i="188"/>
  <c r="E102" i="188"/>
  <c r="D102" i="188"/>
  <c r="C102" i="188"/>
  <c r="L85" i="188"/>
  <c r="K85" i="188"/>
  <c r="J85" i="188"/>
  <c r="I85" i="188"/>
  <c r="H85" i="188"/>
  <c r="G85" i="188"/>
  <c r="F85" i="188"/>
  <c r="E85" i="188"/>
  <c r="D85" i="188"/>
  <c r="C85" i="188"/>
  <c r="L74" i="188"/>
  <c r="K74" i="188"/>
  <c r="J74" i="188"/>
  <c r="I74" i="188"/>
  <c r="H74" i="188"/>
  <c r="G74" i="188"/>
  <c r="F74" i="188"/>
  <c r="E74" i="188"/>
  <c r="D74" i="188"/>
  <c r="C74" i="188"/>
  <c r="L63" i="188"/>
  <c r="K63" i="188"/>
  <c r="J63" i="188"/>
  <c r="I63" i="188"/>
  <c r="H63" i="188"/>
  <c r="G63" i="188"/>
  <c r="F63" i="188"/>
  <c r="E63" i="188"/>
  <c r="D63" i="188"/>
  <c r="C63" i="188"/>
  <c r="L56" i="188"/>
  <c r="K56" i="188"/>
  <c r="J56" i="188"/>
  <c r="I56" i="188"/>
  <c r="H56" i="188"/>
  <c r="G56" i="188"/>
  <c r="F56" i="188"/>
  <c r="E56" i="188"/>
  <c r="D56" i="188"/>
  <c r="C56" i="188"/>
  <c r="B52" i="188"/>
  <c r="B51" i="188"/>
  <c r="B50" i="188"/>
  <c r="L43" i="188"/>
  <c r="K43" i="188"/>
  <c r="J43" i="188"/>
  <c r="I43" i="188"/>
  <c r="H43" i="188"/>
  <c r="G43" i="188"/>
  <c r="F43" i="188"/>
  <c r="E43" i="188"/>
  <c r="D43" i="188"/>
  <c r="C43" i="188"/>
  <c r="D41" i="188"/>
  <c r="C39" i="188"/>
  <c r="C35" i="188"/>
  <c r="B35" i="188"/>
  <c r="C34" i="188"/>
  <c r="B34" i="188"/>
  <c r="C33" i="188"/>
  <c r="B33" i="188"/>
  <c r="B29" i="188"/>
  <c r="B28" i="188"/>
  <c r="B27" i="188"/>
  <c r="L26" i="188"/>
  <c r="K26" i="188"/>
  <c r="J26" i="188"/>
  <c r="I26" i="188"/>
  <c r="H26" i="188"/>
  <c r="G26" i="188"/>
  <c r="F26" i="188"/>
  <c r="E26" i="188"/>
  <c r="D26" i="188"/>
  <c r="C26" i="188"/>
  <c r="C20" i="188"/>
  <c r="B20" i="188"/>
  <c r="B15" i="188"/>
  <c r="L14" i="188"/>
  <c r="K14" i="188"/>
  <c r="J14" i="188"/>
  <c r="I14" i="188"/>
  <c r="H14" i="188"/>
  <c r="G14" i="188"/>
  <c r="F14" i="188"/>
  <c r="E14" i="188"/>
  <c r="D14" i="188"/>
  <c r="C14" i="188"/>
  <c r="A1" i="188"/>
  <c r="L102" i="187"/>
  <c r="K102" i="187"/>
  <c r="J102" i="187"/>
  <c r="I102" i="187"/>
  <c r="H102" i="187"/>
  <c r="G102" i="187"/>
  <c r="F102" i="187"/>
  <c r="E102" i="187"/>
  <c r="D102" i="187"/>
  <c r="C102" i="187"/>
  <c r="L85" i="187"/>
  <c r="K85" i="187"/>
  <c r="J85" i="187"/>
  <c r="I85" i="187"/>
  <c r="H85" i="187"/>
  <c r="G85" i="187"/>
  <c r="F85" i="187"/>
  <c r="E85" i="187"/>
  <c r="D85" i="187"/>
  <c r="C85" i="187"/>
  <c r="L74" i="187"/>
  <c r="K74" i="187"/>
  <c r="J74" i="187"/>
  <c r="I74" i="187"/>
  <c r="H74" i="187"/>
  <c r="G74" i="187"/>
  <c r="F74" i="187"/>
  <c r="E74" i="187"/>
  <c r="D74" i="187"/>
  <c r="C74" i="187"/>
  <c r="L63" i="187"/>
  <c r="K63" i="187"/>
  <c r="J63" i="187"/>
  <c r="I63" i="187"/>
  <c r="H63" i="187"/>
  <c r="G63" i="187"/>
  <c r="F63" i="187"/>
  <c r="E63" i="187"/>
  <c r="D63" i="187"/>
  <c r="C63" i="187"/>
  <c r="L56" i="187"/>
  <c r="K56" i="187"/>
  <c r="J56" i="187"/>
  <c r="I56" i="187"/>
  <c r="H56" i="187"/>
  <c r="G56" i="187"/>
  <c r="F56" i="187"/>
  <c r="E56" i="187"/>
  <c r="D56" i="187"/>
  <c r="C56" i="187"/>
  <c r="B52" i="187"/>
  <c r="B51" i="187"/>
  <c r="B50" i="187"/>
  <c r="L43" i="187"/>
  <c r="K43" i="187"/>
  <c r="J43" i="187"/>
  <c r="I43" i="187"/>
  <c r="H43" i="187"/>
  <c r="G43" i="187"/>
  <c r="F43" i="187"/>
  <c r="E43" i="187"/>
  <c r="D43" i="187"/>
  <c r="C43" i="187"/>
  <c r="D41" i="187"/>
  <c r="C39" i="187"/>
  <c r="C35" i="187"/>
  <c r="B35" i="187"/>
  <c r="C34" i="187"/>
  <c r="B34" i="187"/>
  <c r="C33" i="187"/>
  <c r="B33" i="187"/>
  <c r="B29" i="187"/>
  <c r="B28" i="187"/>
  <c r="B27" i="187"/>
  <c r="L26" i="187"/>
  <c r="K26" i="187"/>
  <c r="J26" i="187"/>
  <c r="I26" i="187"/>
  <c r="H26" i="187"/>
  <c r="G26" i="187"/>
  <c r="F26" i="187"/>
  <c r="E26" i="187"/>
  <c r="D26" i="187"/>
  <c r="C26" i="187"/>
  <c r="C20" i="187"/>
  <c r="B20" i="187"/>
  <c r="B15" i="187"/>
  <c r="L14" i="187"/>
  <c r="K14" i="187"/>
  <c r="J14" i="187"/>
  <c r="I14" i="187"/>
  <c r="H14" i="187"/>
  <c r="G14" i="187"/>
  <c r="F14" i="187"/>
  <c r="E14" i="187"/>
  <c r="D14" i="187"/>
  <c r="C14" i="187"/>
  <c r="A1" i="187"/>
  <c r="L102" i="186"/>
  <c r="K102" i="186"/>
  <c r="J102" i="186"/>
  <c r="I102" i="186"/>
  <c r="H102" i="186"/>
  <c r="G102" i="186"/>
  <c r="F102" i="186"/>
  <c r="E102" i="186"/>
  <c r="D102" i="186"/>
  <c r="C102" i="186"/>
  <c r="L85" i="186"/>
  <c r="K85" i="186"/>
  <c r="J85" i="186"/>
  <c r="I85" i="186"/>
  <c r="H85" i="186"/>
  <c r="G85" i="186"/>
  <c r="F85" i="186"/>
  <c r="E85" i="186"/>
  <c r="D85" i="186"/>
  <c r="C85" i="186"/>
  <c r="L74" i="186"/>
  <c r="K74" i="186"/>
  <c r="J74" i="186"/>
  <c r="I74" i="186"/>
  <c r="H74" i="186"/>
  <c r="G74" i="186"/>
  <c r="F74" i="186"/>
  <c r="E74" i="186"/>
  <c r="D74" i="186"/>
  <c r="C74" i="186"/>
  <c r="L63" i="186"/>
  <c r="K63" i="186"/>
  <c r="J63" i="186"/>
  <c r="I63" i="186"/>
  <c r="H63" i="186"/>
  <c r="G63" i="186"/>
  <c r="F63" i="186"/>
  <c r="E63" i="186"/>
  <c r="D63" i="186"/>
  <c r="C63" i="186"/>
  <c r="L56" i="186"/>
  <c r="K56" i="186"/>
  <c r="J56" i="186"/>
  <c r="I56" i="186"/>
  <c r="H56" i="186"/>
  <c r="G56" i="186"/>
  <c r="F56" i="186"/>
  <c r="E56" i="186"/>
  <c r="D56" i="186"/>
  <c r="C56" i="186"/>
  <c r="B52" i="186"/>
  <c r="B51" i="186"/>
  <c r="B50" i="186"/>
  <c r="L43" i="186"/>
  <c r="K43" i="186"/>
  <c r="J43" i="186"/>
  <c r="I43" i="186"/>
  <c r="H43" i="186"/>
  <c r="G43" i="186"/>
  <c r="F43" i="186"/>
  <c r="E43" i="186"/>
  <c r="D43" i="186"/>
  <c r="C43" i="186"/>
  <c r="D41" i="186"/>
  <c r="C39" i="186"/>
  <c r="C35" i="186"/>
  <c r="B35" i="186"/>
  <c r="C34" i="186"/>
  <c r="B34" i="186"/>
  <c r="C33" i="186"/>
  <c r="B33" i="186"/>
  <c r="B29" i="186"/>
  <c r="B28" i="186"/>
  <c r="B27" i="186"/>
  <c r="L26" i="186"/>
  <c r="K26" i="186"/>
  <c r="J26" i="186"/>
  <c r="I26" i="186"/>
  <c r="H26" i="186"/>
  <c r="G26" i="186"/>
  <c r="F26" i="186"/>
  <c r="E26" i="186"/>
  <c r="D26" i="186"/>
  <c r="C26" i="186"/>
  <c r="C20" i="186"/>
  <c r="B20" i="186"/>
  <c r="B15" i="186"/>
  <c r="L14" i="186"/>
  <c r="K14" i="186"/>
  <c r="J14" i="186"/>
  <c r="I14" i="186"/>
  <c r="H14" i="186"/>
  <c r="G14" i="186"/>
  <c r="F14" i="186"/>
  <c r="E14" i="186"/>
  <c r="D14" i="186"/>
  <c r="C14" i="186"/>
  <c r="A1" i="186"/>
  <c r="L102" i="185"/>
  <c r="K102" i="185"/>
  <c r="J102" i="185"/>
  <c r="I102" i="185"/>
  <c r="H102" i="185"/>
  <c r="G102" i="185"/>
  <c r="F102" i="185"/>
  <c r="E102" i="185"/>
  <c r="D102" i="185"/>
  <c r="C102" i="185"/>
  <c r="L85" i="185"/>
  <c r="K85" i="185"/>
  <c r="J85" i="185"/>
  <c r="I85" i="185"/>
  <c r="H85" i="185"/>
  <c r="G85" i="185"/>
  <c r="F85" i="185"/>
  <c r="E85" i="185"/>
  <c r="D85" i="185"/>
  <c r="C85" i="185"/>
  <c r="L74" i="185"/>
  <c r="K74" i="185"/>
  <c r="J74" i="185"/>
  <c r="I74" i="185"/>
  <c r="H74" i="185"/>
  <c r="G74" i="185"/>
  <c r="F74" i="185"/>
  <c r="E74" i="185"/>
  <c r="D74" i="185"/>
  <c r="C74" i="185"/>
  <c r="L63" i="185"/>
  <c r="K63" i="185"/>
  <c r="J63" i="185"/>
  <c r="I63" i="185"/>
  <c r="H63" i="185"/>
  <c r="G63" i="185"/>
  <c r="F63" i="185"/>
  <c r="E63" i="185"/>
  <c r="D63" i="185"/>
  <c r="C63" i="185"/>
  <c r="L56" i="185"/>
  <c r="K56" i="185"/>
  <c r="J56" i="185"/>
  <c r="I56" i="185"/>
  <c r="H56" i="185"/>
  <c r="G56" i="185"/>
  <c r="F56" i="185"/>
  <c r="E56" i="185"/>
  <c r="D56" i="185"/>
  <c r="C56" i="185"/>
  <c r="B52" i="185"/>
  <c r="B51" i="185"/>
  <c r="B50" i="185"/>
  <c r="L43" i="185"/>
  <c r="K43" i="185"/>
  <c r="J43" i="185"/>
  <c r="I43" i="185"/>
  <c r="H43" i="185"/>
  <c r="G43" i="185"/>
  <c r="F43" i="185"/>
  <c r="E43" i="185"/>
  <c r="D43" i="185"/>
  <c r="C43" i="185"/>
  <c r="D41" i="185"/>
  <c r="C39" i="185"/>
  <c r="C35" i="185"/>
  <c r="B35" i="185"/>
  <c r="C34" i="185"/>
  <c r="B34" i="185"/>
  <c r="C33" i="185"/>
  <c r="B33" i="185"/>
  <c r="B29" i="185"/>
  <c r="B28" i="185"/>
  <c r="B27" i="185"/>
  <c r="L26" i="185"/>
  <c r="K26" i="185"/>
  <c r="J26" i="185"/>
  <c r="I26" i="185"/>
  <c r="H26" i="185"/>
  <c r="G26" i="185"/>
  <c r="F26" i="185"/>
  <c r="E26" i="185"/>
  <c r="D26" i="185"/>
  <c r="C26" i="185"/>
  <c r="C20" i="185"/>
  <c r="B20" i="185"/>
  <c r="B15" i="185"/>
  <c r="L14" i="185"/>
  <c r="K14" i="185"/>
  <c r="J14" i="185"/>
  <c r="I14" i="185"/>
  <c r="H14" i="185"/>
  <c r="G14" i="185"/>
  <c r="F14" i="185"/>
  <c r="E14" i="185"/>
  <c r="D14" i="185"/>
  <c r="C14" i="185"/>
  <c r="A1" i="185"/>
  <c r="G49" i="184"/>
  <c r="F49" i="184"/>
  <c r="E49" i="184"/>
  <c r="D49" i="184"/>
  <c r="C49" i="184"/>
  <c r="B49" i="184"/>
  <c r="G48" i="184"/>
  <c r="F48" i="184"/>
  <c r="E48" i="184"/>
  <c r="D48" i="184"/>
  <c r="C48" i="184"/>
  <c r="B48" i="184"/>
  <c r="G47" i="184"/>
  <c r="F47" i="184"/>
  <c r="E47" i="184"/>
  <c r="D47" i="184"/>
  <c r="C47" i="184"/>
  <c r="B47" i="184"/>
  <c r="F46" i="184"/>
  <c r="E46" i="184"/>
  <c r="D46" i="184"/>
  <c r="C46" i="184"/>
  <c r="B46" i="184"/>
  <c r="F42" i="184"/>
  <c r="E42" i="184"/>
  <c r="D42" i="184"/>
  <c r="C42" i="184"/>
  <c r="B42" i="184"/>
  <c r="F41" i="184"/>
  <c r="E41" i="184"/>
  <c r="D41" i="184"/>
  <c r="C41" i="184"/>
  <c r="B41" i="184"/>
  <c r="F40" i="184"/>
  <c r="E40" i="184"/>
  <c r="D40" i="184"/>
  <c r="C40" i="184"/>
  <c r="B40" i="184"/>
  <c r="F39" i="184"/>
  <c r="E39" i="184"/>
  <c r="D39" i="184"/>
  <c r="C39" i="184"/>
  <c r="C38" i="184"/>
  <c r="B38" i="184"/>
  <c r="F34" i="184"/>
  <c r="E34" i="184"/>
  <c r="D34" i="184"/>
  <c r="C34" i="184"/>
  <c r="A34" i="184"/>
  <c r="F33" i="184"/>
  <c r="E33" i="184"/>
  <c r="D33" i="184"/>
  <c r="C33" i="184"/>
  <c r="B33" i="184"/>
  <c r="F32" i="184"/>
  <c r="E32" i="184"/>
  <c r="D32" i="184"/>
  <c r="C32" i="184"/>
  <c r="B32" i="184"/>
  <c r="F31" i="184"/>
  <c r="E31" i="184"/>
  <c r="D31" i="184"/>
  <c r="C31" i="184"/>
  <c r="B31" i="184"/>
  <c r="F30" i="184"/>
  <c r="E30" i="184"/>
  <c r="D30" i="184"/>
  <c r="C30" i="184"/>
  <c r="B30" i="184"/>
  <c r="F29" i="184"/>
  <c r="E29" i="184"/>
  <c r="D29" i="184"/>
  <c r="C29" i="184"/>
  <c r="B28" i="184"/>
  <c r="F24" i="184"/>
  <c r="E24" i="184"/>
  <c r="D24" i="184"/>
  <c r="C24" i="184"/>
  <c r="A24" i="184"/>
  <c r="F23" i="184"/>
  <c r="E23" i="184"/>
  <c r="D23" i="184"/>
  <c r="C23" i="184"/>
  <c r="B23" i="184"/>
  <c r="F22" i="184"/>
  <c r="E22" i="184"/>
  <c r="D22" i="184"/>
  <c r="C22" i="184"/>
  <c r="B22" i="184"/>
  <c r="F21" i="184"/>
  <c r="E21" i="184"/>
  <c r="D21" i="184"/>
  <c r="C21" i="184"/>
  <c r="B21" i="184"/>
  <c r="F20" i="184"/>
  <c r="E20" i="184"/>
  <c r="D20" i="184"/>
  <c r="C20" i="184"/>
  <c r="B20" i="184"/>
  <c r="F19" i="184"/>
  <c r="E19" i="184"/>
  <c r="D19" i="184"/>
  <c r="C19" i="184"/>
  <c r="B18" i="184"/>
  <c r="A10" i="184"/>
  <c r="A1" i="184"/>
  <c r="G49" i="183"/>
  <c r="F49" i="183"/>
  <c r="E49" i="183"/>
  <c r="D49" i="183"/>
  <c r="C49" i="183"/>
  <c r="B49" i="183"/>
  <c r="G48" i="183"/>
  <c r="F48" i="183"/>
  <c r="E48" i="183"/>
  <c r="D48" i="183"/>
  <c r="C48" i="183"/>
  <c r="B48" i="183"/>
  <c r="G47" i="183"/>
  <c r="F47" i="183"/>
  <c r="E47" i="183"/>
  <c r="D47" i="183"/>
  <c r="C47" i="183"/>
  <c r="B47" i="183"/>
  <c r="F46" i="183"/>
  <c r="E46" i="183"/>
  <c r="D46" i="183"/>
  <c r="C46" i="183"/>
  <c r="B46" i="183"/>
  <c r="F42" i="183"/>
  <c r="E42" i="183"/>
  <c r="D42" i="183"/>
  <c r="C42" i="183"/>
  <c r="B42" i="183"/>
  <c r="F41" i="183"/>
  <c r="E41" i="183"/>
  <c r="D41" i="183"/>
  <c r="C41" i="183"/>
  <c r="B41" i="183"/>
  <c r="F40" i="183"/>
  <c r="E40" i="183"/>
  <c r="D40" i="183"/>
  <c r="C40" i="183"/>
  <c r="B40" i="183"/>
  <c r="F39" i="183"/>
  <c r="E39" i="183"/>
  <c r="D39" i="183"/>
  <c r="C39" i="183"/>
  <c r="C38" i="183"/>
  <c r="B38" i="183"/>
  <c r="F34" i="183"/>
  <c r="E34" i="183"/>
  <c r="D34" i="183"/>
  <c r="C34" i="183"/>
  <c r="A34" i="183"/>
  <c r="F33" i="183"/>
  <c r="E33" i="183"/>
  <c r="D33" i="183"/>
  <c r="C33" i="183"/>
  <c r="B33" i="183"/>
  <c r="F32" i="183"/>
  <c r="E32" i="183"/>
  <c r="D32" i="183"/>
  <c r="C32" i="183"/>
  <c r="B32" i="183"/>
  <c r="F31" i="183"/>
  <c r="E31" i="183"/>
  <c r="D31" i="183"/>
  <c r="C31" i="183"/>
  <c r="B31" i="183"/>
  <c r="F30" i="183"/>
  <c r="E30" i="183"/>
  <c r="D30" i="183"/>
  <c r="C30" i="183"/>
  <c r="B30" i="183"/>
  <c r="F29" i="183"/>
  <c r="E29" i="183"/>
  <c r="D29" i="183"/>
  <c r="C29" i="183"/>
  <c r="B28" i="183"/>
  <c r="F24" i="183"/>
  <c r="E24" i="183"/>
  <c r="D24" i="183"/>
  <c r="C24" i="183"/>
  <c r="A24" i="183"/>
  <c r="F23" i="183"/>
  <c r="E23" i="183"/>
  <c r="D23" i="183"/>
  <c r="C23" i="183"/>
  <c r="B23" i="183"/>
  <c r="F22" i="183"/>
  <c r="E22" i="183"/>
  <c r="D22" i="183"/>
  <c r="C22" i="183"/>
  <c r="B22" i="183"/>
  <c r="F21" i="183"/>
  <c r="E21" i="183"/>
  <c r="D21" i="183"/>
  <c r="C21" i="183"/>
  <c r="B21" i="183"/>
  <c r="F20" i="183"/>
  <c r="E20" i="183"/>
  <c r="D20" i="183"/>
  <c r="C20" i="183"/>
  <c r="B20" i="183"/>
  <c r="F19" i="183"/>
  <c r="E19" i="183"/>
  <c r="D19" i="183"/>
  <c r="C19" i="183"/>
  <c r="B18" i="183"/>
  <c r="A10" i="183"/>
  <c r="A1" i="183"/>
  <c r="G52" i="182"/>
  <c r="F52" i="182"/>
  <c r="E52" i="182"/>
  <c r="D52" i="182"/>
  <c r="C52" i="182"/>
  <c r="B52" i="182"/>
  <c r="G51" i="182"/>
  <c r="F51" i="182"/>
  <c r="E51" i="182"/>
  <c r="D51" i="182"/>
  <c r="C51" i="182"/>
  <c r="B51" i="182"/>
  <c r="G50" i="182"/>
  <c r="F50" i="182"/>
  <c r="E50" i="182"/>
  <c r="D50" i="182"/>
  <c r="C50" i="182"/>
  <c r="B50" i="182"/>
  <c r="G49" i="182"/>
  <c r="F49" i="182"/>
  <c r="E49" i="182"/>
  <c r="D49" i="182"/>
  <c r="C49" i="182"/>
  <c r="B49" i="182"/>
  <c r="F47" i="182"/>
  <c r="E47" i="182"/>
  <c r="D47" i="182"/>
  <c r="C47" i="182"/>
  <c r="B47" i="182"/>
  <c r="F43" i="182"/>
  <c r="E43" i="182"/>
  <c r="D43" i="182"/>
  <c r="C43" i="182"/>
  <c r="F42" i="182"/>
  <c r="E42" i="182"/>
  <c r="D42" i="182"/>
  <c r="C42" i="182"/>
  <c r="B42" i="182"/>
  <c r="F41" i="182"/>
  <c r="E41" i="182"/>
  <c r="D41" i="182"/>
  <c r="C41" i="182"/>
  <c r="B41" i="182"/>
  <c r="F40" i="182"/>
  <c r="E40" i="182"/>
  <c r="D40" i="182"/>
  <c r="C40" i="182"/>
  <c r="B40" i="182"/>
  <c r="F39" i="182"/>
  <c r="E39" i="182"/>
  <c r="D39" i="182"/>
  <c r="C39" i="182"/>
  <c r="C38" i="182"/>
  <c r="B38" i="182"/>
  <c r="F34" i="182"/>
  <c r="E34" i="182"/>
  <c r="D34" i="182"/>
  <c r="C34" i="182"/>
  <c r="A34" i="182"/>
  <c r="F33" i="182"/>
  <c r="E33" i="182"/>
  <c r="D33" i="182"/>
  <c r="C33" i="182"/>
  <c r="F32" i="182"/>
  <c r="E32" i="182"/>
  <c r="D32" i="182"/>
  <c r="C32" i="182"/>
  <c r="B32" i="182"/>
  <c r="F31" i="182"/>
  <c r="E31" i="182"/>
  <c r="D31" i="182"/>
  <c r="C31" i="182"/>
  <c r="B31" i="182"/>
  <c r="F30" i="182"/>
  <c r="E30" i="182"/>
  <c r="D30" i="182"/>
  <c r="C30" i="182"/>
  <c r="B30" i="182"/>
  <c r="F29" i="182"/>
  <c r="E29" i="182"/>
  <c r="D29" i="182"/>
  <c r="C29" i="182"/>
  <c r="B28" i="182"/>
  <c r="F24" i="182"/>
  <c r="E24" i="182"/>
  <c r="D24" i="182"/>
  <c r="C24" i="182"/>
  <c r="B24" i="182"/>
  <c r="F23" i="182"/>
  <c r="E23" i="182"/>
  <c r="D23" i="182"/>
  <c r="C23" i="182"/>
  <c r="B23" i="182"/>
  <c r="F22" i="182"/>
  <c r="E22" i="182"/>
  <c r="D22" i="182"/>
  <c r="C22" i="182"/>
  <c r="B22" i="182"/>
  <c r="F21" i="182"/>
  <c r="E21" i="182"/>
  <c r="D21" i="182"/>
  <c r="C21" i="182"/>
  <c r="B20" i="182"/>
  <c r="A10" i="182"/>
  <c r="A1" i="182"/>
  <c r="G51" i="181"/>
  <c r="F51" i="181"/>
  <c r="E51" i="181"/>
  <c r="D51" i="181"/>
  <c r="C51" i="181"/>
  <c r="B51" i="181"/>
  <c r="G50" i="181"/>
  <c r="F50" i="181"/>
  <c r="E50" i="181"/>
  <c r="D50" i="181"/>
  <c r="C50" i="181"/>
  <c r="B50" i="181"/>
  <c r="G49" i="181"/>
  <c r="F49" i="181"/>
  <c r="E49" i="181"/>
  <c r="D49" i="181"/>
  <c r="C49" i="181"/>
  <c r="B49" i="181"/>
  <c r="G48" i="181"/>
  <c r="F48" i="181"/>
  <c r="E48" i="181"/>
  <c r="D48" i="181"/>
  <c r="C48" i="181"/>
  <c r="B48" i="181"/>
  <c r="F47" i="181"/>
  <c r="E47" i="181"/>
  <c r="D47" i="181"/>
  <c r="C47" i="181"/>
  <c r="B47" i="181"/>
  <c r="F43" i="181"/>
  <c r="E43" i="181"/>
  <c r="D43" i="181"/>
  <c r="C43" i="181"/>
  <c r="F42" i="181"/>
  <c r="E42" i="181"/>
  <c r="D42" i="181"/>
  <c r="C42" i="181"/>
  <c r="B42" i="181"/>
  <c r="F41" i="181"/>
  <c r="E41" i="181"/>
  <c r="D41" i="181"/>
  <c r="C41" i="181"/>
  <c r="B41" i="181"/>
  <c r="F40" i="181"/>
  <c r="E40" i="181"/>
  <c r="D40" i="181"/>
  <c r="C40" i="181"/>
  <c r="B40" i="181"/>
  <c r="F39" i="181"/>
  <c r="E39" i="181"/>
  <c r="D39" i="181"/>
  <c r="C39" i="181"/>
  <c r="C38" i="181"/>
  <c r="B38" i="181"/>
  <c r="F34" i="181"/>
  <c r="E34" i="181"/>
  <c r="D34" i="181"/>
  <c r="C34" i="181"/>
  <c r="A34" i="181"/>
  <c r="F33" i="181"/>
  <c r="E33" i="181"/>
  <c r="D33" i="181"/>
  <c r="C33" i="181"/>
  <c r="F32" i="181"/>
  <c r="E32" i="181"/>
  <c r="D32" i="181"/>
  <c r="C32" i="181"/>
  <c r="B32" i="181"/>
  <c r="F31" i="181"/>
  <c r="E31" i="181"/>
  <c r="D31" i="181"/>
  <c r="C31" i="181"/>
  <c r="B31" i="181"/>
  <c r="F30" i="181"/>
  <c r="E30" i="181"/>
  <c r="D30" i="181"/>
  <c r="C30" i="181"/>
  <c r="B30" i="181"/>
  <c r="F29" i="181"/>
  <c r="E29" i="181"/>
  <c r="D29" i="181"/>
  <c r="C29" i="181"/>
  <c r="B28" i="181"/>
  <c r="F24" i="181"/>
  <c r="E24" i="181"/>
  <c r="D24" i="181"/>
  <c r="C24" i="181"/>
  <c r="B24" i="181"/>
  <c r="F23" i="181"/>
  <c r="E23" i="181"/>
  <c r="D23" i="181"/>
  <c r="C23" i="181"/>
  <c r="B23" i="181"/>
  <c r="F22" i="181"/>
  <c r="E22" i="181"/>
  <c r="D22" i="181"/>
  <c r="C22" i="181"/>
  <c r="B22" i="181"/>
  <c r="F21" i="181"/>
  <c r="E21" i="181"/>
  <c r="D21" i="181"/>
  <c r="C21" i="181"/>
  <c r="B20" i="181"/>
  <c r="A10" i="181"/>
  <c r="A1" i="181"/>
  <c r="B84" i="128"/>
  <c r="B83" i="128"/>
  <c r="B82" i="128"/>
  <c r="B81" i="128"/>
  <c r="B80" i="128"/>
  <c r="B79" i="128"/>
  <c r="B78" i="128"/>
  <c r="B77" i="128"/>
  <c r="B76" i="128"/>
  <c r="B75" i="128"/>
  <c r="B74" i="128"/>
  <c r="B73" i="128"/>
  <c r="B72" i="128"/>
  <c r="B71" i="128"/>
  <c r="B70" i="128"/>
  <c r="B69" i="128"/>
  <c r="B68" i="128"/>
  <c r="B67" i="128"/>
  <c r="B66" i="128"/>
  <c r="B65" i="128"/>
  <c r="N64" i="128"/>
  <c r="M64" i="128"/>
  <c r="L64" i="128"/>
  <c r="K64" i="128"/>
  <c r="J64" i="128"/>
  <c r="I64" i="128"/>
  <c r="H64" i="128"/>
  <c r="G64" i="128"/>
  <c r="F64" i="128"/>
  <c r="E64" i="128"/>
  <c r="D64" i="128"/>
  <c r="C64" i="128"/>
  <c r="B59" i="128"/>
  <c r="B58" i="128"/>
  <c r="B57" i="128"/>
  <c r="B56" i="128"/>
  <c r="B55" i="128"/>
  <c r="B54" i="128"/>
  <c r="B53" i="128"/>
  <c r="B52" i="128"/>
  <c r="B51" i="128"/>
  <c r="B50" i="128"/>
  <c r="B49" i="128"/>
  <c r="B48" i="128"/>
  <c r="B47" i="128"/>
  <c r="B46" i="128"/>
  <c r="B45" i="128"/>
  <c r="B44" i="128"/>
  <c r="B43" i="128"/>
  <c r="B42" i="128"/>
  <c r="B41" i="128"/>
  <c r="B40" i="128"/>
  <c r="B35" i="128"/>
  <c r="B34" i="128"/>
  <c r="B33" i="128"/>
  <c r="B32" i="128"/>
  <c r="B31" i="128"/>
  <c r="B30" i="128"/>
  <c r="B29" i="128"/>
  <c r="B28" i="128"/>
  <c r="B27" i="128"/>
  <c r="B26" i="128"/>
  <c r="B25" i="128"/>
  <c r="B24" i="128"/>
  <c r="B23" i="128"/>
  <c r="B22" i="128"/>
  <c r="B21" i="128"/>
  <c r="B20" i="128"/>
  <c r="B19" i="128"/>
  <c r="B18" i="128"/>
  <c r="B17" i="128"/>
  <c r="B16" i="128"/>
  <c r="B15" i="128"/>
  <c r="N14" i="128"/>
  <c r="M14" i="128"/>
  <c r="L14" i="128"/>
  <c r="K14" i="128"/>
  <c r="J14" i="128"/>
  <c r="I14" i="128"/>
  <c r="H14" i="128"/>
  <c r="G14" i="128"/>
  <c r="F14" i="128"/>
  <c r="E14" i="128"/>
  <c r="D14" i="128"/>
  <c r="C14" i="128"/>
  <c r="A10" i="128"/>
  <c r="A1" i="128"/>
  <c r="B366" i="151"/>
  <c r="B365" i="151"/>
  <c r="B364" i="151"/>
  <c r="B363" i="151"/>
  <c r="B362" i="151"/>
  <c r="B361" i="151"/>
  <c r="B360" i="151"/>
  <c r="B359" i="151"/>
  <c r="B358" i="151"/>
  <c r="B357" i="151"/>
  <c r="B356" i="151"/>
  <c r="N355" i="151"/>
  <c r="M355" i="151"/>
  <c r="L355" i="151"/>
  <c r="K355" i="151"/>
  <c r="J355" i="151"/>
  <c r="I355" i="151"/>
  <c r="H355" i="151"/>
  <c r="G355" i="151"/>
  <c r="F355" i="151"/>
  <c r="E355" i="151"/>
  <c r="D355" i="151"/>
  <c r="C355" i="151"/>
  <c r="B355" i="151"/>
  <c r="B350" i="151"/>
  <c r="B349" i="151"/>
  <c r="B348" i="151"/>
  <c r="B347" i="151"/>
  <c r="B346" i="151"/>
  <c r="B345" i="151"/>
  <c r="B344" i="151"/>
  <c r="B343" i="151"/>
  <c r="B342" i="151"/>
  <c r="B341" i="151"/>
  <c r="B340" i="151"/>
  <c r="N339" i="151"/>
  <c r="M339" i="151"/>
  <c r="L339" i="151"/>
  <c r="K339" i="151"/>
  <c r="J339" i="151"/>
  <c r="I339" i="151"/>
  <c r="H339" i="151"/>
  <c r="G339" i="151"/>
  <c r="F339" i="151"/>
  <c r="E339" i="151"/>
  <c r="D339" i="151"/>
  <c r="C339" i="151"/>
  <c r="B339" i="151"/>
  <c r="B329" i="151"/>
  <c r="B328" i="151"/>
  <c r="B327" i="151"/>
  <c r="B326" i="151"/>
  <c r="B325" i="151"/>
  <c r="B324" i="151"/>
  <c r="B323" i="151"/>
  <c r="B322" i="151"/>
  <c r="B321" i="151"/>
  <c r="B320" i="151"/>
  <c r="B319" i="151"/>
  <c r="N318" i="151"/>
  <c r="M318" i="151"/>
  <c r="L318" i="151"/>
  <c r="K318" i="151"/>
  <c r="J318" i="151"/>
  <c r="I318" i="151"/>
  <c r="H318" i="151"/>
  <c r="G318" i="151"/>
  <c r="F318" i="151"/>
  <c r="E318" i="151"/>
  <c r="D318" i="151"/>
  <c r="C318" i="151"/>
  <c r="B318" i="151"/>
  <c r="B313" i="151"/>
  <c r="B312" i="151"/>
  <c r="B311" i="151"/>
  <c r="B310" i="151"/>
  <c r="B309" i="151"/>
  <c r="B308" i="151"/>
  <c r="B307" i="151"/>
  <c r="B306" i="151"/>
  <c r="B305" i="151"/>
  <c r="B304" i="151"/>
  <c r="B303" i="151"/>
  <c r="N302" i="151"/>
  <c r="M302" i="151"/>
  <c r="L302" i="151"/>
  <c r="K302" i="151"/>
  <c r="J302" i="151"/>
  <c r="I302" i="151"/>
  <c r="H302" i="151"/>
  <c r="G302" i="151"/>
  <c r="F302" i="151"/>
  <c r="E302" i="151"/>
  <c r="D302" i="151"/>
  <c r="C302" i="151"/>
  <c r="B302" i="151"/>
  <c r="N293" i="151"/>
  <c r="M293" i="151"/>
  <c r="L293" i="151"/>
  <c r="K293" i="151"/>
  <c r="J293" i="151"/>
  <c r="I293" i="151"/>
  <c r="H293" i="151"/>
  <c r="G293" i="151"/>
  <c r="F293" i="151"/>
  <c r="E293" i="151"/>
  <c r="D293" i="151"/>
  <c r="C293" i="151"/>
  <c r="C290" i="151"/>
  <c r="N289" i="151"/>
  <c r="M289" i="151"/>
  <c r="L289" i="151"/>
  <c r="K289" i="151"/>
  <c r="J289" i="151"/>
  <c r="I289" i="151"/>
  <c r="H289" i="151"/>
  <c r="G289" i="151"/>
  <c r="F289" i="151"/>
  <c r="E289" i="151"/>
  <c r="D289" i="151"/>
  <c r="C289" i="151"/>
  <c r="C281" i="151"/>
  <c r="C280" i="151"/>
  <c r="N278" i="151"/>
  <c r="M278" i="151"/>
  <c r="L278" i="151"/>
  <c r="K278" i="151"/>
  <c r="J278" i="151"/>
  <c r="I278" i="151"/>
  <c r="H278" i="151"/>
  <c r="G278" i="151"/>
  <c r="F278" i="151"/>
  <c r="E278" i="151"/>
  <c r="D278" i="151"/>
  <c r="C278" i="151"/>
  <c r="B273" i="151"/>
  <c r="B272" i="151"/>
  <c r="B271" i="151"/>
  <c r="B270" i="151"/>
  <c r="B269" i="151"/>
  <c r="B268" i="151"/>
  <c r="B267" i="151"/>
  <c r="B266" i="151"/>
  <c r="B265" i="151"/>
  <c r="B264" i="151"/>
  <c r="B263" i="151"/>
  <c r="N262" i="151"/>
  <c r="M262" i="151"/>
  <c r="L262" i="151"/>
  <c r="K262" i="151"/>
  <c r="J262" i="151"/>
  <c r="I262" i="151"/>
  <c r="H262" i="151"/>
  <c r="G262" i="151"/>
  <c r="F262" i="151"/>
  <c r="E262" i="151"/>
  <c r="D262" i="151"/>
  <c r="C262" i="151"/>
  <c r="B262" i="151"/>
  <c r="B257" i="151"/>
  <c r="B256" i="151"/>
  <c r="B255" i="151"/>
  <c r="B254" i="151"/>
  <c r="B253" i="151"/>
  <c r="B252" i="151"/>
  <c r="B251" i="151"/>
  <c r="B250" i="151"/>
  <c r="B249" i="151"/>
  <c r="B248" i="151"/>
  <c r="B247" i="151"/>
  <c r="N246" i="151"/>
  <c r="M246" i="151"/>
  <c r="L246" i="151"/>
  <c r="K246" i="151"/>
  <c r="J246" i="151"/>
  <c r="I246" i="151"/>
  <c r="H246" i="151"/>
  <c r="G246" i="151"/>
  <c r="F246" i="151"/>
  <c r="E246" i="151"/>
  <c r="D246" i="151"/>
  <c r="C246" i="151"/>
  <c r="B246" i="151"/>
  <c r="B239" i="151"/>
  <c r="B238" i="151"/>
  <c r="B237" i="151"/>
  <c r="B236" i="151"/>
  <c r="B235" i="151"/>
  <c r="B234" i="151"/>
  <c r="B233" i="151"/>
  <c r="B232" i="151"/>
  <c r="B231" i="151"/>
  <c r="B230" i="151"/>
  <c r="B229" i="151"/>
  <c r="N228" i="151"/>
  <c r="M228" i="151"/>
  <c r="L228" i="151"/>
  <c r="K228" i="151"/>
  <c r="J228" i="151"/>
  <c r="I228" i="151"/>
  <c r="H228" i="151"/>
  <c r="G228" i="151"/>
  <c r="F228" i="151"/>
  <c r="E228" i="151"/>
  <c r="D228" i="151"/>
  <c r="C228" i="151"/>
  <c r="B228" i="151"/>
  <c r="B223" i="151"/>
  <c r="B222" i="151"/>
  <c r="B221" i="151"/>
  <c r="B220" i="151"/>
  <c r="B219" i="151"/>
  <c r="B218" i="151"/>
  <c r="B217" i="151"/>
  <c r="B216" i="151"/>
  <c r="B215" i="151"/>
  <c r="B214" i="151"/>
  <c r="B213" i="151"/>
  <c r="N212" i="151"/>
  <c r="M212" i="151"/>
  <c r="L212" i="151"/>
  <c r="K212" i="151"/>
  <c r="J212" i="151"/>
  <c r="I212" i="151"/>
  <c r="H212" i="151"/>
  <c r="G212" i="151"/>
  <c r="F212" i="151"/>
  <c r="E212" i="151"/>
  <c r="D212" i="151"/>
  <c r="C212" i="151"/>
  <c r="B212" i="151"/>
  <c r="C206" i="151"/>
  <c r="C205" i="151"/>
  <c r="B205" i="151"/>
  <c r="C204" i="151"/>
  <c r="B204" i="151"/>
  <c r="C203" i="151"/>
  <c r="B203" i="151"/>
  <c r="C202" i="151"/>
  <c r="B202" i="151"/>
  <c r="C201" i="151"/>
  <c r="B201" i="151"/>
  <c r="C200" i="151"/>
  <c r="B200" i="151"/>
  <c r="C199" i="151"/>
  <c r="B199" i="151"/>
  <c r="C198" i="151"/>
  <c r="B198" i="151"/>
  <c r="C197" i="151"/>
  <c r="B197" i="151"/>
  <c r="C196" i="151"/>
  <c r="B196" i="151"/>
  <c r="C195" i="151"/>
  <c r="B195" i="151"/>
  <c r="N194" i="151"/>
  <c r="M194" i="151"/>
  <c r="L194" i="151"/>
  <c r="K194" i="151"/>
  <c r="J194" i="151"/>
  <c r="I194" i="151"/>
  <c r="H194" i="151"/>
  <c r="G194" i="151"/>
  <c r="F194" i="151"/>
  <c r="E194" i="151"/>
  <c r="D194" i="151"/>
  <c r="C194" i="151"/>
  <c r="B194" i="151"/>
  <c r="C190" i="151"/>
  <c r="C189" i="151"/>
  <c r="B189" i="151"/>
  <c r="C188" i="151"/>
  <c r="B188" i="151"/>
  <c r="C187" i="151"/>
  <c r="B187" i="151"/>
  <c r="C186" i="151"/>
  <c r="B186" i="151"/>
  <c r="C185" i="151"/>
  <c r="B185" i="151"/>
  <c r="C184" i="151"/>
  <c r="B184" i="151"/>
  <c r="C183" i="151"/>
  <c r="B183" i="151"/>
  <c r="C182" i="151"/>
  <c r="B182" i="151"/>
  <c r="C181" i="151"/>
  <c r="B181" i="151"/>
  <c r="C180" i="151"/>
  <c r="B180" i="151"/>
  <c r="C179" i="151"/>
  <c r="B179" i="151"/>
  <c r="N178" i="151"/>
  <c r="M178" i="151"/>
  <c r="L178" i="151"/>
  <c r="K178" i="151"/>
  <c r="J178" i="151"/>
  <c r="I178" i="151"/>
  <c r="H178" i="151"/>
  <c r="G178" i="151"/>
  <c r="F178" i="151"/>
  <c r="E178" i="151"/>
  <c r="D178" i="151"/>
  <c r="C178" i="151"/>
  <c r="B178" i="151"/>
  <c r="C172" i="151"/>
  <c r="C171" i="151"/>
  <c r="B171" i="151"/>
  <c r="C170" i="151"/>
  <c r="B170" i="151"/>
  <c r="C169" i="151"/>
  <c r="B169" i="151"/>
  <c r="C168" i="151"/>
  <c r="B168" i="151"/>
  <c r="C167" i="151"/>
  <c r="B167" i="151"/>
  <c r="C166" i="151"/>
  <c r="B166" i="151"/>
  <c r="C165" i="151"/>
  <c r="B165" i="151"/>
  <c r="C164" i="151"/>
  <c r="B164" i="151"/>
  <c r="C163" i="151"/>
  <c r="B163" i="151"/>
  <c r="C162" i="151"/>
  <c r="B162" i="151"/>
  <c r="C161" i="151"/>
  <c r="B161" i="151"/>
  <c r="N160" i="151"/>
  <c r="M160" i="151"/>
  <c r="L160" i="151"/>
  <c r="K160" i="151"/>
  <c r="J160" i="151"/>
  <c r="I160" i="151"/>
  <c r="H160" i="151"/>
  <c r="G160" i="151"/>
  <c r="F160" i="151"/>
  <c r="E160" i="151"/>
  <c r="D160" i="151"/>
  <c r="C160" i="151"/>
  <c r="B160" i="151"/>
  <c r="C156" i="151"/>
  <c r="C155" i="151"/>
  <c r="B155" i="151"/>
  <c r="C154" i="151"/>
  <c r="B154" i="151"/>
  <c r="C153" i="151"/>
  <c r="B153" i="151"/>
  <c r="C152" i="151"/>
  <c r="B152" i="151"/>
  <c r="C151" i="151"/>
  <c r="B151" i="151"/>
  <c r="C150" i="151"/>
  <c r="B150" i="151"/>
  <c r="C149" i="151"/>
  <c r="B149" i="151"/>
  <c r="C148" i="151"/>
  <c r="B148" i="151"/>
  <c r="C147" i="151"/>
  <c r="B147" i="151"/>
  <c r="C146" i="151"/>
  <c r="B146" i="151"/>
  <c r="C145" i="151"/>
  <c r="B145" i="151"/>
  <c r="N144" i="151"/>
  <c r="M144" i="151"/>
  <c r="L144" i="151"/>
  <c r="K144" i="151"/>
  <c r="J144" i="151"/>
  <c r="I144" i="151"/>
  <c r="H144" i="151"/>
  <c r="G144" i="151"/>
  <c r="F144" i="151"/>
  <c r="E144" i="151"/>
  <c r="D144" i="151"/>
  <c r="C144" i="151"/>
  <c r="B144" i="151"/>
  <c r="B137" i="151"/>
  <c r="B136" i="151"/>
  <c r="B135" i="151"/>
  <c r="B134" i="151"/>
  <c r="B133" i="151"/>
  <c r="B132" i="151"/>
  <c r="B131" i="151"/>
  <c r="B130" i="151"/>
  <c r="B129" i="151"/>
  <c r="B128" i="151"/>
  <c r="B127" i="151"/>
  <c r="N126" i="151"/>
  <c r="M126" i="151"/>
  <c r="L126" i="151"/>
  <c r="K126" i="151"/>
  <c r="J126" i="151"/>
  <c r="I126" i="151"/>
  <c r="H126" i="151"/>
  <c r="G126" i="151"/>
  <c r="F126" i="151"/>
  <c r="E126" i="151"/>
  <c r="D126" i="151"/>
  <c r="C126" i="151"/>
  <c r="B126" i="151"/>
  <c r="B121" i="151"/>
  <c r="B120" i="151"/>
  <c r="B119" i="151"/>
  <c r="B118" i="151"/>
  <c r="B117" i="151"/>
  <c r="B116" i="151"/>
  <c r="B115" i="151"/>
  <c r="B114" i="151"/>
  <c r="B113" i="151"/>
  <c r="B112" i="151"/>
  <c r="B111" i="151"/>
  <c r="N110" i="151"/>
  <c r="M110" i="151"/>
  <c r="L110" i="151"/>
  <c r="K110" i="151"/>
  <c r="J110" i="151"/>
  <c r="I110" i="151"/>
  <c r="H110" i="151"/>
  <c r="G110" i="151"/>
  <c r="F110" i="151"/>
  <c r="E110" i="151"/>
  <c r="D110" i="151"/>
  <c r="C110" i="151"/>
  <c r="B110" i="151"/>
  <c r="C104" i="151"/>
  <c r="C103" i="151"/>
  <c r="B103" i="151"/>
  <c r="C102" i="151"/>
  <c r="B102" i="151"/>
  <c r="C101" i="151"/>
  <c r="B101" i="151"/>
  <c r="C100" i="151"/>
  <c r="B100" i="151"/>
  <c r="C99" i="151"/>
  <c r="B99" i="151"/>
  <c r="C98" i="151"/>
  <c r="B98" i="151"/>
  <c r="C97" i="151"/>
  <c r="B97" i="151"/>
  <c r="C96" i="151"/>
  <c r="B96" i="151"/>
  <c r="C95" i="151"/>
  <c r="B95" i="151"/>
  <c r="C94" i="151"/>
  <c r="B94" i="151"/>
  <c r="C93" i="151"/>
  <c r="B93" i="151"/>
  <c r="N92" i="151"/>
  <c r="M92" i="151"/>
  <c r="L92" i="151"/>
  <c r="K92" i="151"/>
  <c r="J92" i="151"/>
  <c r="I92" i="151"/>
  <c r="H92" i="151"/>
  <c r="G92" i="151"/>
  <c r="F92" i="151"/>
  <c r="E92" i="151"/>
  <c r="D92" i="151"/>
  <c r="C92" i="151"/>
  <c r="B92" i="151"/>
  <c r="C88" i="151"/>
  <c r="C87" i="151"/>
  <c r="B87" i="151"/>
  <c r="C86" i="151"/>
  <c r="B86" i="151"/>
  <c r="C85" i="151"/>
  <c r="B85" i="151"/>
  <c r="C84" i="151"/>
  <c r="B84" i="151"/>
  <c r="C83" i="151"/>
  <c r="B83" i="151"/>
  <c r="C82" i="151"/>
  <c r="B82" i="151"/>
  <c r="C81" i="151"/>
  <c r="B81" i="151"/>
  <c r="C80" i="151"/>
  <c r="B80" i="151"/>
  <c r="C79" i="151"/>
  <c r="B79" i="151"/>
  <c r="C78" i="151"/>
  <c r="B78" i="151"/>
  <c r="C77" i="151"/>
  <c r="B77" i="151"/>
  <c r="N76" i="151"/>
  <c r="M76" i="151"/>
  <c r="L76" i="151"/>
  <c r="K76" i="151"/>
  <c r="J76" i="151"/>
  <c r="I76" i="151"/>
  <c r="H76" i="151"/>
  <c r="G76" i="151"/>
  <c r="F76" i="151"/>
  <c r="E76" i="151"/>
  <c r="D76" i="151"/>
  <c r="C76" i="151"/>
  <c r="B76" i="151"/>
  <c r="C70" i="151"/>
  <c r="C69" i="151"/>
  <c r="B69" i="151"/>
  <c r="C68" i="151"/>
  <c r="B68" i="151"/>
  <c r="C67" i="151"/>
  <c r="B67" i="151"/>
  <c r="C66" i="151"/>
  <c r="B66" i="151"/>
  <c r="C65" i="151"/>
  <c r="B65" i="151"/>
  <c r="C64" i="151"/>
  <c r="B64" i="151"/>
  <c r="C63" i="151"/>
  <c r="B63" i="151"/>
  <c r="C62" i="151"/>
  <c r="B62" i="151"/>
  <c r="C61" i="151"/>
  <c r="B61" i="151"/>
  <c r="C60" i="151"/>
  <c r="B60" i="151"/>
  <c r="C59" i="151"/>
  <c r="B59" i="151"/>
  <c r="N58" i="151"/>
  <c r="M58" i="151"/>
  <c r="L58" i="151"/>
  <c r="K58" i="151"/>
  <c r="J58" i="151"/>
  <c r="I58" i="151"/>
  <c r="H58" i="151"/>
  <c r="G58" i="151"/>
  <c r="F58" i="151"/>
  <c r="E58" i="151"/>
  <c r="D58" i="151"/>
  <c r="C58" i="151"/>
  <c r="B58" i="151"/>
  <c r="C54" i="151"/>
  <c r="C53" i="151"/>
  <c r="B53" i="151"/>
  <c r="C52" i="151"/>
  <c r="B52" i="151"/>
  <c r="C51" i="151"/>
  <c r="B51" i="151"/>
  <c r="C50" i="151"/>
  <c r="B50" i="151"/>
  <c r="C49" i="151"/>
  <c r="B49" i="151"/>
  <c r="C48" i="151"/>
  <c r="B48" i="151"/>
  <c r="C47" i="151"/>
  <c r="B47" i="151"/>
  <c r="C46" i="151"/>
  <c r="B46" i="151"/>
  <c r="C45" i="151"/>
  <c r="B45" i="151"/>
  <c r="C44" i="151"/>
  <c r="B44" i="151"/>
  <c r="C43" i="151"/>
  <c r="B43" i="151"/>
  <c r="N42" i="151"/>
  <c r="M42" i="151"/>
  <c r="L42" i="151"/>
  <c r="K42" i="151"/>
  <c r="J42" i="151"/>
  <c r="I42" i="151"/>
  <c r="H42" i="151"/>
  <c r="G42" i="151"/>
  <c r="F42" i="151"/>
  <c r="E42" i="151"/>
  <c r="D42" i="151"/>
  <c r="C42" i="151"/>
  <c r="B42" i="151"/>
  <c r="B36" i="151"/>
  <c r="N35" i="151"/>
  <c r="M35" i="151"/>
  <c r="L35" i="151"/>
  <c r="K35" i="151"/>
  <c r="J35" i="151"/>
  <c r="I35" i="151"/>
  <c r="H35" i="151"/>
  <c r="G35" i="151"/>
  <c r="F35" i="151"/>
  <c r="E35" i="151"/>
  <c r="D35" i="151"/>
  <c r="C35" i="151"/>
  <c r="B35" i="151"/>
  <c r="I31" i="151"/>
  <c r="H31" i="151"/>
  <c r="G31" i="151"/>
  <c r="E31" i="151"/>
  <c r="D31" i="151"/>
  <c r="C31" i="151"/>
  <c r="B31" i="151"/>
  <c r="A31" i="151"/>
  <c r="D30" i="151"/>
  <c r="C30" i="151"/>
  <c r="B30" i="151"/>
  <c r="D29" i="151"/>
  <c r="C29" i="151"/>
  <c r="B29" i="151"/>
  <c r="D28" i="151"/>
  <c r="C28" i="151"/>
  <c r="B28" i="151"/>
  <c r="D27" i="151"/>
  <c r="C27" i="151"/>
  <c r="B27" i="151"/>
  <c r="D26" i="151"/>
  <c r="C26" i="151"/>
  <c r="B26" i="151"/>
  <c r="D25" i="151"/>
  <c r="C25" i="151"/>
  <c r="B25" i="151"/>
  <c r="D24" i="151"/>
  <c r="C24" i="151"/>
  <c r="B24" i="151"/>
  <c r="D23" i="151"/>
  <c r="C23" i="151"/>
  <c r="B23" i="151"/>
  <c r="D22" i="151"/>
  <c r="C22" i="151"/>
  <c r="B22" i="151"/>
  <c r="D21" i="151"/>
  <c r="C21" i="151"/>
  <c r="B21" i="151"/>
  <c r="D20" i="151"/>
  <c r="C20" i="151"/>
  <c r="C19" i="151"/>
  <c r="B19" i="151"/>
  <c r="C15" i="151"/>
  <c r="B15" i="151"/>
  <c r="N14" i="151"/>
  <c r="M14" i="151"/>
  <c r="L14" i="151"/>
  <c r="K14" i="151"/>
  <c r="J14" i="151"/>
  <c r="I14" i="151"/>
  <c r="H14" i="151"/>
  <c r="G14" i="151"/>
  <c r="F14" i="151"/>
  <c r="E14" i="151"/>
  <c r="D14" i="151"/>
  <c r="C14" i="151"/>
  <c r="B14" i="151"/>
  <c r="A1" i="151"/>
  <c r="B366" i="150"/>
  <c r="B365" i="150"/>
  <c r="B364" i="150"/>
  <c r="B363" i="150"/>
  <c r="B362" i="150"/>
  <c r="B361" i="150"/>
  <c r="B360" i="150"/>
  <c r="B359" i="150"/>
  <c r="B358" i="150"/>
  <c r="B357" i="150"/>
  <c r="B356" i="150"/>
  <c r="N355" i="150"/>
  <c r="M355" i="150"/>
  <c r="L355" i="150"/>
  <c r="K355" i="150"/>
  <c r="J355" i="150"/>
  <c r="I355" i="150"/>
  <c r="H355" i="150"/>
  <c r="G355" i="150"/>
  <c r="F355" i="150"/>
  <c r="E355" i="150"/>
  <c r="D355" i="150"/>
  <c r="C355" i="150"/>
  <c r="B355" i="150"/>
  <c r="B350" i="150"/>
  <c r="B349" i="150"/>
  <c r="B348" i="150"/>
  <c r="B347" i="150"/>
  <c r="B346" i="150"/>
  <c r="B345" i="150"/>
  <c r="B344" i="150"/>
  <c r="B343" i="150"/>
  <c r="B342" i="150"/>
  <c r="B341" i="150"/>
  <c r="B340" i="150"/>
  <c r="N339" i="150"/>
  <c r="M339" i="150"/>
  <c r="L339" i="150"/>
  <c r="K339" i="150"/>
  <c r="J339" i="150"/>
  <c r="I339" i="150"/>
  <c r="H339" i="150"/>
  <c r="G339" i="150"/>
  <c r="F339" i="150"/>
  <c r="E339" i="150"/>
  <c r="D339" i="150"/>
  <c r="C339" i="150"/>
  <c r="B339" i="150"/>
  <c r="B329" i="150"/>
  <c r="B328" i="150"/>
  <c r="B327" i="150"/>
  <c r="B326" i="150"/>
  <c r="B325" i="150"/>
  <c r="B324" i="150"/>
  <c r="B323" i="150"/>
  <c r="B322" i="150"/>
  <c r="B321" i="150"/>
  <c r="B320" i="150"/>
  <c r="B319" i="150"/>
  <c r="N318" i="150"/>
  <c r="M318" i="150"/>
  <c r="L318" i="150"/>
  <c r="K318" i="150"/>
  <c r="J318" i="150"/>
  <c r="I318" i="150"/>
  <c r="H318" i="150"/>
  <c r="G318" i="150"/>
  <c r="F318" i="150"/>
  <c r="E318" i="150"/>
  <c r="D318" i="150"/>
  <c r="C318" i="150"/>
  <c r="B318" i="150"/>
  <c r="B313" i="150"/>
  <c r="B312" i="150"/>
  <c r="B311" i="150"/>
  <c r="B310" i="150"/>
  <c r="B309" i="150"/>
  <c r="B308" i="150"/>
  <c r="B307" i="150"/>
  <c r="B306" i="150"/>
  <c r="B305" i="150"/>
  <c r="B304" i="150"/>
  <c r="B303" i="150"/>
  <c r="N302" i="150"/>
  <c r="M302" i="150"/>
  <c r="L302" i="150"/>
  <c r="K302" i="150"/>
  <c r="J302" i="150"/>
  <c r="I302" i="150"/>
  <c r="H302" i="150"/>
  <c r="G302" i="150"/>
  <c r="F302" i="150"/>
  <c r="E302" i="150"/>
  <c r="D302" i="150"/>
  <c r="C302" i="150"/>
  <c r="B302" i="150"/>
  <c r="N293" i="150"/>
  <c r="M293" i="150"/>
  <c r="L293" i="150"/>
  <c r="K293" i="150"/>
  <c r="J293" i="150"/>
  <c r="I293" i="150"/>
  <c r="H293" i="150"/>
  <c r="G293" i="150"/>
  <c r="F293" i="150"/>
  <c r="E293" i="150"/>
  <c r="D293" i="150"/>
  <c r="C293" i="150"/>
  <c r="C290" i="150"/>
  <c r="N289" i="150"/>
  <c r="M289" i="150"/>
  <c r="L289" i="150"/>
  <c r="K289" i="150"/>
  <c r="J289" i="150"/>
  <c r="I289" i="150"/>
  <c r="H289" i="150"/>
  <c r="G289" i="150"/>
  <c r="F289" i="150"/>
  <c r="E289" i="150"/>
  <c r="D289" i="150"/>
  <c r="C289" i="150"/>
  <c r="C281" i="150"/>
  <c r="C280" i="150"/>
  <c r="N278" i="150"/>
  <c r="M278" i="150"/>
  <c r="L278" i="150"/>
  <c r="K278" i="150"/>
  <c r="J278" i="150"/>
  <c r="I278" i="150"/>
  <c r="H278" i="150"/>
  <c r="G278" i="150"/>
  <c r="F278" i="150"/>
  <c r="E278" i="150"/>
  <c r="D278" i="150"/>
  <c r="C278" i="150"/>
  <c r="B273" i="150"/>
  <c r="B272" i="150"/>
  <c r="B271" i="150"/>
  <c r="B270" i="150"/>
  <c r="B269" i="150"/>
  <c r="B268" i="150"/>
  <c r="B267" i="150"/>
  <c r="B266" i="150"/>
  <c r="B265" i="150"/>
  <c r="B264" i="150"/>
  <c r="B263" i="150"/>
  <c r="N262" i="150"/>
  <c r="M262" i="150"/>
  <c r="L262" i="150"/>
  <c r="K262" i="150"/>
  <c r="J262" i="150"/>
  <c r="I262" i="150"/>
  <c r="H262" i="150"/>
  <c r="G262" i="150"/>
  <c r="F262" i="150"/>
  <c r="E262" i="150"/>
  <c r="D262" i="150"/>
  <c r="C262" i="150"/>
  <c r="B262" i="150"/>
  <c r="B257" i="150"/>
  <c r="B256" i="150"/>
  <c r="B255" i="150"/>
  <c r="B254" i="150"/>
  <c r="B253" i="150"/>
  <c r="B252" i="150"/>
  <c r="B251" i="150"/>
  <c r="B250" i="150"/>
  <c r="B249" i="150"/>
  <c r="B248" i="150"/>
  <c r="B247" i="150"/>
  <c r="N246" i="150"/>
  <c r="M246" i="150"/>
  <c r="L246" i="150"/>
  <c r="K246" i="150"/>
  <c r="J246" i="150"/>
  <c r="I246" i="150"/>
  <c r="H246" i="150"/>
  <c r="G246" i="150"/>
  <c r="F246" i="150"/>
  <c r="E246" i="150"/>
  <c r="D246" i="150"/>
  <c r="C246" i="150"/>
  <c r="B246" i="150"/>
  <c r="B239" i="150"/>
  <c r="B238" i="150"/>
  <c r="B237" i="150"/>
  <c r="B236" i="150"/>
  <c r="B235" i="150"/>
  <c r="B234" i="150"/>
  <c r="B233" i="150"/>
  <c r="B232" i="150"/>
  <c r="B231" i="150"/>
  <c r="B230" i="150"/>
  <c r="B229" i="150"/>
  <c r="N228" i="150"/>
  <c r="M228" i="150"/>
  <c r="L228" i="150"/>
  <c r="K228" i="150"/>
  <c r="J228" i="150"/>
  <c r="I228" i="150"/>
  <c r="H228" i="150"/>
  <c r="G228" i="150"/>
  <c r="F228" i="150"/>
  <c r="E228" i="150"/>
  <c r="D228" i="150"/>
  <c r="C228" i="150"/>
  <c r="B228" i="150"/>
  <c r="B223" i="150"/>
  <c r="B222" i="150"/>
  <c r="B221" i="150"/>
  <c r="B220" i="150"/>
  <c r="B219" i="150"/>
  <c r="B218" i="150"/>
  <c r="B217" i="150"/>
  <c r="B216" i="150"/>
  <c r="B215" i="150"/>
  <c r="B214" i="150"/>
  <c r="B213" i="150"/>
  <c r="N212" i="150"/>
  <c r="M212" i="150"/>
  <c r="L212" i="150"/>
  <c r="K212" i="150"/>
  <c r="J212" i="150"/>
  <c r="I212" i="150"/>
  <c r="H212" i="150"/>
  <c r="G212" i="150"/>
  <c r="F212" i="150"/>
  <c r="E212" i="150"/>
  <c r="D212" i="150"/>
  <c r="C212" i="150"/>
  <c r="B212" i="150"/>
  <c r="C206" i="150"/>
  <c r="C205" i="150"/>
  <c r="B205" i="150"/>
  <c r="C204" i="150"/>
  <c r="B204" i="150"/>
  <c r="C203" i="150"/>
  <c r="B203" i="150"/>
  <c r="C202" i="150"/>
  <c r="B202" i="150"/>
  <c r="C201" i="150"/>
  <c r="B201" i="150"/>
  <c r="C200" i="150"/>
  <c r="B200" i="150"/>
  <c r="C199" i="150"/>
  <c r="B199" i="150"/>
  <c r="C198" i="150"/>
  <c r="B198" i="150"/>
  <c r="C197" i="150"/>
  <c r="B197" i="150"/>
  <c r="C196" i="150"/>
  <c r="B196" i="150"/>
  <c r="C195" i="150"/>
  <c r="B195" i="150"/>
  <c r="N194" i="150"/>
  <c r="M194" i="150"/>
  <c r="L194" i="150"/>
  <c r="K194" i="150"/>
  <c r="J194" i="150"/>
  <c r="I194" i="150"/>
  <c r="H194" i="150"/>
  <c r="G194" i="150"/>
  <c r="F194" i="150"/>
  <c r="E194" i="150"/>
  <c r="D194" i="150"/>
  <c r="C194" i="150"/>
  <c r="B194" i="150"/>
  <c r="C190" i="150"/>
  <c r="C189" i="150"/>
  <c r="B189" i="150"/>
  <c r="C188" i="150"/>
  <c r="B188" i="150"/>
  <c r="C187" i="150"/>
  <c r="B187" i="150"/>
  <c r="C186" i="150"/>
  <c r="B186" i="150"/>
  <c r="C185" i="150"/>
  <c r="B185" i="150"/>
  <c r="C184" i="150"/>
  <c r="B184" i="150"/>
  <c r="C183" i="150"/>
  <c r="B183" i="150"/>
  <c r="C182" i="150"/>
  <c r="B182" i="150"/>
  <c r="C181" i="150"/>
  <c r="B181" i="150"/>
  <c r="C180" i="150"/>
  <c r="B180" i="150"/>
  <c r="C179" i="150"/>
  <c r="B179" i="150"/>
  <c r="N178" i="150"/>
  <c r="M178" i="150"/>
  <c r="L178" i="150"/>
  <c r="K178" i="150"/>
  <c r="J178" i="150"/>
  <c r="I178" i="150"/>
  <c r="H178" i="150"/>
  <c r="G178" i="150"/>
  <c r="F178" i="150"/>
  <c r="E178" i="150"/>
  <c r="D178" i="150"/>
  <c r="C178" i="150"/>
  <c r="B178" i="150"/>
  <c r="C172" i="150"/>
  <c r="C171" i="150"/>
  <c r="B171" i="150"/>
  <c r="C170" i="150"/>
  <c r="B170" i="150"/>
  <c r="C169" i="150"/>
  <c r="B169" i="150"/>
  <c r="C168" i="150"/>
  <c r="B168" i="150"/>
  <c r="C167" i="150"/>
  <c r="B167" i="150"/>
  <c r="C166" i="150"/>
  <c r="B166" i="150"/>
  <c r="C165" i="150"/>
  <c r="B165" i="150"/>
  <c r="C164" i="150"/>
  <c r="B164" i="150"/>
  <c r="C163" i="150"/>
  <c r="B163" i="150"/>
  <c r="C162" i="150"/>
  <c r="B162" i="150"/>
  <c r="C161" i="150"/>
  <c r="B161" i="150"/>
  <c r="N160" i="150"/>
  <c r="M160" i="150"/>
  <c r="L160" i="150"/>
  <c r="K160" i="150"/>
  <c r="J160" i="150"/>
  <c r="I160" i="150"/>
  <c r="H160" i="150"/>
  <c r="G160" i="150"/>
  <c r="F160" i="150"/>
  <c r="E160" i="150"/>
  <c r="D160" i="150"/>
  <c r="C160" i="150"/>
  <c r="B160" i="150"/>
  <c r="C156" i="150"/>
  <c r="C155" i="150"/>
  <c r="B155" i="150"/>
  <c r="C154" i="150"/>
  <c r="B154" i="150"/>
  <c r="C153" i="150"/>
  <c r="B153" i="150"/>
  <c r="C152" i="150"/>
  <c r="B152" i="150"/>
  <c r="C151" i="150"/>
  <c r="B151" i="150"/>
  <c r="C150" i="150"/>
  <c r="B150" i="150"/>
  <c r="C149" i="150"/>
  <c r="B149" i="150"/>
  <c r="C148" i="150"/>
  <c r="B148" i="150"/>
  <c r="C147" i="150"/>
  <c r="B147" i="150"/>
  <c r="C146" i="150"/>
  <c r="B146" i="150"/>
  <c r="C145" i="150"/>
  <c r="B145" i="150"/>
  <c r="N144" i="150"/>
  <c r="M144" i="150"/>
  <c r="L144" i="150"/>
  <c r="K144" i="150"/>
  <c r="J144" i="150"/>
  <c r="I144" i="150"/>
  <c r="H144" i="150"/>
  <c r="G144" i="150"/>
  <c r="F144" i="150"/>
  <c r="E144" i="150"/>
  <c r="D144" i="150"/>
  <c r="C144" i="150"/>
  <c r="B144" i="150"/>
  <c r="B137" i="150"/>
  <c r="B136" i="150"/>
  <c r="B135" i="150"/>
  <c r="B134" i="150"/>
  <c r="B133" i="150"/>
  <c r="B132" i="150"/>
  <c r="B131" i="150"/>
  <c r="B130" i="150"/>
  <c r="B129" i="150"/>
  <c r="B128" i="150"/>
  <c r="B127" i="150"/>
  <c r="N126" i="150"/>
  <c r="M126" i="150"/>
  <c r="L126" i="150"/>
  <c r="K126" i="150"/>
  <c r="J126" i="150"/>
  <c r="I126" i="150"/>
  <c r="H126" i="150"/>
  <c r="G126" i="150"/>
  <c r="F126" i="150"/>
  <c r="E126" i="150"/>
  <c r="D126" i="150"/>
  <c r="C126" i="150"/>
  <c r="B126" i="150"/>
  <c r="B121" i="150"/>
  <c r="B120" i="150"/>
  <c r="B119" i="150"/>
  <c r="B118" i="150"/>
  <c r="B117" i="150"/>
  <c r="B116" i="150"/>
  <c r="B115" i="150"/>
  <c r="B114" i="150"/>
  <c r="B113" i="150"/>
  <c r="B112" i="150"/>
  <c r="B111" i="150"/>
  <c r="N110" i="150"/>
  <c r="M110" i="150"/>
  <c r="L110" i="150"/>
  <c r="K110" i="150"/>
  <c r="J110" i="150"/>
  <c r="I110" i="150"/>
  <c r="H110" i="150"/>
  <c r="G110" i="150"/>
  <c r="F110" i="150"/>
  <c r="E110" i="150"/>
  <c r="D110" i="150"/>
  <c r="C110" i="150"/>
  <c r="B110" i="150"/>
  <c r="C104" i="150"/>
  <c r="C103" i="150"/>
  <c r="B103" i="150"/>
  <c r="C102" i="150"/>
  <c r="B102" i="150"/>
  <c r="C101" i="150"/>
  <c r="B101" i="150"/>
  <c r="C100" i="150"/>
  <c r="B100" i="150"/>
  <c r="C99" i="150"/>
  <c r="B99" i="150"/>
  <c r="C98" i="150"/>
  <c r="B98" i="150"/>
  <c r="C97" i="150"/>
  <c r="B97" i="150"/>
  <c r="C96" i="150"/>
  <c r="B96" i="150"/>
  <c r="C95" i="150"/>
  <c r="B95" i="150"/>
  <c r="C94" i="150"/>
  <c r="B94" i="150"/>
  <c r="C93" i="150"/>
  <c r="B93" i="150"/>
  <c r="N92" i="150"/>
  <c r="M92" i="150"/>
  <c r="L92" i="150"/>
  <c r="K92" i="150"/>
  <c r="J92" i="150"/>
  <c r="I92" i="150"/>
  <c r="H92" i="150"/>
  <c r="G92" i="150"/>
  <c r="F92" i="150"/>
  <c r="E92" i="150"/>
  <c r="D92" i="150"/>
  <c r="C92" i="150"/>
  <c r="B92" i="150"/>
  <c r="C88" i="150"/>
  <c r="C87" i="150"/>
  <c r="B87" i="150"/>
  <c r="C86" i="150"/>
  <c r="B86" i="150"/>
  <c r="C85" i="150"/>
  <c r="B85" i="150"/>
  <c r="C84" i="150"/>
  <c r="B84" i="150"/>
  <c r="C83" i="150"/>
  <c r="B83" i="150"/>
  <c r="C82" i="150"/>
  <c r="B82" i="150"/>
  <c r="C81" i="150"/>
  <c r="B81" i="150"/>
  <c r="C80" i="150"/>
  <c r="B80" i="150"/>
  <c r="C79" i="150"/>
  <c r="B79" i="150"/>
  <c r="C78" i="150"/>
  <c r="B78" i="150"/>
  <c r="C77" i="150"/>
  <c r="B77" i="150"/>
  <c r="N76" i="150"/>
  <c r="M76" i="150"/>
  <c r="L76" i="150"/>
  <c r="K76" i="150"/>
  <c r="J76" i="150"/>
  <c r="I76" i="150"/>
  <c r="H76" i="150"/>
  <c r="G76" i="150"/>
  <c r="F76" i="150"/>
  <c r="E76" i="150"/>
  <c r="D76" i="150"/>
  <c r="C76" i="150"/>
  <c r="B76" i="150"/>
  <c r="C70" i="150"/>
  <c r="C69" i="150"/>
  <c r="B69" i="150"/>
  <c r="C68" i="150"/>
  <c r="B68" i="150"/>
  <c r="C67" i="150"/>
  <c r="B67" i="150"/>
  <c r="C66" i="150"/>
  <c r="B66" i="150"/>
  <c r="C65" i="150"/>
  <c r="B65" i="150"/>
  <c r="C64" i="150"/>
  <c r="B64" i="150"/>
  <c r="C63" i="150"/>
  <c r="B63" i="150"/>
  <c r="C62" i="150"/>
  <c r="B62" i="150"/>
  <c r="C61" i="150"/>
  <c r="B61" i="150"/>
  <c r="C60" i="150"/>
  <c r="B60" i="150"/>
  <c r="C59" i="150"/>
  <c r="B59" i="150"/>
  <c r="N58" i="150"/>
  <c r="M58" i="150"/>
  <c r="L58" i="150"/>
  <c r="K58" i="150"/>
  <c r="J58" i="150"/>
  <c r="I58" i="150"/>
  <c r="H58" i="150"/>
  <c r="G58" i="150"/>
  <c r="F58" i="150"/>
  <c r="E58" i="150"/>
  <c r="D58" i="150"/>
  <c r="C58" i="150"/>
  <c r="B58" i="150"/>
  <c r="C54" i="150"/>
  <c r="C53" i="150"/>
  <c r="B53" i="150"/>
  <c r="C52" i="150"/>
  <c r="B52" i="150"/>
  <c r="C51" i="150"/>
  <c r="B51" i="150"/>
  <c r="C50" i="150"/>
  <c r="B50" i="150"/>
  <c r="C49" i="150"/>
  <c r="B49" i="150"/>
  <c r="C48" i="150"/>
  <c r="B48" i="150"/>
  <c r="C47" i="150"/>
  <c r="B47" i="150"/>
  <c r="C46" i="150"/>
  <c r="B46" i="150"/>
  <c r="C45" i="150"/>
  <c r="B45" i="150"/>
  <c r="C44" i="150"/>
  <c r="B44" i="150"/>
  <c r="C43" i="150"/>
  <c r="B43" i="150"/>
  <c r="N42" i="150"/>
  <c r="M42" i="150"/>
  <c r="L42" i="150"/>
  <c r="K42" i="150"/>
  <c r="J42" i="150"/>
  <c r="I42" i="150"/>
  <c r="H42" i="150"/>
  <c r="G42" i="150"/>
  <c r="F42" i="150"/>
  <c r="E42" i="150"/>
  <c r="D42" i="150"/>
  <c r="C42" i="150"/>
  <c r="B42" i="150"/>
  <c r="B36" i="150"/>
  <c r="N35" i="150"/>
  <c r="M35" i="150"/>
  <c r="L35" i="150"/>
  <c r="K35" i="150"/>
  <c r="J35" i="150"/>
  <c r="I35" i="150"/>
  <c r="H35" i="150"/>
  <c r="G35" i="150"/>
  <c r="F35" i="150"/>
  <c r="E35" i="150"/>
  <c r="D35" i="150"/>
  <c r="C35" i="150"/>
  <c r="B35" i="150"/>
  <c r="I31" i="150"/>
  <c r="H31" i="150"/>
  <c r="G31" i="150"/>
  <c r="E31" i="150"/>
  <c r="D31" i="150"/>
  <c r="C31" i="150"/>
  <c r="B31" i="150"/>
  <c r="A31" i="150"/>
  <c r="D30" i="150"/>
  <c r="C30" i="150"/>
  <c r="B30" i="150"/>
  <c r="D29" i="150"/>
  <c r="C29" i="150"/>
  <c r="B29" i="150"/>
  <c r="D28" i="150"/>
  <c r="C28" i="150"/>
  <c r="B28" i="150"/>
  <c r="D27" i="150"/>
  <c r="C27" i="150"/>
  <c r="B27" i="150"/>
  <c r="D26" i="150"/>
  <c r="C26" i="150"/>
  <c r="B26" i="150"/>
  <c r="D25" i="150"/>
  <c r="C25" i="150"/>
  <c r="B25" i="150"/>
  <c r="D24" i="150"/>
  <c r="C24" i="150"/>
  <c r="B24" i="150"/>
  <c r="D23" i="150"/>
  <c r="C23" i="150"/>
  <c r="B23" i="150"/>
  <c r="D22" i="150"/>
  <c r="C22" i="150"/>
  <c r="B22" i="150"/>
  <c r="D21" i="150"/>
  <c r="C21" i="150"/>
  <c r="B21" i="150"/>
  <c r="D20" i="150"/>
  <c r="C20" i="150"/>
  <c r="C19" i="150"/>
  <c r="B19" i="150"/>
  <c r="C15" i="150"/>
  <c r="B15" i="150"/>
  <c r="N14" i="150"/>
  <c r="M14" i="150"/>
  <c r="L14" i="150"/>
  <c r="K14" i="150"/>
  <c r="J14" i="150"/>
  <c r="I14" i="150"/>
  <c r="H14" i="150"/>
  <c r="G14" i="150"/>
  <c r="F14" i="150"/>
  <c r="E14" i="150"/>
  <c r="D14" i="150"/>
  <c r="C14" i="150"/>
  <c r="B14" i="150"/>
  <c r="A1" i="150"/>
  <c r="B366" i="149"/>
  <c r="B365" i="149"/>
  <c r="B364" i="149"/>
  <c r="B363" i="149"/>
  <c r="B362" i="149"/>
  <c r="B361" i="149"/>
  <c r="B360" i="149"/>
  <c r="B359" i="149"/>
  <c r="B358" i="149"/>
  <c r="B357" i="149"/>
  <c r="B356" i="149"/>
  <c r="N355" i="149"/>
  <c r="M355" i="149"/>
  <c r="L355" i="149"/>
  <c r="K355" i="149"/>
  <c r="J355" i="149"/>
  <c r="I355" i="149"/>
  <c r="H355" i="149"/>
  <c r="G355" i="149"/>
  <c r="F355" i="149"/>
  <c r="E355" i="149"/>
  <c r="D355" i="149"/>
  <c r="C355" i="149"/>
  <c r="B355" i="149"/>
  <c r="B350" i="149"/>
  <c r="B349" i="149"/>
  <c r="B348" i="149"/>
  <c r="B347" i="149"/>
  <c r="B346" i="149"/>
  <c r="B345" i="149"/>
  <c r="B344" i="149"/>
  <c r="B343" i="149"/>
  <c r="B342" i="149"/>
  <c r="B341" i="149"/>
  <c r="B340" i="149"/>
  <c r="N339" i="149"/>
  <c r="M339" i="149"/>
  <c r="L339" i="149"/>
  <c r="K339" i="149"/>
  <c r="J339" i="149"/>
  <c r="I339" i="149"/>
  <c r="H339" i="149"/>
  <c r="G339" i="149"/>
  <c r="F339" i="149"/>
  <c r="E339" i="149"/>
  <c r="D339" i="149"/>
  <c r="C339" i="149"/>
  <c r="B339" i="149"/>
  <c r="B329" i="149"/>
  <c r="B328" i="149"/>
  <c r="B327" i="149"/>
  <c r="B326" i="149"/>
  <c r="B325" i="149"/>
  <c r="B324" i="149"/>
  <c r="B323" i="149"/>
  <c r="B322" i="149"/>
  <c r="B321" i="149"/>
  <c r="B320" i="149"/>
  <c r="B319" i="149"/>
  <c r="N318" i="149"/>
  <c r="M318" i="149"/>
  <c r="L318" i="149"/>
  <c r="K318" i="149"/>
  <c r="J318" i="149"/>
  <c r="I318" i="149"/>
  <c r="H318" i="149"/>
  <c r="G318" i="149"/>
  <c r="F318" i="149"/>
  <c r="E318" i="149"/>
  <c r="D318" i="149"/>
  <c r="C318" i="149"/>
  <c r="B318" i="149"/>
  <c r="B313" i="149"/>
  <c r="B312" i="149"/>
  <c r="B311" i="149"/>
  <c r="B310" i="149"/>
  <c r="B309" i="149"/>
  <c r="B308" i="149"/>
  <c r="B307" i="149"/>
  <c r="B306" i="149"/>
  <c r="B305" i="149"/>
  <c r="B304" i="149"/>
  <c r="B303" i="149"/>
  <c r="N302" i="149"/>
  <c r="M302" i="149"/>
  <c r="L302" i="149"/>
  <c r="K302" i="149"/>
  <c r="J302" i="149"/>
  <c r="I302" i="149"/>
  <c r="H302" i="149"/>
  <c r="G302" i="149"/>
  <c r="F302" i="149"/>
  <c r="E302" i="149"/>
  <c r="D302" i="149"/>
  <c r="C302" i="149"/>
  <c r="B302" i="149"/>
  <c r="N293" i="149"/>
  <c r="M293" i="149"/>
  <c r="L293" i="149"/>
  <c r="K293" i="149"/>
  <c r="J293" i="149"/>
  <c r="I293" i="149"/>
  <c r="H293" i="149"/>
  <c r="G293" i="149"/>
  <c r="F293" i="149"/>
  <c r="E293" i="149"/>
  <c r="D293" i="149"/>
  <c r="C293" i="149"/>
  <c r="C290" i="149"/>
  <c r="N289" i="149"/>
  <c r="M289" i="149"/>
  <c r="L289" i="149"/>
  <c r="K289" i="149"/>
  <c r="J289" i="149"/>
  <c r="I289" i="149"/>
  <c r="H289" i="149"/>
  <c r="G289" i="149"/>
  <c r="F289" i="149"/>
  <c r="E289" i="149"/>
  <c r="D289" i="149"/>
  <c r="C289" i="149"/>
  <c r="C281" i="149"/>
  <c r="C280" i="149"/>
  <c r="N278" i="149"/>
  <c r="M278" i="149"/>
  <c r="L278" i="149"/>
  <c r="K278" i="149"/>
  <c r="J278" i="149"/>
  <c r="I278" i="149"/>
  <c r="H278" i="149"/>
  <c r="G278" i="149"/>
  <c r="F278" i="149"/>
  <c r="E278" i="149"/>
  <c r="D278" i="149"/>
  <c r="C278" i="149"/>
  <c r="B273" i="149"/>
  <c r="B272" i="149"/>
  <c r="B271" i="149"/>
  <c r="B270" i="149"/>
  <c r="B269" i="149"/>
  <c r="B268" i="149"/>
  <c r="B267" i="149"/>
  <c r="B266" i="149"/>
  <c r="B265" i="149"/>
  <c r="B264" i="149"/>
  <c r="B263" i="149"/>
  <c r="N262" i="149"/>
  <c r="M262" i="149"/>
  <c r="L262" i="149"/>
  <c r="K262" i="149"/>
  <c r="J262" i="149"/>
  <c r="I262" i="149"/>
  <c r="H262" i="149"/>
  <c r="G262" i="149"/>
  <c r="F262" i="149"/>
  <c r="E262" i="149"/>
  <c r="D262" i="149"/>
  <c r="C262" i="149"/>
  <c r="B262" i="149"/>
  <c r="B257" i="149"/>
  <c r="B256" i="149"/>
  <c r="B255" i="149"/>
  <c r="B254" i="149"/>
  <c r="B253" i="149"/>
  <c r="B252" i="149"/>
  <c r="B251" i="149"/>
  <c r="B250" i="149"/>
  <c r="B249" i="149"/>
  <c r="B248" i="149"/>
  <c r="B247" i="149"/>
  <c r="N246" i="149"/>
  <c r="M246" i="149"/>
  <c r="L246" i="149"/>
  <c r="K246" i="149"/>
  <c r="J246" i="149"/>
  <c r="I246" i="149"/>
  <c r="H246" i="149"/>
  <c r="G246" i="149"/>
  <c r="F246" i="149"/>
  <c r="E246" i="149"/>
  <c r="D246" i="149"/>
  <c r="C246" i="149"/>
  <c r="B246" i="149"/>
  <c r="B239" i="149"/>
  <c r="B238" i="149"/>
  <c r="B237" i="149"/>
  <c r="B236" i="149"/>
  <c r="B235" i="149"/>
  <c r="B234" i="149"/>
  <c r="B233" i="149"/>
  <c r="B232" i="149"/>
  <c r="B231" i="149"/>
  <c r="B230" i="149"/>
  <c r="B229" i="149"/>
  <c r="N228" i="149"/>
  <c r="M228" i="149"/>
  <c r="L228" i="149"/>
  <c r="K228" i="149"/>
  <c r="J228" i="149"/>
  <c r="I228" i="149"/>
  <c r="H228" i="149"/>
  <c r="G228" i="149"/>
  <c r="F228" i="149"/>
  <c r="E228" i="149"/>
  <c r="D228" i="149"/>
  <c r="C228" i="149"/>
  <c r="B228" i="149"/>
  <c r="B223" i="149"/>
  <c r="B222" i="149"/>
  <c r="B221" i="149"/>
  <c r="B220" i="149"/>
  <c r="B219" i="149"/>
  <c r="B218" i="149"/>
  <c r="B217" i="149"/>
  <c r="B216" i="149"/>
  <c r="B215" i="149"/>
  <c r="B214" i="149"/>
  <c r="B213" i="149"/>
  <c r="N212" i="149"/>
  <c r="M212" i="149"/>
  <c r="L212" i="149"/>
  <c r="K212" i="149"/>
  <c r="J212" i="149"/>
  <c r="I212" i="149"/>
  <c r="H212" i="149"/>
  <c r="G212" i="149"/>
  <c r="F212" i="149"/>
  <c r="E212" i="149"/>
  <c r="D212" i="149"/>
  <c r="C212" i="149"/>
  <c r="B212" i="149"/>
  <c r="C206" i="149"/>
  <c r="C205" i="149"/>
  <c r="B205" i="149"/>
  <c r="C204" i="149"/>
  <c r="B204" i="149"/>
  <c r="C203" i="149"/>
  <c r="B203" i="149"/>
  <c r="C202" i="149"/>
  <c r="B202" i="149"/>
  <c r="C201" i="149"/>
  <c r="B201" i="149"/>
  <c r="C200" i="149"/>
  <c r="B200" i="149"/>
  <c r="C199" i="149"/>
  <c r="B199" i="149"/>
  <c r="C198" i="149"/>
  <c r="B198" i="149"/>
  <c r="C197" i="149"/>
  <c r="B197" i="149"/>
  <c r="C196" i="149"/>
  <c r="B196" i="149"/>
  <c r="C195" i="149"/>
  <c r="B195" i="149"/>
  <c r="N194" i="149"/>
  <c r="M194" i="149"/>
  <c r="L194" i="149"/>
  <c r="K194" i="149"/>
  <c r="J194" i="149"/>
  <c r="I194" i="149"/>
  <c r="H194" i="149"/>
  <c r="G194" i="149"/>
  <c r="F194" i="149"/>
  <c r="E194" i="149"/>
  <c r="D194" i="149"/>
  <c r="C194" i="149"/>
  <c r="B194" i="149"/>
  <c r="C190" i="149"/>
  <c r="C189" i="149"/>
  <c r="B189" i="149"/>
  <c r="C188" i="149"/>
  <c r="B188" i="149"/>
  <c r="C187" i="149"/>
  <c r="B187" i="149"/>
  <c r="C186" i="149"/>
  <c r="B186" i="149"/>
  <c r="C185" i="149"/>
  <c r="B185" i="149"/>
  <c r="C184" i="149"/>
  <c r="B184" i="149"/>
  <c r="C183" i="149"/>
  <c r="B183" i="149"/>
  <c r="C182" i="149"/>
  <c r="B182" i="149"/>
  <c r="C181" i="149"/>
  <c r="B181" i="149"/>
  <c r="C180" i="149"/>
  <c r="B180" i="149"/>
  <c r="C179" i="149"/>
  <c r="B179" i="149"/>
  <c r="N178" i="149"/>
  <c r="M178" i="149"/>
  <c r="L178" i="149"/>
  <c r="K178" i="149"/>
  <c r="J178" i="149"/>
  <c r="I178" i="149"/>
  <c r="H178" i="149"/>
  <c r="G178" i="149"/>
  <c r="F178" i="149"/>
  <c r="E178" i="149"/>
  <c r="D178" i="149"/>
  <c r="C178" i="149"/>
  <c r="B178" i="149"/>
  <c r="C172" i="149"/>
  <c r="C171" i="149"/>
  <c r="B171" i="149"/>
  <c r="C170" i="149"/>
  <c r="B170" i="149"/>
  <c r="C169" i="149"/>
  <c r="B169" i="149"/>
  <c r="C168" i="149"/>
  <c r="B168" i="149"/>
  <c r="C167" i="149"/>
  <c r="B167" i="149"/>
  <c r="C166" i="149"/>
  <c r="B166" i="149"/>
  <c r="C165" i="149"/>
  <c r="B165" i="149"/>
  <c r="C164" i="149"/>
  <c r="B164" i="149"/>
  <c r="C163" i="149"/>
  <c r="B163" i="149"/>
  <c r="C162" i="149"/>
  <c r="B162" i="149"/>
  <c r="C161" i="149"/>
  <c r="B161" i="149"/>
  <c r="N160" i="149"/>
  <c r="M160" i="149"/>
  <c r="L160" i="149"/>
  <c r="K160" i="149"/>
  <c r="J160" i="149"/>
  <c r="I160" i="149"/>
  <c r="H160" i="149"/>
  <c r="G160" i="149"/>
  <c r="F160" i="149"/>
  <c r="E160" i="149"/>
  <c r="D160" i="149"/>
  <c r="C160" i="149"/>
  <c r="B160" i="149"/>
  <c r="C156" i="149"/>
  <c r="C155" i="149"/>
  <c r="B155" i="149"/>
  <c r="C154" i="149"/>
  <c r="B154" i="149"/>
  <c r="C153" i="149"/>
  <c r="B153" i="149"/>
  <c r="C152" i="149"/>
  <c r="B152" i="149"/>
  <c r="C151" i="149"/>
  <c r="B151" i="149"/>
  <c r="C150" i="149"/>
  <c r="B150" i="149"/>
  <c r="C149" i="149"/>
  <c r="B149" i="149"/>
  <c r="C148" i="149"/>
  <c r="B148" i="149"/>
  <c r="C147" i="149"/>
  <c r="B147" i="149"/>
  <c r="C146" i="149"/>
  <c r="B146" i="149"/>
  <c r="C145" i="149"/>
  <c r="B145" i="149"/>
  <c r="N144" i="149"/>
  <c r="M144" i="149"/>
  <c r="L144" i="149"/>
  <c r="K144" i="149"/>
  <c r="J144" i="149"/>
  <c r="I144" i="149"/>
  <c r="H144" i="149"/>
  <c r="G144" i="149"/>
  <c r="F144" i="149"/>
  <c r="E144" i="149"/>
  <c r="D144" i="149"/>
  <c r="C144" i="149"/>
  <c r="B144" i="149"/>
  <c r="B137" i="149"/>
  <c r="B136" i="149"/>
  <c r="B135" i="149"/>
  <c r="B134" i="149"/>
  <c r="B133" i="149"/>
  <c r="B132" i="149"/>
  <c r="B131" i="149"/>
  <c r="B130" i="149"/>
  <c r="B129" i="149"/>
  <c r="B128" i="149"/>
  <c r="B127" i="149"/>
  <c r="N126" i="149"/>
  <c r="M126" i="149"/>
  <c r="L126" i="149"/>
  <c r="K126" i="149"/>
  <c r="J126" i="149"/>
  <c r="I126" i="149"/>
  <c r="H126" i="149"/>
  <c r="G126" i="149"/>
  <c r="F126" i="149"/>
  <c r="E126" i="149"/>
  <c r="D126" i="149"/>
  <c r="C126" i="149"/>
  <c r="B126" i="149"/>
  <c r="B121" i="149"/>
  <c r="B120" i="149"/>
  <c r="B119" i="149"/>
  <c r="B118" i="149"/>
  <c r="B117" i="149"/>
  <c r="B116" i="149"/>
  <c r="B115" i="149"/>
  <c r="B114" i="149"/>
  <c r="B113" i="149"/>
  <c r="B112" i="149"/>
  <c r="B111" i="149"/>
  <c r="N110" i="149"/>
  <c r="M110" i="149"/>
  <c r="L110" i="149"/>
  <c r="K110" i="149"/>
  <c r="J110" i="149"/>
  <c r="I110" i="149"/>
  <c r="H110" i="149"/>
  <c r="G110" i="149"/>
  <c r="F110" i="149"/>
  <c r="E110" i="149"/>
  <c r="D110" i="149"/>
  <c r="C110" i="149"/>
  <c r="B110" i="149"/>
  <c r="C104" i="149"/>
  <c r="C103" i="149"/>
  <c r="B103" i="149"/>
  <c r="C102" i="149"/>
  <c r="B102" i="149"/>
  <c r="C101" i="149"/>
  <c r="B101" i="149"/>
  <c r="C100" i="149"/>
  <c r="B100" i="149"/>
  <c r="C99" i="149"/>
  <c r="B99" i="149"/>
  <c r="C98" i="149"/>
  <c r="B98" i="149"/>
  <c r="C97" i="149"/>
  <c r="B97" i="149"/>
  <c r="C96" i="149"/>
  <c r="B96" i="149"/>
  <c r="C95" i="149"/>
  <c r="B95" i="149"/>
  <c r="C94" i="149"/>
  <c r="B94" i="149"/>
  <c r="C93" i="149"/>
  <c r="B93" i="149"/>
  <c r="N92" i="149"/>
  <c r="M92" i="149"/>
  <c r="L92" i="149"/>
  <c r="K92" i="149"/>
  <c r="J92" i="149"/>
  <c r="I92" i="149"/>
  <c r="H92" i="149"/>
  <c r="G92" i="149"/>
  <c r="F92" i="149"/>
  <c r="E92" i="149"/>
  <c r="D92" i="149"/>
  <c r="C92" i="149"/>
  <c r="B92" i="149"/>
  <c r="C88" i="149"/>
  <c r="C87" i="149"/>
  <c r="B87" i="149"/>
  <c r="C86" i="149"/>
  <c r="B86" i="149"/>
  <c r="C85" i="149"/>
  <c r="B85" i="149"/>
  <c r="C84" i="149"/>
  <c r="B84" i="149"/>
  <c r="C83" i="149"/>
  <c r="B83" i="149"/>
  <c r="C82" i="149"/>
  <c r="B82" i="149"/>
  <c r="C81" i="149"/>
  <c r="B81" i="149"/>
  <c r="C80" i="149"/>
  <c r="B80" i="149"/>
  <c r="C79" i="149"/>
  <c r="B79" i="149"/>
  <c r="C78" i="149"/>
  <c r="B78" i="149"/>
  <c r="C77" i="149"/>
  <c r="B77" i="149"/>
  <c r="N76" i="149"/>
  <c r="M76" i="149"/>
  <c r="L76" i="149"/>
  <c r="K76" i="149"/>
  <c r="J76" i="149"/>
  <c r="I76" i="149"/>
  <c r="H76" i="149"/>
  <c r="G76" i="149"/>
  <c r="F76" i="149"/>
  <c r="E76" i="149"/>
  <c r="D76" i="149"/>
  <c r="C76" i="149"/>
  <c r="B76" i="149"/>
  <c r="C70" i="149"/>
  <c r="C69" i="149"/>
  <c r="B69" i="149"/>
  <c r="C68" i="149"/>
  <c r="B68" i="149"/>
  <c r="C67" i="149"/>
  <c r="B67" i="149"/>
  <c r="C66" i="149"/>
  <c r="B66" i="149"/>
  <c r="C65" i="149"/>
  <c r="B65" i="149"/>
  <c r="C64" i="149"/>
  <c r="B64" i="149"/>
  <c r="C63" i="149"/>
  <c r="B63" i="149"/>
  <c r="C62" i="149"/>
  <c r="B62" i="149"/>
  <c r="C61" i="149"/>
  <c r="B61" i="149"/>
  <c r="C60" i="149"/>
  <c r="B60" i="149"/>
  <c r="C59" i="149"/>
  <c r="B59" i="149"/>
  <c r="N58" i="149"/>
  <c r="M58" i="149"/>
  <c r="L58" i="149"/>
  <c r="K58" i="149"/>
  <c r="J58" i="149"/>
  <c r="I58" i="149"/>
  <c r="H58" i="149"/>
  <c r="G58" i="149"/>
  <c r="F58" i="149"/>
  <c r="E58" i="149"/>
  <c r="D58" i="149"/>
  <c r="C58" i="149"/>
  <c r="B58" i="149"/>
  <c r="C54" i="149"/>
  <c r="C53" i="149"/>
  <c r="B53" i="149"/>
  <c r="C52" i="149"/>
  <c r="B52" i="149"/>
  <c r="C51" i="149"/>
  <c r="B51" i="149"/>
  <c r="C50" i="149"/>
  <c r="B50" i="149"/>
  <c r="C49" i="149"/>
  <c r="B49" i="149"/>
  <c r="C48" i="149"/>
  <c r="B48" i="149"/>
  <c r="C47" i="149"/>
  <c r="B47" i="149"/>
  <c r="C46" i="149"/>
  <c r="B46" i="149"/>
  <c r="C45" i="149"/>
  <c r="B45" i="149"/>
  <c r="C44" i="149"/>
  <c r="B44" i="149"/>
  <c r="C43" i="149"/>
  <c r="B43" i="149"/>
  <c r="N42" i="149"/>
  <c r="M42" i="149"/>
  <c r="L42" i="149"/>
  <c r="K42" i="149"/>
  <c r="J42" i="149"/>
  <c r="I42" i="149"/>
  <c r="H42" i="149"/>
  <c r="G42" i="149"/>
  <c r="F42" i="149"/>
  <c r="E42" i="149"/>
  <c r="D42" i="149"/>
  <c r="C42" i="149"/>
  <c r="B42" i="149"/>
  <c r="B36" i="149"/>
  <c r="N35" i="149"/>
  <c r="M35" i="149"/>
  <c r="L35" i="149"/>
  <c r="K35" i="149"/>
  <c r="J35" i="149"/>
  <c r="I35" i="149"/>
  <c r="H35" i="149"/>
  <c r="G35" i="149"/>
  <c r="F35" i="149"/>
  <c r="E35" i="149"/>
  <c r="D35" i="149"/>
  <c r="C35" i="149"/>
  <c r="B35" i="149"/>
  <c r="I31" i="149"/>
  <c r="H31" i="149"/>
  <c r="G31" i="149"/>
  <c r="E31" i="149"/>
  <c r="D31" i="149"/>
  <c r="C31" i="149"/>
  <c r="B31" i="149"/>
  <c r="A31" i="149"/>
  <c r="D30" i="149"/>
  <c r="C30" i="149"/>
  <c r="B30" i="149"/>
  <c r="D29" i="149"/>
  <c r="C29" i="149"/>
  <c r="B29" i="149"/>
  <c r="D28" i="149"/>
  <c r="C28" i="149"/>
  <c r="B28" i="149"/>
  <c r="D27" i="149"/>
  <c r="C27" i="149"/>
  <c r="B27" i="149"/>
  <c r="D26" i="149"/>
  <c r="C26" i="149"/>
  <c r="B26" i="149"/>
  <c r="D25" i="149"/>
  <c r="C25" i="149"/>
  <c r="B25" i="149"/>
  <c r="D24" i="149"/>
  <c r="C24" i="149"/>
  <c r="B24" i="149"/>
  <c r="D23" i="149"/>
  <c r="C23" i="149"/>
  <c r="B23" i="149"/>
  <c r="D22" i="149"/>
  <c r="C22" i="149"/>
  <c r="B22" i="149"/>
  <c r="D21" i="149"/>
  <c r="C21" i="149"/>
  <c r="B21" i="149"/>
  <c r="D20" i="149"/>
  <c r="C20" i="149"/>
  <c r="C19" i="149"/>
  <c r="B19" i="149"/>
  <c r="C15" i="149"/>
  <c r="B15" i="149"/>
  <c r="N14" i="149"/>
  <c r="M14" i="149"/>
  <c r="L14" i="149"/>
  <c r="K14" i="149"/>
  <c r="J14" i="149"/>
  <c r="I14" i="149"/>
  <c r="H14" i="149"/>
  <c r="G14" i="149"/>
  <c r="F14" i="149"/>
  <c r="E14" i="149"/>
  <c r="D14" i="149"/>
  <c r="C14" i="149"/>
  <c r="B14" i="149"/>
  <c r="A1" i="149"/>
  <c r="B366" i="148"/>
  <c r="B365" i="148"/>
  <c r="B364" i="148"/>
  <c r="B363" i="148"/>
  <c r="B362" i="148"/>
  <c r="B361" i="148"/>
  <c r="B360" i="148"/>
  <c r="B359" i="148"/>
  <c r="B358" i="148"/>
  <c r="B357" i="148"/>
  <c r="B356" i="148"/>
  <c r="N355" i="148"/>
  <c r="M355" i="148"/>
  <c r="L355" i="148"/>
  <c r="K355" i="148"/>
  <c r="J355" i="148"/>
  <c r="I355" i="148"/>
  <c r="H355" i="148"/>
  <c r="G355" i="148"/>
  <c r="F355" i="148"/>
  <c r="E355" i="148"/>
  <c r="D355" i="148"/>
  <c r="C355" i="148"/>
  <c r="B355" i="148"/>
  <c r="B350" i="148"/>
  <c r="B349" i="148"/>
  <c r="B348" i="148"/>
  <c r="B347" i="148"/>
  <c r="B346" i="148"/>
  <c r="B345" i="148"/>
  <c r="B344" i="148"/>
  <c r="B343" i="148"/>
  <c r="B342" i="148"/>
  <c r="B341" i="148"/>
  <c r="B340" i="148"/>
  <c r="N339" i="148"/>
  <c r="M339" i="148"/>
  <c r="L339" i="148"/>
  <c r="K339" i="148"/>
  <c r="J339" i="148"/>
  <c r="I339" i="148"/>
  <c r="H339" i="148"/>
  <c r="G339" i="148"/>
  <c r="F339" i="148"/>
  <c r="E339" i="148"/>
  <c r="D339" i="148"/>
  <c r="C339" i="148"/>
  <c r="B339" i="148"/>
  <c r="B329" i="148"/>
  <c r="B328" i="148"/>
  <c r="B327" i="148"/>
  <c r="B326" i="148"/>
  <c r="B325" i="148"/>
  <c r="B324" i="148"/>
  <c r="B323" i="148"/>
  <c r="B322" i="148"/>
  <c r="B321" i="148"/>
  <c r="B320" i="148"/>
  <c r="B319" i="148"/>
  <c r="N318" i="148"/>
  <c r="M318" i="148"/>
  <c r="L318" i="148"/>
  <c r="K318" i="148"/>
  <c r="J318" i="148"/>
  <c r="I318" i="148"/>
  <c r="H318" i="148"/>
  <c r="G318" i="148"/>
  <c r="F318" i="148"/>
  <c r="E318" i="148"/>
  <c r="D318" i="148"/>
  <c r="C318" i="148"/>
  <c r="B318" i="148"/>
  <c r="B313" i="148"/>
  <c r="B312" i="148"/>
  <c r="B311" i="148"/>
  <c r="B310" i="148"/>
  <c r="B309" i="148"/>
  <c r="B308" i="148"/>
  <c r="B307" i="148"/>
  <c r="B306" i="148"/>
  <c r="B305" i="148"/>
  <c r="B304" i="148"/>
  <c r="B303" i="148"/>
  <c r="N302" i="148"/>
  <c r="M302" i="148"/>
  <c r="L302" i="148"/>
  <c r="K302" i="148"/>
  <c r="J302" i="148"/>
  <c r="I302" i="148"/>
  <c r="H302" i="148"/>
  <c r="G302" i="148"/>
  <c r="F302" i="148"/>
  <c r="E302" i="148"/>
  <c r="D302" i="148"/>
  <c r="C302" i="148"/>
  <c r="B302" i="148"/>
  <c r="N293" i="148"/>
  <c r="M293" i="148"/>
  <c r="L293" i="148"/>
  <c r="K293" i="148"/>
  <c r="J293" i="148"/>
  <c r="I293" i="148"/>
  <c r="H293" i="148"/>
  <c r="G293" i="148"/>
  <c r="F293" i="148"/>
  <c r="E293" i="148"/>
  <c r="D293" i="148"/>
  <c r="C293" i="148"/>
  <c r="C290" i="148"/>
  <c r="N289" i="148"/>
  <c r="M289" i="148"/>
  <c r="L289" i="148"/>
  <c r="K289" i="148"/>
  <c r="J289" i="148"/>
  <c r="I289" i="148"/>
  <c r="H289" i="148"/>
  <c r="G289" i="148"/>
  <c r="F289" i="148"/>
  <c r="E289" i="148"/>
  <c r="D289" i="148"/>
  <c r="C289" i="148"/>
  <c r="C281" i="148"/>
  <c r="C280" i="148"/>
  <c r="N278" i="148"/>
  <c r="M278" i="148"/>
  <c r="L278" i="148"/>
  <c r="K278" i="148"/>
  <c r="J278" i="148"/>
  <c r="I278" i="148"/>
  <c r="H278" i="148"/>
  <c r="G278" i="148"/>
  <c r="F278" i="148"/>
  <c r="E278" i="148"/>
  <c r="D278" i="148"/>
  <c r="C278" i="148"/>
  <c r="B273" i="148"/>
  <c r="B272" i="148"/>
  <c r="B271" i="148"/>
  <c r="B270" i="148"/>
  <c r="B269" i="148"/>
  <c r="B268" i="148"/>
  <c r="B267" i="148"/>
  <c r="B266" i="148"/>
  <c r="B265" i="148"/>
  <c r="B264" i="148"/>
  <c r="B263" i="148"/>
  <c r="N262" i="148"/>
  <c r="M262" i="148"/>
  <c r="L262" i="148"/>
  <c r="K262" i="148"/>
  <c r="J262" i="148"/>
  <c r="I262" i="148"/>
  <c r="H262" i="148"/>
  <c r="G262" i="148"/>
  <c r="F262" i="148"/>
  <c r="E262" i="148"/>
  <c r="D262" i="148"/>
  <c r="C262" i="148"/>
  <c r="B262" i="148"/>
  <c r="B257" i="148"/>
  <c r="B256" i="148"/>
  <c r="B255" i="148"/>
  <c r="B254" i="148"/>
  <c r="B253" i="148"/>
  <c r="B252" i="148"/>
  <c r="B251" i="148"/>
  <c r="B250" i="148"/>
  <c r="B249" i="148"/>
  <c r="B248" i="148"/>
  <c r="B247" i="148"/>
  <c r="N246" i="148"/>
  <c r="M246" i="148"/>
  <c r="L246" i="148"/>
  <c r="K246" i="148"/>
  <c r="J246" i="148"/>
  <c r="I246" i="148"/>
  <c r="H246" i="148"/>
  <c r="G246" i="148"/>
  <c r="F246" i="148"/>
  <c r="E246" i="148"/>
  <c r="D246" i="148"/>
  <c r="C246" i="148"/>
  <c r="B246" i="148"/>
  <c r="B239" i="148"/>
  <c r="B238" i="148"/>
  <c r="B237" i="148"/>
  <c r="B236" i="148"/>
  <c r="B235" i="148"/>
  <c r="B234" i="148"/>
  <c r="B233" i="148"/>
  <c r="B232" i="148"/>
  <c r="B231" i="148"/>
  <c r="B230" i="148"/>
  <c r="B229" i="148"/>
  <c r="N228" i="148"/>
  <c r="M228" i="148"/>
  <c r="L228" i="148"/>
  <c r="K228" i="148"/>
  <c r="J228" i="148"/>
  <c r="I228" i="148"/>
  <c r="H228" i="148"/>
  <c r="G228" i="148"/>
  <c r="F228" i="148"/>
  <c r="E228" i="148"/>
  <c r="D228" i="148"/>
  <c r="C228" i="148"/>
  <c r="B228" i="148"/>
  <c r="B223" i="148"/>
  <c r="B222" i="148"/>
  <c r="B221" i="148"/>
  <c r="B220" i="148"/>
  <c r="B219" i="148"/>
  <c r="B218" i="148"/>
  <c r="B217" i="148"/>
  <c r="B216" i="148"/>
  <c r="B215" i="148"/>
  <c r="B214" i="148"/>
  <c r="B213" i="148"/>
  <c r="N212" i="148"/>
  <c r="M212" i="148"/>
  <c r="L212" i="148"/>
  <c r="K212" i="148"/>
  <c r="J212" i="148"/>
  <c r="I212" i="148"/>
  <c r="H212" i="148"/>
  <c r="G212" i="148"/>
  <c r="F212" i="148"/>
  <c r="E212" i="148"/>
  <c r="D212" i="148"/>
  <c r="C212" i="148"/>
  <c r="B212" i="148"/>
  <c r="C206" i="148"/>
  <c r="C205" i="148"/>
  <c r="B205" i="148"/>
  <c r="C204" i="148"/>
  <c r="B204" i="148"/>
  <c r="C203" i="148"/>
  <c r="B203" i="148"/>
  <c r="C202" i="148"/>
  <c r="B202" i="148"/>
  <c r="C201" i="148"/>
  <c r="B201" i="148"/>
  <c r="C200" i="148"/>
  <c r="B200" i="148"/>
  <c r="C199" i="148"/>
  <c r="B199" i="148"/>
  <c r="C198" i="148"/>
  <c r="B198" i="148"/>
  <c r="C197" i="148"/>
  <c r="B197" i="148"/>
  <c r="C196" i="148"/>
  <c r="B196" i="148"/>
  <c r="C195" i="148"/>
  <c r="B195" i="148"/>
  <c r="N194" i="148"/>
  <c r="M194" i="148"/>
  <c r="L194" i="148"/>
  <c r="K194" i="148"/>
  <c r="J194" i="148"/>
  <c r="I194" i="148"/>
  <c r="H194" i="148"/>
  <c r="G194" i="148"/>
  <c r="F194" i="148"/>
  <c r="E194" i="148"/>
  <c r="D194" i="148"/>
  <c r="C194" i="148"/>
  <c r="B194" i="148"/>
  <c r="C190" i="148"/>
  <c r="C189" i="148"/>
  <c r="B189" i="148"/>
  <c r="C188" i="148"/>
  <c r="B188" i="148"/>
  <c r="C187" i="148"/>
  <c r="B187" i="148"/>
  <c r="C186" i="148"/>
  <c r="B186" i="148"/>
  <c r="C185" i="148"/>
  <c r="B185" i="148"/>
  <c r="C184" i="148"/>
  <c r="B184" i="148"/>
  <c r="C183" i="148"/>
  <c r="B183" i="148"/>
  <c r="C182" i="148"/>
  <c r="B182" i="148"/>
  <c r="C181" i="148"/>
  <c r="B181" i="148"/>
  <c r="C180" i="148"/>
  <c r="B180" i="148"/>
  <c r="C179" i="148"/>
  <c r="B179" i="148"/>
  <c r="N178" i="148"/>
  <c r="M178" i="148"/>
  <c r="L178" i="148"/>
  <c r="K178" i="148"/>
  <c r="J178" i="148"/>
  <c r="I178" i="148"/>
  <c r="H178" i="148"/>
  <c r="G178" i="148"/>
  <c r="F178" i="148"/>
  <c r="E178" i="148"/>
  <c r="D178" i="148"/>
  <c r="C178" i="148"/>
  <c r="B178" i="148"/>
  <c r="C172" i="148"/>
  <c r="C171" i="148"/>
  <c r="B171" i="148"/>
  <c r="C170" i="148"/>
  <c r="B170" i="148"/>
  <c r="C169" i="148"/>
  <c r="B169" i="148"/>
  <c r="C168" i="148"/>
  <c r="B168" i="148"/>
  <c r="C167" i="148"/>
  <c r="B167" i="148"/>
  <c r="C166" i="148"/>
  <c r="B166" i="148"/>
  <c r="C165" i="148"/>
  <c r="B165" i="148"/>
  <c r="C164" i="148"/>
  <c r="B164" i="148"/>
  <c r="C163" i="148"/>
  <c r="B163" i="148"/>
  <c r="C162" i="148"/>
  <c r="B162" i="148"/>
  <c r="C161" i="148"/>
  <c r="B161" i="148"/>
  <c r="N160" i="148"/>
  <c r="M160" i="148"/>
  <c r="L160" i="148"/>
  <c r="K160" i="148"/>
  <c r="J160" i="148"/>
  <c r="I160" i="148"/>
  <c r="H160" i="148"/>
  <c r="G160" i="148"/>
  <c r="F160" i="148"/>
  <c r="E160" i="148"/>
  <c r="D160" i="148"/>
  <c r="C160" i="148"/>
  <c r="B160" i="148"/>
  <c r="C156" i="148"/>
  <c r="C155" i="148"/>
  <c r="B155" i="148"/>
  <c r="C154" i="148"/>
  <c r="B154" i="148"/>
  <c r="C153" i="148"/>
  <c r="B153" i="148"/>
  <c r="C152" i="148"/>
  <c r="B152" i="148"/>
  <c r="C151" i="148"/>
  <c r="B151" i="148"/>
  <c r="C150" i="148"/>
  <c r="B150" i="148"/>
  <c r="C149" i="148"/>
  <c r="B149" i="148"/>
  <c r="C148" i="148"/>
  <c r="B148" i="148"/>
  <c r="C147" i="148"/>
  <c r="B147" i="148"/>
  <c r="C146" i="148"/>
  <c r="B146" i="148"/>
  <c r="C145" i="148"/>
  <c r="B145" i="148"/>
  <c r="N144" i="148"/>
  <c r="M144" i="148"/>
  <c r="L144" i="148"/>
  <c r="K144" i="148"/>
  <c r="J144" i="148"/>
  <c r="I144" i="148"/>
  <c r="H144" i="148"/>
  <c r="G144" i="148"/>
  <c r="F144" i="148"/>
  <c r="E144" i="148"/>
  <c r="D144" i="148"/>
  <c r="C144" i="148"/>
  <c r="B144" i="148"/>
  <c r="B137" i="148"/>
  <c r="B136" i="148"/>
  <c r="B135" i="148"/>
  <c r="B134" i="148"/>
  <c r="B133" i="148"/>
  <c r="B132" i="148"/>
  <c r="B131" i="148"/>
  <c r="B130" i="148"/>
  <c r="B129" i="148"/>
  <c r="B128" i="148"/>
  <c r="B127" i="148"/>
  <c r="N126" i="148"/>
  <c r="M126" i="148"/>
  <c r="L126" i="148"/>
  <c r="K126" i="148"/>
  <c r="J126" i="148"/>
  <c r="I126" i="148"/>
  <c r="H126" i="148"/>
  <c r="G126" i="148"/>
  <c r="F126" i="148"/>
  <c r="E126" i="148"/>
  <c r="D126" i="148"/>
  <c r="C126" i="148"/>
  <c r="B126" i="148"/>
  <c r="B121" i="148"/>
  <c r="B120" i="148"/>
  <c r="B119" i="148"/>
  <c r="B118" i="148"/>
  <c r="B117" i="148"/>
  <c r="B116" i="148"/>
  <c r="B115" i="148"/>
  <c r="B114" i="148"/>
  <c r="B113" i="148"/>
  <c r="B112" i="148"/>
  <c r="B111" i="148"/>
  <c r="N110" i="148"/>
  <c r="M110" i="148"/>
  <c r="L110" i="148"/>
  <c r="K110" i="148"/>
  <c r="J110" i="148"/>
  <c r="I110" i="148"/>
  <c r="H110" i="148"/>
  <c r="G110" i="148"/>
  <c r="F110" i="148"/>
  <c r="E110" i="148"/>
  <c r="D110" i="148"/>
  <c r="C110" i="148"/>
  <c r="B110" i="148"/>
  <c r="C104" i="148"/>
  <c r="C103" i="148"/>
  <c r="B103" i="148"/>
  <c r="C102" i="148"/>
  <c r="B102" i="148"/>
  <c r="C101" i="148"/>
  <c r="B101" i="148"/>
  <c r="C100" i="148"/>
  <c r="B100" i="148"/>
  <c r="C99" i="148"/>
  <c r="B99" i="148"/>
  <c r="C98" i="148"/>
  <c r="B98" i="148"/>
  <c r="C97" i="148"/>
  <c r="B97" i="148"/>
  <c r="C96" i="148"/>
  <c r="B96" i="148"/>
  <c r="C95" i="148"/>
  <c r="B95" i="148"/>
  <c r="C94" i="148"/>
  <c r="B94" i="148"/>
  <c r="C93" i="148"/>
  <c r="B93" i="148"/>
  <c r="N92" i="148"/>
  <c r="M92" i="148"/>
  <c r="L92" i="148"/>
  <c r="K92" i="148"/>
  <c r="J92" i="148"/>
  <c r="I92" i="148"/>
  <c r="H92" i="148"/>
  <c r="G92" i="148"/>
  <c r="F92" i="148"/>
  <c r="E92" i="148"/>
  <c r="D92" i="148"/>
  <c r="C92" i="148"/>
  <c r="B92" i="148"/>
  <c r="C88" i="148"/>
  <c r="C87" i="148"/>
  <c r="B87" i="148"/>
  <c r="C86" i="148"/>
  <c r="B86" i="148"/>
  <c r="C85" i="148"/>
  <c r="B85" i="148"/>
  <c r="C84" i="148"/>
  <c r="B84" i="148"/>
  <c r="C83" i="148"/>
  <c r="B83" i="148"/>
  <c r="C82" i="148"/>
  <c r="B82" i="148"/>
  <c r="C81" i="148"/>
  <c r="B81" i="148"/>
  <c r="C80" i="148"/>
  <c r="B80" i="148"/>
  <c r="C79" i="148"/>
  <c r="B79" i="148"/>
  <c r="C78" i="148"/>
  <c r="B78" i="148"/>
  <c r="C77" i="148"/>
  <c r="B77" i="148"/>
  <c r="N76" i="148"/>
  <c r="M76" i="148"/>
  <c r="L76" i="148"/>
  <c r="K76" i="148"/>
  <c r="J76" i="148"/>
  <c r="I76" i="148"/>
  <c r="H76" i="148"/>
  <c r="G76" i="148"/>
  <c r="F76" i="148"/>
  <c r="E76" i="148"/>
  <c r="D76" i="148"/>
  <c r="C76" i="148"/>
  <c r="B76" i="148"/>
  <c r="C70" i="148"/>
  <c r="C69" i="148"/>
  <c r="B69" i="148"/>
  <c r="C68" i="148"/>
  <c r="B68" i="148"/>
  <c r="C67" i="148"/>
  <c r="B67" i="148"/>
  <c r="C66" i="148"/>
  <c r="B66" i="148"/>
  <c r="C65" i="148"/>
  <c r="B65" i="148"/>
  <c r="C64" i="148"/>
  <c r="B64" i="148"/>
  <c r="C63" i="148"/>
  <c r="B63" i="148"/>
  <c r="C62" i="148"/>
  <c r="B62" i="148"/>
  <c r="C61" i="148"/>
  <c r="B61" i="148"/>
  <c r="C60" i="148"/>
  <c r="B60" i="148"/>
  <c r="C59" i="148"/>
  <c r="B59" i="148"/>
  <c r="N58" i="148"/>
  <c r="M58" i="148"/>
  <c r="L58" i="148"/>
  <c r="K58" i="148"/>
  <c r="J58" i="148"/>
  <c r="I58" i="148"/>
  <c r="H58" i="148"/>
  <c r="G58" i="148"/>
  <c r="F58" i="148"/>
  <c r="E58" i="148"/>
  <c r="D58" i="148"/>
  <c r="C58" i="148"/>
  <c r="B58" i="148"/>
  <c r="C54" i="148"/>
  <c r="C53" i="148"/>
  <c r="B53" i="148"/>
  <c r="C52" i="148"/>
  <c r="B52" i="148"/>
  <c r="C51" i="148"/>
  <c r="B51" i="148"/>
  <c r="C50" i="148"/>
  <c r="B50" i="148"/>
  <c r="C49" i="148"/>
  <c r="B49" i="148"/>
  <c r="C48" i="148"/>
  <c r="B48" i="148"/>
  <c r="C47" i="148"/>
  <c r="B47" i="148"/>
  <c r="C46" i="148"/>
  <c r="B46" i="148"/>
  <c r="C45" i="148"/>
  <c r="B45" i="148"/>
  <c r="C44" i="148"/>
  <c r="B44" i="148"/>
  <c r="C43" i="148"/>
  <c r="B43" i="148"/>
  <c r="N42" i="148"/>
  <c r="M42" i="148"/>
  <c r="L42" i="148"/>
  <c r="K42" i="148"/>
  <c r="J42" i="148"/>
  <c r="I42" i="148"/>
  <c r="H42" i="148"/>
  <c r="G42" i="148"/>
  <c r="F42" i="148"/>
  <c r="E42" i="148"/>
  <c r="D42" i="148"/>
  <c r="C42" i="148"/>
  <c r="B42" i="148"/>
  <c r="B36" i="148"/>
  <c r="N35" i="148"/>
  <c r="M35" i="148"/>
  <c r="L35" i="148"/>
  <c r="K35" i="148"/>
  <c r="J35" i="148"/>
  <c r="I35" i="148"/>
  <c r="H35" i="148"/>
  <c r="G35" i="148"/>
  <c r="F35" i="148"/>
  <c r="E35" i="148"/>
  <c r="D35" i="148"/>
  <c r="C35" i="148"/>
  <c r="B35" i="148"/>
  <c r="I31" i="148"/>
  <c r="H31" i="148"/>
  <c r="G31" i="148"/>
  <c r="E31" i="148"/>
  <c r="D31" i="148"/>
  <c r="C31" i="148"/>
  <c r="B31" i="148"/>
  <c r="A31" i="148"/>
  <c r="D30" i="148"/>
  <c r="C30" i="148"/>
  <c r="B30" i="148"/>
  <c r="D29" i="148"/>
  <c r="C29" i="148"/>
  <c r="B29" i="148"/>
  <c r="D28" i="148"/>
  <c r="C28" i="148"/>
  <c r="B28" i="148"/>
  <c r="D27" i="148"/>
  <c r="C27" i="148"/>
  <c r="B27" i="148"/>
  <c r="D26" i="148"/>
  <c r="C26" i="148"/>
  <c r="B26" i="148"/>
  <c r="D25" i="148"/>
  <c r="C25" i="148"/>
  <c r="B25" i="148"/>
  <c r="D24" i="148"/>
  <c r="C24" i="148"/>
  <c r="B24" i="148"/>
  <c r="D23" i="148"/>
  <c r="C23" i="148"/>
  <c r="B23" i="148"/>
  <c r="D22" i="148"/>
  <c r="C22" i="148"/>
  <c r="B22" i="148"/>
  <c r="D21" i="148"/>
  <c r="C21" i="148"/>
  <c r="B21" i="148"/>
  <c r="D20" i="148"/>
  <c r="C20" i="148"/>
  <c r="C19" i="148"/>
  <c r="B19" i="148"/>
  <c r="C15" i="148"/>
  <c r="B15" i="148"/>
  <c r="N14" i="148"/>
  <c r="M14" i="148"/>
  <c r="L14" i="148"/>
  <c r="K14" i="148"/>
  <c r="J14" i="148"/>
  <c r="I14" i="148"/>
  <c r="H14" i="148"/>
  <c r="G14" i="148"/>
  <c r="F14" i="148"/>
  <c r="E14" i="148"/>
  <c r="D14" i="148"/>
  <c r="C14" i="148"/>
  <c r="B14" i="148"/>
  <c r="A1" i="148"/>
  <c r="B366" i="147"/>
  <c r="B365" i="147"/>
  <c r="B364" i="147"/>
  <c r="B363" i="147"/>
  <c r="B362" i="147"/>
  <c r="B361" i="147"/>
  <c r="B360" i="147"/>
  <c r="B359" i="147"/>
  <c r="B358" i="147"/>
  <c r="B357" i="147"/>
  <c r="B356" i="147"/>
  <c r="N355" i="147"/>
  <c r="M355" i="147"/>
  <c r="L355" i="147"/>
  <c r="K355" i="147"/>
  <c r="J355" i="147"/>
  <c r="I355" i="147"/>
  <c r="H355" i="147"/>
  <c r="G355" i="147"/>
  <c r="F355" i="147"/>
  <c r="E355" i="147"/>
  <c r="D355" i="147"/>
  <c r="C355" i="147"/>
  <c r="B355" i="147"/>
  <c r="B350" i="147"/>
  <c r="B349" i="147"/>
  <c r="B348" i="147"/>
  <c r="B347" i="147"/>
  <c r="B346" i="147"/>
  <c r="B345" i="147"/>
  <c r="B344" i="147"/>
  <c r="B343" i="147"/>
  <c r="B342" i="147"/>
  <c r="B341" i="147"/>
  <c r="B340" i="147"/>
  <c r="N339" i="147"/>
  <c r="M339" i="147"/>
  <c r="L339" i="147"/>
  <c r="K339" i="147"/>
  <c r="J339" i="147"/>
  <c r="I339" i="147"/>
  <c r="H339" i="147"/>
  <c r="G339" i="147"/>
  <c r="F339" i="147"/>
  <c r="E339" i="147"/>
  <c r="D339" i="147"/>
  <c r="C339" i="147"/>
  <c r="B339" i="147"/>
  <c r="B329" i="147"/>
  <c r="B328" i="147"/>
  <c r="B327" i="147"/>
  <c r="B326" i="147"/>
  <c r="B325" i="147"/>
  <c r="B324" i="147"/>
  <c r="B323" i="147"/>
  <c r="B322" i="147"/>
  <c r="B321" i="147"/>
  <c r="B320" i="147"/>
  <c r="B319" i="147"/>
  <c r="N318" i="147"/>
  <c r="M318" i="147"/>
  <c r="L318" i="147"/>
  <c r="K318" i="147"/>
  <c r="J318" i="147"/>
  <c r="I318" i="147"/>
  <c r="H318" i="147"/>
  <c r="G318" i="147"/>
  <c r="F318" i="147"/>
  <c r="E318" i="147"/>
  <c r="D318" i="147"/>
  <c r="C318" i="147"/>
  <c r="B318" i="147"/>
  <c r="B313" i="147"/>
  <c r="B312" i="147"/>
  <c r="B311" i="147"/>
  <c r="B310" i="147"/>
  <c r="B309" i="147"/>
  <c r="B308" i="147"/>
  <c r="B307" i="147"/>
  <c r="B306" i="147"/>
  <c r="B305" i="147"/>
  <c r="B304" i="147"/>
  <c r="B303" i="147"/>
  <c r="N302" i="147"/>
  <c r="M302" i="147"/>
  <c r="L302" i="147"/>
  <c r="K302" i="147"/>
  <c r="J302" i="147"/>
  <c r="I302" i="147"/>
  <c r="H302" i="147"/>
  <c r="G302" i="147"/>
  <c r="F302" i="147"/>
  <c r="E302" i="147"/>
  <c r="D302" i="147"/>
  <c r="C302" i="147"/>
  <c r="B302" i="147"/>
  <c r="N293" i="147"/>
  <c r="M293" i="147"/>
  <c r="L293" i="147"/>
  <c r="K293" i="147"/>
  <c r="J293" i="147"/>
  <c r="I293" i="147"/>
  <c r="H293" i="147"/>
  <c r="G293" i="147"/>
  <c r="F293" i="147"/>
  <c r="E293" i="147"/>
  <c r="D293" i="147"/>
  <c r="C293" i="147"/>
  <c r="C290" i="147"/>
  <c r="N289" i="147"/>
  <c r="M289" i="147"/>
  <c r="L289" i="147"/>
  <c r="K289" i="147"/>
  <c r="J289" i="147"/>
  <c r="I289" i="147"/>
  <c r="H289" i="147"/>
  <c r="G289" i="147"/>
  <c r="F289" i="147"/>
  <c r="E289" i="147"/>
  <c r="D289" i="147"/>
  <c r="C289" i="147"/>
  <c r="C281" i="147"/>
  <c r="C280" i="147"/>
  <c r="N278" i="147"/>
  <c r="M278" i="147"/>
  <c r="L278" i="147"/>
  <c r="K278" i="147"/>
  <c r="J278" i="147"/>
  <c r="I278" i="147"/>
  <c r="H278" i="147"/>
  <c r="G278" i="147"/>
  <c r="F278" i="147"/>
  <c r="E278" i="147"/>
  <c r="D278" i="147"/>
  <c r="C278" i="147"/>
  <c r="B273" i="147"/>
  <c r="B272" i="147"/>
  <c r="B271" i="147"/>
  <c r="B270" i="147"/>
  <c r="B269" i="147"/>
  <c r="B268" i="147"/>
  <c r="B267" i="147"/>
  <c r="B266" i="147"/>
  <c r="B265" i="147"/>
  <c r="B264" i="147"/>
  <c r="B263" i="147"/>
  <c r="N262" i="147"/>
  <c r="M262" i="147"/>
  <c r="L262" i="147"/>
  <c r="K262" i="147"/>
  <c r="J262" i="147"/>
  <c r="I262" i="147"/>
  <c r="H262" i="147"/>
  <c r="G262" i="147"/>
  <c r="F262" i="147"/>
  <c r="E262" i="147"/>
  <c r="D262" i="147"/>
  <c r="C262" i="147"/>
  <c r="B262" i="147"/>
  <c r="B257" i="147"/>
  <c r="B256" i="147"/>
  <c r="B255" i="147"/>
  <c r="B254" i="147"/>
  <c r="B253" i="147"/>
  <c r="B252" i="147"/>
  <c r="B251" i="147"/>
  <c r="B250" i="147"/>
  <c r="B249" i="147"/>
  <c r="B248" i="147"/>
  <c r="B247" i="147"/>
  <c r="N246" i="147"/>
  <c r="M246" i="147"/>
  <c r="L246" i="147"/>
  <c r="K246" i="147"/>
  <c r="J246" i="147"/>
  <c r="I246" i="147"/>
  <c r="H246" i="147"/>
  <c r="G246" i="147"/>
  <c r="F246" i="147"/>
  <c r="E246" i="147"/>
  <c r="D246" i="147"/>
  <c r="C246" i="147"/>
  <c r="B246" i="147"/>
  <c r="B239" i="147"/>
  <c r="B238" i="147"/>
  <c r="B237" i="147"/>
  <c r="B236" i="147"/>
  <c r="B235" i="147"/>
  <c r="B234" i="147"/>
  <c r="B233" i="147"/>
  <c r="B232" i="147"/>
  <c r="B231" i="147"/>
  <c r="B230" i="147"/>
  <c r="B229" i="147"/>
  <c r="N228" i="147"/>
  <c r="M228" i="147"/>
  <c r="L228" i="147"/>
  <c r="K228" i="147"/>
  <c r="J228" i="147"/>
  <c r="I228" i="147"/>
  <c r="H228" i="147"/>
  <c r="G228" i="147"/>
  <c r="F228" i="147"/>
  <c r="E228" i="147"/>
  <c r="D228" i="147"/>
  <c r="C228" i="147"/>
  <c r="B228" i="147"/>
  <c r="B223" i="147"/>
  <c r="B222" i="147"/>
  <c r="B221" i="147"/>
  <c r="B220" i="147"/>
  <c r="B219" i="147"/>
  <c r="B218" i="147"/>
  <c r="B217" i="147"/>
  <c r="B216" i="147"/>
  <c r="B215" i="147"/>
  <c r="B214" i="147"/>
  <c r="B213" i="147"/>
  <c r="N212" i="147"/>
  <c r="M212" i="147"/>
  <c r="L212" i="147"/>
  <c r="K212" i="147"/>
  <c r="J212" i="147"/>
  <c r="I212" i="147"/>
  <c r="H212" i="147"/>
  <c r="G212" i="147"/>
  <c r="F212" i="147"/>
  <c r="E212" i="147"/>
  <c r="D212" i="147"/>
  <c r="C212" i="147"/>
  <c r="B212" i="147"/>
  <c r="C206" i="147"/>
  <c r="C205" i="147"/>
  <c r="B205" i="147"/>
  <c r="C204" i="147"/>
  <c r="B204" i="147"/>
  <c r="C203" i="147"/>
  <c r="B203" i="147"/>
  <c r="C202" i="147"/>
  <c r="B202" i="147"/>
  <c r="C201" i="147"/>
  <c r="B201" i="147"/>
  <c r="C200" i="147"/>
  <c r="B200" i="147"/>
  <c r="C199" i="147"/>
  <c r="B199" i="147"/>
  <c r="C198" i="147"/>
  <c r="B198" i="147"/>
  <c r="C197" i="147"/>
  <c r="B197" i="147"/>
  <c r="C196" i="147"/>
  <c r="B196" i="147"/>
  <c r="C195" i="147"/>
  <c r="B195" i="147"/>
  <c r="N194" i="147"/>
  <c r="M194" i="147"/>
  <c r="L194" i="147"/>
  <c r="K194" i="147"/>
  <c r="J194" i="147"/>
  <c r="I194" i="147"/>
  <c r="H194" i="147"/>
  <c r="G194" i="147"/>
  <c r="F194" i="147"/>
  <c r="E194" i="147"/>
  <c r="D194" i="147"/>
  <c r="C194" i="147"/>
  <c r="B194" i="147"/>
  <c r="C190" i="147"/>
  <c r="C189" i="147"/>
  <c r="B189" i="147"/>
  <c r="C188" i="147"/>
  <c r="B188" i="147"/>
  <c r="C187" i="147"/>
  <c r="B187" i="147"/>
  <c r="C186" i="147"/>
  <c r="B186" i="147"/>
  <c r="C185" i="147"/>
  <c r="B185" i="147"/>
  <c r="C184" i="147"/>
  <c r="B184" i="147"/>
  <c r="C183" i="147"/>
  <c r="B183" i="147"/>
  <c r="C182" i="147"/>
  <c r="B182" i="147"/>
  <c r="C181" i="147"/>
  <c r="B181" i="147"/>
  <c r="C180" i="147"/>
  <c r="B180" i="147"/>
  <c r="C179" i="147"/>
  <c r="B179" i="147"/>
  <c r="N178" i="147"/>
  <c r="M178" i="147"/>
  <c r="L178" i="147"/>
  <c r="K178" i="147"/>
  <c r="J178" i="147"/>
  <c r="I178" i="147"/>
  <c r="H178" i="147"/>
  <c r="G178" i="147"/>
  <c r="F178" i="147"/>
  <c r="E178" i="147"/>
  <c r="D178" i="147"/>
  <c r="C178" i="147"/>
  <c r="B178" i="147"/>
  <c r="C172" i="147"/>
  <c r="C171" i="147"/>
  <c r="B171" i="147"/>
  <c r="C170" i="147"/>
  <c r="B170" i="147"/>
  <c r="C169" i="147"/>
  <c r="B169" i="147"/>
  <c r="C168" i="147"/>
  <c r="B168" i="147"/>
  <c r="C167" i="147"/>
  <c r="B167" i="147"/>
  <c r="C166" i="147"/>
  <c r="B166" i="147"/>
  <c r="C165" i="147"/>
  <c r="B165" i="147"/>
  <c r="C164" i="147"/>
  <c r="B164" i="147"/>
  <c r="C163" i="147"/>
  <c r="B163" i="147"/>
  <c r="C162" i="147"/>
  <c r="B162" i="147"/>
  <c r="C161" i="147"/>
  <c r="B161" i="147"/>
  <c r="N160" i="147"/>
  <c r="M160" i="147"/>
  <c r="L160" i="147"/>
  <c r="K160" i="147"/>
  <c r="J160" i="147"/>
  <c r="I160" i="147"/>
  <c r="H160" i="147"/>
  <c r="G160" i="147"/>
  <c r="F160" i="147"/>
  <c r="E160" i="147"/>
  <c r="D160" i="147"/>
  <c r="C160" i="147"/>
  <c r="B160" i="147"/>
  <c r="C156" i="147"/>
  <c r="C155" i="147"/>
  <c r="B155" i="147"/>
  <c r="C154" i="147"/>
  <c r="B154" i="147"/>
  <c r="C153" i="147"/>
  <c r="B153" i="147"/>
  <c r="C152" i="147"/>
  <c r="B152" i="147"/>
  <c r="C151" i="147"/>
  <c r="B151" i="147"/>
  <c r="C150" i="147"/>
  <c r="B150" i="147"/>
  <c r="C149" i="147"/>
  <c r="B149" i="147"/>
  <c r="C148" i="147"/>
  <c r="B148" i="147"/>
  <c r="C147" i="147"/>
  <c r="B147" i="147"/>
  <c r="C146" i="147"/>
  <c r="B146" i="147"/>
  <c r="C145" i="147"/>
  <c r="B145" i="147"/>
  <c r="N144" i="147"/>
  <c r="M144" i="147"/>
  <c r="L144" i="147"/>
  <c r="K144" i="147"/>
  <c r="J144" i="147"/>
  <c r="I144" i="147"/>
  <c r="H144" i="147"/>
  <c r="G144" i="147"/>
  <c r="F144" i="147"/>
  <c r="E144" i="147"/>
  <c r="D144" i="147"/>
  <c r="C144" i="147"/>
  <c r="B144" i="147"/>
  <c r="B137" i="147"/>
  <c r="B136" i="147"/>
  <c r="B135" i="147"/>
  <c r="B134" i="147"/>
  <c r="B133" i="147"/>
  <c r="B132" i="147"/>
  <c r="B131" i="147"/>
  <c r="B130" i="147"/>
  <c r="B129" i="147"/>
  <c r="B128" i="147"/>
  <c r="B127" i="147"/>
  <c r="N126" i="147"/>
  <c r="M126" i="147"/>
  <c r="L126" i="147"/>
  <c r="K126" i="147"/>
  <c r="J126" i="147"/>
  <c r="I126" i="147"/>
  <c r="H126" i="147"/>
  <c r="G126" i="147"/>
  <c r="F126" i="147"/>
  <c r="E126" i="147"/>
  <c r="D126" i="147"/>
  <c r="C126" i="147"/>
  <c r="B126" i="147"/>
  <c r="B121" i="147"/>
  <c r="B120" i="147"/>
  <c r="B119" i="147"/>
  <c r="B118" i="147"/>
  <c r="B117" i="147"/>
  <c r="B116" i="147"/>
  <c r="B115" i="147"/>
  <c r="B114" i="147"/>
  <c r="B113" i="147"/>
  <c r="B112" i="147"/>
  <c r="B111" i="147"/>
  <c r="N110" i="147"/>
  <c r="M110" i="147"/>
  <c r="L110" i="147"/>
  <c r="K110" i="147"/>
  <c r="J110" i="147"/>
  <c r="I110" i="147"/>
  <c r="H110" i="147"/>
  <c r="G110" i="147"/>
  <c r="F110" i="147"/>
  <c r="E110" i="147"/>
  <c r="D110" i="147"/>
  <c r="C110" i="147"/>
  <c r="B110" i="147"/>
  <c r="C104" i="147"/>
  <c r="C103" i="147"/>
  <c r="B103" i="147"/>
  <c r="C102" i="147"/>
  <c r="B102" i="147"/>
  <c r="C101" i="147"/>
  <c r="B101" i="147"/>
  <c r="C100" i="147"/>
  <c r="B100" i="147"/>
  <c r="C99" i="147"/>
  <c r="B99" i="147"/>
  <c r="C98" i="147"/>
  <c r="B98" i="147"/>
  <c r="C97" i="147"/>
  <c r="B97" i="147"/>
  <c r="C96" i="147"/>
  <c r="B96" i="147"/>
  <c r="C95" i="147"/>
  <c r="B95" i="147"/>
  <c r="C94" i="147"/>
  <c r="B94" i="147"/>
  <c r="C93" i="147"/>
  <c r="B93" i="147"/>
  <c r="N92" i="147"/>
  <c r="M92" i="147"/>
  <c r="L92" i="147"/>
  <c r="K92" i="147"/>
  <c r="J92" i="147"/>
  <c r="I92" i="147"/>
  <c r="H92" i="147"/>
  <c r="G92" i="147"/>
  <c r="F92" i="147"/>
  <c r="E92" i="147"/>
  <c r="D92" i="147"/>
  <c r="C92" i="147"/>
  <c r="B92" i="147"/>
  <c r="C88" i="147"/>
  <c r="C87" i="147"/>
  <c r="B87" i="147"/>
  <c r="C86" i="147"/>
  <c r="B86" i="147"/>
  <c r="C85" i="147"/>
  <c r="B85" i="147"/>
  <c r="C84" i="147"/>
  <c r="B84" i="147"/>
  <c r="C83" i="147"/>
  <c r="B83" i="147"/>
  <c r="C82" i="147"/>
  <c r="B82" i="147"/>
  <c r="C81" i="147"/>
  <c r="B81" i="147"/>
  <c r="C80" i="147"/>
  <c r="B80" i="147"/>
  <c r="C79" i="147"/>
  <c r="B79" i="147"/>
  <c r="C78" i="147"/>
  <c r="B78" i="147"/>
  <c r="C77" i="147"/>
  <c r="B77" i="147"/>
  <c r="N76" i="147"/>
  <c r="M76" i="147"/>
  <c r="L76" i="147"/>
  <c r="K76" i="147"/>
  <c r="J76" i="147"/>
  <c r="I76" i="147"/>
  <c r="H76" i="147"/>
  <c r="G76" i="147"/>
  <c r="F76" i="147"/>
  <c r="E76" i="147"/>
  <c r="D76" i="147"/>
  <c r="C76" i="147"/>
  <c r="B76" i="147"/>
  <c r="C70" i="147"/>
  <c r="C69" i="147"/>
  <c r="B69" i="147"/>
  <c r="C68" i="147"/>
  <c r="B68" i="147"/>
  <c r="C67" i="147"/>
  <c r="B67" i="147"/>
  <c r="C66" i="147"/>
  <c r="B66" i="147"/>
  <c r="C65" i="147"/>
  <c r="B65" i="147"/>
  <c r="C64" i="147"/>
  <c r="B64" i="147"/>
  <c r="C63" i="147"/>
  <c r="B63" i="147"/>
  <c r="C62" i="147"/>
  <c r="B62" i="147"/>
  <c r="C61" i="147"/>
  <c r="B61" i="147"/>
  <c r="C60" i="147"/>
  <c r="B60" i="147"/>
  <c r="C59" i="147"/>
  <c r="B59" i="147"/>
  <c r="N58" i="147"/>
  <c r="M58" i="147"/>
  <c r="L58" i="147"/>
  <c r="K58" i="147"/>
  <c r="J58" i="147"/>
  <c r="I58" i="147"/>
  <c r="H58" i="147"/>
  <c r="G58" i="147"/>
  <c r="F58" i="147"/>
  <c r="E58" i="147"/>
  <c r="D58" i="147"/>
  <c r="C58" i="147"/>
  <c r="B58" i="147"/>
  <c r="C54" i="147"/>
  <c r="C53" i="147"/>
  <c r="B53" i="147"/>
  <c r="C52" i="147"/>
  <c r="B52" i="147"/>
  <c r="C51" i="147"/>
  <c r="B51" i="147"/>
  <c r="C50" i="147"/>
  <c r="B50" i="147"/>
  <c r="C49" i="147"/>
  <c r="B49" i="147"/>
  <c r="C48" i="147"/>
  <c r="B48" i="147"/>
  <c r="C47" i="147"/>
  <c r="B47" i="147"/>
  <c r="C46" i="147"/>
  <c r="B46" i="147"/>
  <c r="C45" i="147"/>
  <c r="B45" i="147"/>
  <c r="C44" i="147"/>
  <c r="B44" i="147"/>
  <c r="C43" i="147"/>
  <c r="B43" i="147"/>
  <c r="N42" i="147"/>
  <c r="M42" i="147"/>
  <c r="L42" i="147"/>
  <c r="K42" i="147"/>
  <c r="J42" i="147"/>
  <c r="I42" i="147"/>
  <c r="H42" i="147"/>
  <c r="G42" i="147"/>
  <c r="F42" i="147"/>
  <c r="E42" i="147"/>
  <c r="D42" i="147"/>
  <c r="C42" i="147"/>
  <c r="B42" i="147"/>
  <c r="B36" i="147"/>
  <c r="N35" i="147"/>
  <c r="M35" i="147"/>
  <c r="L35" i="147"/>
  <c r="K35" i="147"/>
  <c r="J35" i="147"/>
  <c r="I35" i="147"/>
  <c r="H35" i="147"/>
  <c r="G35" i="147"/>
  <c r="F35" i="147"/>
  <c r="E35" i="147"/>
  <c r="D35" i="147"/>
  <c r="C35" i="147"/>
  <c r="B35" i="147"/>
  <c r="I31" i="147"/>
  <c r="H31" i="147"/>
  <c r="G31" i="147"/>
  <c r="E31" i="147"/>
  <c r="D31" i="147"/>
  <c r="C31" i="147"/>
  <c r="B31" i="147"/>
  <c r="A31" i="147"/>
  <c r="D30" i="147"/>
  <c r="C30" i="147"/>
  <c r="B30" i="147"/>
  <c r="D29" i="147"/>
  <c r="C29" i="147"/>
  <c r="B29" i="147"/>
  <c r="D28" i="147"/>
  <c r="C28" i="147"/>
  <c r="B28" i="147"/>
  <c r="D27" i="147"/>
  <c r="C27" i="147"/>
  <c r="B27" i="147"/>
  <c r="D26" i="147"/>
  <c r="C26" i="147"/>
  <c r="B26" i="147"/>
  <c r="D25" i="147"/>
  <c r="C25" i="147"/>
  <c r="B25" i="147"/>
  <c r="D24" i="147"/>
  <c r="C24" i="147"/>
  <c r="B24" i="147"/>
  <c r="D23" i="147"/>
  <c r="C23" i="147"/>
  <c r="B23" i="147"/>
  <c r="D22" i="147"/>
  <c r="C22" i="147"/>
  <c r="B22" i="147"/>
  <c r="D21" i="147"/>
  <c r="C21" i="147"/>
  <c r="B21" i="147"/>
  <c r="D20" i="147"/>
  <c r="C20" i="147"/>
  <c r="C19" i="147"/>
  <c r="B19" i="147"/>
  <c r="C15" i="147"/>
  <c r="B15" i="147"/>
  <c r="N14" i="147"/>
  <c r="M14" i="147"/>
  <c r="L14" i="147"/>
  <c r="K14" i="147"/>
  <c r="J14" i="147"/>
  <c r="I14" i="147"/>
  <c r="H14" i="147"/>
  <c r="G14" i="147"/>
  <c r="F14" i="147"/>
  <c r="E14" i="147"/>
  <c r="D14" i="147"/>
  <c r="C14" i="147"/>
  <c r="B14" i="147"/>
  <c r="A1" i="147"/>
  <c r="B366" i="146"/>
  <c r="B365" i="146"/>
  <c r="B364" i="146"/>
  <c r="B363" i="146"/>
  <c r="B362" i="146"/>
  <c r="B361" i="146"/>
  <c r="B360" i="146"/>
  <c r="B359" i="146"/>
  <c r="B358" i="146"/>
  <c r="B357" i="146"/>
  <c r="B356" i="146"/>
  <c r="N355" i="146"/>
  <c r="M355" i="146"/>
  <c r="L355" i="146"/>
  <c r="K355" i="146"/>
  <c r="J355" i="146"/>
  <c r="I355" i="146"/>
  <c r="H355" i="146"/>
  <c r="G355" i="146"/>
  <c r="F355" i="146"/>
  <c r="E355" i="146"/>
  <c r="D355" i="146"/>
  <c r="C355" i="146"/>
  <c r="B355" i="146"/>
  <c r="B350" i="146"/>
  <c r="B349" i="146"/>
  <c r="B348" i="146"/>
  <c r="B347" i="146"/>
  <c r="B346" i="146"/>
  <c r="B345" i="146"/>
  <c r="B344" i="146"/>
  <c r="B343" i="146"/>
  <c r="B342" i="146"/>
  <c r="B341" i="146"/>
  <c r="B340" i="146"/>
  <c r="N339" i="146"/>
  <c r="M339" i="146"/>
  <c r="L339" i="146"/>
  <c r="K339" i="146"/>
  <c r="J339" i="146"/>
  <c r="I339" i="146"/>
  <c r="H339" i="146"/>
  <c r="G339" i="146"/>
  <c r="F339" i="146"/>
  <c r="E339" i="146"/>
  <c r="D339" i="146"/>
  <c r="C339" i="146"/>
  <c r="B339" i="146"/>
  <c r="B329" i="146"/>
  <c r="B328" i="146"/>
  <c r="B327" i="146"/>
  <c r="B326" i="146"/>
  <c r="B325" i="146"/>
  <c r="B324" i="146"/>
  <c r="B323" i="146"/>
  <c r="B322" i="146"/>
  <c r="B321" i="146"/>
  <c r="B320" i="146"/>
  <c r="B319" i="146"/>
  <c r="N318" i="146"/>
  <c r="M318" i="146"/>
  <c r="L318" i="146"/>
  <c r="K318" i="146"/>
  <c r="J318" i="146"/>
  <c r="I318" i="146"/>
  <c r="H318" i="146"/>
  <c r="G318" i="146"/>
  <c r="F318" i="146"/>
  <c r="E318" i="146"/>
  <c r="D318" i="146"/>
  <c r="C318" i="146"/>
  <c r="B318" i="146"/>
  <c r="B313" i="146"/>
  <c r="B312" i="146"/>
  <c r="B311" i="146"/>
  <c r="B310" i="146"/>
  <c r="B309" i="146"/>
  <c r="B308" i="146"/>
  <c r="B307" i="146"/>
  <c r="B306" i="146"/>
  <c r="B305" i="146"/>
  <c r="B304" i="146"/>
  <c r="B303" i="146"/>
  <c r="N302" i="146"/>
  <c r="M302" i="146"/>
  <c r="L302" i="146"/>
  <c r="K302" i="146"/>
  <c r="J302" i="146"/>
  <c r="I302" i="146"/>
  <c r="H302" i="146"/>
  <c r="G302" i="146"/>
  <c r="F302" i="146"/>
  <c r="E302" i="146"/>
  <c r="D302" i="146"/>
  <c r="C302" i="146"/>
  <c r="B302" i="146"/>
  <c r="N293" i="146"/>
  <c r="M293" i="146"/>
  <c r="L293" i="146"/>
  <c r="K293" i="146"/>
  <c r="J293" i="146"/>
  <c r="I293" i="146"/>
  <c r="H293" i="146"/>
  <c r="G293" i="146"/>
  <c r="F293" i="146"/>
  <c r="E293" i="146"/>
  <c r="D293" i="146"/>
  <c r="C293" i="146"/>
  <c r="C290" i="146"/>
  <c r="N289" i="146"/>
  <c r="M289" i="146"/>
  <c r="L289" i="146"/>
  <c r="K289" i="146"/>
  <c r="J289" i="146"/>
  <c r="I289" i="146"/>
  <c r="H289" i="146"/>
  <c r="G289" i="146"/>
  <c r="F289" i="146"/>
  <c r="E289" i="146"/>
  <c r="D289" i="146"/>
  <c r="C289" i="146"/>
  <c r="C281" i="146"/>
  <c r="C280" i="146"/>
  <c r="N278" i="146"/>
  <c r="M278" i="146"/>
  <c r="L278" i="146"/>
  <c r="K278" i="146"/>
  <c r="J278" i="146"/>
  <c r="I278" i="146"/>
  <c r="H278" i="146"/>
  <c r="G278" i="146"/>
  <c r="F278" i="146"/>
  <c r="E278" i="146"/>
  <c r="D278" i="146"/>
  <c r="C278" i="146"/>
  <c r="B273" i="146"/>
  <c r="B272" i="146"/>
  <c r="B271" i="146"/>
  <c r="B270" i="146"/>
  <c r="B269" i="146"/>
  <c r="B268" i="146"/>
  <c r="B267" i="146"/>
  <c r="B266" i="146"/>
  <c r="B265" i="146"/>
  <c r="B264" i="146"/>
  <c r="B263" i="146"/>
  <c r="N262" i="146"/>
  <c r="M262" i="146"/>
  <c r="L262" i="146"/>
  <c r="K262" i="146"/>
  <c r="J262" i="146"/>
  <c r="I262" i="146"/>
  <c r="H262" i="146"/>
  <c r="G262" i="146"/>
  <c r="F262" i="146"/>
  <c r="E262" i="146"/>
  <c r="D262" i="146"/>
  <c r="C262" i="146"/>
  <c r="B262" i="146"/>
  <c r="B257" i="146"/>
  <c r="B256" i="146"/>
  <c r="B255" i="146"/>
  <c r="B254" i="146"/>
  <c r="B253" i="146"/>
  <c r="B252" i="146"/>
  <c r="B251" i="146"/>
  <c r="B250" i="146"/>
  <c r="B249" i="146"/>
  <c r="B248" i="146"/>
  <c r="B247" i="146"/>
  <c r="N246" i="146"/>
  <c r="M246" i="146"/>
  <c r="L246" i="146"/>
  <c r="K246" i="146"/>
  <c r="J246" i="146"/>
  <c r="I246" i="146"/>
  <c r="H246" i="146"/>
  <c r="G246" i="146"/>
  <c r="F246" i="146"/>
  <c r="E246" i="146"/>
  <c r="D246" i="146"/>
  <c r="C246" i="146"/>
  <c r="B246" i="146"/>
  <c r="B239" i="146"/>
  <c r="B238" i="146"/>
  <c r="B237" i="146"/>
  <c r="B236" i="146"/>
  <c r="B235" i="146"/>
  <c r="B234" i="146"/>
  <c r="B233" i="146"/>
  <c r="B232" i="146"/>
  <c r="B231" i="146"/>
  <c r="B230" i="146"/>
  <c r="B229" i="146"/>
  <c r="N228" i="146"/>
  <c r="M228" i="146"/>
  <c r="L228" i="146"/>
  <c r="K228" i="146"/>
  <c r="J228" i="146"/>
  <c r="I228" i="146"/>
  <c r="H228" i="146"/>
  <c r="G228" i="146"/>
  <c r="F228" i="146"/>
  <c r="E228" i="146"/>
  <c r="D228" i="146"/>
  <c r="C228" i="146"/>
  <c r="B228" i="146"/>
  <c r="B223" i="146"/>
  <c r="B222" i="146"/>
  <c r="B221" i="146"/>
  <c r="B220" i="146"/>
  <c r="B219" i="146"/>
  <c r="B218" i="146"/>
  <c r="B217" i="146"/>
  <c r="B216" i="146"/>
  <c r="B215" i="146"/>
  <c r="B214" i="146"/>
  <c r="B213" i="146"/>
  <c r="N212" i="146"/>
  <c r="M212" i="146"/>
  <c r="L212" i="146"/>
  <c r="K212" i="146"/>
  <c r="J212" i="146"/>
  <c r="I212" i="146"/>
  <c r="H212" i="146"/>
  <c r="G212" i="146"/>
  <c r="F212" i="146"/>
  <c r="E212" i="146"/>
  <c r="D212" i="146"/>
  <c r="C212" i="146"/>
  <c r="B212" i="146"/>
  <c r="C206" i="146"/>
  <c r="C205" i="146"/>
  <c r="B205" i="146"/>
  <c r="C204" i="146"/>
  <c r="B204" i="146"/>
  <c r="C203" i="146"/>
  <c r="B203" i="146"/>
  <c r="C202" i="146"/>
  <c r="B202" i="146"/>
  <c r="C201" i="146"/>
  <c r="B201" i="146"/>
  <c r="C200" i="146"/>
  <c r="B200" i="146"/>
  <c r="C199" i="146"/>
  <c r="B199" i="146"/>
  <c r="C198" i="146"/>
  <c r="B198" i="146"/>
  <c r="C197" i="146"/>
  <c r="B197" i="146"/>
  <c r="C196" i="146"/>
  <c r="B196" i="146"/>
  <c r="C195" i="146"/>
  <c r="B195" i="146"/>
  <c r="N194" i="146"/>
  <c r="M194" i="146"/>
  <c r="L194" i="146"/>
  <c r="K194" i="146"/>
  <c r="J194" i="146"/>
  <c r="I194" i="146"/>
  <c r="H194" i="146"/>
  <c r="G194" i="146"/>
  <c r="F194" i="146"/>
  <c r="E194" i="146"/>
  <c r="D194" i="146"/>
  <c r="C194" i="146"/>
  <c r="B194" i="146"/>
  <c r="C190" i="146"/>
  <c r="C189" i="146"/>
  <c r="B189" i="146"/>
  <c r="C188" i="146"/>
  <c r="B188" i="146"/>
  <c r="C187" i="146"/>
  <c r="B187" i="146"/>
  <c r="C186" i="146"/>
  <c r="B186" i="146"/>
  <c r="C185" i="146"/>
  <c r="B185" i="146"/>
  <c r="C184" i="146"/>
  <c r="B184" i="146"/>
  <c r="C183" i="146"/>
  <c r="B183" i="146"/>
  <c r="C182" i="146"/>
  <c r="B182" i="146"/>
  <c r="C181" i="146"/>
  <c r="B181" i="146"/>
  <c r="C180" i="146"/>
  <c r="B180" i="146"/>
  <c r="C179" i="146"/>
  <c r="B179" i="146"/>
  <c r="N178" i="146"/>
  <c r="M178" i="146"/>
  <c r="L178" i="146"/>
  <c r="K178" i="146"/>
  <c r="J178" i="146"/>
  <c r="I178" i="146"/>
  <c r="H178" i="146"/>
  <c r="G178" i="146"/>
  <c r="F178" i="146"/>
  <c r="E178" i="146"/>
  <c r="D178" i="146"/>
  <c r="C178" i="146"/>
  <c r="B178" i="146"/>
  <c r="C172" i="146"/>
  <c r="C171" i="146"/>
  <c r="B171" i="146"/>
  <c r="C170" i="146"/>
  <c r="B170" i="146"/>
  <c r="C169" i="146"/>
  <c r="B169" i="146"/>
  <c r="C168" i="146"/>
  <c r="B168" i="146"/>
  <c r="C167" i="146"/>
  <c r="B167" i="146"/>
  <c r="C166" i="146"/>
  <c r="B166" i="146"/>
  <c r="C165" i="146"/>
  <c r="B165" i="146"/>
  <c r="C164" i="146"/>
  <c r="B164" i="146"/>
  <c r="C163" i="146"/>
  <c r="B163" i="146"/>
  <c r="C162" i="146"/>
  <c r="B162" i="146"/>
  <c r="C161" i="146"/>
  <c r="B161" i="146"/>
  <c r="N160" i="146"/>
  <c r="M160" i="146"/>
  <c r="L160" i="146"/>
  <c r="K160" i="146"/>
  <c r="J160" i="146"/>
  <c r="I160" i="146"/>
  <c r="H160" i="146"/>
  <c r="G160" i="146"/>
  <c r="F160" i="146"/>
  <c r="E160" i="146"/>
  <c r="D160" i="146"/>
  <c r="C160" i="146"/>
  <c r="B160" i="146"/>
  <c r="C156" i="146"/>
  <c r="C155" i="146"/>
  <c r="B155" i="146"/>
  <c r="C154" i="146"/>
  <c r="B154" i="146"/>
  <c r="C153" i="146"/>
  <c r="B153" i="146"/>
  <c r="C152" i="146"/>
  <c r="B152" i="146"/>
  <c r="C151" i="146"/>
  <c r="B151" i="146"/>
  <c r="C150" i="146"/>
  <c r="B150" i="146"/>
  <c r="C149" i="146"/>
  <c r="B149" i="146"/>
  <c r="C148" i="146"/>
  <c r="B148" i="146"/>
  <c r="C147" i="146"/>
  <c r="B147" i="146"/>
  <c r="C146" i="146"/>
  <c r="B146" i="146"/>
  <c r="C145" i="146"/>
  <c r="B145" i="146"/>
  <c r="N144" i="146"/>
  <c r="M144" i="146"/>
  <c r="L144" i="146"/>
  <c r="K144" i="146"/>
  <c r="J144" i="146"/>
  <c r="I144" i="146"/>
  <c r="H144" i="146"/>
  <c r="G144" i="146"/>
  <c r="F144" i="146"/>
  <c r="E144" i="146"/>
  <c r="D144" i="146"/>
  <c r="C144" i="146"/>
  <c r="B144" i="146"/>
  <c r="B137" i="146"/>
  <c r="B136" i="146"/>
  <c r="B135" i="146"/>
  <c r="B134" i="146"/>
  <c r="B133" i="146"/>
  <c r="B132" i="146"/>
  <c r="B131" i="146"/>
  <c r="B130" i="146"/>
  <c r="B129" i="146"/>
  <c r="B128" i="146"/>
  <c r="B127" i="146"/>
  <c r="N126" i="146"/>
  <c r="M126" i="146"/>
  <c r="L126" i="146"/>
  <c r="K126" i="146"/>
  <c r="J126" i="146"/>
  <c r="I126" i="146"/>
  <c r="H126" i="146"/>
  <c r="G126" i="146"/>
  <c r="F126" i="146"/>
  <c r="E126" i="146"/>
  <c r="D126" i="146"/>
  <c r="C126" i="146"/>
  <c r="B126" i="146"/>
  <c r="B121" i="146"/>
  <c r="B120" i="146"/>
  <c r="B119" i="146"/>
  <c r="B118" i="146"/>
  <c r="B117" i="146"/>
  <c r="B116" i="146"/>
  <c r="B115" i="146"/>
  <c r="B114" i="146"/>
  <c r="B113" i="146"/>
  <c r="B112" i="146"/>
  <c r="B111" i="146"/>
  <c r="N110" i="146"/>
  <c r="M110" i="146"/>
  <c r="L110" i="146"/>
  <c r="K110" i="146"/>
  <c r="J110" i="146"/>
  <c r="I110" i="146"/>
  <c r="H110" i="146"/>
  <c r="G110" i="146"/>
  <c r="F110" i="146"/>
  <c r="E110" i="146"/>
  <c r="D110" i="146"/>
  <c r="C110" i="146"/>
  <c r="B110" i="146"/>
  <c r="C104" i="146"/>
  <c r="C103" i="146"/>
  <c r="B103" i="146"/>
  <c r="C102" i="146"/>
  <c r="B102" i="146"/>
  <c r="C101" i="146"/>
  <c r="B101" i="146"/>
  <c r="C100" i="146"/>
  <c r="B100" i="146"/>
  <c r="C99" i="146"/>
  <c r="B99" i="146"/>
  <c r="C98" i="146"/>
  <c r="B98" i="146"/>
  <c r="C97" i="146"/>
  <c r="B97" i="146"/>
  <c r="C96" i="146"/>
  <c r="B96" i="146"/>
  <c r="C95" i="146"/>
  <c r="B95" i="146"/>
  <c r="C94" i="146"/>
  <c r="B94" i="146"/>
  <c r="C93" i="146"/>
  <c r="B93" i="146"/>
  <c r="N92" i="146"/>
  <c r="M92" i="146"/>
  <c r="L92" i="146"/>
  <c r="K92" i="146"/>
  <c r="J92" i="146"/>
  <c r="I92" i="146"/>
  <c r="H92" i="146"/>
  <c r="G92" i="146"/>
  <c r="F92" i="146"/>
  <c r="E92" i="146"/>
  <c r="D92" i="146"/>
  <c r="C92" i="146"/>
  <c r="B92" i="146"/>
  <c r="C88" i="146"/>
  <c r="C87" i="146"/>
  <c r="B87" i="146"/>
  <c r="C86" i="146"/>
  <c r="B86" i="146"/>
  <c r="C85" i="146"/>
  <c r="B85" i="146"/>
  <c r="C84" i="146"/>
  <c r="B84" i="146"/>
  <c r="C83" i="146"/>
  <c r="B83" i="146"/>
  <c r="C82" i="146"/>
  <c r="B82" i="146"/>
  <c r="C81" i="146"/>
  <c r="B81" i="146"/>
  <c r="C80" i="146"/>
  <c r="B80" i="146"/>
  <c r="C79" i="146"/>
  <c r="B79" i="146"/>
  <c r="C78" i="146"/>
  <c r="B78" i="146"/>
  <c r="C77" i="146"/>
  <c r="B77" i="146"/>
  <c r="N76" i="146"/>
  <c r="M76" i="146"/>
  <c r="L76" i="146"/>
  <c r="K76" i="146"/>
  <c r="J76" i="146"/>
  <c r="I76" i="146"/>
  <c r="H76" i="146"/>
  <c r="G76" i="146"/>
  <c r="F76" i="146"/>
  <c r="E76" i="146"/>
  <c r="D76" i="146"/>
  <c r="C76" i="146"/>
  <c r="B76" i="146"/>
  <c r="C70" i="146"/>
  <c r="C69" i="146"/>
  <c r="B69" i="146"/>
  <c r="C68" i="146"/>
  <c r="B68" i="146"/>
  <c r="C67" i="146"/>
  <c r="B67" i="146"/>
  <c r="C66" i="146"/>
  <c r="B66" i="146"/>
  <c r="C65" i="146"/>
  <c r="B65" i="146"/>
  <c r="C64" i="146"/>
  <c r="B64" i="146"/>
  <c r="C63" i="146"/>
  <c r="B63" i="146"/>
  <c r="C62" i="146"/>
  <c r="B62" i="146"/>
  <c r="C61" i="146"/>
  <c r="B61" i="146"/>
  <c r="C60" i="146"/>
  <c r="B60" i="146"/>
  <c r="C59" i="146"/>
  <c r="B59" i="146"/>
  <c r="N58" i="146"/>
  <c r="M58" i="146"/>
  <c r="L58" i="146"/>
  <c r="K58" i="146"/>
  <c r="J58" i="146"/>
  <c r="I58" i="146"/>
  <c r="H58" i="146"/>
  <c r="G58" i="146"/>
  <c r="F58" i="146"/>
  <c r="E58" i="146"/>
  <c r="D58" i="146"/>
  <c r="C58" i="146"/>
  <c r="B58" i="146"/>
  <c r="C54" i="146"/>
  <c r="C53" i="146"/>
  <c r="B53" i="146"/>
  <c r="C52" i="146"/>
  <c r="B52" i="146"/>
  <c r="C51" i="146"/>
  <c r="B51" i="146"/>
  <c r="C50" i="146"/>
  <c r="B50" i="146"/>
  <c r="C49" i="146"/>
  <c r="B49" i="146"/>
  <c r="C48" i="146"/>
  <c r="B48" i="146"/>
  <c r="C47" i="146"/>
  <c r="B47" i="146"/>
  <c r="C46" i="146"/>
  <c r="B46" i="146"/>
  <c r="C45" i="146"/>
  <c r="B45" i="146"/>
  <c r="C44" i="146"/>
  <c r="B44" i="146"/>
  <c r="C43" i="146"/>
  <c r="B43" i="146"/>
  <c r="N42" i="146"/>
  <c r="M42" i="146"/>
  <c r="L42" i="146"/>
  <c r="K42" i="146"/>
  <c r="J42" i="146"/>
  <c r="I42" i="146"/>
  <c r="H42" i="146"/>
  <c r="G42" i="146"/>
  <c r="F42" i="146"/>
  <c r="E42" i="146"/>
  <c r="D42" i="146"/>
  <c r="C42" i="146"/>
  <c r="B42" i="146"/>
  <c r="B36" i="146"/>
  <c r="N35" i="146"/>
  <c r="M35" i="146"/>
  <c r="L35" i="146"/>
  <c r="K35" i="146"/>
  <c r="J35" i="146"/>
  <c r="I35" i="146"/>
  <c r="H35" i="146"/>
  <c r="G35" i="146"/>
  <c r="F35" i="146"/>
  <c r="E35" i="146"/>
  <c r="D35" i="146"/>
  <c r="C35" i="146"/>
  <c r="B35" i="146"/>
  <c r="I31" i="146"/>
  <c r="H31" i="146"/>
  <c r="G31" i="146"/>
  <c r="E31" i="146"/>
  <c r="D31" i="146"/>
  <c r="C31" i="146"/>
  <c r="B31" i="146"/>
  <c r="A31" i="146"/>
  <c r="D30" i="146"/>
  <c r="C30" i="146"/>
  <c r="B30" i="146"/>
  <c r="D29" i="146"/>
  <c r="C29" i="146"/>
  <c r="B29" i="146"/>
  <c r="D28" i="146"/>
  <c r="C28" i="146"/>
  <c r="B28" i="146"/>
  <c r="D27" i="146"/>
  <c r="C27" i="146"/>
  <c r="B27" i="146"/>
  <c r="D26" i="146"/>
  <c r="C26" i="146"/>
  <c r="B26" i="146"/>
  <c r="D25" i="146"/>
  <c r="C25" i="146"/>
  <c r="B25" i="146"/>
  <c r="D24" i="146"/>
  <c r="C24" i="146"/>
  <c r="B24" i="146"/>
  <c r="D23" i="146"/>
  <c r="C23" i="146"/>
  <c r="B23" i="146"/>
  <c r="D22" i="146"/>
  <c r="C22" i="146"/>
  <c r="B22" i="146"/>
  <c r="D21" i="146"/>
  <c r="C21" i="146"/>
  <c r="B21" i="146"/>
  <c r="D20" i="146"/>
  <c r="C20" i="146"/>
  <c r="C19" i="146"/>
  <c r="B19" i="146"/>
  <c r="C15" i="146"/>
  <c r="B15" i="146"/>
  <c r="N14" i="146"/>
  <c r="M14" i="146"/>
  <c r="L14" i="146"/>
  <c r="K14" i="146"/>
  <c r="J14" i="146"/>
  <c r="I14" i="146"/>
  <c r="H14" i="146"/>
  <c r="G14" i="146"/>
  <c r="F14" i="146"/>
  <c r="E14" i="146"/>
  <c r="D14" i="146"/>
  <c r="C14" i="146"/>
  <c r="B14" i="146"/>
  <c r="A1" i="146"/>
  <c r="B366" i="145"/>
  <c r="B365" i="145"/>
  <c r="B364" i="145"/>
  <c r="B363" i="145"/>
  <c r="B362" i="145"/>
  <c r="B361" i="145"/>
  <c r="B360" i="145"/>
  <c r="B359" i="145"/>
  <c r="B358" i="145"/>
  <c r="B357" i="145"/>
  <c r="B356" i="145"/>
  <c r="N355" i="145"/>
  <c r="M355" i="145"/>
  <c r="L355" i="145"/>
  <c r="K355" i="145"/>
  <c r="J355" i="145"/>
  <c r="I355" i="145"/>
  <c r="H355" i="145"/>
  <c r="G355" i="145"/>
  <c r="F355" i="145"/>
  <c r="E355" i="145"/>
  <c r="D355" i="145"/>
  <c r="C355" i="145"/>
  <c r="B355" i="145"/>
  <c r="B350" i="145"/>
  <c r="B349" i="145"/>
  <c r="B348" i="145"/>
  <c r="B347" i="145"/>
  <c r="B346" i="145"/>
  <c r="B345" i="145"/>
  <c r="B344" i="145"/>
  <c r="B343" i="145"/>
  <c r="B342" i="145"/>
  <c r="B341" i="145"/>
  <c r="B340" i="145"/>
  <c r="N339" i="145"/>
  <c r="M339" i="145"/>
  <c r="L339" i="145"/>
  <c r="K339" i="145"/>
  <c r="J339" i="145"/>
  <c r="I339" i="145"/>
  <c r="H339" i="145"/>
  <c r="G339" i="145"/>
  <c r="F339" i="145"/>
  <c r="E339" i="145"/>
  <c r="D339" i="145"/>
  <c r="C339" i="145"/>
  <c r="B339" i="145"/>
  <c r="B329" i="145"/>
  <c r="B328" i="145"/>
  <c r="B327" i="145"/>
  <c r="B326" i="145"/>
  <c r="B325" i="145"/>
  <c r="B324" i="145"/>
  <c r="B323" i="145"/>
  <c r="B322" i="145"/>
  <c r="B321" i="145"/>
  <c r="B320" i="145"/>
  <c r="B319" i="145"/>
  <c r="N318" i="145"/>
  <c r="M318" i="145"/>
  <c r="L318" i="145"/>
  <c r="K318" i="145"/>
  <c r="J318" i="145"/>
  <c r="I318" i="145"/>
  <c r="H318" i="145"/>
  <c r="G318" i="145"/>
  <c r="F318" i="145"/>
  <c r="E318" i="145"/>
  <c r="D318" i="145"/>
  <c r="C318" i="145"/>
  <c r="B318" i="145"/>
  <c r="B313" i="145"/>
  <c r="B312" i="145"/>
  <c r="B311" i="145"/>
  <c r="B310" i="145"/>
  <c r="B309" i="145"/>
  <c r="B308" i="145"/>
  <c r="B307" i="145"/>
  <c r="B306" i="145"/>
  <c r="B305" i="145"/>
  <c r="B304" i="145"/>
  <c r="B303" i="145"/>
  <c r="N302" i="145"/>
  <c r="M302" i="145"/>
  <c r="L302" i="145"/>
  <c r="K302" i="145"/>
  <c r="J302" i="145"/>
  <c r="I302" i="145"/>
  <c r="H302" i="145"/>
  <c r="G302" i="145"/>
  <c r="F302" i="145"/>
  <c r="E302" i="145"/>
  <c r="D302" i="145"/>
  <c r="C302" i="145"/>
  <c r="B302" i="145"/>
  <c r="N293" i="145"/>
  <c r="M293" i="145"/>
  <c r="L293" i="145"/>
  <c r="K293" i="145"/>
  <c r="J293" i="145"/>
  <c r="I293" i="145"/>
  <c r="H293" i="145"/>
  <c r="G293" i="145"/>
  <c r="F293" i="145"/>
  <c r="E293" i="145"/>
  <c r="D293" i="145"/>
  <c r="C293" i="145"/>
  <c r="C290" i="145"/>
  <c r="L289" i="145"/>
  <c r="K289" i="145"/>
  <c r="J289" i="145"/>
  <c r="I289" i="145"/>
  <c r="H289" i="145"/>
  <c r="G289" i="145"/>
  <c r="F289" i="145"/>
  <c r="E289" i="145"/>
  <c r="D289" i="145"/>
  <c r="C289" i="145"/>
  <c r="C281" i="145"/>
  <c r="C280" i="145"/>
  <c r="N278" i="145"/>
  <c r="M278" i="145"/>
  <c r="L278" i="145"/>
  <c r="K278" i="145"/>
  <c r="J278" i="145"/>
  <c r="I278" i="145"/>
  <c r="H278" i="145"/>
  <c r="G278" i="145"/>
  <c r="F278" i="145"/>
  <c r="E278" i="145"/>
  <c r="D278" i="145"/>
  <c r="C278" i="145"/>
  <c r="B273" i="145"/>
  <c r="B272" i="145"/>
  <c r="B271" i="145"/>
  <c r="B270" i="145"/>
  <c r="B269" i="145"/>
  <c r="B268" i="145"/>
  <c r="B267" i="145"/>
  <c r="B266" i="145"/>
  <c r="B265" i="145"/>
  <c r="B264" i="145"/>
  <c r="B263" i="145"/>
  <c r="N262" i="145"/>
  <c r="M262" i="145"/>
  <c r="L262" i="145"/>
  <c r="K262" i="145"/>
  <c r="J262" i="145"/>
  <c r="I262" i="145"/>
  <c r="H262" i="145"/>
  <c r="G262" i="145"/>
  <c r="F262" i="145"/>
  <c r="E262" i="145"/>
  <c r="D262" i="145"/>
  <c r="C262" i="145"/>
  <c r="B262" i="145"/>
  <c r="B257" i="145"/>
  <c r="B256" i="145"/>
  <c r="B255" i="145"/>
  <c r="B254" i="145"/>
  <c r="B253" i="145"/>
  <c r="B252" i="145"/>
  <c r="B251" i="145"/>
  <c r="B250" i="145"/>
  <c r="B249" i="145"/>
  <c r="B248" i="145"/>
  <c r="B247" i="145"/>
  <c r="N246" i="145"/>
  <c r="M246" i="145"/>
  <c r="L246" i="145"/>
  <c r="K246" i="145"/>
  <c r="J246" i="145"/>
  <c r="I246" i="145"/>
  <c r="H246" i="145"/>
  <c r="G246" i="145"/>
  <c r="F246" i="145"/>
  <c r="E246" i="145"/>
  <c r="D246" i="145"/>
  <c r="C246" i="145"/>
  <c r="B246" i="145"/>
  <c r="B239" i="145"/>
  <c r="B238" i="145"/>
  <c r="B237" i="145"/>
  <c r="B236" i="145"/>
  <c r="B235" i="145"/>
  <c r="B234" i="145"/>
  <c r="B233" i="145"/>
  <c r="B232" i="145"/>
  <c r="B231" i="145"/>
  <c r="B230" i="145"/>
  <c r="B229" i="145"/>
  <c r="N228" i="145"/>
  <c r="M228" i="145"/>
  <c r="L228" i="145"/>
  <c r="K228" i="145"/>
  <c r="J228" i="145"/>
  <c r="I228" i="145"/>
  <c r="H228" i="145"/>
  <c r="G228" i="145"/>
  <c r="F228" i="145"/>
  <c r="E228" i="145"/>
  <c r="D228" i="145"/>
  <c r="C228" i="145"/>
  <c r="B228" i="145"/>
  <c r="B223" i="145"/>
  <c r="B222" i="145"/>
  <c r="B221" i="145"/>
  <c r="B220" i="145"/>
  <c r="B219" i="145"/>
  <c r="B218" i="145"/>
  <c r="B217" i="145"/>
  <c r="B216" i="145"/>
  <c r="B215" i="145"/>
  <c r="B214" i="145"/>
  <c r="B213" i="145"/>
  <c r="N212" i="145"/>
  <c r="M212" i="145"/>
  <c r="L212" i="145"/>
  <c r="K212" i="145"/>
  <c r="J212" i="145"/>
  <c r="I212" i="145"/>
  <c r="H212" i="145"/>
  <c r="G212" i="145"/>
  <c r="F212" i="145"/>
  <c r="E212" i="145"/>
  <c r="D212" i="145"/>
  <c r="C212" i="145"/>
  <c r="B212" i="145"/>
  <c r="C206" i="145"/>
  <c r="C205" i="145"/>
  <c r="B205" i="145"/>
  <c r="C204" i="145"/>
  <c r="B204" i="145"/>
  <c r="C203" i="145"/>
  <c r="B203" i="145"/>
  <c r="C202" i="145"/>
  <c r="B202" i="145"/>
  <c r="C201" i="145"/>
  <c r="B201" i="145"/>
  <c r="C200" i="145"/>
  <c r="B200" i="145"/>
  <c r="C199" i="145"/>
  <c r="B199" i="145"/>
  <c r="C198" i="145"/>
  <c r="B198" i="145"/>
  <c r="C197" i="145"/>
  <c r="B197" i="145"/>
  <c r="C196" i="145"/>
  <c r="B196" i="145"/>
  <c r="C195" i="145"/>
  <c r="B195" i="145"/>
  <c r="N194" i="145"/>
  <c r="M194" i="145"/>
  <c r="L194" i="145"/>
  <c r="K194" i="145"/>
  <c r="J194" i="145"/>
  <c r="I194" i="145"/>
  <c r="H194" i="145"/>
  <c r="G194" i="145"/>
  <c r="F194" i="145"/>
  <c r="E194" i="145"/>
  <c r="D194" i="145"/>
  <c r="C194" i="145"/>
  <c r="B194" i="145"/>
  <c r="C190" i="145"/>
  <c r="C189" i="145"/>
  <c r="B189" i="145"/>
  <c r="C188" i="145"/>
  <c r="B188" i="145"/>
  <c r="C187" i="145"/>
  <c r="B187" i="145"/>
  <c r="C186" i="145"/>
  <c r="B186" i="145"/>
  <c r="C185" i="145"/>
  <c r="B185" i="145"/>
  <c r="C184" i="145"/>
  <c r="B184" i="145"/>
  <c r="C183" i="145"/>
  <c r="B183" i="145"/>
  <c r="C182" i="145"/>
  <c r="B182" i="145"/>
  <c r="C181" i="145"/>
  <c r="B181" i="145"/>
  <c r="C180" i="145"/>
  <c r="B180" i="145"/>
  <c r="C179" i="145"/>
  <c r="B179" i="145"/>
  <c r="N178" i="145"/>
  <c r="M178" i="145"/>
  <c r="L178" i="145"/>
  <c r="K178" i="145"/>
  <c r="J178" i="145"/>
  <c r="I178" i="145"/>
  <c r="H178" i="145"/>
  <c r="G178" i="145"/>
  <c r="F178" i="145"/>
  <c r="E178" i="145"/>
  <c r="D178" i="145"/>
  <c r="C178" i="145"/>
  <c r="B178" i="145"/>
  <c r="C172" i="145"/>
  <c r="C171" i="145"/>
  <c r="B171" i="145"/>
  <c r="C170" i="145"/>
  <c r="B170" i="145"/>
  <c r="C169" i="145"/>
  <c r="B169" i="145"/>
  <c r="C168" i="145"/>
  <c r="B168" i="145"/>
  <c r="C167" i="145"/>
  <c r="B167" i="145"/>
  <c r="C166" i="145"/>
  <c r="B166" i="145"/>
  <c r="C165" i="145"/>
  <c r="B165" i="145"/>
  <c r="C164" i="145"/>
  <c r="B164" i="145"/>
  <c r="C163" i="145"/>
  <c r="B163" i="145"/>
  <c r="C162" i="145"/>
  <c r="B162" i="145"/>
  <c r="C161" i="145"/>
  <c r="B161" i="145"/>
  <c r="N160" i="145"/>
  <c r="M160" i="145"/>
  <c r="L160" i="145"/>
  <c r="K160" i="145"/>
  <c r="J160" i="145"/>
  <c r="I160" i="145"/>
  <c r="H160" i="145"/>
  <c r="G160" i="145"/>
  <c r="F160" i="145"/>
  <c r="E160" i="145"/>
  <c r="D160" i="145"/>
  <c r="C160" i="145"/>
  <c r="B160" i="145"/>
  <c r="C156" i="145"/>
  <c r="C155" i="145"/>
  <c r="B155" i="145"/>
  <c r="C154" i="145"/>
  <c r="B154" i="145"/>
  <c r="C153" i="145"/>
  <c r="B153" i="145"/>
  <c r="C152" i="145"/>
  <c r="B152" i="145"/>
  <c r="C151" i="145"/>
  <c r="B151" i="145"/>
  <c r="C150" i="145"/>
  <c r="B150" i="145"/>
  <c r="C149" i="145"/>
  <c r="B149" i="145"/>
  <c r="C148" i="145"/>
  <c r="B148" i="145"/>
  <c r="C147" i="145"/>
  <c r="B147" i="145"/>
  <c r="C146" i="145"/>
  <c r="B146" i="145"/>
  <c r="C145" i="145"/>
  <c r="B145" i="145"/>
  <c r="N144" i="145"/>
  <c r="M144" i="145"/>
  <c r="L144" i="145"/>
  <c r="K144" i="145"/>
  <c r="J144" i="145"/>
  <c r="I144" i="145"/>
  <c r="H144" i="145"/>
  <c r="G144" i="145"/>
  <c r="F144" i="145"/>
  <c r="E144" i="145"/>
  <c r="D144" i="145"/>
  <c r="C144" i="145"/>
  <c r="B144" i="145"/>
  <c r="B137" i="145"/>
  <c r="B136" i="145"/>
  <c r="B135" i="145"/>
  <c r="B134" i="145"/>
  <c r="B133" i="145"/>
  <c r="B132" i="145"/>
  <c r="B131" i="145"/>
  <c r="B130" i="145"/>
  <c r="B129" i="145"/>
  <c r="B128" i="145"/>
  <c r="B127" i="145"/>
  <c r="N126" i="145"/>
  <c r="M126" i="145"/>
  <c r="L126" i="145"/>
  <c r="K126" i="145"/>
  <c r="J126" i="145"/>
  <c r="I126" i="145"/>
  <c r="H126" i="145"/>
  <c r="G126" i="145"/>
  <c r="F126" i="145"/>
  <c r="E126" i="145"/>
  <c r="D126" i="145"/>
  <c r="C126" i="145"/>
  <c r="B126" i="145"/>
  <c r="B121" i="145"/>
  <c r="B120" i="145"/>
  <c r="B119" i="145"/>
  <c r="B118" i="145"/>
  <c r="B117" i="145"/>
  <c r="B116" i="145"/>
  <c r="B115" i="145"/>
  <c r="B114" i="145"/>
  <c r="B113" i="145"/>
  <c r="B112" i="145"/>
  <c r="B111" i="145"/>
  <c r="N110" i="145"/>
  <c r="M110" i="145"/>
  <c r="L110" i="145"/>
  <c r="K110" i="145"/>
  <c r="J110" i="145"/>
  <c r="I110" i="145"/>
  <c r="H110" i="145"/>
  <c r="G110" i="145"/>
  <c r="F110" i="145"/>
  <c r="E110" i="145"/>
  <c r="D110" i="145"/>
  <c r="C110" i="145"/>
  <c r="B110" i="145"/>
  <c r="C104" i="145"/>
  <c r="C103" i="145"/>
  <c r="B103" i="145"/>
  <c r="C102" i="145"/>
  <c r="B102" i="145"/>
  <c r="C101" i="145"/>
  <c r="B101" i="145"/>
  <c r="C100" i="145"/>
  <c r="B100" i="145"/>
  <c r="C99" i="145"/>
  <c r="B99" i="145"/>
  <c r="C98" i="145"/>
  <c r="B98" i="145"/>
  <c r="C97" i="145"/>
  <c r="B97" i="145"/>
  <c r="C96" i="145"/>
  <c r="B96" i="145"/>
  <c r="C95" i="145"/>
  <c r="B95" i="145"/>
  <c r="C94" i="145"/>
  <c r="B94" i="145"/>
  <c r="C93" i="145"/>
  <c r="B93" i="145"/>
  <c r="N92" i="145"/>
  <c r="M92" i="145"/>
  <c r="L92" i="145"/>
  <c r="K92" i="145"/>
  <c r="J92" i="145"/>
  <c r="I92" i="145"/>
  <c r="H92" i="145"/>
  <c r="G92" i="145"/>
  <c r="F92" i="145"/>
  <c r="E92" i="145"/>
  <c r="D92" i="145"/>
  <c r="C92" i="145"/>
  <c r="B92" i="145"/>
  <c r="C88" i="145"/>
  <c r="C87" i="145"/>
  <c r="B87" i="145"/>
  <c r="C86" i="145"/>
  <c r="B86" i="145"/>
  <c r="C85" i="145"/>
  <c r="B85" i="145"/>
  <c r="C84" i="145"/>
  <c r="B84" i="145"/>
  <c r="C83" i="145"/>
  <c r="B83" i="145"/>
  <c r="C82" i="145"/>
  <c r="B82" i="145"/>
  <c r="C81" i="145"/>
  <c r="B81" i="145"/>
  <c r="C80" i="145"/>
  <c r="B80" i="145"/>
  <c r="C79" i="145"/>
  <c r="B79" i="145"/>
  <c r="C78" i="145"/>
  <c r="B78" i="145"/>
  <c r="C77" i="145"/>
  <c r="B77" i="145"/>
  <c r="N76" i="145"/>
  <c r="M76" i="145"/>
  <c r="L76" i="145"/>
  <c r="K76" i="145"/>
  <c r="J76" i="145"/>
  <c r="I76" i="145"/>
  <c r="H76" i="145"/>
  <c r="G76" i="145"/>
  <c r="F76" i="145"/>
  <c r="E76" i="145"/>
  <c r="D76" i="145"/>
  <c r="C76" i="145"/>
  <c r="B76" i="145"/>
  <c r="C70" i="145"/>
  <c r="C69" i="145"/>
  <c r="B69" i="145"/>
  <c r="C68" i="145"/>
  <c r="B68" i="145"/>
  <c r="C67" i="145"/>
  <c r="B67" i="145"/>
  <c r="C66" i="145"/>
  <c r="B66" i="145"/>
  <c r="C65" i="145"/>
  <c r="B65" i="145"/>
  <c r="C64" i="145"/>
  <c r="B64" i="145"/>
  <c r="C63" i="145"/>
  <c r="B63" i="145"/>
  <c r="C62" i="145"/>
  <c r="B62" i="145"/>
  <c r="C61" i="145"/>
  <c r="B61" i="145"/>
  <c r="C60" i="145"/>
  <c r="B60" i="145"/>
  <c r="C59" i="145"/>
  <c r="B59" i="145"/>
  <c r="N58" i="145"/>
  <c r="M58" i="145"/>
  <c r="L58" i="145"/>
  <c r="K58" i="145"/>
  <c r="J58" i="145"/>
  <c r="I58" i="145"/>
  <c r="H58" i="145"/>
  <c r="G58" i="145"/>
  <c r="F58" i="145"/>
  <c r="E58" i="145"/>
  <c r="D58" i="145"/>
  <c r="C58" i="145"/>
  <c r="B58" i="145"/>
  <c r="C54" i="145"/>
  <c r="C53" i="145"/>
  <c r="B53" i="145"/>
  <c r="C52" i="145"/>
  <c r="B52" i="145"/>
  <c r="C51" i="145"/>
  <c r="B51" i="145"/>
  <c r="C50" i="145"/>
  <c r="B50" i="145"/>
  <c r="C49" i="145"/>
  <c r="B49" i="145"/>
  <c r="C48" i="145"/>
  <c r="B48" i="145"/>
  <c r="C47" i="145"/>
  <c r="B47" i="145"/>
  <c r="C46" i="145"/>
  <c r="B46" i="145"/>
  <c r="C45" i="145"/>
  <c r="B45" i="145"/>
  <c r="C44" i="145"/>
  <c r="B44" i="145"/>
  <c r="C43" i="145"/>
  <c r="B43" i="145"/>
  <c r="N42" i="145"/>
  <c r="M42" i="145"/>
  <c r="L42" i="145"/>
  <c r="K42" i="145"/>
  <c r="J42" i="145"/>
  <c r="I42" i="145"/>
  <c r="H42" i="145"/>
  <c r="G42" i="145"/>
  <c r="F42" i="145"/>
  <c r="E42" i="145"/>
  <c r="D42" i="145"/>
  <c r="C42" i="145"/>
  <c r="B42" i="145"/>
  <c r="B36" i="145"/>
  <c r="N35" i="145"/>
  <c r="M35" i="145"/>
  <c r="L35" i="145"/>
  <c r="K35" i="145"/>
  <c r="J35" i="145"/>
  <c r="I35" i="145"/>
  <c r="H35" i="145"/>
  <c r="G35" i="145"/>
  <c r="F35" i="145"/>
  <c r="E35" i="145"/>
  <c r="D35" i="145"/>
  <c r="C35" i="145"/>
  <c r="B35" i="145"/>
  <c r="I31" i="145"/>
  <c r="H31" i="145"/>
  <c r="G31" i="145"/>
  <c r="E31" i="145"/>
  <c r="D31" i="145"/>
  <c r="C31" i="145"/>
  <c r="B31" i="145"/>
  <c r="A31" i="145"/>
  <c r="D30" i="145"/>
  <c r="C30" i="145"/>
  <c r="B30" i="145"/>
  <c r="D29" i="145"/>
  <c r="C29" i="145"/>
  <c r="B29" i="145"/>
  <c r="D28" i="145"/>
  <c r="C28" i="145"/>
  <c r="B28" i="145"/>
  <c r="D27" i="145"/>
  <c r="C27" i="145"/>
  <c r="B27" i="145"/>
  <c r="D26" i="145"/>
  <c r="C26" i="145"/>
  <c r="B26" i="145"/>
  <c r="D25" i="145"/>
  <c r="C25" i="145"/>
  <c r="B25" i="145"/>
  <c r="D24" i="145"/>
  <c r="C24" i="145"/>
  <c r="B24" i="145"/>
  <c r="D23" i="145"/>
  <c r="C23" i="145"/>
  <c r="B23" i="145"/>
  <c r="D22" i="145"/>
  <c r="C22" i="145"/>
  <c r="B22" i="145"/>
  <c r="D21" i="145"/>
  <c r="C21" i="145"/>
  <c r="B21" i="145"/>
  <c r="D20" i="145"/>
  <c r="C20" i="145"/>
  <c r="C19" i="145"/>
  <c r="B19" i="145"/>
  <c r="C15" i="145"/>
  <c r="B15" i="145"/>
  <c r="N14" i="145"/>
  <c r="M14" i="145"/>
  <c r="L14" i="145"/>
  <c r="K14" i="145"/>
  <c r="J14" i="145"/>
  <c r="I14" i="145"/>
  <c r="H14" i="145"/>
  <c r="G14" i="145"/>
  <c r="F14" i="145"/>
  <c r="E14" i="145"/>
  <c r="D14" i="145"/>
  <c r="C14" i="145"/>
  <c r="B14" i="145"/>
  <c r="A1" i="145"/>
  <c r="B366" i="144"/>
  <c r="B365" i="144"/>
  <c r="B364" i="144"/>
  <c r="B363" i="144"/>
  <c r="B362" i="144"/>
  <c r="B361" i="144"/>
  <c r="B360" i="144"/>
  <c r="B359" i="144"/>
  <c r="B358" i="144"/>
  <c r="B357" i="144"/>
  <c r="B356" i="144"/>
  <c r="N355" i="144"/>
  <c r="M355" i="144"/>
  <c r="L355" i="144"/>
  <c r="K355" i="144"/>
  <c r="J355" i="144"/>
  <c r="I355" i="144"/>
  <c r="H355" i="144"/>
  <c r="G355" i="144"/>
  <c r="F355" i="144"/>
  <c r="E355" i="144"/>
  <c r="D355" i="144"/>
  <c r="C355" i="144"/>
  <c r="B355" i="144"/>
  <c r="B350" i="144"/>
  <c r="B349" i="144"/>
  <c r="B348" i="144"/>
  <c r="B347" i="144"/>
  <c r="B346" i="144"/>
  <c r="B345" i="144"/>
  <c r="B344" i="144"/>
  <c r="B343" i="144"/>
  <c r="B342" i="144"/>
  <c r="B341" i="144"/>
  <c r="B340" i="144"/>
  <c r="N339" i="144"/>
  <c r="M339" i="144"/>
  <c r="L339" i="144"/>
  <c r="K339" i="144"/>
  <c r="J339" i="144"/>
  <c r="I339" i="144"/>
  <c r="H339" i="144"/>
  <c r="G339" i="144"/>
  <c r="F339" i="144"/>
  <c r="E339" i="144"/>
  <c r="D339" i="144"/>
  <c r="C339" i="144"/>
  <c r="B339" i="144"/>
  <c r="B329" i="144"/>
  <c r="B328" i="144"/>
  <c r="B327" i="144"/>
  <c r="B326" i="144"/>
  <c r="B325" i="144"/>
  <c r="B324" i="144"/>
  <c r="B323" i="144"/>
  <c r="B322" i="144"/>
  <c r="B321" i="144"/>
  <c r="B320" i="144"/>
  <c r="B319" i="144"/>
  <c r="N318" i="144"/>
  <c r="M318" i="144"/>
  <c r="L318" i="144"/>
  <c r="K318" i="144"/>
  <c r="J318" i="144"/>
  <c r="I318" i="144"/>
  <c r="H318" i="144"/>
  <c r="G318" i="144"/>
  <c r="F318" i="144"/>
  <c r="E318" i="144"/>
  <c r="D318" i="144"/>
  <c r="C318" i="144"/>
  <c r="B318" i="144"/>
  <c r="B313" i="144"/>
  <c r="B312" i="144"/>
  <c r="B311" i="144"/>
  <c r="B310" i="144"/>
  <c r="B309" i="144"/>
  <c r="B308" i="144"/>
  <c r="B307" i="144"/>
  <c r="B306" i="144"/>
  <c r="B305" i="144"/>
  <c r="B304" i="144"/>
  <c r="B303" i="144"/>
  <c r="N302" i="144"/>
  <c r="M302" i="144"/>
  <c r="L302" i="144"/>
  <c r="K302" i="144"/>
  <c r="J302" i="144"/>
  <c r="I302" i="144"/>
  <c r="H302" i="144"/>
  <c r="G302" i="144"/>
  <c r="F302" i="144"/>
  <c r="E302" i="144"/>
  <c r="D302" i="144"/>
  <c r="C302" i="144"/>
  <c r="B302" i="144"/>
  <c r="N293" i="144"/>
  <c r="M293" i="144"/>
  <c r="L293" i="144"/>
  <c r="K293" i="144"/>
  <c r="J293" i="144"/>
  <c r="I293" i="144"/>
  <c r="H293" i="144"/>
  <c r="G293" i="144"/>
  <c r="F293" i="144"/>
  <c r="E293" i="144"/>
  <c r="D293" i="144"/>
  <c r="C293" i="144"/>
  <c r="C290" i="144"/>
  <c r="N289" i="144"/>
  <c r="M289" i="144"/>
  <c r="L289" i="144"/>
  <c r="K289" i="144"/>
  <c r="J289" i="144"/>
  <c r="I289" i="144"/>
  <c r="H289" i="144"/>
  <c r="G289" i="144"/>
  <c r="F289" i="144"/>
  <c r="E289" i="144"/>
  <c r="D289" i="144"/>
  <c r="C289" i="144"/>
  <c r="C281" i="144"/>
  <c r="C280" i="144"/>
  <c r="N278" i="144"/>
  <c r="M278" i="144"/>
  <c r="L278" i="144"/>
  <c r="K278" i="144"/>
  <c r="J278" i="144"/>
  <c r="I278" i="144"/>
  <c r="H278" i="144"/>
  <c r="G278" i="144"/>
  <c r="F278" i="144"/>
  <c r="E278" i="144"/>
  <c r="D278" i="144"/>
  <c r="C278" i="144"/>
  <c r="B273" i="144"/>
  <c r="B272" i="144"/>
  <c r="B271" i="144"/>
  <c r="B270" i="144"/>
  <c r="B269" i="144"/>
  <c r="B268" i="144"/>
  <c r="B267" i="144"/>
  <c r="B266" i="144"/>
  <c r="B265" i="144"/>
  <c r="B264" i="144"/>
  <c r="B263" i="144"/>
  <c r="N262" i="144"/>
  <c r="M262" i="144"/>
  <c r="L262" i="144"/>
  <c r="K262" i="144"/>
  <c r="J262" i="144"/>
  <c r="I262" i="144"/>
  <c r="H262" i="144"/>
  <c r="G262" i="144"/>
  <c r="F262" i="144"/>
  <c r="E262" i="144"/>
  <c r="D262" i="144"/>
  <c r="C262" i="144"/>
  <c r="B262" i="144"/>
  <c r="B257" i="144"/>
  <c r="B256" i="144"/>
  <c r="B255" i="144"/>
  <c r="B254" i="144"/>
  <c r="B253" i="144"/>
  <c r="B252" i="144"/>
  <c r="B251" i="144"/>
  <c r="B250" i="144"/>
  <c r="B249" i="144"/>
  <c r="B248" i="144"/>
  <c r="B247" i="144"/>
  <c r="N246" i="144"/>
  <c r="M246" i="144"/>
  <c r="L246" i="144"/>
  <c r="K246" i="144"/>
  <c r="J246" i="144"/>
  <c r="I246" i="144"/>
  <c r="H246" i="144"/>
  <c r="G246" i="144"/>
  <c r="F246" i="144"/>
  <c r="E246" i="144"/>
  <c r="D246" i="144"/>
  <c r="C246" i="144"/>
  <c r="B246" i="144"/>
  <c r="B239" i="144"/>
  <c r="B238" i="144"/>
  <c r="B237" i="144"/>
  <c r="B236" i="144"/>
  <c r="B235" i="144"/>
  <c r="B234" i="144"/>
  <c r="B233" i="144"/>
  <c r="B232" i="144"/>
  <c r="B231" i="144"/>
  <c r="B230" i="144"/>
  <c r="B229" i="144"/>
  <c r="N228" i="144"/>
  <c r="M228" i="144"/>
  <c r="L228" i="144"/>
  <c r="K228" i="144"/>
  <c r="J228" i="144"/>
  <c r="I228" i="144"/>
  <c r="H228" i="144"/>
  <c r="G228" i="144"/>
  <c r="F228" i="144"/>
  <c r="E228" i="144"/>
  <c r="D228" i="144"/>
  <c r="C228" i="144"/>
  <c r="B228" i="144"/>
  <c r="B223" i="144"/>
  <c r="B222" i="144"/>
  <c r="B221" i="144"/>
  <c r="B220" i="144"/>
  <c r="B219" i="144"/>
  <c r="B218" i="144"/>
  <c r="B217" i="144"/>
  <c r="B216" i="144"/>
  <c r="B215" i="144"/>
  <c r="B214" i="144"/>
  <c r="B213" i="144"/>
  <c r="N212" i="144"/>
  <c r="M212" i="144"/>
  <c r="L212" i="144"/>
  <c r="K212" i="144"/>
  <c r="J212" i="144"/>
  <c r="I212" i="144"/>
  <c r="H212" i="144"/>
  <c r="G212" i="144"/>
  <c r="F212" i="144"/>
  <c r="E212" i="144"/>
  <c r="D212" i="144"/>
  <c r="C212" i="144"/>
  <c r="B212" i="144"/>
  <c r="C206" i="144"/>
  <c r="C205" i="144"/>
  <c r="B205" i="144"/>
  <c r="C204" i="144"/>
  <c r="B204" i="144"/>
  <c r="C203" i="144"/>
  <c r="B203" i="144"/>
  <c r="C202" i="144"/>
  <c r="B202" i="144"/>
  <c r="C201" i="144"/>
  <c r="B201" i="144"/>
  <c r="C200" i="144"/>
  <c r="B200" i="144"/>
  <c r="C199" i="144"/>
  <c r="B199" i="144"/>
  <c r="C198" i="144"/>
  <c r="B198" i="144"/>
  <c r="C197" i="144"/>
  <c r="B197" i="144"/>
  <c r="C196" i="144"/>
  <c r="B196" i="144"/>
  <c r="C195" i="144"/>
  <c r="B195" i="144"/>
  <c r="N194" i="144"/>
  <c r="M194" i="144"/>
  <c r="L194" i="144"/>
  <c r="K194" i="144"/>
  <c r="J194" i="144"/>
  <c r="I194" i="144"/>
  <c r="H194" i="144"/>
  <c r="G194" i="144"/>
  <c r="F194" i="144"/>
  <c r="E194" i="144"/>
  <c r="D194" i="144"/>
  <c r="C194" i="144"/>
  <c r="B194" i="144"/>
  <c r="C190" i="144"/>
  <c r="C189" i="144"/>
  <c r="B189" i="144"/>
  <c r="C188" i="144"/>
  <c r="B188" i="144"/>
  <c r="C187" i="144"/>
  <c r="B187" i="144"/>
  <c r="C186" i="144"/>
  <c r="B186" i="144"/>
  <c r="C185" i="144"/>
  <c r="B185" i="144"/>
  <c r="C184" i="144"/>
  <c r="B184" i="144"/>
  <c r="C183" i="144"/>
  <c r="B183" i="144"/>
  <c r="C182" i="144"/>
  <c r="B182" i="144"/>
  <c r="C181" i="144"/>
  <c r="B181" i="144"/>
  <c r="C180" i="144"/>
  <c r="B180" i="144"/>
  <c r="C179" i="144"/>
  <c r="B179" i="144"/>
  <c r="N178" i="144"/>
  <c r="M178" i="144"/>
  <c r="L178" i="144"/>
  <c r="K178" i="144"/>
  <c r="J178" i="144"/>
  <c r="I178" i="144"/>
  <c r="H178" i="144"/>
  <c r="G178" i="144"/>
  <c r="F178" i="144"/>
  <c r="E178" i="144"/>
  <c r="D178" i="144"/>
  <c r="C178" i="144"/>
  <c r="B178" i="144"/>
  <c r="C172" i="144"/>
  <c r="C171" i="144"/>
  <c r="B171" i="144"/>
  <c r="C170" i="144"/>
  <c r="B170" i="144"/>
  <c r="C169" i="144"/>
  <c r="B169" i="144"/>
  <c r="C168" i="144"/>
  <c r="B168" i="144"/>
  <c r="C167" i="144"/>
  <c r="B167" i="144"/>
  <c r="C166" i="144"/>
  <c r="B166" i="144"/>
  <c r="C165" i="144"/>
  <c r="B165" i="144"/>
  <c r="C164" i="144"/>
  <c r="B164" i="144"/>
  <c r="C163" i="144"/>
  <c r="B163" i="144"/>
  <c r="C162" i="144"/>
  <c r="B162" i="144"/>
  <c r="C161" i="144"/>
  <c r="B161" i="144"/>
  <c r="N160" i="144"/>
  <c r="M160" i="144"/>
  <c r="L160" i="144"/>
  <c r="K160" i="144"/>
  <c r="J160" i="144"/>
  <c r="I160" i="144"/>
  <c r="H160" i="144"/>
  <c r="G160" i="144"/>
  <c r="F160" i="144"/>
  <c r="E160" i="144"/>
  <c r="D160" i="144"/>
  <c r="C160" i="144"/>
  <c r="B160" i="144"/>
  <c r="C156" i="144"/>
  <c r="C155" i="144"/>
  <c r="B155" i="144"/>
  <c r="C154" i="144"/>
  <c r="B154" i="144"/>
  <c r="C153" i="144"/>
  <c r="B153" i="144"/>
  <c r="C152" i="144"/>
  <c r="B152" i="144"/>
  <c r="C151" i="144"/>
  <c r="B151" i="144"/>
  <c r="C150" i="144"/>
  <c r="B150" i="144"/>
  <c r="C149" i="144"/>
  <c r="B149" i="144"/>
  <c r="C148" i="144"/>
  <c r="B148" i="144"/>
  <c r="C147" i="144"/>
  <c r="B147" i="144"/>
  <c r="C146" i="144"/>
  <c r="B146" i="144"/>
  <c r="C145" i="144"/>
  <c r="B145" i="144"/>
  <c r="N144" i="144"/>
  <c r="M144" i="144"/>
  <c r="L144" i="144"/>
  <c r="K144" i="144"/>
  <c r="J144" i="144"/>
  <c r="I144" i="144"/>
  <c r="H144" i="144"/>
  <c r="G144" i="144"/>
  <c r="F144" i="144"/>
  <c r="E144" i="144"/>
  <c r="D144" i="144"/>
  <c r="C144" i="144"/>
  <c r="B144" i="144"/>
  <c r="B137" i="144"/>
  <c r="B136" i="144"/>
  <c r="B135" i="144"/>
  <c r="B134" i="144"/>
  <c r="B133" i="144"/>
  <c r="B132" i="144"/>
  <c r="B131" i="144"/>
  <c r="B130" i="144"/>
  <c r="B129" i="144"/>
  <c r="B128" i="144"/>
  <c r="B127" i="144"/>
  <c r="N126" i="144"/>
  <c r="M126" i="144"/>
  <c r="L126" i="144"/>
  <c r="K126" i="144"/>
  <c r="J126" i="144"/>
  <c r="I126" i="144"/>
  <c r="H126" i="144"/>
  <c r="G126" i="144"/>
  <c r="F126" i="144"/>
  <c r="E126" i="144"/>
  <c r="D126" i="144"/>
  <c r="C126" i="144"/>
  <c r="B126" i="144"/>
  <c r="B121" i="144"/>
  <c r="B120" i="144"/>
  <c r="B119" i="144"/>
  <c r="B118" i="144"/>
  <c r="B117" i="144"/>
  <c r="B116" i="144"/>
  <c r="B115" i="144"/>
  <c r="B114" i="144"/>
  <c r="B113" i="144"/>
  <c r="B112" i="144"/>
  <c r="B111" i="144"/>
  <c r="N110" i="144"/>
  <c r="M110" i="144"/>
  <c r="L110" i="144"/>
  <c r="K110" i="144"/>
  <c r="J110" i="144"/>
  <c r="I110" i="144"/>
  <c r="H110" i="144"/>
  <c r="G110" i="144"/>
  <c r="F110" i="144"/>
  <c r="E110" i="144"/>
  <c r="D110" i="144"/>
  <c r="C110" i="144"/>
  <c r="B110" i="144"/>
  <c r="C104" i="144"/>
  <c r="C103" i="144"/>
  <c r="B103" i="144"/>
  <c r="C102" i="144"/>
  <c r="B102" i="144"/>
  <c r="C101" i="144"/>
  <c r="B101" i="144"/>
  <c r="C100" i="144"/>
  <c r="B100" i="144"/>
  <c r="C99" i="144"/>
  <c r="B99" i="144"/>
  <c r="C98" i="144"/>
  <c r="B98" i="144"/>
  <c r="C97" i="144"/>
  <c r="B97" i="144"/>
  <c r="C96" i="144"/>
  <c r="B96" i="144"/>
  <c r="C95" i="144"/>
  <c r="B95" i="144"/>
  <c r="C94" i="144"/>
  <c r="B94" i="144"/>
  <c r="C93" i="144"/>
  <c r="B93" i="144"/>
  <c r="N92" i="144"/>
  <c r="M92" i="144"/>
  <c r="L92" i="144"/>
  <c r="K92" i="144"/>
  <c r="J92" i="144"/>
  <c r="I92" i="144"/>
  <c r="H92" i="144"/>
  <c r="G92" i="144"/>
  <c r="F92" i="144"/>
  <c r="E92" i="144"/>
  <c r="D92" i="144"/>
  <c r="C92" i="144"/>
  <c r="B92" i="144"/>
  <c r="C88" i="144"/>
  <c r="C87" i="144"/>
  <c r="B87" i="144"/>
  <c r="C86" i="144"/>
  <c r="B86" i="144"/>
  <c r="C85" i="144"/>
  <c r="B85" i="144"/>
  <c r="C84" i="144"/>
  <c r="B84" i="144"/>
  <c r="C83" i="144"/>
  <c r="B83" i="144"/>
  <c r="C82" i="144"/>
  <c r="B82" i="144"/>
  <c r="C81" i="144"/>
  <c r="B81" i="144"/>
  <c r="C80" i="144"/>
  <c r="B80" i="144"/>
  <c r="C79" i="144"/>
  <c r="B79" i="144"/>
  <c r="C78" i="144"/>
  <c r="B78" i="144"/>
  <c r="C77" i="144"/>
  <c r="B77" i="144"/>
  <c r="N76" i="144"/>
  <c r="M76" i="144"/>
  <c r="L76" i="144"/>
  <c r="K76" i="144"/>
  <c r="J76" i="144"/>
  <c r="I76" i="144"/>
  <c r="H76" i="144"/>
  <c r="G76" i="144"/>
  <c r="F76" i="144"/>
  <c r="E76" i="144"/>
  <c r="D76" i="144"/>
  <c r="C76" i="144"/>
  <c r="B76" i="144"/>
  <c r="C70" i="144"/>
  <c r="C69" i="144"/>
  <c r="B69" i="144"/>
  <c r="C68" i="144"/>
  <c r="B68" i="144"/>
  <c r="C67" i="144"/>
  <c r="B67" i="144"/>
  <c r="C66" i="144"/>
  <c r="B66" i="144"/>
  <c r="C65" i="144"/>
  <c r="B65" i="144"/>
  <c r="C64" i="144"/>
  <c r="B64" i="144"/>
  <c r="C63" i="144"/>
  <c r="B63" i="144"/>
  <c r="C62" i="144"/>
  <c r="B62" i="144"/>
  <c r="C61" i="144"/>
  <c r="B61" i="144"/>
  <c r="C60" i="144"/>
  <c r="B60" i="144"/>
  <c r="C59" i="144"/>
  <c r="B59" i="144"/>
  <c r="N58" i="144"/>
  <c r="M58" i="144"/>
  <c r="L58" i="144"/>
  <c r="K58" i="144"/>
  <c r="J58" i="144"/>
  <c r="I58" i="144"/>
  <c r="H58" i="144"/>
  <c r="G58" i="144"/>
  <c r="F58" i="144"/>
  <c r="E58" i="144"/>
  <c r="D58" i="144"/>
  <c r="C58" i="144"/>
  <c r="B58" i="144"/>
  <c r="C54" i="144"/>
  <c r="C53" i="144"/>
  <c r="B53" i="144"/>
  <c r="C52" i="144"/>
  <c r="B52" i="144"/>
  <c r="C51" i="144"/>
  <c r="B51" i="144"/>
  <c r="C50" i="144"/>
  <c r="B50" i="144"/>
  <c r="C49" i="144"/>
  <c r="B49" i="144"/>
  <c r="C48" i="144"/>
  <c r="B48" i="144"/>
  <c r="C47" i="144"/>
  <c r="B47" i="144"/>
  <c r="C46" i="144"/>
  <c r="B46" i="144"/>
  <c r="C45" i="144"/>
  <c r="B45" i="144"/>
  <c r="C44" i="144"/>
  <c r="B44" i="144"/>
  <c r="C43" i="144"/>
  <c r="B43" i="144"/>
  <c r="N42" i="144"/>
  <c r="M42" i="144"/>
  <c r="L42" i="144"/>
  <c r="K42" i="144"/>
  <c r="J42" i="144"/>
  <c r="I42" i="144"/>
  <c r="H42" i="144"/>
  <c r="G42" i="144"/>
  <c r="F42" i="144"/>
  <c r="E42" i="144"/>
  <c r="D42" i="144"/>
  <c r="C42" i="144"/>
  <c r="B42" i="144"/>
  <c r="B36" i="144"/>
  <c r="N35" i="144"/>
  <c r="M35" i="144"/>
  <c r="L35" i="144"/>
  <c r="K35" i="144"/>
  <c r="J35" i="144"/>
  <c r="I35" i="144"/>
  <c r="H35" i="144"/>
  <c r="G35" i="144"/>
  <c r="F35" i="144"/>
  <c r="E35" i="144"/>
  <c r="D35" i="144"/>
  <c r="C35" i="144"/>
  <c r="B35" i="144"/>
  <c r="I31" i="144"/>
  <c r="H31" i="144"/>
  <c r="G31" i="144"/>
  <c r="E31" i="144"/>
  <c r="D31" i="144"/>
  <c r="C31" i="144"/>
  <c r="B31" i="144"/>
  <c r="A31" i="144"/>
  <c r="D30" i="144"/>
  <c r="C30" i="144"/>
  <c r="B30" i="144"/>
  <c r="D29" i="144"/>
  <c r="C29" i="144"/>
  <c r="B29" i="144"/>
  <c r="D28" i="144"/>
  <c r="C28" i="144"/>
  <c r="B28" i="144"/>
  <c r="D27" i="144"/>
  <c r="C27" i="144"/>
  <c r="B27" i="144"/>
  <c r="D26" i="144"/>
  <c r="C26" i="144"/>
  <c r="B26" i="144"/>
  <c r="D25" i="144"/>
  <c r="C25" i="144"/>
  <c r="B25" i="144"/>
  <c r="D24" i="144"/>
  <c r="C24" i="144"/>
  <c r="B24" i="144"/>
  <c r="D23" i="144"/>
  <c r="C23" i="144"/>
  <c r="B23" i="144"/>
  <c r="D22" i="144"/>
  <c r="C22" i="144"/>
  <c r="B22" i="144"/>
  <c r="D21" i="144"/>
  <c r="C21" i="144"/>
  <c r="B21" i="144"/>
  <c r="D20" i="144"/>
  <c r="C20" i="144"/>
  <c r="C19" i="144"/>
  <c r="B19" i="144"/>
  <c r="C15" i="144"/>
  <c r="B15" i="144"/>
  <c r="N14" i="144"/>
  <c r="M14" i="144"/>
  <c r="L14" i="144"/>
  <c r="K14" i="144"/>
  <c r="J14" i="144"/>
  <c r="I14" i="144"/>
  <c r="H14" i="144"/>
  <c r="G14" i="144"/>
  <c r="F14" i="144"/>
  <c r="E14" i="144"/>
  <c r="D14" i="144"/>
  <c r="C14" i="144"/>
  <c r="B14" i="144"/>
  <c r="A1" i="144"/>
  <c r="B366" i="143"/>
  <c r="B365" i="143"/>
  <c r="B364" i="143"/>
  <c r="B363" i="143"/>
  <c r="B362" i="143"/>
  <c r="B361" i="143"/>
  <c r="B360" i="143"/>
  <c r="B359" i="143"/>
  <c r="B358" i="143"/>
  <c r="B357" i="143"/>
  <c r="B356" i="143"/>
  <c r="N355" i="143"/>
  <c r="M355" i="143"/>
  <c r="L355" i="143"/>
  <c r="K355" i="143"/>
  <c r="J355" i="143"/>
  <c r="I355" i="143"/>
  <c r="H355" i="143"/>
  <c r="G355" i="143"/>
  <c r="F355" i="143"/>
  <c r="E355" i="143"/>
  <c r="D355" i="143"/>
  <c r="C355" i="143"/>
  <c r="B355" i="143"/>
  <c r="B350" i="143"/>
  <c r="B349" i="143"/>
  <c r="B348" i="143"/>
  <c r="B347" i="143"/>
  <c r="B346" i="143"/>
  <c r="B345" i="143"/>
  <c r="B344" i="143"/>
  <c r="B343" i="143"/>
  <c r="B342" i="143"/>
  <c r="B341" i="143"/>
  <c r="B340" i="143"/>
  <c r="N339" i="143"/>
  <c r="M339" i="143"/>
  <c r="L339" i="143"/>
  <c r="K339" i="143"/>
  <c r="J339" i="143"/>
  <c r="I339" i="143"/>
  <c r="H339" i="143"/>
  <c r="G339" i="143"/>
  <c r="F339" i="143"/>
  <c r="E339" i="143"/>
  <c r="D339" i="143"/>
  <c r="C339" i="143"/>
  <c r="B339" i="143"/>
  <c r="B329" i="143"/>
  <c r="B328" i="143"/>
  <c r="B327" i="143"/>
  <c r="B326" i="143"/>
  <c r="B325" i="143"/>
  <c r="B324" i="143"/>
  <c r="B323" i="143"/>
  <c r="B322" i="143"/>
  <c r="B321" i="143"/>
  <c r="B320" i="143"/>
  <c r="B319" i="143"/>
  <c r="N318" i="143"/>
  <c r="M318" i="143"/>
  <c r="L318" i="143"/>
  <c r="K318" i="143"/>
  <c r="J318" i="143"/>
  <c r="I318" i="143"/>
  <c r="H318" i="143"/>
  <c r="G318" i="143"/>
  <c r="F318" i="143"/>
  <c r="E318" i="143"/>
  <c r="D318" i="143"/>
  <c r="C318" i="143"/>
  <c r="B318" i="143"/>
  <c r="B313" i="143"/>
  <c r="B312" i="143"/>
  <c r="B311" i="143"/>
  <c r="B310" i="143"/>
  <c r="B309" i="143"/>
  <c r="B308" i="143"/>
  <c r="B307" i="143"/>
  <c r="B306" i="143"/>
  <c r="B305" i="143"/>
  <c r="B304" i="143"/>
  <c r="B303" i="143"/>
  <c r="N302" i="143"/>
  <c r="M302" i="143"/>
  <c r="L302" i="143"/>
  <c r="K302" i="143"/>
  <c r="J302" i="143"/>
  <c r="I302" i="143"/>
  <c r="H302" i="143"/>
  <c r="G302" i="143"/>
  <c r="F302" i="143"/>
  <c r="E302" i="143"/>
  <c r="D302" i="143"/>
  <c r="C302" i="143"/>
  <c r="B302" i="143"/>
  <c r="N293" i="143"/>
  <c r="M293" i="143"/>
  <c r="L293" i="143"/>
  <c r="K293" i="143"/>
  <c r="J293" i="143"/>
  <c r="I293" i="143"/>
  <c r="H293" i="143"/>
  <c r="G293" i="143"/>
  <c r="F293" i="143"/>
  <c r="E293" i="143"/>
  <c r="D293" i="143"/>
  <c r="C293" i="143"/>
  <c r="C290" i="143"/>
  <c r="N289" i="143"/>
  <c r="M289" i="143"/>
  <c r="L289" i="143"/>
  <c r="K289" i="143"/>
  <c r="J289" i="143"/>
  <c r="I289" i="143"/>
  <c r="H289" i="143"/>
  <c r="G289" i="143"/>
  <c r="F289" i="143"/>
  <c r="E289" i="143"/>
  <c r="D289" i="143"/>
  <c r="C289" i="143"/>
  <c r="C281" i="143"/>
  <c r="C280" i="143"/>
  <c r="N278" i="143"/>
  <c r="M278" i="143"/>
  <c r="L278" i="143"/>
  <c r="K278" i="143"/>
  <c r="J278" i="143"/>
  <c r="I278" i="143"/>
  <c r="H278" i="143"/>
  <c r="G278" i="143"/>
  <c r="F278" i="143"/>
  <c r="E278" i="143"/>
  <c r="D278" i="143"/>
  <c r="C278" i="143"/>
  <c r="B273" i="143"/>
  <c r="B272" i="143"/>
  <c r="B271" i="143"/>
  <c r="B270" i="143"/>
  <c r="B269" i="143"/>
  <c r="B268" i="143"/>
  <c r="B267" i="143"/>
  <c r="B266" i="143"/>
  <c r="B265" i="143"/>
  <c r="B264" i="143"/>
  <c r="B263" i="143"/>
  <c r="N262" i="143"/>
  <c r="M262" i="143"/>
  <c r="L262" i="143"/>
  <c r="K262" i="143"/>
  <c r="J262" i="143"/>
  <c r="I262" i="143"/>
  <c r="H262" i="143"/>
  <c r="G262" i="143"/>
  <c r="F262" i="143"/>
  <c r="E262" i="143"/>
  <c r="D262" i="143"/>
  <c r="C262" i="143"/>
  <c r="B262" i="143"/>
  <c r="B257" i="143"/>
  <c r="B256" i="143"/>
  <c r="B255" i="143"/>
  <c r="B254" i="143"/>
  <c r="B253" i="143"/>
  <c r="B252" i="143"/>
  <c r="B251" i="143"/>
  <c r="B250" i="143"/>
  <c r="B249" i="143"/>
  <c r="B248" i="143"/>
  <c r="B247" i="143"/>
  <c r="N246" i="143"/>
  <c r="M246" i="143"/>
  <c r="L246" i="143"/>
  <c r="K246" i="143"/>
  <c r="J246" i="143"/>
  <c r="I246" i="143"/>
  <c r="H246" i="143"/>
  <c r="G246" i="143"/>
  <c r="F246" i="143"/>
  <c r="E246" i="143"/>
  <c r="D246" i="143"/>
  <c r="C246" i="143"/>
  <c r="B246" i="143"/>
  <c r="B239" i="143"/>
  <c r="B238" i="143"/>
  <c r="B237" i="143"/>
  <c r="B236" i="143"/>
  <c r="B235" i="143"/>
  <c r="B234" i="143"/>
  <c r="B233" i="143"/>
  <c r="B232" i="143"/>
  <c r="B231" i="143"/>
  <c r="B230" i="143"/>
  <c r="B229" i="143"/>
  <c r="N228" i="143"/>
  <c r="M228" i="143"/>
  <c r="L228" i="143"/>
  <c r="K228" i="143"/>
  <c r="J228" i="143"/>
  <c r="I228" i="143"/>
  <c r="H228" i="143"/>
  <c r="G228" i="143"/>
  <c r="F228" i="143"/>
  <c r="E228" i="143"/>
  <c r="D228" i="143"/>
  <c r="C228" i="143"/>
  <c r="B228" i="143"/>
  <c r="B223" i="143"/>
  <c r="B222" i="143"/>
  <c r="B221" i="143"/>
  <c r="B220" i="143"/>
  <c r="B219" i="143"/>
  <c r="B218" i="143"/>
  <c r="B217" i="143"/>
  <c r="B216" i="143"/>
  <c r="B215" i="143"/>
  <c r="B214" i="143"/>
  <c r="B213" i="143"/>
  <c r="N212" i="143"/>
  <c r="M212" i="143"/>
  <c r="L212" i="143"/>
  <c r="K212" i="143"/>
  <c r="J212" i="143"/>
  <c r="I212" i="143"/>
  <c r="H212" i="143"/>
  <c r="G212" i="143"/>
  <c r="F212" i="143"/>
  <c r="E212" i="143"/>
  <c r="D212" i="143"/>
  <c r="C212" i="143"/>
  <c r="B212" i="143"/>
  <c r="C206" i="143"/>
  <c r="C205" i="143"/>
  <c r="B205" i="143"/>
  <c r="C204" i="143"/>
  <c r="B204" i="143"/>
  <c r="C203" i="143"/>
  <c r="B203" i="143"/>
  <c r="C202" i="143"/>
  <c r="B202" i="143"/>
  <c r="C201" i="143"/>
  <c r="B201" i="143"/>
  <c r="C200" i="143"/>
  <c r="B200" i="143"/>
  <c r="C199" i="143"/>
  <c r="B199" i="143"/>
  <c r="C198" i="143"/>
  <c r="B198" i="143"/>
  <c r="C197" i="143"/>
  <c r="B197" i="143"/>
  <c r="C196" i="143"/>
  <c r="B196" i="143"/>
  <c r="C195" i="143"/>
  <c r="B195" i="143"/>
  <c r="N194" i="143"/>
  <c r="M194" i="143"/>
  <c r="L194" i="143"/>
  <c r="K194" i="143"/>
  <c r="J194" i="143"/>
  <c r="I194" i="143"/>
  <c r="H194" i="143"/>
  <c r="G194" i="143"/>
  <c r="F194" i="143"/>
  <c r="E194" i="143"/>
  <c r="D194" i="143"/>
  <c r="C194" i="143"/>
  <c r="B194" i="143"/>
  <c r="C190" i="143"/>
  <c r="C189" i="143"/>
  <c r="B189" i="143"/>
  <c r="C188" i="143"/>
  <c r="B188" i="143"/>
  <c r="C187" i="143"/>
  <c r="B187" i="143"/>
  <c r="C186" i="143"/>
  <c r="B186" i="143"/>
  <c r="C185" i="143"/>
  <c r="B185" i="143"/>
  <c r="C184" i="143"/>
  <c r="B184" i="143"/>
  <c r="C183" i="143"/>
  <c r="B183" i="143"/>
  <c r="C182" i="143"/>
  <c r="B182" i="143"/>
  <c r="C181" i="143"/>
  <c r="B181" i="143"/>
  <c r="C180" i="143"/>
  <c r="B180" i="143"/>
  <c r="C179" i="143"/>
  <c r="B179" i="143"/>
  <c r="N178" i="143"/>
  <c r="M178" i="143"/>
  <c r="L178" i="143"/>
  <c r="K178" i="143"/>
  <c r="J178" i="143"/>
  <c r="I178" i="143"/>
  <c r="H178" i="143"/>
  <c r="G178" i="143"/>
  <c r="F178" i="143"/>
  <c r="E178" i="143"/>
  <c r="D178" i="143"/>
  <c r="C178" i="143"/>
  <c r="B178" i="143"/>
  <c r="C172" i="143"/>
  <c r="C171" i="143"/>
  <c r="B171" i="143"/>
  <c r="C170" i="143"/>
  <c r="B170" i="143"/>
  <c r="C169" i="143"/>
  <c r="B169" i="143"/>
  <c r="C168" i="143"/>
  <c r="B168" i="143"/>
  <c r="C167" i="143"/>
  <c r="B167" i="143"/>
  <c r="C166" i="143"/>
  <c r="B166" i="143"/>
  <c r="C165" i="143"/>
  <c r="B165" i="143"/>
  <c r="C164" i="143"/>
  <c r="B164" i="143"/>
  <c r="C163" i="143"/>
  <c r="B163" i="143"/>
  <c r="C162" i="143"/>
  <c r="B162" i="143"/>
  <c r="C161" i="143"/>
  <c r="B161" i="143"/>
  <c r="N160" i="143"/>
  <c r="M160" i="143"/>
  <c r="L160" i="143"/>
  <c r="K160" i="143"/>
  <c r="J160" i="143"/>
  <c r="I160" i="143"/>
  <c r="H160" i="143"/>
  <c r="G160" i="143"/>
  <c r="F160" i="143"/>
  <c r="E160" i="143"/>
  <c r="D160" i="143"/>
  <c r="C160" i="143"/>
  <c r="B160" i="143"/>
  <c r="C156" i="143"/>
  <c r="C155" i="143"/>
  <c r="B155" i="143"/>
  <c r="C154" i="143"/>
  <c r="B154" i="143"/>
  <c r="C153" i="143"/>
  <c r="B153" i="143"/>
  <c r="C152" i="143"/>
  <c r="B152" i="143"/>
  <c r="C151" i="143"/>
  <c r="B151" i="143"/>
  <c r="C150" i="143"/>
  <c r="B150" i="143"/>
  <c r="C149" i="143"/>
  <c r="B149" i="143"/>
  <c r="C148" i="143"/>
  <c r="B148" i="143"/>
  <c r="C147" i="143"/>
  <c r="B147" i="143"/>
  <c r="C146" i="143"/>
  <c r="B146" i="143"/>
  <c r="C145" i="143"/>
  <c r="B145" i="143"/>
  <c r="N144" i="143"/>
  <c r="M144" i="143"/>
  <c r="L144" i="143"/>
  <c r="K144" i="143"/>
  <c r="J144" i="143"/>
  <c r="I144" i="143"/>
  <c r="H144" i="143"/>
  <c r="G144" i="143"/>
  <c r="F144" i="143"/>
  <c r="E144" i="143"/>
  <c r="D144" i="143"/>
  <c r="C144" i="143"/>
  <c r="B144" i="143"/>
  <c r="B137" i="143"/>
  <c r="B136" i="143"/>
  <c r="B135" i="143"/>
  <c r="B134" i="143"/>
  <c r="B133" i="143"/>
  <c r="B132" i="143"/>
  <c r="B131" i="143"/>
  <c r="B130" i="143"/>
  <c r="B129" i="143"/>
  <c r="B128" i="143"/>
  <c r="B127" i="143"/>
  <c r="N126" i="143"/>
  <c r="M126" i="143"/>
  <c r="L126" i="143"/>
  <c r="K126" i="143"/>
  <c r="J126" i="143"/>
  <c r="I126" i="143"/>
  <c r="H126" i="143"/>
  <c r="G126" i="143"/>
  <c r="F126" i="143"/>
  <c r="E126" i="143"/>
  <c r="D126" i="143"/>
  <c r="C126" i="143"/>
  <c r="B126" i="143"/>
  <c r="B121" i="143"/>
  <c r="B120" i="143"/>
  <c r="B119" i="143"/>
  <c r="B118" i="143"/>
  <c r="B117" i="143"/>
  <c r="B116" i="143"/>
  <c r="B115" i="143"/>
  <c r="B114" i="143"/>
  <c r="B113" i="143"/>
  <c r="B112" i="143"/>
  <c r="B111" i="143"/>
  <c r="N110" i="143"/>
  <c r="M110" i="143"/>
  <c r="L110" i="143"/>
  <c r="K110" i="143"/>
  <c r="J110" i="143"/>
  <c r="I110" i="143"/>
  <c r="H110" i="143"/>
  <c r="G110" i="143"/>
  <c r="F110" i="143"/>
  <c r="E110" i="143"/>
  <c r="D110" i="143"/>
  <c r="C110" i="143"/>
  <c r="B110" i="143"/>
  <c r="C104" i="143"/>
  <c r="C103" i="143"/>
  <c r="B103" i="143"/>
  <c r="C102" i="143"/>
  <c r="B102" i="143"/>
  <c r="C101" i="143"/>
  <c r="B101" i="143"/>
  <c r="C100" i="143"/>
  <c r="B100" i="143"/>
  <c r="C99" i="143"/>
  <c r="B99" i="143"/>
  <c r="C98" i="143"/>
  <c r="B98" i="143"/>
  <c r="C97" i="143"/>
  <c r="B97" i="143"/>
  <c r="C96" i="143"/>
  <c r="B96" i="143"/>
  <c r="C95" i="143"/>
  <c r="B95" i="143"/>
  <c r="C94" i="143"/>
  <c r="B94" i="143"/>
  <c r="C93" i="143"/>
  <c r="B93" i="143"/>
  <c r="N92" i="143"/>
  <c r="M92" i="143"/>
  <c r="L92" i="143"/>
  <c r="K92" i="143"/>
  <c r="J92" i="143"/>
  <c r="I92" i="143"/>
  <c r="H92" i="143"/>
  <c r="G92" i="143"/>
  <c r="F92" i="143"/>
  <c r="E92" i="143"/>
  <c r="D92" i="143"/>
  <c r="C92" i="143"/>
  <c r="B92" i="143"/>
  <c r="C88" i="143"/>
  <c r="C87" i="143"/>
  <c r="B87" i="143"/>
  <c r="C86" i="143"/>
  <c r="B86" i="143"/>
  <c r="C85" i="143"/>
  <c r="B85" i="143"/>
  <c r="C84" i="143"/>
  <c r="B84" i="143"/>
  <c r="C83" i="143"/>
  <c r="B83" i="143"/>
  <c r="C82" i="143"/>
  <c r="B82" i="143"/>
  <c r="C81" i="143"/>
  <c r="B81" i="143"/>
  <c r="C80" i="143"/>
  <c r="B80" i="143"/>
  <c r="C79" i="143"/>
  <c r="B79" i="143"/>
  <c r="C78" i="143"/>
  <c r="B78" i="143"/>
  <c r="C77" i="143"/>
  <c r="B77" i="143"/>
  <c r="N76" i="143"/>
  <c r="M76" i="143"/>
  <c r="L76" i="143"/>
  <c r="K76" i="143"/>
  <c r="J76" i="143"/>
  <c r="I76" i="143"/>
  <c r="H76" i="143"/>
  <c r="G76" i="143"/>
  <c r="F76" i="143"/>
  <c r="E76" i="143"/>
  <c r="D76" i="143"/>
  <c r="C76" i="143"/>
  <c r="B76" i="143"/>
  <c r="C70" i="143"/>
  <c r="C69" i="143"/>
  <c r="B69" i="143"/>
  <c r="C68" i="143"/>
  <c r="B68" i="143"/>
  <c r="C67" i="143"/>
  <c r="B67" i="143"/>
  <c r="C66" i="143"/>
  <c r="B66" i="143"/>
  <c r="C65" i="143"/>
  <c r="B65" i="143"/>
  <c r="C64" i="143"/>
  <c r="B64" i="143"/>
  <c r="C63" i="143"/>
  <c r="B63" i="143"/>
  <c r="C62" i="143"/>
  <c r="B62" i="143"/>
  <c r="C61" i="143"/>
  <c r="B61" i="143"/>
  <c r="C60" i="143"/>
  <c r="B60" i="143"/>
  <c r="C59" i="143"/>
  <c r="B59" i="143"/>
  <c r="N58" i="143"/>
  <c r="M58" i="143"/>
  <c r="L58" i="143"/>
  <c r="K58" i="143"/>
  <c r="J58" i="143"/>
  <c r="I58" i="143"/>
  <c r="H58" i="143"/>
  <c r="G58" i="143"/>
  <c r="F58" i="143"/>
  <c r="E58" i="143"/>
  <c r="D58" i="143"/>
  <c r="C58" i="143"/>
  <c r="B58" i="143"/>
  <c r="C54" i="143"/>
  <c r="C53" i="143"/>
  <c r="B53" i="143"/>
  <c r="C52" i="143"/>
  <c r="B52" i="143"/>
  <c r="C51" i="143"/>
  <c r="B51" i="143"/>
  <c r="C50" i="143"/>
  <c r="B50" i="143"/>
  <c r="C49" i="143"/>
  <c r="B49" i="143"/>
  <c r="C48" i="143"/>
  <c r="B48" i="143"/>
  <c r="C47" i="143"/>
  <c r="B47" i="143"/>
  <c r="C46" i="143"/>
  <c r="B46" i="143"/>
  <c r="C45" i="143"/>
  <c r="B45" i="143"/>
  <c r="C44" i="143"/>
  <c r="B44" i="143"/>
  <c r="C43" i="143"/>
  <c r="B43" i="143"/>
  <c r="N42" i="143"/>
  <c r="M42" i="143"/>
  <c r="L42" i="143"/>
  <c r="K42" i="143"/>
  <c r="J42" i="143"/>
  <c r="I42" i="143"/>
  <c r="H42" i="143"/>
  <c r="G42" i="143"/>
  <c r="F42" i="143"/>
  <c r="E42" i="143"/>
  <c r="D42" i="143"/>
  <c r="C42" i="143"/>
  <c r="B42" i="143"/>
  <c r="B36" i="143"/>
  <c r="N35" i="143"/>
  <c r="M35" i="143"/>
  <c r="L35" i="143"/>
  <c r="K35" i="143"/>
  <c r="J35" i="143"/>
  <c r="I35" i="143"/>
  <c r="H35" i="143"/>
  <c r="G35" i="143"/>
  <c r="F35" i="143"/>
  <c r="E35" i="143"/>
  <c r="D35" i="143"/>
  <c r="C35" i="143"/>
  <c r="B35" i="143"/>
  <c r="I31" i="143"/>
  <c r="H31" i="143"/>
  <c r="G31" i="143"/>
  <c r="E31" i="143"/>
  <c r="D31" i="143"/>
  <c r="C31" i="143"/>
  <c r="B31" i="143"/>
  <c r="A31" i="143"/>
  <c r="D30" i="143"/>
  <c r="C30" i="143"/>
  <c r="B30" i="143"/>
  <c r="D29" i="143"/>
  <c r="C29" i="143"/>
  <c r="B29" i="143"/>
  <c r="D28" i="143"/>
  <c r="C28" i="143"/>
  <c r="B28" i="143"/>
  <c r="D27" i="143"/>
  <c r="C27" i="143"/>
  <c r="B27" i="143"/>
  <c r="D26" i="143"/>
  <c r="C26" i="143"/>
  <c r="B26" i="143"/>
  <c r="D25" i="143"/>
  <c r="C25" i="143"/>
  <c r="B25" i="143"/>
  <c r="D24" i="143"/>
  <c r="C24" i="143"/>
  <c r="B24" i="143"/>
  <c r="D23" i="143"/>
  <c r="C23" i="143"/>
  <c r="B23" i="143"/>
  <c r="D22" i="143"/>
  <c r="C22" i="143"/>
  <c r="B22" i="143"/>
  <c r="D21" i="143"/>
  <c r="C21" i="143"/>
  <c r="B21" i="143"/>
  <c r="D20" i="143"/>
  <c r="C20" i="143"/>
  <c r="C19" i="143"/>
  <c r="B19" i="143"/>
  <c r="C15" i="143"/>
  <c r="B15" i="143"/>
  <c r="N14" i="143"/>
  <c r="M14" i="143"/>
  <c r="L14" i="143"/>
  <c r="K14" i="143"/>
  <c r="J14" i="143"/>
  <c r="I14" i="143"/>
  <c r="H14" i="143"/>
  <c r="G14" i="143"/>
  <c r="F14" i="143"/>
  <c r="E14" i="143"/>
  <c r="D14" i="143"/>
  <c r="C14" i="143"/>
  <c r="B14" i="143"/>
  <c r="A1" i="143"/>
  <c r="B366" i="162"/>
  <c r="B365" i="162"/>
  <c r="B364" i="162"/>
  <c r="B363" i="162"/>
  <c r="B362" i="162"/>
  <c r="B361" i="162"/>
  <c r="B360" i="162"/>
  <c r="B359" i="162"/>
  <c r="B358" i="162"/>
  <c r="B357" i="162"/>
  <c r="B356" i="162"/>
  <c r="N355" i="162"/>
  <c r="M355" i="162"/>
  <c r="L355" i="162"/>
  <c r="K355" i="162"/>
  <c r="J355" i="162"/>
  <c r="I355" i="162"/>
  <c r="H355" i="162"/>
  <c r="G355" i="162"/>
  <c r="F355" i="162"/>
  <c r="E355" i="162"/>
  <c r="D355" i="162"/>
  <c r="C355" i="162"/>
  <c r="B355" i="162"/>
  <c r="B350" i="162"/>
  <c r="B349" i="162"/>
  <c r="B348" i="162"/>
  <c r="B347" i="162"/>
  <c r="B346" i="162"/>
  <c r="B345" i="162"/>
  <c r="B344" i="162"/>
  <c r="B343" i="162"/>
  <c r="B342" i="162"/>
  <c r="B341" i="162"/>
  <c r="B340" i="162"/>
  <c r="N339" i="162"/>
  <c r="M339" i="162"/>
  <c r="L339" i="162"/>
  <c r="K339" i="162"/>
  <c r="J339" i="162"/>
  <c r="I339" i="162"/>
  <c r="H339" i="162"/>
  <c r="G339" i="162"/>
  <c r="F339" i="162"/>
  <c r="E339" i="162"/>
  <c r="D339" i="162"/>
  <c r="C339" i="162"/>
  <c r="B339" i="162"/>
  <c r="B329" i="162"/>
  <c r="B328" i="162"/>
  <c r="B327" i="162"/>
  <c r="B326" i="162"/>
  <c r="B325" i="162"/>
  <c r="B324" i="162"/>
  <c r="B323" i="162"/>
  <c r="B322" i="162"/>
  <c r="B321" i="162"/>
  <c r="B320" i="162"/>
  <c r="B319" i="162"/>
  <c r="N318" i="162"/>
  <c r="M318" i="162"/>
  <c r="L318" i="162"/>
  <c r="K318" i="162"/>
  <c r="J318" i="162"/>
  <c r="I318" i="162"/>
  <c r="H318" i="162"/>
  <c r="G318" i="162"/>
  <c r="F318" i="162"/>
  <c r="E318" i="162"/>
  <c r="D318" i="162"/>
  <c r="C318" i="162"/>
  <c r="B318" i="162"/>
  <c r="B313" i="162"/>
  <c r="B312" i="162"/>
  <c r="B311" i="162"/>
  <c r="B310" i="162"/>
  <c r="B309" i="162"/>
  <c r="B308" i="162"/>
  <c r="B307" i="162"/>
  <c r="B306" i="162"/>
  <c r="B305" i="162"/>
  <c r="B304" i="162"/>
  <c r="B303" i="162"/>
  <c r="N302" i="162"/>
  <c r="M302" i="162"/>
  <c r="L302" i="162"/>
  <c r="K302" i="162"/>
  <c r="J302" i="162"/>
  <c r="I302" i="162"/>
  <c r="H302" i="162"/>
  <c r="G302" i="162"/>
  <c r="F302" i="162"/>
  <c r="E302" i="162"/>
  <c r="D302" i="162"/>
  <c r="C302" i="162"/>
  <c r="B302" i="162"/>
  <c r="N293" i="162"/>
  <c r="M293" i="162"/>
  <c r="L293" i="162"/>
  <c r="K293" i="162"/>
  <c r="J293" i="162"/>
  <c r="I293" i="162"/>
  <c r="H293" i="162"/>
  <c r="G293" i="162"/>
  <c r="F293" i="162"/>
  <c r="E293" i="162"/>
  <c r="D293" i="162"/>
  <c r="C293" i="162"/>
  <c r="C290" i="162"/>
  <c r="N289" i="162"/>
  <c r="M289" i="162"/>
  <c r="L289" i="162"/>
  <c r="K289" i="162"/>
  <c r="J289" i="162"/>
  <c r="I289" i="162"/>
  <c r="H289" i="162"/>
  <c r="G289" i="162"/>
  <c r="F289" i="162"/>
  <c r="E289" i="162"/>
  <c r="D289" i="162"/>
  <c r="C289" i="162"/>
  <c r="C281" i="162"/>
  <c r="C280" i="162"/>
  <c r="N278" i="162"/>
  <c r="M278" i="162"/>
  <c r="L278" i="162"/>
  <c r="K278" i="162"/>
  <c r="J278" i="162"/>
  <c r="I278" i="162"/>
  <c r="H278" i="162"/>
  <c r="G278" i="162"/>
  <c r="F278" i="162"/>
  <c r="E278" i="162"/>
  <c r="D278" i="162"/>
  <c r="C278" i="162"/>
  <c r="B273" i="162"/>
  <c r="B272" i="162"/>
  <c r="B271" i="162"/>
  <c r="B270" i="162"/>
  <c r="B269" i="162"/>
  <c r="B268" i="162"/>
  <c r="B267" i="162"/>
  <c r="B266" i="162"/>
  <c r="B265" i="162"/>
  <c r="B264" i="162"/>
  <c r="B263" i="162"/>
  <c r="N262" i="162"/>
  <c r="M262" i="162"/>
  <c r="L262" i="162"/>
  <c r="K262" i="162"/>
  <c r="J262" i="162"/>
  <c r="I262" i="162"/>
  <c r="H262" i="162"/>
  <c r="G262" i="162"/>
  <c r="F262" i="162"/>
  <c r="E262" i="162"/>
  <c r="D262" i="162"/>
  <c r="C262" i="162"/>
  <c r="B262" i="162"/>
  <c r="B257" i="162"/>
  <c r="B256" i="162"/>
  <c r="B255" i="162"/>
  <c r="B254" i="162"/>
  <c r="B253" i="162"/>
  <c r="B252" i="162"/>
  <c r="B251" i="162"/>
  <c r="B250" i="162"/>
  <c r="B249" i="162"/>
  <c r="B248" i="162"/>
  <c r="B247" i="162"/>
  <c r="N246" i="162"/>
  <c r="M246" i="162"/>
  <c r="L246" i="162"/>
  <c r="K246" i="162"/>
  <c r="J246" i="162"/>
  <c r="I246" i="162"/>
  <c r="H246" i="162"/>
  <c r="G246" i="162"/>
  <c r="F246" i="162"/>
  <c r="E246" i="162"/>
  <c r="D246" i="162"/>
  <c r="C246" i="162"/>
  <c r="B246" i="162"/>
  <c r="B239" i="162"/>
  <c r="B238" i="162"/>
  <c r="B237" i="162"/>
  <c r="B236" i="162"/>
  <c r="B235" i="162"/>
  <c r="B234" i="162"/>
  <c r="B233" i="162"/>
  <c r="B232" i="162"/>
  <c r="B231" i="162"/>
  <c r="B230" i="162"/>
  <c r="B229" i="162"/>
  <c r="N228" i="162"/>
  <c r="M228" i="162"/>
  <c r="L228" i="162"/>
  <c r="K228" i="162"/>
  <c r="J228" i="162"/>
  <c r="I228" i="162"/>
  <c r="H228" i="162"/>
  <c r="G228" i="162"/>
  <c r="F228" i="162"/>
  <c r="E228" i="162"/>
  <c r="D228" i="162"/>
  <c r="C228" i="162"/>
  <c r="B228" i="162"/>
  <c r="B223" i="162"/>
  <c r="B222" i="162"/>
  <c r="B221" i="162"/>
  <c r="B220" i="162"/>
  <c r="B219" i="162"/>
  <c r="B218" i="162"/>
  <c r="B217" i="162"/>
  <c r="B216" i="162"/>
  <c r="B215" i="162"/>
  <c r="B214" i="162"/>
  <c r="B213" i="162"/>
  <c r="N212" i="162"/>
  <c r="M212" i="162"/>
  <c r="L212" i="162"/>
  <c r="K212" i="162"/>
  <c r="J212" i="162"/>
  <c r="I212" i="162"/>
  <c r="H212" i="162"/>
  <c r="G212" i="162"/>
  <c r="F212" i="162"/>
  <c r="E212" i="162"/>
  <c r="D212" i="162"/>
  <c r="C212" i="162"/>
  <c r="B212" i="162"/>
  <c r="C206" i="162"/>
  <c r="C205" i="162"/>
  <c r="B205" i="162"/>
  <c r="C204" i="162"/>
  <c r="B204" i="162"/>
  <c r="C203" i="162"/>
  <c r="B203" i="162"/>
  <c r="C202" i="162"/>
  <c r="B202" i="162"/>
  <c r="C201" i="162"/>
  <c r="B201" i="162"/>
  <c r="C200" i="162"/>
  <c r="B200" i="162"/>
  <c r="C199" i="162"/>
  <c r="B199" i="162"/>
  <c r="C198" i="162"/>
  <c r="B198" i="162"/>
  <c r="C197" i="162"/>
  <c r="B197" i="162"/>
  <c r="C196" i="162"/>
  <c r="B196" i="162"/>
  <c r="C195" i="162"/>
  <c r="B195" i="162"/>
  <c r="N194" i="162"/>
  <c r="M194" i="162"/>
  <c r="L194" i="162"/>
  <c r="K194" i="162"/>
  <c r="J194" i="162"/>
  <c r="I194" i="162"/>
  <c r="H194" i="162"/>
  <c r="G194" i="162"/>
  <c r="F194" i="162"/>
  <c r="E194" i="162"/>
  <c r="D194" i="162"/>
  <c r="C194" i="162"/>
  <c r="B194" i="162"/>
  <c r="C190" i="162"/>
  <c r="C189" i="162"/>
  <c r="B189" i="162"/>
  <c r="C188" i="162"/>
  <c r="B188" i="162"/>
  <c r="C187" i="162"/>
  <c r="B187" i="162"/>
  <c r="C186" i="162"/>
  <c r="B186" i="162"/>
  <c r="C185" i="162"/>
  <c r="B185" i="162"/>
  <c r="C184" i="162"/>
  <c r="B184" i="162"/>
  <c r="C183" i="162"/>
  <c r="B183" i="162"/>
  <c r="C182" i="162"/>
  <c r="B182" i="162"/>
  <c r="C181" i="162"/>
  <c r="B181" i="162"/>
  <c r="C180" i="162"/>
  <c r="B180" i="162"/>
  <c r="C179" i="162"/>
  <c r="B179" i="162"/>
  <c r="N178" i="162"/>
  <c r="M178" i="162"/>
  <c r="L178" i="162"/>
  <c r="K178" i="162"/>
  <c r="J178" i="162"/>
  <c r="I178" i="162"/>
  <c r="H178" i="162"/>
  <c r="G178" i="162"/>
  <c r="F178" i="162"/>
  <c r="E178" i="162"/>
  <c r="D178" i="162"/>
  <c r="C178" i="162"/>
  <c r="B178" i="162"/>
  <c r="C172" i="162"/>
  <c r="C171" i="162"/>
  <c r="B171" i="162"/>
  <c r="C170" i="162"/>
  <c r="B170" i="162"/>
  <c r="C169" i="162"/>
  <c r="B169" i="162"/>
  <c r="C168" i="162"/>
  <c r="B168" i="162"/>
  <c r="C167" i="162"/>
  <c r="B167" i="162"/>
  <c r="C166" i="162"/>
  <c r="B166" i="162"/>
  <c r="C165" i="162"/>
  <c r="B165" i="162"/>
  <c r="C164" i="162"/>
  <c r="B164" i="162"/>
  <c r="C163" i="162"/>
  <c r="B163" i="162"/>
  <c r="C162" i="162"/>
  <c r="B162" i="162"/>
  <c r="C161" i="162"/>
  <c r="B161" i="162"/>
  <c r="N160" i="162"/>
  <c r="M160" i="162"/>
  <c r="L160" i="162"/>
  <c r="K160" i="162"/>
  <c r="J160" i="162"/>
  <c r="I160" i="162"/>
  <c r="H160" i="162"/>
  <c r="G160" i="162"/>
  <c r="F160" i="162"/>
  <c r="E160" i="162"/>
  <c r="D160" i="162"/>
  <c r="C160" i="162"/>
  <c r="B160" i="162"/>
  <c r="C156" i="162"/>
  <c r="C155" i="162"/>
  <c r="B155" i="162"/>
  <c r="C154" i="162"/>
  <c r="B154" i="162"/>
  <c r="C153" i="162"/>
  <c r="B153" i="162"/>
  <c r="C152" i="162"/>
  <c r="B152" i="162"/>
  <c r="C151" i="162"/>
  <c r="B151" i="162"/>
  <c r="C150" i="162"/>
  <c r="B150" i="162"/>
  <c r="C149" i="162"/>
  <c r="B149" i="162"/>
  <c r="C148" i="162"/>
  <c r="B148" i="162"/>
  <c r="C147" i="162"/>
  <c r="B147" i="162"/>
  <c r="C146" i="162"/>
  <c r="B146" i="162"/>
  <c r="C145" i="162"/>
  <c r="B145" i="162"/>
  <c r="N144" i="162"/>
  <c r="M144" i="162"/>
  <c r="L144" i="162"/>
  <c r="K144" i="162"/>
  <c r="J144" i="162"/>
  <c r="I144" i="162"/>
  <c r="H144" i="162"/>
  <c r="G144" i="162"/>
  <c r="F144" i="162"/>
  <c r="E144" i="162"/>
  <c r="D144" i="162"/>
  <c r="C144" i="162"/>
  <c r="B144" i="162"/>
  <c r="B137" i="162"/>
  <c r="B136" i="162"/>
  <c r="B135" i="162"/>
  <c r="B134" i="162"/>
  <c r="B133" i="162"/>
  <c r="B132" i="162"/>
  <c r="B131" i="162"/>
  <c r="B130" i="162"/>
  <c r="B129" i="162"/>
  <c r="B128" i="162"/>
  <c r="B127" i="162"/>
  <c r="N126" i="162"/>
  <c r="M126" i="162"/>
  <c r="L126" i="162"/>
  <c r="K126" i="162"/>
  <c r="J126" i="162"/>
  <c r="I126" i="162"/>
  <c r="H126" i="162"/>
  <c r="G126" i="162"/>
  <c r="F126" i="162"/>
  <c r="E126" i="162"/>
  <c r="D126" i="162"/>
  <c r="C126" i="162"/>
  <c r="B126" i="162"/>
  <c r="B121" i="162"/>
  <c r="B120" i="162"/>
  <c r="B119" i="162"/>
  <c r="B118" i="162"/>
  <c r="B117" i="162"/>
  <c r="B116" i="162"/>
  <c r="B115" i="162"/>
  <c r="B114" i="162"/>
  <c r="B113" i="162"/>
  <c r="B112" i="162"/>
  <c r="B111" i="162"/>
  <c r="N110" i="162"/>
  <c r="M110" i="162"/>
  <c r="L110" i="162"/>
  <c r="K110" i="162"/>
  <c r="J110" i="162"/>
  <c r="I110" i="162"/>
  <c r="H110" i="162"/>
  <c r="G110" i="162"/>
  <c r="F110" i="162"/>
  <c r="E110" i="162"/>
  <c r="D110" i="162"/>
  <c r="C110" i="162"/>
  <c r="B110" i="162"/>
  <c r="C104" i="162"/>
  <c r="C103" i="162"/>
  <c r="B103" i="162"/>
  <c r="C102" i="162"/>
  <c r="B102" i="162"/>
  <c r="C101" i="162"/>
  <c r="B101" i="162"/>
  <c r="C100" i="162"/>
  <c r="B100" i="162"/>
  <c r="C99" i="162"/>
  <c r="B99" i="162"/>
  <c r="C98" i="162"/>
  <c r="B98" i="162"/>
  <c r="C97" i="162"/>
  <c r="B97" i="162"/>
  <c r="C96" i="162"/>
  <c r="B96" i="162"/>
  <c r="C95" i="162"/>
  <c r="B95" i="162"/>
  <c r="C94" i="162"/>
  <c r="B94" i="162"/>
  <c r="C93" i="162"/>
  <c r="B93" i="162"/>
  <c r="N92" i="162"/>
  <c r="M92" i="162"/>
  <c r="L92" i="162"/>
  <c r="K92" i="162"/>
  <c r="J92" i="162"/>
  <c r="I92" i="162"/>
  <c r="H92" i="162"/>
  <c r="G92" i="162"/>
  <c r="F92" i="162"/>
  <c r="E92" i="162"/>
  <c r="D92" i="162"/>
  <c r="C92" i="162"/>
  <c r="B92" i="162"/>
  <c r="C88" i="162"/>
  <c r="C87" i="162"/>
  <c r="B87" i="162"/>
  <c r="C86" i="162"/>
  <c r="B86" i="162"/>
  <c r="C85" i="162"/>
  <c r="B85" i="162"/>
  <c r="C84" i="162"/>
  <c r="B84" i="162"/>
  <c r="C83" i="162"/>
  <c r="B83" i="162"/>
  <c r="C82" i="162"/>
  <c r="B82" i="162"/>
  <c r="C81" i="162"/>
  <c r="B81" i="162"/>
  <c r="C80" i="162"/>
  <c r="B80" i="162"/>
  <c r="C79" i="162"/>
  <c r="B79" i="162"/>
  <c r="C78" i="162"/>
  <c r="B78" i="162"/>
  <c r="C77" i="162"/>
  <c r="B77" i="162"/>
  <c r="N76" i="162"/>
  <c r="M76" i="162"/>
  <c r="L76" i="162"/>
  <c r="K76" i="162"/>
  <c r="J76" i="162"/>
  <c r="I76" i="162"/>
  <c r="H76" i="162"/>
  <c r="G76" i="162"/>
  <c r="F76" i="162"/>
  <c r="E76" i="162"/>
  <c r="D76" i="162"/>
  <c r="C76" i="162"/>
  <c r="B76" i="162"/>
  <c r="C70" i="162"/>
  <c r="C69" i="162"/>
  <c r="B69" i="162"/>
  <c r="C68" i="162"/>
  <c r="B68" i="162"/>
  <c r="C67" i="162"/>
  <c r="B67" i="162"/>
  <c r="C66" i="162"/>
  <c r="B66" i="162"/>
  <c r="C65" i="162"/>
  <c r="B65" i="162"/>
  <c r="C64" i="162"/>
  <c r="B64" i="162"/>
  <c r="C63" i="162"/>
  <c r="B63" i="162"/>
  <c r="C62" i="162"/>
  <c r="B62" i="162"/>
  <c r="C61" i="162"/>
  <c r="B61" i="162"/>
  <c r="C60" i="162"/>
  <c r="B60" i="162"/>
  <c r="C59" i="162"/>
  <c r="B59" i="162"/>
  <c r="N58" i="162"/>
  <c r="M58" i="162"/>
  <c r="L58" i="162"/>
  <c r="K58" i="162"/>
  <c r="J58" i="162"/>
  <c r="I58" i="162"/>
  <c r="H58" i="162"/>
  <c r="G58" i="162"/>
  <c r="F58" i="162"/>
  <c r="E58" i="162"/>
  <c r="D58" i="162"/>
  <c r="C58" i="162"/>
  <c r="B58" i="162"/>
  <c r="C54" i="162"/>
  <c r="C53" i="162"/>
  <c r="B53" i="162"/>
  <c r="C52" i="162"/>
  <c r="B52" i="162"/>
  <c r="C51" i="162"/>
  <c r="B51" i="162"/>
  <c r="C50" i="162"/>
  <c r="B50" i="162"/>
  <c r="C49" i="162"/>
  <c r="B49" i="162"/>
  <c r="C48" i="162"/>
  <c r="B48" i="162"/>
  <c r="C47" i="162"/>
  <c r="B47" i="162"/>
  <c r="C46" i="162"/>
  <c r="B46" i="162"/>
  <c r="C45" i="162"/>
  <c r="B45" i="162"/>
  <c r="C44" i="162"/>
  <c r="B44" i="162"/>
  <c r="C43" i="162"/>
  <c r="B43" i="162"/>
  <c r="N42" i="162"/>
  <c r="M42" i="162"/>
  <c r="L42" i="162"/>
  <c r="K42" i="162"/>
  <c r="J42" i="162"/>
  <c r="I42" i="162"/>
  <c r="H42" i="162"/>
  <c r="G42" i="162"/>
  <c r="F42" i="162"/>
  <c r="E42" i="162"/>
  <c r="D42" i="162"/>
  <c r="C42" i="162"/>
  <c r="B42" i="162"/>
  <c r="B36" i="162"/>
  <c r="N35" i="162"/>
  <c r="M35" i="162"/>
  <c r="L35" i="162"/>
  <c r="K35" i="162"/>
  <c r="J35" i="162"/>
  <c r="I35" i="162"/>
  <c r="H35" i="162"/>
  <c r="G35" i="162"/>
  <c r="F35" i="162"/>
  <c r="E35" i="162"/>
  <c r="D35" i="162"/>
  <c r="C35" i="162"/>
  <c r="B35" i="162"/>
  <c r="I31" i="162"/>
  <c r="H31" i="162"/>
  <c r="G31" i="162"/>
  <c r="E31" i="162"/>
  <c r="D31" i="162"/>
  <c r="C31" i="162"/>
  <c r="B31" i="162"/>
  <c r="A31" i="162"/>
  <c r="D30" i="162"/>
  <c r="C30" i="162"/>
  <c r="B30" i="162"/>
  <c r="D29" i="162"/>
  <c r="C29" i="162"/>
  <c r="B29" i="162"/>
  <c r="D28" i="162"/>
  <c r="C28" i="162"/>
  <c r="B28" i="162"/>
  <c r="D27" i="162"/>
  <c r="C27" i="162"/>
  <c r="B27" i="162"/>
  <c r="D26" i="162"/>
  <c r="C26" i="162"/>
  <c r="B26" i="162"/>
  <c r="D25" i="162"/>
  <c r="C25" i="162"/>
  <c r="B25" i="162"/>
  <c r="D24" i="162"/>
  <c r="C24" i="162"/>
  <c r="B24" i="162"/>
  <c r="D23" i="162"/>
  <c r="C23" i="162"/>
  <c r="B23" i="162"/>
  <c r="D22" i="162"/>
  <c r="C22" i="162"/>
  <c r="B22" i="162"/>
  <c r="D21" i="162"/>
  <c r="C21" i="162"/>
  <c r="B21" i="162"/>
  <c r="D20" i="162"/>
  <c r="C20" i="162"/>
  <c r="C19" i="162"/>
  <c r="B19" i="162"/>
  <c r="C15" i="162"/>
  <c r="B15" i="162"/>
  <c r="N14" i="162"/>
  <c r="M14" i="162"/>
  <c r="L14" i="162"/>
  <c r="K14" i="162"/>
  <c r="J14" i="162"/>
  <c r="I14" i="162"/>
  <c r="H14" i="162"/>
  <c r="G14" i="162"/>
  <c r="F14" i="162"/>
  <c r="E14" i="162"/>
  <c r="D14" i="162"/>
  <c r="C14" i="162"/>
  <c r="B14" i="162"/>
  <c r="A1" i="162"/>
  <c r="B366" i="142"/>
  <c r="B365" i="142"/>
  <c r="B364" i="142"/>
  <c r="B363" i="142"/>
  <c r="B362" i="142"/>
  <c r="B361" i="142"/>
  <c r="B360" i="142"/>
  <c r="B359" i="142"/>
  <c r="B358" i="142"/>
  <c r="B357" i="142"/>
  <c r="B356" i="142"/>
  <c r="N355" i="142"/>
  <c r="M355" i="142"/>
  <c r="L355" i="142"/>
  <c r="K355" i="142"/>
  <c r="J355" i="142"/>
  <c r="I355" i="142"/>
  <c r="H355" i="142"/>
  <c r="G355" i="142"/>
  <c r="F355" i="142"/>
  <c r="E355" i="142"/>
  <c r="D355" i="142"/>
  <c r="C355" i="142"/>
  <c r="B355" i="142"/>
  <c r="B350" i="142"/>
  <c r="B349" i="142"/>
  <c r="B348" i="142"/>
  <c r="B347" i="142"/>
  <c r="B346" i="142"/>
  <c r="B345" i="142"/>
  <c r="B344" i="142"/>
  <c r="B343" i="142"/>
  <c r="B342" i="142"/>
  <c r="B341" i="142"/>
  <c r="B340" i="142"/>
  <c r="N339" i="142"/>
  <c r="M339" i="142"/>
  <c r="L339" i="142"/>
  <c r="K339" i="142"/>
  <c r="J339" i="142"/>
  <c r="I339" i="142"/>
  <c r="H339" i="142"/>
  <c r="G339" i="142"/>
  <c r="F339" i="142"/>
  <c r="E339" i="142"/>
  <c r="D339" i="142"/>
  <c r="C339" i="142"/>
  <c r="B339" i="142"/>
  <c r="B329" i="142"/>
  <c r="B328" i="142"/>
  <c r="B327" i="142"/>
  <c r="B326" i="142"/>
  <c r="B325" i="142"/>
  <c r="B324" i="142"/>
  <c r="B323" i="142"/>
  <c r="B322" i="142"/>
  <c r="B321" i="142"/>
  <c r="B320" i="142"/>
  <c r="B319" i="142"/>
  <c r="N318" i="142"/>
  <c r="M318" i="142"/>
  <c r="L318" i="142"/>
  <c r="K318" i="142"/>
  <c r="J318" i="142"/>
  <c r="I318" i="142"/>
  <c r="H318" i="142"/>
  <c r="G318" i="142"/>
  <c r="F318" i="142"/>
  <c r="E318" i="142"/>
  <c r="D318" i="142"/>
  <c r="C318" i="142"/>
  <c r="B318" i="142"/>
  <c r="B313" i="142"/>
  <c r="B312" i="142"/>
  <c r="B311" i="142"/>
  <c r="B310" i="142"/>
  <c r="B309" i="142"/>
  <c r="B308" i="142"/>
  <c r="B307" i="142"/>
  <c r="B306" i="142"/>
  <c r="B305" i="142"/>
  <c r="B304" i="142"/>
  <c r="B303" i="142"/>
  <c r="N302" i="142"/>
  <c r="M302" i="142"/>
  <c r="L302" i="142"/>
  <c r="K302" i="142"/>
  <c r="J302" i="142"/>
  <c r="I302" i="142"/>
  <c r="H302" i="142"/>
  <c r="G302" i="142"/>
  <c r="F302" i="142"/>
  <c r="E302" i="142"/>
  <c r="D302" i="142"/>
  <c r="C302" i="142"/>
  <c r="B302" i="142"/>
  <c r="N293" i="142"/>
  <c r="M293" i="142"/>
  <c r="L293" i="142"/>
  <c r="K293" i="142"/>
  <c r="J293" i="142"/>
  <c r="I293" i="142"/>
  <c r="H293" i="142"/>
  <c r="G293" i="142"/>
  <c r="F293" i="142"/>
  <c r="E293" i="142"/>
  <c r="D293" i="142"/>
  <c r="C293" i="142"/>
  <c r="C290" i="142"/>
  <c r="N289" i="142"/>
  <c r="M289" i="142"/>
  <c r="L289" i="142"/>
  <c r="K289" i="142"/>
  <c r="J289" i="142"/>
  <c r="I289" i="142"/>
  <c r="H289" i="142"/>
  <c r="G289" i="142"/>
  <c r="F289" i="142"/>
  <c r="E289" i="142"/>
  <c r="D289" i="142"/>
  <c r="C289" i="142"/>
  <c r="C281" i="142"/>
  <c r="C280" i="142"/>
  <c r="N278" i="142"/>
  <c r="M278" i="142"/>
  <c r="L278" i="142"/>
  <c r="K278" i="142"/>
  <c r="J278" i="142"/>
  <c r="I278" i="142"/>
  <c r="H278" i="142"/>
  <c r="G278" i="142"/>
  <c r="F278" i="142"/>
  <c r="E278" i="142"/>
  <c r="D278" i="142"/>
  <c r="C278" i="142"/>
  <c r="B273" i="142"/>
  <c r="B272" i="142"/>
  <c r="B271" i="142"/>
  <c r="B270" i="142"/>
  <c r="B269" i="142"/>
  <c r="B268" i="142"/>
  <c r="B267" i="142"/>
  <c r="B266" i="142"/>
  <c r="B265" i="142"/>
  <c r="B264" i="142"/>
  <c r="B263" i="142"/>
  <c r="N262" i="142"/>
  <c r="M262" i="142"/>
  <c r="L262" i="142"/>
  <c r="K262" i="142"/>
  <c r="J262" i="142"/>
  <c r="I262" i="142"/>
  <c r="H262" i="142"/>
  <c r="G262" i="142"/>
  <c r="F262" i="142"/>
  <c r="E262" i="142"/>
  <c r="D262" i="142"/>
  <c r="C262" i="142"/>
  <c r="B262" i="142"/>
  <c r="B257" i="142"/>
  <c r="B256" i="142"/>
  <c r="B255" i="142"/>
  <c r="B254" i="142"/>
  <c r="B253" i="142"/>
  <c r="B252" i="142"/>
  <c r="B251" i="142"/>
  <c r="B250" i="142"/>
  <c r="B249" i="142"/>
  <c r="B248" i="142"/>
  <c r="B247" i="142"/>
  <c r="N246" i="142"/>
  <c r="M246" i="142"/>
  <c r="L246" i="142"/>
  <c r="K246" i="142"/>
  <c r="J246" i="142"/>
  <c r="I246" i="142"/>
  <c r="H246" i="142"/>
  <c r="G246" i="142"/>
  <c r="F246" i="142"/>
  <c r="E246" i="142"/>
  <c r="D246" i="142"/>
  <c r="C246" i="142"/>
  <c r="B246" i="142"/>
  <c r="B239" i="142"/>
  <c r="B238" i="142"/>
  <c r="B237" i="142"/>
  <c r="B236" i="142"/>
  <c r="B235" i="142"/>
  <c r="B234" i="142"/>
  <c r="B233" i="142"/>
  <c r="B232" i="142"/>
  <c r="B231" i="142"/>
  <c r="B230" i="142"/>
  <c r="B229" i="142"/>
  <c r="N228" i="142"/>
  <c r="M228" i="142"/>
  <c r="L228" i="142"/>
  <c r="K228" i="142"/>
  <c r="J228" i="142"/>
  <c r="I228" i="142"/>
  <c r="H228" i="142"/>
  <c r="G228" i="142"/>
  <c r="F228" i="142"/>
  <c r="E228" i="142"/>
  <c r="D228" i="142"/>
  <c r="C228" i="142"/>
  <c r="B228" i="142"/>
  <c r="B223" i="142"/>
  <c r="B222" i="142"/>
  <c r="B221" i="142"/>
  <c r="B220" i="142"/>
  <c r="B219" i="142"/>
  <c r="B218" i="142"/>
  <c r="B217" i="142"/>
  <c r="B216" i="142"/>
  <c r="B215" i="142"/>
  <c r="B214" i="142"/>
  <c r="B213" i="142"/>
  <c r="N212" i="142"/>
  <c r="M212" i="142"/>
  <c r="L212" i="142"/>
  <c r="K212" i="142"/>
  <c r="J212" i="142"/>
  <c r="I212" i="142"/>
  <c r="H212" i="142"/>
  <c r="G212" i="142"/>
  <c r="F212" i="142"/>
  <c r="E212" i="142"/>
  <c r="D212" i="142"/>
  <c r="C212" i="142"/>
  <c r="B212" i="142"/>
  <c r="C206" i="142"/>
  <c r="C205" i="142"/>
  <c r="B205" i="142"/>
  <c r="C204" i="142"/>
  <c r="B204" i="142"/>
  <c r="C203" i="142"/>
  <c r="B203" i="142"/>
  <c r="C202" i="142"/>
  <c r="B202" i="142"/>
  <c r="C201" i="142"/>
  <c r="B201" i="142"/>
  <c r="C200" i="142"/>
  <c r="B200" i="142"/>
  <c r="C199" i="142"/>
  <c r="B199" i="142"/>
  <c r="C198" i="142"/>
  <c r="B198" i="142"/>
  <c r="C197" i="142"/>
  <c r="B197" i="142"/>
  <c r="C196" i="142"/>
  <c r="B196" i="142"/>
  <c r="C195" i="142"/>
  <c r="B195" i="142"/>
  <c r="N194" i="142"/>
  <c r="M194" i="142"/>
  <c r="L194" i="142"/>
  <c r="K194" i="142"/>
  <c r="J194" i="142"/>
  <c r="I194" i="142"/>
  <c r="H194" i="142"/>
  <c r="G194" i="142"/>
  <c r="F194" i="142"/>
  <c r="E194" i="142"/>
  <c r="D194" i="142"/>
  <c r="C194" i="142"/>
  <c r="B194" i="142"/>
  <c r="C190" i="142"/>
  <c r="C189" i="142"/>
  <c r="B189" i="142"/>
  <c r="C188" i="142"/>
  <c r="B188" i="142"/>
  <c r="C187" i="142"/>
  <c r="B187" i="142"/>
  <c r="C186" i="142"/>
  <c r="B186" i="142"/>
  <c r="C185" i="142"/>
  <c r="B185" i="142"/>
  <c r="C184" i="142"/>
  <c r="B184" i="142"/>
  <c r="C183" i="142"/>
  <c r="B183" i="142"/>
  <c r="C182" i="142"/>
  <c r="B182" i="142"/>
  <c r="C181" i="142"/>
  <c r="B181" i="142"/>
  <c r="C180" i="142"/>
  <c r="B180" i="142"/>
  <c r="C179" i="142"/>
  <c r="B179" i="142"/>
  <c r="N178" i="142"/>
  <c r="M178" i="142"/>
  <c r="L178" i="142"/>
  <c r="K178" i="142"/>
  <c r="J178" i="142"/>
  <c r="I178" i="142"/>
  <c r="H178" i="142"/>
  <c r="G178" i="142"/>
  <c r="F178" i="142"/>
  <c r="E178" i="142"/>
  <c r="D178" i="142"/>
  <c r="C178" i="142"/>
  <c r="B178" i="142"/>
  <c r="C172" i="142"/>
  <c r="C171" i="142"/>
  <c r="B171" i="142"/>
  <c r="C170" i="142"/>
  <c r="B170" i="142"/>
  <c r="C169" i="142"/>
  <c r="B169" i="142"/>
  <c r="C168" i="142"/>
  <c r="B168" i="142"/>
  <c r="C167" i="142"/>
  <c r="B167" i="142"/>
  <c r="C166" i="142"/>
  <c r="B166" i="142"/>
  <c r="C165" i="142"/>
  <c r="B165" i="142"/>
  <c r="C164" i="142"/>
  <c r="B164" i="142"/>
  <c r="C163" i="142"/>
  <c r="B163" i="142"/>
  <c r="C162" i="142"/>
  <c r="B162" i="142"/>
  <c r="C161" i="142"/>
  <c r="B161" i="142"/>
  <c r="N160" i="142"/>
  <c r="M160" i="142"/>
  <c r="L160" i="142"/>
  <c r="K160" i="142"/>
  <c r="J160" i="142"/>
  <c r="I160" i="142"/>
  <c r="H160" i="142"/>
  <c r="G160" i="142"/>
  <c r="F160" i="142"/>
  <c r="E160" i="142"/>
  <c r="D160" i="142"/>
  <c r="C160" i="142"/>
  <c r="B160" i="142"/>
  <c r="C156" i="142"/>
  <c r="C155" i="142"/>
  <c r="B155" i="142"/>
  <c r="C154" i="142"/>
  <c r="B154" i="142"/>
  <c r="C153" i="142"/>
  <c r="B153" i="142"/>
  <c r="C152" i="142"/>
  <c r="B152" i="142"/>
  <c r="C151" i="142"/>
  <c r="B151" i="142"/>
  <c r="C150" i="142"/>
  <c r="B150" i="142"/>
  <c r="C149" i="142"/>
  <c r="B149" i="142"/>
  <c r="C148" i="142"/>
  <c r="B148" i="142"/>
  <c r="C147" i="142"/>
  <c r="B147" i="142"/>
  <c r="C146" i="142"/>
  <c r="B146" i="142"/>
  <c r="C145" i="142"/>
  <c r="B145" i="142"/>
  <c r="N144" i="142"/>
  <c r="M144" i="142"/>
  <c r="L144" i="142"/>
  <c r="K144" i="142"/>
  <c r="J144" i="142"/>
  <c r="I144" i="142"/>
  <c r="H144" i="142"/>
  <c r="G144" i="142"/>
  <c r="F144" i="142"/>
  <c r="E144" i="142"/>
  <c r="D144" i="142"/>
  <c r="C144" i="142"/>
  <c r="B144" i="142"/>
  <c r="B137" i="142"/>
  <c r="B136" i="142"/>
  <c r="B135" i="142"/>
  <c r="B134" i="142"/>
  <c r="B133" i="142"/>
  <c r="B132" i="142"/>
  <c r="B131" i="142"/>
  <c r="B130" i="142"/>
  <c r="B129" i="142"/>
  <c r="B128" i="142"/>
  <c r="B127" i="142"/>
  <c r="N126" i="142"/>
  <c r="M126" i="142"/>
  <c r="L126" i="142"/>
  <c r="K126" i="142"/>
  <c r="J126" i="142"/>
  <c r="I126" i="142"/>
  <c r="H126" i="142"/>
  <c r="G126" i="142"/>
  <c r="F126" i="142"/>
  <c r="E126" i="142"/>
  <c r="D126" i="142"/>
  <c r="C126" i="142"/>
  <c r="B126" i="142"/>
  <c r="B121" i="142"/>
  <c r="B120" i="142"/>
  <c r="B119" i="142"/>
  <c r="B118" i="142"/>
  <c r="B117" i="142"/>
  <c r="B116" i="142"/>
  <c r="B115" i="142"/>
  <c r="B114" i="142"/>
  <c r="B113" i="142"/>
  <c r="B112" i="142"/>
  <c r="B111" i="142"/>
  <c r="N110" i="142"/>
  <c r="M110" i="142"/>
  <c r="L110" i="142"/>
  <c r="K110" i="142"/>
  <c r="J110" i="142"/>
  <c r="I110" i="142"/>
  <c r="H110" i="142"/>
  <c r="G110" i="142"/>
  <c r="F110" i="142"/>
  <c r="E110" i="142"/>
  <c r="D110" i="142"/>
  <c r="C110" i="142"/>
  <c r="B110" i="142"/>
  <c r="C104" i="142"/>
  <c r="C103" i="142"/>
  <c r="B103" i="142"/>
  <c r="C102" i="142"/>
  <c r="B102" i="142"/>
  <c r="C101" i="142"/>
  <c r="B101" i="142"/>
  <c r="C100" i="142"/>
  <c r="B100" i="142"/>
  <c r="C99" i="142"/>
  <c r="B99" i="142"/>
  <c r="C98" i="142"/>
  <c r="B98" i="142"/>
  <c r="C97" i="142"/>
  <c r="B97" i="142"/>
  <c r="C96" i="142"/>
  <c r="B96" i="142"/>
  <c r="C95" i="142"/>
  <c r="B95" i="142"/>
  <c r="C94" i="142"/>
  <c r="B94" i="142"/>
  <c r="C93" i="142"/>
  <c r="B93" i="142"/>
  <c r="N92" i="142"/>
  <c r="M92" i="142"/>
  <c r="L92" i="142"/>
  <c r="K92" i="142"/>
  <c r="J92" i="142"/>
  <c r="I92" i="142"/>
  <c r="H92" i="142"/>
  <c r="G92" i="142"/>
  <c r="F92" i="142"/>
  <c r="E92" i="142"/>
  <c r="D92" i="142"/>
  <c r="C92" i="142"/>
  <c r="B92" i="142"/>
  <c r="C88" i="142"/>
  <c r="C87" i="142"/>
  <c r="B87" i="142"/>
  <c r="C86" i="142"/>
  <c r="B86" i="142"/>
  <c r="C85" i="142"/>
  <c r="B85" i="142"/>
  <c r="C84" i="142"/>
  <c r="B84" i="142"/>
  <c r="C83" i="142"/>
  <c r="B83" i="142"/>
  <c r="C82" i="142"/>
  <c r="B82" i="142"/>
  <c r="C81" i="142"/>
  <c r="B81" i="142"/>
  <c r="C80" i="142"/>
  <c r="B80" i="142"/>
  <c r="C79" i="142"/>
  <c r="B79" i="142"/>
  <c r="C78" i="142"/>
  <c r="B78" i="142"/>
  <c r="C77" i="142"/>
  <c r="B77" i="142"/>
  <c r="N76" i="142"/>
  <c r="M76" i="142"/>
  <c r="L76" i="142"/>
  <c r="K76" i="142"/>
  <c r="J76" i="142"/>
  <c r="I76" i="142"/>
  <c r="H76" i="142"/>
  <c r="G76" i="142"/>
  <c r="F76" i="142"/>
  <c r="E76" i="142"/>
  <c r="D76" i="142"/>
  <c r="C76" i="142"/>
  <c r="B76" i="142"/>
  <c r="C70" i="142"/>
  <c r="C69" i="142"/>
  <c r="B69" i="142"/>
  <c r="C68" i="142"/>
  <c r="B68" i="142"/>
  <c r="C67" i="142"/>
  <c r="B67" i="142"/>
  <c r="C66" i="142"/>
  <c r="B66" i="142"/>
  <c r="C65" i="142"/>
  <c r="B65" i="142"/>
  <c r="C64" i="142"/>
  <c r="B64" i="142"/>
  <c r="C63" i="142"/>
  <c r="B63" i="142"/>
  <c r="C62" i="142"/>
  <c r="B62" i="142"/>
  <c r="C61" i="142"/>
  <c r="B61" i="142"/>
  <c r="C60" i="142"/>
  <c r="B60" i="142"/>
  <c r="C59" i="142"/>
  <c r="B59" i="142"/>
  <c r="N58" i="142"/>
  <c r="M58" i="142"/>
  <c r="L58" i="142"/>
  <c r="K58" i="142"/>
  <c r="J58" i="142"/>
  <c r="I58" i="142"/>
  <c r="H58" i="142"/>
  <c r="G58" i="142"/>
  <c r="F58" i="142"/>
  <c r="E58" i="142"/>
  <c r="D58" i="142"/>
  <c r="C58" i="142"/>
  <c r="B58" i="142"/>
  <c r="C54" i="142"/>
  <c r="C53" i="142"/>
  <c r="B53" i="142"/>
  <c r="C52" i="142"/>
  <c r="B52" i="142"/>
  <c r="C51" i="142"/>
  <c r="B51" i="142"/>
  <c r="C50" i="142"/>
  <c r="B50" i="142"/>
  <c r="C49" i="142"/>
  <c r="B49" i="142"/>
  <c r="C48" i="142"/>
  <c r="B48" i="142"/>
  <c r="C47" i="142"/>
  <c r="B47" i="142"/>
  <c r="C46" i="142"/>
  <c r="B46" i="142"/>
  <c r="C45" i="142"/>
  <c r="B45" i="142"/>
  <c r="C44" i="142"/>
  <c r="B44" i="142"/>
  <c r="C43" i="142"/>
  <c r="B43" i="142"/>
  <c r="N42" i="142"/>
  <c r="M42" i="142"/>
  <c r="L42" i="142"/>
  <c r="K42" i="142"/>
  <c r="J42" i="142"/>
  <c r="I42" i="142"/>
  <c r="H42" i="142"/>
  <c r="G42" i="142"/>
  <c r="F42" i="142"/>
  <c r="E42" i="142"/>
  <c r="D42" i="142"/>
  <c r="C42" i="142"/>
  <c r="B42" i="142"/>
  <c r="B36" i="142"/>
  <c r="N35" i="142"/>
  <c r="M35" i="142"/>
  <c r="L35" i="142"/>
  <c r="K35" i="142"/>
  <c r="J35" i="142"/>
  <c r="I35" i="142"/>
  <c r="H35" i="142"/>
  <c r="G35" i="142"/>
  <c r="F35" i="142"/>
  <c r="E35" i="142"/>
  <c r="D35" i="142"/>
  <c r="C35" i="142"/>
  <c r="B35" i="142"/>
  <c r="I31" i="142"/>
  <c r="H31" i="142"/>
  <c r="G31" i="142"/>
  <c r="E31" i="142"/>
  <c r="D31" i="142"/>
  <c r="C31" i="142"/>
  <c r="B31" i="142"/>
  <c r="A31" i="142"/>
  <c r="D30" i="142"/>
  <c r="C30" i="142"/>
  <c r="B30" i="142"/>
  <c r="D29" i="142"/>
  <c r="C29" i="142"/>
  <c r="B29" i="142"/>
  <c r="D28" i="142"/>
  <c r="C28" i="142"/>
  <c r="B28" i="142"/>
  <c r="D27" i="142"/>
  <c r="C27" i="142"/>
  <c r="B27" i="142"/>
  <c r="D26" i="142"/>
  <c r="C26" i="142"/>
  <c r="B26" i="142"/>
  <c r="D25" i="142"/>
  <c r="C25" i="142"/>
  <c r="B25" i="142"/>
  <c r="D24" i="142"/>
  <c r="C24" i="142"/>
  <c r="B24" i="142"/>
  <c r="D23" i="142"/>
  <c r="C23" i="142"/>
  <c r="B23" i="142"/>
  <c r="D22" i="142"/>
  <c r="C22" i="142"/>
  <c r="B22" i="142"/>
  <c r="D21" i="142"/>
  <c r="C21" i="142"/>
  <c r="B21" i="142"/>
  <c r="D20" i="142"/>
  <c r="C20" i="142"/>
  <c r="C19" i="142"/>
  <c r="B19" i="142"/>
  <c r="C15" i="142"/>
  <c r="B15" i="142"/>
  <c r="N14" i="142"/>
  <c r="M14" i="142"/>
  <c r="L14" i="142"/>
  <c r="K14" i="142"/>
  <c r="J14" i="142"/>
  <c r="I14" i="142"/>
  <c r="H14" i="142"/>
  <c r="G14" i="142"/>
  <c r="F14" i="142"/>
  <c r="E14" i="142"/>
  <c r="D14" i="142"/>
  <c r="C14" i="142"/>
  <c r="B14" i="142"/>
  <c r="A1" i="142"/>
  <c r="B366" i="141"/>
  <c r="B365" i="141"/>
  <c r="B364" i="141"/>
  <c r="B363" i="141"/>
  <c r="B362" i="141"/>
  <c r="B361" i="141"/>
  <c r="B360" i="141"/>
  <c r="B359" i="141"/>
  <c r="B358" i="141"/>
  <c r="B357" i="141"/>
  <c r="B356" i="141"/>
  <c r="N355" i="141"/>
  <c r="M355" i="141"/>
  <c r="L355" i="141"/>
  <c r="K355" i="141"/>
  <c r="J355" i="141"/>
  <c r="I355" i="141"/>
  <c r="H355" i="141"/>
  <c r="G355" i="141"/>
  <c r="F355" i="141"/>
  <c r="E355" i="141"/>
  <c r="D355" i="141"/>
  <c r="C355" i="141"/>
  <c r="B355" i="141"/>
  <c r="B350" i="141"/>
  <c r="B349" i="141"/>
  <c r="B348" i="141"/>
  <c r="B347" i="141"/>
  <c r="B346" i="141"/>
  <c r="B345" i="141"/>
  <c r="B344" i="141"/>
  <c r="B343" i="141"/>
  <c r="B342" i="141"/>
  <c r="B341" i="141"/>
  <c r="B340" i="141"/>
  <c r="N339" i="141"/>
  <c r="M339" i="141"/>
  <c r="L339" i="141"/>
  <c r="K339" i="141"/>
  <c r="J339" i="141"/>
  <c r="I339" i="141"/>
  <c r="H339" i="141"/>
  <c r="G339" i="141"/>
  <c r="F339" i="141"/>
  <c r="E339" i="141"/>
  <c r="D339" i="141"/>
  <c r="C339" i="141"/>
  <c r="B339" i="141"/>
  <c r="B329" i="141"/>
  <c r="B328" i="141"/>
  <c r="B327" i="141"/>
  <c r="B326" i="141"/>
  <c r="B325" i="141"/>
  <c r="B324" i="141"/>
  <c r="B323" i="141"/>
  <c r="B322" i="141"/>
  <c r="B321" i="141"/>
  <c r="B320" i="141"/>
  <c r="B319" i="141"/>
  <c r="N318" i="141"/>
  <c r="M318" i="141"/>
  <c r="L318" i="141"/>
  <c r="K318" i="141"/>
  <c r="J318" i="141"/>
  <c r="I318" i="141"/>
  <c r="H318" i="141"/>
  <c r="G318" i="141"/>
  <c r="F318" i="141"/>
  <c r="E318" i="141"/>
  <c r="D318" i="141"/>
  <c r="C318" i="141"/>
  <c r="B318" i="141"/>
  <c r="B313" i="141"/>
  <c r="B312" i="141"/>
  <c r="B311" i="141"/>
  <c r="B310" i="141"/>
  <c r="B309" i="141"/>
  <c r="B308" i="141"/>
  <c r="B307" i="141"/>
  <c r="B306" i="141"/>
  <c r="B305" i="141"/>
  <c r="B304" i="141"/>
  <c r="B303" i="141"/>
  <c r="N302" i="141"/>
  <c r="M302" i="141"/>
  <c r="L302" i="141"/>
  <c r="K302" i="141"/>
  <c r="J302" i="141"/>
  <c r="I302" i="141"/>
  <c r="H302" i="141"/>
  <c r="G302" i="141"/>
  <c r="F302" i="141"/>
  <c r="E302" i="141"/>
  <c r="D302" i="141"/>
  <c r="C302" i="141"/>
  <c r="B302" i="141"/>
  <c r="N293" i="141"/>
  <c r="M293" i="141"/>
  <c r="L293" i="141"/>
  <c r="K293" i="141"/>
  <c r="J293" i="141"/>
  <c r="I293" i="141"/>
  <c r="H293" i="141"/>
  <c r="G293" i="141"/>
  <c r="F293" i="141"/>
  <c r="E293" i="141"/>
  <c r="D293" i="141"/>
  <c r="C293" i="141"/>
  <c r="C290" i="141"/>
  <c r="N289" i="141"/>
  <c r="M289" i="141"/>
  <c r="L289" i="141"/>
  <c r="K289" i="141"/>
  <c r="J289" i="141"/>
  <c r="I289" i="141"/>
  <c r="H289" i="141"/>
  <c r="G289" i="141"/>
  <c r="F289" i="141"/>
  <c r="E289" i="141"/>
  <c r="D289" i="141"/>
  <c r="C289" i="141"/>
  <c r="C281" i="141"/>
  <c r="C280" i="141"/>
  <c r="N278" i="141"/>
  <c r="M278" i="141"/>
  <c r="L278" i="141"/>
  <c r="K278" i="141"/>
  <c r="J278" i="141"/>
  <c r="I278" i="141"/>
  <c r="H278" i="141"/>
  <c r="G278" i="141"/>
  <c r="F278" i="141"/>
  <c r="E278" i="141"/>
  <c r="D278" i="141"/>
  <c r="C278" i="141"/>
  <c r="B273" i="141"/>
  <c r="B272" i="141"/>
  <c r="B271" i="141"/>
  <c r="B270" i="141"/>
  <c r="B269" i="141"/>
  <c r="B268" i="141"/>
  <c r="B267" i="141"/>
  <c r="B266" i="141"/>
  <c r="B265" i="141"/>
  <c r="B264" i="141"/>
  <c r="B263" i="141"/>
  <c r="N262" i="141"/>
  <c r="M262" i="141"/>
  <c r="L262" i="141"/>
  <c r="K262" i="141"/>
  <c r="J262" i="141"/>
  <c r="I262" i="141"/>
  <c r="H262" i="141"/>
  <c r="G262" i="141"/>
  <c r="F262" i="141"/>
  <c r="E262" i="141"/>
  <c r="D262" i="141"/>
  <c r="C262" i="141"/>
  <c r="B262" i="141"/>
  <c r="B257" i="141"/>
  <c r="B256" i="141"/>
  <c r="B255" i="141"/>
  <c r="B254" i="141"/>
  <c r="B253" i="141"/>
  <c r="B252" i="141"/>
  <c r="B251" i="141"/>
  <c r="B250" i="141"/>
  <c r="B249" i="141"/>
  <c r="B248" i="141"/>
  <c r="B247" i="141"/>
  <c r="N246" i="141"/>
  <c r="M246" i="141"/>
  <c r="L246" i="141"/>
  <c r="K246" i="141"/>
  <c r="J246" i="141"/>
  <c r="I246" i="141"/>
  <c r="H246" i="141"/>
  <c r="G246" i="141"/>
  <c r="F246" i="141"/>
  <c r="E246" i="141"/>
  <c r="D246" i="141"/>
  <c r="C246" i="141"/>
  <c r="B246" i="141"/>
  <c r="B239" i="141"/>
  <c r="B238" i="141"/>
  <c r="B237" i="141"/>
  <c r="B236" i="141"/>
  <c r="B235" i="141"/>
  <c r="B234" i="141"/>
  <c r="B233" i="141"/>
  <c r="B232" i="141"/>
  <c r="B231" i="141"/>
  <c r="B230" i="141"/>
  <c r="B229" i="141"/>
  <c r="N228" i="141"/>
  <c r="M228" i="141"/>
  <c r="L228" i="141"/>
  <c r="K228" i="141"/>
  <c r="J228" i="141"/>
  <c r="I228" i="141"/>
  <c r="H228" i="141"/>
  <c r="G228" i="141"/>
  <c r="F228" i="141"/>
  <c r="E228" i="141"/>
  <c r="D228" i="141"/>
  <c r="C228" i="141"/>
  <c r="B228" i="141"/>
  <c r="B223" i="141"/>
  <c r="B222" i="141"/>
  <c r="B221" i="141"/>
  <c r="B220" i="141"/>
  <c r="B219" i="141"/>
  <c r="B218" i="141"/>
  <c r="B217" i="141"/>
  <c r="B216" i="141"/>
  <c r="B215" i="141"/>
  <c r="B214" i="141"/>
  <c r="B213" i="141"/>
  <c r="N212" i="141"/>
  <c r="M212" i="141"/>
  <c r="L212" i="141"/>
  <c r="K212" i="141"/>
  <c r="J212" i="141"/>
  <c r="I212" i="141"/>
  <c r="H212" i="141"/>
  <c r="G212" i="141"/>
  <c r="F212" i="141"/>
  <c r="E212" i="141"/>
  <c r="D212" i="141"/>
  <c r="C212" i="141"/>
  <c r="B212" i="141"/>
  <c r="C206" i="141"/>
  <c r="C205" i="141"/>
  <c r="B205" i="141"/>
  <c r="C204" i="141"/>
  <c r="B204" i="141"/>
  <c r="C203" i="141"/>
  <c r="B203" i="141"/>
  <c r="C202" i="141"/>
  <c r="B202" i="141"/>
  <c r="C201" i="141"/>
  <c r="B201" i="141"/>
  <c r="C200" i="141"/>
  <c r="B200" i="141"/>
  <c r="C199" i="141"/>
  <c r="B199" i="141"/>
  <c r="C198" i="141"/>
  <c r="B198" i="141"/>
  <c r="C197" i="141"/>
  <c r="B197" i="141"/>
  <c r="C196" i="141"/>
  <c r="B196" i="141"/>
  <c r="C195" i="141"/>
  <c r="B195" i="141"/>
  <c r="N194" i="141"/>
  <c r="M194" i="141"/>
  <c r="L194" i="141"/>
  <c r="K194" i="141"/>
  <c r="J194" i="141"/>
  <c r="I194" i="141"/>
  <c r="H194" i="141"/>
  <c r="G194" i="141"/>
  <c r="F194" i="141"/>
  <c r="E194" i="141"/>
  <c r="D194" i="141"/>
  <c r="C194" i="141"/>
  <c r="B194" i="141"/>
  <c r="C190" i="141"/>
  <c r="C189" i="141"/>
  <c r="B189" i="141"/>
  <c r="C188" i="141"/>
  <c r="B188" i="141"/>
  <c r="C187" i="141"/>
  <c r="B187" i="141"/>
  <c r="C186" i="141"/>
  <c r="B186" i="141"/>
  <c r="C185" i="141"/>
  <c r="B185" i="141"/>
  <c r="C184" i="141"/>
  <c r="B184" i="141"/>
  <c r="C183" i="141"/>
  <c r="B183" i="141"/>
  <c r="C182" i="141"/>
  <c r="B182" i="141"/>
  <c r="C181" i="141"/>
  <c r="B181" i="141"/>
  <c r="C180" i="141"/>
  <c r="B180" i="141"/>
  <c r="C179" i="141"/>
  <c r="B179" i="141"/>
  <c r="N178" i="141"/>
  <c r="M178" i="141"/>
  <c r="L178" i="141"/>
  <c r="K178" i="141"/>
  <c r="J178" i="141"/>
  <c r="I178" i="141"/>
  <c r="H178" i="141"/>
  <c r="G178" i="141"/>
  <c r="F178" i="141"/>
  <c r="E178" i="141"/>
  <c r="D178" i="141"/>
  <c r="C178" i="141"/>
  <c r="B178" i="141"/>
  <c r="C172" i="141"/>
  <c r="C171" i="141"/>
  <c r="B171" i="141"/>
  <c r="C170" i="141"/>
  <c r="B170" i="141"/>
  <c r="C169" i="141"/>
  <c r="B169" i="141"/>
  <c r="C168" i="141"/>
  <c r="B168" i="141"/>
  <c r="C167" i="141"/>
  <c r="B167" i="141"/>
  <c r="C166" i="141"/>
  <c r="B166" i="141"/>
  <c r="C165" i="141"/>
  <c r="B165" i="141"/>
  <c r="C164" i="141"/>
  <c r="B164" i="141"/>
  <c r="C163" i="141"/>
  <c r="B163" i="141"/>
  <c r="C162" i="141"/>
  <c r="B162" i="141"/>
  <c r="C161" i="141"/>
  <c r="B161" i="141"/>
  <c r="N160" i="141"/>
  <c r="M160" i="141"/>
  <c r="L160" i="141"/>
  <c r="K160" i="141"/>
  <c r="J160" i="141"/>
  <c r="I160" i="141"/>
  <c r="H160" i="141"/>
  <c r="G160" i="141"/>
  <c r="F160" i="141"/>
  <c r="E160" i="141"/>
  <c r="D160" i="141"/>
  <c r="C160" i="141"/>
  <c r="B160" i="141"/>
  <c r="C156" i="141"/>
  <c r="C155" i="141"/>
  <c r="B155" i="141"/>
  <c r="C154" i="141"/>
  <c r="B154" i="141"/>
  <c r="C153" i="141"/>
  <c r="B153" i="141"/>
  <c r="C152" i="141"/>
  <c r="B152" i="141"/>
  <c r="C151" i="141"/>
  <c r="B151" i="141"/>
  <c r="C150" i="141"/>
  <c r="B150" i="141"/>
  <c r="C149" i="141"/>
  <c r="B149" i="141"/>
  <c r="C148" i="141"/>
  <c r="B148" i="141"/>
  <c r="C147" i="141"/>
  <c r="B147" i="141"/>
  <c r="C146" i="141"/>
  <c r="B146" i="141"/>
  <c r="C145" i="141"/>
  <c r="B145" i="141"/>
  <c r="N144" i="141"/>
  <c r="M144" i="141"/>
  <c r="L144" i="141"/>
  <c r="K144" i="141"/>
  <c r="J144" i="141"/>
  <c r="I144" i="141"/>
  <c r="H144" i="141"/>
  <c r="G144" i="141"/>
  <c r="F144" i="141"/>
  <c r="E144" i="141"/>
  <c r="D144" i="141"/>
  <c r="C144" i="141"/>
  <c r="B144" i="141"/>
  <c r="B137" i="141"/>
  <c r="B136" i="141"/>
  <c r="B135" i="141"/>
  <c r="B134" i="141"/>
  <c r="B133" i="141"/>
  <c r="B132" i="141"/>
  <c r="B131" i="141"/>
  <c r="B130" i="141"/>
  <c r="B129" i="141"/>
  <c r="B128" i="141"/>
  <c r="B127" i="141"/>
  <c r="N126" i="141"/>
  <c r="M126" i="141"/>
  <c r="L126" i="141"/>
  <c r="K126" i="141"/>
  <c r="J126" i="141"/>
  <c r="I126" i="141"/>
  <c r="H126" i="141"/>
  <c r="G126" i="141"/>
  <c r="F126" i="141"/>
  <c r="E126" i="141"/>
  <c r="D126" i="141"/>
  <c r="C126" i="141"/>
  <c r="B126" i="141"/>
  <c r="B121" i="141"/>
  <c r="B120" i="141"/>
  <c r="B119" i="141"/>
  <c r="B118" i="141"/>
  <c r="B117" i="141"/>
  <c r="B116" i="141"/>
  <c r="B115" i="141"/>
  <c r="B114" i="141"/>
  <c r="B113" i="141"/>
  <c r="B112" i="141"/>
  <c r="B111" i="141"/>
  <c r="N110" i="141"/>
  <c r="M110" i="141"/>
  <c r="L110" i="141"/>
  <c r="K110" i="141"/>
  <c r="J110" i="141"/>
  <c r="I110" i="141"/>
  <c r="H110" i="141"/>
  <c r="G110" i="141"/>
  <c r="F110" i="141"/>
  <c r="E110" i="141"/>
  <c r="D110" i="141"/>
  <c r="C110" i="141"/>
  <c r="B110" i="141"/>
  <c r="C104" i="141"/>
  <c r="C103" i="141"/>
  <c r="B103" i="141"/>
  <c r="C102" i="141"/>
  <c r="B102" i="141"/>
  <c r="C101" i="141"/>
  <c r="B101" i="141"/>
  <c r="C100" i="141"/>
  <c r="B100" i="141"/>
  <c r="C99" i="141"/>
  <c r="B99" i="141"/>
  <c r="C98" i="141"/>
  <c r="B98" i="141"/>
  <c r="C97" i="141"/>
  <c r="B97" i="141"/>
  <c r="C96" i="141"/>
  <c r="B96" i="141"/>
  <c r="C95" i="141"/>
  <c r="B95" i="141"/>
  <c r="C94" i="141"/>
  <c r="B94" i="141"/>
  <c r="C93" i="141"/>
  <c r="B93" i="141"/>
  <c r="N92" i="141"/>
  <c r="M92" i="141"/>
  <c r="L92" i="141"/>
  <c r="K92" i="141"/>
  <c r="J92" i="141"/>
  <c r="I92" i="141"/>
  <c r="H92" i="141"/>
  <c r="G92" i="141"/>
  <c r="F92" i="141"/>
  <c r="E92" i="141"/>
  <c r="D92" i="141"/>
  <c r="C92" i="141"/>
  <c r="B92" i="141"/>
  <c r="C88" i="141"/>
  <c r="C87" i="141"/>
  <c r="B87" i="141"/>
  <c r="C86" i="141"/>
  <c r="B86" i="141"/>
  <c r="C85" i="141"/>
  <c r="B85" i="141"/>
  <c r="C84" i="141"/>
  <c r="B84" i="141"/>
  <c r="C83" i="141"/>
  <c r="B83" i="141"/>
  <c r="C82" i="141"/>
  <c r="B82" i="141"/>
  <c r="C81" i="141"/>
  <c r="B81" i="141"/>
  <c r="C80" i="141"/>
  <c r="B80" i="141"/>
  <c r="C79" i="141"/>
  <c r="B79" i="141"/>
  <c r="C78" i="141"/>
  <c r="B78" i="141"/>
  <c r="C77" i="141"/>
  <c r="B77" i="141"/>
  <c r="N76" i="141"/>
  <c r="M76" i="141"/>
  <c r="L76" i="141"/>
  <c r="K76" i="141"/>
  <c r="J76" i="141"/>
  <c r="I76" i="141"/>
  <c r="H76" i="141"/>
  <c r="G76" i="141"/>
  <c r="F76" i="141"/>
  <c r="E76" i="141"/>
  <c r="D76" i="141"/>
  <c r="C76" i="141"/>
  <c r="B76" i="141"/>
  <c r="C70" i="141"/>
  <c r="C69" i="141"/>
  <c r="B69" i="141"/>
  <c r="C68" i="141"/>
  <c r="B68" i="141"/>
  <c r="C67" i="141"/>
  <c r="B67" i="141"/>
  <c r="C66" i="141"/>
  <c r="B66" i="141"/>
  <c r="C65" i="141"/>
  <c r="B65" i="141"/>
  <c r="C64" i="141"/>
  <c r="B64" i="141"/>
  <c r="C63" i="141"/>
  <c r="B63" i="141"/>
  <c r="C62" i="141"/>
  <c r="B62" i="141"/>
  <c r="C61" i="141"/>
  <c r="B61" i="141"/>
  <c r="C60" i="141"/>
  <c r="B60" i="141"/>
  <c r="C59" i="141"/>
  <c r="B59" i="141"/>
  <c r="N58" i="141"/>
  <c r="M58" i="141"/>
  <c r="L58" i="141"/>
  <c r="K58" i="141"/>
  <c r="J58" i="141"/>
  <c r="I58" i="141"/>
  <c r="H58" i="141"/>
  <c r="G58" i="141"/>
  <c r="F58" i="141"/>
  <c r="E58" i="141"/>
  <c r="D58" i="141"/>
  <c r="C58" i="141"/>
  <c r="B58" i="141"/>
  <c r="C54" i="141"/>
  <c r="C53" i="141"/>
  <c r="B53" i="141"/>
  <c r="C52" i="141"/>
  <c r="B52" i="141"/>
  <c r="C51" i="141"/>
  <c r="B51" i="141"/>
  <c r="C50" i="141"/>
  <c r="B50" i="141"/>
  <c r="C49" i="141"/>
  <c r="B49" i="141"/>
  <c r="C48" i="141"/>
  <c r="B48" i="141"/>
  <c r="C47" i="141"/>
  <c r="B47" i="141"/>
  <c r="C46" i="141"/>
  <c r="B46" i="141"/>
  <c r="C45" i="141"/>
  <c r="B45" i="141"/>
  <c r="C44" i="141"/>
  <c r="B44" i="141"/>
  <c r="C43" i="141"/>
  <c r="B43" i="141"/>
  <c r="N42" i="141"/>
  <c r="M42" i="141"/>
  <c r="L42" i="141"/>
  <c r="K42" i="141"/>
  <c r="J42" i="141"/>
  <c r="I42" i="141"/>
  <c r="H42" i="141"/>
  <c r="G42" i="141"/>
  <c r="F42" i="141"/>
  <c r="E42" i="141"/>
  <c r="D42" i="141"/>
  <c r="C42" i="141"/>
  <c r="B42" i="141"/>
  <c r="B36" i="141"/>
  <c r="N35" i="141"/>
  <c r="M35" i="141"/>
  <c r="L35" i="141"/>
  <c r="K35" i="141"/>
  <c r="J35" i="141"/>
  <c r="I35" i="141"/>
  <c r="H35" i="141"/>
  <c r="G35" i="141"/>
  <c r="F35" i="141"/>
  <c r="E35" i="141"/>
  <c r="D35" i="141"/>
  <c r="C35" i="141"/>
  <c r="B35" i="141"/>
  <c r="I31" i="141"/>
  <c r="H31" i="141"/>
  <c r="G31" i="141"/>
  <c r="E31" i="141"/>
  <c r="D31" i="141"/>
  <c r="C31" i="141"/>
  <c r="B31" i="141"/>
  <c r="A31" i="141"/>
  <c r="D30" i="141"/>
  <c r="C30" i="141"/>
  <c r="B30" i="141"/>
  <c r="D29" i="141"/>
  <c r="C29" i="141"/>
  <c r="B29" i="141"/>
  <c r="D28" i="141"/>
  <c r="C28" i="141"/>
  <c r="B28" i="141"/>
  <c r="D27" i="141"/>
  <c r="C27" i="141"/>
  <c r="B27" i="141"/>
  <c r="D26" i="141"/>
  <c r="C26" i="141"/>
  <c r="B26" i="141"/>
  <c r="D25" i="141"/>
  <c r="C25" i="141"/>
  <c r="B25" i="141"/>
  <c r="D24" i="141"/>
  <c r="C24" i="141"/>
  <c r="B24" i="141"/>
  <c r="D23" i="141"/>
  <c r="C23" i="141"/>
  <c r="B23" i="141"/>
  <c r="D22" i="141"/>
  <c r="C22" i="141"/>
  <c r="B22" i="141"/>
  <c r="D21" i="141"/>
  <c r="C21" i="141"/>
  <c r="B21" i="141"/>
  <c r="D20" i="141"/>
  <c r="C20" i="141"/>
  <c r="C19" i="141"/>
  <c r="B19" i="141"/>
  <c r="C15" i="141"/>
  <c r="B15" i="141"/>
  <c r="N14" i="141"/>
  <c r="M14" i="141"/>
  <c r="L14" i="141"/>
  <c r="K14" i="141"/>
  <c r="J14" i="141"/>
  <c r="I14" i="141"/>
  <c r="H14" i="141"/>
  <c r="G14" i="141"/>
  <c r="F14" i="141"/>
  <c r="E14" i="141"/>
  <c r="D14" i="141"/>
  <c r="C14" i="141"/>
  <c r="B14" i="141"/>
  <c r="A1" i="141"/>
  <c r="B366" i="139"/>
  <c r="B365" i="139"/>
  <c r="B364" i="139"/>
  <c r="B363" i="139"/>
  <c r="B362" i="139"/>
  <c r="B361" i="139"/>
  <c r="B360" i="139"/>
  <c r="B359" i="139"/>
  <c r="B358" i="139"/>
  <c r="B357" i="139"/>
  <c r="B356" i="139"/>
  <c r="N355" i="139"/>
  <c r="M355" i="139"/>
  <c r="L355" i="139"/>
  <c r="K355" i="139"/>
  <c r="J355" i="139"/>
  <c r="I355" i="139"/>
  <c r="H355" i="139"/>
  <c r="G355" i="139"/>
  <c r="F355" i="139"/>
  <c r="E355" i="139"/>
  <c r="D355" i="139"/>
  <c r="C355" i="139"/>
  <c r="B355" i="139"/>
  <c r="B350" i="139"/>
  <c r="B349" i="139"/>
  <c r="B348" i="139"/>
  <c r="B347" i="139"/>
  <c r="B346" i="139"/>
  <c r="B345" i="139"/>
  <c r="B344" i="139"/>
  <c r="B343" i="139"/>
  <c r="B342" i="139"/>
  <c r="B341" i="139"/>
  <c r="B340" i="139"/>
  <c r="N339" i="139"/>
  <c r="M339" i="139"/>
  <c r="L339" i="139"/>
  <c r="K339" i="139"/>
  <c r="J339" i="139"/>
  <c r="I339" i="139"/>
  <c r="H339" i="139"/>
  <c r="G339" i="139"/>
  <c r="F339" i="139"/>
  <c r="E339" i="139"/>
  <c r="D339" i="139"/>
  <c r="C339" i="139"/>
  <c r="B339" i="139"/>
  <c r="B329" i="139"/>
  <c r="B328" i="139"/>
  <c r="B327" i="139"/>
  <c r="B326" i="139"/>
  <c r="B325" i="139"/>
  <c r="B324" i="139"/>
  <c r="B323" i="139"/>
  <c r="B322" i="139"/>
  <c r="B321" i="139"/>
  <c r="B320" i="139"/>
  <c r="B319" i="139"/>
  <c r="N318" i="139"/>
  <c r="M318" i="139"/>
  <c r="L318" i="139"/>
  <c r="K318" i="139"/>
  <c r="J318" i="139"/>
  <c r="I318" i="139"/>
  <c r="H318" i="139"/>
  <c r="G318" i="139"/>
  <c r="F318" i="139"/>
  <c r="E318" i="139"/>
  <c r="D318" i="139"/>
  <c r="C318" i="139"/>
  <c r="B318" i="139"/>
  <c r="B313" i="139"/>
  <c r="B312" i="139"/>
  <c r="B311" i="139"/>
  <c r="B310" i="139"/>
  <c r="B309" i="139"/>
  <c r="B308" i="139"/>
  <c r="B307" i="139"/>
  <c r="B306" i="139"/>
  <c r="B305" i="139"/>
  <c r="B304" i="139"/>
  <c r="B303" i="139"/>
  <c r="N302" i="139"/>
  <c r="M302" i="139"/>
  <c r="L302" i="139"/>
  <c r="K302" i="139"/>
  <c r="J302" i="139"/>
  <c r="I302" i="139"/>
  <c r="H302" i="139"/>
  <c r="G302" i="139"/>
  <c r="F302" i="139"/>
  <c r="E302" i="139"/>
  <c r="D302" i="139"/>
  <c r="C302" i="139"/>
  <c r="B302" i="139"/>
  <c r="N293" i="139"/>
  <c r="M293" i="139"/>
  <c r="L293" i="139"/>
  <c r="K293" i="139"/>
  <c r="J293" i="139"/>
  <c r="I293" i="139"/>
  <c r="H293" i="139"/>
  <c r="G293" i="139"/>
  <c r="F293" i="139"/>
  <c r="E293" i="139"/>
  <c r="D293" i="139"/>
  <c r="C293" i="139"/>
  <c r="C290" i="139"/>
  <c r="N289" i="139"/>
  <c r="M289" i="139"/>
  <c r="L289" i="139"/>
  <c r="K289" i="139"/>
  <c r="J289" i="139"/>
  <c r="I289" i="139"/>
  <c r="H289" i="139"/>
  <c r="G289" i="139"/>
  <c r="F289" i="139"/>
  <c r="E289" i="139"/>
  <c r="D289" i="139"/>
  <c r="C289" i="139"/>
  <c r="C281" i="139"/>
  <c r="C280" i="139"/>
  <c r="N278" i="139"/>
  <c r="M278" i="139"/>
  <c r="L278" i="139"/>
  <c r="K278" i="139"/>
  <c r="J278" i="139"/>
  <c r="I278" i="139"/>
  <c r="H278" i="139"/>
  <c r="G278" i="139"/>
  <c r="F278" i="139"/>
  <c r="E278" i="139"/>
  <c r="D278" i="139"/>
  <c r="C278" i="139"/>
  <c r="B273" i="139"/>
  <c r="B272" i="139"/>
  <c r="B271" i="139"/>
  <c r="B270" i="139"/>
  <c r="B269" i="139"/>
  <c r="B268" i="139"/>
  <c r="B267" i="139"/>
  <c r="B266" i="139"/>
  <c r="B265" i="139"/>
  <c r="B264" i="139"/>
  <c r="B263" i="139"/>
  <c r="N262" i="139"/>
  <c r="M262" i="139"/>
  <c r="L262" i="139"/>
  <c r="K262" i="139"/>
  <c r="J262" i="139"/>
  <c r="I262" i="139"/>
  <c r="H262" i="139"/>
  <c r="G262" i="139"/>
  <c r="F262" i="139"/>
  <c r="E262" i="139"/>
  <c r="D262" i="139"/>
  <c r="C262" i="139"/>
  <c r="B262" i="139"/>
  <c r="B257" i="139"/>
  <c r="B256" i="139"/>
  <c r="B255" i="139"/>
  <c r="B254" i="139"/>
  <c r="B253" i="139"/>
  <c r="B252" i="139"/>
  <c r="B251" i="139"/>
  <c r="B250" i="139"/>
  <c r="B249" i="139"/>
  <c r="B248" i="139"/>
  <c r="B247" i="139"/>
  <c r="N246" i="139"/>
  <c r="M246" i="139"/>
  <c r="L246" i="139"/>
  <c r="K246" i="139"/>
  <c r="J246" i="139"/>
  <c r="I246" i="139"/>
  <c r="H246" i="139"/>
  <c r="G246" i="139"/>
  <c r="F246" i="139"/>
  <c r="E246" i="139"/>
  <c r="D246" i="139"/>
  <c r="C246" i="139"/>
  <c r="B246" i="139"/>
  <c r="B239" i="139"/>
  <c r="B238" i="139"/>
  <c r="B237" i="139"/>
  <c r="B236" i="139"/>
  <c r="B235" i="139"/>
  <c r="B234" i="139"/>
  <c r="B233" i="139"/>
  <c r="B232" i="139"/>
  <c r="B231" i="139"/>
  <c r="B230" i="139"/>
  <c r="B229" i="139"/>
  <c r="N228" i="139"/>
  <c r="M228" i="139"/>
  <c r="L228" i="139"/>
  <c r="K228" i="139"/>
  <c r="J228" i="139"/>
  <c r="I228" i="139"/>
  <c r="H228" i="139"/>
  <c r="G228" i="139"/>
  <c r="F228" i="139"/>
  <c r="E228" i="139"/>
  <c r="D228" i="139"/>
  <c r="C228" i="139"/>
  <c r="B228" i="139"/>
  <c r="B223" i="139"/>
  <c r="B222" i="139"/>
  <c r="B221" i="139"/>
  <c r="B220" i="139"/>
  <c r="B219" i="139"/>
  <c r="B218" i="139"/>
  <c r="B217" i="139"/>
  <c r="B216" i="139"/>
  <c r="B215" i="139"/>
  <c r="B214" i="139"/>
  <c r="B213" i="139"/>
  <c r="N212" i="139"/>
  <c r="M212" i="139"/>
  <c r="L212" i="139"/>
  <c r="K212" i="139"/>
  <c r="J212" i="139"/>
  <c r="I212" i="139"/>
  <c r="H212" i="139"/>
  <c r="G212" i="139"/>
  <c r="F212" i="139"/>
  <c r="E212" i="139"/>
  <c r="D212" i="139"/>
  <c r="C212" i="139"/>
  <c r="B212" i="139"/>
  <c r="C206" i="139"/>
  <c r="C205" i="139"/>
  <c r="B205" i="139"/>
  <c r="C204" i="139"/>
  <c r="B204" i="139"/>
  <c r="C203" i="139"/>
  <c r="B203" i="139"/>
  <c r="C202" i="139"/>
  <c r="B202" i="139"/>
  <c r="C201" i="139"/>
  <c r="B201" i="139"/>
  <c r="C200" i="139"/>
  <c r="B200" i="139"/>
  <c r="C199" i="139"/>
  <c r="B199" i="139"/>
  <c r="C198" i="139"/>
  <c r="B198" i="139"/>
  <c r="C197" i="139"/>
  <c r="B197" i="139"/>
  <c r="C196" i="139"/>
  <c r="B196" i="139"/>
  <c r="C195" i="139"/>
  <c r="B195" i="139"/>
  <c r="N194" i="139"/>
  <c r="M194" i="139"/>
  <c r="L194" i="139"/>
  <c r="K194" i="139"/>
  <c r="J194" i="139"/>
  <c r="I194" i="139"/>
  <c r="H194" i="139"/>
  <c r="G194" i="139"/>
  <c r="F194" i="139"/>
  <c r="E194" i="139"/>
  <c r="D194" i="139"/>
  <c r="C194" i="139"/>
  <c r="B194" i="139"/>
  <c r="C190" i="139"/>
  <c r="C189" i="139"/>
  <c r="B189" i="139"/>
  <c r="C188" i="139"/>
  <c r="B188" i="139"/>
  <c r="C187" i="139"/>
  <c r="B187" i="139"/>
  <c r="C186" i="139"/>
  <c r="B186" i="139"/>
  <c r="C185" i="139"/>
  <c r="B185" i="139"/>
  <c r="C184" i="139"/>
  <c r="B184" i="139"/>
  <c r="C183" i="139"/>
  <c r="B183" i="139"/>
  <c r="C182" i="139"/>
  <c r="B182" i="139"/>
  <c r="C181" i="139"/>
  <c r="B181" i="139"/>
  <c r="C180" i="139"/>
  <c r="B180" i="139"/>
  <c r="C179" i="139"/>
  <c r="B179" i="139"/>
  <c r="N178" i="139"/>
  <c r="M178" i="139"/>
  <c r="L178" i="139"/>
  <c r="K178" i="139"/>
  <c r="J178" i="139"/>
  <c r="I178" i="139"/>
  <c r="H178" i="139"/>
  <c r="G178" i="139"/>
  <c r="F178" i="139"/>
  <c r="E178" i="139"/>
  <c r="D178" i="139"/>
  <c r="C178" i="139"/>
  <c r="B178" i="139"/>
  <c r="C172" i="139"/>
  <c r="C171" i="139"/>
  <c r="B171" i="139"/>
  <c r="C170" i="139"/>
  <c r="B170" i="139"/>
  <c r="C169" i="139"/>
  <c r="B169" i="139"/>
  <c r="C168" i="139"/>
  <c r="B168" i="139"/>
  <c r="C167" i="139"/>
  <c r="B167" i="139"/>
  <c r="C166" i="139"/>
  <c r="B166" i="139"/>
  <c r="C165" i="139"/>
  <c r="B165" i="139"/>
  <c r="C164" i="139"/>
  <c r="B164" i="139"/>
  <c r="C163" i="139"/>
  <c r="B163" i="139"/>
  <c r="C162" i="139"/>
  <c r="B162" i="139"/>
  <c r="C161" i="139"/>
  <c r="B161" i="139"/>
  <c r="N160" i="139"/>
  <c r="M160" i="139"/>
  <c r="L160" i="139"/>
  <c r="K160" i="139"/>
  <c r="J160" i="139"/>
  <c r="I160" i="139"/>
  <c r="H160" i="139"/>
  <c r="G160" i="139"/>
  <c r="F160" i="139"/>
  <c r="E160" i="139"/>
  <c r="D160" i="139"/>
  <c r="C160" i="139"/>
  <c r="B160" i="139"/>
  <c r="C156" i="139"/>
  <c r="C155" i="139"/>
  <c r="B155" i="139"/>
  <c r="C154" i="139"/>
  <c r="B154" i="139"/>
  <c r="C153" i="139"/>
  <c r="B153" i="139"/>
  <c r="C152" i="139"/>
  <c r="B152" i="139"/>
  <c r="C151" i="139"/>
  <c r="B151" i="139"/>
  <c r="C150" i="139"/>
  <c r="B150" i="139"/>
  <c r="C149" i="139"/>
  <c r="B149" i="139"/>
  <c r="C148" i="139"/>
  <c r="B148" i="139"/>
  <c r="C147" i="139"/>
  <c r="B147" i="139"/>
  <c r="C146" i="139"/>
  <c r="B146" i="139"/>
  <c r="C145" i="139"/>
  <c r="B145" i="139"/>
  <c r="N144" i="139"/>
  <c r="M144" i="139"/>
  <c r="L144" i="139"/>
  <c r="K144" i="139"/>
  <c r="J144" i="139"/>
  <c r="I144" i="139"/>
  <c r="H144" i="139"/>
  <c r="G144" i="139"/>
  <c r="F144" i="139"/>
  <c r="E144" i="139"/>
  <c r="D144" i="139"/>
  <c r="C144" i="139"/>
  <c r="B144" i="139"/>
  <c r="B137" i="139"/>
  <c r="B136" i="139"/>
  <c r="B135" i="139"/>
  <c r="B134" i="139"/>
  <c r="B133" i="139"/>
  <c r="B132" i="139"/>
  <c r="B131" i="139"/>
  <c r="B130" i="139"/>
  <c r="B129" i="139"/>
  <c r="B128" i="139"/>
  <c r="B127" i="139"/>
  <c r="N126" i="139"/>
  <c r="M126" i="139"/>
  <c r="L126" i="139"/>
  <c r="K126" i="139"/>
  <c r="J126" i="139"/>
  <c r="I126" i="139"/>
  <c r="H126" i="139"/>
  <c r="G126" i="139"/>
  <c r="F126" i="139"/>
  <c r="E126" i="139"/>
  <c r="D126" i="139"/>
  <c r="C126" i="139"/>
  <c r="B126" i="139"/>
  <c r="B121" i="139"/>
  <c r="B120" i="139"/>
  <c r="B119" i="139"/>
  <c r="B118" i="139"/>
  <c r="B117" i="139"/>
  <c r="B116" i="139"/>
  <c r="B115" i="139"/>
  <c r="B114" i="139"/>
  <c r="B113" i="139"/>
  <c r="B112" i="139"/>
  <c r="B111" i="139"/>
  <c r="N110" i="139"/>
  <c r="M110" i="139"/>
  <c r="L110" i="139"/>
  <c r="K110" i="139"/>
  <c r="J110" i="139"/>
  <c r="I110" i="139"/>
  <c r="H110" i="139"/>
  <c r="G110" i="139"/>
  <c r="F110" i="139"/>
  <c r="E110" i="139"/>
  <c r="D110" i="139"/>
  <c r="C110" i="139"/>
  <c r="B110" i="139"/>
  <c r="C104" i="139"/>
  <c r="C103" i="139"/>
  <c r="B103" i="139"/>
  <c r="C102" i="139"/>
  <c r="B102" i="139"/>
  <c r="C101" i="139"/>
  <c r="B101" i="139"/>
  <c r="C100" i="139"/>
  <c r="B100" i="139"/>
  <c r="C99" i="139"/>
  <c r="B99" i="139"/>
  <c r="C98" i="139"/>
  <c r="B98" i="139"/>
  <c r="C97" i="139"/>
  <c r="B97" i="139"/>
  <c r="C96" i="139"/>
  <c r="B96" i="139"/>
  <c r="C95" i="139"/>
  <c r="B95" i="139"/>
  <c r="C94" i="139"/>
  <c r="B94" i="139"/>
  <c r="C93" i="139"/>
  <c r="B93" i="139"/>
  <c r="N92" i="139"/>
  <c r="M92" i="139"/>
  <c r="L92" i="139"/>
  <c r="K92" i="139"/>
  <c r="J92" i="139"/>
  <c r="I92" i="139"/>
  <c r="H92" i="139"/>
  <c r="G92" i="139"/>
  <c r="F92" i="139"/>
  <c r="E92" i="139"/>
  <c r="D92" i="139"/>
  <c r="C92" i="139"/>
  <c r="B92" i="139"/>
  <c r="C88" i="139"/>
  <c r="C87" i="139"/>
  <c r="B87" i="139"/>
  <c r="C86" i="139"/>
  <c r="B86" i="139"/>
  <c r="C85" i="139"/>
  <c r="B85" i="139"/>
  <c r="C84" i="139"/>
  <c r="B84" i="139"/>
  <c r="C83" i="139"/>
  <c r="B83" i="139"/>
  <c r="C82" i="139"/>
  <c r="B82" i="139"/>
  <c r="C81" i="139"/>
  <c r="B81" i="139"/>
  <c r="C80" i="139"/>
  <c r="B80" i="139"/>
  <c r="C79" i="139"/>
  <c r="B79" i="139"/>
  <c r="C78" i="139"/>
  <c r="B78" i="139"/>
  <c r="C77" i="139"/>
  <c r="B77" i="139"/>
  <c r="N76" i="139"/>
  <c r="M76" i="139"/>
  <c r="L76" i="139"/>
  <c r="K76" i="139"/>
  <c r="J76" i="139"/>
  <c r="I76" i="139"/>
  <c r="H76" i="139"/>
  <c r="G76" i="139"/>
  <c r="F76" i="139"/>
  <c r="E76" i="139"/>
  <c r="D76" i="139"/>
  <c r="C76" i="139"/>
  <c r="B76" i="139"/>
  <c r="C70" i="139"/>
  <c r="C69" i="139"/>
  <c r="B69" i="139"/>
  <c r="C68" i="139"/>
  <c r="B68" i="139"/>
  <c r="C67" i="139"/>
  <c r="B67" i="139"/>
  <c r="C66" i="139"/>
  <c r="B66" i="139"/>
  <c r="C65" i="139"/>
  <c r="B65" i="139"/>
  <c r="C64" i="139"/>
  <c r="B64" i="139"/>
  <c r="C63" i="139"/>
  <c r="B63" i="139"/>
  <c r="C62" i="139"/>
  <c r="B62" i="139"/>
  <c r="C61" i="139"/>
  <c r="B61" i="139"/>
  <c r="C60" i="139"/>
  <c r="B60" i="139"/>
  <c r="C59" i="139"/>
  <c r="B59" i="139"/>
  <c r="N58" i="139"/>
  <c r="M58" i="139"/>
  <c r="L58" i="139"/>
  <c r="K58" i="139"/>
  <c r="J58" i="139"/>
  <c r="I58" i="139"/>
  <c r="H58" i="139"/>
  <c r="G58" i="139"/>
  <c r="F58" i="139"/>
  <c r="E58" i="139"/>
  <c r="D58" i="139"/>
  <c r="C58" i="139"/>
  <c r="B58" i="139"/>
  <c r="C54" i="139"/>
  <c r="C53" i="139"/>
  <c r="B53" i="139"/>
  <c r="C52" i="139"/>
  <c r="B52" i="139"/>
  <c r="C51" i="139"/>
  <c r="B51" i="139"/>
  <c r="C50" i="139"/>
  <c r="B50" i="139"/>
  <c r="C49" i="139"/>
  <c r="B49" i="139"/>
  <c r="C48" i="139"/>
  <c r="B48" i="139"/>
  <c r="C47" i="139"/>
  <c r="B47" i="139"/>
  <c r="C46" i="139"/>
  <c r="B46" i="139"/>
  <c r="C45" i="139"/>
  <c r="B45" i="139"/>
  <c r="C44" i="139"/>
  <c r="B44" i="139"/>
  <c r="C43" i="139"/>
  <c r="B43" i="139"/>
  <c r="N42" i="139"/>
  <c r="M42" i="139"/>
  <c r="L42" i="139"/>
  <c r="K42" i="139"/>
  <c r="J42" i="139"/>
  <c r="I42" i="139"/>
  <c r="H42" i="139"/>
  <c r="G42" i="139"/>
  <c r="F42" i="139"/>
  <c r="E42" i="139"/>
  <c r="D42" i="139"/>
  <c r="C42" i="139"/>
  <c r="B42" i="139"/>
  <c r="B36" i="139"/>
  <c r="N35" i="139"/>
  <c r="M35" i="139"/>
  <c r="L35" i="139"/>
  <c r="K35" i="139"/>
  <c r="J35" i="139"/>
  <c r="I35" i="139"/>
  <c r="H35" i="139"/>
  <c r="G35" i="139"/>
  <c r="F35" i="139"/>
  <c r="E35" i="139"/>
  <c r="D35" i="139"/>
  <c r="C35" i="139"/>
  <c r="B35" i="139"/>
  <c r="I31" i="139"/>
  <c r="H31" i="139"/>
  <c r="G31" i="139"/>
  <c r="E31" i="139"/>
  <c r="D31" i="139"/>
  <c r="C31" i="139"/>
  <c r="B31" i="139"/>
  <c r="A31" i="139"/>
  <c r="D30" i="139"/>
  <c r="C30" i="139"/>
  <c r="B30" i="139"/>
  <c r="D29" i="139"/>
  <c r="C29" i="139"/>
  <c r="B29" i="139"/>
  <c r="D28" i="139"/>
  <c r="C28" i="139"/>
  <c r="B28" i="139"/>
  <c r="D27" i="139"/>
  <c r="C27" i="139"/>
  <c r="B27" i="139"/>
  <c r="D26" i="139"/>
  <c r="C26" i="139"/>
  <c r="B26" i="139"/>
  <c r="D25" i="139"/>
  <c r="C25" i="139"/>
  <c r="B25" i="139"/>
  <c r="D24" i="139"/>
  <c r="C24" i="139"/>
  <c r="B24" i="139"/>
  <c r="D23" i="139"/>
  <c r="C23" i="139"/>
  <c r="B23" i="139"/>
  <c r="D22" i="139"/>
  <c r="C22" i="139"/>
  <c r="B22" i="139"/>
  <c r="D21" i="139"/>
  <c r="C21" i="139"/>
  <c r="B21" i="139"/>
  <c r="D20" i="139"/>
  <c r="C20" i="139"/>
  <c r="C19" i="139"/>
  <c r="B19" i="139"/>
  <c r="C15" i="139"/>
  <c r="B15" i="139"/>
  <c r="N14" i="139"/>
  <c r="M14" i="139"/>
  <c r="L14" i="139"/>
  <c r="K14" i="139"/>
  <c r="J14" i="139"/>
  <c r="I14" i="139"/>
  <c r="H14" i="139"/>
  <c r="G14" i="139"/>
  <c r="F14" i="139"/>
  <c r="E14" i="139"/>
  <c r="D14" i="139"/>
  <c r="C14" i="139"/>
  <c r="B14" i="139"/>
  <c r="A1" i="139"/>
  <c r="B366" i="138"/>
  <c r="B365" i="138"/>
  <c r="B364" i="138"/>
  <c r="B363" i="138"/>
  <c r="B362" i="138"/>
  <c r="B361" i="138"/>
  <c r="B360" i="138"/>
  <c r="B359" i="138"/>
  <c r="B358" i="138"/>
  <c r="B357" i="138"/>
  <c r="B356" i="138"/>
  <c r="N355" i="138"/>
  <c r="M355" i="138"/>
  <c r="L355" i="138"/>
  <c r="K355" i="138"/>
  <c r="J355" i="138"/>
  <c r="I355" i="138"/>
  <c r="H355" i="138"/>
  <c r="G355" i="138"/>
  <c r="F355" i="138"/>
  <c r="E355" i="138"/>
  <c r="D355" i="138"/>
  <c r="C355" i="138"/>
  <c r="B355" i="138"/>
  <c r="B350" i="138"/>
  <c r="B349" i="138"/>
  <c r="B348" i="138"/>
  <c r="B347" i="138"/>
  <c r="B346" i="138"/>
  <c r="B345" i="138"/>
  <c r="B344" i="138"/>
  <c r="B343" i="138"/>
  <c r="B342" i="138"/>
  <c r="B341" i="138"/>
  <c r="B340" i="138"/>
  <c r="N339" i="138"/>
  <c r="M339" i="138"/>
  <c r="L339" i="138"/>
  <c r="K339" i="138"/>
  <c r="J339" i="138"/>
  <c r="I339" i="138"/>
  <c r="H339" i="138"/>
  <c r="G339" i="138"/>
  <c r="F339" i="138"/>
  <c r="E339" i="138"/>
  <c r="D339" i="138"/>
  <c r="C339" i="138"/>
  <c r="B339" i="138"/>
  <c r="B329" i="138"/>
  <c r="B328" i="138"/>
  <c r="B327" i="138"/>
  <c r="B326" i="138"/>
  <c r="B325" i="138"/>
  <c r="B324" i="138"/>
  <c r="B323" i="138"/>
  <c r="B322" i="138"/>
  <c r="B321" i="138"/>
  <c r="B320" i="138"/>
  <c r="B319" i="138"/>
  <c r="N318" i="138"/>
  <c r="M318" i="138"/>
  <c r="L318" i="138"/>
  <c r="K318" i="138"/>
  <c r="J318" i="138"/>
  <c r="I318" i="138"/>
  <c r="H318" i="138"/>
  <c r="G318" i="138"/>
  <c r="F318" i="138"/>
  <c r="E318" i="138"/>
  <c r="D318" i="138"/>
  <c r="C318" i="138"/>
  <c r="B318" i="138"/>
  <c r="B313" i="138"/>
  <c r="B312" i="138"/>
  <c r="B311" i="138"/>
  <c r="B310" i="138"/>
  <c r="B309" i="138"/>
  <c r="B308" i="138"/>
  <c r="B307" i="138"/>
  <c r="B306" i="138"/>
  <c r="B305" i="138"/>
  <c r="B304" i="138"/>
  <c r="B303" i="138"/>
  <c r="N302" i="138"/>
  <c r="M302" i="138"/>
  <c r="L302" i="138"/>
  <c r="K302" i="138"/>
  <c r="J302" i="138"/>
  <c r="I302" i="138"/>
  <c r="H302" i="138"/>
  <c r="G302" i="138"/>
  <c r="F302" i="138"/>
  <c r="E302" i="138"/>
  <c r="D302" i="138"/>
  <c r="C302" i="138"/>
  <c r="B302" i="138"/>
  <c r="N293" i="138"/>
  <c r="M293" i="138"/>
  <c r="L293" i="138"/>
  <c r="K293" i="138"/>
  <c r="J293" i="138"/>
  <c r="I293" i="138"/>
  <c r="H293" i="138"/>
  <c r="G293" i="138"/>
  <c r="F293" i="138"/>
  <c r="E293" i="138"/>
  <c r="D293" i="138"/>
  <c r="C293" i="138"/>
  <c r="C290" i="138"/>
  <c r="N289" i="138"/>
  <c r="M289" i="138"/>
  <c r="L289" i="138"/>
  <c r="K289" i="138"/>
  <c r="J289" i="138"/>
  <c r="I289" i="138"/>
  <c r="H289" i="138"/>
  <c r="G289" i="138"/>
  <c r="F289" i="138"/>
  <c r="E289" i="138"/>
  <c r="D289" i="138"/>
  <c r="C289" i="138"/>
  <c r="C281" i="138"/>
  <c r="C280" i="138"/>
  <c r="N278" i="138"/>
  <c r="M278" i="138"/>
  <c r="L278" i="138"/>
  <c r="K278" i="138"/>
  <c r="J278" i="138"/>
  <c r="I278" i="138"/>
  <c r="H278" i="138"/>
  <c r="G278" i="138"/>
  <c r="F278" i="138"/>
  <c r="E278" i="138"/>
  <c r="D278" i="138"/>
  <c r="C278" i="138"/>
  <c r="B273" i="138"/>
  <c r="B272" i="138"/>
  <c r="B271" i="138"/>
  <c r="B270" i="138"/>
  <c r="B269" i="138"/>
  <c r="B268" i="138"/>
  <c r="B267" i="138"/>
  <c r="B266" i="138"/>
  <c r="B265" i="138"/>
  <c r="B264" i="138"/>
  <c r="B263" i="138"/>
  <c r="N262" i="138"/>
  <c r="M262" i="138"/>
  <c r="L262" i="138"/>
  <c r="K262" i="138"/>
  <c r="J262" i="138"/>
  <c r="I262" i="138"/>
  <c r="H262" i="138"/>
  <c r="G262" i="138"/>
  <c r="F262" i="138"/>
  <c r="E262" i="138"/>
  <c r="D262" i="138"/>
  <c r="C262" i="138"/>
  <c r="B262" i="138"/>
  <c r="B257" i="138"/>
  <c r="B256" i="138"/>
  <c r="B255" i="138"/>
  <c r="B254" i="138"/>
  <c r="B253" i="138"/>
  <c r="B252" i="138"/>
  <c r="B251" i="138"/>
  <c r="B250" i="138"/>
  <c r="B249" i="138"/>
  <c r="B248" i="138"/>
  <c r="B247" i="138"/>
  <c r="N246" i="138"/>
  <c r="M246" i="138"/>
  <c r="L246" i="138"/>
  <c r="K246" i="138"/>
  <c r="J246" i="138"/>
  <c r="I246" i="138"/>
  <c r="H246" i="138"/>
  <c r="G246" i="138"/>
  <c r="F246" i="138"/>
  <c r="E246" i="138"/>
  <c r="D246" i="138"/>
  <c r="C246" i="138"/>
  <c r="B246" i="138"/>
  <c r="B239" i="138"/>
  <c r="B238" i="138"/>
  <c r="B237" i="138"/>
  <c r="B236" i="138"/>
  <c r="B235" i="138"/>
  <c r="B234" i="138"/>
  <c r="B233" i="138"/>
  <c r="B232" i="138"/>
  <c r="B231" i="138"/>
  <c r="B230" i="138"/>
  <c r="B229" i="138"/>
  <c r="N228" i="138"/>
  <c r="M228" i="138"/>
  <c r="L228" i="138"/>
  <c r="K228" i="138"/>
  <c r="J228" i="138"/>
  <c r="I228" i="138"/>
  <c r="H228" i="138"/>
  <c r="G228" i="138"/>
  <c r="F228" i="138"/>
  <c r="E228" i="138"/>
  <c r="D228" i="138"/>
  <c r="C228" i="138"/>
  <c r="B228" i="138"/>
  <c r="B223" i="138"/>
  <c r="B222" i="138"/>
  <c r="B221" i="138"/>
  <c r="B220" i="138"/>
  <c r="B219" i="138"/>
  <c r="B218" i="138"/>
  <c r="B217" i="138"/>
  <c r="B216" i="138"/>
  <c r="B215" i="138"/>
  <c r="B214" i="138"/>
  <c r="B213" i="138"/>
  <c r="N212" i="138"/>
  <c r="M212" i="138"/>
  <c r="L212" i="138"/>
  <c r="K212" i="138"/>
  <c r="J212" i="138"/>
  <c r="I212" i="138"/>
  <c r="H212" i="138"/>
  <c r="G212" i="138"/>
  <c r="F212" i="138"/>
  <c r="E212" i="138"/>
  <c r="D212" i="138"/>
  <c r="C212" i="138"/>
  <c r="B212" i="138"/>
  <c r="C206" i="138"/>
  <c r="C205" i="138"/>
  <c r="B205" i="138"/>
  <c r="C204" i="138"/>
  <c r="B204" i="138"/>
  <c r="C203" i="138"/>
  <c r="B203" i="138"/>
  <c r="C202" i="138"/>
  <c r="B202" i="138"/>
  <c r="C201" i="138"/>
  <c r="B201" i="138"/>
  <c r="C200" i="138"/>
  <c r="B200" i="138"/>
  <c r="C199" i="138"/>
  <c r="B199" i="138"/>
  <c r="C198" i="138"/>
  <c r="B198" i="138"/>
  <c r="C197" i="138"/>
  <c r="B197" i="138"/>
  <c r="C196" i="138"/>
  <c r="B196" i="138"/>
  <c r="C195" i="138"/>
  <c r="B195" i="138"/>
  <c r="N194" i="138"/>
  <c r="M194" i="138"/>
  <c r="L194" i="138"/>
  <c r="K194" i="138"/>
  <c r="J194" i="138"/>
  <c r="I194" i="138"/>
  <c r="H194" i="138"/>
  <c r="G194" i="138"/>
  <c r="F194" i="138"/>
  <c r="E194" i="138"/>
  <c r="D194" i="138"/>
  <c r="C194" i="138"/>
  <c r="B194" i="138"/>
  <c r="C190" i="138"/>
  <c r="C189" i="138"/>
  <c r="B189" i="138"/>
  <c r="C188" i="138"/>
  <c r="B188" i="138"/>
  <c r="C187" i="138"/>
  <c r="B187" i="138"/>
  <c r="C186" i="138"/>
  <c r="B186" i="138"/>
  <c r="C185" i="138"/>
  <c r="B185" i="138"/>
  <c r="C184" i="138"/>
  <c r="B184" i="138"/>
  <c r="C183" i="138"/>
  <c r="B183" i="138"/>
  <c r="C182" i="138"/>
  <c r="B182" i="138"/>
  <c r="C181" i="138"/>
  <c r="B181" i="138"/>
  <c r="C180" i="138"/>
  <c r="B180" i="138"/>
  <c r="C179" i="138"/>
  <c r="B179" i="138"/>
  <c r="N178" i="138"/>
  <c r="M178" i="138"/>
  <c r="L178" i="138"/>
  <c r="K178" i="138"/>
  <c r="J178" i="138"/>
  <c r="I178" i="138"/>
  <c r="H178" i="138"/>
  <c r="G178" i="138"/>
  <c r="F178" i="138"/>
  <c r="E178" i="138"/>
  <c r="D178" i="138"/>
  <c r="C178" i="138"/>
  <c r="B178" i="138"/>
  <c r="C172" i="138"/>
  <c r="C171" i="138"/>
  <c r="B171" i="138"/>
  <c r="C170" i="138"/>
  <c r="B170" i="138"/>
  <c r="C169" i="138"/>
  <c r="B169" i="138"/>
  <c r="C168" i="138"/>
  <c r="B168" i="138"/>
  <c r="C167" i="138"/>
  <c r="B167" i="138"/>
  <c r="C166" i="138"/>
  <c r="B166" i="138"/>
  <c r="C165" i="138"/>
  <c r="B165" i="138"/>
  <c r="C164" i="138"/>
  <c r="B164" i="138"/>
  <c r="C163" i="138"/>
  <c r="B163" i="138"/>
  <c r="C162" i="138"/>
  <c r="B162" i="138"/>
  <c r="C161" i="138"/>
  <c r="B161" i="138"/>
  <c r="N160" i="138"/>
  <c r="M160" i="138"/>
  <c r="L160" i="138"/>
  <c r="K160" i="138"/>
  <c r="J160" i="138"/>
  <c r="I160" i="138"/>
  <c r="H160" i="138"/>
  <c r="G160" i="138"/>
  <c r="F160" i="138"/>
  <c r="E160" i="138"/>
  <c r="D160" i="138"/>
  <c r="C160" i="138"/>
  <c r="B160" i="138"/>
  <c r="C156" i="138"/>
  <c r="C155" i="138"/>
  <c r="B155" i="138"/>
  <c r="C154" i="138"/>
  <c r="B154" i="138"/>
  <c r="C153" i="138"/>
  <c r="B153" i="138"/>
  <c r="C152" i="138"/>
  <c r="B152" i="138"/>
  <c r="C151" i="138"/>
  <c r="B151" i="138"/>
  <c r="C150" i="138"/>
  <c r="B150" i="138"/>
  <c r="C149" i="138"/>
  <c r="B149" i="138"/>
  <c r="C148" i="138"/>
  <c r="B148" i="138"/>
  <c r="C147" i="138"/>
  <c r="B147" i="138"/>
  <c r="C146" i="138"/>
  <c r="B146" i="138"/>
  <c r="C145" i="138"/>
  <c r="B145" i="138"/>
  <c r="N144" i="138"/>
  <c r="M144" i="138"/>
  <c r="L144" i="138"/>
  <c r="K144" i="138"/>
  <c r="J144" i="138"/>
  <c r="I144" i="138"/>
  <c r="H144" i="138"/>
  <c r="G144" i="138"/>
  <c r="F144" i="138"/>
  <c r="E144" i="138"/>
  <c r="D144" i="138"/>
  <c r="C144" i="138"/>
  <c r="B144" i="138"/>
  <c r="B137" i="138"/>
  <c r="B136" i="138"/>
  <c r="B135" i="138"/>
  <c r="B134" i="138"/>
  <c r="B133" i="138"/>
  <c r="B132" i="138"/>
  <c r="B131" i="138"/>
  <c r="B130" i="138"/>
  <c r="B129" i="138"/>
  <c r="B128" i="138"/>
  <c r="B127" i="138"/>
  <c r="N126" i="138"/>
  <c r="M126" i="138"/>
  <c r="L126" i="138"/>
  <c r="K126" i="138"/>
  <c r="J126" i="138"/>
  <c r="I126" i="138"/>
  <c r="H126" i="138"/>
  <c r="G126" i="138"/>
  <c r="F126" i="138"/>
  <c r="E126" i="138"/>
  <c r="D126" i="138"/>
  <c r="C126" i="138"/>
  <c r="B126" i="138"/>
  <c r="B121" i="138"/>
  <c r="B120" i="138"/>
  <c r="B119" i="138"/>
  <c r="B118" i="138"/>
  <c r="B117" i="138"/>
  <c r="B116" i="138"/>
  <c r="B115" i="138"/>
  <c r="B114" i="138"/>
  <c r="B113" i="138"/>
  <c r="B112" i="138"/>
  <c r="B111" i="138"/>
  <c r="N110" i="138"/>
  <c r="M110" i="138"/>
  <c r="L110" i="138"/>
  <c r="K110" i="138"/>
  <c r="J110" i="138"/>
  <c r="I110" i="138"/>
  <c r="H110" i="138"/>
  <c r="G110" i="138"/>
  <c r="F110" i="138"/>
  <c r="E110" i="138"/>
  <c r="D110" i="138"/>
  <c r="C110" i="138"/>
  <c r="B110" i="138"/>
  <c r="C104" i="138"/>
  <c r="C103" i="138"/>
  <c r="B103" i="138"/>
  <c r="C102" i="138"/>
  <c r="B102" i="138"/>
  <c r="C101" i="138"/>
  <c r="B101" i="138"/>
  <c r="C100" i="138"/>
  <c r="B100" i="138"/>
  <c r="C99" i="138"/>
  <c r="B99" i="138"/>
  <c r="C98" i="138"/>
  <c r="B98" i="138"/>
  <c r="C97" i="138"/>
  <c r="B97" i="138"/>
  <c r="C96" i="138"/>
  <c r="B96" i="138"/>
  <c r="C95" i="138"/>
  <c r="B95" i="138"/>
  <c r="C94" i="138"/>
  <c r="B94" i="138"/>
  <c r="C93" i="138"/>
  <c r="B93" i="138"/>
  <c r="N92" i="138"/>
  <c r="M92" i="138"/>
  <c r="L92" i="138"/>
  <c r="K92" i="138"/>
  <c r="J92" i="138"/>
  <c r="I92" i="138"/>
  <c r="H92" i="138"/>
  <c r="G92" i="138"/>
  <c r="F92" i="138"/>
  <c r="E92" i="138"/>
  <c r="D92" i="138"/>
  <c r="C92" i="138"/>
  <c r="B92" i="138"/>
  <c r="C88" i="138"/>
  <c r="C87" i="138"/>
  <c r="B87" i="138"/>
  <c r="C86" i="138"/>
  <c r="B86" i="138"/>
  <c r="C85" i="138"/>
  <c r="B85" i="138"/>
  <c r="C84" i="138"/>
  <c r="B84" i="138"/>
  <c r="C83" i="138"/>
  <c r="B83" i="138"/>
  <c r="C82" i="138"/>
  <c r="B82" i="138"/>
  <c r="C81" i="138"/>
  <c r="B81" i="138"/>
  <c r="C80" i="138"/>
  <c r="B80" i="138"/>
  <c r="C79" i="138"/>
  <c r="B79" i="138"/>
  <c r="C78" i="138"/>
  <c r="B78" i="138"/>
  <c r="C77" i="138"/>
  <c r="B77" i="138"/>
  <c r="N76" i="138"/>
  <c r="M76" i="138"/>
  <c r="L76" i="138"/>
  <c r="K76" i="138"/>
  <c r="J76" i="138"/>
  <c r="I76" i="138"/>
  <c r="H76" i="138"/>
  <c r="G76" i="138"/>
  <c r="F76" i="138"/>
  <c r="E76" i="138"/>
  <c r="D76" i="138"/>
  <c r="C76" i="138"/>
  <c r="B76" i="138"/>
  <c r="C70" i="138"/>
  <c r="C69" i="138"/>
  <c r="B69" i="138"/>
  <c r="C68" i="138"/>
  <c r="B68" i="138"/>
  <c r="C67" i="138"/>
  <c r="B67" i="138"/>
  <c r="C66" i="138"/>
  <c r="B66" i="138"/>
  <c r="C65" i="138"/>
  <c r="B65" i="138"/>
  <c r="C64" i="138"/>
  <c r="B64" i="138"/>
  <c r="C63" i="138"/>
  <c r="B63" i="138"/>
  <c r="C62" i="138"/>
  <c r="B62" i="138"/>
  <c r="C61" i="138"/>
  <c r="B61" i="138"/>
  <c r="C60" i="138"/>
  <c r="B60" i="138"/>
  <c r="C59" i="138"/>
  <c r="B59" i="138"/>
  <c r="N58" i="138"/>
  <c r="M58" i="138"/>
  <c r="L58" i="138"/>
  <c r="K58" i="138"/>
  <c r="J58" i="138"/>
  <c r="I58" i="138"/>
  <c r="H58" i="138"/>
  <c r="G58" i="138"/>
  <c r="F58" i="138"/>
  <c r="E58" i="138"/>
  <c r="D58" i="138"/>
  <c r="C58" i="138"/>
  <c r="B58" i="138"/>
  <c r="C54" i="138"/>
  <c r="C53" i="138"/>
  <c r="B53" i="138"/>
  <c r="C52" i="138"/>
  <c r="B52" i="138"/>
  <c r="C51" i="138"/>
  <c r="B51" i="138"/>
  <c r="C50" i="138"/>
  <c r="B50" i="138"/>
  <c r="C49" i="138"/>
  <c r="B49" i="138"/>
  <c r="C48" i="138"/>
  <c r="B48" i="138"/>
  <c r="C47" i="138"/>
  <c r="B47" i="138"/>
  <c r="C46" i="138"/>
  <c r="B46" i="138"/>
  <c r="C45" i="138"/>
  <c r="B45" i="138"/>
  <c r="C44" i="138"/>
  <c r="B44" i="138"/>
  <c r="C43" i="138"/>
  <c r="B43" i="138"/>
  <c r="N42" i="138"/>
  <c r="M42" i="138"/>
  <c r="L42" i="138"/>
  <c r="K42" i="138"/>
  <c r="J42" i="138"/>
  <c r="I42" i="138"/>
  <c r="H42" i="138"/>
  <c r="G42" i="138"/>
  <c r="F42" i="138"/>
  <c r="E42" i="138"/>
  <c r="D42" i="138"/>
  <c r="C42" i="138"/>
  <c r="B42" i="138"/>
  <c r="B36" i="138"/>
  <c r="N35" i="138"/>
  <c r="M35" i="138"/>
  <c r="L35" i="138"/>
  <c r="K35" i="138"/>
  <c r="J35" i="138"/>
  <c r="I35" i="138"/>
  <c r="H35" i="138"/>
  <c r="G35" i="138"/>
  <c r="F35" i="138"/>
  <c r="E35" i="138"/>
  <c r="D35" i="138"/>
  <c r="C35" i="138"/>
  <c r="B35" i="138"/>
  <c r="I31" i="138"/>
  <c r="H31" i="138"/>
  <c r="G31" i="138"/>
  <c r="E31" i="138"/>
  <c r="D31" i="138"/>
  <c r="C31" i="138"/>
  <c r="B31" i="138"/>
  <c r="A31" i="138"/>
  <c r="D30" i="138"/>
  <c r="C30" i="138"/>
  <c r="B30" i="138"/>
  <c r="D29" i="138"/>
  <c r="C29" i="138"/>
  <c r="B29" i="138"/>
  <c r="D28" i="138"/>
  <c r="C28" i="138"/>
  <c r="B28" i="138"/>
  <c r="D27" i="138"/>
  <c r="C27" i="138"/>
  <c r="B27" i="138"/>
  <c r="D26" i="138"/>
  <c r="C26" i="138"/>
  <c r="B26" i="138"/>
  <c r="D25" i="138"/>
  <c r="C25" i="138"/>
  <c r="B25" i="138"/>
  <c r="D24" i="138"/>
  <c r="C24" i="138"/>
  <c r="B24" i="138"/>
  <c r="D23" i="138"/>
  <c r="C23" i="138"/>
  <c r="B23" i="138"/>
  <c r="D22" i="138"/>
  <c r="C22" i="138"/>
  <c r="B22" i="138"/>
  <c r="D21" i="138"/>
  <c r="C21" i="138"/>
  <c r="B21" i="138"/>
  <c r="D20" i="138"/>
  <c r="C20" i="138"/>
  <c r="C19" i="138"/>
  <c r="B19" i="138"/>
  <c r="C15" i="138"/>
  <c r="B15" i="138"/>
  <c r="N14" i="138"/>
  <c r="M14" i="138"/>
  <c r="L14" i="138"/>
  <c r="K14" i="138"/>
  <c r="J14" i="138"/>
  <c r="I14" i="138"/>
  <c r="H14" i="138"/>
  <c r="G14" i="138"/>
  <c r="F14" i="138"/>
  <c r="E14" i="138"/>
  <c r="D14" i="138"/>
  <c r="C14" i="138"/>
  <c r="B14" i="138"/>
  <c r="A1" i="138"/>
  <c r="B366" i="137"/>
  <c r="B365" i="137"/>
  <c r="B364" i="137"/>
  <c r="B363" i="137"/>
  <c r="B362" i="137"/>
  <c r="B361" i="137"/>
  <c r="B360" i="137"/>
  <c r="B359" i="137"/>
  <c r="B358" i="137"/>
  <c r="B357" i="137"/>
  <c r="B356" i="137"/>
  <c r="N355" i="137"/>
  <c r="M355" i="137"/>
  <c r="L355" i="137"/>
  <c r="K355" i="137"/>
  <c r="J355" i="137"/>
  <c r="I355" i="137"/>
  <c r="H355" i="137"/>
  <c r="G355" i="137"/>
  <c r="F355" i="137"/>
  <c r="E355" i="137"/>
  <c r="D355" i="137"/>
  <c r="C355" i="137"/>
  <c r="B355" i="137"/>
  <c r="B350" i="137"/>
  <c r="B349" i="137"/>
  <c r="B348" i="137"/>
  <c r="B347" i="137"/>
  <c r="B346" i="137"/>
  <c r="B345" i="137"/>
  <c r="B344" i="137"/>
  <c r="B343" i="137"/>
  <c r="B342" i="137"/>
  <c r="B341" i="137"/>
  <c r="B340" i="137"/>
  <c r="N339" i="137"/>
  <c r="M339" i="137"/>
  <c r="L339" i="137"/>
  <c r="K339" i="137"/>
  <c r="J339" i="137"/>
  <c r="I339" i="137"/>
  <c r="H339" i="137"/>
  <c r="G339" i="137"/>
  <c r="F339" i="137"/>
  <c r="E339" i="137"/>
  <c r="D339" i="137"/>
  <c r="C339" i="137"/>
  <c r="B339" i="137"/>
  <c r="B329" i="137"/>
  <c r="B328" i="137"/>
  <c r="B327" i="137"/>
  <c r="B326" i="137"/>
  <c r="B325" i="137"/>
  <c r="B324" i="137"/>
  <c r="B323" i="137"/>
  <c r="B322" i="137"/>
  <c r="B321" i="137"/>
  <c r="B320" i="137"/>
  <c r="B319" i="137"/>
  <c r="N318" i="137"/>
  <c r="M318" i="137"/>
  <c r="L318" i="137"/>
  <c r="K318" i="137"/>
  <c r="J318" i="137"/>
  <c r="I318" i="137"/>
  <c r="H318" i="137"/>
  <c r="G318" i="137"/>
  <c r="F318" i="137"/>
  <c r="E318" i="137"/>
  <c r="D318" i="137"/>
  <c r="C318" i="137"/>
  <c r="B318" i="137"/>
  <c r="B313" i="137"/>
  <c r="B312" i="137"/>
  <c r="B311" i="137"/>
  <c r="B310" i="137"/>
  <c r="B309" i="137"/>
  <c r="B308" i="137"/>
  <c r="B307" i="137"/>
  <c r="B306" i="137"/>
  <c r="B305" i="137"/>
  <c r="B304" i="137"/>
  <c r="B303" i="137"/>
  <c r="N302" i="137"/>
  <c r="M302" i="137"/>
  <c r="L302" i="137"/>
  <c r="K302" i="137"/>
  <c r="J302" i="137"/>
  <c r="I302" i="137"/>
  <c r="H302" i="137"/>
  <c r="G302" i="137"/>
  <c r="F302" i="137"/>
  <c r="E302" i="137"/>
  <c r="D302" i="137"/>
  <c r="C302" i="137"/>
  <c r="B302" i="137"/>
  <c r="N293" i="137"/>
  <c r="M293" i="137"/>
  <c r="L293" i="137"/>
  <c r="K293" i="137"/>
  <c r="J293" i="137"/>
  <c r="I293" i="137"/>
  <c r="H293" i="137"/>
  <c r="G293" i="137"/>
  <c r="F293" i="137"/>
  <c r="E293" i="137"/>
  <c r="D293" i="137"/>
  <c r="C293" i="137"/>
  <c r="C290" i="137"/>
  <c r="N289" i="137"/>
  <c r="M289" i="137"/>
  <c r="L289" i="137"/>
  <c r="K289" i="137"/>
  <c r="J289" i="137"/>
  <c r="I289" i="137"/>
  <c r="H289" i="137"/>
  <c r="G289" i="137"/>
  <c r="F289" i="137"/>
  <c r="E289" i="137"/>
  <c r="D289" i="137"/>
  <c r="C289" i="137"/>
  <c r="C281" i="137"/>
  <c r="C280" i="137"/>
  <c r="N278" i="137"/>
  <c r="M278" i="137"/>
  <c r="L278" i="137"/>
  <c r="K278" i="137"/>
  <c r="J278" i="137"/>
  <c r="I278" i="137"/>
  <c r="H278" i="137"/>
  <c r="G278" i="137"/>
  <c r="F278" i="137"/>
  <c r="E278" i="137"/>
  <c r="D278" i="137"/>
  <c r="C278" i="137"/>
  <c r="B273" i="137"/>
  <c r="B272" i="137"/>
  <c r="B271" i="137"/>
  <c r="B270" i="137"/>
  <c r="B269" i="137"/>
  <c r="B268" i="137"/>
  <c r="B267" i="137"/>
  <c r="B266" i="137"/>
  <c r="B265" i="137"/>
  <c r="B264" i="137"/>
  <c r="B263" i="137"/>
  <c r="N262" i="137"/>
  <c r="M262" i="137"/>
  <c r="L262" i="137"/>
  <c r="K262" i="137"/>
  <c r="J262" i="137"/>
  <c r="I262" i="137"/>
  <c r="H262" i="137"/>
  <c r="G262" i="137"/>
  <c r="F262" i="137"/>
  <c r="E262" i="137"/>
  <c r="D262" i="137"/>
  <c r="C262" i="137"/>
  <c r="B262" i="137"/>
  <c r="B257" i="137"/>
  <c r="B256" i="137"/>
  <c r="B255" i="137"/>
  <c r="B254" i="137"/>
  <c r="B253" i="137"/>
  <c r="B252" i="137"/>
  <c r="B251" i="137"/>
  <c r="B250" i="137"/>
  <c r="B249" i="137"/>
  <c r="B248" i="137"/>
  <c r="B247" i="137"/>
  <c r="N246" i="137"/>
  <c r="M246" i="137"/>
  <c r="L246" i="137"/>
  <c r="K246" i="137"/>
  <c r="J246" i="137"/>
  <c r="I246" i="137"/>
  <c r="H246" i="137"/>
  <c r="G246" i="137"/>
  <c r="F246" i="137"/>
  <c r="E246" i="137"/>
  <c r="D246" i="137"/>
  <c r="C246" i="137"/>
  <c r="B246" i="137"/>
  <c r="B239" i="137"/>
  <c r="B238" i="137"/>
  <c r="B237" i="137"/>
  <c r="B236" i="137"/>
  <c r="B235" i="137"/>
  <c r="B234" i="137"/>
  <c r="B233" i="137"/>
  <c r="B232" i="137"/>
  <c r="B231" i="137"/>
  <c r="B230" i="137"/>
  <c r="B229" i="137"/>
  <c r="N228" i="137"/>
  <c r="M228" i="137"/>
  <c r="L228" i="137"/>
  <c r="K228" i="137"/>
  <c r="J228" i="137"/>
  <c r="I228" i="137"/>
  <c r="H228" i="137"/>
  <c r="G228" i="137"/>
  <c r="F228" i="137"/>
  <c r="E228" i="137"/>
  <c r="D228" i="137"/>
  <c r="C228" i="137"/>
  <c r="B228" i="137"/>
  <c r="B223" i="137"/>
  <c r="B222" i="137"/>
  <c r="B221" i="137"/>
  <c r="B220" i="137"/>
  <c r="B219" i="137"/>
  <c r="B218" i="137"/>
  <c r="B217" i="137"/>
  <c r="B216" i="137"/>
  <c r="B215" i="137"/>
  <c r="B214" i="137"/>
  <c r="B213" i="137"/>
  <c r="N212" i="137"/>
  <c r="M212" i="137"/>
  <c r="L212" i="137"/>
  <c r="K212" i="137"/>
  <c r="J212" i="137"/>
  <c r="I212" i="137"/>
  <c r="H212" i="137"/>
  <c r="G212" i="137"/>
  <c r="F212" i="137"/>
  <c r="E212" i="137"/>
  <c r="D212" i="137"/>
  <c r="C212" i="137"/>
  <c r="B212" i="137"/>
  <c r="C206" i="137"/>
  <c r="C205" i="137"/>
  <c r="B205" i="137"/>
  <c r="C204" i="137"/>
  <c r="B204" i="137"/>
  <c r="C203" i="137"/>
  <c r="B203" i="137"/>
  <c r="C202" i="137"/>
  <c r="B202" i="137"/>
  <c r="C201" i="137"/>
  <c r="B201" i="137"/>
  <c r="C200" i="137"/>
  <c r="B200" i="137"/>
  <c r="C199" i="137"/>
  <c r="B199" i="137"/>
  <c r="C198" i="137"/>
  <c r="B198" i="137"/>
  <c r="C197" i="137"/>
  <c r="B197" i="137"/>
  <c r="C196" i="137"/>
  <c r="B196" i="137"/>
  <c r="C195" i="137"/>
  <c r="B195" i="137"/>
  <c r="N194" i="137"/>
  <c r="M194" i="137"/>
  <c r="L194" i="137"/>
  <c r="K194" i="137"/>
  <c r="J194" i="137"/>
  <c r="I194" i="137"/>
  <c r="H194" i="137"/>
  <c r="G194" i="137"/>
  <c r="F194" i="137"/>
  <c r="E194" i="137"/>
  <c r="D194" i="137"/>
  <c r="C194" i="137"/>
  <c r="B194" i="137"/>
  <c r="C190" i="137"/>
  <c r="C189" i="137"/>
  <c r="B189" i="137"/>
  <c r="C188" i="137"/>
  <c r="B188" i="137"/>
  <c r="C187" i="137"/>
  <c r="B187" i="137"/>
  <c r="C186" i="137"/>
  <c r="B186" i="137"/>
  <c r="C185" i="137"/>
  <c r="B185" i="137"/>
  <c r="C184" i="137"/>
  <c r="B184" i="137"/>
  <c r="C183" i="137"/>
  <c r="B183" i="137"/>
  <c r="C182" i="137"/>
  <c r="B182" i="137"/>
  <c r="C181" i="137"/>
  <c r="B181" i="137"/>
  <c r="C180" i="137"/>
  <c r="B180" i="137"/>
  <c r="C179" i="137"/>
  <c r="B179" i="137"/>
  <c r="N178" i="137"/>
  <c r="M178" i="137"/>
  <c r="L178" i="137"/>
  <c r="K178" i="137"/>
  <c r="J178" i="137"/>
  <c r="I178" i="137"/>
  <c r="H178" i="137"/>
  <c r="G178" i="137"/>
  <c r="F178" i="137"/>
  <c r="E178" i="137"/>
  <c r="D178" i="137"/>
  <c r="C178" i="137"/>
  <c r="B178" i="137"/>
  <c r="C172" i="137"/>
  <c r="C171" i="137"/>
  <c r="B171" i="137"/>
  <c r="C170" i="137"/>
  <c r="B170" i="137"/>
  <c r="C169" i="137"/>
  <c r="B169" i="137"/>
  <c r="C168" i="137"/>
  <c r="B168" i="137"/>
  <c r="C167" i="137"/>
  <c r="B167" i="137"/>
  <c r="C166" i="137"/>
  <c r="B166" i="137"/>
  <c r="C165" i="137"/>
  <c r="B165" i="137"/>
  <c r="C164" i="137"/>
  <c r="B164" i="137"/>
  <c r="C163" i="137"/>
  <c r="B163" i="137"/>
  <c r="C162" i="137"/>
  <c r="B162" i="137"/>
  <c r="C161" i="137"/>
  <c r="B161" i="137"/>
  <c r="N160" i="137"/>
  <c r="M160" i="137"/>
  <c r="L160" i="137"/>
  <c r="K160" i="137"/>
  <c r="J160" i="137"/>
  <c r="I160" i="137"/>
  <c r="H160" i="137"/>
  <c r="G160" i="137"/>
  <c r="F160" i="137"/>
  <c r="E160" i="137"/>
  <c r="D160" i="137"/>
  <c r="C160" i="137"/>
  <c r="B160" i="137"/>
  <c r="C156" i="137"/>
  <c r="C155" i="137"/>
  <c r="B155" i="137"/>
  <c r="C154" i="137"/>
  <c r="B154" i="137"/>
  <c r="C153" i="137"/>
  <c r="B153" i="137"/>
  <c r="C152" i="137"/>
  <c r="B152" i="137"/>
  <c r="C151" i="137"/>
  <c r="B151" i="137"/>
  <c r="C150" i="137"/>
  <c r="B150" i="137"/>
  <c r="C149" i="137"/>
  <c r="B149" i="137"/>
  <c r="C148" i="137"/>
  <c r="B148" i="137"/>
  <c r="C147" i="137"/>
  <c r="B147" i="137"/>
  <c r="C146" i="137"/>
  <c r="B146" i="137"/>
  <c r="C145" i="137"/>
  <c r="B145" i="137"/>
  <c r="N144" i="137"/>
  <c r="M144" i="137"/>
  <c r="L144" i="137"/>
  <c r="K144" i="137"/>
  <c r="J144" i="137"/>
  <c r="I144" i="137"/>
  <c r="H144" i="137"/>
  <c r="G144" i="137"/>
  <c r="F144" i="137"/>
  <c r="E144" i="137"/>
  <c r="D144" i="137"/>
  <c r="C144" i="137"/>
  <c r="B144" i="137"/>
  <c r="B137" i="137"/>
  <c r="B136" i="137"/>
  <c r="B135" i="137"/>
  <c r="B134" i="137"/>
  <c r="B133" i="137"/>
  <c r="B132" i="137"/>
  <c r="B131" i="137"/>
  <c r="B130" i="137"/>
  <c r="B129" i="137"/>
  <c r="B128" i="137"/>
  <c r="B127" i="137"/>
  <c r="N126" i="137"/>
  <c r="M126" i="137"/>
  <c r="L126" i="137"/>
  <c r="K126" i="137"/>
  <c r="J126" i="137"/>
  <c r="I126" i="137"/>
  <c r="H126" i="137"/>
  <c r="G126" i="137"/>
  <c r="F126" i="137"/>
  <c r="E126" i="137"/>
  <c r="D126" i="137"/>
  <c r="C126" i="137"/>
  <c r="B126" i="137"/>
  <c r="B121" i="137"/>
  <c r="B120" i="137"/>
  <c r="B119" i="137"/>
  <c r="B118" i="137"/>
  <c r="B117" i="137"/>
  <c r="B116" i="137"/>
  <c r="B115" i="137"/>
  <c r="B114" i="137"/>
  <c r="B113" i="137"/>
  <c r="B112" i="137"/>
  <c r="B111" i="137"/>
  <c r="N110" i="137"/>
  <c r="M110" i="137"/>
  <c r="L110" i="137"/>
  <c r="K110" i="137"/>
  <c r="J110" i="137"/>
  <c r="I110" i="137"/>
  <c r="H110" i="137"/>
  <c r="G110" i="137"/>
  <c r="F110" i="137"/>
  <c r="E110" i="137"/>
  <c r="D110" i="137"/>
  <c r="C110" i="137"/>
  <c r="B110" i="137"/>
  <c r="C104" i="137"/>
  <c r="C103" i="137"/>
  <c r="B103" i="137"/>
  <c r="C102" i="137"/>
  <c r="B102" i="137"/>
  <c r="C101" i="137"/>
  <c r="B101" i="137"/>
  <c r="C100" i="137"/>
  <c r="B100" i="137"/>
  <c r="C99" i="137"/>
  <c r="B99" i="137"/>
  <c r="C98" i="137"/>
  <c r="B98" i="137"/>
  <c r="C97" i="137"/>
  <c r="B97" i="137"/>
  <c r="C96" i="137"/>
  <c r="B96" i="137"/>
  <c r="C95" i="137"/>
  <c r="B95" i="137"/>
  <c r="C94" i="137"/>
  <c r="B94" i="137"/>
  <c r="C93" i="137"/>
  <c r="B93" i="137"/>
  <c r="N92" i="137"/>
  <c r="M92" i="137"/>
  <c r="L92" i="137"/>
  <c r="K92" i="137"/>
  <c r="J92" i="137"/>
  <c r="I92" i="137"/>
  <c r="H92" i="137"/>
  <c r="G92" i="137"/>
  <c r="F92" i="137"/>
  <c r="E92" i="137"/>
  <c r="D92" i="137"/>
  <c r="C92" i="137"/>
  <c r="B92" i="137"/>
  <c r="C88" i="137"/>
  <c r="C87" i="137"/>
  <c r="B87" i="137"/>
  <c r="C86" i="137"/>
  <c r="B86" i="137"/>
  <c r="C85" i="137"/>
  <c r="B85" i="137"/>
  <c r="C84" i="137"/>
  <c r="B84" i="137"/>
  <c r="C83" i="137"/>
  <c r="B83" i="137"/>
  <c r="C82" i="137"/>
  <c r="B82" i="137"/>
  <c r="C81" i="137"/>
  <c r="B81" i="137"/>
  <c r="C80" i="137"/>
  <c r="B80" i="137"/>
  <c r="C79" i="137"/>
  <c r="B79" i="137"/>
  <c r="C78" i="137"/>
  <c r="B78" i="137"/>
  <c r="C77" i="137"/>
  <c r="B77" i="137"/>
  <c r="N76" i="137"/>
  <c r="M76" i="137"/>
  <c r="L76" i="137"/>
  <c r="K76" i="137"/>
  <c r="J76" i="137"/>
  <c r="I76" i="137"/>
  <c r="H76" i="137"/>
  <c r="G76" i="137"/>
  <c r="F76" i="137"/>
  <c r="E76" i="137"/>
  <c r="D76" i="137"/>
  <c r="C76" i="137"/>
  <c r="B76" i="137"/>
  <c r="C70" i="137"/>
  <c r="C69" i="137"/>
  <c r="B69" i="137"/>
  <c r="C68" i="137"/>
  <c r="B68" i="137"/>
  <c r="C67" i="137"/>
  <c r="B67" i="137"/>
  <c r="C66" i="137"/>
  <c r="B66" i="137"/>
  <c r="C65" i="137"/>
  <c r="B65" i="137"/>
  <c r="C64" i="137"/>
  <c r="B64" i="137"/>
  <c r="C63" i="137"/>
  <c r="B63" i="137"/>
  <c r="C62" i="137"/>
  <c r="B62" i="137"/>
  <c r="C61" i="137"/>
  <c r="B61" i="137"/>
  <c r="C60" i="137"/>
  <c r="B60" i="137"/>
  <c r="C59" i="137"/>
  <c r="B59" i="137"/>
  <c r="N58" i="137"/>
  <c r="M58" i="137"/>
  <c r="L58" i="137"/>
  <c r="K58" i="137"/>
  <c r="J58" i="137"/>
  <c r="I58" i="137"/>
  <c r="H58" i="137"/>
  <c r="G58" i="137"/>
  <c r="F58" i="137"/>
  <c r="E58" i="137"/>
  <c r="D58" i="137"/>
  <c r="C58" i="137"/>
  <c r="B58" i="137"/>
  <c r="C54" i="137"/>
  <c r="C53" i="137"/>
  <c r="B53" i="137"/>
  <c r="C52" i="137"/>
  <c r="B52" i="137"/>
  <c r="C51" i="137"/>
  <c r="B51" i="137"/>
  <c r="C50" i="137"/>
  <c r="B50" i="137"/>
  <c r="C49" i="137"/>
  <c r="B49" i="137"/>
  <c r="C48" i="137"/>
  <c r="B48" i="137"/>
  <c r="C47" i="137"/>
  <c r="B47" i="137"/>
  <c r="C46" i="137"/>
  <c r="B46" i="137"/>
  <c r="C45" i="137"/>
  <c r="B45" i="137"/>
  <c r="C44" i="137"/>
  <c r="B44" i="137"/>
  <c r="C43" i="137"/>
  <c r="B43" i="137"/>
  <c r="N42" i="137"/>
  <c r="M42" i="137"/>
  <c r="L42" i="137"/>
  <c r="K42" i="137"/>
  <c r="J42" i="137"/>
  <c r="I42" i="137"/>
  <c r="H42" i="137"/>
  <c r="G42" i="137"/>
  <c r="F42" i="137"/>
  <c r="E42" i="137"/>
  <c r="D42" i="137"/>
  <c r="C42" i="137"/>
  <c r="B42" i="137"/>
  <c r="B36" i="137"/>
  <c r="N35" i="137"/>
  <c r="M35" i="137"/>
  <c r="L35" i="137"/>
  <c r="K35" i="137"/>
  <c r="J35" i="137"/>
  <c r="I35" i="137"/>
  <c r="H35" i="137"/>
  <c r="G35" i="137"/>
  <c r="F35" i="137"/>
  <c r="E35" i="137"/>
  <c r="D35" i="137"/>
  <c r="C35" i="137"/>
  <c r="B35" i="137"/>
  <c r="I31" i="137"/>
  <c r="H31" i="137"/>
  <c r="G31" i="137"/>
  <c r="E31" i="137"/>
  <c r="D31" i="137"/>
  <c r="C31" i="137"/>
  <c r="B31" i="137"/>
  <c r="A31" i="137"/>
  <c r="D30" i="137"/>
  <c r="C30" i="137"/>
  <c r="B30" i="137"/>
  <c r="D29" i="137"/>
  <c r="C29" i="137"/>
  <c r="B29" i="137"/>
  <c r="D28" i="137"/>
  <c r="C28" i="137"/>
  <c r="B28" i="137"/>
  <c r="D27" i="137"/>
  <c r="C27" i="137"/>
  <c r="B27" i="137"/>
  <c r="D26" i="137"/>
  <c r="C26" i="137"/>
  <c r="B26" i="137"/>
  <c r="D25" i="137"/>
  <c r="C25" i="137"/>
  <c r="B25" i="137"/>
  <c r="D24" i="137"/>
  <c r="C24" i="137"/>
  <c r="B24" i="137"/>
  <c r="D23" i="137"/>
  <c r="C23" i="137"/>
  <c r="B23" i="137"/>
  <c r="D22" i="137"/>
  <c r="C22" i="137"/>
  <c r="B22" i="137"/>
  <c r="D21" i="137"/>
  <c r="C21" i="137"/>
  <c r="B21" i="137"/>
  <c r="D20" i="137"/>
  <c r="C20" i="137"/>
  <c r="C19" i="137"/>
  <c r="B19" i="137"/>
  <c r="C15" i="137"/>
  <c r="B15" i="137"/>
  <c r="N14" i="137"/>
  <c r="M14" i="137"/>
  <c r="L14" i="137"/>
  <c r="K14" i="137"/>
  <c r="J14" i="137"/>
  <c r="I14" i="137"/>
  <c r="H14" i="137"/>
  <c r="G14" i="137"/>
  <c r="F14" i="137"/>
  <c r="E14" i="137"/>
  <c r="D14" i="137"/>
  <c r="C14" i="137"/>
  <c r="B14" i="137"/>
  <c r="A1" i="137"/>
  <c r="B366" i="136"/>
  <c r="B365" i="136"/>
  <c r="B364" i="136"/>
  <c r="B363" i="136"/>
  <c r="B362" i="136"/>
  <c r="B361" i="136"/>
  <c r="B360" i="136"/>
  <c r="B359" i="136"/>
  <c r="B358" i="136"/>
  <c r="B357" i="136"/>
  <c r="B356" i="136"/>
  <c r="N355" i="136"/>
  <c r="M355" i="136"/>
  <c r="L355" i="136"/>
  <c r="K355" i="136"/>
  <c r="J355" i="136"/>
  <c r="I355" i="136"/>
  <c r="H355" i="136"/>
  <c r="G355" i="136"/>
  <c r="F355" i="136"/>
  <c r="E355" i="136"/>
  <c r="D355" i="136"/>
  <c r="C355" i="136"/>
  <c r="B355" i="136"/>
  <c r="B350" i="136"/>
  <c r="B349" i="136"/>
  <c r="B348" i="136"/>
  <c r="B347" i="136"/>
  <c r="B346" i="136"/>
  <c r="B345" i="136"/>
  <c r="B344" i="136"/>
  <c r="B343" i="136"/>
  <c r="B342" i="136"/>
  <c r="B341" i="136"/>
  <c r="B340" i="136"/>
  <c r="N339" i="136"/>
  <c r="M339" i="136"/>
  <c r="L339" i="136"/>
  <c r="K339" i="136"/>
  <c r="J339" i="136"/>
  <c r="I339" i="136"/>
  <c r="H339" i="136"/>
  <c r="G339" i="136"/>
  <c r="F339" i="136"/>
  <c r="E339" i="136"/>
  <c r="D339" i="136"/>
  <c r="C339" i="136"/>
  <c r="B339" i="136"/>
  <c r="B329" i="136"/>
  <c r="B328" i="136"/>
  <c r="B327" i="136"/>
  <c r="B326" i="136"/>
  <c r="B325" i="136"/>
  <c r="B324" i="136"/>
  <c r="B323" i="136"/>
  <c r="B322" i="136"/>
  <c r="B321" i="136"/>
  <c r="B320" i="136"/>
  <c r="B319" i="136"/>
  <c r="N318" i="136"/>
  <c r="M318" i="136"/>
  <c r="L318" i="136"/>
  <c r="K318" i="136"/>
  <c r="J318" i="136"/>
  <c r="I318" i="136"/>
  <c r="H318" i="136"/>
  <c r="G318" i="136"/>
  <c r="F318" i="136"/>
  <c r="E318" i="136"/>
  <c r="D318" i="136"/>
  <c r="C318" i="136"/>
  <c r="B318" i="136"/>
  <c r="B313" i="136"/>
  <c r="B312" i="136"/>
  <c r="B311" i="136"/>
  <c r="B310" i="136"/>
  <c r="B309" i="136"/>
  <c r="B308" i="136"/>
  <c r="B307" i="136"/>
  <c r="B306" i="136"/>
  <c r="B305" i="136"/>
  <c r="B304" i="136"/>
  <c r="B303" i="136"/>
  <c r="N302" i="136"/>
  <c r="M302" i="136"/>
  <c r="L302" i="136"/>
  <c r="K302" i="136"/>
  <c r="J302" i="136"/>
  <c r="I302" i="136"/>
  <c r="H302" i="136"/>
  <c r="G302" i="136"/>
  <c r="F302" i="136"/>
  <c r="E302" i="136"/>
  <c r="D302" i="136"/>
  <c r="C302" i="136"/>
  <c r="B302" i="136"/>
  <c r="N293" i="136"/>
  <c r="M293" i="136"/>
  <c r="L293" i="136"/>
  <c r="K293" i="136"/>
  <c r="J293" i="136"/>
  <c r="I293" i="136"/>
  <c r="H293" i="136"/>
  <c r="G293" i="136"/>
  <c r="F293" i="136"/>
  <c r="E293" i="136"/>
  <c r="D293" i="136"/>
  <c r="C293" i="136"/>
  <c r="C290" i="136"/>
  <c r="N289" i="136"/>
  <c r="M289" i="136"/>
  <c r="L289" i="136"/>
  <c r="K289" i="136"/>
  <c r="J289" i="136"/>
  <c r="I289" i="136"/>
  <c r="H289" i="136"/>
  <c r="G289" i="136"/>
  <c r="F289" i="136"/>
  <c r="E289" i="136"/>
  <c r="D289" i="136"/>
  <c r="C289" i="136"/>
  <c r="C281" i="136"/>
  <c r="C280" i="136"/>
  <c r="N278" i="136"/>
  <c r="M278" i="136"/>
  <c r="L278" i="136"/>
  <c r="K278" i="136"/>
  <c r="J278" i="136"/>
  <c r="I278" i="136"/>
  <c r="H278" i="136"/>
  <c r="G278" i="136"/>
  <c r="F278" i="136"/>
  <c r="E278" i="136"/>
  <c r="D278" i="136"/>
  <c r="C278" i="136"/>
  <c r="B273" i="136"/>
  <c r="B272" i="136"/>
  <c r="B271" i="136"/>
  <c r="B270" i="136"/>
  <c r="B269" i="136"/>
  <c r="B268" i="136"/>
  <c r="B267" i="136"/>
  <c r="B266" i="136"/>
  <c r="B265" i="136"/>
  <c r="B264" i="136"/>
  <c r="B263" i="136"/>
  <c r="N262" i="136"/>
  <c r="M262" i="136"/>
  <c r="L262" i="136"/>
  <c r="K262" i="136"/>
  <c r="J262" i="136"/>
  <c r="I262" i="136"/>
  <c r="H262" i="136"/>
  <c r="G262" i="136"/>
  <c r="F262" i="136"/>
  <c r="E262" i="136"/>
  <c r="D262" i="136"/>
  <c r="C262" i="136"/>
  <c r="B262" i="136"/>
  <c r="B257" i="136"/>
  <c r="B256" i="136"/>
  <c r="B255" i="136"/>
  <c r="B254" i="136"/>
  <c r="B253" i="136"/>
  <c r="B252" i="136"/>
  <c r="B251" i="136"/>
  <c r="B250" i="136"/>
  <c r="B249" i="136"/>
  <c r="B248" i="136"/>
  <c r="B247" i="136"/>
  <c r="N246" i="136"/>
  <c r="M246" i="136"/>
  <c r="L246" i="136"/>
  <c r="K246" i="136"/>
  <c r="J246" i="136"/>
  <c r="I246" i="136"/>
  <c r="H246" i="136"/>
  <c r="G246" i="136"/>
  <c r="F246" i="136"/>
  <c r="E246" i="136"/>
  <c r="D246" i="136"/>
  <c r="C246" i="136"/>
  <c r="B246" i="136"/>
  <c r="B239" i="136"/>
  <c r="B238" i="136"/>
  <c r="B237" i="136"/>
  <c r="B236" i="136"/>
  <c r="B235" i="136"/>
  <c r="B234" i="136"/>
  <c r="B233" i="136"/>
  <c r="B232" i="136"/>
  <c r="B231" i="136"/>
  <c r="B230" i="136"/>
  <c r="B229" i="136"/>
  <c r="N228" i="136"/>
  <c r="M228" i="136"/>
  <c r="L228" i="136"/>
  <c r="K228" i="136"/>
  <c r="J228" i="136"/>
  <c r="I228" i="136"/>
  <c r="H228" i="136"/>
  <c r="G228" i="136"/>
  <c r="F228" i="136"/>
  <c r="E228" i="136"/>
  <c r="D228" i="136"/>
  <c r="C228" i="136"/>
  <c r="B228" i="136"/>
  <c r="B223" i="136"/>
  <c r="B222" i="136"/>
  <c r="B221" i="136"/>
  <c r="B220" i="136"/>
  <c r="B219" i="136"/>
  <c r="B218" i="136"/>
  <c r="B217" i="136"/>
  <c r="B216" i="136"/>
  <c r="B215" i="136"/>
  <c r="B214" i="136"/>
  <c r="B213" i="136"/>
  <c r="N212" i="136"/>
  <c r="M212" i="136"/>
  <c r="L212" i="136"/>
  <c r="K212" i="136"/>
  <c r="J212" i="136"/>
  <c r="I212" i="136"/>
  <c r="H212" i="136"/>
  <c r="G212" i="136"/>
  <c r="F212" i="136"/>
  <c r="E212" i="136"/>
  <c r="D212" i="136"/>
  <c r="C212" i="136"/>
  <c r="B212" i="136"/>
  <c r="C206" i="136"/>
  <c r="C205" i="136"/>
  <c r="B205" i="136"/>
  <c r="C204" i="136"/>
  <c r="B204" i="136"/>
  <c r="C203" i="136"/>
  <c r="B203" i="136"/>
  <c r="C202" i="136"/>
  <c r="B202" i="136"/>
  <c r="C201" i="136"/>
  <c r="B201" i="136"/>
  <c r="C200" i="136"/>
  <c r="B200" i="136"/>
  <c r="C199" i="136"/>
  <c r="B199" i="136"/>
  <c r="C198" i="136"/>
  <c r="B198" i="136"/>
  <c r="C197" i="136"/>
  <c r="B197" i="136"/>
  <c r="C196" i="136"/>
  <c r="B196" i="136"/>
  <c r="C195" i="136"/>
  <c r="B195" i="136"/>
  <c r="N194" i="136"/>
  <c r="M194" i="136"/>
  <c r="L194" i="136"/>
  <c r="K194" i="136"/>
  <c r="J194" i="136"/>
  <c r="I194" i="136"/>
  <c r="H194" i="136"/>
  <c r="G194" i="136"/>
  <c r="F194" i="136"/>
  <c r="E194" i="136"/>
  <c r="D194" i="136"/>
  <c r="C194" i="136"/>
  <c r="B194" i="136"/>
  <c r="C190" i="136"/>
  <c r="C189" i="136"/>
  <c r="B189" i="136"/>
  <c r="C188" i="136"/>
  <c r="B188" i="136"/>
  <c r="C187" i="136"/>
  <c r="B187" i="136"/>
  <c r="C186" i="136"/>
  <c r="B186" i="136"/>
  <c r="C185" i="136"/>
  <c r="B185" i="136"/>
  <c r="C184" i="136"/>
  <c r="B184" i="136"/>
  <c r="C183" i="136"/>
  <c r="B183" i="136"/>
  <c r="C182" i="136"/>
  <c r="B182" i="136"/>
  <c r="C181" i="136"/>
  <c r="B181" i="136"/>
  <c r="C180" i="136"/>
  <c r="B180" i="136"/>
  <c r="C179" i="136"/>
  <c r="B179" i="136"/>
  <c r="N178" i="136"/>
  <c r="M178" i="136"/>
  <c r="L178" i="136"/>
  <c r="K178" i="136"/>
  <c r="J178" i="136"/>
  <c r="I178" i="136"/>
  <c r="H178" i="136"/>
  <c r="G178" i="136"/>
  <c r="F178" i="136"/>
  <c r="E178" i="136"/>
  <c r="D178" i="136"/>
  <c r="C178" i="136"/>
  <c r="B178" i="136"/>
  <c r="C172" i="136"/>
  <c r="C171" i="136"/>
  <c r="B171" i="136"/>
  <c r="C170" i="136"/>
  <c r="B170" i="136"/>
  <c r="C169" i="136"/>
  <c r="B169" i="136"/>
  <c r="C168" i="136"/>
  <c r="B168" i="136"/>
  <c r="C167" i="136"/>
  <c r="B167" i="136"/>
  <c r="C166" i="136"/>
  <c r="B166" i="136"/>
  <c r="C165" i="136"/>
  <c r="B165" i="136"/>
  <c r="C164" i="136"/>
  <c r="B164" i="136"/>
  <c r="C163" i="136"/>
  <c r="B163" i="136"/>
  <c r="C162" i="136"/>
  <c r="B162" i="136"/>
  <c r="C161" i="136"/>
  <c r="B161" i="136"/>
  <c r="N160" i="136"/>
  <c r="M160" i="136"/>
  <c r="L160" i="136"/>
  <c r="K160" i="136"/>
  <c r="J160" i="136"/>
  <c r="I160" i="136"/>
  <c r="H160" i="136"/>
  <c r="G160" i="136"/>
  <c r="F160" i="136"/>
  <c r="E160" i="136"/>
  <c r="D160" i="136"/>
  <c r="C160" i="136"/>
  <c r="B160" i="136"/>
  <c r="C156" i="136"/>
  <c r="C155" i="136"/>
  <c r="B155" i="136"/>
  <c r="C154" i="136"/>
  <c r="B154" i="136"/>
  <c r="C153" i="136"/>
  <c r="B153" i="136"/>
  <c r="C152" i="136"/>
  <c r="B152" i="136"/>
  <c r="C151" i="136"/>
  <c r="B151" i="136"/>
  <c r="C150" i="136"/>
  <c r="B150" i="136"/>
  <c r="C149" i="136"/>
  <c r="B149" i="136"/>
  <c r="C148" i="136"/>
  <c r="B148" i="136"/>
  <c r="C147" i="136"/>
  <c r="B147" i="136"/>
  <c r="C146" i="136"/>
  <c r="B146" i="136"/>
  <c r="C145" i="136"/>
  <c r="B145" i="136"/>
  <c r="N144" i="136"/>
  <c r="M144" i="136"/>
  <c r="L144" i="136"/>
  <c r="K144" i="136"/>
  <c r="J144" i="136"/>
  <c r="I144" i="136"/>
  <c r="H144" i="136"/>
  <c r="G144" i="136"/>
  <c r="F144" i="136"/>
  <c r="E144" i="136"/>
  <c r="D144" i="136"/>
  <c r="C144" i="136"/>
  <c r="B144" i="136"/>
  <c r="B137" i="136"/>
  <c r="B136" i="136"/>
  <c r="B135" i="136"/>
  <c r="B134" i="136"/>
  <c r="B133" i="136"/>
  <c r="B132" i="136"/>
  <c r="B131" i="136"/>
  <c r="B130" i="136"/>
  <c r="B129" i="136"/>
  <c r="B128" i="136"/>
  <c r="B127" i="136"/>
  <c r="N126" i="136"/>
  <c r="M126" i="136"/>
  <c r="L126" i="136"/>
  <c r="K126" i="136"/>
  <c r="J126" i="136"/>
  <c r="I126" i="136"/>
  <c r="H126" i="136"/>
  <c r="G126" i="136"/>
  <c r="F126" i="136"/>
  <c r="E126" i="136"/>
  <c r="D126" i="136"/>
  <c r="C126" i="136"/>
  <c r="B126" i="136"/>
  <c r="B121" i="136"/>
  <c r="B120" i="136"/>
  <c r="B119" i="136"/>
  <c r="B118" i="136"/>
  <c r="B117" i="136"/>
  <c r="B116" i="136"/>
  <c r="B115" i="136"/>
  <c r="B114" i="136"/>
  <c r="B113" i="136"/>
  <c r="B112" i="136"/>
  <c r="B111" i="136"/>
  <c r="N110" i="136"/>
  <c r="M110" i="136"/>
  <c r="L110" i="136"/>
  <c r="K110" i="136"/>
  <c r="J110" i="136"/>
  <c r="I110" i="136"/>
  <c r="H110" i="136"/>
  <c r="G110" i="136"/>
  <c r="F110" i="136"/>
  <c r="E110" i="136"/>
  <c r="D110" i="136"/>
  <c r="C110" i="136"/>
  <c r="B110" i="136"/>
  <c r="C104" i="136"/>
  <c r="C103" i="136"/>
  <c r="B103" i="136"/>
  <c r="C102" i="136"/>
  <c r="B102" i="136"/>
  <c r="C101" i="136"/>
  <c r="B101" i="136"/>
  <c r="C100" i="136"/>
  <c r="B100" i="136"/>
  <c r="C99" i="136"/>
  <c r="B99" i="136"/>
  <c r="C98" i="136"/>
  <c r="B98" i="136"/>
  <c r="C97" i="136"/>
  <c r="B97" i="136"/>
  <c r="C96" i="136"/>
  <c r="B96" i="136"/>
  <c r="C95" i="136"/>
  <c r="B95" i="136"/>
  <c r="C94" i="136"/>
  <c r="B94" i="136"/>
  <c r="C93" i="136"/>
  <c r="B93" i="136"/>
  <c r="N92" i="136"/>
  <c r="M92" i="136"/>
  <c r="L92" i="136"/>
  <c r="K92" i="136"/>
  <c r="J92" i="136"/>
  <c r="I92" i="136"/>
  <c r="H92" i="136"/>
  <c r="G92" i="136"/>
  <c r="F92" i="136"/>
  <c r="E92" i="136"/>
  <c r="D92" i="136"/>
  <c r="C92" i="136"/>
  <c r="B92" i="136"/>
  <c r="C88" i="136"/>
  <c r="C87" i="136"/>
  <c r="B87" i="136"/>
  <c r="C86" i="136"/>
  <c r="B86" i="136"/>
  <c r="C85" i="136"/>
  <c r="B85" i="136"/>
  <c r="C84" i="136"/>
  <c r="B84" i="136"/>
  <c r="C83" i="136"/>
  <c r="B83" i="136"/>
  <c r="C82" i="136"/>
  <c r="B82" i="136"/>
  <c r="C81" i="136"/>
  <c r="B81" i="136"/>
  <c r="C80" i="136"/>
  <c r="B80" i="136"/>
  <c r="C79" i="136"/>
  <c r="B79" i="136"/>
  <c r="C78" i="136"/>
  <c r="B78" i="136"/>
  <c r="C77" i="136"/>
  <c r="B77" i="136"/>
  <c r="N76" i="136"/>
  <c r="M76" i="136"/>
  <c r="L76" i="136"/>
  <c r="K76" i="136"/>
  <c r="J76" i="136"/>
  <c r="I76" i="136"/>
  <c r="H76" i="136"/>
  <c r="G76" i="136"/>
  <c r="F76" i="136"/>
  <c r="E76" i="136"/>
  <c r="D76" i="136"/>
  <c r="C76" i="136"/>
  <c r="B76" i="136"/>
  <c r="C70" i="136"/>
  <c r="C69" i="136"/>
  <c r="B69" i="136"/>
  <c r="C68" i="136"/>
  <c r="B68" i="136"/>
  <c r="C67" i="136"/>
  <c r="B67" i="136"/>
  <c r="C66" i="136"/>
  <c r="B66" i="136"/>
  <c r="C65" i="136"/>
  <c r="B65" i="136"/>
  <c r="C64" i="136"/>
  <c r="B64" i="136"/>
  <c r="C63" i="136"/>
  <c r="B63" i="136"/>
  <c r="C62" i="136"/>
  <c r="B62" i="136"/>
  <c r="C61" i="136"/>
  <c r="B61" i="136"/>
  <c r="C60" i="136"/>
  <c r="B60" i="136"/>
  <c r="C59" i="136"/>
  <c r="B59" i="136"/>
  <c r="N58" i="136"/>
  <c r="M58" i="136"/>
  <c r="L58" i="136"/>
  <c r="K58" i="136"/>
  <c r="J58" i="136"/>
  <c r="I58" i="136"/>
  <c r="H58" i="136"/>
  <c r="G58" i="136"/>
  <c r="F58" i="136"/>
  <c r="E58" i="136"/>
  <c r="D58" i="136"/>
  <c r="C58" i="136"/>
  <c r="B58" i="136"/>
  <c r="C54" i="136"/>
  <c r="C53" i="136"/>
  <c r="B53" i="136"/>
  <c r="C52" i="136"/>
  <c r="B52" i="136"/>
  <c r="C51" i="136"/>
  <c r="B51" i="136"/>
  <c r="C50" i="136"/>
  <c r="B50" i="136"/>
  <c r="C49" i="136"/>
  <c r="B49" i="136"/>
  <c r="C48" i="136"/>
  <c r="B48" i="136"/>
  <c r="C47" i="136"/>
  <c r="B47" i="136"/>
  <c r="C46" i="136"/>
  <c r="B46" i="136"/>
  <c r="C45" i="136"/>
  <c r="B45" i="136"/>
  <c r="C44" i="136"/>
  <c r="B44" i="136"/>
  <c r="C43" i="136"/>
  <c r="B43" i="136"/>
  <c r="N42" i="136"/>
  <c r="M42" i="136"/>
  <c r="L42" i="136"/>
  <c r="K42" i="136"/>
  <c r="J42" i="136"/>
  <c r="I42" i="136"/>
  <c r="H42" i="136"/>
  <c r="G42" i="136"/>
  <c r="F42" i="136"/>
  <c r="E42" i="136"/>
  <c r="D42" i="136"/>
  <c r="C42" i="136"/>
  <c r="B42" i="136"/>
  <c r="B36" i="136"/>
  <c r="N35" i="136"/>
  <c r="M35" i="136"/>
  <c r="L35" i="136"/>
  <c r="K35" i="136"/>
  <c r="J35" i="136"/>
  <c r="I35" i="136"/>
  <c r="H35" i="136"/>
  <c r="G35" i="136"/>
  <c r="F35" i="136"/>
  <c r="E35" i="136"/>
  <c r="D35" i="136"/>
  <c r="C35" i="136"/>
  <c r="B35" i="136"/>
  <c r="I31" i="136"/>
  <c r="H31" i="136"/>
  <c r="G31" i="136"/>
  <c r="E31" i="136"/>
  <c r="D31" i="136"/>
  <c r="C31" i="136"/>
  <c r="B31" i="136"/>
  <c r="A31" i="136"/>
  <c r="D30" i="136"/>
  <c r="C30" i="136"/>
  <c r="B30" i="136"/>
  <c r="D29" i="136"/>
  <c r="C29" i="136"/>
  <c r="B29" i="136"/>
  <c r="D28" i="136"/>
  <c r="C28" i="136"/>
  <c r="B28" i="136"/>
  <c r="D27" i="136"/>
  <c r="C27" i="136"/>
  <c r="B27" i="136"/>
  <c r="D26" i="136"/>
  <c r="C26" i="136"/>
  <c r="B26" i="136"/>
  <c r="D25" i="136"/>
  <c r="C25" i="136"/>
  <c r="B25" i="136"/>
  <c r="D24" i="136"/>
  <c r="C24" i="136"/>
  <c r="B24" i="136"/>
  <c r="D23" i="136"/>
  <c r="C23" i="136"/>
  <c r="B23" i="136"/>
  <c r="D22" i="136"/>
  <c r="C22" i="136"/>
  <c r="B22" i="136"/>
  <c r="D21" i="136"/>
  <c r="C21" i="136"/>
  <c r="B21" i="136"/>
  <c r="D20" i="136"/>
  <c r="C20" i="136"/>
  <c r="C19" i="136"/>
  <c r="B19" i="136"/>
  <c r="C15" i="136"/>
  <c r="B15" i="136"/>
  <c r="N14" i="136"/>
  <c r="M14" i="136"/>
  <c r="L14" i="136"/>
  <c r="K14" i="136"/>
  <c r="J14" i="136"/>
  <c r="I14" i="136"/>
  <c r="H14" i="136"/>
  <c r="G14" i="136"/>
  <c r="F14" i="136"/>
  <c r="E14" i="136"/>
  <c r="D14" i="136"/>
  <c r="C14" i="136"/>
  <c r="B14" i="136"/>
  <c r="A1" i="136"/>
  <c r="B366" i="135"/>
  <c r="B365" i="135"/>
  <c r="B364" i="135"/>
  <c r="B363" i="135"/>
  <c r="B362" i="135"/>
  <c r="B361" i="135"/>
  <c r="B360" i="135"/>
  <c r="B359" i="135"/>
  <c r="B358" i="135"/>
  <c r="B357" i="135"/>
  <c r="B356" i="135"/>
  <c r="N355" i="135"/>
  <c r="M355" i="135"/>
  <c r="L355" i="135"/>
  <c r="K355" i="135"/>
  <c r="J355" i="135"/>
  <c r="I355" i="135"/>
  <c r="H355" i="135"/>
  <c r="G355" i="135"/>
  <c r="F355" i="135"/>
  <c r="E355" i="135"/>
  <c r="D355" i="135"/>
  <c r="C355" i="135"/>
  <c r="B355" i="135"/>
  <c r="B350" i="135"/>
  <c r="B349" i="135"/>
  <c r="B348" i="135"/>
  <c r="B347" i="135"/>
  <c r="B346" i="135"/>
  <c r="B345" i="135"/>
  <c r="B344" i="135"/>
  <c r="B343" i="135"/>
  <c r="B342" i="135"/>
  <c r="B341" i="135"/>
  <c r="B340" i="135"/>
  <c r="N339" i="135"/>
  <c r="M339" i="135"/>
  <c r="L339" i="135"/>
  <c r="K339" i="135"/>
  <c r="J339" i="135"/>
  <c r="I339" i="135"/>
  <c r="H339" i="135"/>
  <c r="G339" i="135"/>
  <c r="F339" i="135"/>
  <c r="E339" i="135"/>
  <c r="D339" i="135"/>
  <c r="C339" i="135"/>
  <c r="B339" i="135"/>
  <c r="B329" i="135"/>
  <c r="B328" i="135"/>
  <c r="B327" i="135"/>
  <c r="B326" i="135"/>
  <c r="B325" i="135"/>
  <c r="B324" i="135"/>
  <c r="B323" i="135"/>
  <c r="B322" i="135"/>
  <c r="B321" i="135"/>
  <c r="B320" i="135"/>
  <c r="B319" i="135"/>
  <c r="N318" i="135"/>
  <c r="M318" i="135"/>
  <c r="L318" i="135"/>
  <c r="K318" i="135"/>
  <c r="J318" i="135"/>
  <c r="I318" i="135"/>
  <c r="H318" i="135"/>
  <c r="G318" i="135"/>
  <c r="F318" i="135"/>
  <c r="E318" i="135"/>
  <c r="D318" i="135"/>
  <c r="C318" i="135"/>
  <c r="B318" i="135"/>
  <c r="B313" i="135"/>
  <c r="B312" i="135"/>
  <c r="B311" i="135"/>
  <c r="B310" i="135"/>
  <c r="B309" i="135"/>
  <c r="B308" i="135"/>
  <c r="B307" i="135"/>
  <c r="B306" i="135"/>
  <c r="B305" i="135"/>
  <c r="B304" i="135"/>
  <c r="B303" i="135"/>
  <c r="N302" i="135"/>
  <c r="M302" i="135"/>
  <c r="L302" i="135"/>
  <c r="K302" i="135"/>
  <c r="J302" i="135"/>
  <c r="I302" i="135"/>
  <c r="H302" i="135"/>
  <c r="G302" i="135"/>
  <c r="F302" i="135"/>
  <c r="E302" i="135"/>
  <c r="D302" i="135"/>
  <c r="C302" i="135"/>
  <c r="B302" i="135"/>
  <c r="N293" i="135"/>
  <c r="M293" i="135"/>
  <c r="L293" i="135"/>
  <c r="K293" i="135"/>
  <c r="J293" i="135"/>
  <c r="I293" i="135"/>
  <c r="H293" i="135"/>
  <c r="G293" i="135"/>
  <c r="F293" i="135"/>
  <c r="E293" i="135"/>
  <c r="D293" i="135"/>
  <c r="C293" i="135"/>
  <c r="C290" i="135"/>
  <c r="N289" i="135"/>
  <c r="M289" i="135"/>
  <c r="L289" i="135"/>
  <c r="K289" i="135"/>
  <c r="J289" i="135"/>
  <c r="I289" i="135"/>
  <c r="H289" i="135"/>
  <c r="G289" i="135"/>
  <c r="F289" i="135"/>
  <c r="E289" i="135"/>
  <c r="D289" i="135"/>
  <c r="C289" i="135"/>
  <c r="C281" i="135"/>
  <c r="C280" i="135"/>
  <c r="N278" i="135"/>
  <c r="M278" i="135"/>
  <c r="L278" i="135"/>
  <c r="K278" i="135"/>
  <c r="J278" i="135"/>
  <c r="I278" i="135"/>
  <c r="H278" i="135"/>
  <c r="G278" i="135"/>
  <c r="F278" i="135"/>
  <c r="E278" i="135"/>
  <c r="D278" i="135"/>
  <c r="C278" i="135"/>
  <c r="B273" i="135"/>
  <c r="B272" i="135"/>
  <c r="B271" i="135"/>
  <c r="B270" i="135"/>
  <c r="B269" i="135"/>
  <c r="B268" i="135"/>
  <c r="B267" i="135"/>
  <c r="B266" i="135"/>
  <c r="B265" i="135"/>
  <c r="B264" i="135"/>
  <c r="B263" i="135"/>
  <c r="N262" i="135"/>
  <c r="M262" i="135"/>
  <c r="L262" i="135"/>
  <c r="K262" i="135"/>
  <c r="J262" i="135"/>
  <c r="I262" i="135"/>
  <c r="H262" i="135"/>
  <c r="G262" i="135"/>
  <c r="F262" i="135"/>
  <c r="E262" i="135"/>
  <c r="D262" i="135"/>
  <c r="C262" i="135"/>
  <c r="B262" i="135"/>
  <c r="B257" i="135"/>
  <c r="B256" i="135"/>
  <c r="B255" i="135"/>
  <c r="B254" i="135"/>
  <c r="B253" i="135"/>
  <c r="B252" i="135"/>
  <c r="B251" i="135"/>
  <c r="B250" i="135"/>
  <c r="B249" i="135"/>
  <c r="B248" i="135"/>
  <c r="B247" i="135"/>
  <c r="N246" i="135"/>
  <c r="M246" i="135"/>
  <c r="L246" i="135"/>
  <c r="K246" i="135"/>
  <c r="J246" i="135"/>
  <c r="I246" i="135"/>
  <c r="H246" i="135"/>
  <c r="G246" i="135"/>
  <c r="F246" i="135"/>
  <c r="E246" i="135"/>
  <c r="D246" i="135"/>
  <c r="C246" i="135"/>
  <c r="B246" i="135"/>
  <c r="B239" i="135"/>
  <c r="B238" i="135"/>
  <c r="B237" i="135"/>
  <c r="B236" i="135"/>
  <c r="B235" i="135"/>
  <c r="B234" i="135"/>
  <c r="B233" i="135"/>
  <c r="B232" i="135"/>
  <c r="B231" i="135"/>
  <c r="B230" i="135"/>
  <c r="B229" i="135"/>
  <c r="N228" i="135"/>
  <c r="M228" i="135"/>
  <c r="L228" i="135"/>
  <c r="K228" i="135"/>
  <c r="J228" i="135"/>
  <c r="I228" i="135"/>
  <c r="H228" i="135"/>
  <c r="G228" i="135"/>
  <c r="F228" i="135"/>
  <c r="E228" i="135"/>
  <c r="D228" i="135"/>
  <c r="C228" i="135"/>
  <c r="B228" i="135"/>
  <c r="B223" i="135"/>
  <c r="B222" i="135"/>
  <c r="B221" i="135"/>
  <c r="B220" i="135"/>
  <c r="B219" i="135"/>
  <c r="B218" i="135"/>
  <c r="B217" i="135"/>
  <c r="B216" i="135"/>
  <c r="B215" i="135"/>
  <c r="B214" i="135"/>
  <c r="B213" i="135"/>
  <c r="N212" i="135"/>
  <c r="M212" i="135"/>
  <c r="L212" i="135"/>
  <c r="K212" i="135"/>
  <c r="J212" i="135"/>
  <c r="I212" i="135"/>
  <c r="H212" i="135"/>
  <c r="G212" i="135"/>
  <c r="F212" i="135"/>
  <c r="E212" i="135"/>
  <c r="D212" i="135"/>
  <c r="C212" i="135"/>
  <c r="B212" i="135"/>
  <c r="C206" i="135"/>
  <c r="C205" i="135"/>
  <c r="B205" i="135"/>
  <c r="C204" i="135"/>
  <c r="B204" i="135"/>
  <c r="C203" i="135"/>
  <c r="B203" i="135"/>
  <c r="C202" i="135"/>
  <c r="B202" i="135"/>
  <c r="C201" i="135"/>
  <c r="B201" i="135"/>
  <c r="C200" i="135"/>
  <c r="B200" i="135"/>
  <c r="C199" i="135"/>
  <c r="B199" i="135"/>
  <c r="C198" i="135"/>
  <c r="B198" i="135"/>
  <c r="C197" i="135"/>
  <c r="B197" i="135"/>
  <c r="C196" i="135"/>
  <c r="B196" i="135"/>
  <c r="C195" i="135"/>
  <c r="B195" i="135"/>
  <c r="N194" i="135"/>
  <c r="M194" i="135"/>
  <c r="L194" i="135"/>
  <c r="K194" i="135"/>
  <c r="J194" i="135"/>
  <c r="I194" i="135"/>
  <c r="H194" i="135"/>
  <c r="G194" i="135"/>
  <c r="F194" i="135"/>
  <c r="E194" i="135"/>
  <c r="D194" i="135"/>
  <c r="C194" i="135"/>
  <c r="B194" i="135"/>
  <c r="C190" i="135"/>
  <c r="C189" i="135"/>
  <c r="B189" i="135"/>
  <c r="C188" i="135"/>
  <c r="B188" i="135"/>
  <c r="C187" i="135"/>
  <c r="B187" i="135"/>
  <c r="C186" i="135"/>
  <c r="B186" i="135"/>
  <c r="C185" i="135"/>
  <c r="B185" i="135"/>
  <c r="C184" i="135"/>
  <c r="B184" i="135"/>
  <c r="C183" i="135"/>
  <c r="B183" i="135"/>
  <c r="C182" i="135"/>
  <c r="B182" i="135"/>
  <c r="C181" i="135"/>
  <c r="B181" i="135"/>
  <c r="C180" i="135"/>
  <c r="B180" i="135"/>
  <c r="C179" i="135"/>
  <c r="B179" i="135"/>
  <c r="N178" i="135"/>
  <c r="M178" i="135"/>
  <c r="L178" i="135"/>
  <c r="K178" i="135"/>
  <c r="J178" i="135"/>
  <c r="I178" i="135"/>
  <c r="H178" i="135"/>
  <c r="G178" i="135"/>
  <c r="F178" i="135"/>
  <c r="E178" i="135"/>
  <c r="D178" i="135"/>
  <c r="C178" i="135"/>
  <c r="B178" i="135"/>
  <c r="C172" i="135"/>
  <c r="C171" i="135"/>
  <c r="B171" i="135"/>
  <c r="C170" i="135"/>
  <c r="B170" i="135"/>
  <c r="C169" i="135"/>
  <c r="B169" i="135"/>
  <c r="C168" i="135"/>
  <c r="B168" i="135"/>
  <c r="C167" i="135"/>
  <c r="B167" i="135"/>
  <c r="C166" i="135"/>
  <c r="B166" i="135"/>
  <c r="C165" i="135"/>
  <c r="B165" i="135"/>
  <c r="C164" i="135"/>
  <c r="B164" i="135"/>
  <c r="C163" i="135"/>
  <c r="B163" i="135"/>
  <c r="C162" i="135"/>
  <c r="B162" i="135"/>
  <c r="C161" i="135"/>
  <c r="B161" i="135"/>
  <c r="N160" i="135"/>
  <c r="M160" i="135"/>
  <c r="L160" i="135"/>
  <c r="K160" i="135"/>
  <c r="J160" i="135"/>
  <c r="I160" i="135"/>
  <c r="H160" i="135"/>
  <c r="G160" i="135"/>
  <c r="F160" i="135"/>
  <c r="E160" i="135"/>
  <c r="D160" i="135"/>
  <c r="C160" i="135"/>
  <c r="B160" i="135"/>
  <c r="C156" i="135"/>
  <c r="C155" i="135"/>
  <c r="B155" i="135"/>
  <c r="C154" i="135"/>
  <c r="B154" i="135"/>
  <c r="C153" i="135"/>
  <c r="B153" i="135"/>
  <c r="C152" i="135"/>
  <c r="B152" i="135"/>
  <c r="C151" i="135"/>
  <c r="B151" i="135"/>
  <c r="C150" i="135"/>
  <c r="B150" i="135"/>
  <c r="C149" i="135"/>
  <c r="B149" i="135"/>
  <c r="C148" i="135"/>
  <c r="B148" i="135"/>
  <c r="C147" i="135"/>
  <c r="B147" i="135"/>
  <c r="C146" i="135"/>
  <c r="B146" i="135"/>
  <c r="C145" i="135"/>
  <c r="B145" i="135"/>
  <c r="N144" i="135"/>
  <c r="M144" i="135"/>
  <c r="L144" i="135"/>
  <c r="K144" i="135"/>
  <c r="J144" i="135"/>
  <c r="I144" i="135"/>
  <c r="H144" i="135"/>
  <c r="G144" i="135"/>
  <c r="F144" i="135"/>
  <c r="E144" i="135"/>
  <c r="D144" i="135"/>
  <c r="C144" i="135"/>
  <c r="B144" i="135"/>
  <c r="B137" i="135"/>
  <c r="B136" i="135"/>
  <c r="B135" i="135"/>
  <c r="B134" i="135"/>
  <c r="B133" i="135"/>
  <c r="B132" i="135"/>
  <c r="B131" i="135"/>
  <c r="B130" i="135"/>
  <c r="B129" i="135"/>
  <c r="B128" i="135"/>
  <c r="B127" i="135"/>
  <c r="N126" i="135"/>
  <c r="M126" i="135"/>
  <c r="L126" i="135"/>
  <c r="K126" i="135"/>
  <c r="J126" i="135"/>
  <c r="I126" i="135"/>
  <c r="H126" i="135"/>
  <c r="G126" i="135"/>
  <c r="F126" i="135"/>
  <c r="E126" i="135"/>
  <c r="D126" i="135"/>
  <c r="C126" i="135"/>
  <c r="B126" i="135"/>
  <c r="B121" i="135"/>
  <c r="B120" i="135"/>
  <c r="B119" i="135"/>
  <c r="B118" i="135"/>
  <c r="B117" i="135"/>
  <c r="B116" i="135"/>
  <c r="B115" i="135"/>
  <c r="B114" i="135"/>
  <c r="B113" i="135"/>
  <c r="B112" i="135"/>
  <c r="B111" i="135"/>
  <c r="N110" i="135"/>
  <c r="M110" i="135"/>
  <c r="L110" i="135"/>
  <c r="K110" i="135"/>
  <c r="J110" i="135"/>
  <c r="I110" i="135"/>
  <c r="H110" i="135"/>
  <c r="G110" i="135"/>
  <c r="F110" i="135"/>
  <c r="E110" i="135"/>
  <c r="D110" i="135"/>
  <c r="C110" i="135"/>
  <c r="B110" i="135"/>
  <c r="C104" i="135"/>
  <c r="C103" i="135"/>
  <c r="B103" i="135"/>
  <c r="C102" i="135"/>
  <c r="B102" i="135"/>
  <c r="C101" i="135"/>
  <c r="B101" i="135"/>
  <c r="C100" i="135"/>
  <c r="B100" i="135"/>
  <c r="C99" i="135"/>
  <c r="B99" i="135"/>
  <c r="C98" i="135"/>
  <c r="B98" i="135"/>
  <c r="C97" i="135"/>
  <c r="B97" i="135"/>
  <c r="C96" i="135"/>
  <c r="B96" i="135"/>
  <c r="C95" i="135"/>
  <c r="B95" i="135"/>
  <c r="C94" i="135"/>
  <c r="B94" i="135"/>
  <c r="C93" i="135"/>
  <c r="B93" i="135"/>
  <c r="N92" i="135"/>
  <c r="M92" i="135"/>
  <c r="L92" i="135"/>
  <c r="K92" i="135"/>
  <c r="J92" i="135"/>
  <c r="I92" i="135"/>
  <c r="H92" i="135"/>
  <c r="G92" i="135"/>
  <c r="F92" i="135"/>
  <c r="E92" i="135"/>
  <c r="D92" i="135"/>
  <c r="C92" i="135"/>
  <c r="B92" i="135"/>
  <c r="C88" i="135"/>
  <c r="C87" i="135"/>
  <c r="B87" i="135"/>
  <c r="C86" i="135"/>
  <c r="B86" i="135"/>
  <c r="C85" i="135"/>
  <c r="B85" i="135"/>
  <c r="C84" i="135"/>
  <c r="B84" i="135"/>
  <c r="C83" i="135"/>
  <c r="B83" i="135"/>
  <c r="C82" i="135"/>
  <c r="B82" i="135"/>
  <c r="C81" i="135"/>
  <c r="B81" i="135"/>
  <c r="C80" i="135"/>
  <c r="B80" i="135"/>
  <c r="C79" i="135"/>
  <c r="B79" i="135"/>
  <c r="C78" i="135"/>
  <c r="B78" i="135"/>
  <c r="C77" i="135"/>
  <c r="B77" i="135"/>
  <c r="N76" i="135"/>
  <c r="M76" i="135"/>
  <c r="L76" i="135"/>
  <c r="K76" i="135"/>
  <c r="J76" i="135"/>
  <c r="I76" i="135"/>
  <c r="H76" i="135"/>
  <c r="G76" i="135"/>
  <c r="F76" i="135"/>
  <c r="E76" i="135"/>
  <c r="D76" i="135"/>
  <c r="C76" i="135"/>
  <c r="B76" i="135"/>
  <c r="C70" i="135"/>
  <c r="C69" i="135"/>
  <c r="B69" i="135"/>
  <c r="C68" i="135"/>
  <c r="B68" i="135"/>
  <c r="C67" i="135"/>
  <c r="B67" i="135"/>
  <c r="C66" i="135"/>
  <c r="B66" i="135"/>
  <c r="C65" i="135"/>
  <c r="B65" i="135"/>
  <c r="C64" i="135"/>
  <c r="B64" i="135"/>
  <c r="C63" i="135"/>
  <c r="B63" i="135"/>
  <c r="C62" i="135"/>
  <c r="B62" i="135"/>
  <c r="C61" i="135"/>
  <c r="B61" i="135"/>
  <c r="C60" i="135"/>
  <c r="B60" i="135"/>
  <c r="C59" i="135"/>
  <c r="B59" i="135"/>
  <c r="N58" i="135"/>
  <c r="M58" i="135"/>
  <c r="L58" i="135"/>
  <c r="K58" i="135"/>
  <c r="J58" i="135"/>
  <c r="I58" i="135"/>
  <c r="H58" i="135"/>
  <c r="G58" i="135"/>
  <c r="F58" i="135"/>
  <c r="E58" i="135"/>
  <c r="D58" i="135"/>
  <c r="C58" i="135"/>
  <c r="B58" i="135"/>
  <c r="C54" i="135"/>
  <c r="C53" i="135"/>
  <c r="B53" i="135"/>
  <c r="C52" i="135"/>
  <c r="B52" i="135"/>
  <c r="C51" i="135"/>
  <c r="B51" i="135"/>
  <c r="C50" i="135"/>
  <c r="B50" i="135"/>
  <c r="C49" i="135"/>
  <c r="B49" i="135"/>
  <c r="C48" i="135"/>
  <c r="B48" i="135"/>
  <c r="C47" i="135"/>
  <c r="B47" i="135"/>
  <c r="C46" i="135"/>
  <c r="B46" i="135"/>
  <c r="C45" i="135"/>
  <c r="B45" i="135"/>
  <c r="C44" i="135"/>
  <c r="B44" i="135"/>
  <c r="C43" i="135"/>
  <c r="B43" i="135"/>
  <c r="N42" i="135"/>
  <c r="M42" i="135"/>
  <c r="L42" i="135"/>
  <c r="K42" i="135"/>
  <c r="J42" i="135"/>
  <c r="I42" i="135"/>
  <c r="H42" i="135"/>
  <c r="G42" i="135"/>
  <c r="F42" i="135"/>
  <c r="E42" i="135"/>
  <c r="D42" i="135"/>
  <c r="C42" i="135"/>
  <c r="B42" i="135"/>
  <c r="B36" i="135"/>
  <c r="N35" i="135"/>
  <c r="M35" i="135"/>
  <c r="L35" i="135"/>
  <c r="K35" i="135"/>
  <c r="J35" i="135"/>
  <c r="I35" i="135"/>
  <c r="H35" i="135"/>
  <c r="G35" i="135"/>
  <c r="F35" i="135"/>
  <c r="E35" i="135"/>
  <c r="D35" i="135"/>
  <c r="C35" i="135"/>
  <c r="B35" i="135"/>
  <c r="I31" i="135"/>
  <c r="H31" i="135"/>
  <c r="G31" i="135"/>
  <c r="E31" i="135"/>
  <c r="D31" i="135"/>
  <c r="C31" i="135"/>
  <c r="B31" i="135"/>
  <c r="A31" i="135"/>
  <c r="D30" i="135"/>
  <c r="C30" i="135"/>
  <c r="B30" i="135"/>
  <c r="D29" i="135"/>
  <c r="C29" i="135"/>
  <c r="B29" i="135"/>
  <c r="D28" i="135"/>
  <c r="C28" i="135"/>
  <c r="B28" i="135"/>
  <c r="D27" i="135"/>
  <c r="C27" i="135"/>
  <c r="B27" i="135"/>
  <c r="D26" i="135"/>
  <c r="C26" i="135"/>
  <c r="B26" i="135"/>
  <c r="D25" i="135"/>
  <c r="C25" i="135"/>
  <c r="B25" i="135"/>
  <c r="D24" i="135"/>
  <c r="C24" i="135"/>
  <c r="B24" i="135"/>
  <c r="D23" i="135"/>
  <c r="C23" i="135"/>
  <c r="B23" i="135"/>
  <c r="D22" i="135"/>
  <c r="C22" i="135"/>
  <c r="B22" i="135"/>
  <c r="D21" i="135"/>
  <c r="C21" i="135"/>
  <c r="B21" i="135"/>
  <c r="D20" i="135"/>
  <c r="C20" i="135"/>
  <c r="C19" i="135"/>
  <c r="B19" i="135"/>
  <c r="C15" i="135"/>
  <c r="B15" i="135"/>
  <c r="N14" i="135"/>
  <c r="M14" i="135"/>
  <c r="L14" i="135"/>
  <c r="K14" i="135"/>
  <c r="J14" i="135"/>
  <c r="I14" i="135"/>
  <c r="H14" i="135"/>
  <c r="G14" i="135"/>
  <c r="F14" i="135"/>
  <c r="E14" i="135"/>
  <c r="D14" i="135"/>
  <c r="C14" i="135"/>
  <c r="B14" i="135"/>
  <c r="A1" i="135"/>
  <c r="B366" i="134"/>
  <c r="B365" i="134"/>
  <c r="B364" i="134"/>
  <c r="B363" i="134"/>
  <c r="B362" i="134"/>
  <c r="B361" i="134"/>
  <c r="B360" i="134"/>
  <c r="B359" i="134"/>
  <c r="B358" i="134"/>
  <c r="B357" i="134"/>
  <c r="B356" i="134"/>
  <c r="N355" i="134"/>
  <c r="M355" i="134"/>
  <c r="L355" i="134"/>
  <c r="K355" i="134"/>
  <c r="J355" i="134"/>
  <c r="I355" i="134"/>
  <c r="H355" i="134"/>
  <c r="G355" i="134"/>
  <c r="F355" i="134"/>
  <c r="E355" i="134"/>
  <c r="D355" i="134"/>
  <c r="C355" i="134"/>
  <c r="B355" i="134"/>
  <c r="B350" i="134"/>
  <c r="B349" i="134"/>
  <c r="B348" i="134"/>
  <c r="B347" i="134"/>
  <c r="B346" i="134"/>
  <c r="B345" i="134"/>
  <c r="B344" i="134"/>
  <c r="B343" i="134"/>
  <c r="B342" i="134"/>
  <c r="B341" i="134"/>
  <c r="B340" i="134"/>
  <c r="N339" i="134"/>
  <c r="M339" i="134"/>
  <c r="L339" i="134"/>
  <c r="K339" i="134"/>
  <c r="J339" i="134"/>
  <c r="I339" i="134"/>
  <c r="H339" i="134"/>
  <c r="G339" i="134"/>
  <c r="F339" i="134"/>
  <c r="E339" i="134"/>
  <c r="D339" i="134"/>
  <c r="C339" i="134"/>
  <c r="B339" i="134"/>
  <c r="B329" i="134"/>
  <c r="B328" i="134"/>
  <c r="B327" i="134"/>
  <c r="B326" i="134"/>
  <c r="B325" i="134"/>
  <c r="B324" i="134"/>
  <c r="B323" i="134"/>
  <c r="B322" i="134"/>
  <c r="B321" i="134"/>
  <c r="B320" i="134"/>
  <c r="B319" i="134"/>
  <c r="N318" i="134"/>
  <c r="M318" i="134"/>
  <c r="L318" i="134"/>
  <c r="K318" i="134"/>
  <c r="J318" i="134"/>
  <c r="I318" i="134"/>
  <c r="H318" i="134"/>
  <c r="G318" i="134"/>
  <c r="F318" i="134"/>
  <c r="E318" i="134"/>
  <c r="D318" i="134"/>
  <c r="C318" i="134"/>
  <c r="B318" i="134"/>
  <c r="B313" i="134"/>
  <c r="B312" i="134"/>
  <c r="B311" i="134"/>
  <c r="B310" i="134"/>
  <c r="B309" i="134"/>
  <c r="B308" i="134"/>
  <c r="B307" i="134"/>
  <c r="B306" i="134"/>
  <c r="B305" i="134"/>
  <c r="B304" i="134"/>
  <c r="B303" i="134"/>
  <c r="N302" i="134"/>
  <c r="M302" i="134"/>
  <c r="L302" i="134"/>
  <c r="K302" i="134"/>
  <c r="J302" i="134"/>
  <c r="I302" i="134"/>
  <c r="H302" i="134"/>
  <c r="G302" i="134"/>
  <c r="F302" i="134"/>
  <c r="E302" i="134"/>
  <c r="D302" i="134"/>
  <c r="C302" i="134"/>
  <c r="B302" i="134"/>
  <c r="N293" i="134"/>
  <c r="M293" i="134"/>
  <c r="L293" i="134"/>
  <c r="K293" i="134"/>
  <c r="J293" i="134"/>
  <c r="I293" i="134"/>
  <c r="H293" i="134"/>
  <c r="G293" i="134"/>
  <c r="F293" i="134"/>
  <c r="E293" i="134"/>
  <c r="D293" i="134"/>
  <c r="C293" i="134"/>
  <c r="C290" i="134"/>
  <c r="N289" i="134"/>
  <c r="M289" i="134"/>
  <c r="L289" i="134"/>
  <c r="K289" i="134"/>
  <c r="J289" i="134"/>
  <c r="I289" i="134"/>
  <c r="H289" i="134"/>
  <c r="G289" i="134"/>
  <c r="F289" i="134"/>
  <c r="E289" i="134"/>
  <c r="D289" i="134"/>
  <c r="C289" i="134"/>
  <c r="C281" i="134"/>
  <c r="C280" i="134"/>
  <c r="N278" i="134"/>
  <c r="M278" i="134"/>
  <c r="L278" i="134"/>
  <c r="K278" i="134"/>
  <c r="J278" i="134"/>
  <c r="I278" i="134"/>
  <c r="H278" i="134"/>
  <c r="G278" i="134"/>
  <c r="F278" i="134"/>
  <c r="E278" i="134"/>
  <c r="D278" i="134"/>
  <c r="C278" i="134"/>
  <c r="B273" i="134"/>
  <c r="B272" i="134"/>
  <c r="B271" i="134"/>
  <c r="B270" i="134"/>
  <c r="B269" i="134"/>
  <c r="B268" i="134"/>
  <c r="B267" i="134"/>
  <c r="B266" i="134"/>
  <c r="B265" i="134"/>
  <c r="B264" i="134"/>
  <c r="B263" i="134"/>
  <c r="N262" i="134"/>
  <c r="M262" i="134"/>
  <c r="L262" i="134"/>
  <c r="K262" i="134"/>
  <c r="J262" i="134"/>
  <c r="I262" i="134"/>
  <c r="H262" i="134"/>
  <c r="G262" i="134"/>
  <c r="F262" i="134"/>
  <c r="E262" i="134"/>
  <c r="D262" i="134"/>
  <c r="C262" i="134"/>
  <c r="B262" i="134"/>
  <c r="B257" i="134"/>
  <c r="B256" i="134"/>
  <c r="B255" i="134"/>
  <c r="B254" i="134"/>
  <c r="B253" i="134"/>
  <c r="B252" i="134"/>
  <c r="B251" i="134"/>
  <c r="B250" i="134"/>
  <c r="B249" i="134"/>
  <c r="B248" i="134"/>
  <c r="B247" i="134"/>
  <c r="N246" i="134"/>
  <c r="M246" i="134"/>
  <c r="L246" i="134"/>
  <c r="K246" i="134"/>
  <c r="J246" i="134"/>
  <c r="I246" i="134"/>
  <c r="H246" i="134"/>
  <c r="G246" i="134"/>
  <c r="F246" i="134"/>
  <c r="E246" i="134"/>
  <c r="D246" i="134"/>
  <c r="C246" i="134"/>
  <c r="B246" i="134"/>
  <c r="B239" i="134"/>
  <c r="B238" i="134"/>
  <c r="B237" i="134"/>
  <c r="B236" i="134"/>
  <c r="B235" i="134"/>
  <c r="B234" i="134"/>
  <c r="B233" i="134"/>
  <c r="B232" i="134"/>
  <c r="B231" i="134"/>
  <c r="B230" i="134"/>
  <c r="B229" i="134"/>
  <c r="N228" i="134"/>
  <c r="M228" i="134"/>
  <c r="L228" i="134"/>
  <c r="K228" i="134"/>
  <c r="J228" i="134"/>
  <c r="I228" i="134"/>
  <c r="H228" i="134"/>
  <c r="G228" i="134"/>
  <c r="F228" i="134"/>
  <c r="E228" i="134"/>
  <c r="D228" i="134"/>
  <c r="C228" i="134"/>
  <c r="B228" i="134"/>
  <c r="B223" i="134"/>
  <c r="B222" i="134"/>
  <c r="B221" i="134"/>
  <c r="B220" i="134"/>
  <c r="B219" i="134"/>
  <c r="B218" i="134"/>
  <c r="B217" i="134"/>
  <c r="B216" i="134"/>
  <c r="B215" i="134"/>
  <c r="B214" i="134"/>
  <c r="B213" i="134"/>
  <c r="N212" i="134"/>
  <c r="M212" i="134"/>
  <c r="L212" i="134"/>
  <c r="K212" i="134"/>
  <c r="J212" i="134"/>
  <c r="I212" i="134"/>
  <c r="H212" i="134"/>
  <c r="G212" i="134"/>
  <c r="F212" i="134"/>
  <c r="E212" i="134"/>
  <c r="D212" i="134"/>
  <c r="C212" i="134"/>
  <c r="B212" i="134"/>
  <c r="C206" i="134"/>
  <c r="C205" i="134"/>
  <c r="B205" i="134"/>
  <c r="C204" i="134"/>
  <c r="B204" i="134"/>
  <c r="C203" i="134"/>
  <c r="B203" i="134"/>
  <c r="C202" i="134"/>
  <c r="B202" i="134"/>
  <c r="C201" i="134"/>
  <c r="B201" i="134"/>
  <c r="C200" i="134"/>
  <c r="B200" i="134"/>
  <c r="C199" i="134"/>
  <c r="B199" i="134"/>
  <c r="C198" i="134"/>
  <c r="B198" i="134"/>
  <c r="C197" i="134"/>
  <c r="B197" i="134"/>
  <c r="C196" i="134"/>
  <c r="B196" i="134"/>
  <c r="C195" i="134"/>
  <c r="B195" i="134"/>
  <c r="N194" i="134"/>
  <c r="M194" i="134"/>
  <c r="L194" i="134"/>
  <c r="K194" i="134"/>
  <c r="J194" i="134"/>
  <c r="I194" i="134"/>
  <c r="H194" i="134"/>
  <c r="G194" i="134"/>
  <c r="F194" i="134"/>
  <c r="E194" i="134"/>
  <c r="D194" i="134"/>
  <c r="C194" i="134"/>
  <c r="B194" i="134"/>
  <c r="C190" i="134"/>
  <c r="C189" i="134"/>
  <c r="B189" i="134"/>
  <c r="C188" i="134"/>
  <c r="B188" i="134"/>
  <c r="C187" i="134"/>
  <c r="B187" i="134"/>
  <c r="C186" i="134"/>
  <c r="B186" i="134"/>
  <c r="C185" i="134"/>
  <c r="B185" i="134"/>
  <c r="C184" i="134"/>
  <c r="B184" i="134"/>
  <c r="C183" i="134"/>
  <c r="B183" i="134"/>
  <c r="C182" i="134"/>
  <c r="B182" i="134"/>
  <c r="C181" i="134"/>
  <c r="B181" i="134"/>
  <c r="C180" i="134"/>
  <c r="B180" i="134"/>
  <c r="C179" i="134"/>
  <c r="B179" i="134"/>
  <c r="N178" i="134"/>
  <c r="M178" i="134"/>
  <c r="L178" i="134"/>
  <c r="K178" i="134"/>
  <c r="J178" i="134"/>
  <c r="I178" i="134"/>
  <c r="H178" i="134"/>
  <c r="G178" i="134"/>
  <c r="F178" i="134"/>
  <c r="E178" i="134"/>
  <c r="D178" i="134"/>
  <c r="C178" i="134"/>
  <c r="B178" i="134"/>
  <c r="C172" i="134"/>
  <c r="C171" i="134"/>
  <c r="B171" i="134"/>
  <c r="C170" i="134"/>
  <c r="B170" i="134"/>
  <c r="C169" i="134"/>
  <c r="B169" i="134"/>
  <c r="C168" i="134"/>
  <c r="B168" i="134"/>
  <c r="C167" i="134"/>
  <c r="B167" i="134"/>
  <c r="C166" i="134"/>
  <c r="B166" i="134"/>
  <c r="C165" i="134"/>
  <c r="B165" i="134"/>
  <c r="C164" i="134"/>
  <c r="B164" i="134"/>
  <c r="C163" i="134"/>
  <c r="B163" i="134"/>
  <c r="C162" i="134"/>
  <c r="B162" i="134"/>
  <c r="C161" i="134"/>
  <c r="B161" i="134"/>
  <c r="N160" i="134"/>
  <c r="M160" i="134"/>
  <c r="L160" i="134"/>
  <c r="K160" i="134"/>
  <c r="J160" i="134"/>
  <c r="I160" i="134"/>
  <c r="H160" i="134"/>
  <c r="G160" i="134"/>
  <c r="F160" i="134"/>
  <c r="E160" i="134"/>
  <c r="D160" i="134"/>
  <c r="C160" i="134"/>
  <c r="B160" i="134"/>
  <c r="C156" i="134"/>
  <c r="C155" i="134"/>
  <c r="B155" i="134"/>
  <c r="C154" i="134"/>
  <c r="B154" i="134"/>
  <c r="C153" i="134"/>
  <c r="B153" i="134"/>
  <c r="C152" i="134"/>
  <c r="B152" i="134"/>
  <c r="C151" i="134"/>
  <c r="B151" i="134"/>
  <c r="C150" i="134"/>
  <c r="B150" i="134"/>
  <c r="C149" i="134"/>
  <c r="B149" i="134"/>
  <c r="C148" i="134"/>
  <c r="B148" i="134"/>
  <c r="C147" i="134"/>
  <c r="B147" i="134"/>
  <c r="C146" i="134"/>
  <c r="B146" i="134"/>
  <c r="C145" i="134"/>
  <c r="B145" i="134"/>
  <c r="N144" i="134"/>
  <c r="M144" i="134"/>
  <c r="L144" i="134"/>
  <c r="K144" i="134"/>
  <c r="J144" i="134"/>
  <c r="I144" i="134"/>
  <c r="H144" i="134"/>
  <c r="G144" i="134"/>
  <c r="F144" i="134"/>
  <c r="E144" i="134"/>
  <c r="D144" i="134"/>
  <c r="C144" i="134"/>
  <c r="B144" i="134"/>
  <c r="B137" i="134"/>
  <c r="B136" i="134"/>
  <c r="B135" i="134"/>
  <c r="B134" i="134"/>
  <c r="B133" i="134"/>
  <c r="B132" i="134"/>
  <c r="B131" i="134"/>
  <c r="B130" i="134"/>
  <c r="B129" i="134"/>
  <c r="B128" i="134"/>
  <c r="B127" i="134"/>
  <c r="N126" i="134"/>
  <c r="M126" i="134"/>
  <c r="L126" i="134"/>
  <c r="K126" i="134"/>
  <c r="J126" i="134"/>
  <c r="I126" i="134"/>
  <c r="H126" i="134"/>
  <c r="G126" i="134"/>
  <c r="F126" i="134"/>
  <c r="E126" i="134"/>
  <c r="D126" i="134"/>
  <c r="C126" i="134"/>
  <c r="B126" i="134"/>
  <c r="B121" i="134"/>
  <c r="B120" i="134"/>
  <c r="B119" i="134"/>
  <c r="B118" i="134"/>
  <c r="B117" i="134"/>
  <c r="B116" i="134"/>
  <c r="B115" i="134"/>
  <c r="B114" i="134"/>
  <c r="B113" i="134"/>
  <c r="B112" i="134"/>
  <c r="B111" i="134"/>
  <c r="N110" i="134"/>
  <c r="M110" i="134"/>
  <c r="L110" i="134"/>
  <c r="K110" i="134"/>
  <c r="J110" i="134"/>
  <c r="I110" i="134"/>
  <c r="H110" i="134"/>
  <c r="G110" i="134"/>
  <c r="F110" i="134"/>
  <c r="E110" i="134"/>
  <c r="D110" i="134"/>
  <c r="C110" i="134"/>
  <c r="B110" i="134"/>
  <c r="C104" i="134"/>
  <c r="C103" i="134"/>
  <c r="B103" i="134"/>
  <c r="C102" i="134"/>
  <c r="B102" i="134"/>
  <c r="C101" i="134"/>
  <c r="B101" i="134"/>
  <c r="C100" i="134"/>
  <c r="B100" i="134"/>
  <c r="C99" i="134"/>
  <c r="B99" i="134"/>
  <c r="C98" i="134"/>
  <c r="B98" i="134"/>
  <c r="C97" i="134"/>
  <c r="B97" i="134"/>
  <c r="C96" i="134"/>
  <c r="B96" i="134"/>
  <c r="C95" i="134"/>
  <c r="B95" i="134"/>
  <c r="C94" i="134"/>
  <c r="B94" i="134"/>
  <c r="C93" i="134"/>
  <c r="B93" i="134"/>
  <c r="N92" i="134"/>
  <c r="M92" i="134"/>
  <c r="L92" i="134"/>
  <c r="K92" i="134"/>
  <c r="J92" i="134"/>
  <c r="I92" i="134"/>
  <c r="H92" i="134"/>
  <c r="G92" i="134"/>
  <c r="F92" i="134"/>
  <c r="E92" i="134"/>
  <c r="D92" i="134"/>
  <c r="C92" i="134"/>
  <c r="B92" i="134"/>
  <c r="C88" i="134"/>
  <c r="C87" i="134"/>
  <c r="B87" i="134"/>
  <c r="C86" i="134"/>
  <c r="B86" i="134"/>
  <c r="C85" i="134"/>
  <c r="B85" i="134"/>
  <c r="C84" i="134"/>
  <c r="B84" i="134"/>
  <c r="C83" i="134"/>
  <c r="B83" i="134"/>
  <c r="C82" i="134"/>
  <c r="B82" i="134"/>
  <c r="C81" i="134"/>
  <c r="B81" i="134"/>
  <c r="C80" i="134"/>
  <c r="B80" i="134"/>
  <c r="C79" i="134"/>
  <c r="B79" i="134"/>
  <c r="C78" i="134"/>
  <c r="B78" i="134"/>
  <c r="C77" i="134"/>
  <c r="B77" i="134"/>
  <c r="N76" i="134"/>
  <c r="M76" i="134"/>
  <c r="L76" i="134"/>
  <c r="K76" i="134"/>
  <c r="J76" i="134"/>
  <c r="I76" i="134"/>
  <c r="H76" i="134"/>
  <c r="G76" i="134"/>
  <c r="F76" i="134"/>
  <c r="E76" i="134"/>
  <c r="D76" i="134"/>
  <c r="C76" i="134"/>
  <c r="B76" i="134"/>
  <c r="C70" i="134"/>
  <c r="C69" i="134"/>
  <c r="B69" i="134"/>
  <c r="C68" i="134"/>
  <c r="B68" i="134"/>
  <c r="C67" i="134"/>
  <c r="B67" i="134"/>
  <c r="C66" i="134"/>
  <c r="B66" i="134"/>
  <c r="C65" i="134"/>
  <c r="B65" i="134"/>
  <c r="C64" i="134"/>
  <c r="B64" i="134"/>
  <c r="C63" i="134"/>
  <c r="B63" i="134"/>
  <c r="C62" i="134"/>
  <c r="B62" i="134"/>
  <c r="C61" i="134"/>
  <c r="B61" i="134"/>
  <c r="C60" i="134"/>
  <c r="B60" i="134"/>
  <c r="C59" i="134"/>
  <c r="B59" i="134"/>
  <c r="N58" i="134"/>
  <c r="M58" i="134"/>
  <c r="L58" i="134"/>
  <c r="K58" i="134"/>
  <c r="J58" i="134"/>
  <c r="I58" i="134"/>
  <c r="H58" i="134"/>
  <c r="G58" i="134"/>
  <c r="F58" i="134"/>
  <c r="E58" i="134"/>
  <c r="D58" i="134"/>
  <c r="C58" i="134"/>
  <c r="B58" i="134"/>
  <c r="C54" i="134"/>
  <c r="C53" i="134"/>
  <c r="B53" i="134"/>
  <c r="C52" i="134"/>
  <c r="B52" i="134"/>
  <c r="C51" i="134"/>
  <c r="B51" i="134"/>
  <c r="C50" i="134"/>
  <c r="B50" i="134"/>
  <c r="C49" i="134"/>
  <c r="B49" i="134"/>
  <c r="C48" i="134"/>
  <c r="B48" i="134"/>
  <c r="C47" i="134"/>
  <c r="B47" i="134"/>
  <c r="C46" i="134"/>
  <c r="B46" i="134"/>
  <c r="C45" i="134"/>
  <c r="B45" i="134"/>
  <c r="C44" i="134"/>
  <c r="B44" i="134"/>
  <c r="C43" i="134"/>
  <c r="B43" i="134"/>
  <c r="N42" i="134"/>
  <c r="M42" i="134"/>
  <c r="L42" i="134"/>
  <c r="K42" i="134"/>
  <c r="J42" i="134"/>
  <c r="I42" i="134"/>
  <c r="H42" i="134"/>
  <c r="G42" i="134"/>
  <c r="F42" i="134"/>
  <c r="E42" i="134"/>
  <c r="D42" i="134"/>
  <c r="C42" i="134"/>
  <c r="B42" i="134"/>
  <c r="B36" i="134"/>
  <c r="N35" i="134"/>
  <c r="M35" i="134"/>
  <c r="L35" i="134"/>
  <c r="K35" i="134"/>
  <c r="J35" i="134"/>
  <c r="I35" i="134"/>
  <c r="H35" i="134"/>
  <c r="G35" i="134"/>
  <c r="F35" i="134"/>
  <c r="E35" i="134"/>
  <c r="D35" i="134"/>
  <c r="C35" i="134"/>
  <c r="B35" i="134"/>
  <c r="I31" i="134"/>
  <c r="H31" i="134"/>
  <c r="G31" i="134"/>
  <c r="E31" i="134"/>
  <c r="D31" i="134"/>
  <c r="C31" i="134"/>
  <c r="B31" i="134"/>
  <c r="A31" i="134"/>
  <c r="D30" i="134"/>
  <c r="C30" i="134"/>
  <c r="B30" i="134"/>
  <c r="D29" i="134"/>
  <c r="C29" i="134"/>
  <c r="B29" i="134"/>
  <c r="D28" i="134"/>
  <c r="C28" i="134"/>
  <c r="B28" i="134"/>
  <c r="D27" i="134"/>
  <c r="C27" i="134"/>
  <c r="B27" i="134"/>
  <c r="D26" i="134"/>
  <c r="C26" i="134"/>
  <c r="B26" i="134"/>
  <c r="D25" i="134"/>
  <c r="C25" i="134"/>
  <c r="B25" i="134"/>
  <c r="D24" i="134"/>
  <c r="C24" i="134"/>
  <c r="B24" i="134"/>
  <c r="D23" i="134"/>
  <c r="C23" i="134"/>
  <c r="B23" i="134"/>
  <c r="D22" i="134"/>
  <c r="C22" i="134"/>
  <c r="B22" i="134"/>
  <c r="D21" i="134"/>
  <c r="C21" i="134"/>
  <c r="B21" i="134"/>
  <c r="D20" i="134"/>
  <c r="C20" i="134"/>
  <c r="C19" i="134"/>
  <c r="B19" i="134"/>
  <c r="C15" i="134"/>
  <c r="B15" i="134"/>
  <c r="N14" i="134"/>
  <c r="M14" i="134"/>
  <c r="L14" i="134"/>
  <c r="K14" i="134"/>
  <c r="J14" i="134"/>
  <c r="I14" i="134"/>
  <c r="H14" i="134"/>
  <c r="G14" i="134"/>
  <c r="F14" i="134"/>
  <c r="E14" i="134"/>
  <c r="D14" i="134"/>
  <c r="C14" i="134"/>
  <c r="B14" i="134"/>
  <c r="A1" i="134"/>
  <c r="B366" i="86"/>
  <c r="B365" i="86"/>
  <c r="B364" i="86"/>
  <c r="B363" i="86"/>
  <c r="B362" i="86"/>
  <c r="B361" i="86"/>
  <c r="B360" i="86"/>
  <c r="B359" i="86"/>
  <c r="B358" i="86"/>
  <c r="B357" i="86"/>
  <c r="B356" i="86"/>
  <c r="N355" i="86"/>
  <c r="M355" i="86"/>
  <c r="L355" i="86"/>
  <c r="K355" i="86"/>
  <c r="J355" i="86"/>
  <c r="I355" i="86"/>
  <c r="H355" i="86"/>
  <c r="G355" i="86"/>
  <c r="F355" i="86"/>
  <c r="E355" i="86"/>
  <c r="D355" i="86"/>
  <c r="C355" i="86"/>
  <c r="B355" i="86"/>
  <c r="B350" i="86"/>
  <c r="B349" i="86"/>
  <c r="B348" i="86"/>
  <c r="B347" i="86"/>
  <c r="B346" i="86"/>
  <c r="B345" i="86"/>
  <c r="B344" i="86"/>
  <c r="B343" i="86"/>
  <c r="B342" i="86"/>
  <c r="B341" i="86"/>
  <c r="B340" i="86"/>
  <c r="N339" i="86"/>
  <c r="M339" i="86"/>
  <c r="L339" i="86"/>
  <c r="K339" i="86"/>
  <c r="J339" i="86"/>
  <c r="I339" i="86"/>
  <c r="H339" i="86"/>
  <c r="G339" i="86"/>
  <c r="F339" i="86"/>
  <c r="E339" i="86"/>
  <c r="D339" i="86"/>
  <c r="C339" i="86"/>
  <c r="B339" i="86"/>
  <c r="B329" i="86"/>
  <c r="B328" i="86"/>
  <c r="B327" i="86"/>
  <c r="B326" i="86"/>
  <c r="B325" i="86"/>
  <c r="B324" i="86"/>
  <c r="B323" i="86"/>
  <c r="B322" i="86"/>
  <c r="B321" i="86"/>
  <c r="B320" i="86"/>
  <c r="B319" i="86"/>
  <c r="N318" i="86"/>
  <c r="M318" i="86"/>
  <c r="L318" i="86"/>
  <c r="K318" i="86"/>
  <c r="J318" i="86"/>
  <c r="I318" i="86"/>
  <c r="H318" i="86"/>
  <c r="G318" i="86"/>
  <c r="F318" i="86"/>
  <c r="E318" i="86"/>
  <c r="D318" i="86"/>
  <c r="C318" i="86"/>
  <c r="B318" i="86"/>
  <c r="B313" i="86"/>
  <c r="B312" i="86"/>
  <c r="B311" i="86"/>
  <c r="B310" i="86"/>
  <c r="B309" i="86"/>
  <c r="B308" i="86"/>
  <c r="B307" i="86"/>
  <c r="B306" i="86"/>
  <c r="B305" i="86"/>
  <c r="B304" i="86"/>
  <c r="B303" i="86"/>
  <c r="N302" i="86"/>
  <c r="M302" i="86"/>
  <c r="L302" i="86"/>
  <c r="K302" i="86"/>
  <c r="J302" i="86"/>
  <c r="I302" i="86"/>
  <c r="H302" i="86"/>
  <c r="G302" i="86"/>
  <c r="F302" i="86"/>
  <c r="E302" i="86"/>
  <c r="D302" i="86"/>
  <c r="C302" i="86"/>
  <c r="B302" i="86"/>
  <c r="N293" i="86"/>
  <c r="M293" i="86"/>
  <c r="L293" i="86"/>
  <c r="K293" i="86"/>
  <c r="J293" i="86"/>
  <c r="I293" i="86"/>
  <c r="H293" i="86"/>
  <c r="G293" i="86"/>
  <c r="F293" i="86"/>
  <c r="E293" i="86"/>
  <c r="D293" i="86"/>
  <c r="C293" i="86"/>
  <c r="C290" i="86"/>
  <c r="N289" i="86"/>
  <c r="M289" i="86"/>
  <c r="L289" i="86"/>
  <c r="K289" i="86"/>
  <c r="J289" i="86"/>
  <c r="I289" i="86"/>
  <c r="H289" i="86"/>
  <c r="G289" i="86"/>
  <c r="F289" i="86"/>
  <c r="E289" i="86"/>
  <c r="D289" i="86"/>
  <c r="C289" i="86"/>
  <c r="C281" i="86"/>
  <c r="C280" i="86"/>
  <c r="N278" i="86"/>
  <c r="M278" i="86"/>
  <c r="L278" i="86"/>
  <c r="K278" i="86"/>
  <c r="J278" i="86"/>
  <c r="I278" i="86"/>
  <c r="H278" i="86"/>
  <c r="G278" i="86"/>
  <c r="F278" i="86"/>
  <c r="E278" i="86"/>
  <c r="D278" i="86"/>
  <c r="C278" i="86"/>
  <c r="B273" i="86"/>
  <c r="B272" i="86"/>
  <c r="B271" i="86"/>
  <c r="B270" i="86"/>
  <c r="B269" i="86"/>
  <c r="B268" i="86"/>
  <c r="B267" i="86"/>
  <c r="B266" i="86"/>
  <c r="B265" i="86"/>
  <c r="B264" i="86"/>
  <c r="B263" i="86"/>
  <c r="N262" i="86"/>
  <c r="M262" i="86"/>
  <c r="L262" i="86"/>
  <c r="K262" i="86"/>
  <c r="J262" i="86"/>
  <c r="I262" i="86"/>
  <c r="H262" i="86"/>
  <c r="G262" i="86"/>
  <c r="F262" i="86"/>
  <c r="E262" i="86"/>
  <c r="D262" i="86"/>
  <c r="C262" i="86"/>
  <c r="B262" i="86"/>
  <c r="B257" i="86"/>
  <c r="B256" i="86"/>
  <c r="B255" i="86"/>
  <c r="B254" i="86"/>
  <c r="B253" i="86"/>
  <c r="B252" i="86"/>
  <c r="B251" i="86"/>
  <c r="B250" i="86"/>
  <c r="B249" i="86"/>
  <c r="B248" i="86"/>
  <c r="B247" i="86"/>
  <c r="N246" i="86"/>
  <c r="M246" i="86"/>
  <c r="L246" i="86"/>
  <c r="K246" i="86"/>
  <c r="J246" i="86"/>
  <c r="I246" i="86"/>
  <c r="H246" i="86"/>
  <c r="G246" i="86"/>
  <c r="F246" i="86"/>
  <c r="E246" i="86"/>
  <c r="D246" i="86"/>
  <c r="C246" i="86"/>
  <c r="B246" i="86"/>
  <c r="B239" i="86"/>
  <c r="B238" i="86"/>
  <c r="B237" i="86"/>
  <c r="B236" i="86"/>
  <c r="B235" i="86"/>
  <c r="B234" i="86"/>
  <c r="B233" i="86"/>
  <c r="B232" i="86"/>
  <c r="B231" i="86"/>
  <c r="B230" i="86"/>
  <c r="B229" i="86"/>
  <c r="N228" i="86"/>
  <c r="M228" i="86"/>
  <c r="L228" i="86"/>
  <c r="K228" i="86"/>
  <c r="J228" i="86"/>
  <c r="I228" i="86"/>
  <c r="H228" i="86"/>
  <c r="G228" i="86"/>
  <c r="F228" i="86"/>
  <c r="E228" i="86"/>
  <c r="D228" i="86"/>
  <c r="C228" i="86"/>
  <c r="B228" i="86"/>
  <c r="B223" i="86"/>
  <c r="B222" i="86"/>
  <c r="B221" i="86"/>
  <c r="B220" i="86"/>
  <c r="B219" i="86"/>
  <c r="B218" i="86"/>
  <c r="B217" i="86"/>
  <c r="B216" i="86"/>
  <c r="B215" i="86"/>
  <c r="B214" i="86"/>
  <c r="B213" i="86"/>
  <c r="N212" i="86"/>
  <c r="M212" i="86"/>
  <c r="L212" i="86"/>
  <c r="K212" i="86"/>
  <c r="J212" i="86"/>
  <c r="I212" i="86"/>
  <c r="H212" i="86"/>
  <c r="G212" i="86"/>
  <c r="F212" i="86"/>
  <c r="E212" i="86"/>
  <c r="D212" i="86"/>
  <c r="C212" i="86"/>
  <c r="B212" i="86"/>
  <c r="C206" i="86"/>
  <c r="C205" i="86"/>
  <c r="B205" i="86"/>
  <c r="C204" i="86"/>
  <c r="B204" i="86"/>
  <c r="C203" i="86"/>
  <c r="B203" i="86"/>
  <c r="C202" i="86"/>
  <c r="B202" i="86"/>
  <c r="C201" i="86"/>
  <c r="B201" i="86"/>
  <c r="C200" i="86"/>
  <c r="B200" i="86"/>
  <c r="C199" i="86"/>
  <c r="B199" i="86"/>
  <c r="C198" i="86"/>
  <c r="B198" i="86"/>
  <c r="C197" i="86"/>
  <c r="B197" i="86"/>
  <c r="C196" i="86"/>
  <c r="B196" i="86"/>
  <c r="C195" i="86"/>
  <c r="B195" i="86"/>
  <c r="N194" i="86"/>
  <c r="M194" i="86"/>
  <c r="L194" i="86"/>
  <c r="K194" i="86"/>
  <c r="J194" i="86"/>
  <c r="I194" i="86"/>
  <c r="H194" i="86"/>
  <c r="G194" i="86"/>
  <c r="F194" i="86"/>
  <c r="E194" i="86"/>
  <c r="D194" i="86"/>
  <c r="C194" i="86"/>
  <c r="B194" i="86"/>
  <c r="C190" i="86"/>
  <c r="C189" i="86"/>
  <c r="B189" i="86"/>
  <c r="C188" i="86"/>
  <c r="B188" i="86"/>
  <c r="C187" i="86"/>
  <c r="B187" i="86"/>
  <c r="C186" i="86"/>
  <c r="B186" i="86"/>
  <c r="C185" i="86"/>
  <c r="B185" i="86"/>
  <c r="C184" i="86"/>
  <c r="B184" i="86"/>
  <c r="C183" i="86"/>
  <c r="B183" i="86"/>
  <c r="C182" i="86"/>
  <c r="B182" i="86"/>
  <c r="C181" i="86"/>
  <c r="B181" i="86"/>
  <c r="C180" i="86"/>
  <c r="B180" i="86"/>
  <c r="C179" i="86"/>
  <c r="B179" i="86"/>
  <c r="N178" i="86"/>
  <c r="M178" i="86"/>
  <c r="L178" i="86"/>
  <c r="K178" i="86"/>
  <c r="J178" i="86"/>
  <c r="I178" i="86"/>
  <c r="H178" i="86"/>
  <c r="G178" i="86"/>
  <c r="F178" i="86"/>
  <c r="E178" i="86"/>
  <c r="D178" i="86"/>
  <c r="C178" i="86"/>
  <c r="B178" i="86"/>
  <c r="C172" i="86"/>
  <c r="C171" i="86"/>
  <c r="B171" i="86"/>
  <c r="C170" i="86"/>
  <c r="B170" i="86"/>
  <c r="C169" i="86"/>
  <c r="B169" i="86"/>
  <c r="C168" i="86"/>
  <c r="B168" i="86"/>
  <c r="C167" i="86"/>
  <c r="B167" i="86"/>
  <c r="C166" i="86"/>
  <c r="B166" i="86"/>
  <c r="C165" i="86"/>
  <c r="B165" i="86"/>
  <c r="C164" i="86"/>
  <c r="B164" i="86"/>
  <c r="C163" i="86"/>
  <c r="B163" i="86"/>
  <c r="C162" i="86"/>
  <c r="B162" i="86"/>
  <c r="C161" i="86"/>
  <c r="B161" i="86"/>
  <c r="N160" i="86"/>
  <c r="M160" i="86"/>
  <c r="L160" i="86"/>
  <c r="K160" i="86"/>
  <c r="J160" i="86"/>
  <c r="I160" i="86"/>
  <c r="H160" i="86"/>
  <c r="G160" i="86"/>
  <c r="F160" i="86"/>
  <c r="E160" i="86"/>
  <c r="D160" i="86"/>
  <c r="C160" i="86"/>
  <c r="B160" i="86"/>
  <c r="C156" i="86"/>
  <c r="C155" i="86"/>
  <c r="B155" i="86"/>
  <c r="C154" i="86"/>
  <c r="B154" i="86"/>
  <c r="C153" i="86"/>
  <c r="B153" i="86"/>
  <c r="C152" i="86"/>
  <c r="B152" i="86"/>
  <c r="C151" i="86"/>
  <c r="B151" i="86"/>
  <c r="C150" i="86"/>
  <c r="B150" i="86"/>
  <c r="C149" i="86"/>
  <c r="B149" i="86"/>
  <c r="C148" i="86"/>
  <c r="B148" i="86"/>
  <c r="C147" i="86"/>
  <c r="B147" i="86"/>
  <c r="C146" i="86"/>
  <c r="B146" i="86"/>
  <c r="C145" i="86"/>
  <c r="B145" i="86"/>
  <c r="N144" i="86"/>
  <c r="M144" i="86"/>
  <c r="L144" i="86"/>
  <c r="K144" i="86"/>
  <c r="J144" i="86"/>
  <c r="I144" i="86"/>
  <c r="H144" i="86"/>
  <c r="G144" i="86"/>
  <c r="F144" i="86"/>
  <c r="E144" i="86"/>
  <c r="D144" i="86"/>
  <c r="C144" i="86"/>
  <c r="B144" i="86"/>
  <c r="B137" i="86"/>
  <c r="B136" i="86"/>
  <c r="B135" i="86"/>
  <c r="B134" i="86"/>
  <c r="B133" i="86"/>
  <c r="B132" i="86"/>
  <c r="B131" i="86"/>
  <c r="B130" i="86"/>
  <c r="B129" i="86"/>
  <c r="B128" i="86"/>
  <c r="B127" i="86"/>
  <c r="N126" i="86"/>
  <c r="M126" i="86"/>
  <c r="L126" i="86"/>
  <c r="K126" i="86"/>
  <c r="J126" i="86"/>
  <c r="I126" i="86"/>
  <c r="H126" i="86"/>
  <c r="G126" i="86"/>
  <c r="F126" i="86"/>
  <c r="E126" i="86"/>
  <c r="D126" i="86"/>
  <c r="C126" i="86"/>
  <c r="B126" i="86"/>
  <c r="B121" i="86"/>
  <c r="B120" i="86"/>
  <c r="B119" i="86"/>
  <c r="B118" i="86"/>
  <c r="B117" i="86"/>
  <c r="B116" i="86"/>
  <c r="B115" i="86"/>
  <c r="B114" i="86"/>
  <c r="B113" i="86"/>
  <c r="B112" i="86"/>
  <c r="B111" i="86"/>
  <c r="N110" i="86"/>
  <c r="M110" i="86"/>
  <c r="L110" i="86"/>
  <c r="K110" i="86"/>
  <c r="J110" i="86"/>
  <c r="I110" i="86"/>
  <c r="H110" i="86"/>
  <c r="G110" i="86"/>
  <c r="F110" i="86"/>
  <c r="E110" i="86"/>
  <c r="D110" i="86"/>
  <c r="C110" i="86"/>
  <c r="B110" i="86"/>
  <c r="C104" i="86"/>
  <c r="C103" i="86"/>
  <c r="B103" i="86"/>
  <c r="C102" i="86"/>
  <c r="B102" i="86"/>
  <c r="C101" i="86"/>
  <c r="B101" i="86"/>
  <c r="C100" i="86"/>
  <c r="B100" i="86"/>
  <c r="C99" i="86"/>
  <c r="B99" i="86"/>
  <c r="C98" i="86"/>
  <c r="B98" i="86"/>
  <c r="C97" i="86"/>
  <c r="B97" i="86"/>
  <c r="C96" i="86"/>
  <c r="B96" i="86"/>
  <c r="C95" i="86"/>
  <c r="B95" i="86"/>
  <c r="C94" i="86"/>
  <c r="B94" i="86"/>
  <c r="C93" i="86"/>
  <c r="B93" i="86"/>
  <c r="N92" i="86"/>
  <c r="M92" i="86"/>
  <c r="L92" i="86"/>
  <c r="K92" i="86"/>
  <c r="J92" i="86"/>
  <c r="I92" i="86"/>
  <c r="H92" i="86"/>
  <c r="G92" i="86"/>
  <c r="F92" i="86"/>
  <c r="E92" i="86"/>
  <c r="D92" i="86"/>
  <c r="C92" i="86"/>
  <c r="B92" i="86"/>
  <c r="C88" i="86"/>
  <c r="C87" i="86"/>
  <c r="B87" i="86"/>
  <c r="C86" i="86"/>
  <c r="B86" i="86"/>
  <c r="C85" i="86"/>
  <c r="B85" i="86"/>
  <c r="C84" i="86"/>
  <c r="B84" i="86"/>
  <c r="C83" i="86"/>
  <c r="B83" i="86"/>
  <c r="C82" i="86"/>
  <c r="B82" i="86"/>
  <c r="C81" i="86"/>
  <c r="B81" i="86"/>
  <c r="C80" i="86"/>
  <c r="B80" i="86"/>
  <c r="C79" i="86"/>
  <c r="B79" i="86"/>
  <c r="C78" i="86"/>
  <c r="B78" i="86"/>
  <c r="C77" i="86"/>
  <c r="B77" i="86"/>
  <c r="N76" i="86"/>
  <c r="M76" i="86"/>
  <c r="L76" i="86"/>
  <c r="K76" i="86"/>
  <c r="J76" i="86"/>
  <c r="I76" i="86"/>
  <c r="H76" i="86"/>
  <c r="G76" i="86"/>
  <c r="F76" i="86"/>
  <c r="E76" i="86"/>
  <c r="D76" i="86"/>
  <c r="C76" i="86"/>
  <c r="B76" i="86"/>
  <c r="C70" i="86"/>
  <c r="C69" i="86"/>
  <c r="B69" i="86"/>
  <c r="C68" i="86"/>
  <c r="B68" i="86"/>
  <c r="C67" i="86"/>
  <c r="B67" i="86"/>
  <c r="C66" i="86"/>
  <c r="B66" i="86"/>
  <c r="C65" i="86"/>
  <c r="B65" i="86"/>
  <c r="C64" i="86"/>
  <c r="B64" i="86"/>
  <c r="C63" i="86"/>
  <c r="B63" i="86"/>
  <c r="C62" i="86"/>
  <c r="B62" i="86"/>
  <c r="C61" i="86"/>
  <c r="B61" i="86"/>
  <c r="C60" i="86"/>
  <c r="B60" i="86"/>
  <c r="C59" i="86"/>
  <c r="B59" i="86"/>
  <c r="N58" i="86"/>
  <c r="M58" i="86"/>
  <c r="L58" i="86"/>
  <c r="K58" i="86"/>
  <c r="J58" i="86"/>
  <c r="I58" i="86"/>
  <c r="H58" i="86"/>
  <c r="G58" i="86"/>
  <c r="F58" i="86"/>
  <c r="E58" i="86"/>
  <c r="D58" i="86"/>
  <c r="C58" i="86"/>
  <c r="B58" i="86"/>
  <c r="C54" i="86"/>
  <c r="C53" i="86"/>
  <c r="B53" i="86"/>
  <c r="C52" i="86"/>
  <c r="B52" i="86"/>
  <c r="C51" i="86"/>
  <c r="B51" i="86"/>
  <c r="C50" i="86"/>
  <c r="B50" i="86"/>
  <c r="C49" i="86"/>
  <c r="B49" i="86"/>
  <c r="C48" i="86"/>
  <c r="B48" i="86"/>
  <c r="C47" i="86"/>
  <c r="B47" i="86"/>
  <c r="C46" i="86"/>
  <c r="B46" i="86"/>
  <c r="C45" i="86"/>
  <c r="B45" i="86"/>
  <c r="C44" i="86"/>
  <c r="B44" i="86"/>
  <c r="C43" i="86"/>
  <c r="B43" i="86"/>
  <c r="N42" i="86"/>
  <c r="M42" i="86"/>
  <c r="L42" i="86"/>
  <c r="K42" i="86"/>
  <c r="J42" i="86"/>
  <c r="I42" i="86"/>
  <c r="H42" i="86"/>
  <c r="G42" i="86"/>
  <c r="F42" i="86"/>
  <c r="E42" i="86"/>
  <c r="D42" i="86"/>
  <c r="C42" i="86"/>
  <c r="B42" i="86"/>
  <c r="B36" i="86"/>
  <c r="N35" i="86"/>
  <c r="M35" i="86"/>
  <c r="L35" i="86"/>
  <c r="K35" i="86"/>
  <c r="J35" i="86"/>
  <c r="I35" i="86"/>
  <c r="H35" i="86"/>
  <c r="G35" i="86"/>
  <c r="F35" i="86"/>
  <c r="E35" i="86"/>
  <c r="D35" i="86"/>
  <c r="C35" i="86"/>
  <c r="B35" i="86"/>
  <c r="I31" i="86"/>
  <c r="H31" i="86"/>
  <c r="G31" i="86"/>
  <c r="E31" i="86"/>
  <c r="D31" i="86"/>
  <c r="C31" i="86"/>
  <c r="B31" i="86"/>
  <c r="A31" i="86"/>
  <c r="D30" i="86"/>
  <c r="C30" i="86"/>
  <c r="B30" i="86"/>
  <c r="D29" i="86"/>
  <c r="C29" i="86"/>
  <c r="B29" i="86"/>
  <c r="D28" i="86"/>
  <c r="C28" i="86"/>
  <c r="B28" i="86"/>
  <c r="D27" i="86"/>
  <c r="C27" i="86"/>
  <c r="B27" i="86"/>
  <c r="D26" i="86"/>
  <c r="C26" i="86"/>
  <c r="B26" i="86"/>
  <c r="D25" i="86"/>
  <c r="C25" i="86"/>
  <c r="B25" i="86"/>
  <c r="D24" i="86"/>
  <c r="C24" i="86"/>
  <c r="B24" i="86"/>
  <c r="D23" i="86"/>
  <c r="C23" i="86"/>
  <c r="B23" i="86"/>
  <c r="D22" i="86"/>
  <c r="C22" i="86"/>
  <c r="B22" i="86"/>
  <c r="D21" i="86"/>
  <c r="C21" i="86"/>
  <c r="B21" i="86"/>
  <c r="D20" i="86"/>
  <c r="C20" i="86"/>
  <c r="C19" i="86"/>
  <c r="B19" i="86"/>
  <c r="C15" i="86"/>
  <c r="B15" i="86"/>
  <c r="N14" i="86"/>
  <c r="M14" i="86"/>
  <c r="L14" i="86"/>
  <c r="K14" i="86"/>
  <c r="J14" i="86"/>
  <c r="I14" i="86"/>
  <c r="H14" i="86"/>
  <c r="G14" i="86"/>
  <c r="F14" i="86"/>
  <c r="E14" i="86"/>
  <c r="D14" i="86"/>
  <c r="C14" i="86"/>
  <c r="B14" i="86"/>
  <c r="A1" i="86"/>
  <c r="B366" i="140"/>
  <c r="B365" i="140"/>
  <c r="B364" i="140"/>
  <c r="B363" i="140"/>
  <c r="B362" i="140"/>
  <c r="B361" i="140"/>
  <c r="B360" i="140"/>
  <c r="B359" i="140"/>
  <c r="B358" i="140"/>
  <c r="B357" i="140"/>
  <c r="B356" i="140"/>
  <c r="N355" i="140"/>
  <c r="M355" i="140"/>
  <c r="L355" i="140"/>
  <c r="K355" i="140"/>
  <c r="J355" i="140"/>
  <c r="I355" i="140"/>
  <c r="H355" i="140"/>
  <c r="G355" i="140"/>
  <c r="F355" i="140"/>
  <c r="E355" i="140"/>
  <c r="D355" i="140"/>
  <c r="C355" i="140"/>
  <c r="B355" i="140"/>
  <c r="B350" i="140"/>
  <c r="B349" i="140"/>
  <c r="B348" i="140"/>
  <c r="B347" i="140"/>
  <c r="B346" i="140"/>
  <c r="B345" i="140"/>
  <c r="B344" i="140"/>
  <c r="B343" i="140"/>
  <c r="B342" i="140"/>
  <c r="B341" i="140"/>
  <c r="B340" i="140"/>
  <c r="N339" i="140"/>
  <c r="M339" i="140"/>
  <c r="L339" i="140"/>
  <c r="K339" i="140"/>
  <c r="J339" i="140"/>
  <c r="I339" i="140"/>
  <c r="H339" i="140"/>
  <c r="G339" i="140"/>
  <c r="F339" i="140"/>
  <c r="E339" i="140"/>
  <c r="D339" i="140"/>
  <c r="C339" i="140"/>
  <c r="B339" i="140"/>
  <c r="B329" i="140"/>
  <c r="B328" i="140"/>
  <c r="B327" i="140"/>
  <c r="B326" i="140"/>
  <c r="B325" i="140"/>
  <c r="B324" i="140"/>
  <c r="B323" i="140"/>
  <c r="B322" i="140"/>
  <c r="B321" i="140"/>
  <c r="B320" i="140"/>
  <c r="B319" i="140"/>
  <c r="N318" i="140"/>
  <c r="M318" i="140"/>
  <c r="L318" i="140"/>
  <c r="K318" i="140"/>
  <c r="J318" i="140"/>
  <c r="I318" i="140"/>
  <c r="H318" i="140"/>
  <c r="G318" i="140"/>
  <c r="F318" i="140"/>
  <c r="E318" i="140"/>
  <c r="D318" i="140"/>
  <c r="C318" i="140"/>
  <c r="B318" i="140"/>
  <c r="B313" i="140"/>
  <c r="B312" i="140"/>
  <c r="B311" i="140"/>
  <c r="B310" i="140"/>
  <c r="B309" i="140"/>
  <c r="B308" i="140"/>
  <c r="B307" i="140"/>
  <c r="B306" i="140"/>
  <c r="B305" i="140"/>
  <c r="B304" i="140"/>
  <c r="B303" i="140"/>
  <c r="N302" i="140"/>
  <c r="M302" i="140"/>
  <c r="L302" i="140"/>
  <c r="K302" i="140"/>
  <c r="J302" i="140"/>
  <c r="I302" i="140"/>
  <c r="H302" i="140"/>
  <c r="G302" i="140"/>
  <c r="F302" i="140"/>
  <c r="E302" i="140"/>
  <c r="D302" i="140"/>
  <c r="C302" i="140"/>
  <c r="B302" i="140"/>
  <c r="N293" i="140"/>
  <c r="M293" i="140"/>
  <c r="L293" i="140"/>
  <c r="K293" i="140"/>
  <c r="J293" i="140"/>
  <c r="I293" i="140"/>
  <c r="H293" i="140"/>
  <c r="G293" i="140"/>
  <c r="F293" i="140"/>
  <c r="E293" i="140"/>
  <c r="D293" i="140"/>
  <c r="C293" i="140"/>
  <c r="C290" i="140"/>
  <c r="N289" i="140"/>
  <c r="M289" i="140"/>
  <c r="L289" i="140"/>
  <c r="K289" i="140"/>
  <c r="J289" i="140"/>
  <c r="I289" i="140"/>
  <c r="H289" i="140"/>
  <c r="G289" i="140"/>
  <c r="F289" i="140"/>
  <c r="E289" i="140"/>
  <c r="D289" i="140"/>
  <c r="C289" i="140"/>
  <c r="C281" i="140"/>
  <c r="C280" i="140"/>
  <c r="N278" i="140"/>
  <c r="M278" i="140"/>
  <c r="L278" i="140"/>
  <c r="K278" i="140"/>
  <c r="J278" i="140"/>
  <c r="I278" i="140"/>
  <c r="H278" i="140"/>
  <c r="G278" i="140"/>
  <c r="F278" i="140"/>
  <c r="E278" i="140"/>
  <c r="D278" i="140"/>
  <c r="C278" i="140"/>
  <c r="B273" i="140"/>
  <c r="B272" i="140"/>
  <c r="B271" i="140"/>
  <c r="B270" i="140"/>
  <c r="B269" i="140"/>
  <c r="B268" i="140"/>
  <c r="B267" i="140"/>
  <c r="B266" i="140"/>
  <c r="B265" i="140"/>
  <c r="B264" i="140"/>
  <c r="B263" i="140"/>
  <c r="N262" i="140"/>
  <c r="M262" i="140"/>
  <c r="L262" i="140"/>
  <c r="K262" i="140"/>
  <c r="J262" i="140"/>
  <c r="I262" i="140"/>
  <c r="H262" i="140"/>
  <c r="G262" i="140"/>
  <c r="F262" i="140"/>
  <c r="E262" i="140"/>
  <c r="D262" i="140"/>
  <c r="C262" i="140"/>
  <c r="B262" i="140"/>
  <c r="B257" i="140"/>
  <c r="B256" i="140"/>
  <c r="B255" i="140"/>
  <c r="B254" i="140"/>
  <c r="B253" i="140"/>
  <c r="B252" i="140"/>
  <c r="B251" i="140"/>
  <c r="B250" i="140"/>
  <c r="B249" i="140"/>
  <c r="B248" i="140"/>
  <c r="B247" i="140"/>
  <c r="N246" i="140"/>
  <c r="M246" i="140"/>
  <c r="L246" i="140"/>
  <c r="K246" i="140"/>
  <c r="J246" i="140"/>
  <c r="I246" i="140"/>
  <c r="H246" i="140"/>
  <c r="G246" i="140"/>
  <c r="F246" i="140"/>
  <c r="E246" i="140"/>
  <c r="D246" i="140"/>
  <c r="C246" i="140"/>
  <c r="B246" i="140"/>
  <c r="B239" i="140"/>
  <c r="B238" i="140"/>
  <c r="B237" i="140"/>
  <c r="B236" i="140"/>
  <c r="B235" i="140"/>
  <c r="B234" i="140"/>
  <c r="B233" i="140"/>
  <c r="B232" i="140"/>
  <c r="B231" i="140"/>
  <c r="B230" i="140"/>
  <c r="B229" i="140"/>
  <c r="N228" i="140"/>
  <c r="M228" i="140"/>
  <c r="L228" i="140"/>
  <c r="K228" i="140"/>
  <c r="J228" i="140"/>
  <c r="I228" i="140"/>
  <c r="H228" i="140"/>
  <c r="G228" i="140"/>
  <c r="F228" i="140"/>
  <c r="E228" i="140"/>
  <c r="D228" i="140"/>
  <c r="C228" i="140"/>
  <c r="B228" i="140"/>
  <c r="B223" i="140"/>
  <c r="B222" i="140"/>
  <c r="B221" i="140"/>
  <c r="B220" i="140"/>
  <c r="B219" i="140"/>
  <c r="B218" i="140"/>
  <c r="B217" i="140"/>
  <c r="B216" i="140"/>
  <c r="B215" i="140"/>
  <c r="B214" i="140"/>
  <c r="B213" i="140"/>
  <c r="N212" i="140"/>
  <c r="M212" i="140"/>
  <c r="L212" i="140"/>
  <c r="K212" i="140"/>
  <c r="J212" i="140"/>
  <c r="I212" i="140"/>
  <c r="H212" i="140"/>
  <c r="G212" i="140"/>
  <c r="F212" i="140"/>
  <c r="E212" i="140"/>
  <c r="D212" i="140"/>
  <c r="C212" i="140"/>
  <c r="B212" i="140"/>
  <c r="C206" i="140"/>
  <c r="C205" i="140"/>
  <c r="B205" i="140"/>
  <c r="C204" i="140"/>
  <c r="B204" i="140"/>
  <c r="C203" i="140"/>
  <c r="B203" i="140"/>
  <c r="C202" i="140"/>
  <c r="B202" i="140"/>
  <c r="C201" i="140"/>
  <c r="B201" i="140"/>
  <c r="C200" i="140"/>
  <c r="B200" i="140"/>
  <c r="C199" i="140"/>
  <c r="B199" i="140"/>
  <c r="C198" i="140"/>
  <c r="B198" i="140"/>
  <c r="C197" i="140"/>
  <c r="B197" i="140"/>
  <c r="C196" i="140"/>
  <c r="B196" i="140"/>
  <c r="C195" i="140"/>
  <c r="B195" i="140"/>
  <c r="N194" i="140"/>
  <c r="M194" i="140"/>
  <c r="L194" i="140"/>
  <c r="K194" i="140"/>
  <c r="J194" i="140"/>
  <c r="I194" i="140"/>
  <c r="H194" i="140"/>
  <c r="G194" i="140"/>
  <c r="F194" i="140"/>
  <c r="E194" i="140"/>
  <c r="D194" i="140"/>
  <c r="C194" i="140"/>
  <c r="B194" i="140"/>
  <c r="C190" i="140"/>
  <c r="C189" i="140"/>
  <c r="B189" i="140"/>
  <c r="C188" i="140"/>
  <c r="B188" i="140"/>
  <c r="C187" i="140"/>
  <c r="B187" i="140"/>
  <c r="C186" i="140"/>
  <c r="B186" i="140"/>
  <c r="C185" i="140"/>
  <c r="B185" i="140"/>
  <c r="C184" i="140"/>
  <c r="B184" i="140"/>
  <c r="C183" i="140"/>
  <c r="B183" i="140"/>
  <c r="C182" i="140"/>
  <c r="B182" i="140"/>
  <c r="C181" i="140"/>
  <c r="B181" i="140"/>
  <c r="C180" i="140"/>
  <c r="B180" i="140"/>
  <c r="C179" i="140"/>
  <c r="B179" i="140"/>
  <c r="N178" i="140"/>
  <c r="M178" i="140"/>
  <c r="L178" i="140"/>
  <c r="K178" i="140"/>
  <c r="J178" i="140"/>
  <c r="I178" i="140"/>
  <c r="H178" i="140"/>
  <c r="G178" i="140"/>
  <c r="F178" i="140"/>
  <c r="E178" i="140"/>
  <c r="D178" i="140"/>
  <c r="C178" i="140"/>
  <c r="B178" i="140"/>
  <c r="C172" i="140"/>
  <c r="C171" i="140"/>
  <c r="B171" i="140"/>
  <c r="C170" i="140"/>
  <c r="B170" i="140"/>
  <c r="C169" i="140"/>
  <c r="B169" i="140"/>
  <c r="C168" i="140"/>
  <c r="B168" i="140"/>
  <c r="C167" i="140"/>
  <c r="B167" i="140"/>
  <c r="C166" i="140"/>
  <c r="B166" i="140"/>
  <c r="C165" i="140"/>
  <c r="B165" i="140"/>
  <c r="C164" i="140"/>
  <c r="B164" i="140"/>
  <c r="C163" i="140"/>
  <c r="B163" i="140"/>
  <c r="C162" i="140"/>
  <c r="B162" i="140"/>
  <c r="C161" i="140"/>
  <c r="B161" i="140"/>
  <c r="N160" i="140"/>
  <c r="M160" i="140"/>
  <c r="L160" i="140"/>
  <c r="K160" i="140"/>
  <c r="J160" i="140"/>
  <c r="I160" i="140"/>
  <c r="H160" i="140"/>
  <c r="G160" i="140"/>
  <c r="F160" i="140"/>
  <c r="E160" i="140"/>
  <c r="D160" i="140"/>
  <c r="C160" i="140"/>
  <c r="B160" i="140"/>
  <c r="C156" i="140"/>
  <c r="C155" i="140"/>
  <c r="B155" i="140"/>
  <c r="C154" i="140"/>
  <c r="B154" i="140"/>
  <c r="C153" i="140"/>
  <c r="B153" i="140"/>
  <c r="C152" i="140"/>
  <c r="B152" i="140"/>
  <c r="C151" i="140"/>
  <c r="B151" i="140"/>
  <c r="C150" i="140"/>
  <c r="B150" i="140"/>
  <c r="C149" i="140"/>
  <c r="B149" i="140"/>
  <c r="C148" i="140"/>
  <c r="B148" i="140"/>
  <c r="C147" i="140"/>
  <c r="B147" i="140"/>
  <c r="C146" i="140"/>
  <c r="B146" i="140"/>
  <c r="C145" i="140"/>
  <c r="B145" i="140"/>
  <c r="N144" i="140"/>
  <c r="M144" i="140"/>
  <c r="L144" i="140"/>
  <c r="K144" i="140"/>
  <c r="J144" i="140"/>
  <c r="I144" i="140"/>
  <c r="H144" i="140"/>
  <c r="G144" i="140"/>
  <c r="F144" i="140"/>
  <c r="E144" i="140"/>
  <c r="D144" i="140"/>
  <c r="C144" i="140"/>
  <c r="B144" i="140"/>
  <c r="B137" i="140"/>
  <c r="B136" i="140"/>
  <c r="B135" i="140"/>
  <c r="B134" i="140"/>
  <c r="B133" i="140"/>
  <c r="B132" i="140"/>
  <c r="B131" i="140"/>
  <c r="B130" i="140"/>
  <c r="B129" i="140"/>
  <c r="B128" i="140"/>
  <c r="B127" i="140"/>
  <c r="N126" i="140"/>
  <c r="M126" i="140"/>
  <c r="L126" i="140"/>
  <c r="K126" i="140"/>
  <c r="J126" i="140"/>
  <c r="I126" i="140"/>
  <c r="H126" i="140"/>
  <c r="G126" i="140"/>
  <c r="F126" i="140"/>
  <c r="E126" i="140"/>
  <c r="D126" i="140"/>
  <c r="C126" i="140"/>
  <c r="B126" i="140"/>
  <c r="B121" i="140"/>
  <c r="B120" i="140"/>
  <c r="B119" i="140"/>
  <c r="B118" i="140"/>
  <c r="B117" i="140"/>
  <c r="B116" i="140"/>
  <c r="B115" i="140"/>
  <c r="B114" i="140"/>
  <c r="B113" i="140"/>
  <c r="B112" i="140"/>
  <c r="B111" i="140"/>
  <c r="N110" i="140"/>
  <c r="M110" i="140"/>
  <c r="L110" i="140"/>
  <c r="K110" i="140"/>
  <c r="J110" i="140"/>
  <c r="I110" i="140"/>
  <c r="H110" i="140"/>
  <c r="G110" i="140"/>
  <c r="F110" i="140"/>
  <c r="E110" i="140"/>
  <c r="D110" i="140"/>
  <c r="C110" i="140"/>
  <c r="B110" i="140"/>
  <c r="C104" i="140"/>
  <c r="C103" i="140"/>
  <c r="B103" i="140"/>
  <c r="C102" i="140"/>
  <c r="B102" i="140"/>
  <c r="C101" i="140"/>
  <c r="B101" i="140"/>
  <c r="C100" i="140"/>
  <c r="B100" i="140"/>
  <c r="C99" i="140"/>
  <c r="B99" i="140"/>
  <c r="C98" i="140"/>
  <c r="B98" i="140"/>
  <c r="C97" i="140"/>
  <c r="B97" i="140"/>
  <c r="C96" i="140"/>
  <c r="B96" i="140"/>
  <c r="C95" i="140"/>
  <c r="B95" i="140"/>
  <c r="C94" i="140"/>
  <c r="B94" i="140"/>
  <c r="C93" i="140"/>
  <c r="B93" i="140"/>
  <c r="N92" i="140"/>
  <c r="M92" i="140"/>
  <c r="L92" i="140"/>
  <c r="K92" i="140"/>
  <c r="J92" i="140"/>
  <c r="I92" i="140"/>
  <c r="H92" i="140"/>
  <c r="G92" i="140"/>
  <c r="F92" i="140"/>
  <c r="E92" i="140"/>
  <c r="D92" i="140"/>
  <c r="C92" i="140"/>
  <c r="B92" i="140"/>
  <c r="C88" i="140"/>
  <c r="C87" i="140"/>
  <c r="B87" i="140"/>
  <c r="C86" i="140"/>
  <c r="B86" i="140"/>
  <c r="C85" i="140"/>
  <c r="B85" i="140"/>
  <c r="C84" i="140"/>
  <c r="B84" i="140"/>
  <c r="C83" i="140"/>
  <c r="B83" i="140"/>
  <c r="C82" i="140"/>
  <c r="B82" i="140"/>
  <c r="C81" i="140"/>
  <c r="B81" i="140"/>
  <c r="C80" i="140"/>
  <c r="B80" i="140"/>
  <c r="C79" i="140"/>
  <c r="B79" i="140"/>
  <c r="C78" i="140"/>
  <c r="B78" i="140"/>
  <c r="C77" i="140"/>
  <c r="B77" i="140"/>
  <c r="N76" i="140"/>
  <c r="M76" i="140"/>
  <c r="L76" i="140"/>
  <c r="K76" i="140"/>
  <c r="J76" i="140"/>
  <c r="I76" i="140"/>
  <c r="H76" i="140"/>
  <c r="G76" i="140"/>
  <c r="F76" i="140"/>
  <c r="E76" i="140"/>
  <c r="D76" i="140"/>
  <c r="C76" i="140"/>
  <c r="B76" i="140"/>
  <c r="C70" i="140"/>
  <c r="C69" i="140"/>
  <c r="B69" i="140"/>
  <c r="C68" i="140"/>
  <c r="B68" i="140"/>
  <c r="C67" i="140"/>
  <c r="B67" i="140"/>
  <c r="C66" i="140"/>
  <c r="B66" i="140"/>
  <c r="C65" i="140"/>
  <c r="B65" i="140"/>
  <c r="C64" i="140"/>
  <c r="B64" i="140"/>
  <c r="C63" i="140"/>
  <c r="B63" i="140"/>
  <c r="C62" i="140"/>
  <c r="B62" i="140"/>
  <c r="C61" i="140"/>
  <c r="B61" i="140"/>
  <c r="C60" i="140"/>
  <c r="B60" i="140"/>
  <c r="C59" i="140"/>
  <c r="B59" i="140"/>
  <c r="N58" i="140"/>
  <c r="M58" i="140"/>
  <c r="L58" i="140"/>
  <c r="K58" i="140"/>
  <c r="J58" i="140"/>
  <c r="I58" i="140"/>
  <c r="H58" i="140"/>
  <c r="G58" i="140"/>
  <c r="F58" i="140"/>
  <c r="E58" i="140"/>
  <c r="D58" i="140"/>
  <c r="C58" i="140"/>
  <c r="B58" i="140"/>
  <c r="C54" i="140"/>
  <c r="C53" i="140"/>
  <c r="B53" i="140"/>
  <c r="C52" i="140"/>
  <c r="B52" i="140"/>
  <c r="C51" i="140"/>
  <c r="B51" i="140"/>
  <c r="C50" i="140"/>
  <c r="B50" i="140"/>
  <c r="C49" i="140"/>
  <c r="B49" i="140"/>
  <c r="C48" i="140"/>
  <c r="B48" i="140"/>
  <c r="C47" i="140"/>
  <c r="B47" i="140"/>
  <c r="C46" i="140"/>
  <c r="B46" i="140"/>
  <c r="C45" i="140"/>
  <c r="B45" i="140"/>
  <c r="C44" i="140"/>
  <c r="B44" i="140"/>
  <c r="C43" i="140"/>
  <c r="B43" i="140"/>
  <c r="N42" i="140"/>
  <c r="M42" i="140"/>
  <c r="L42" i="140"/>
  <c r="K42" i="140"/>
  <c r="J42" i="140"/>
  <c r="I42" i="140"/>
  <c r="H42" i="140"/>
  <c r="G42" i="140"/>
  <c r="F42" i="140"/>
  <c r="E42" i="140"/>
  <c r="D42" i="140"/>
  <c r="C42" i="140"/>
  <c r="B42" i="140"/>
  <c r="B36" i="140"/>
  <c r="N35" i="140"/>
  <c r="M35" i="140"/>
  <c r="L35" i="140"/>
  <c r="K35" i="140"/>
  <c r="J35" i="140"/>
  <c r="I35" i="140"/>
  <c r="H35" i="140"/>
  <c r="G35" i="140"/>
  <c r="F35" i="140"/>
  <c r="E35" i="140"/>
  <c r="D35" i="140"/>
  <c r="C35" i="140"/>
  <c r="B35" i="140"/>
  <c r="I31" i="140"/>
  <c r="H31" i="140"/>
  <c r="G31" i="140"/>
  <c r="E31" i="140"/>
  <c r="D31" i="140"/>
  <c r="C31" i="140"/>
  <c r="B31" i="140"/>
  <c r="A31" i="140"/>
  <c r="D30" i="140"/>
  <c r="C30" i="140"/>
  <c r="B30" i="140"/>
  <c r="D29" i="140"/>
  <c r="C29" i="140"/>
  <c r="B29" i="140"/>
  <c r="D28" i="140"/>
  <c r="C28" i="140"/>
  <c r="B28" i="140"/>
  <c r="D27" i="140"/>
  <c r="C27" i="140"/>
  <c r="B27" i="140"/>
  <c r="D26" i="140"/>
  <c r="C26" i="140"/>
  <c r="B26" i="140"/>
  <c r="D25" i="140"/>
  <c r="C25" i="140"/>
  <c r="B25" i="140"/>
  <c r="D24" i="140"/>
  <c r="C24" i="140"/>
  <c r="B24" i="140"/>
  <c r="D23" i="140"/>
  <c r="C23" i="140"/>
  <c r="B23" i="140"/>
  <c r="D22" i="140"/>
  <c r="C22" i="140"/>
  <c r="B22" i="140"/>
  <c r="D21" i="140"/>
  <c r="C21" i="140"/>
  <c r="B21" i="140"/>
  <c r="D20" i="140"/>
  <c r="C20" i="140"/>
  <c r="C19" i="140"/>
  <c r="B19" i="140"/>
  <c r="C15" i="140"/>
  <c r="B15" i="140"/>
  <c r="N14" i="140"/>
  <c r="M14" i="140"/>
  <c r="L14" i="140"/>
  <c r="K14" i="140"/>
  <c r="J14" i="140"/>
  <c r="I14" i="140"/>
  <c r="H14" i="140"/>
  <c r="G14" i="140"/>
  <c r="F14" i="140"/>
  <c r="E14" i="140"/>
  <c r="D14" i="140"/>
  <c r="C14" i="140"/>
  <c r="B14" i="140"/>
  <c r="A1" i="140"/>
  <c r="G87" i="126"/>
  <c r="F87" i="126"/>
  <c r="E87" i="126"/>
  <c r="D87" i="126"/>
  <c r="C87" i="126"/>
  <c r="A87" i="126"/>
  <c r="K86" i="126"/>
  <c r="J86" i="126"/>
  <c r="I86" i="126"/>
  <c r="H86" i="126"/>
  <c r="G86" i="126"/>
  <c r="F86" i="126"/>
  <c r="E86" i="126"/>
  <c r="D86" i="126"/>
  <c r="C86" i="126"/>
  <c r="B86" i="126"/>
  <c r="K85" i="126"/>
  <c r="J85" i="126"/>
  <c r="I85" i="126"/>
  <c r="H85" i="126"/>
  <c r="G85" i="126"/>
  <c r="F85" i="126"/>
  <c r="E85" i="126"/>
  <c r="D85" i="126"/>
  <c r="C85" i="126"/>
  <c r="B85" i="126"/>
  <c r="K84" i="126"/>
  <c r="J84" i="126"/>
  <c r="I84" i="126"/>
  <c r="H84" i="126"/>
  <c r="G84" i="126"/>
  <c r="F84" i="126"/>
  <c r="E84" i="126"/>
  <c r="D84" i="126"/>
  <c r="C84" i="126"/>
  <c r="B84" i="126"/>
  <c r="K83" i="126"/>
  <c r="J83" i="126"/>
  <c r="I83" i="126"/>
  <c r="H83" i="126"/>
  <c r="G83" i="126"/>
  <c r="F83" i="126"/>
  <c r="E83" i="126"/>
  <c r="D83" i="126"/>
  <c r="C83" i="126"/>
  <c r="B83" i="126"/>
  <c r="K82" i="126"/>
  <c r="J82" i="126"/>
  <c r="I82" i="126"/>
  <c r="H82" i="126"/>
  <c r="G82" i="126"/>
  <c r="F82" i="126"/>
  <c r="E82" i="126"/>
  <c r="D82" i="126"/>
  <c r="C82" i="126"/>
  <c r="B82" i="126"/>
  <c r="K81" i="126"/>
  <c r="J81" i="126"/>
  <c r="I81" i="126"/>
  <c r="H81" i="126"/>
  <c r="G81" i="126"/>
  <c r="F81" i="126"/>
  <c r="E81" i="126"/>
  <c r="D81" i="126"/>
  <c r="C81" i="126"/>
  <c r="B81" i="126"/>
  <c r="K80" i="126"/>
  <c r="J80" i="126"/>
  <c r="I80" i="126"/>
  <c r="H80" i="126"/>
  <c r="G80" i="126"/>
  <c r="F80" i="126"/>
  <c r="E80" i="126"/>
  <c r="D80" i="126"/>
  <c r="C80" i="126"/>
  <c r="B80" i="126"/>
  <c r="K79" i="126"/>
  <c r="J79" i="126"/>
  <c r="I79" i="126"/>
  <c r="H79" i="126"/>
  <c r="G79" i="126"/>
  <c r="F79" i="126"/>
  <c r="E79" i="126"/>
  <c r="D79" i="126"/>
  <c r="C79" i="126"/>
  <c r="B79" i="126"/>
  <c r="K78" i="126"/>
  <c r="J78" i="126"/>
  <c r="I78" i="126"/>
  <c r="H78" i="126"/>
  <c r="G78" i="126"/>
  <c r="F78" i="126"/>
  <c r="E78" i="126"/>
  <c r="D78" i="126"/>
  <c r="C78" i="126"/>
  <c r="B78" i="126"/>
  <c r="K77" i="126"/>
  <c r="J77" i="126"/>
  <c r="I77" i="126"/>
  <c r="H77" i="126"/>
  <c r="G77" i="126"/>
  <c r="F77" i="126"/>
  <c r="E77" i="126"/>
  <c r="D77" i="126"/>
  <c r="C77" i="126"/>
  <c r="B77" i="126"/>
  <c r="K76" i="126"/>
  <c r="J76" i="126"/>
  <c r="I76" i="126"/>
  <c r="H76" i="126"/>
  <c r="G76" i="126"/>
  <c r="F76" i="126"/>
  <c r="E76" i="126"/>
  <c r="D76" i="126"/>
  <c r="C76" i="126"/>
  <c r="B76" i="126"/>
  <c r="J74" i="126"/>
  <c r="I74" i="126"/>
  <c r="H74" i="126"/>
  <c r="G74" i="126"/>
  <c r="F74" i="126"/>
  <c r="E74" i="126"/>
  <c r="D74" i="126"/>
  <c r="C74" i="126"/>
  <c r="B74" i="126"/>
  <c r="G70" i="126"/>
  <c r="F70" i="126"/>
  <c r="E70" i="126"/>
  <c r="D70" i="126"/>
  <c r="C70" i="126"/>
  <c r="A70" i="126"/>
  <c r="K69" i="126"/>
  <c r="J69" i="126"/>
  <c r="I69" i="126"/>
  <c r="H69" i="126"/>
  <c r="G69" i="126"/>
  <c r="F69" i="126"/>
  <c r="E69" i="126"/>
  <c r="D69" i="126"/>
  <c r="C69" i="126"/>
  <c r="B69" i="126"/>
  <c r="K68" i="126"/>
  <c r="J68" i="126"/>
  <c r="I68" i="126"/>
  <c r="H68" i="126"/>
  <c r="G68" i="126"/>
  <c r="F68" i="126"/>
  <c r="E68" i="126"/>
  <c r="D68" i="126"/>
  <c r="C68" i="126"/>
  <c r="B68" i="126"/>
  <c r="K67" i="126"/>
  <c r="J67" i="126"/>
  <c r="I67" i="126"/>
  <c r="H67" i="126"/>
  <c r="G67" i="126"/>
  <c r="F67" i="126"/>
  <c r="E67" i="126"/>
  <c r="D67" i="126"/>
  <c r="C67" i="126"/>
  <c r="B67" i="126"/>
  <c r="K66" i="126"/>
  <c r="J66" i="126"/>
  <c r="I66" i="126"/>
  <c r="H66" i="126"/>
  <c r="G66" i="126"/>
  <c r="F66" i="126"/>
  <c r="E66" i="126"/>
  <c r="D66" i="126"/>
  <c r="C66" i="126"/>
  <c r="B66" i="126"/>
  <c r="K65" i="126"/>
  <c r="J65" i="126"/>
  <c r="I65" i="126"/>
  <c r="H65" i="126"/>
  <c r="G65" i="126"/>
  <c r="F65" i="126"/>
  <c r="E65" i="126"/>
  <c r="D65" i="126"/>
  <c r="C65" i="126"/>
  <c r="B65" i="126"/>
  <c r="K64" i="126"/>
  <c r="J64" i="126"/>
  <c r="I64" i="126"/>
  <c r="H64" i="126"/>
  <c r="G64" i="126"/>
  <c r="F64" i="126"/>
  <c r="E64" i="126"/>
  <c r="D64" i="126"/>
  <c r="C64" i="126"/>
  <c r="B64" i="126"/>
  <c r="K63" i="126"/>
  <c r="J63" i="126"/>
  <c r="I63" i="126"/>
  <c r="H63" i="126"/>
  <c r="G63" i="126"/>
  <c r="F63" i="126"/>
  <c r="E63" i="126"/>
  <c r="D63" i="126"/>
  <c r="C63" i="126"/>
  <c r="B63" i="126"/>
  <c r="K62" i="126"/>
  <c r="J62" i="126"/>
  <c r="I62" i="126"/>
  <c r="H62" i="126"/>
  <c r="G62" i="126"/>
  <c r="F62" i="126"/>
  <c r="E62" i="126"/>
  <c r="D62" i="126"/>
  <c r="C62" i="126"/>
  <c r="B62" i="126"/>
  <c r="K61" i="126"/>
  <c r="J61" i="126"/>
  <c r="I61" i="126"/>
  <c r="H61" i="126"/>
  <c r="G61" i="126"/>
  <c r="F61" i="126"/>
  <c r="E61" i="126"/>
  <c r="D61" i="126"/>
  <c r="C61" i="126"/>
  <c r="B61" i="126"/>
  <c r="K60" i="126"/>
  <c r="J60" i="126"/>
  <c r="I60" i="126"/>
  <c r="H60" i="126"/>
  <c r="G60" i="126"/>
  <c r="F60" i="126"/>
  <c r="E60" i="126"/>
  <c r="D60" i="126"/>
  <c r="C60" i="126"/>
  <c r="B60" i="126"/>
  <c r="K59" i="126"/>
  <c r="J59" i="126"/>
  <c r="I59" i="126"/>
  <c r="H59" i="126"/>
  <c r="G59" i="126"/>
  <c r="F59" i="126"/>
  <c r="E59" i="126"/>
  <c r="D59" i="126"/>
  <c r="C59" i="126"/>
  <c r="B59" i="126"/>
  <c r="J57" i="126"/>
  <c r="I57" i="126"/>
  <c r="H57" i="126"/>
  <c r="G57" i="126"/>
  <c r="F57" i="126"/>
  <c r="E57" i="126"/>
  <c r="D57" i="126"/>
  <c r="C57" i="126"/>
  <c r="B57" i="126"/>
  <c r="F51" i="126"/>
  <c r="E51" i="126"/>
  <c r="D51" i="126"/>
  <c r="C51" i="126"/>
  <c r="A51" i="126"/>
  <c r="F50" i="126"/>
  <c r="E50" i="126"/>
  <c r="D50" i="126"/>
  <c r="C50" i="126"/>
  <c r="B50" i="126"/>
  <c r="F49" i="126"/>
  <c r="E49" i="126"/>
  <c r="D49" i="126"/>
  <c r="C49" i="126"/>
  <c r="B49" i="126"/>
  <c r="F48" i="126"/>
  <c r="E48" i="126"/>
  <c r="D48" i="126"/>
  <c r="C48" i="126"/>
  <c r="B48" i="126"/>
  <c r="F47" i="126"/>
  <c r="E47" i="126"/>
  <c r="D47" i="126"/>
  <c r="C47" i="126"/>
  <c r="B47" i="126"/>
  <c r="F46" i="126"/>
  <c r="E46" i="126"/>
  <c r="D46" i="126"/>
  <c r="C46" i="126"/>
  <c r="B46" i="126"/>
  <c r="F45" i="126"/>
  <c r="E45" i="126"/>
  <c r="D45" i="126"/>
  <c r="C45" i="126"/>
  <c r="B45" i="126"/>
  <c r="F44" i="126"/>
  <c r="E44" i="126"/>
  <c r="D44" i="126"/>
  <c r="C44" i="126"/>
  <c r="B44" i="126"/>
  <c r="F43" i="126"/>
  <c r="E43" i="126"/>
  <c r="D43" i="126"/>
  <c r="C43" i="126"/>
  <c r="B43" i="126"/>
  <c r="F42" i="126"/>
  <c r="E42" i="126"/>
  <c r="D42" i="126"/>
  <c r="C42" i="126"/>
  <c r="B42" i="126"/>
  <c r="F41" i="126"/>
  <c r="E41" i="126"/>
  <c r="D41" i="126"/>
  <c r="C41" i="126"/>
  <c r="B41" i="126"/>
  <c r="F40" i="126"/>
  <c r="E40" i="126"/>
  <c r="D40" i="126"/>
  <c r="C40" i="126"/>
  <c r="B40" i="126"/>
  <c r="F39" i="126"/>
  <c r="E39" i="126"/>
  <c r="D39" i="126"/>
  <c r="C39" i="126"/>
  <c r="C38" i="126"/>
  <c r="B38" i="126"/>
  <c r="F34" i="126"/>
  <c r="E34" i="126"/>
  <c r="D34" i="126"/>
  <c r="C34" i="126"/>
  <c r="A34" i="126"/>
  <c r="F33" i="126"/>
  <c r="E33" i="126"/>
  <c r="D33" i="126"/>
  <c r="C33" i="126"/>
  <c r="B33" i="126"/>
  <c r="F32" i="126"/>
  <c r="E32" i="126"/>
  <c r="D32" i="126"/>
  <c r="C32" i="126"/>
  <c r="B32" i="126"/>
  <c r="F31" i="126"/>
  <c r="E31" i="126"/>
  <c r="D31" i="126"/>
  <c r="C31" i="126"/>
  <c r="B31" i="126"/>
  <c r="F30" i="126"/>
  <c r="E30" i="126"/>
  <c r="D30" i="126"/>
  <c r="C30" i="126"/>
  <c r="B30" i="126"/>
  <c r="F29" i="126"/>
  <c r="E29" i="126"/>
  <c r="D29" i="126"/>
  <c r="C29" i="126"/>
  <c r="B29" i="126"/>
  <c r="F28" i="126"/>
  <c r="E28" i="126"/>
  <c r="D28" i="126"/>
  <c r="C28" i="126"/>
  <c r="B28" i="126"/>
  <c r="F27" i="126"/>
  <c r="E27" i="126"/>
  <c r="D27" i="126"/>
  <c r="C27" i="126"/>
  <c r="B27" i="126"/>
  <c r="F26" i="126"/>
  <c r="E26" i="126"/>
  <c r="D26" i="126"/>
  <c r="C26" i="126"/>
  <c r="B26" i="126"/>
  <c r="F25" i="126"/>
  <c r="E25" i="126"/>
  <c r="D25" i="126"/>
  <c r="C25" i="126"/>
  <c r="B25" i="126"/>
  <c r="F24" i="126"/>
  <c r="E24" i="126"/>
  <c r="D24" i="126"/>
  <c r="C24" i="126"/>
  <c r="B24" i="126"/>
  <c r="F23" i="126"/>
  <c r="E23" i="126"/>
  <c r="D23" i="126"/>
  <c r="C23" i="126"/>
  <c r="B23" i="126"/>
  <c r="F22" i="126"/>
  <c r="E22" i="126"/>
  <c r="D22" i="126"/>
  <c r="C22" i="126"/>
  <c r="B21" i="126"/>
  <c r="A10" i="126"/>
  <c r="A1" i="126"/>
  <c r="C67" i="88"/>
  <c r="C61" i="88"/>
  <c r="A61" i="88"/>
  <c r="C60" i="88"/>
  <c r="C58" i="88"/>
  <c r="B58" i="88"/>
  <c r="C57" i="88"/>
  <c r="B57" i="88"/>
  <c r="C56" i="88"/>
  <c r="B56" i="88"/>
  <c r="C55" i="88"/>
  <c r="B55" i="88"/>
  <c r="C54" i="88"/>
  <c r="B54" i="88"/>
  <c r="C53" i="88"/>
  <c r="B53" i="88"/>
  <c r="C52" i="88"/>
  <c r="B52" i="88"/>
  <c r="C51" i="88"/>
  <c r="B51" i="88"/>
  <c r="C50" i="88"/>
  <c r="B50" i="88"/>
  <c r="C49" i="88"/>
  <c r="B49" i="88"/>
  <c r="C48" i="88"/>
  <c r="B48" i="88"/>
  <c r="C47" i="88"/>
  <c r="B47" i="88"/>
  <c r="C46" i="88"/>
  <c r="B46" i="88"/>
  <c r="C45" i="88"/>
  <c r="B45" i="88"/>
  <c r="C44" i="88"/>
  <c r="B44" i="88"/>
  <c r="C43" i="88"/>
  <c r="B43" i="88"/>
  <c r="C42" i="88"/>
  <c r="B42" i="88"/>
  <c r="C41" i="88"/>
  <c r="B41" i="88"/>
  <c r="C40" i="88"/>
  <c r="B40" i="88"/>
  <c r="C39" i="88"/>
  <c r="B39" i="88"/>
  <c r="N38" i="88"/>
  <c r="M38" i="88"/>
  <c r="L38" i="88"/>
  <c r="K38" i="88"/>
  <c r="J38" i="88"/>
  <c r="I38" i="88"/>
  <c r="H38" i="88"/>
  <c r="G38" i="88"/>
  <c r="F38" i="88"/>
  <c r="E38" i="88"/>
  <c r="D38" i="88"/>
  <c r="C38" i="88"/>
  <c r="B38" i="88"/>
  <c r="B34" i="88"/>
  <c r="B33" i="88"/>
  <c r="B32" i="88"/>
  <c r="B31" i="88"/>
  <c r="B30" i="88"/>
  <c r="B29" i="88"/>
  <c r="B28" i="88"/>
  <c r="B27" i="88"/>
  <c r="B26" i="88"/>
  <c r="B25" i="88"/>
  <c r="B24" i="88"/>
  <c r="B23" i="88"/>
  <c r="B22" i="88"/>
  <c r="B21" i="88"/>
  <c r="B20" i="88"/>
  <c r="B19" i="88"/>
  <c r="B18" i="88"/>
  <c r="B17" i="88"/>
  <c r="B16" i="88"/>
  <c r="N14" i="88"/>
  <c r="M14" i="88"/>
  <c r="L14" i="88"/>
  <c r="K14" i="88"/>
  <c r="J14" i="88"/>
  <c r="I14" i="88"/>
  <c r="H14" i="88"/>
  <c r="G14" i="88"/>
  <c r="F14" i="88"/>
  <c r="E14" i="88"/>
  <c r="D14" i="88"/>
  <c r="C14" i="88"/>
  <c r="A10" i="88"/>
  <c r="A1" i="88"/>
  <c r="B638" i="92"/>
  <c r="B637" i="92"/>
  <c r="B636" i="92"/>
  <c r="B635" i="92"/>
  <c r="B634" i="92"/>
  <c r="B633" i="92"/>
  <c r="B632" i="92"/>
  <c r="B631" i="92"/>
  <c r="B630" i="92"/>
  <c r="B629" i="92"/>
  <c r="B628" i="92"/>
  <c r="B627" i="92"/>
  <c r="B626" i="92"/>
  <c r="B625" i="92"/>
  <c r="B624" i="92"/>
  <c r="B623" i="92"/>
  <c r="B622" i="92"/>
  <c r="B621" i="92"/>
  <c r="B620" i="92"/>
  <c r="N619" i="92"/>
  <c r="M619" i="92"/>
  <c r="L619" i="92"/>
  <c r="K619" i="92"/>
  <c r="J619" i="92"/>
  <c r="I619" i="92"/>
  <c r="H619" i="92"/>
  <c r="G619" i="92"/>
  <c r="F619" i="92"/>
  <c r="E619" i="92"/>
  <c r="D619" i="92"/>
  <c r="C619" i="92"/>
  <c r="B619" i="92"/>
  <c r="B615" i="92"/>
  <c r="B614" i="92"/>
  <c r="B613" i="92"/>
  <c r="B612" i="92"/>
  <c r="B611" i="92"/>
  <c r="B610" i="92"/>
  <c r="B609" i="92"/>
  <c r="B608" i="92"/>
  <c r="B607" i="92"/>
  <c r="B606" i="92"/>
  <c r="B605" i="92"/>
  <c r="B604" i="92"/>
  <c r="B603" i="92"/>
  <c r="B602" i="92"/>
  <c r="B601" i="92"/>
  <c r="B600" i="92"/>
  <c r="B599" i="92"/>
  <c r="B598" i="92"/>
  <c r="B597" i="92"/>
  <c r="C596" i="92"/>
  <c r="B596" i="92"/>
  <c r="B589" i="92"/>
  <c r="B588" i="92"/>
  <c r="B587" i="92"/>
  <c r="B586" i="92"/>
  <c r="B585" i="92"/>
  <c r="B584" i="92"/>
  <c r="B583" i="92"/>
  <c r="B582" i="92"/>
  <c r="B581" i="92"/>
  <c r="B580" i="92"/>
  <c r="B579" i="92"/>
  <c r="B578" i="92"/>
  <c r="B577" i="92"/>
  <c r="B576" i="92"/>
  <c r="B575" i="92"/>
  <c r="B574" i="92"/>
  <c r="B573" i="92"/>
  <c r="B572" i="92"/>
  <c r="B571" i="92"/>
  <c r="B570" i="92"/>
  <c r="N569" i="92"/>
  <c r="M569" i="92"/>
  <c r="L569" i="92"/>
  <c r="K569" i="92"/>
  <c r="J569" i="92"/>
  <c r="I569" i="92"/>
  <c r="H569" i="92"/>
  <c r="G569" i="92"/>
  <c r="F569" i="92"/>
  <c r="E569" i="92"/>
  <c r="D569" i="92"/>
  <c r="C569" i="92"/>
  <c r="B569" i="92"/>
  <c r="C565" i="92"/>
  <c r="B565" i="92"/>
  <c r="C564" i="92"/>
  <c r="B564" i="92"/>
  <c r="C563" i="92"/>
  <c r="B563" i="92"/>
  <c r="C562" i="92"/>
  <c r="B562" i="92"/>
  <c r="C561" i="92"/>
  <c r="B561" i="92"/>
  <c r="C560" i="92"/>
  <c r="B560" i="92"/>
  <c r="C559" i="92"/>
  <c r="B559" i="92"/>
  <c r="C558" i="92"/>
  <c r="B558" i="92"/>
  <c r="C557" i="92"/>
  <c r="B557" i="92"/>
  <c r="C556" i="92"/>
  <c r="B556" i="92"/>
  <c r="C555" i="92"/>
  <c r="B555" i="92"/>
  <c r="C554" i="92"/>
  <c r="B554" i="92"/>
  <c r="C553" i="92"/>
  <c r="B553" i="92"/>
  <c r="C552" i="92"/>
  <c r="B552" i="92"/>
  <c r="C551" i="92"/>
  <c r="B551" i="92"/>
  <c r="C550" i="92"/>
  <c r="B550" i="92"/>
  <c r="C549" i="92"/>
  <c r="B549" i="92"/>
  <c r="C548" i="92"/>
  <c r="B548" i="92"/>
  <c r="C547" i="92"/>
  <c r="B547" i="92"/>
  <c r="B546" i="92"/>
  <c r="B539" i="92"/>
  <c r="B538" i="92"/>
  <c r="B537" i="92"/>
  <c r="B536" i="92"/>
  <c r="B535" i="92"/>
  <c r="B534" i="92"/>
  <c r="B533" i="92"/>
  <c r="B532" i="92"/>
  <c r="B531" i="92"/>
  <c r="B530" i="92"/>
  <c r="B529" i="92"/>
  <c r="B528" i="92"/>
  <c r="B527" i="92"/>
  <c r="B526" i="92"/>
  <c r="B525" i="92"/>
  <c r="B524" i="92"/>
  <c r="B523" i="92"/>
  <c r="B522" i="92"/>
  <c r="B521" i="92"/>
  <c r="B520" i="92"/>
  <c r="N519" i="92"/>
  <c r="M519" i="92"/>
  <c r="L519" i="92"/>
  <c r="K519" i="92"/>
  <c r="J519" i="92"/>
  <c r="I519" i="92"/>
  <c r="H519" i="92"/>
  <c r="G519" i="92"/>
  <c r="F519" i="92"/>
  <c r="E519" i="92"/>
  <c r="D519" i="92"/>
  <c r="C519" i="92"/>
  <c r="B519" i="92"/>
  <c r="N516" i="92"/>
  <c r="M516" i="92"/>
  <c r="L516" i="92"/>
  <c r="K516" i="92"/>
  <c r="J516" i="92"/>
  <c r="I516" i="92"/>
  <c r="H516" i="92"/>
  <c r="G516" i="92"/>
  <c r="F516" i="92"/>
  <c r="E516" i="92"/>
  <c r="D516" i="92"/>
  <c r="C516" i="92"/>
  <c r="N515" i="92"/>
  <c r="M515" i="92"/>
  <c r="L515" i="92"/>
  <c r="K515" i="92"/>
  <c r="J515" i="92"/>
  <c r="I515" i="92"/>
  <c r="H515" i="92"/>
  <c r="G515" i="92"/>
  <c r="F515" i="92"/>
  <c r="E515" i="92"/>
  <c r="D515" i="92"/>
  <c r="C515" i="92"/>
  <c r="B506" i="92"/>
  <c r="B505" i="92"/>
  <c r="B504" i="92"/>
  <c r="B503" i="92"/>
  <c r="B502" i="92"/>
  <c r="B501" i="92"/>
  <c r="B500" i="92"/>
  <c r="B499" i="92"/>
  <c r="B498" i="92"/>
  <c r="B497" i="92"/>
  <c r="B496" i="92"/>
  <c r="B495" i="92"/>
  <c r="B494" i="92"/>
  <c r="B493" i="92"/>
  <c r="B492" i="92"/>
  <c r="B491" i="92"/>
  <c r="B490" i="92"/>
  <c r="B489" i="92"/>
  <c r="B488" i="92"/>
  <c r="B487" i="92"/>
  <c r="N486" i="92"/>
  <c r="M486" i="92"/>
  <c r="L486" i="92"/>
  <c r="K486" i="92"/>
  <c r="J486" i="92"/>
  <c r="I486" i="92"/>
  <c r="H486" i="92"/>
  <c r="G486" i="92"/>
  <c r="F486" i="92"/>
  <c r="E486" i="92"/>
  <c r="D486" i="92"/>
  <c r="C486" i="92"/>
  <c r="B486" i="92"/>
  <c r="B479" i="92"/>
  <c r="B455" i="92"/>
  <c r="B430" i="92"/>
  <c r="B454" i="92" s="1"/>
  <c r="B478" i="92" s="1"/>
  <c r="B429" i="92"/>
  <c r="B453" i="92" s="1"/>
  <c r="B477" i="92" s="1"/>
  <c r="B428" i="92"/>
  <c r="B452" i="92" s="1"/>
  <c r="B476" i="92" s="1"/>
  <c r="B427" i="92"/>
  <c r="B451" i="92" s="1"/>
  <c r="B475" i="92" s="1"/>
  <c r="B426" i="92"/>
  <c r="B450" i="92" s="1"/>
  <c r="B474" i="92" s="1"/>
  <c r="B425" i="92"/>
  <c r="B449" i="92" s="1"/>
  <c r="B473" i="92" s="1"/>
  <c r="B424" i="92"/>
  <c r="B448" i="92" s="1"/>
  <c r="B472" i="92" s="1"/>
  <c r="B423" i="92"/>
  <c r="B447" i="92" s="1"/>
  <c r="B471" i="92" s="1"/>
  <c r="B422" i="92"/>
  <c r="B446" i="92" s="1"/>
  <c r="B470" i="92" s="1"/>
  <c r="B421" i="92"/>
  <c r="B445" i="92" s="1"/>
  <c r="B469" i="92" s="1"/>
  <c r="B420" i="92"/>
  <c r="B444" i="92" s="1"/>
  <c r="B468" i="92" s="1"/>
  <c r="B419" i="92"/>
  <c r="B443" i="92" s="1"/>
  <c r="B467" i="92" s="1"/>
  <c r="B418" i="92"/>
  <c r="B442" i="92" s="1"/>
  <c r="B466" i="92" s="1"/>
  <c r="B417" i="92"/>
  <c r="B441" i="92" s="1"/>
  <c r="B465" i="92" s="1"/>
  <c r="B416" i="92"/>
  <c r="B440" i="92" s="1"/>
  <c r="B464" i="92" s="1"/>
  <c r="B415" i="92"/>
  <c r="B439" i="92" s="1"/>
  <c r="B463" i="92" s="1"/>
  <c r="B414" i="92"/>
  <c r="B438" i="92" s="1"/>
  <c r="B462" i="92" s="1"/>
  <c r="B413" i="92"/>
  <c r="B437" i="92" s="1"/>
  <c r="B461" i="92" s="1"/>
  <c r="B412" i="92"/>
  <c r="B436" i="92" s="1"/>
  <c r="B460" i="92" s="1"/>
  <c r="B411" i="92"/>
  <c r="B435" i="92" s="1"/>
  <c r="B459" i="92" s="1"/>
  <c r="O405" i="92"/>
  <c r="N405" i="92"/>
  <c r="M405" i="92"/>
  <c r="L405" i="92"/>
  <c r="K405" i="92"/>
  <c r="J405" i="92"/>
  <c r="I405" i="92"/>
  <c r="H405" i="92"/>
  <c r="G405" i="92"/>
  <c r="F405" i="92"/>
  <c r="E405" i="92"/>
  <c r="D405" i="92"/>
  <c r="C405" i="92"/>
  <c r="A405" i="92"/>
  <c r="N404" i="92"/>
  <c r="M404" i="92"/>
  <c r="L404" i="92"/>
  <c r="K404" i="92"/>
  <c r="J404" i="92"/>
  <c r="I404" i="92"/>
  <c r="H404" i="92"/>
  <c r="G404" i="92"/>
  <c r="F404" i="92"/>
  <c r="E404" i="92"/>
  <c r="D404" i="92"/>
  <c r="C404" i="92"/>
  <c r="B404" i="92"/>
  <c r="N403" i="92"/>
  <c r="M403" i="92"/>
  <c r="L403" i="92"/>
  <c r="K403" i="92"/>
  <c r="J403" i="92"/>
  <c r="I403" i="92"/>
  <c r="H403" i="92"/>
  <c r="G403" i="92"/>
  <c r="F403" i="92"/>
  <c r="E403" i="92"/>
  <c r="D403" i="92"/>
  <c r="C403" i="92"/>
  <c r="B403" i="92"/>
  <c r="N402" i="92"/>
  <c r="M402" i="92"/>
  <c r="L402" i="92"/>
  <c r="K402" i="92"/>
  <c r="J402" i="92"/>
  <c r="I402" i="92"/>
  <c r="H402" i="92"/>
  <c r="G402" i="92"/>
  <c r="F402" i="92"/>
  <c r="E402" i="92"/>
  <c r="D402" i="92"/>
  <c r="C402" i="92"/>
  <c r="B402" i="92"/>
  <c r="N401" i="92"/>
  <c r="M401" i="92"/>
  <c r="L401" i="92"/>
  <c r="K401" i="92"/>
  <c r="J401" i="92"/>
  <c r="I401" i="92"/>
  <c r="H401" i="92"/>
  <c r="G401" i="92"/>
  <c r="F401" i="92"/>
  <c r="E401" i="92"/>
  <c r="D401" i="92"/>
  <c r="C401" i="92"/>
  <c r="B401" i="92"/>
  <c r="N400" i="92"/>
  <c r="M400" i="92"/>
  <c r="L400" i="92"/>
  <c r="K400" i="92"/>
  <c r="J400" i="92"/>
  <c r="I400" i="92"/>
  <c r="H400" i="92"/>
  <c r="G400" i="92"/>
  <c r="F400" i="92"/>
  <c r="E400" i="92"/>
  <c r="D400" i="92"/>
  <c r="C400" i="92"/>
  <c r="B400" i="92"/>
  <c r="N399" i="92"/>
  <c r="M399" i="92"/>
  <c r="L399" i="92"/>
  <c r="K399" i="92"/>
  <c r="J399" i="92"/>
  <c r="I399" i="92"/>
  <c r="H399" i="92"/>
  <c r="G399" i="92"/>
  <c r="F399" i="92"/>
  <c r="E399" i="92"/>
  <c r="D399" i="92"/>
  <c r="C399" i="92"/>
  <c r="B399" i="92"/>
  <c r="N398" i="92"/>
  <c r="M398" i="92"/>
  <c r="L398" i="92"/>
  <c r="K398" i="92"/>
  <c r="J398" i="92"/>
  <c r="I398" i="92"/>
  <c r="H398" i="92"/>
  <c r="G398" i="92"/>
  <c r="F398" i="92"/>
  <c r="E398" i="92"/>
  <c r="D398" i="92"/>
  <c r="C398" i="92"/>
  <c r="B398" i="92"/>
  <c r="N397" i="92"/>
  <c r="M397" i="92"/>
  <c r="L397" i="92"/>
  <c r="K397" i="92"/>
  <c r="J397" i="92"/>
  <c r="I397" i="92"/>
  <c r="H397" i="92"/>
  <c r="G397" i="92"/>
  <c r="F397" i="92"/>
  <c r="E397" i="92"/>
  <c r="D397" i="92"/>
  <c r="C397" i="92"/>
  <c r="B397" i="92"/>
  <c r="N396" i="92"/>
  <c r="M396" i="92"/>
  <c r="L396" i="92"/>
  <c r="K396" i="92"/>
  <c r="J396" i="92"/>
  <c r="I396" i="92"/>
  <c r="H396" i="92"/>
  <c r="G396" i="92"/>
  <c r="F396" i="92"/>
  <c r="E396" i="92"/>
  <c r="D396" i="92"/>
  <c r="C396" i="92"/>
  <c r="B396" i="92"/>
  <c r="N395" i="92"/>
  <c r="M395" i="92"/>
  <c r="L395" i="92"/>
  <c r="K395" i="92"/>
  <c r="J395" i="92"/>
  <c r="I395" i="92"/>
  <c r="H395" i="92"/>
  <c r="G395" i="92"/>
  <c r="F395" i="92"/>
  <c r="E395" i="92"/>
  <c r="D395" i="92"/>
  <c r="C395" i="92"/>
  <c r="B395" i="92"/>
  <c r="N394" i="92"/>
  <c r="M394" i="92"/>
  <c r="L394" i="92"/>
  <c r="K394" i="92"/>
  <c r="J394" i="92"/>
  <c r="I394" i="92"/>
  <c r="H394" i="92"/>
  <c r="G394" i="92"/>
  <c r="F394" i="92"/>
  <c r="E394" i="92"/>
  <c r="D394" i="92"/>
  <c r="C394" i="92"/>
  <c r="B394" i="92"/>
  <c r="N393" i="92"/>
  <c r="M393" i="92"/>
  <c r="L393" i="92"/>
  <c r="K393" i="92"/>
  <c r="J393" i="92"/>
  <c r="I393" i="92"/>
  <c r="H393" i="92"/>
  <c r="G393" i="92"/>
  <c r="F393" i="92"/>
  <c r="E393" i="92"/>
  <c r="D393" i="92"/>
  <c r="C393" i="92"/>
  <c r="B393" i="92"/>
  <c r="N392" i="92"/>
  <c r="M392" i="92"/>
  <c r="L392" i="92"/>
  <c r="K392" i="92"/>
  <c r="J392" i="92"/>
  <c r="I392" i="92"/>
  <c r="H392" i="92"/>
  <c r="G392" i="92"/>
  <c r="F392" i="92"/>
  <c r="E392" i="92"/>
  <c r="D392" i="92"/>
  <c r="C392" i="92"/>
  <c r="B392" i="92"/>
  <c r="N391" i="92"/>
  <c r="M391" i="92"/>
  <c r="L391" i="92"/>
  <c r="K391" i="92"/>
  <c r="J391" i="92"/>
  <c r="I391" i="92"/>
  <c r="H391" i="92"/>
  <c r="G391" i="92"/>
  <c r="F391" i="92"/>
  <c r="E391" i="92"/>
  <c r="D391" i="92"/>
  <c r="C391" i="92"/>
  <c r="B391" i="92"/>
  <c r="N390" i="92"/>
  <c r="M390" i="92"/>
  <c r="L390" i="92"/>
  <c r="K390" i="92"/>
  <c r="J390" i="92"/>
  <c r="I390" i="92"/>
  <c r="H390" i="92"/>
  <c r="G390" i="92"/>
  <c r="F390" i="92"/>
  <c r="E390" i="92"/>
  <c r="D390" i="92"/>
  <c r="C390" i="92"/>
  <c r="B390" i="92"/>
  <c r="N389" i="92"/>
  <c r="M389" i="92"/>
  <c r="L389" i="92"/>
  <c r="K389" i="92"/>
  <c r="J389" i="92"/>
  <c r="I389" i="92"/>
  <c r="H389" i="92"/>
  <c r="G389" i="92"/>
  <c r="F389" i="92"/>
  <c r="E389" i="92"/>
  <c r="D389" i="92"/>
  <c r="C389" i="92"/>
  <c r="B389" i="92"/>
  <c r="N388" i="92"/>
  <c r="M388" i="92"/>
  <c r="L388" i="92"/>
  <c r="K388" i="92"/>
  <c r="J388" i="92"/>
  <c r="I388" i="92"/>
  <c r="H388" i="92"/>
  <c r="G388" i="92"/>
  <c r="F388" i="92"/>
  <c r="E388" i="92"/>
  <c r="D388" i="92"/>
  <c r="C388" i="92"/>
  <c r="B388" i="92"/>
  <c r="N387" i="92"/>
  <c r="M387" i="92"/>
  <c r="L387" i="92"/>
  <c r="K387" i="92"/>
  <c r="J387" i="92"/>
  <c r="I387" i="92"/>
  <c r="H387" i="92"/>
  <c r="G387" i="92"/>
  <c r="F387" i="92"/>
  <c r="E387" i="92"/>
  <c r="D387" i="92"/>
  <c r="C387" i="92"/>
  <c r="B387" i="92"/>
  <c r="N386" i="92"/>
  <c r="M386" i="92"/>
  <c r="L386" i="92"/>
  <c r="K386" i="92"/>
  <c r="J386" i="92"/>
  <c r="I386" i="92"/>
  <c r="H386" i="92"/>
  <c r="G386" i="92"/>
  <c r="F386" i="92"/>
  <c r="E386" i="92"/>
  <c r="D386" i="92"/>
  <c r="C386" i="92"/>
  <c r="B386" i="92"/>
  <c r="N385" i="92"/>
  <c r="M385" i="92"/>
  <c r="L385" i="92"/>
  <c r="K385" i="92"/>
  <c r="J385" i="92"/>
  <c r="I385" i="92"/>
  <c r="H385" i="92"/>
  <c r="G385" i="92"/>
  <c r="F385" i="92"/>
  <c r="E385" i="92"/>
  <c r="D385" i="92"/>
  <c r="C385" i="92"/>
  <c r="B385" i="92"/>
  <c r="N384" i="92"/>
  <c r="M384" i="92"/>
  <c r="L384" i="92"/>
  <c r="K384" i="92"/>
  <c r="J384" i="92"/>
  <c r="I384" i="92"/>
  <c r="H384" i="92"/>
  <c r="G384" i="92"/>
  <c r="F384" i="92"/>
  <c r="E384" i="92"/>
  <c r="D384" i="92"/>
  <c r="C384" i="92"/>
  <c r="B384" i="92"/>
  <c r="N382" i="92"/>
  <c r="M382" i="92"/>
  <c r="L382" i="92"/>
  <c r="K382" i="92"/>
  <c r="J382" i="92"/>
  <c r="I382" i="92"/>
  <c r="H382" i="92"/>
  <c r="G382" i="92"/>
  <c r="F382" i="92"/>
  <c r="E382" i="92"/>
  <c r="D382" i="92"/>
  <c r="C382" i="92"/>
  <c r="O381" i="92"/>
  <c r="N381" i="92"/>
  <c r="M381" i="92"/>
  <c r="L381" i="92"/>
  <c r="K381" i="92"/>
  <c r="J381" i="92"/>
  <c r="I381" i="92"/>
  <c r="H381" i="92"/>
  <c r="G381" i="92"/>
  <c r="F381" i="92"/>
  <c r="E381" i="92"/>
  <c r="D381" i="92"/>
  <c r="C381" i="92"/>
  <c r="A381" i="92"/>
  <c r="N380" i="92"/>
  <c r="M380" i="92"/>
  <c r="L380" i="92"/>
  <c r="K380" i="92"/>
  <c r="J380" i="92"/>
  <c r="I380" i="92"/>
  <c r="H380" i="92"/>
  <c r="G380" i="92"/>
  <c r="F380" i="92"/>
  <c r="E380" i="92"/>
  <c r="D380" i="92"/>
  <c r="C380" i="92"/>
  <c r="B380" i="92"/>
  <c r="N379" i="92"/>
  <c r="M379" i="92"/>
  <c r="L379" i="92"/>
  <c r="K379" i="92"/>
  <c r="J379" i="92"/>
  <c r="I379" i="92"/>
  <c r="H379" i="92"/>
  <c r="G379" i="92"/>
  <c r="F379" i="92"/>
  <c r="E379" i="92"/>
  <c r="D379" i="92"/>
  <c r="C379" i="92"/>
  <c r="B379" i="92"/>
  <c r="N378" i="92"/>
  <c r="M378" i="92"/>
  <c r="L378" i="92"/>
  <c r="K378" i="92"/>
  <c r="J378" i="92"/>
  <c r="I378" i="92"/>
  <c r="H378" i="92"/>
  <c r="G378" i="92"/>
  <c r="F378" i="92"/>
  <c r="E378" i="92"/>
  <c r="D378" i="92"/>
  <c r="C378" i="92"/>
  <c r="B378" i="92"/>
  <c r="N377" i="92"/>
  <c r="M377" i="92"/>
  <c r="L377" i="92"/>
  <c r="K377" i="92"/>
  <c r="J377" i="92"/>
  <c r="I377" i="92"/>
  <c r="H377" i="92"/>
  <c r="G377" i="92"/>
  <c r="F377" i="92"/>
  <c r="E377" i="92"/>
  <c r="D377" i="92"/>
  <c r="C377" i="92"/>
  <c r="B377" i="92"/>
  <c r="N376" i="92"/>
  <c r="M376" i="92"/>
  <c r="L376" i="92"/>
  <c r="K376" i="92"/>
  <c r="J376" i="92"/>
  <c r="I376" i="92"/>
  <c r="H376" i="92"/>
  <c r="G376" i="92"/>
  <c r="F376" i="92"/>
  <c r="E376" i="92"/>
  <c r="D376" i="92"/>
  <c r="C376" i="92"/>
  <c r="B376" i="92"/>
  <c r="N375" i="92"/>
  <c r="M375" i="92"/>
  <c r="L375" i="92"/>
  <c r="K375" i="92"/>
  <c r="J375" i="92"/>
  <c r="I375" i="92"/>
  <c r="H375" i="92"/>
  <c r="G375" i="92"/>
  <c r="F375" i="92"/>
  <c r="E375" i="92"/>
  <c r="D375" i="92"/>
  <c r="C375" i="92"/>
  <c r="B375" i="92"/>
  <c r="N374" i="92"/>
  <c r="M374" i="92"/>
  <c r="L374" i="92"/>
  <c r="K374" i="92"/>
  <c r="J374" i="92"/>
  <c r="I374" i="92"/>
  <c r="H374" i="92"/>
  <c r="G374" i="92"/>
  <c r="F374" i="92"/>
  <c r="E374" i="92"/>
  <c r="D374" i="92"/>
  <c r="C374" i="92"/>
  <c r="B374" i="92"/>
  <c r="N373" i="92"/>
  <c r="M373" i="92"/>
  <c r="L373" i="92"/>
  <c r="K373" i="92"/>
  <c r="J373" i="92"/>
  <c r="I373" i="92"/>
  <c r="H373" i="92"/>
  <c r="G373" i="92"/>
  <c r="F373" i="92"/>
  <c r="E373" i="92"/>
  <c r="D373" i="92"/>
  <c r="C373" i="92"/>
  <c r="B373" i="92"/>
  <c r="N372" i="92"/>
  <c r="M372" i="92"/>
  <c r="L372" i="92"/>
  <c r="K372" i="92"/>
  <c r="J372" i="92"/>
  <c r="I372" i="92"/>
  <c r="H372" i="92"/>
  <c r="G372" i="92"/>
  <c r="F372" i="92"/>
  <c r="E372" i="92"/>
  <c r="D372" i="92"/>
  <c r="C372" i="92"/>
  <c r="B372" i="92"/>
  <c r="N371" i="92"/>
  <c r="M371" i="92"/>
  <c r="L371" i="92"/>
  <c r="K371" i="92"/>
  <c r="J371" i="92"/>
  <c r="I371" i="92"/>
  <c r="H371" i="92"/>
  <c r="G371" i="92"/>
  <c r="F371" i="92"/>
  <c r="E371" i="92"/>
  <c r="D371" i="92"/>
  <c r="C371" i="92"/>
  <c r="B371" i="92"/>
  <c r="N370" i="92"/>
  <c r="M370" i="92"/>
  <c r="L370" i="92"/>
  <c r="K370" i="92"/>
  <c r="J370" i="92"/>
  <c r="I370" i="92"/>
  <c r="H370" i="92"/>
  <c r="G370" i="92"/>
  <c r="F370" i="92"/>
  <c r="E370" i="92"/>
  <c r="D370" i="92"/>
  <c r="C370" i="92"/>
  <c r="B370" i="92"/>
  <c r="N369" i="92"/>
  <c r="M369" i="92"/>
  <c r="L369" i="92"/>
  <c r="K369" i="92"/>
  <c r="J369" i="92"/>
  <c r="I369" i="92"/>
  <c r="H369" i="92"/>
  <c r="G369" i="92"/>
  <c r="F369" i="92"/>
  <c r="E369" i="92"/>
  <c r="D369" i="92"/>
  <c r="C369" i="92"/>
  <c r="B369" i="92"/>
  <c r="N368" i="92"/>
  <c r="M368" i="92"/>
  <c r="L368" i="92"/>
  <c r="K368" i="92"/>
  <c r="J368" i="92"/>
  <c r="I368" i="92"/>
  <c r="H368" i="92"/>
  <c r="G368" i="92"/>
  <c r="F368" i="92"/>
  <c r="E368" i="92"/>
  <c r="D368" i="92"/>
  <c r="C368" i="92"/>
  <c r="B368" i="92"/>
  <c r="N367" i="92"/>
  <c r="M367" i="92"/>
  <c r="L367" i="92"/>
  <c r="K367" i="92"/>
  <c r="J367" i="92"/>
  <c r="I367" i="92"/>
  <c r="H367" i="92"/>
  <c r="G367" i="92"/>
  <c r="F367" i="92"/>
  <c r="E367" i="92"/>
  <c r="D367" i="92"/>
  <c r="C367" i="92"/>
  <c r="B367" i="92"/>
  <c r="N366" i="92"/>
  <c r="M366" i="92"/>
  <c r="L366" i="92"/>
  <c r="K366" i="92"/>
  <c r="J366" i="92"/>
  <c r="I366" i="92"/>
  <c r="H366" i="92"/>
  <c r="G366" i="92"/>
  <c r="F366" i="92"/>
  <c r="E366" i="92"/>
  <c r="D366" i="92"/>
  <c r="C366" i="92"/>
  <c r="B366" i="92"/>
  <c r="N365" i="92"/>
  <c r="M365" i="92"/>
  <c r="L365" i="92"/>
  <c r="K365" i="92"/>
  <c r="J365" i="92"/>
  <c r="I365" i="92"/>
  <c r="H365" i="92"/>
  <c r="G365" i="92"/>
  <c r="F365" i="92"/>
  <c r="E365" i="92"/>
  <c r="D365" i="92"/>
  <c r="C365" i="92"/>
  <c r="B365" i="92"/>
  <c r="N364" i="92"/>
  <c r="M364" i="92"/>
  <c r="L364" i="92"/>
  <c r="K364" i="92"/>
  <c r="J364" i="92"/>
  <c r="I364" i="92"/>
  <c r="H364" i="92"/>
  <c r="G364" i="92"/>
  <c r="F364" i="92"/>
  <c r="E364" i="92"/>
  <c r="D364" i="92"/>
  <c r="C364" i="92"/>
  <c r="B364" i="92"/>
  <c r="N363" i="92"/>
  <c r="M363" i="92"/>
  <c r="L363" i="92"/>
  <c r="K363" i="92"/>
  <c r="J363" i="92"/>
  <c r="I363" i="92"/>
  <c r="H363" i="92"/>
  <c r="G363" i="92"/>
  <c r="F363" i="92"/>
  <c r="E363" i="92"/>
  <c r="D363" i="92"/>
  <c r="C363" i="92"/>
  <c r="B363" i="92"/>
  <c r="N362" i="92"/>
  <c r="M362" i="92"/>
  <c r="L362" i="92"/>
  <c r="K362" i="92"/>
  <c r="J362" i="92"/>
  <c r="I362" i="92"/>
  <c r="H362" i="92"/>
  <c r="G362" i="92"/>
  <c r="F362" i="92"/>
  <c r="E362" i="92"/>
  <c r="D362" i="92"/>
  <c r="C362" i="92"/>
  <c r="B362" i="92"/>
  <c r="N361" i="92"/>
  <c r="M361" i="92"/>
  <c r="L361" i="92"/>
  <c r="K361" i="92"/>
  <c r="J361" i="92"/>
  <c r="I361" i="92"/>
  <c r="H361" i="92"/>
  <c r="G361" i="92"/>
  <c r="F361" i="92"/>
  <c r="E361" i="92"/>
  <c r="D361" i="92"/>
  <c r="C361" i="92"/>
  <c r="B361" i="92"/>
  <c r="N360" i="92"/>
  <c r="M360" i="92"/>
  <c r="L360" i="92"/>
  <c r="K360" i="92"/>
  <c r="J360" i="92"/>
  <c r="I360" i="92"/>
  <c r="H360" i="92"/>
  <c r="G360" i="92"/>
  <c r="F360" i="92"/>
  <c r="E360" i="92"/>
  <c r="D360" i="92"/>
  <c r="C360" i="92"/>
  <c r="B360" i="92"/>
  <c r="O356" i="92"/>
  <c r="N356" i="92"/>
  <c r="M356" i="92"/>
  <c r="L356" i="92"/>
  <c r="K356" i="92"/>
  <c r="J356" i="92"/>
  <c r="I356" i="92"/>
  <c r="H356" i="92"/>
  <c r="G356" i="92"/>
  <c r="F356" i="92"/>
  <c r="E356" i="92"/>
  <c r="D356" i="92"/>
  <c r="C356" i="92"/>
  <c r="A356" i="92"/>
  <c r="N355" i="92"/>
  <c r="M355" i="92"/>
  <c r="L355" i="92"/>
  <c r="K355" i="92"/>
  <c r="J355" i="92"/>
  <c r="I355" i="92"/>
  <c r="H355" i="92"/>
  <c r="G355" i="92"/>
  <c r="F355" i="92"/>
  <c r="E355" i="92"/>
  <c r="D355" i="92"/>
  <c r="C355" i="92"/>
  <c r="B355" i="92"/>
  <c r="N354" i="92"/>
  <c r="M354" i="92"/>
  <c r="L354" i="92"/>
  <c r="K354" i="92"/>
  <c r="J354" i="92"/>
  <c r="I354" i="92"/>
  <c r="H354" i="92"/>
  <c r="G354" i="92"/>
  <c r="F354" i="92"/>
  <c r="E354" i="92"/>
  <c r="D354" i="92"/>
  <c r="C354" i="92"/>
  <c r="B354" i="92"/>
  <c r="N353" i="92"/>
  <c r="M353" i="92"/>
  <c r="L353" i="92"/>
  <c r="K353" i="92"/>
  <c r="J353" i="92"/>
  <c r="I353" i="92"/>
  <c r="H353" i="92"/>
  <c r="G353" i="92"/>
  <c r="F353" i="92"/>
  <c r="E353" i="92"/>
  <c r="D353" i="92"/>
  <c r="C353" i="92"/>
  <c r="B353" i="92"/>
  <c r="N352" i="92"/>
  <c r="M352" i="92"/>
  <c r="L352" i="92"/>
  <c r="K352" i="92"/>
  <c r="J352" i="92"/>
  <c r="I352" i="92"/>
  <c r="H352" i="92"/>
  <c r="G352" i="92"/>
  <c r="F352" i="92"/>
  <c r="E352" i="92"/>
  <c r="D352" i="92"/>
  <c r="C352" i="92"/>
  <c r="B352" i="92"/>
  <c r="N351" i="92"/>
  <c r="M351" i="92"/>
  <c r="L351" i="92"/>
  <c r="K351" i="92"/>
  <c r="J351" i="92"/>
  <c r="I351" i="92"/>
  <c r="H351" i="92"/>
  <c r="G351" i="92"/>
  <c r="F351" i="92"/>
  <c r="E351" i="92"/>
  <c r="D351" i="92"/>
  <c r="C351" i="92"/>
  <c r="B351" i="92"/>
  <c r="N350" i="92"/>
  <c r="M350" i="92"/>
  <c r="L350" i="92"/>
  <c r="K350" i="92"/>
  <c r="J350" i="92"/>
  <c r="I350" i="92"/>
  <c r="H350" i="92"/>
  <c r="G350" i="92"/>
  <c r="F350" i="92"/>
  <c r="E350" i="92"/>
  <c r="D350" i="92"/>
  <c r="C350" i="92"/>
  <c r="B350" i="92"/>
  <c r="N349" i="92"/>
  <c r="M349" i="92"/>
  <c r="L349" i="92"/>
  <c r="K349" i="92"/>
  <c r="J349" i="92"/>
  <c r="I349" i="92"/>
  <c r="H349" i="92"/>
  <c r="G349" i="92"/>
  <c r="F349" i="92"/>
  <c r="E349" i="92"/>
  <c r="D349" i="92"/>
  <c r="C349" i="92"/>
  <c r="B349" i="92"/>
  <c r="N348" i="92"/>
  <c r="M348" i="92"/>
  <c r="L348" i="92"/>
  <c r="K348" i="92"/>
  <c r="J348" i="92"/>
  <c r="I348" i="92"/>
  <c r="H348" i="92"/>
  <c r="G348" i="92"/>
  <c r="F348" i="92"/>
  <c r="E348" i="92"/>
  <c r="D348" i="92"/>
  <c r="C348" i="92"/>
  <c r="B348" i="92"/>
  <c r="N347" i="92"/>
  <c r="M347" i="92"/>
  <c r="L347" i="92"/>
  <c r="K347" i="92"/>
  <c r="J347" i="92"/>
  <c r="I347" i="92"/>
  <c r="H347" i="92"/>
  <c r="G347" i="92"/>
  <c r="F347" i="92"/>
  <c r="E347" i="92"/>
  <c r="D347" i="92"/>
  <c r="C347" i="92"/>
  <c r="B347" i="92"/>
  <c r="N346" i="92"/>
  <c r="M346" i="92"/>
  <c r="L346" i="92"/>
  <c r="K346" i="92"/>
  <c r="J346" i="92"/>
  <c r="I346" i="92"/>
  <c r="H346" i="92"/>
  <c r="G346" i="92"/>
  <c r="F346" i="92"/>
  <c r="E346" i="92"/>
  <c r="D346" i="92"/>
  <c r="C346" i="92"/>
  <c r="B346" i="92"/>
  <c r="N345" i="92"/>
  <c r="M345" i="92"/>
  <c r="L345" i="92"/>
  <c r="K345" i="92"/>
  <c r="J345" i="92"/>
  <c r="I345" i="92"/>
  <c r="H345" i="92"/>
  <c r="G345" i="92"/>
  <c r="F345" i="92"/>
  <c r="E345" i="92"/>
  <c r="D345" i="92"/>
  <c r="C345" i="92"/>
  <c r="B345" i="92"/>
  <c r="N344" i="92"/>
  <c r="M344" i="92"/>
  <c r="L344" i="92"/>
  <c r="K344" i="92"/>
  <c r="J344" i="92"/>
  <c r="I344" i="92"/>
  <c r="H344" i="92"/>
  <c r="G344" i="92"/>
  <c r="F344" i="92"/>
  <c r="E344" i="92"/>
  <c r="D344" i="92"/>
  <c r="C344" i="92"/>
  <c r="B344" i="92"/>
  <c r="N343" i="92"/>
  <c r="M343" i="92"/>
  <c r="L343" i="92"/>
  <c r="K343" i="92"/>
  <c r="J343" i="92"/>
  <c r="I343" i="92"/>
  <c r="H343" i="92"/>
  <c r="G343" i="92"/>
  <c r="F343" i="92"/>
  <c r="E343" i="92"/>
  <c r="D343" i="92"/>
  <c r="C343" i="92"/>
  <c r="B343" i="92"/>
  <c r="N342" i="92"/>
  <c r="M342" i="92"/>
  <c r="L342" i="92"/>
  <c r="K342" i="92"/>
  <c r="J342" i="92"/>
  <c r="I342" i="92"/>
  <c r="H342" i="92"/>
  <c r="G342" i="92"/>
  <c r="F342" i="92"/>
  <c r="E342" i="92"/>
  <c r="D342" i="92"/>
  <c r="C342" i="92"/>
  <c r="B342" i="92"/>
  <c r="N341" i="92"/>
  <c r="M341" i="92"/>
  <c r="L341" i="92"/>
  <c r="K341" i="92"/>
  <c r="J341" i="92"/>
  <c r="I341" i="92"/>
  <c r="H341" i="92"/>
  <c r="G341" i="92"/>
  <c r="F341" i="92"/>
  <c r="E341" i="92"/>
  <c r="D341" i="92"/>
  <c r="C341" i="92"/>
  <c r="B341" i="92"/>
  <c r="N340" i="92"/>
  <c r="M340" i="92"/>
  <c r="L340" i="92"/>
  <c r="K340" i="92"/>
  <c r="J340" i="92"/>
  <c r="I340" i="92"/>
  <c r="H340" i="92"/>
  <c r="G340" i="92"/>
  <c r="F340" i="92"/>
  <c r="E340" i="92"/>
  <c r="D340" i="92"/>
  <c r="C340" i="92"/>
  <c r="B340" i="92"/>
  <c r="N339" i="92"/>
  <c r="M339" i="92"/>
  <c r="L339" i="92"/>
  <c r="K339" i="92"/>
  <c r="J339" i="92"/>
  <c r="I339" i="92"/>
  <c r="H339" i="92"/>
  <c r="G339" i="92"/>
  <c r="F339" i="92"/>
  <c r="E339" i="92"/>
  <c r="D339" i="92"/>
  <c r="C339" i="92"/>
  <c r="B339" i="92"/>
  <c r="N338" i="92"/>
  <c r="M338" i="92"/>
  <c r="L338" i="92"/>
  <c r="K338" i="92"/>
  <c r="J338" i="92"/>
  <c r="I338" i="92"/>
  <c r="H338" i="92"/>
  <c r="G338" i="92"/>
  <c r="F338" i="92"/>
  <c r="E338" i="92"/>
  <c r="D338" i="92"/>
  <c r="C338" i="92"/>
  <c r="B338" i="92"/>
  <c r="N337" i="92"/>
  <c r="M337" i="92"/>
  <c r="L337" i="92"/>
  <c r="K337" i="92"/>
  <c r="J337" i="92"/>
  <c r="I337" i="92"/>
  <c r="H337" i="92"/>
  <c r="G337" i="92"/>
  <c r="F337" i="92"/>
  <c r="E337" i="92"/>
  <c r="D337" i="92"/>
  <c r="C337" i="92"/>
  <c r="B337" i="92"/>
  <c r="N336" i="92"/>
  <c r="M336" i="92"/>
  <c r="L336" i="92"/>
  <c r="K336" i="92"/>
  <c r="J336" i="92"/>
  <c r="I336" i="92"/>
  <c r="H336" i="92"/>
  <c r="G336" i="92"/>
  <c r="F336" i="92"/>
  <c r="E336" i="92"/>
  <c r="D336" i="92"/>
  <c r="C336" i="92"/>
  <c r="B336" i="92"/>
  <c r="N335" i="92"/>
  <c r="M335" i="92"/>
  <c r="L335" i="92"/>
  <c r="K335" i="92"/>
  <c r="J335" i="92"/>
  <c r="I335" i="92"/>
  <c r="H335" i="92"/>
  <c r="G335" i="92"/>
  <c r="F335" i="92"/>
  <c r="E335" i="92"/>
  <c r="D335" i="92"/>
  <c r="C335" i="92"/>
  <c r="B335" i="92"/>
  <c r="N331" i="92"/>
  <c r="M331" i="92"/>
  <c r="L331" i="92"/>
  <c r="K331" i="92"/>
  <c r="J331" i="92"/>
  <c r="I331" i="92"/>
  <c r="H331" i="92"/>
  <c r="G331" i="92"/>
  <c r="F331" i="92"/>
  <c r="E331" i="92"/>
  <c r="D331" i="92"/>
  <c r="C331" i="92"/>
  <c r="A331" i="92"/>
  <c r="O330" i="92"/>
  <c r="N330" i="92"/>
  <c r="M330" i="92"/>
  <c r="L330" i="92"/>
  <c r="K330" i="92"/>
  <c r="J330" i="92"/>
  <c r="I330" i="92"/>
  <c r="H330" i="92"/>
  <c r="G330" i="92"/>
  <c r="F330" i="92"/>
  <c r="E330" i="92"/>
  <c r="D330" i="92"/>
  <c r="C330" i="92"/>
  <c r="A330" i="92"/>
  <c r="N329" i="92"/>
  <c r="M329" i="92"/>
  <c r="L329" i="92"/>
  <c r="K329" i="92"/>
  <c r="J329" i="92"/>
  <c r="I329" i="92"/>
  <c r="H329" i="92"/>
  <c r="G329" i="92"/>
  <c r="F329" i="92"/>
  <c r="E329" i="92"/>
  <c r="D329" i="92"/>
  <c r="C329" i="92"/>
  <c r="B329" i="92"/>
  <c r="AB328" i="92"/>
  <c r="AA328" i="92"/>
  <c r="Z328" i="92"/>
  <c r="Y328" i="92"/>
  <c r="X328" i="92"/>
  <c r="W328" i="92"/>
  <c r="V328" i="92"/>
  <c r="U328" i="92"/>
  <c r="T328" i="92"/>
  <c r="S328" i="92"/>
  <c r="R328" i="92"/>
  <c r="Q328" i="92"/>
  <c r="N328" i="92"/>
  <c r="M328" i="92"/>
  <c r="L328" i="92"/>
  <c r="K328" i="92"/>
  <c r="J328" i="92"/>
  <c r="I328" i="92"/>
  <c r="H328" i="92"/>
  <c r="G328" i="92"/>
  <c r="F328" i="92"/>
  <c r="E328" i="92"/>
  <c r="D328" i="92"/>
  <c r="C328" i="92"/>
  <c r="B328" i="92"/>
  <c r="AB327" i="92"/>
  <c r="AA327" i="92"/>
  <c r="Z327" i="92"/>
  <c r="Y327" i="92"/>
  <c r="X327" i="92"/>
  <c r="W327" i="92"/>
  <c r="V327" i="92"/>
  <c r="U327" i="92"/>
  <c r="T327" i="92"/>
  <c r="S327" i="92"/>
  <c r="R327" i="92"/>
  <c r="Q327" i="92"/>
  <c r="N327" i="92"/>
  <c r="M327" i="92"/>
  <c r="L327" i="92"/>
  <c r="K327" i="92"/>
  <c r="J327" i="92"/>
  <c r="I327" i="92"/>
  <c r="H327" i="92"/>
  <c r="G327" i="92"/>
  <c r="F327" i="92"/>
  <c r="E327" i="92"/>
  <c r="D327" i="92"/>
  <c r="C327" i="92"/>
  <c r="B327" i="92"/>
  <c r="N326" i="92"/>
  <c r="M326" i="92"/>
  <c r="L326" i="92"/>
  <c r="K326" i="92"/>
  <c r="J326" i="92"/>
  <c r="I326" i="92"/>
  <c r="H326" i="92"/>
  <c r="G326" i="92"/>
  <c r="F326" i="92"/>
  <c r="E326" i="92"/>
  <c r="D326" i="92"/>
  <c r="C326" i="92"/>
  <c r="B326" i="92"/>
  <c r="N325" i="92"/>
  <c r="M325" i="92"/>
  <c r="L325" i="92"/>
  <c r="K325" i="92"/>
  <c r="J325" i="92"/>
  <c r="I325" i="92"/>
  <c r="H325" i="92"/>
  <c r="G325" i="92"/>
  <c r="F325" i="92"/>
  <c r="E325" i="92"/>
  <c r="D325" i="92"/>
  <c r="C325" i="92"/>
  <c r="B325" i="92"/>
  <c r="N324" i="92"/>
  <c r="M324" i="92"/>
  <c r="L324" i="92"/>
  <c r="K324" i="92"/>
  <c r="J324" i="92"/>
  <c r="I324" i="92"/>
  <c r="H324" i="92"/>
  <c r="G324" i="92"/>
  <c r="F324" i="92"/>
  <c r="E324" i="92"/>
  <c r="D324" i="92"/>
  <c r="C324" i="92"/>
  <c r="B324" i="92"/>
  <c r="AB323" i="92"/>
  <c r="AA323" i="92"/>
  <c r="Z323" i="92"/>
  <c r="Y323" i="92"/>
  <c r="X323" i="92"/>
  <c r="W323" i="92"/>
  <c r="V323" i="92"/>
  <c r="U323" i="92"/>
  <c r="T323" i="92"/>
  <c r="S323" i="92"/>
  <c r="R323" i="92"/>
  <c r="Q323" i="92"/>
  <c r="N323" i="92"/>
  <c r="M323" i="92"/>
  <c r="L323" i="92"/>
  <c r="K323" i="92"/>
  <c r="J323" i="92"/>
  <c r="I323" i="92"/>
  <c r="H323" i="92"/>
  <c r="G323" i="92"/>
  <c r="F323" i="92"/>
  <c r="E323" i="92"/>
  <c r="D323" i="92"/>
  <c r="C323" i="92"/>
  <c r="B323" i="92"/>
  <c r="AB322" i="92"/>
  <c r="AA322" i="92"/>
  <c r="Z322" i="92"/>
  <c r="Y322" i="92"/>
  <c r="X322" i="92"/>
  <c r="W322" i="92"/>
  <c r="V322" i="92"/>
  <c r="U322" i="92"/>
  <c r="T322" i="92"/>
  <c r="S322" i="92"/>
  <c r="R322" i="92"/>
  <c r="Q322" i="92"/>
  <c r="N322" i="92"/>
  <c r="M322" i="92"/>
  <c r="L322" i="92"/>
  <c r="K322" i="92"/>
  <c r="J322" i="92"/>
  <c r="I322" i="92"/>
  <c r="H322" i="92"/>
  <c r="G322" i="92"/>
  <c r="F322" i="92"/>
  <c r="E322" i="92"/>
  <c r="D322" i="92"/>
  <c r="C322" i="92"/>
  <c r="B322" i="92"/>
  <c r="N321" i="92"/>
  <c r="M321" i="92"/>
  <c r="L321" i="92"/>
  <c r="K321" i="92"/>
  <c r="J321" i="92"/>
  <c r="I321" i="92"/>
  <c r="H321" i="92"/>
  <c r="G321" i="92"/>
  <c r="F321" i="92"/>
  <c r="E321" i="92"/>
  <c r="D321" i="92"/>
  <c r="C321" i="92"/>
  <c r="B321" i="92"/>
  <c r="N320" i="92"/>
  <c r="M320" i="92"/>
  <c r="L320" i="92"/>
  <c r="K320" i="92"/>
  <c r="J320" i="92"/>
  <c r="I320" i="92"/>
  <c r="H320" i="92"/>
  <c r="G320" i="92"/>
  <c r="F320" i="92"/>
  <c r="E320" i="92"/>
  <c r="D320" i="92"/>
  <c r="C320" i="92"/>
  <c r="B320" i="92"/>
  <c r="AB319" i="92"/>
  <c r="AA319" i="92"/>
  <c r="Z319" i="92"/>
  <c r="Y319" i="92"/>
  <c r="X319" i="92"/>
  <c r="W319" i="92"/>
  <c r="V319" i="92"/>
  <c r="U319" i="92"/>
  <c r="T319" i="92"/>
  <c r="S319" i="92"/>
  <c r="R319" i="92"/>
  <c r="Q319" i="92"/>
  <c r="N319" i="92"/>
  <c r="M319" i="92"/>
  <c r="L319" i="92"/>
  <c r="K319" i="92"/>
  <c r="J319" i="92"/>
  <c r="I319" i="92"/>
  <c r="H319" i="92"/>
  <c r="G319" i="92"/>
  <c r="F319" i="92"/>
  <c r="E319" i="92"/>
  <c r="D319" i="92"/>
  <c r="C319" i="92"/>
  <c r="B319" i="92"/>
  <c r="AB318" i="92"/>
  <c r="AA318" i="92"/>
  <c r="Z318" i="92"/>
  <c r="Y318" i="92"/>
  <c r="X318" i="92"/>
  <c r="W318" i="92"/>
  <c r="V318" i="92"/>
  <c r="U318" i="92"/>
  <c r="T318" i="92"/>
  <c r="S318" i="92"/>
  <c r="R318" i="92"/>
  <c r="Q318" i="92"/>
  <c r="N318" i="92"/>
  <c r="M318" i="92"/>
  <c r="L318" i="92"/>
  <c r="K318" i="92"/>
  <c r="J318" i="92"/>
  <c r="I318" i="92"/>
  <c r="H318" i="92"/>
  <c r="G318" i="92"/>
  <c r="F318" i="92"/>
  <c r="E318" i="92"/>
  <c r="D318" i="92"/>
  <c r="C318" i="92"/>
  <c r="B318" i="92"/>
  <c r="N317" i="92"/>
  <c r="M317" i="92"/>
  <c r="L317" i="92"/>
  <c r="K317" i="92"/>
  <c r="J317" i="92"/>
  <c r="I317" i="92"/>
  <c r="H317" i="92"/>
  <c r="G317" i="92"/>
  <c r="F317" i="92"/>
  <c r="E317" i="92"/>
  <c r="D317" i="92"/>
  <c r="C317" i="92"/>
  <c r="B317" i="92"/>
  <c r="N316" i="92"/>
  <c r="M316" i="92"/>
  <c r="L316" i="92"/>
  <c r="K316" i="92"/>
  <c r="J316" i="92"/>
  <c r="I316" i="92"/>
  <c r="H316" i="92"/>
  <c r="G316" i="92"/>
  <c r="F316" i="92"/>
  <c r="E316" i="92"/>
  <c r="D316" i="92"/>
  <c r="C316" i="92"/>
  <c r="B316" i="92"/>
  <c r="N315" i="92"/>
  <c r="M315" i="92"/>
  <c r="L315" i="92"/>
  <c r="K315" i="92"/>
  <c r="J315" i="92"/>
  <c r="I315" i="92"/>
  <c r="H315" i="92"/>
  <c r="G315" i="92"/>
  <c r="F315" i="92"/>
  <c r="E315" i="92"/>
  <c r="D315" i="92"/>
  <c r="C315" i="92"/>
  <c r="B315" i="92"/>
  <c r="AB314" i="92"/>
  <c r="AA314" i="92"/>
  <c r="Z314" i="92"/>
  <c r="Y314" i="92"/>
  <c r="X314" i="92"/>
  <c r="W314" i="92"/>
  <c r="V314" i="92"/>
  <c r="U314" i="92"/>
  <c r="T314" i="92"/>
  <c r="S314" i="92"/>
  <c r="R314" i="92"/>
  <c r="Q314" i="92"/>
  <c r="N314" i="92"/>
  <c r="M314" i="92"/>
  <c r="L314" i="92"/>
  <c r="K314" i="92"/>
  <c r="J314" i="92"/>
  <c r="I314" i="92"/>
  <c r="H314" i="92"/>
  <c r="G314" i="92"/>
  <c r="F314" i="92"/>
  <c r="E314" i="92"/>
  <c r="D314" i="92"/>
  <c r="C314" i="92"/>
  <c r="B314" i="92"/>
  <c r="AB313" i="92"/>
  <c r="AA313" i="92"/>
  <c r="Z313" i="92"/>
  <c r="Y313" i="92"/>
  <c r="X313" i="92"/>
  <c r="W313" i="92"/>
  <c r="V313" i="92"/>
  <c r="U313" i="92"/>
  <c r="T313" i="92"/>
  <c r="S313" i="92"/>
  <c r="R313" i="92"/>
  <c r="Q313" i="92"/>
  <c r="N313" i="92"/>
  <c r="M313" i="92"/>
  <c r="L313" i="92"/>
  <c r="K313" i="92"/>
  <c r="J313" i="92"/>
  <c r="I313" i="92"/>
  <c r="H313" i="92"/>
  <c r="G313" i="92"/>
  <c r="F313" i="92"/>
  <c r="E313" i="92"/>
  <c r="D313" i="92"/>
  <c r="C313" i="92"/>
  <c r="B313" i="92"/>
  <c r="AB312" i="92"/>
  <c r="AA312" i="92"/>
  <c r="Z312" i="92"/>
  <c r="Y312" i="92"/>
  <c r="X312" i="92"/>
  <c r="W312" i="92"/>
  <c r="V312" i="92"/>
  <c r="U312" i="92"/>
  <c r="T312" i="92"/>
  <c r="S312" i="92"/>
  <c r="R312" i="92"/>
  <c r="Q312" i="92"/>
  <c r="N312" i="92"/>
  <c r="M312" i="92"/>
  <c r="L312" i="92"/>
  <c r="K312" i="92"/>
  <c r="J312" i="92"/>
  <c r="I312" i="92"/>
  <c r="H312" i="92"/>
  <c r="G312" i="92"/>
  <c r="F312" i="92"/>
  <c r="E312" i="92"/>
  <c r="D312" i="92"/>
  <c r="C312" i="92"/>
  <c r="B312" i="92"/>
  <c r="AB311" i="92"/>
  <c r="AA311" i="92"/>
  <c r="Z311" i="92"/>
  <c r="Y311" i="92"/>
  <c r="X311" i="92"/>
  <c r="W311" i="92"/>
  <c r="V311" i="92"/>
  <c r="U311" i="92"/>
  <c r="T311" i="92"/>
  <c r="S311" i="92"/>
  <c r="R311" i="92"/>
  <c r="Q311" i="92"/>
  <c r="N311" i="92"/>
  <c r="M311" i="92"/>
  <c r="L311" i="92"/>
  <c r="K311" i="92"/>
  <c r="J311" i="92"/>
  <c r="I311" i="92"/>
  <c r="H311" i="92"/>
  <c r="G311" i="92"/>
  <c r="F311" i="92"/>
  <c r="E311" i="92"/>
  <c r="D311" i="92"/>
  <c r="C311" i="92"/>
  <c r="B311" i="92"/>
  <c r="N310" i="92"/>
  <c r="M310" i="92"/>
  <c r="L310" i="92"/>
  <c r="K310" i="92"/>
  <c r="J310" i="92"/>
  <c r="I310" i="92"/>
  <c r="H310" i="92"/>
  <c r="G310" i="92"/>
  <c r="F310" i="92"/>
  <c r="E310" i="92"/>
  <c r="D310" i="92"/>
  <c r="C310" i="92"/>
  <c r="B310" i="92"/>
  <c r="N309" i="92"/>
  <c r="M309" i="92"/>
  <c r="L309" i="92"/>
  <c r="K309" i="92"/>
  <c r="J309" i="92"/>
  <c r="I309" i="92"/>
  <c r="H309" i="92"/>
  <c r="G309" i="92"/>
  <c r="F309" i="92"/>
  <c r="E309" i="92"/>
  <c r="D309" i="92"/>
  <c r="C309" i="92"/>
  <c r="O305" i="92"/>
  <c r="N305" i="92"/>
  <c r="M305" i="92"/>
  <c r="L305" i="92"/>
  <c r="K305" i="92"/>
  <c r="J305" i="92"/>
  <c r="I305" i="92"/>
  <c r="H305" i="92"/>
  <c r="G305" i="92"/>
  <c r="F305" i="92"/>
  <c r="E305" i="92"/>
  <c r="D305" i="92"/>
  <c r="C305" i="92"/>
  <c r="A305" i="92"/>
  <c r="N304" i="92"/>
  <c r="M304" i="92"/>
  <c r="L304" i="92"/>
  <c r="K304" i="92"/>
  <c r="J304" i="92"/>
  <c r="I304" i="92"/>
  <c r="H304" i="92"/>
  <c r="G304" i="92"/>
  <c r="F304" i="92"/>
  <c r="E304" i="92"/>
  <c r="D304" i="92"/>
  <c r="C304" i="92"/>
  <c r="N303" i="92"/>
  <c r="M303" i="92"/>
  <c r="L303" i="92"/>
  <c r="K303" i="92"/>
  <c r="J303" i="92"/>
  <c r="I303" i="92"/>
  <c r="H303" i="92"/>
  <c r="G303" i="92"/>
  <c r="F303" i="92"/>
  <c r="E303" i="92"/>
  <c r="D303" i="92"/>
  <c r="C303" i="92"/>
  <c r="B303" i="92"/>
  <c r="N302" i="92"/>
  <c r="M302" i="92"/>
  <c r="L302" i="92"/>
  <c r="K302" i="92"/>
  <c r="J302" i="92"/>
  <c r="I302" i="92"/>
  <c r="H302" i="92"/>
  <c r="G302" i="92"/>
  <c r="F302" i="92"/>
  <c r="E302" i="92"/>
  <c r="D302" i="92"/>
  <c r="C302" i="92"/>
  <c r="B302" i="92"/>
  <c r="N301" i="92"/>
  <c r="M301" i="92"/>
  <c r="L301" i="92"/>
  <c r="K301" i="92"/>
  <c r="J301" i="92"/>
  <c r="I301" i="92"/>
  <c r="H301" i="92"/>
  <c r="G301" i="92"/>
  <c r="F301" i="92"/>
  <c r="E301" i="92"/>
  <c r="D301" i="92"/>
  <c r="C301" i="92"/>
  <c r="B301" i="92"/>
  <c r="N300" i="92"/>
  <c r="M300" i="92"/>
  <c r="L300" i="92"/>
  <c r="K300" i="92"/>
  <c r="J300" i="92"/>
  <c r="I300" i="92"/>
  <c r="H300" i="92"/>
  <c r="G300" i="92"/>
  <c r="F300" i="92"/>
  <c r="E300" i="92"/>
  <c r="D300" i="92"/>
  <c r="C300" i="92"/>
  <c r="B300" i="92"/>
  <c r="N299" i="92"/>
  <c r="M299" i="92"/>
  <c r="L299" i="92"/>
  <c r="K299" i="92"/>
  <c r="J299" i="92"/>
  <c r="I299" i="92"/>
  <c r="H299" i="92"/>
  <c r="G299" i="92"/>
  <c r="F299" i="92"/>
  <c r="E299" i="92"/>
  <c r="D299" i="92"/>
  <c r="C299" i="92"/>
  <c r="B299" i="92"/>
  <c r="N298" i="92"/>
  <c r="M298" i="92"/>
  <c r="L298" i="92"/>
  <c r="K298" i="92"/>
  <c r="J298" i="92"/>
  <c r="I298" i="92"/>
  <c r="H298" i="92"/>
  <c r="G298" i="92"/>
  <c r="F298" i="92"/>
  <c r="E298" i="92"/>
  <c r="D298" i="92"/>
  <c r="C298" i="92"/>
  <c r="B298" i="92"/>
  <c r="N297" i="92"/>
  <c r="M297" i="92"/>
  <c r="L297" i="92"/>
  <c r="K297" i="92"/>
  <c r="J297" i="92"/>
  <c r="I297" i="92"/>
  <c r="H297" i="92"/>
  <c r="G297" i="92"/>
  <c r="F297" i="92"/>
  <c r="E297" i="92"/>
  <c r="D297" i="92"/>
  <c r="C297" i="92"/>
  <c r="B297" i="92"/>
  <c r="N296" i="92"/>
  <c r="M296" i="92"/>
  <c r="L296" i="92"/>
  <c r="K296" i="92"/>
  <c r="J296" i="92"/>
  <c r="I296" i="92"/>
  <c r="H296" i="92"/>
  <c r="G296" i="92"/>
  <c r="F296" i="92"/>
  <c r="E296" i="92"/>
  <c r="D296" i="92"/>
  <c r="C296" i="92"/>
  <c r="B296" i="92"/>
  <c r="N295" i="92"/>
  <c r="M295" i="92"/>
  <c r="L295" i="92"/>
  <c r="K295" i="92"/>
  <c r="J295" i="92"/>
  <c r="I295" i="92"/>
  <c r="H295" i="92"/>
  <c r="G295" i="92"/>
  <c r="F295" i="92"/>
  <c r="E295" i="92"/>
  <c r="D295" i="92"/>
  <c r="C295" i="92"/>
  <c r="B295" i="92"/>
  <c r="N294" i="92"/>
  <c r="M294" i="92"/>
  <c r="L294" i="92"/>
  <c r="K294" i="92"/>
  <c r="J294" i="92"/>
  <c r="I294" i="92"/>
  <c r="H294" i="92"/>
  <c r="G294" i="92"/>
  <c r="F294" i="92"/>
  <c r="E294" i="92"/>
  <c r="D294" i="92"/>
  <c r="C294" i="92"/>
  <c r="B294" i="92"/>
  <c r="N293" i="92"/>
  <c r="M293" i="92"/>
  <c r="L293" i="92"/>
  <c r="K293" i="92"/>
  <c r="J293" i="92"/>
  <c r="I293" i="92"/>
  <c r="H293" i="92"/>
  <c r="G293" i="92"/>
  <c r="F293" i="92"/>
  <c r="E293" i="92"/>
  <c r="D293" i="92"/>
  <c r="C293" i="92"/>
  <c r="B293" i="92"/>
  <c r="N292" i="92"/>
  <c r="M292" i="92"/>
  <c r="L292" i="92"/>
  <c r="K292" i="92"/>
  <c r="J292" i="92"/>
  <c r="I292" i="92"/>
  <c r="H292" i="92"/>
  <c r="G292" i="92"/>
  <c r="F292" i="92"/>
  <c r="E292" i="92"/>
  <c r="D292" i="92"/>
  <c r="C292" i="92"/>
  <c r="B292" i="92"/>
  <c r="N291" i="92"/>
  <c r="M291" i="92"/>
  <c r="L291" i="92"/>
  <c r="K291" i="92"/>
  <c r="J291" i="92"/>
  <c r="I291" i="92"/>
  <c r="H291" i="92"/>
  <c r="G291" i="92"/>
  <c r="F291" i="92"/>
  <c r="E291" i="92"/>
  <c r="D291" i="92"/>
  <c r="C291" i="92"/>
  <c r="B291" i="92"/>
  <c r="N290" i="92"/>
  <c r="M290" i="92"/>
  <c r="L290" i="92"/>
  <c r="K290" i="92"/>
  <c r="J290" i="92"/>
  <c r="I290" i="92"/>
  <c r="H290" i="92"/>
  <c r="G290" i="92"/>
  <c r="F290" i="92"/>
  <c r="E290" i="92"/>
  <c r="D290" i="92"/>
  <c r="C290" i="92"/>
  <c r="B290" i="92"/>
  <c r="N289" i="92"/>
  <c r="M289" i="92"/>
  <c r="L289" i="92"/>
  <c r="K289" i="92"/>
  <c r="J289" i="92"/>
  <c r="I289" i="92"/>
  <c r="H289" i="92"/>
  <c r="G289" i="92"/>
  <c r="F289" i="92"/>
  <c r="E289" i="92"/>
  <c r="D289" i="92"/>
  <c r="C289" i="92"/>
  <c r="B289" i="92"/>
  <c r="N288" i="92"/>
  <c r="M288" i="92"/>
  <c r="L288" i="92"/>
  <c r="K288" i="92"/>
  <c r="J288" i="92"/>
  <c r="I288" i="92"/>
  <c r="H288" i="92"/>
  <c r="G288" i="92"/>
  <c r="F288" i="92"/>
  <c r="E288" i="92"/>
  <c r="D288" i="92"/>
  <c r="C288" i="92"/>
  <c r="B288" i="92"/>
  <c r="N287" i="92"/>
  <c r="M287" i="92"/>
  <c r="L287" i="92"/>
  <c r="K287" i="92"/>
  <c r="J287" i="92"/>
  <c r="I287" i="92"/>
  <c r="H287" i="92"/>
  <c r="G287" i="92"/>
  <c r="F287" i="92"/>
  <c r="E287" i="92"/>
  <c r="D287" i="92"/>
  <c r="C287" i="92"/>
  <c r="B287" i="92"/>
  <c r="N286" i="92"/>
  <c r="M286" i="92"/>
  <c r="L286" i="92"/>
  <c r="K286" i="92"/>
  <c r="J286" i="92"/>
  <c r="I286" i="92"/>
  <c r="H286" i="92"/>
  <c r="G286" i="92"/>
  <c r="F286" i="92"/>
  <c r="E286" i="92"/>
  <c r="D286" i="92"/>
  <c r="C286" i="92"/>
  <c r="B286" i="92"/>
  <c r="N285" i="92"/>
  <c r="M285" i="92"/>
  <c r="L285" i="92"/>
  <c r="K285" i="92"/>
  <c r="J285" i="92"/>
  <c r="I285" i="92"/>
  <c r="H285" i="92"/>
  <c r="G285" i="92"/>
  <c r="F285" i="92"/>
  <c r="E285" i="92"/>
  <c r="D285" i="92"/>
  <c r="C285" i="92"/>
  <c r="B285" i="92"/>
  <c r="N284" i="92"/>
  <c r="M284" i="92"/>
  <c r="L284" i="92"/>
  <c r="K284" i="92"/>
  <c r="J284" i="92"/>
  <c r="I284" i="92"/>
  <c r="H284" i="92"/>
  <c r="G284" i="92"/>
  <c r="F284" i="92"/>
  <c r="E284" i="92"/>
  <c r="D284" i="92"/>
  <c r="C284" i="92"/>
  <c r="N280" i="92"/>
  <c r="M280" i="92"/>
  <c r="L280" i="92"/>
  <c r="K280" i="92"/>
  <c r="J280" i="92"/>
  <c r="I280" i="92"/>
  <c r="H280" i="92"/>
  <c r="G280" i="92"/>
  <c r="F280" i="92"/>
  <c r="E280" i="92"/>
  <c r="D280" i="92"/>
  <c r="C280" i="92"/>
  <c r="A280" i="92"/>
  <c r="O279" i="92"/>
  <c r="N279" i="92"/>
  <c r="M279" i="92"/>
  <c r="L279" i="92"/>
  <c r="K279" i="92"/>
  <c r="J279" i="92"/>
  <c r="I279" i="92"/>
  <c r="H279" i="92"/>
  <c r="G279" i="92"/>
  <c r="F279" i="92"/>
  <c r="E279" i="92"/>
  <c r="D279" i="92"/>
  <c r="C279" i="92"/>
  <c r="A279" i="92"/>
  <c r="N278" i="92"/>
  <c r="M278" i="92"/>
  <c r="L278" i="92"/>
  <c r="K278" i="92"/>
  <c r="J278" i="92"/>
  <c r="I278" i="92"/>
  <c r="H278" i="92"/>
  <c r="G278" i="92"/>
  <c r="F278" i="92"/>
  <c r="E278" i="92"/>
  <c r="D278" i="92"/>
  <c r="C278" i="92"/>
  <c r="B278" i="92"/>
  <c r="AB277" i="92"/>
  <c r="AA277" i="92"/>
  <c r="Z277" i="92"/>
  <c r="Y277" i="92"/>
  <c r="X277" i="92"/>
  <c r="W277" i="92"/>
  <c r="V277" i="92"/>
  <c r="U277" i="92"/>
  <c r="T277" i="92"/>
  <c r="S277" i="92"/>
  <c r="R277" i="92"/>
  <c r="Q277" i="92"/>
  <c r="N277" i="92"/>
  <c r="M277" i="92"/>
  <c r="L277" i="92"/>
  <c r="K277" i="92"/>
  <c r="J277" i="92"/>
  <c r="I277" i="92"/>
  <c r="H277" i="92"/>
  <c r="G277" i="92"/>
  <c r="F277" i="92"/>
  <c r="E277" i="92"/>
  <c r="D277" i="92"/>
  <c r="C277" i="92"/>
  <c r="B277" i="92"/>
  <c r="AB276" i="92"/>
  <c r="AA276" i="92"/>
  <c r="Z276" i="92"/>
  <c r="Y276" i="92"/>
  <c r="X276" i="92"/>
  <c r="W276" i="92"/>
  <c r="V276" i="92"/>
  <c r="U276" i="92"/>
  <c r="T276" i="92"/>
  <c r="S276" i="92"/>
  <c r="R276" i="92"/>
  <c r="Q276" i="92"/>
  <c r="N276" i="92"/>
  <c r="M276" i="92"/>
  <c r="L276" i="92"/>
  <c r="K276" i="92"/>
  <c r="J276" i="92"/>
  <c r="I276" i="92"/>
  <c r="H276" i="92"/>
  <c r="G276" i="92"/>
  <c r="F276" i="92"/>
  <c r="E276" i="92"/>
  <c r="D276" i="92"/>
  <c r="C276" i="92"/>
  <c r="B276" i="92"/>
  <c r="N275" i="92"/>
  <c r="M275" i="92"/>
  <c r="L275" i="92"/>
  <c r="K275" i="92"/>
  <c r="J275" i="92"/>
  <c r="I275" i="92"/>
  <c r="H275" i="92"/>
  <c r="G275" i="92"/>
  <c r="F275" i="92"/>
  <c r="E275" i="92"/>
  <c r="D275" i="92"/>
  <c r="C275" i="92"/>
  <c r="B275" i="92"/>
  <c r="N274" i="92"/>
  <c r="M274" i="92"/>
  <c r="L274" i="92"/>
  <c r="K274" i="92"/>
  <c r="J274" i="92"/>
  <c r="I274" i="92"/>
  <c r="H274" i="92"/>
  <c r="G274" i="92"/>
  <c r="F274" i="92"/>
  <c r="E274" i="92"/>
  <c r="D274" i="92"/>
  <c r="C274" i="92"/>
  <c r="B274" i="92"/>
  <c r="N273" i="92"/>
  <c r="M273" i="92"/>
  <c r="L273" i="92"/>
  <c r="K273" i="92"/>
  <c r="J273" i="92"/>
  <c r="I273" i="92"/>
  <c r="H273" i="92"/>
  <c r="G273" i="92"/>
  <c r="F273" i="92"/>
  <c r="E273" i="92"/>
  <c r="D273" i="92"/>
  <c r="C273" i="92"/>
  <c r="B273" i="92"/>
  <c r="AB272" i="92"/>
  <c r="AA272" i="92"/>
  <c r="Z272" i="92"/>
  <c r="Y272" i="92"/>
  <c r="X272" i="92"/>
  <c r="W272" i="92"/>
  <c r="V272" i="92"/>
  <c r="U272" i="92"/>
  <c r="T272" i="92"/>
  <c r="S272" i="92"/>
  <c r="R272" i="92"/>
  <c r="Q272" i="92"/>
  <c r="N272" i="92"/>
  <c r="M272" i="92"/>
  <c r="L272" i="92"/>
  <c r="K272" i="92"/>
  <c r="J272" i="92"/>
  <c r="I272" i="92"/>
  <c r="H272" i="92"/>
  <c r="G272" i="92"/>
  <c r="F272" i="92"/>
  <c r="E272" i="92"/>
  <c r="D272" i="92"/>
  <c r="C272" i="92"/>
  <c r="B272" i="92"/>
  <c r="AB271" i="92"/>
  <c r="AA271" i="92"/>
  <c r="Z271" i="92"/>
  <c r="Y271" i="92"/>
  <c r="X271" i="92"/>
  <c r="W271" i="92"/>
  <c r="V271" i="92"/>
  <c r="U271" i="92"/>
  <c r="T271" i="92"/>
  <c r="S271" i="92"/>
  <c r="R271" i="92"/>
  <c r="Q271" i="92"/>
  <c r="N271" i="92"/>
  <c r="M271" i="92"/>
  <c r="L271" i="92"/>
  <c r="K271" i="92"/>
  <c r="J271" i="92"/>
  <c r="I271" i="92"/>
  <c r="H271" i="92"/>
  <c r="G271" i="92"/>
  <c r="F271" i="92"/>
  <c r="E271" i="92"/>
  <c r="D271" i="92"/>
  <c r="C271" i="92"/>
  <c r="B271" i="92"/>
  <c r="N270" i="92"/>
  <c r="M270" i="92"/>
  <c r="L270" i="92"/>
  <c r="K270" i="92"/>
  <c r="J270" i="92"/>
  <c r="I270" i="92"/>
  <c r="H270" i="92"/>
  <c r="G270" i="92"/>
  <c r="F270" i="92"/>
  <c r="E270" i="92"/>
  <c r="D270" i="92"/>
  <c r="C270" i="92"/>
  <c r="B270" i="92"/>
  <c r="N269" i="92"/>
  <c r="M269" i="92"/>
  <c r="L269" i="92"/>
  <c r="K269" i="92"/>
  <c r="J269" i="92"/>
  <c r="I269" i="92"/>
  <c r="H269" i="92"/>
  <c r="G269" i="92"/>
  <c r="F269" i="92"/>
  <c r="E269" i="92"/>
  <c r="D269" i="92"/>
  <c r="C269" i="92"/>
  <c r="B269" i="92"/>
  <c r="AB268" i="92"/>
  <c r="AA268" i="92"/>
  <c r="Z268" i="92"/>
  <c r="Y268" i="92"/>
  <c r="X268" i="92"/>
  <c r="W268" i="92"/>
  <c r="V268" i="92"/>
  <c r="U268" i="92"/>
  <c r="T268" i="92"/>
  <c r="S268" i="92"/>
  <c r="R268" i="92"/>
  <c r="Q268" i="92"/>
  <c r="N268" i="92"/>
  <c r="M268" i="92"/>
  <c r="L268" i="92"/>
  <c r="K268" i="92"/>
  <c r="J268" i="92"/>
  <c r="I268" i="92"/>
  <c r="H268" i="92"/>
  <c r="G268" i="92"/>
  <c r="F268" i="92"/>
  <c r="E268" i="92"/>
  <c r="D268" i="92"/>
  <c r="C268" i="92"/>
  <c r="B268" i="92"/>
  <c r="AB267" i="92"/>
  <c r="AA267" i="92"/>
  <c r="Z267" i="92"/>
  <c r="Y267" i="92"/>
  <c r="X267" i="92"/>
  <c r="W267" i="92"/>
  <c r="V267" i="92"/>
  <c r="U267" i="92"/>
  <c r="T267" i="92"/>
  <c r="S267" i="92"/>
  <c r="R267" i="92"/>
  <c r="Q267" i="92"/>
  <c r="N267" i="92"/>
  <c r="M267" i="92"/>
  <c r="L267" i="92"/>
  <c r="K267" i="92"/>
  <c r="J267" i="92"/>
  <c r="I267" i="92"/>
  <c r="H267" i="92"/>
  <c r="G267" i="92"/>
  <c r="F267" i="92"/>
  <c r="E267" i="92"/>
  <c r="D267" i="92"/>
  <c r="C267" i="92"/>
  <c r="B267" i="92"/>
  <c r="N266" i="92"/>
  <c r="M266" i="92"/>
  <c r="L266" i="92"/>
  <c r="K266" i="92"/>
  <c r="J266" i="92"/>
  <c r="I266" i="92"/>
  <c r="H266" i="92"/>
  <c r="G266" i="92"/>
  <c r="F266" i="92"/>
  <c r="E266" i="92"/>
  <c r="D266" i="92"/>
  <c r="C266" i="92"/>
  <c r="B266" i="92"/>
  <c r="N265" i="92"/>
  <c r="M265" i="92"/>
  <c r="L265" i="92"/>
  <c r="K265" i="92"/>
  <c r="J265" i="92"/>
  <c r="I265" i="92"/>
  <c r="H265" i="92"/>
  <c r="G265" i="92"/>
  <c r="F265" i="92"/>
  <c r="E265" i="92"/>
  <c r="D265" i="92"/>
  <c r="C265" i="92"/>
  <c r="B265" i="92"/>
  <c r="N264" i="92"/>
  <c r="M264" i="92"/>
  <c r="L264" i="92"/>
  <c r="K264" i="92"/>
  <c r="J264" i="92"/>
  <c r="I264" i="92"/>
  <c r="H264" i="92"/>
  <c r="G264" i="92"/>
  <c r="F264" i="92"/>
  <c r="E264" i="92"/>
  <c r="D264" i="92"/>
  <c r="C264" i="92"/>
  <c r="B264" i="92"/>
  <c r="AB263" i="92"/>
  <c r="AA263" i="92"/>
  <c r="Z263" i="92"/>
  <c r="Y263" i="92"/>
  <c r="X263" i="92"/>
  <c r="W263" i="92"/>
  <c r="V263" i="92"/>
  <c r="U263" i="92"/>
  <c r="T263" i="92"/>
  <c r="S263" i="92"/>
  <c r="R263" i="92"/>
  <c r="Q263" i="92"/>
  <c r="N263" i="92"/>
  <c r="M263" i="92"/>
  <c r="L263" i="92"/>
  <c r="K263" i="92"/>
  <c r="J263" i="92"/>
  <c r="I263" i="92"/>
  <c r="H263" i="92"/>
  <c r="G263" i="92"/>
  <c r="F263" i="92"/>
  <c r="E263" i="92"/>
  <c r="D263" i="92"/>
  <c r="C263" i="92"/>
  <c r="B263" i="92"/>
  <c r="AB262" i="92"/>
  <c r="AA262" i="92"/>
  <c r="Z262" i="92"/>
  <c r="Y262" i="92"/>
  <c r="X262" i="92"/>
  <c r="W262" i="92"/>
  <c r="V262" i="92"/>
  <c r="U262" i="92"/>
  <c r="T262" i="92"/>
  <c r="S262" i="92"/>
  <c r="R262" i="92"/>
  <c r="Q262" i="92"/>
  <c r="N262" i="92"/>
  <c r="M262" i="92"/>
  <c r="L262" i="92"/>
  <c r="K262" i="92"/>
  <c r="J262" i="92"/>
  <c r="I262" i="92"/>
  <c r="H262" i="92"/>
  <c r="G262" i="92"/>
  <c r="F262" i="92"/>
  <c r="E262" i="92"/>
  <c r="D262" i="92"/>
  <c r="C262" i="92"/>
  <c r="B262" i="92"/>
  <c r="AB261" i="92"/>
  <c r="AA261" i="92"/>
  <c r="Z261" i="92"/>
  <c r="Y261" i="92"/>
  <c r="X261" i="92"/>
  <c r="W261" i="92"/>
  <c r="V261" i="92"/>
  <c r="U261" i="92"/>
  <c r="T261" i="92"/>
  <c r="S261" i="92"/>
  <c r="R261" i="92"/>
  <c r="Q261" i="92"/>
  <c r="N261" i="92"/>
  <c r="M261" i="92"/>
  <c r="L261" i="92"/>
  <c r="K261" i="92"/>
  <c r="J261" i="92"/>
  <c r="I261" i="92"/>
  <c r="H261" i="92"/>
  <c r="G261" i="92"/>
  <c r="F261" i="92"/>
  <c r="E261" i="92"/>
  <c r="D261" i="92"/>
  <c r="C261" i="92"/>
  <c r="B261" i="92"/>
  <c r="AB260" i="92"/>
  <c r="AA260" i="92"/>
  <c r="Z260" i="92"/>
  <c r="Y260" i="92"/>
  <c r="X260" i="92"/>
  <c r="W260" i="92"/>
  <c r="V260" i="92"/>
  <c r="U260" i="92"/>
  <c r="T260" i="92"/>
  <c r="S260" i="92"/>
  <c r="R260" i="92"/>
  <c r="Q260" i="92"/>
  <c r="N260" i="92"/>
  <c r="M260" i="92"/>
  <c r="L260" i="92"/>
  <c r="K260" i="92"/>
  <c r="J260" i="92"/>
  <c r="I260" i="92"/>
  <c r="H260" i="92"/>
  <c r="G260" i="92"/>
  <c r="F260" i="92"/>
  <c r="E260" i="92"/>
  <c r="D260" i="92"/>
  <c r="C260" i="92"/>
  <c r="B260" i="92"/>
  <c r="N259" i="92"/>
  <c r="M259" i="92"/>
  <c r="L259" i="92"/>
  <c r="K259" i="92"/>
  <c r="J259" i="92"/>
  <c r="I259" i="92"/>
  <c r="H259" i="92"/>
  <c r="G259" i="92"/>
  <c r="F259" i="92"/>
  <c r="E259" i="92"/>
  <c r="D259" i="92"/>
  <c r="C259" i="92"/>
  <c r="B259" i="92"/>
  <c r="N258" i="92"/>
  <c r="M258" i="92"/>
  <c r="L258" i="92"/>
  <c r="K258" i="92"/>
  <c r="J258" i="92"/>
  <c r="I258" i="92"/>
  <c r="H258" i="92"/>
  <c r="G258" i="92"/>
  <c r="F258" i="92"/>
  <c r="E258" i="92"/>
  <c r="D258" i="92"/>
  <c r="C258" i="92"/>
  <c r="O254" i="92"/>
  <c r="N254" i="92"/>
  <c r="M254" i="92"/>
  <c r="L254" i="92"/>
  <c r="K254" i="92"/>
  <c r="J254" i="92"/>
  <c r="I254" i="92"/>
  <c r="H254" i="92"/>
  <c r="G254" i="92"/>
  <c r="F254" i="92"/>
  <c r="E254" i="92"/>
  <c r="D254" i="92"/>
  <c r="C254" i="92"/>
  <c r="A254" i="92"/>
  <c r="N253" i="92"/>
  <c r="M253" i="92"/>
  <c r="L253" i="92"/>
  <c r="K253" i="92"/>
  <c r="J253" i="92"/>
  <c r="I253" i="92"/>
  <c r="H253" i="92"/>
  <c r="G253" i="92"/>
  <c r="F253" i="92"/>
  <c r="E253" i="92"/>
  <c r="D253" i="92"/>
  <c r="C253" i="92"/>
  <c r="N252" i="92"/>
  <c r="M252" i="92"/>
  <c r="L252" i="92"/>
  <c r="K252" i="92"/>
  <c r="J252" i="92"/>
  <c r="I252" i="92"/>
  <c r="H252" i="92"/>
  <c r="G252" i="92"/>
  <c r="F252" i="92"/>
  <c r="E252" i="92"/>
  <c r="D252" i="92"/>
  <c r="C252" i="92"/>
  <c r="B252" i="92"/>
  <c r="N251" i="92"/>
  <c r="M251" i="92"/>
  <c r="L251" i="92"/>
  <c r="K251" i="92"/>
  <c r="J251" i="92"/>
  <c r="I251" i="92"/>
  <c r="H251" i="92"/>
  <c r="G251" i="92"/>
  <c r="F251" i="92"/>
  <c r="E251" i="92"/>
  <c r="D251" i="92"/>
  <c r="C251" i="92"/>
  <c r="B251" i="92"/>
  <c r="N250" i="92"/>
  <c r="M250" i="92"/>
  <c r="L250" i="92"/>
  <c r="K250" i="92"/>
  <c r="J250" i="92"/>
  <c r="I250" i="92"/>
  <c r="H250" i="92"/>
  <c r="G250" i="92"/>
  <c r="F250" i="92"/>
  <c r="E250" i="92"/>
  <c r="D250" i="92"/>
  <c r="C250" i="92"/>
  <c r="B250" i="92"/>
  <c r="N249" i="92"/>
  <c r="M249" i="92"/>
  <c r="L249" i="92"/>
  <c r="K249" i="92"/>
  <c r="J249" i="92"/>
  <c r="I249" i="92"/>
  <c r="H249" i="92"/>
  <c r="G249" i="92"/>
  <c r="F249" i="92"/>
  <c r="E249" i="92"/>
  <c r="D249" i="92"/>
  <c r="C249" i="92"/>
  <c r="B249" i="92"/>
  <c r="N248" i="92"/>
  <c r="M248" i="92"/>
  <c r="L248" i="92"/>
  <c r="K248" i="92"/>
  <c r="J248" i="92"/>
  <c r="I248" i="92"/>
  <c r="H248" i="92"/>
  <c r="G248" i="92"/>
  <c r="F248" i="92"/>
  <c r="E248" i="92"/>
  <c r="D248" i="92"/>
  <c r="C248" i="92"/>
  <c r="B248" i="92"/>
  <c r="N247" i="92"/>
  <c r="M247" i="92"/>
  <c r="L247" i="92"/>
  <c r="K247" i="92"/>
  <c r="J247" i="92"/>
  <c r="I247" i="92"/>
  <c r="H247" i="92"/>
  <c r="G247" i="92"/>
  <c r="F247" i="92"/>
  <c r="E247" i="92"/>
  <c r="D247" i="92"/>
  <c r="C247" i="92"/>
  <c r="B247" i="92"/>
  <c r="N246" i="92"/>
  <c r="M246" i="92"/>
  <c r="L246" i="92"/>
  <c r="K246" i="92"/>
  <c r="J246" i="92"/>
  <c r="I246" i="92"/>
  <c r="H246" i="92"/>
  <c r="G246" i="92"/>
  <c r="F246" i="92"/>
  <c r="E246" i="92"/>
  <c r="D246" i="92"/>
  <c r="C246" i="92"/>
  <c r="B246" i="92"/>
  <c r="N245" i="92"/>
  <c r="M245" i="92"/>
  <c r="L245" i="92"/>
  <c r="K245" i="92"/>
  <c r="J245" i="92"/>
  <c r="I245" i="92"/>
  <c r="H245" i="92"/>
  <c r="G245" i="92"/>
  <c r="F245" i="92"/>
  <c r="E245" i="92"/>
  <c r="D245" i="92"/>
  <c r="C245" i="92"/>
  <c r="B245" i="92"/>
  <c r="N244" i="92"/>
  <c r="M244" i="92"/>
  <c r="L244" i="92"/>
  <c r="K244" i="92"/>
  <c r="J244" i="92"/>
  <c r="I244" i="92"/>
  <c r="H244" i="92"/>
  <c r="G244" i="92"/>
  <c r="F244" i="92"/>
  <c r="E244" i="92"/>
  <c r="D244" i="92"/>
  <c r="C244" i="92"/>
  <c r="B244" i="92"/>
  <c r="N243" i="92"/>
  <c r="M243" i="92"/>
  <c r="L243" i="92"/>
  <c r="K243" i="92"/>
  <c r="J243" i="92"/>
  <c r="I243" i="92"/>
  <c r="H243" i="92"/>
  <c r="G243" i="92"/>
  <c r="F243" i="92"/>
  <c r="E243" i="92"/>
  <c r="D243" i="92"/>
  <c r="C243" i="92"/>
  <c r="B243" i="92"/>
  <c r="N242" i="92"/>
  <c r="M242" i="92"/>
  <c r="L242" i="92"/>
  <c r="K242" i="92"/>
  <c r="J242" i="92"/>
  <c r="I242" i="92"/>
  <c r="H242" i="92"/>
  <c r="G242" i="92"/>
  <c r="F242" i="92"/>
  <c r="E242" i="92"/>
  <c r="D242" i="92"/>
  <c r="C242" i="92"/>
  <c r="B242" i="92"/>
  <c r="N241" i="92"/>
  <c r="M241" i="92"/>
  <c r="L241" i="92"/>
  <c r="K241" i="92"/>
  <c r="J241" i="92"/>
  <c r="I241" i="92"/>
  <c r="H241" i="92"/>
  <c r="G241" i="92"/>
  <c r="F241" i="92"/>
  <c r="E241" i="92"/>
  <c r="D241" i="92"/>
  <c r="C241" i="92"/>
  <c r="B241" i="92"/>
  <c r="N240" i="92"/>
  <c r="M240" i="92"/>
  <c r="L240" i="92"/>
  <c r="K240" i="92"/>
  <c r="J240" i="92"/>
  <c r="I240" i="92"/>
  <c r="H240" i="92"/>
  <c r="G240" i="92"/>
  <c r="F240" i="92"/>
  <c r="E240" i="92"/>
  <c r="D240" i="92"/>
  <c r="C240" i="92"/>
  <c r="B240" i="92"/>
  <c r="N239" i="92"/>
  <c r="M239" i="92"/>
  <c r="L239" i="92"/>
  <c r="K239" i="92"/>
  <c r="J239" i="92"/>
  <c r="I239" i="92"/>
  <c r="H239" i="92"/>
  <c r="G239" i="92"/>
  <c r="F239" i="92"/>
  <c r="E239" i="92"/>
  <c r="D239" i="92"/>
  <c r="C239" i="92"/>
  <c r="B239" i="92"/>
  <c r="N238" i="92"/>
  <c r="M238" i="92"/>
  <c r="L238" i="92"/>
  <c r="K238" i="92"/>
  <c r="J238" i="92"/>
  <c r="I238" i="92"/>
  <c r="H238" i="92"/>
  <c r="G238" i="92"/>
  <c r="F238" i="92"/>
  <c r="E238" i="92"/>
  <c r="D238" i="92"/>
  <c r="C238" i="92"/>
  <c r="B238" i="92"/>
  <c r="N237" i="92"/>
  <c r="M237" i="92"/>
  <c r="L237" i="92"/>
  <c r="K237" i="92"/>
  <c r="J237" i="92"/>
  <c r="I237" i="92"/>
  <c r="H237" i="92"/>
  <c r="G237" i="92"/>
  <c r="F237" i="92"/>
  <c r="E237" i="92"/>
  <c r="D237" i="92"/>
  <c r="C237" i="92"/>
  <c r="B237" i="92"/>
  <c r="N236" i="92"/>
  <c r="M236" i="92"/>
  <c r="L236" i="92"/>
  <c r="K236" i="92"/>
  <c r="J236" i="92"/>
  <c r="I236" i="92"/>
  <c r="H236" i="92"/>
  <c r="G236" i="92"/>
  <c r="F236" i="92"/>
  <c r="E236" i="92"/>
  <c r="D236" i="92"/>
  <c r="C236" i="92"/>
  <c r="B236" i="92"/>
  <c r="N235" i="92"/>
  <c r="M235" i="92"/>
  <c r="L235" i="92"/>
  <c r="K235" i="92"/>
  <c r="J235" i="92"/>
  <c r="I235" i="92"/>
  <c r="H235" i="92"/>
  <c r="G235" i="92"/>
  <c r="F235" i="92"/>
  <c r="E235" i="92"/>
  <c r="D235" i="92"/>
  <c r="C235" i="92"/>
  <c r="B235" i="92"/>
  <c r="N234" i="92"/>
  <c r="M234" i="92"/>
  <c r="L234" i="92"/>
  <c r="K234" i="92"/>
  <c r="J234" i="92"/>
  <c r="I234" i="92"/>
  <c r="H234" i="92"/>
  <c r="G234" i="92"/>
  <c r="F234" i="92"/>
  <c r="E234" i="92"/>
  <c r="D234" i="92"/>
  <c r="C234" i="92"/>
  <c r="B234" i="92"/>
  <c r="N233" i="92"/>
  <c r="M233" i="92"/>
  <c r="L233" i="92"/>
  <c r="K233" i="92"/>
  <c r="J233" i="92"/>
  <c r="I233" i="92"/>
  <c r="H233" i="92"/>
  <c r="G233" i="92"/>
  <c r="F233" i="92"/>
  <c r="E233" i="92"/>
  <c r="D233" i="92"/>
  <c r="C233" i="92"/>
  <c r="N227" i="92"/>
  <c r="M227" i="92"/>
  <c r="L227" i="92"/>
  <c r="K227" i="92"/>
  <c r="J227" i="92"/>
  <c r="I227" i="92"/>
  <c r="H227" i="92"/>
  <c r="G227" i="92"/>
  <c r="F227" i="92"/>
  <c r="E227" i="92"/>
  <c r="D227" i="92"/>
  <c r="C227" i="92"/>
  <c r="A227" i="92"/>
  <c r="O226" i="92"/>
  <c r="N226" i="92"/>
  <c r="M226" i="92"/>
  <c r="L226" i="92"/>
  <c r="K226" i="92"/>
  <c r="J226" i="92"/>
  <c r="I226" i="92"/>
  <c r="H226" i="92"/>
  <c r="G226" i="92"/>
  <c r="F226" i="92"/>
  <c r="E226" i="92"/>
  <c r="D226" i="92"/>
  <c r="C226" i="92"/>
  <c r="A226" i="92"/>
  <c r="N225" i="92"/>
  <c r="M225" i="92"/>
  <c r="L225" i="92"/>
  <c r="K225" i="92"/>
  <c r="J225" i="92"/>
  <c r="I225" i="92"/>
  <c r="H225" i="92"/>
  <c r="G225" i="92"/>
  <c r="F225" i="92"/>
  <c r="E225" i="92"/>
  <c r="D225" i="92"/>
  <c r="C225" i="92"/>
  <c r="B225" i="92"/>
  <c r="AB224" i="92"/>
  <c r="AA224" i="92"/>
  <c r="Z224" i="92"/>
  <c r="Y224" i="92"/>
  <c r="X224" i="92"/>
  <c r="W224" i="92"/>
  <c r="V224" i="92"/>
  <c r="U224" i="92"/>
  <c r="T224" i="92"/>
  <c r="S224" i="92"/>
  <c r="R224" i="92"/>
  <c r="Q224" i="92"/>
  <c r="N224" i="92"/>
  <c r="M224" i="92"/>
  <c r="L224" i="92"/>
  <c r="K224" i="92"/>
  <c r="J224" i="92"/>
  <c r="I224" i="92"/>
  <c r="H224" i="92"/>
  <c r="G224" i="92"/>
  <c r="F224" i="92"/>
  <c r="E224" i="92"/>
  <c r="D224" i="92"/>
  <c r="C224" i="92"/>
  <c r="B224" i="92"/>
  <c r="AB223" i="92"/>
  <c r="AA223" i="92"/>
  <c r="Z223" i="92"/>
  <c r="Y223" i="92"/>
  <c r="X223" i="92"/>
  <c r="W223" i="92"/>
  <c r="V223" i="92"/>
  <c r="U223" i="92"/>
  <c r="T223" i="92"/>
  <c r="S223" i="92"/>
  <c r="R223" i="92"/>
  <c r="Q223" i="92"/>
  <c r="N223" i="92"/>
  <c r="M223" i="92"/>
  <c r="L223" i="92"/>
  <c r="K223" i="92"/>
  <c r="J223" i="92"/>
  <c r="I223" i="92"/>
  <c r="H223" i="92"/>
  <c r="G223" i="92"/>
  <c r="F223" i="92"/>
  <c r="E223" i="92"/>
  <c r="D223" i="92"/>
  <c r="C223" i="92"/>
  <c r="B223" i="92"/>
  <c r="N222" i="92"/>
  <c r="M222" i="92"/>
  <c r="L222" i="92"/>
  <c r="K222" i="92"/>
  <c r="J222" i="92"/>
  <c r="I222" i="92"/>
  <c r="H222" i="92"/>
  <c r="G222" i="92"/>
  <c r="F222" i="92"/>
  <c r="E222" i="92"/>
  <c r="D222" i="92"/>
  <c r="C222" i="92"/>
  <c r="B222" i="92"/>
  <c r="N221" i="92"/>
  <c r="M221" i="92"/>
  <c r="L221" i="92"/>
  <c r="K221" i="92"/>
  <c r="J221" i="92"/>
  <c r="I221" i="92"/>
  <c r="H221" i="92"/>
  <c r="G221" i="92"/>
  <c r="F221" i="92"/>
  <c r="E221" i="92"/>
  <c r="D221" i="92"/>
  <c r="C221" i="92"/>
  <c r="B221" i="92"/>
  <c r="N220" i="92"/>
  <c r="M220" i="92"/>
  <c r="L220" i="92"/>
  <c r="K220" i="92"/>
  <c r="J220" i="92"/>
  <c r="I220" i="92"/>
  <c r="H220" i="92"/>
  <c r="G220" i="92"/>
  <c r="F220" i="92"/>
  <c r="E220" i="92"/>
  <c r="D220" i="92"/>
  <c r="C220" i="92"/>
  <c r="B220" i="92"/>
  <c r="AB219" i="92"/>
  <c r="AA219" i="92"/>
  <c r="Z219" i="92"/>
  <c r="Y219" i="92"/>
  <c r="X219" i="92"/>
  <c r="W219" i="92"/>
  <c r="V219" i="92"/>
  <c r="U219" i="92"/>
  <c r="T219" i="92"/>
  <c r="S219" i="92"/>
  <c r="R219" i="92"/>
  <c r="Q219" i="92"/>
  <c r="N219" i="92"/>
  <c r="M219" i="92"/>
  <c r="L219" i="92"/>
  <c r="K219" i="92"/>
  <c r="J219" i="92"/>
  <c r="I219" i="92"/>
  <c r="H219" i="92"/>
  <c r="G219" i="92"/>
  <c r="F219" i="92"/>
  <c r="E219" i="92"/>
  <c r="D219" i="92"/>
  <c r="C219" i="92"/>
  <c r="B219" i="92"/>
  <c r="AB218" i="92"/>
  <c r="AA218" i="92"/>
  <c r="Z218" i="92"/>
  <c r="Y218" i="92"/>
  <c r="X218" i="92"/>
  <c r="W218" i="92"/>
  <c r="V218" i="92"/>
  <c r="U218" i="92"/>
  <c r="T218" i="92"/>
  <c r="S218" i="92"/>
  <c r="R218" i="92"/>
  <c r="Q218" i="92"/>
  <c r="N218" i="92"/>
  <c r="M218" i="92"/>
  <c r="L218" i="92"/>
  <c r="K218" i="92"/>
  <c r="J218" i="92"/>
  <c r="I218" i="92"/>
  <c r="H218" i="92"/>
  <c r="G218" i="92"/>
  <c r="F218" i="92"/>
  <c r="E218" i="92"/>
  <c r="D218" i="92"/>
  <c r="C218" i="92"/>
  <c r="B218" i="92"/>
  <c r="N217" i="92"/>
  <c r="M217" i="92"/>
  <c r="L217" i="92"/>
  <c r="K217" i="92"/>
  <c r="J217" i="92"/>
  <c r="I217" i="92"/>
  <c r="H217" i="92"/>
  <c r="G217" i="92"/>
  <c r="F217" i="92"/>
  <c r="E217" i="92"/>
  <c r="D217" i="92"/>
  <c r="C217" i="92"/>
  <c r="B217" i="92"/>
  <c r="N216" i="92"/>
  <c r="M216" i="92"/>
  <c r="L216" i="92"/>
  <c r="K216" i="92"/>
  <c r="J216" i="92"/>
  <c r="I216" i="92"/>
  <c r="H216" i="92"/>
  <c r="G216" i="92"/>
  <c r="F216" i="92"/>
  <c r="E216" i="92"/>
  <c r="D216" i="92"/>
  <c r="C216" i="92"/>
  <c r="B216" i="92"/>
  <c r="AB215" i="92"/>
  <c r="AA215" i="92"/>
  <c r="Z215" i="92"/>
  <c r="Y215" i="92"/>
  <c r="X215" i="92"/>
  <c r="W215" i="92"/>
  <c r="V215" i="92"/>
  <c r="U215" i="92"/>
  <c r="T215" i="92"/>
  <c r="S215" i="92"/>
  <c r="R215" i="92"/>
  <c r="Q215" i="92"/>
  <c r="N215" i="92"/>
  <c r="M215" i="92"/>
  <c r="L215" i="92"/>
  <c r="K215" i="92"/>
  <c r="J215" i="92"/>
  <c r="I215" i="92"/>
  <c r="H215" i="92"/>
  <c r="G215" i="92"/>
  <c r="F215" i="92"/>
  <c r="E215" i="92"/>
  <c r="D215" i="92"/>
  <c r="C215" i="92"/>
  <c r="B215" i="92"/>
  <c r="AB214" i="92"/>
  <c r="AA214" i="92"/>
  <c r="Z214" i="92"/>
  <c r="Y214" i="92"/>
  <c r="X214" i="92"/>
  <c r="W214" i="92"/>
  <c r="V214" i="92"/>
  <c r="U214" i="92"/>
  <c r="T214" i="92"/>
  <c r="S214" i="92"/>
  <c r="R214" i="92"/>
  <c r="Q214" i="92"/>
  <c r="N214" i="92"/>
  <c r="M214" i="92"/>
  <c r="L214" i="92"/>
  <c r="K214" i="92"/>
  <c r="J214" i="92"/>
  <c r="I214" i="92"/>
  <c r="H214" i="92"/>
  <c r="G214" i="92"/>
  <c r="F214" i="92"/>
  <c r="E214" i="92"/>
  <c r="D214" i="92"/>
  <c r="C214" i="92"/>
  <c r="B214" i="92"/>
  <c r="N213" i="92"/>
  <c r="M213" i="92"/>
  <c r="L213" i="92"/>
  <c r="K213" i="92"/>
  <c r="J213" i="92"/>
  <c r="I213" i="92"/>
  <c r="H213" i="92"/>
  <c r="G213" i="92"/>
  <c r="F213" i="92"/>
  <c r="E213" i="92"/>
  <c r="D213" i="92"/>
  <c r="C213" i="92"/>
  <c r="B213" i="92"/>
  <c r="N212" i="92"/>
  <c r="M212" i="92"/>
  <c r="L212" i="92"/>
  <c r="K212" i="92"/>
  <c r="J212" i="92"/>
  <c r="I212" i="92"/>
  <c r="H212" i="92"/>
  <c r="G212" i="92"/>
  <c r="F212" i="92"/>
  <c r="E212" i="92"/>
  <c r="D212" i="92"/>
  <c r="C212" i="92"/>
  <c r="B212" i="92"/>
  <c r="N211" i="92"/>
  <c r="M211" i="92"/>
  <c r="L211" i="92"/>
  <c r="K211" i="92"/>
  <c r="J211" i="92"/>
  <c r="I211" i="92"/>
  <c r="H211" i="92"/>
  <c r="G211" i="92"/>
  <c r="F211" i="92"/>
  <c r="E211" i="92"/>
  <c r="D211" i="92"/>
  <c r="C211" i="92"/>
  <c r="B211" i="92"/>
  <c r="AB210" i="92"/>
  <c r="AA210" i="92"/>
  <c r="Z210" i="92"/>
  <c r="Y210" i="92"/>
  <c r="X210" i="92"/>
  <c r="W210" i="92"/>
  <c r="V210" i="92"/>
  <c r="U210" i="92"/>
  <c r="T210" i="92"/>
  <c r="S210" i="92"/>
  <c r="R210" i="92"/>
  <c r="Q210" i="92"/>
  <c r="N210" i="92"/>
  <c r="M210" i="92"/>
  <c r="L210" i="92"/>
  <c r="K210" i="92"/>
  <c r="J210" i="92"/>
  <c r="I210" i="92"/>
  <c r="H210" i="92"/>
  <c r="G210" i="92"/>
  <c r="F210" i="92"/>
  <c r="E210" i="92"/>
  <c r="D210" i="92"/>
  <c r="C210" i="92"/>
  <c r="B210" i="92"/>
  <c r="AB209" i="92"/>
  <c r="AA209" i="92"/>
  <c r="Z209" i="92"/>
  <c r="Y209" i="92"/>
  <c r="X209" i="92"/>
  <c r="W209" i="92"/>
  <c r="V209" i="92"/>
  <c r="U209" i="92"/>
  <c r="T209" i="92"/>
  <c r="S209" i="92"/>
  <c r="R209" i="92"/>
  <c r="Q209" i="92"/>
  <c r="N209" i="92"/>
  <c r="M209" i="92"/>
  <c r="L209" i="92"/>
  <c r="K209" i="92"/>
  <c r="J209" i="92"/>
  <c r="I209" i="92"/>
  <c r="H209" i="92"/>
  <c r="G209" i="92"/>
  <c r="F209" i="92"/>
  <c r="E209" i="92"/>
  <c r="D209" i="92"/>
  <c r="C209" i="92"/>
  <c r="B209" i="92"/>
  <c r="AB208" i="92"/>
  <c r="AA208" i="92"/>
  <c r="Z208" i="92"/>
  <c r="Y208" i="92"/>
  <c r="X208" i="92"/>
  <c r="W208" i="92"/>
  <c r="V208" i="92"/>
  <c r="U208" i="92"/>
  <c r="T208" i="92"/>
  <c r="S208" i="92"/>
  <c r="R208" i="92"/>
  <c r="Q208" i="92"/>
  <c r="N208" i="92"/>
  <c r="M208" i="92"/>
  <c r="L208" i="92"/>
  <c r="K208" i="92"/>
  <c r="J208" i="92"/>
  <c r="I208" i="92"/>
  <c r="H208" i="92"/>
  <c r="G208" i="92"/>
  <c r="F208" i="92"/>
  <c r="E208" i="92"/>
  <c r="D208" i="92"/>
  <c r="C208" i="92"/>
  <c r="B208" i="92"/>
  <c r="AB207" i="92"/>
  <c r="AA207" i="92"/>
  <c r="Z207" i="92"/>
  <c r="Y207" i="92"/>
  <c r="X207" i="92"/>
  <c r="W207" i="92"/>
  <c r="V207" i="92"/>
  <c r="U207" i="92"/>
  <c r="T207" i="92"/>
  <c r="S207" i="92"/>
  <c r="R207" i="92"/>
  <c r="Q207" i="92"/>
  <c r="N207" i="92"/>
  <c r="M207" i="92"/>
  <c r="L207" i="92"/>
  <c r="K207" i="92"/>
  <c r="J207" i="92"/>
  <c r="I207" i="92"/>
  <c r="H207" i="92"/>
  <c r="G207" i="92"/>
  <c r="F207" i="92"/>
  <c r="E207" i="92"/>
  <c r="D207" i="92"/>
  <c r="C207" i="92"/>
  <c r="B207" i="92"/>
  <c r="N206" i="92"/>
  <c r="M206" i="92"/>
  <c r="L206" i="92"/>
  <c r="K206" i="92"/>
  <c r="J206" i="92"/>
  <c r="I206" i="92"/>
  <c r="H206" i="92"/>
  <c r="G206" i="92"/>
  <c r="F206" i="92"/>
  <c r="E206" i="92"/>
  <c r="D206" i="92"/>
  <c r="C206" i="92"/>
  <c r="B206" i="92"/>
  <c r="N205" i="92"/>
  <c r="M205" i="92"/>
  <c r="L205" i="92"/>
  <c r="K205" i="92"/>
  <c r="J205" i="92"/>
  <c r="I205" i="92"/>
  <c r="H205" i="92"/>
  <c r="G205" i="92"/>
  <c r="F205" i="92"/>
  <c r="E205" i="92"/>
  <c r="D205" i="92"/>
  <c r="C205" i="92"/>
  <c r="O201" i="92"/>
  <c r="N201" i="92"/>
  <c r="M201" i="92"/>
  <c r="L201" i="92"/>
  <c r="K201" i="92"/>
  <c r="J201" i="92"/>
  <c r="I201" i="92"/>
  <c r="H201" i="92"/>
  <c r="G201" i="92"/>
  <c r="F201" i="92"/>
  <c r="E201" i="92"/>
  <c r="D201" i="92"/>
  <c r="C201" i="92"/>
  <c r="A201" i="92"/>
  <c r="N200" i="92"/>
  <c r="M200" i="92"/>
  <c r="L200" i="92"/>
  <c r="K200" i="92"/>
  <c r="J200" i="92"/>
  <c r="I200" i="92"/>
  <c r="H200" i="92"/>
  <c r="G200" i="92"/>
  <c r="F200" i="92"/>
  <c r="E200" i="92"/>
  <c r="D200" i="92"/>
  <c r="C200" i="92"/>
  <c r="B200" i="92"/>
  <c r="N199" i="92"/>
  <c r="M199" i="92"/>
  <c r="L199" i="92"/>
  <c r="K199" i="92"/>
  <c r="J199" i="92"/>
  <c r="I199" i="92"/>
  <c r="H199" i="92"/>
  <c r="G199" i="92"/>
  <c r="F199" i="92"/>
  <c r="E199" i="92"/>
  <c r="D199" i="92"/>
  <c r="C199" i="92"/>
  <c r="B199" i="92"/>
  <c r="N198" i="92"/>
  <c r="M198" i="92"/>
  <c r="L198" i="92"/>
  <c r="K198" i="92"/>
  <c r="J198" i="92"/>
  <c r="I198" i="92"/>
  <c r="H198" i="92"/>
  <c r="G198" i="92"/>
  <c r="F198" i="92"/>
  <c r="E198" i="92"/>
  <c r="D198" i="92"/>
  <c r="C198" i="92"/>
  <c r="B198" i="92"/>
  <c r="N197" i="92"/>
  <c r="M197" i="92"/>
  <c r="L197" i="92"/>
  <c r="K197" i="92"/>
  <c r="J197" i="92"/>
  <c r="I197" i="92"/>
  <c r="H197" i="92"/>
  <c r="G197" i="92"/>
  <c r="F197" i="92"/>
  <c r="E197" i="92"/>
  <c r="D197" i="92"/>
  <c r="C197" i="92"/>
  <c r="B197" i="92"/>
  <c r="N196" i="92"/>
  <c r="M196" i="92"/>
  <c r="L196" i="92"/>
  <c r="K196" i="92"/>
  <c r="J196" i="92"/>
  <c r="I196" i="92"/>
  <c r="H196" i="92"/>
  <c r="G196" i="92"/>
  <c r="F196" i="92"/>
  <c r="E196" i="92"/>
  <c r="D196" i="92"/>
  <c r="C196" i="92"/>
  <c r="B196" i="92"/>
  <c r="N195" i="92"/>
  <c r="M195" i="92"/>
  <c r="L195" i="92"/>
  <c r="K195" i="92"/>
  <c r="J195" i="92"/>
  <c r="I195" i="92"/>
  <c r="H195" i="92"/>
  <c r="G195" i="92"/>
  <c r="F195" i="92"/>
  <c r="E195" i="92"/>
  <c r="D195" i="92"/>
  <c r="C195" i="92"/>
  <c r="B195" i="92"/>
  <c r="N194" i="92"/>
  <c r="M194" i="92"/>
  <c r="L194" i="92"/>
  <c r="K194" i="92"/>
  <c r="J194" i="92"/>
  <c r="I194" i="92"/>
  <c r="H194" i="92"/>
  <c r="G194" i="92"/>
  <c r="F194" i="92"/>
  <c r="E194" i="92"/>
  <c r="D194" i="92"/>
  <c r="C194" i="92"/>
  <c r="B194" i="92"/>
  <c r="N193" i="92"/>
  <c r="M193" i="92"/>
  <c r="L193" i="92"/>
  <c r="K193" i="92"/>
  <c r="J193" i="92"/>
  <c r="I193" i="92"/>
  <c r="H193" i="92"/>
  <c r="G193" i="92"/>
  <c r="F193" i="92"/>
  <c r="E193" i="92"/>
  <c r="D193" i="92"/>
  <c r="C193" i="92"/>
  <c r="B193" i="92"/>
  <c r="N192" i="92"/>
  <c r="M192" i="92"/>
  <c r="L192" i="92"/>
  <c r="K192" i="92"/>
  <c r="J192" i="92"/>
  <c r="I192" i="92"/>
  <c r="H192" i="92"/>
  <c r="G192" i="92"/>
  <c r="F192" i="92"/>
  <c r="E192" i="92"/>
  <c r="D192" i="92"/>
  <c r="C192" i="92"/>
  <c r="B192" i="92"/>
  <c r="N191" i="92"/>
  <c r="M191" i="92"/>
  <c r="L191" i="92"/>
  <c r="K191" i="92"/>
  <c r="J191" i="92"/>
  <c r="I191" i="92"/>
  <c r="H191" i="92"/>
  <c r="G191" i="92"/>
  <c r="F191" i="92"/>
  <c r="E191" i="92"/>
  <c r="D191" i="92"/>
  <c r="C191" i="92"/>
  <c r="B191" i="92"/>
  <c r="N190" i="92"/>
  <c r="M190" i="92"/>
  <c r="L190" i="92"/>
  <c r="K190" i="92"/>
  <c r="J190" i="92"/>
  <c r="I190" i="92"/>
  <c r="H190" i="92"/>
  <c r="G190" i="92"/>
  <c r="F190" i="92"/>
  <c r="E190" i="92"/>
  <c r="D190" i="92"/>
  <c r="C190" i="92"/>
  <c r="B190" i="92"/>
  <c r="N189" i="92"/>
  <c r="M189" i="92"/>
  <c r="L189" i="92"/>
  <c r="K189" i="92"/>
  <c r="J189" i="92"/>
  <c r="I189" i="92"/>
  <c r="H189" i="92"/>
  <c r="G189" i="92"/>
  <c r="F189" i="92"/>
  <c r="E189" i="92"/>
  <c r="D189" i="92"/>
  <c r="C189" i="92"/>
  <c r="B189" i="92"/>
  <c r="N188" i="92"/>
  <c r="M188" i="92"/>
  <c r="L188" i="92"/>
  <c r="K188" i="92"/>
  <c r="J188" i="92"/>
  <c r="I188" i="92"/>
  <c r="H188" i="92"/>
  <c r="G188" i="92"/>
  <c r="F188" i="92"/>
  <c r="E188" i="92"/>
  <c r="D188" i="92"/>
  <c r="C188" i="92"/>
  <c r="B188" i="92"/>
  <c r="N187" i="92"/>
  <c r="M187" i="92"/>
  <c r="L187" i="92"/>
  <c r="K187" i="92"/>
  <c r="J187" i="92"/>
  <c r="I187" i="92"/>
  <c r="H187" i="92"/>
  <c r="G187" i="92"/>
  <c r="F187" i="92"/>
  <c r="E187" i="92"/>
  <c r="D187" i="92"/>
  <c r="C187" i="92"/>
  <c r="B187" i="92"/>
  <c r="N186" i="92"/>
  <c r="M186" i="92"/>
  <c r="L186" i="92"/>
  <c r="K186" i="92"/>
  <c r="J186" i="92"/>
  <c r="I186" i="92"/>
  <c r="H186" i="92"/>
  <c r="G186" i="92"/>
  <c r="F186" i="92"/>
  <c r="E186" i="92"/>
  <c r="D186" i="92"/>
  <c r="C186" i="92"/>
  <c r="B186" i="92"/>
  <c r="N185" i="92"/>
  <c r="M185" i="92"/>
  <c r="L185" i="92"/>
  <c r="K185" i="92"/>
  <c r="J185" i="92"/>
  <c r="I185" i="92"/>
  <c r="H185" i="92"/>
  <c r="G185" i="92"/>
  <c r="F185" i="92"/>
  <c r="E185" i="92"/>
  <c r="D185" i="92"/>
  <c r="C185" i="92"/>
  <c r="B185" i="92"/>
  <c r="N184" i="92"/>
  <c r="M184" i="92"/>
  <c r="L184" i="92"/>
  <c r="K184" i="92"/>
  <c r="J184" i="92"/>
  <c r="I184" i="92"/>
  <c r="H184" i="92"/>
  <c r="G184" i="92"/>
  <c r="F184" i="92"/>
  <c r="E184" i="92"/>
  <c r="D184" i="92"/>
  <c r="C184" i="92"/>
  <c r="B184" i="92"/>
  <c r="N183" i="92"/>
  <c r="M183" i="92"/>
  <c r="L183" i="92"/>
  <c r="K183" i="92"/>
  <c r="J183" i="92"/>
  <c r="I183" i="92"/>
  <c r="H183" i="92"/>
  <c r="G183" i="92"/>
  <c r="F183" i="92"/>
  <c r="E183" i="92"/>
  <c r="D183" i="92"/>
  <c r="C183" i="92"/>
  <c r="B183" i="92"/>
  <c r="N182" i="92"/>
  <c r="M182" i="92"/>
  <c r="L182" i="92"/>
  <c r="K182" i="92"/>
  <c r="J182" i="92"/>
  <c r="I182" i="92"/>
  <c r="H182" i="92"/>
  <c r="G182" i="92"/>
  <c r="F182" i="92"/>
  <c r="E182" i="92"/>
  <c r="D182" i="92"/>
  <c r="C182" i="92"/>
  <c r="B182" i="92"/>
  <c r="N181" i="92"/>
  <c r="M181" i="92"/>
  <c r="L181" i="92"/>
  <c r="K181" i="92"/>
  <c r="J181" i="92"/>
  <c r="I181" i="92"/>
  <c r="H181" i="92"/>
  <c r="G181" i="92"/>
  <c r="F181" i="92"/>
  <c r="E181" i="92"/>
  <c r="D181" i="92"/>
  <c r="C181" i="92"/>
  <c r="B181" i="92"/>
  <c r="N180" i="92"/>
  <c r="M180" i="92"/>
  <c r="L180" i="92"/>
  <c r="K180" i="92"/>
  <c r="J180" i="92"/>
  <c r="I180" i="92"/>
  <c r="H180" i="92"/>
  <c r="G180" i="92"/>
  <c r="F180" i="92"/>
  <c r="E180" i="92"/>
  <c r="D180" i="92"/>
  <c r="C180" i="92"/>
  <c r="J174" i="92"/>
  <c r="E174" i="92"/>
  <c r="D174" i="92"/>
  <c r="C174" i="92"/>
  <c r="J173" i="92"/>
  <c r="E173" i="92"/>
  <c r="D173" i="92"/>
  <c r="C173" i="92"/>
  <c r="J172" i="92"/>
  <c r="E172" i="92"/>
  <c r="D172" i="92"/>
  <c r="C172" i="92"/>
  <c r="J171" i="92"/>
  <c r="E171" i="92"/>
  <c r="D171" i="92"/>
  <c r="C171" i="92"/>
  <c r="J170" i="92"/>
  <c r="E170" i="92"/>
  <c r="D170" i="92"/>
  <c r="C170" i="92"/>
  <c r="J169" i="92"/>
  <c r="E169" i="92"/>
  <c r="D169" i="92"/>
  <c r="C169" i="92"/>
  <c r="J168" i="92"/>
  <c r="E168" i="92"/>
  <c r="D168" i="92"/>
  <c r="C168" i="92"/>
  <c r="J167" i="92"/>
  <c r="E167" i="92"/>
  <c r="D167" i="92"/>
  <c r="C167" i="92"/>
  <c r="J166" i="92"/>
  <c r="E166" i="92"/>
  <c r="D166" i="92"/>
  <c r="C166" i="92"/>
  <c r="E165" i="92"/>
  <c r="E164" i="92"/>
  <c r="J163" i="92"/>
  <c r="E163" i="92"/>
  <c r="D163" i="92"/>
  <c r="C163" i="92"/>
  <c r="J162" i="92"/>
  <c r="E162" i="92"/>
  <c r="D162" i="92"/>
  <c r="O158" i="92"/>
  <c r="N158" i="92"/>
  <c r="M158" i="92"/>
  <c r="L158" i="92"/>
  <c r="K158" i="92"/>
  <c r="J158" i="92"/>
  <c r="I158" i="92"/>
  <c r="H158" i="92"/>
  <c r="G158" i="92"/>
  <c r="F158" i="92"/>
  <c r="E158" i="92"/>
  <c r="D158" i="92"/>
  <c r="C158" i="92"/>
  <c r="A158" i="92"/>
  <c r="N157" i="92"/>
  <c r="M157" i="92"/>
  <c r="L157" i="92"/>
  <c r="K157" i="92"/>
  <c r="J157" i="92"/>
  <c r="I157" i="92"/>
  <c r="H157" i="92"/>
  <c r="G157" i="92"/>
  <c r="F157" i="92"/>
  <c r="E157" i="92"/>
  <c r="D157" i="92"/>
  <c r="N156" i="92"/>
  <c r="M156" i="92"/>
  <c r="L156" i="92"/>
  <c r="K156" i="92"/>
  <c r="J156" i="92"/>
  <c r="I156" i="92"/>
  <c r="H156" i="92"/>
  <c r="G156" i="92"/>
  <c r="F156" i="92"/>
  <c r="E156" i="92"/>
  <c r="D156" i="92"/>
  <c r="C156" i="92"/>
  <c r="B156" i="92"/>
  <c r="N155" i="92"/>
  <c r="M155" i="92"/>
  <c r="L155" i="92"/>
  <c r="K155" i="92"/>
  <c r="J155" i="92"/>
  <c r="I155" i="92"/>
  <c r="H155" i="92"/>
  <c r="G155" i="92"/>
  <c r="F155" i="92"/>
  <c r="E155" i="92"/>
  <c r="D155" i="92"/>
  <c r="C155" i="92"/>
  <c r="B155" i="92"/>
  <c r="N154" i="92"/>
  <c r="M154" i="92"/>
  <c r="L154" i="92"/>
  <c r="K154" i="92"/>
  <c r="J154" i="92"/>
  <c r="I154" i="92"/>
  <c r="H154" i="92"/>
  <c r="G154" i="92"/>
  <c r="F154" i="92"/>
  <c r="E154" i="92"/>
  <c r="D154" i="92"/>
  <c r="C154" i="92"/>
  <c r="B154" i="92"/>
  <c r="N153" i="92"/>
  <c r="M153" i="92"/>
  <c r="L153" i="92"/>
  <c r="K153" i="92"/>
  <c r="J153" i="92"/>
  <c r="I153" i="92"/>
  <c r="H153" i="92"/>
  <c r="G153" i="92"/>
  <c r="F153" i="92"/>
  <c r="E153" i="92"/>
  <c r="D153" i="92"/>
  <c r="C153" i="92"/>
  <c r="B153" i="92"/>
  <c r="N152" i="92"/>
  <c r="M152" i="92"/>
  <c r="L152" i="92"/>
  <c r="K152" i="92"/>
  <c r="J152" i="92"/>
  <c r="I152" i="92"/>
  <c r="H152" i="92"/>
  <c r="G152" i="92"/>
  <c r="F152" i="92"/>
  <c r="E152" i="92"/>
  <c r="D152" i="92"/>
  <c r="C152" i="92"/>
  <c r="B152" i="92"/>
  <c r="N151" i="92"/>
  <c r="M151" i="92"/>
  <c r="L151" i="92"/>
  <c r="K151" i="92"/>
  <c r="J151" i="92"/>
  <c r="I151" i="92"/>
  <c r="H151" i="92"/>
  <c r="G151" i="92"/>
  <c r="F151" i="92"/>
  <c r="E151" i="92"/>
  <c r="D151" i="92"/>
  <c r="C151" i="92"/>
  <c r="B151" i="92"/>
  <c r="N150" i="92"/>
  <c r="M150" i="92"/>
  <c r="L150" i="92"/>
  <c r="K150" i="92"/>
  <c r="J150" i="92"/>
  <c r="I150" i="92"/>
  <c r="H150" i="92"/>
  <c r="G150" i="92"/>
  <c r="F150" i="92"/>
  <c r="E150" i="92"/>
  <c r="D150" i="92"/>
  <c r="C150" i="92"/>
  <c r="B150" i="92"/>
  <c r="N149" i="92"/>
  <c r="M149" i="92"/>
  <c r="L149" i="92"/>
  <c r="K149" i="92"/>
  <c r="J149" i="92"/>
  <c r="I149" i="92"/>
  <c r="H149" i="92"/>
  <c r="G149" i="92"/>
  <c r="F149" i="92"/>
  <c r="E149" i="92"/>
  <c r="D149" i="92"/>
  <c r="C149" i="92"/>
  <c r="B149" i="92"/>
  <c r="N148" i="92"/>
  <c r="M148" i="92"/>
  <c r="L148" i="92"/>
  <c r="K148" i="92"/>
  <c r="J148" i="92"/>
  <c r="I148" i="92"/>
  <c r="H148" i="92"/>
  <c r="G148" i="92"/>
  <c r="F148" i="92"/>
  <c r="E148" i="92"/>
  <c r="D148" i="92"/>
  <c r="C148" i="92"/>
  <c r="B148" i="92"/>
  <c r="N147" i="92"/>
  <c r="M147" i="92"/>
  <c r="L147" i="92"/>
  <c r="K147" i="92"/>
  <c r="J147" i="92"/>
  <c r="I147" i="92"/>
  <c r="H147" i="92"/>
  <c r="G147" i="92"/>
  <c r="F147" i="92"/>
  <c r="E147" i="92"/>
  <c r="D147" i="92"/>
  <c r="C147" i="92"/>
  <c r="B147" i="92"/>
  <c r="N146" i="92"/>
  <c r="M146" i="92"/>
  <c r="L146" i="92"/>
  <c r="K146" i="92"/>
  <c r="J146" i="92"/>
  <c r="I146" i="92"/>
  <c r="H146" i="92"/>
  <c r="G146" i="92"/>
  <c r="F146" i="92"/>
  <c r="E146" i="92"/>
  <c r="D146" i="92"/>
  <c r="C146" i="92"/>
  <c r="B146" i="92"/>
  <c r="N145" i="92"/>
  <c r="M145" i="92"/>
  <c r="L145" i="92"/>
  <c r="K145" i="92"/>
  <c r="J145" i="92"/>
  <c r="I145" i="92"/>
  <c r="H145" i="92"/>
  <c r="G145" i="92"/>
  <c r="F145" i="92"/>
  <c r="E145" i="92"/>
  <c r="D145" i="92"/>
  <c r="C145" i="92"/>
  <c r="B145" i="92"/>
  <c r="N144" i="92"/>
  <c r="M144" i="92"/>
  <c r="L144" i="92"/>
  <c r="K144" i="92"/>
  <c r="J144" i="92"/>
  <c r="I144" i="92"/>
  <c r="H144" i="92"/>
  <c r="G144" i="92"/>
  <c r="F144" i="92"/>
  <c r="E144" i="92"/>
  <c r="D144" i="92"/>
  <c r="C144" i="92"/>
  <c r="B144" i="92"/>
  <c r="N143" i="92"/>
  <c r="M143" i="92"/>
  <c r="L143" i="92"/>
  <c r="K143" i="92"/>
  <c r="J143" i="92"/>
  <c r="I143" i="92"/>
  <c r="H143" i="92"/>
  <c r="G143" i="92"/>
  <c r="F143" i="92"/>
  <c r="E143" i="92"/>
  <c r="D143" i="92"/>
  <c r="C143" i="92"/>
  <c r="B143" i="92"/>
  <c r="N142" i="92"/>
  <c r="M142" i="92"/>
  <c r="L142" i="92"/>
  <c r="K142" i="92"/>
  <c r="J142" i="92"/>
  <c r="I142" i="92"/>
  <c r="H142" i="92"/>
  <c r="G142" i="92"/>
  <c r="F142" i="92"/>
  <c r="E142" i="92"/>
  <c r="D142" i="92"/>
  <c r="C142" i="92"/>
  <c r="B142" i="92"/>
  <c r="N141" i="92"/>
  <c r="M141" i="92"/>
  <c r="L141" i="92"/>
  <c r="K141" i="92"/>
  <c r="J141" i="92"/>
  <c r="I141" i="92"/>
  <c r="H141" i="92"/>
  <c r="G141" i="92"/>
  <c r="F141" i="92"/>
  <c r="E141" i="92"/>
  <c r="D141" i="92"/>
  <c r="C141" i="92"/>
  <c r="B141" i="92"/>
  <c r="N140" i="92"/>
  <c r="M140" i="92"/>
  <c r="L140" i="92"/>
  <c r="K140" i="92"/>
  <c r="J140" i="92"/>
  <c r="I140" i="92"/>
  <c r="H140" i="92"/>
  <c r="G140" i="92"/>
  <c r="F140" i="92"/>
  <c r="E140" i="92"/>
  <c r="D140" i="92"/>
  <c r="C140" i="92"/>
  <c r="B140" i="92"/>
  <c r="N139" i="92"/>
  <c r="M139" i="92"/>
  <c r="L139" i="92"/>
  <c r="K139" i="92"/>
  <c r="J139" i="92"/>
  <c r="I139" i="92"/>
  <c r="H139" i="92"/>
  <c r="G139" i="92"/>
  <c r="F139" i="92"/>
  <c r="E139" i="92"/>
  <c r="D139" i="92"/>
  <c r="C139" i="92"/>
  <c r="B139" i="92"/>
  <c r="N138" i="92"/>
  <c r="M138" i="92"/>
  <c r="L138" i="92"/>
  <c r="K138" i="92"/>
  <c r="J138" i="92"/>
  <c r="I138" i="92"/>
  <c r="H138" i="92"/>
  <c r="G138" i="92"/>
  <c r="F138" i="92"/>
  <c r="E138" i="92"/>
  <c r="D138" i="92"/>
  <c r="C138" i="92"/>
  <c r="B138" i="92"/>
  <c r="N137" i="92"/>
  <c r="M137" i="92"/>
  <c r="L137" i="92"/>
  <c r="K137" i="92"/>
  <c r="J137" i="92"/>
  <c r="I137" i="92"/>
  <c r="H137" i="92"/>
  <c r="G137" i="92"/>
  <c r="F137" i="92"/>
  <c r="E137" i="92"/>
  <c r="D137" i="92"/>
  <c r="C137" i="92"/>
  <c r="B137" i="92"/>
  <c r="N136" i="92"/>
  <c r="M136" i="92"/>
  <c r="L136" i="92"/>
  <c r="K136" i="92"/>
  <c r="J136" i="92"/>
  <c r="I136" i="92"/>
  <c r="H136" i="92"/>
  <c r="G136" i="92"/>
  <c r="F136" i="92"/>
  <c r="E136" i="92"/>
  <c r="D136" i="92"/>
  <c r="C136" i="92"/>
  <c r="O132" i="92"/>
  <c r="N132" i="92"/>
  <c r="M132" i="92"/>
  <c r="L132" i="92"/>
  <c r="K132" i="92"/>
  <c r="J132" i="92"/>
  <c r="I132" i="92"/>
  <c r="H132" i="92"/>
  <c r="G132" i="92"/>
  <c r="F132" i="92"/>
  <c r="E132" i="92"/>
  <c r="D132" i="92"/>
  <c r="C132" i="92"/>
  <c r="A132" i="92"/>
  <c r="N131" i="92"/>
  <c r="M131" i="92"/>
  <c r="L131" i="92"/>
  <c r="K131" i="92"/>
  <c r="J131" i="92"/>
  <c r="I131" i="92"/>
  <c r="H131" i="92"/>
  <c r="G131" i="92"/>
  <c r="F131" i="92"/>
  <c r="E131" i="92"/>
  <c r="D131" i="92"/>
  <c r="N130" i="92"/>
  <c r="M130" i="92"/>
  <c r="L130" i="92"/>
  <c r="K130" i="92"/>
  <c r="J130" i="92"/>
  <c r="I130" i="92"/>
  <c r="H130" i="92"/>
  <c r="G130" i="92"/>
  <c r="F130" i="92"/>
  <c r="E130" i="92"/>
  <c r="D130" i="92"/>
  <c r="C130" i="92"/>
  <c r="N129" i="92"/>
  <c r="M129" i="92"/>
  <c r="L129" i="92"/>
  <c r="K129" i="92"/>
  <c r="J129" i="92"/>
  <c r="I129" i="92"/>
  <c r="H129" i="92"/>
  <c r="G129" i="92"/>
  <c r="F129" i="92"/>
  <c r="E129" i="92"/>
  <c r="D129" i="92"/>
  <c r="C129" i="92"/>
  <c r="B129" i="92"/>
  <c r="N128" i="92"/>
  <c r="M128" i="92"/>
  <c r="L128" i="92"/>
  <c r="K128" i="92"/>
  <c r="J128" i="92"/>
  <c r="I128" i="92"/>
  <c r="H128" i="92"/>
  <c r="G128" i="92"/>
  <c r="F128" i="92"/>
  <c r="E128" i="92"/>
  <c r="D128" i="92"/>
  <c r="C128" i="92"/>
  <c r="B128" i="92"/>
  <c r="N127" i="92"/>
  <c r="M127" i="92"/>
  <c r="L127" i="92"/>
  <c r="K127" i="92"/>
  <c r="J127" i="92"/>
  <c r="I127" i="92"/>
  <c r="H127" i="92"/>
  <c r="G127" i="92"/>
  <c r="F127" i="92"/>
  <c r="E127" i="92"/>
  <c r="D127" i="92"/>
  <c r="C127" i="92"/>
  <c r="B127" i="92"/>
  <c r="N126" i="92"/>
  <c r="M126" i="92"/>
  <c r="L126" i="92"/>
  <c r="K126" i="92"/>
  <c r="J126" i="92"/>
  <c r="I126" i="92"/>
  <c r="H126" i="92"/>
  <c r="G126" i="92"/>
  <c r="F126" i="92"/>
  <c r="E126" i="92"/>
  <c r="D126" i="92"/>
  <c r="C126" i="92"/>
  <c r="B126" i="92"/>
  <c r="N125" i="92"/>
  <c r="M125" i="92"/>
  <c r="L125" i="92"/>
  <c r="K125" i="92"/>
  <c r="J125" i="92"/>
  <c r="I125" i="92"/>
  <c r="H125" i="92"/>
  <c r="G125" i="92"/>
  <c r="F125" i="92"/>
  <c r="E125" i="92"/>
  <c r="D125" i="92"/>
  <c r="C125" i="92"/>
  <c r="B125" i="92"/>
  <c r="N124" i="92"/>
  <c r="M124" i="92"/>
  <c r="L124" i="92"/>
  <c r="K124" i="92"/>
  <c r="J124" i="92"/>
  <c r="I124" i="92"/>
  <c r="H124" i="92"/>
  <c r="G124" i="92"/>
  <c r="F124" i="92"/>
  <c r="E124" i="92"/>
  <c r="D124" i="92"/>
  <c r="C124" i="92"/>
  <c r="B124" i="92"/>
  <c r="N123" i="92"/>
  <c r="M123" i="92"/>
  <c r="L123" i="92"/>
  <c r="K123" i="92"/>
  <c r="J123" i="92"/>
  <c r="I123" i="92"/>
  <c r="H123" i="92"/>
  <c r="G123" i="92"/>
  <c r="F123" i="92"/>
  <c r="E123" i="92"/>
  <c r="D123" i="92"/>
  <c r="C123" i="92"/>
  <c r="B123" i="92"/>
  <c r="N122" i="92"/>
  <c r="M122" i="92"/>
  <c r="L122" i="92"/>
  <c r="K122" i="92"/>
  <c r="J122" i="92"/>
  <c r="I122" i="92"/>
  <c r="H122" i="92"/>
  <c r="G122" i="92"/>
  <c r="F122" i="92"/>
  <c r="E122" i="92"/>
  <c r="D122" i="92"/>
  <c r="C122" i="92"/>
  <c r="B122" i="92"/>
  <c r="N121" i="92"/>
  <c r="M121" i="92"/>
  <c r="L121" i="92"/>
  <c r="K121" i="92"/>
  <c r="J121" i="92"/>
  <c r="I121" i="92"/>
  <c r="H121" i="92"/>
  <c r="G121" i="92"/>
  <c r="F121" i="92"/>
  <c r="E121" i="92"/>
  <c r="D121" i="92"/>
  <c r="C121" i="92"/>
  <c r="B121" i="92"/>
  <c r="N120" i="92"/>
  <c r="M120" i="92"/>
  <c r="L120" i="92"/>
  <c r="K120" i="92"/>
  <c r="J120" i="92"/>
  <c r="I120" i="92"/>
  <c r="H120" i="92"/>
  <c r="G120" i="92"/>
  <c r="F120" i="92"/>
  <c r="E120" i="92"/>
  <c r="D120" i="92"/>
  <c r="C120" i="92"/>
  <c r="B120" i="92"/>
  <c r="N119" i="92"/>
  <c r="M119" i="92"/>
  <c r="L119" i="92"/>
  <c r="K119" i="92"/>
  <c r="J119" i="92"/>
  <c r="I119" i="92"/>
  <c r="H119" i="92"/>
  <c r="G119" i="92"/>
  <c r="F119" i="92"/>
  <c r="E119" i="92"/>
  <c r="D119" i="92"/>
  <c r="C119" i="92"/>
  <c r="B119" i="92"/>
  <c r="N118" i="92"/>
  <c r="M118" i="92"/>
  <c r="L118" i="92"/>
  <c r="K118" i="92"/>
  <c r="J118" i="92"/>
  <c r="I118" i="92"/>
  <c r="H118" i="92"/>
  <c r="G118" i="92"/>
  <c r="F118" i="92"/>
  <c r="E118" i="92"/>
  <c r="D118" i="92"/>
  <c r="C118" i="92"/>
  <c r="B118" i="92"/>
  <c r="N117" i="92"/>
  <c r="M117" i="92"/>
  <c r="L117" i="92"/>
  <c r="K117" i="92"/>
  <c r="J117" i="92"/>
  <c r="I117" i="92"/>
  <c r="H117" i="92"/>
  <c r="G117" i="92"/>
  <c r="F117" i="92"/>
  <c r="E117" i="92"/>
  <c r="D117" i="92"/>
  <c r="C117" i="92"/>
  <c r="B117" i="92"/>
  <c r="N116" i="92"/>
  <c r="M116" i="92"/>
  <c r="L116" i="92"/>
  <c r="K116" i="92"/>
  <c r="J116" i="92"/>
  <c r="I116" i="92"/>
  <c r="H116" i="92"/>
  <c r="G116" i="92"/>
  <c r="F116" i="92"/>
  <c r="E116" i="92"/>
  <c r="D116" i="92"/>
  <c r="C116" i="92"/>
  <c r="B116" i="92"/>
  <c r="N115" i="92"/>
  <c r="M115" i="92"/>
  <c r="L115" i="92"/>
  <c r="K115" i="92"/>
  <c r="J115" i="92"/>
  <c r="I115" i="92"/>
  <c r="H115" i="92"/>
  <c r="G115" i="92"/>
  <c r="F115" i="92"/>
  <c r="E115" i="92"/>
  <c r="D115" i="92"/>
  <c r="C115" i="92"/>
  <c r="B115" i="92"/>
  <c r="N114" i="92"/>
  <c r="M114" i="92"/>
  <c r="L114" i="92"/>
  <c r="K114" i="92"/>
  <c r="J114" i="92"/>
  <c r="I114" i="92"/>
  <c r="H114" i="92"/>
  <c r="G114" i="92"/>
  <c r="F114" i="92"/>
  <c r="E114" i="92"/>
  <c r="D114" i="92"/>
  <c r="C114" i="92"/>
  <c r="B114" i="92"/>
  <c r="N113" i="92"/>
  <c r="M113" i="92"/>
  <c r="L113" i="92"/>
  <c r="K113" i="92"/>
  <c r="J113" i="92"/>
  <c r="I113" i="92"/>
  <c r="H113" i="92"/>
  <c r="G113" i="92"/>
  <c r="F113" i="92"/>
  <c r="E113" i="92"/>
  <c r="D113" i="92"/>
  <c r="C113" i="92"/>
  <c r="B113" i="92"/>
  <c r="N112" i="92"/>
  <c r="M112" i="92"/>
  <c r="L112" i="92"/>
  <c r="K112" i="92"/>
  <c r="J112" i="92"/>
  <c r="I112" i="92"/>
  <c r="H112" i="92"/>
  <c r="G112" i="92"/>
  <c r="F112" i="92"/>
  <c r="E112" i="92"/>
  <c r="D112" i="92"/>
  <c r="C112" i="92"/>
  <c r="B112" i="92"/>
  <c r="N111" i="92"/>
  <c r="M111" i="92"/>
  <c r="L111" i="92"/>
  <c r="K111" i="92"/>
  <c r="J111" i="92"/>
  <c r="I111" i="92"/>
  <c r="H111" i="92"/>
  <c r="G111" i="92"/>
  <c r="F111" i="92"/>
  <c r="E111" i="92"/>
  <c r="D111" i="92"/>
  <c r="C111" i="92"/>
  <c r="B111" i="92"/>
  <c r="N110" i="92"/>
  <c r="M110" i="92"/>
  <c r="L110" i="92"/>
  <c r="K110" i="92"/>
  <c r="J110" i="92"/>
  <c r="I110" i="92"/>
  <c r="H110" i="92"/>
  <c r="G110" i="92"/>
  <c r="F110" i="92"/>
  <c r="E110" i="92"/>
  <c r="D110" i="92"/>
  <c r="C110" i="92"/>
  <c r="O106" i="92"/>
  <c r="N106" i="92"/>
  <c r="M106" i="92"/>
  <c r="L106" i="92"/>
  <c r="K106" i="92"/>
  <c r="J106" i="92"/>
  <c r="I106" i="92"/>
  <c r="H106" i="92"/>
  <c r="G106" i="92"/>
  <c r="F106" i="92"/>
  <c r="E106" i="92"/>
  <c r="D106" i="92"/>
  <c r="C106" i="92"/>
  <c r="A106" i="92"/>
  <c r="N105" i="92"/>
  <c r="M105" i="92"/>
  <c r="L105" i="92"/>
  <c r="K105" i="92"/>
  <c r="J105" i="92"/>
  <c r="I105" i="92"/>
  <c r="H105" i="92"/>
  <c r="G105" i="92"/>
  <c r="F105" i="92"/>
  <c r="E105" i="92"/>
  <c r="D105" i="92"/>
  <c r="N104" i="92"/>
  <c r="M104" i="92"/>
  <c r="L104" i="92"/>
  <c r="K104" i="92"/>
  <c r="J104" i="92"/>
  <c r="I104" i="92"/>
  <c r="H104" i="92"/>
  <c r="G104" i="92"/>
  <c r="F104" i="92"/>
  <c r="E104" i="92"/>
  <c r="D104" i="92"/>
  <c r="C104" i="92"/>
  <c r="B104" i="92"/>
  <c r="N103" i="92"/>
  <c r="M103" i="92"/>
  <c r="L103" i="92"/>
  <c r="K103" i="92"/>
  <c r="J103" i="92"/>
  <c r="I103" i="92"/>
  <c r="H103" i="92"/>
  <c r="G103" i="92"/>
  <c r="F103" i="92"/>
  <c r="E103" i="92"/>
  <c r="D103" i="92"/>
  <c r="C103" i="92"/>
  <c r="B103" i="92"/>
  <c r="N102" i="92"/>
  <c r="M102" i="92"/>
  <c r="L102" i="92"/>
  <c r="K102" i="92"/>
  <c r="J102" i="92"/>
  <c r="I102" i="92"/>
  <c r="H102" i="92"/>
  <c r="G102" i="92"/>
  <c r="F102" i="92"/>
  <c r="E102" i="92"/>
  <c r="D102" i="92"/>
  <c r="C102" i="92"/>
  <c r="B102" i="92"/>
  <c r="N101" i="92"/>
  <c r="M101" i="92"/>
  <c r="L101" i="92"/>
  <c r="K101" i="92"/>
  <c r="J101" i="92"/>
  <c r="I101" i="92"/>
  <c r="H101" i="92"/>
  <c r="G101" i="92"/>
  <c r="F101" i="92"/>
  <c r="E101" i="92"/>
  <c r="D101" i="92"/>
  <c r="C101" i="92"/>
  <c r="B101" i="92"/>
  <c r="N100" i="92"/>
  <c r="M100" i="92"/>
  <c r="L100" i="92"/>
  <c r="K100" i="92"/>
  <c r="J100" i="92"/>
  <c r="I100" i="92"/>
  <c r="H100" i="92"/>
  <c r="G100" i="92"/>
  <c r="F100" i="92"/>
  <c r="E100" i="92"/>
  <c r="D100" i="92"/>
  <c r="C100" i="92"/>
  <c r="B100" i="92"/>
  <c r="N99" i="92"/>
  <c r="M99" i="92"/>
  <c r="L99" i="92"/>
  <c r="K99" i="92"/>
  <c r="J99" i="92"/>
  <c r="I99" i="92"/>
  <c r="H99" i="92"/>
  <c r="G99" i="92"/>
  <c r="F99" i="92"/>
  <c r="E99" i="92"/>
  <c r="D99" i="92"/>
  <c r="C99" i="92"/>
  <c r="B99" i="92"/>
  <c r="N98" i="92"/>
  <c r="M98" i="92"/>
  <c r="L98" i="92"/>
  <c r="K98" i="92"/>
  <c r="J98" i="92"/>
  <c r="I98" i="92"/>
  <c r="H98" i="92"/>
  <c r="G98" i="92"/>
  <c r="F98" i="92"/>
  <c r="E98" i="92"/>
  <c r="D98" i="92"/>
  <c r="C98" i="92"/>
  <c r="B98" i="92"/>
  <c r="N97" i="92"/>
  <c r="M97" i="92"/>
  <c r="L97" i="92"/>
  <c r="K97" i="92"/>
  <c r="J97" i="92"/>
  <c r="I97" i="92"/>
  <c r="H97" i="92"/>
  <c r="G97" i="92"/>
  <c r="F97" i="92"/>
  <c r="E97" i="92"/>
  <c r="D97" i="92"/>
  <c r="C97" i="92"/>
  <c r="B97" i="92"/>
  <c r="N96" i="92"/>
  <c r="M96" i="92"/>
  <c r="L96" i="92"/>
  <c r="K96" i="92"/>
  <c r="J96" i="92"/>
  <c r="I96" i="92"/>
  <c r="H96" i="92"/>
  <c r="G96" i="92"/>
  <c r="F96" i="92"/>
  <c r="E96" i="92"/>
  <c r="D96" i="92"/>
  <c r="C96" i="92"/>
  <c r="B96" i="92"/>
  <c r="N95" i="92"/>
  <c r="M95" i="92"/>
  <c r="L95" i="92"/>
  <c r="K95" i="92"/>
  <c r="J95" i="92"/>
  <c r="I95" i="92"/>
  <c r="H95" i="92"/>
  <c r="G95" i="92"/>
  <c r="F95" i="92"/>
  <c r="E95" i="92"/>
  <c r="D95" i="92"/>
  <c r="C95" i="92"/>
  <c r="B95" i="92"/>
  <c r="N94" i="92"/>
  <c r="M94" i="92"/>
  <c r="L94" i="92"/>
  <c r="K94" i="92"/>
  <c r="J94" i="92"/>
  <c r="I94" i="92"/>
  <c r="H94" i="92"/>
  <c r="G94" i="92"/>
  <c r="F94" i="92"/>
  <c r="E94" i="92"/>
  <c r="D94" i="92"/>
  <c r="C94" i="92"/>
  <c r="B94" i="92"/>
  <c r="N93" i="92"/>
  <c r="M93" i="92"/>
  <c r="L93" i="92"/>
  <c r="K93" i="92"/>
  <c r="J93" i="92"/>
  <c r="I93" i="92"/>
  <c r="H93" i="92"/>
  <c r="G93" i="92"/>
  <c r="F93" i="92"/>
  <c r="E93" i="92"/>
  <c r="D93" i="92"/>
  <c r="C93" i="92"/>
  <c r="B93" i="92"/>
  <c r="N92" i="92"/>
  <c r="M92" i="92"/>
  <c r="L92" i="92"/>
  <c r="K92" i="92"/>
  <c r="J92" i="92"/>
  <c r="I92" i="92"/>
  <c r="H92" i="92"/>
  <c r="G92" i="92"/>
  <c r="F92" i="92"/>
  <c r="E92" i="92"/>
  <c r="D92" i="92"/>
  <c r="C92" i="92"/>
  <c r="B92" i="92"/>
  <c r="N91" i="92"/>
  <c r="M91" i="92"/>
  <c r="L91" i="92"/>
  <c r="K91" i="92"/>
  <c r="J91" i="92"/>
  <c r="I91" i="92"/>
  <c r="H91" i="92"/>
  <c r="G91" i="92"/>
  <c r="F91" i="92"/>
  <c r="E91" i="92"/>
  <c r="D91" i="92"/>
  <c r="C91" i="92"/>
  <c r="B91" i="92"/>
  <c r="N90" i="92"/>
  <c r="M90" i="92"/>
  <c r="L90" i="92"/>
  <c r="K90" i="92"/>
  <c r="J90" i="92"/>
  <c r="I90" i="92"/>
  <c r="H90" i="92"/>
  <c r="G90" i="92"/>
  <c r="F90" i="92"/>
  <c r="E90" i="92"/>
  <c r="D90" i="92"/>
  <c r="C90" i="92"/>
  <c r="B90" i="92"/>
  <c r="N89" i="92"/>
  <c r="M89" i="92"/>
  <c r="L89" i="92"/>
  <c r="K89" i="92"/>
  <c r="J89" i="92"/>
  <c r="I89" i="92"/>
  <c r="H89" i="92"/>
  <c r="G89" i="92"/>
  <c r="F89" i="92"/>
  <c r="E89" i="92"/>
  <c r="D89" i="92"/>
  <c r="C89" i="92"/>
  <c r="B89" i="92"/>
  <c r="N88" i="92"/>
  <c r="M88" i="92"/>
  <c r="L88" i="92"/>
  <c r="K88" i="92"/>
  <c r="J88" i="92"/>
  <c r="I88" i="92"/>
  <c r="H88" i="92"/>
  <c r="G88" i="92"/>
  <c r="F88" i="92"/>
  <c r="E88" i="92"/>
  <c r="D88" i="92"/>
  <c r="C88" i="92"/>
  <c r="B88" i="92"/>
  <c r="N87" i="92"/>
  <c r="M87" i="92"/>
  <c r="L87" i="92"/>
  <c r="K87" i="92"/>
  <c r="J87" i="92"/>
  <c r="I87" i="92"/>
  <c r="H87" i="92"/>
  <c r="G87" i="92"/>
  <c r="F87" i="92"/>
  <c r="E87" i="92"/>
  <c r="D87" i="92"/>
  <c r="C87" i="92"/>
  <c r="B87" i="92"/>
  <c r="N86" i="92"/>
  <c r="M86" i="92"/>
  <c r="L86" i="92"/>
  <c r="K86" i="92"/>
  <c r="J86" i="92"/>
  <c r="I86" i="92"/>
  <c r="H86" i="92"/>
  <c r="G86" i="92"/>
  <c r="F86" i="92"/>
  <c r="E86" i="92"/>
  <c r="D86" i="92"/>
  <c r="C86" i="92"/>
  <c r="B86" i="92"/>
  <c r="N85" i="92"/>
  <c r="M85" i="92"/>
  <c r="L85" i="92"/>
  <c r="K85" i="92"/>
  <c r="J85" i="92"/>
  <c r="I85" i="92"/>
  <c r="H85" i="92"/>
  <c r="G85" i="92"/>
  <c r="F85" i="92"/>
  <c r="E85" i="92"/>
  <c r="D85" i="92"/>
  <c r="C85" i="92"/>
  <c r="B85" i="92"/>
  <c r="N84" i="92"/>
  <c r="M84" i="92"/>
  <c r="L84" i="92"/>
  <c r="K84" i="92"/>
  <c r="J84" i="92"/>
  <c r="I84" i="92"/>
  <c r="H84" i="92"/>
  <c r="G84" i="92"/>
  <c r="F84" i="92"/>
  <c r="E84" i="92"/>
  <c r="D84" i="92"/>
  <c r="C84" i="92"/>
  <c r="N80" i="92"/>
  <c r="M80" i="92"/>
  <c r="L80" i="92"/>
  <c r="K80" i="92"/>
  <c r="J80" i="92"/>
  <c r="I80" i="92"/>
  <c r="H80" i="92"/>
  <c r="G80" i="92"/>
  <c r="F80" i="92"/>
  <c r="E80" i="92"/>
  <c r="D80" i="92"/>
  <c r="C80" i="92"/>
  <c r="N79" i="92"/>
  <c r="M79" i="92"/>
  <c r="L79" i="92"/>
  <c r="K79" i="92"/>
  <c r="J79" i="92"/>
  <c r="I79" i="92"/>
  <c r="H79" i="92"/>
  <c r="G79" i="92"/>
  <c r="F79" i="92"/>
  <c r="E79" i="92"/>
  <c r="D79" i="92"/>
  <c r="C79" i="92"/>
  <c r="N78" i="92"/>
  <c r="M78" i="92"/>
  <c r="L78" i="92"/>
  <c r="K78" i="92"/>
  <c r="J78" i="92"/>
  <c r="I78" i="92"/>
  <c r="H78" i="92"/>
  <c r="G78" i="92"/>
  <c r="F78" i="92"/>
  <c r="E78" i="92"/>
  <c r="D78" i="92"/>
  <c r="C78" i="92"/>
  <c r="N77" i="92"/>
  <c r="M77" i="92"/>
  <c r="L77" i="92"/>
  <c r="K77" i="92"/>
  <c r="J77" i="92"/>
  <c r="I77" i="92"/>
  <c r="H77" i="92"/>
  <c r="G77" i="92"/>
  <c r="F77" i="92"/>
  <c r="E77" i="92"/>
  <c r="D77" i="92"/>
  <c r="C77" i="92"/>
  <c r="E69" i="92"/>
  <c r="D69" i="92"/>
  <c r="C69" i="92"/>
  <c r="B69" i="92"/>
  <c r="E68" i="92"/>
  <c r="D68" i="92"/>
  <c r="C68" i="92"/>
  <c r="B68" i="92"/>
  <c r="E67" i="92"/>
  <c r="D67" i="92"/>
  <c r="C67" i="92"/>
  <c r="B67" i="92"/>
  <c r="E66" i="92"/>
  <c r="D66" i="92"/>
  <c r="C66" i="92"/>
  <c r="B66" i="92"/>
  <c r="E65" i="92"/>
  <c r="D65" i="92"/>
  <c r="C65" i="92"/>
  <c r="B65" i="92"/>
  <c r="E64" i="92"/>
  <c r="D64" i="92"/>
  <c r="C64" i="92"/>
  <c r="B64" i="92"/>
  <c r="E63" i="92"/>
  <c r="D63" i="92"/>
  <c r="C63" i="92"/>
  <c r="B63" i="92"/>
  <c r="E62" i="92"/>
  <c r="D62" i="92"/>
  <c r="C62" i="92"/>
  <c r="B62" i="92"/>
  <c r="E61" i="92"/>
  <c r="D61" i="92"/>
  <c r="C61" i="92"/>
  <c r="B61" i="92"/>
  <c r="E60" i="92"/>
  <c r="D60" i="92"/>
  <c r="C60" i="92"/>
  <c r="B60" i="92"/>
  <c r="E59" i="92"/>
  <c r="D59" i="92"/>
  <c r="C59" i="92"/>
  <c r="B59" i="92"/>
  <c r="E58" i="92"/>
  <c r="D58" i="92"/>
  <c r="C58" i="92"/>
  <c r="B58" i="92"/>
  <c r="E57" i="92"/>
  <c r="D57" i="92"/>
  <c r="C57" i="92"/>
  <c r="B57" i="92"/>
  <c r="E56" i="92"/>
  <c r="D56" i="92"/>
  <c r="C56" i="92"/>
  <c r="B56" i="92"/>
  <c r="E55" i="92"/>
  <c r="D55" i="92"/>
  <c r="C55" i="92"/>
  <c r="B55" i="92"/>
  <c r="E54" i="92"/>
  <c r="D54" i="92"/>
  <c r="C54" i="92"/>
  <c r="B54" i="92"/>
  <c r="E53" i="92"/>
  <c r="D53" i="92"/>
  <c r="C53" i="92"/>
  <c r="B53" i="92"/>
  <c r="E52" i="92"/>
  <c r="D52" i="92"/>
  <c r="C52" i="92"/>
  <c r="B52" i="92"/>
  <c r="E51" i="92"/>
  <c r="D51" i="92"/>
  <c r="C51" i="92"/>
  <c r="B51" i="92"/>
  <c r="E50" i="92"/>
  <c r="D50" i="92"/>
  <c r="C50" i="92"/>
  <c r="B50" i="92"/>
  <c r="D46" i="92"/>
  <c r="C46" i="92"/>
  <c r="D45" i="92"/>
  <c r="C45" i="92"/>
  <c r="D44" i="92"/>
  <c r="C44" i="92"/>
  <c r="E40" i="92"/>
  <c r="D40" i="92"/>
  <c r="C40" i="92"/>
  <c r="B40" i="92"/>
  <c r="E39" i="92"/>
  <c r="D39" i="92"/>
  <c r="C39" i="92"/>
  <c r="B39" i="92"/>
  <c r="E38" i="92"/>
  <c r="D38" i="92"/>
  <c r="C38" i="92"/>
  <c r="B38" i="92"/>
  <c r="E37" i="92"/>
  <c r="D37" i="92"/>
  <c r="C37" i="92"/>
  <c r="B37" i="92"/>
  <c r="E36" i="92"/>
  <c r="D36" i="92"/>
  <c r="C36" i="92"/>
  <c r="B36" i="92"/>
  <c r="E35" i="92"/>
  <c r="D35" i="92"/>
  <c r="C35" i="92"/>
  <c r="B35" i="92"/>
  <c r="E34" i="92"/>
  <c r="D34" i="92"/>
  <c r="C34" i="92"/>
  <c r="B34" i="92"/>
  <c r="E33" i="92"/>
  <c r="D33" i="92"/>
  <c r="C33" i="92"/>
  <c r="B33" i="92"/>
  <c r="E32" i="92"/>
  <c r="D32" i="92"/>
  <c r="C32" i="92"/>
  <c r="B32" i="92"/>
  <c r="E31" i="92"/>
  <c r="D31" i="92"/>
  <c r="C31" i="92"/>
  <c r="B31" i="92"/>
  <c r="E30" i="92"/>
  <c r="D30" i="92"/>
  <c r="C30" i="92"/>
  <c r="B30" i="92"/>
  <c r="E29" i="92"/>
  <c r="D29" i="92"/>
  <c r="C29" i="92"/>
  <c r="B29" i="92"/>
  <c r="E28" i="92"/>
  <c r="D28" i="92"/>
  <c r="C28" i="92"/>
  <c r="B28" i="92"/>
  <c r="E27" i="92"/>
  <c r="D27" i="92"/>
  <c r="C27" i="92"/>
  <c r="B27" i="92"/>
  <c r="E26" i="92"/>
  <c r="D26" i="92"/>
  <c r="C26" i="92"/>
  <c r="B26" i="92"/>
  <c r="E25" i="92"/>
  <c r="D25" i="92"/>
  <c r="C25" i="92"/>
  <c r="B25" i="92"/>
  <c r="E24" i="92"/>
  <c r="D24" i="92"/>
  <c r="C24" i="92"/>
  <c r="B24" i="92"/>
  <c r="E23" i="92"/>
  <c r="D23" i="92"/>
  <c r="C23" i="92"/>
  <c r="B23" i="92"/>
  <c r="E22" i="92"/>
  <c r="D22" i="92"/>
  <c r="C22" i="92"/>
  <c r="B22" i="92"/>
  <c r="E21" i="92"/>
  <c r="D21" i="92"/>
  <c r="C21" i="92"/>
  <c r="B21" i="92"/>
  <c r="B15" i="92"/>
  <c r="Y14" i="92"/>
  <c r="X14" i="92"/>
  <c r="W14" i="92"/>
  <c r="V14" i="92"/>
  <c r="U14" i="92"/>
  <c r="T14" i="92"/>
  <c r="S14" i="92"/>
  <c r="R14" i="92"/>
  <c r="Q14" i="92"/>
  <c r="P14" i="92"/>
  <c r="O14" i="92"/>
  <c r="N14" i="92"/>
  <c r="M14" i="92"/>
  <c r="L14" i="92"/>
  <c r="K14" i="92"/>
  <c r="J14" i="92"/>
  <c r="I14" i="92"/>
  <c r="H14" i="92"/>
  <c r="G14" i="92"/>
  <c r="F14" i="92"/>
  <c r="E14" i="92"/>
  <c r="D14" i="92"/>
  <c r="C14" i="92"/>
  <c r="B14" i="92"/>
  <c r="A1" i="92"/>
  <c r="F68" i="113"/>
  <c r="B56" i="113"/>
  <c r="Z55" i="113"/>
  <c r="Y55" i="113"/>
  <c r="X55" i="113"/>
  <c r="W55" i="113"/>
  <c r="V55" i="113"/>
  <c r="U55" i="113"/>
  <c r="T55" i="113"/>
  <c r="S55" i="113"/>
  <c r="R55" i="113"/>
  <c r="Q55" i="113"/>
  <c r="P55" i="113"/>
  <c r="O55" i="113"/>
  <c r="N55" i="113"/>
  <c r="M55" i="113"/>
  <c r="L55" i="113"/>
  <c r="K55" i="113"/>
  <c r="J55" i="113"/>
  <c r="I55" i="113"/>
  <c r="H55" i="113"/>
  <c r="G55" i="113"/>
  <c r="F55" i="113"/>
  <c r="E55" i="113"/>
  <c r="D55" i="113"/>
  <c r="C55" i="113"/>
  <c r="B55" i="113"/>
  <c r="Z45" i="113"/>
  <c r="Y45" i="113"/>
  <c r="X45" i="113"/>
  <c r="W45" i="113"/>
  <c r="V45" i="113"/>
  <c r="U45" i="113"/>
  <c r="T45" i="113"/>
  <c r="S45" i="113"/>
  <c r="R45" i="113"/>
  <c r="Q45" i="113"/>
  <c r="P45" i="113"/>
  <c r="O45" i="113"/>
  <c r="N45" i="113"/>
  <c r="M45" i="113"/>
  <c r="L45" i="113"/>
  <c r="K45" i="113"/>
  <c r="J45" i="113"/>
  <c r="I45" i="113"/>
  <c r="H45" i="113"/>
  <c r="G45" i="113"/>
  <c r="F45" i="113"/>
  <c r="E45" i="113"/>
  <c r="D45" i="113"/>
  <c r="C45" i="113"/>
  <c r="B45" i="113"/>
  <c r="O40" i="113"/>
  <c r="N34" i="113"/>
  <c r="N30" i="113"/>
  <c r="N28" i="113"/>
  <c r="N27" i="113"/>
  <c r="N26" i="113"/>
  <c r="N25" i="113"/>
  <c r="N24" i="113"/>
  <c r="B24" i="113"/>
  <c r="N23" i="113"/>
  <c r="B23" i="113"/>
  <c r="Z20" i="113"/>
  <c r="Y20" i="113"/>
  <c r="X20" i="113"/>
  <c r="W20" i="113"/>
  <c r="V20" i="113"/>
  <c r="U20" i="113"/>
  <c r="T20" i="113"/>
  <c r="S20" i="113"/>
  <c r="R20" i="113"/>
  <c r="Q20" i="113"/>
  <c r="P20" i="113"/>
  <c r="O20" i="113"/>
  <c r="N20" i="113"/>
  <c r="M20" i="113"/>
  <c r="L20" i="113"/>
  <c r="K20" i="113"/>
  <c r="J20" i="113"/>
  <c r="I20" i="113"/>
  <c r="H20" i="113"/>
  <c r="G20" i="113"/>
  <c r="F20" i="113"/>
  <c r="E20" i="113"/>
  <c r="D20" i="113"/>
  <c r="Z19" i="113"/>
  <c r="Y19" i="113"/>
  <c r="X19" i="113"/>
  <c r="W19" i="113"/>
  <c r="V19" i="113"/>
  <c r="U19" i="113"/>
  <c r="T19" i="113"/>
  <c r="S19" i="113"/>
  <c r="R19" i="113"/>
  <c r="Q19" i="113"/>
  <c r="P19" i="113"/>
  <c r="O19" i="113"/>
  <c r="N19" i="113"/>
  <c r="M19" i="113"/>
  <c r="L19" i="113"/>
  <c r="K19" i="113"/>
  <c r="J19" i="113"/>
  <c r="I19" i="113"/>
  <c r="H19" i="113"/>
  <c r="G19" i="113"/>
  <c r="F19" i="113"/>
  <c r="E19" i="113"/>
  <c r="D19" i="113"/>
  <c r="C19" i="113"/>
  <c r="B19" i="113"/>
  <c r="Z18" i="113"/>
  <c r="Y18" i="113"/>
  <c r="X18" i="113"/>
  <c r="W18" i="113"/>
  <c r="V18" i="113"/>
  <c r="U18" i="113"/>
  <c r="T18" i="113"/>
  <c r="S18" i="113"/>
  <c r="R18" i="113"/>
  <c r="Q18" i="113"/>
  <c r="P18" i="113"/>
  <c r="O18" i="113"/>
  <c r="N18" i="113"/>
  <c r="M18" i="113"/>
  <c r="L18" i="113"/>
  <c r="K18" i="113"/>
  <c r="J18" i="113"/>
  <c r="I18" i="113"/>
  <c r="H18" i="113"/>
  <c r="G18" i="113"/>
  <c r="F18" i="113"/>
  <c r="E18" i="113"/>
  <c r="D18" i="113"/>
  <c r="C18" i="113"/>
  <c r="B18" i="113"/>
  <c r="Q16" i="113"/>
  <c r="A10" i="113"/>
  <c r="A1" i="113"/>
  <c r="F75" i="104"/>
  <c r="B63" i="104"/>
  <c r="Z62" i="104"/>
  <c r="Y62" i="104"/>
  <c r="X62" i="104"/>
  <c r="W62" i="104"/>
  <c r="V62" i="104"/>
  <c r="U62" i="104"/>
  <c r="T62" i="104"/>
  <c r="S62" i="104"/>
  <c r="R62" i="104"/>
  <c r="Q62" i="104"/>
  <c r="P62" i="104"/>
  <c r="O62" i="104"/>
  <c r="N62" i="104"/>
  <c r="M62" i="104"/>
  <c r="L62" i="104"/>
  <c r="K62" i="104"/>
  <c r="J62" i="104"/>
  <c r="I62" i="104"/>
  <c r="H62" i="104"/>
  <c r="G62" i="104"/>
  <c r="F62" i="104"/>
  <c r="E62" i="104"/>
  <c r="D62" i="104"/>
  <c r="C62" i="104"/>
  <c r="B62" i="104"/>
  <c r="O48" i="104"/>
  <c r="Z45" i="104"/>
  <c r="Y45" i="104"/>
  <c r="X45" i="104"/>
  <c r="W45" i="104"/>
  <c r="V45" i="104"/>
  <c r="U45" i="104"/>
  <c r="T45" i="104"/>
  <c r="S45" i="104"/>
  <c r="R45" i="104"/>
  <c r="Q45" i="104"/>
  <c r="P45" i="104"/>
  <c r="O45" i="104"/>
  <c r="N45" i="104"/>
  <c r="M45" i="104"/>
  <c r="L45" i="104"/>
  <c r="K45" i="104"/>
  <c r="J45" i="104"/>
  <c r="I45" i="104"/>
  <c r="H45" i="104"/>
  <c r="G45" i="104"/>
  <c r="F45" i="104"/>
  <c r="E45" i="104"/>
  <c r="D45" i="104"/>
  <c r="C45" i="104"/>
  <c r="B45" i="104"/>
  <c r="O40" i="104"/>
  <c r="N34" i="104"/>
  <c r="N30" i="104"/>
  <c r="N28" i="104"/>
  <c r="N27" i="104"/>
  <c r="N26" i="104"/>
  <c r="N25" i="104"/>
  <c r="N24" i="104"/>
  <c r="B24" i="104"/>
  <c r="N23" i="104"/>
  <c r="B23" i="104"/>
  <c r="Z20" i="104"/>
  <c r="Y20" i="104"/>
  <c r="X20" i="104"/>
  <c r="W20" i="104"/>
  <c r="V20" i="104"/>
  <c r="U20" i="104"/>
  <c r="T20" i="104"/>
  <c r="S20" i="104"/>
  <c r="R20" i="104"/>
  <c r="Q20" i="104"/>
  <c r="P20" i="104"/>
  <c r="O20" i="104"/>
  <c r="N20" i="104"/>
  <c r="M20" i="104"/>
  <c r="L20" i="104"/>
  <c r="K20" i="104"/>
  <c r="J20" i="104"/>
  <c r="I20" i="104"/>
  <c r="H20" i="104"/>
  <c r="G20" i="104"/>
  <c r="F20" i="104"/>
  <c r="E20" i="104"/>
  <c r="D20" i="104"/>
  <c r="Z19" i="104"/>
  <c r="Y19" i="104"/>
  <c r="X19" i="104"/>
  <c r="W19" i="104"/>
  <c r="V19" i="104"/>
  <c r="U19" i="104"/>
  <c r="T19" i="104"/>
  <c r="S19" i="104"/>
  <c r="R19" i="104"/>
  <c r="Q19" i="104"/>
  <c r="P19" i="104"/>
  <c r="O19" i="104"/>
  <c r="N19" i="104"/>
  <c r="M19" i="104"/>
  <c r="L19" i="104"/>
  <c r="K19" i="104"/>
  <c r="J19" i="104"/>
  <c r="I19" i="104"/>
  <c r="H19" i="104"/>
  <c r="G19" i="104"/>
  <c r="F19" i="104"/>
  <c r="E19" i="104"/>
  <c r="D19" i="104"/>
  <c r="C19" i="104"/>
  <c r="B19" i="104"/>
  <c r="Z18" i="104"/>
  <c r="Y18" i="104"/>
  <c r="X18" i="104"/>
  <c r="W18" i="104"/>
  <c r="V18" i="104"/>
  <c r="U18" i="104"/>
  <c r="T18" i="104"/>
  <c r="S18" i="104"/>
  <c r="R18" i="104"/>
  <c r="Q18" i="104"/>
  <c r="P18" i="104"/>
  <c r="O18" i="104"/>
  <c r="N18" i="104"/>
  <c r="M18" i="104"/>
  <c r="L18" i="104"/>
  <c r="K18" i="104"/>
  <c r="J18" i="104"/>
  <c r="I18" i="104"/>
  <c r="H18" i="104"/>
  <c r="G18" i="104"/>
  <c r="F18" i="104"/>
  <c r="E18" i="104"/>
  <c r="D18" i="104"/>
  <c r="C18" i="104"/>
  <c r="B18" i="104"/>
  <c r="Q16" i="104"/>
  <c r="A10" i="104"/>
  <c r="A1" i="104"/>
  <c r="C52" i="93"/>
  <c r="B52" i="93"/>
  <c r="C51" i="93"/>
  <c r="B51" i="93"/>
  <c r="C50" i="93"/>
  <c r="B50" i="93"/>
  <c r="C49" i="93"/>
  <c r="Z45" i="93"/>
  <c r="Y45" i="93"/>
  <c r="X45" i="93"/>
  <c r="W45" i="93"/>
  <c r="V45" i="93"/>
  <c r="U45" i="93"/>
  <c r="T45" i="93"/>
  <c r="S45" i="93"/>
  <c r="R45" i="93"/>
  <c r="Q45" i="93"/>
  <c r="P45" i="93"/>
  <c r="O45" i="93"/>
  <c r="N45" i="93"/>
  <c r="M45" i="93"/>
  <c r="L45" i="93"/>
  <c r="K45" i="93"/>
  <c r="J45" i="93"/>
  <c r="I45" i="93"/>
  <c r="H45" i="93"/>
  <c r="G45" i="93"/>
  <c r="F45" i="93"/>
  <c r="E45" i="93"/>
  <c r="Z44" i="93"/>
  <c r="Y44" i="93"/>
  <c r="X44" i="93"/>
  <c r="W44" i="93"/>
  <c r="V44" i="93"/>
  <c r="U44" i="93"/>
  <c r="T44" i="93"/>
  <c r="S44" i="93"/>
  <c r="R44" i="93"/>
  <c r="Q44" i="93"/>
  <c r="P44" i="93"/>
  <c r="O44" i="93"/>
  <c r="N44" i="93"/>
  <c r="M44" i="93"/>
  <c r="L44" i="93"/>
  <c r="K44" i="93"/>
  <c r="J44" i="93"/>
  <c r="I44" i="93"/>
  <c r="H44" i="93"/>
  <c r="G44" i="93"/>
  <c r="F44" i="93"/>
  <c r="E44" i="93"/>
  <c r="D44" i="93"/>
  <c r="C44" i="93"/>
  <c r="B44" i="93"/>
  <c r="Z43" i="93"/>
  <c r="Y43" i="93"/>
  <c r="X43" i="93"/>
  <c r="W43" i="93"/>
  <c r="V43" i="93"/>
  <c r="U43" i="93"/>
  <c r="T43" i="93"/>
  <c r="S43" i="93"/>
  <c r="R43" i="93"/>
  <c r="Q43" i="93"/>
  <c r="P43" i="93"/>
  <c r="O43" i="93"/>
  <c r="N43" i="93"/>
  <c r="M43" i="93"/>
  <c r="L43" i="93"/>
  <c r="K43" i="93"/>
  <c r="J43" i="93"/>
  <c r="I43" i="93"/>
  <c r="H43" i="93"/>
  <c r="G43" i="93"/>
  <c r="F43" i="93"/>
  <c r="E43" i="93"/>
  <c r="D43" i="93"/>
  <c r="C43" i="93"/>
  <c r="B43" i="93"/>
  <c r="Z42" i="93"/>
  <c r="Y42" i="93"/>
  <c r="X42" i="93"/>
  <c r="W42" i="93"/>
  <c r="V42" i="93"/>
  <c r="U42" i="93"/>
  <c r="T42" i="93"/>
  <c r="S42" i="93"/>
  <c r="R42" i="93"/>
  <c r="Q42" i="93"/>
  <c r="P42" i="93"/>
  <c r="O42" i="93"/>
  <c r="N42" i="93"/>
  <c r="M42" i="93"/>
  <c r="L42" i="93"/>
  <c r="K42" i="93"/>
  <c r="J42" i="93"/>
  <c r="I42" i="93"/>
  <c r="H42" i="93"/>
  <c r="G42" i="93"/>
  <c r="F42" i="93"/>
  <c r="E42" i="93"/>
  <c r="D42" i="93"/>
  <c r="C42" i="93"/>
  <c r="B42" i="93"/>
  <c r="Z41" i="93"/>
  <c r="Y41" i="93"/>
  <c r="X41" i="93"/>
  <c r="W41" i="93"/>
  <c r="V41" i="93"/>
  <c r="U41" i="93"/>
  <c r="T41" i="93"/>
  <c r="S41" i="93"/>
  <c r="R41" i="93"/>
  <c r="Q41" i="93"/>
  <c r="P41" i="93"/>
  <c r="O41" i="93"/>
  <c r="N41" i="93"/>
  <c r="M41" i="93"/>
  <c r="L41" i="93"/>
  <c r="K41" i="93"/>
  <c r="J41" i="93"/>
  <c r="I41" i="93"/>
  <c r="H41" i="93"/>
  <c r="G41" i="93"/>
  <c r="F41" i="93"/>
  <c r="E41" i="93"/>
  <c r="D41" i="93"/>
  <c r="C41" i="93"/>
  <c r="B41" i="93"/>
  <c r="Z40" i="93"/>
  <c r="Y40" i="93"/>
  <c r="X40" i="93"/>
  <c r="W40" i="93"/>
  <c r="V40" i="93"/>
  <c r="U40" i="93"/>
  <c r="T40" i="93"/>
  <c r="S40" i="93"/>
  <c r="R40" i="93"/>
  <c r="Q40" i="93"/>
  <c r="P40" i="93"/>
  <c r="O40" i="93"/>
  <c r="N40" i="93"/>
  <c r="M40" i="93"/>
  <c r="L40" i="93"/>
  <c r="K40" i="93"/>
  <c r="J40" i="93"/>
  <c r="I40" i="93"/>
  <c r="H40" i="93"/>
  <c r="G40" i="93"/>
  <c r="F40" i="93"/>
  <c r="E40" i="93"/>
  <c r="D40" i="93"/>
  <c r="C40" i="93"/>
  <c r="B40" i="93"/>
  <c r="Z39" i="93"/>
  <c r="Y39" i="93"/>
  <c r="X39" i="93"/>
  <c r="W39" i="93"/>
  <c r="V39" i="93"/>
  <c r="U39" i="93"/>
  <c r="T39" i="93"/>
  <c r="S39" i="93"/>
  <c r="R39" i="93"/>
  <c r="Q39" i="93"/>
  <c r="P39" i="93"/>
  <c r="O39" i="93"/>
  <c r="N39" i="93"/>
  <c r="M39" i="93"/>
  <c r="L39" i="93"/>
  <c r="K39" i="93"/>
  <c r="J39" i="93"/>
  <c r="I39" i="93"/>
  <c r="H39" i="93"/>
  <c r="G39" i="93"/>
  <c r="F39" i="93"/>
  <c r="E39" i="93"/>
  <c r="D39" i="93"/>
  <c r="C39" i="93"/>
  <c r="B39" i="93"/>
  <c r="Z38" i="93"/>
  <c r="Y38" i="93"/>
  <c r="X38" i="93"/>
  <c r="W38" i="93"/>
  <c r="V38" i="93"/>
  <c r="U38" i="93"/>
  <c r="T38" i="93"/>
  <c r="S38" i="93"/>
  <c r="R38" i="93"/>
  <c r="Q38" i="93"/>
  <c r="P38" i="93"/>
  <c r="O38" i="93"/>
  <c r="N38" i="93"/>
  <c r="M38" i="93"/>
  <c r="L38" i="93"/>
  <c r="K38" i="93"/>
  <c r="J38" i="93"/>
  <c r="I38" i="93"/>
  <c r="H38" i="93"/>
  <c r="G38" i="93"/>
  <c r="F38" i="93"/>
  <c r="E38" i="93"/>
  <c r="D38" i="93"/>
  <c r="C38" i="93"/>
  <c r="B38" i="93"/>
  <c r="Z34" i="93"/>
  <c r="Y34" i="93"/>
  <c r="X34" i="93"/>
  <c r="W34" i="93"/>
  <c r="V34" i="93"/>
  <c r="U34" i="93"/>
  <c r="T34" i="93"/>
  <c r="S34" i="93"/>
  <c r="R34" i="93"/>
  <c r="Q34" i="93"/>
  <c r="P34" i="93"/>
  <c r="O34" i="93"/>
  <c r="N34" i="93"/>
  <c r="M34" i="93"/>
  <c r="L34" i="93"/>
  <c r="K34" i="93"/>
  <c r="J34" i="93"/>
  <c r="I34" i="93"/>
  <c r="H34" i="93"/>
  <c r="G34" i="93"/>
  <c r="F34" i="93"/>
  <c r="E34" i="93"/>
  <c r="Z33" i="93"/>
  <c r="Y33" i="93"/>
  <c r="X33" i="93"/>
  <c r="W33" i="93"/>
  <c r="V33" i="93"/>
  <c r="U33" i="93"/>
  <c r="T33" i="93"/>
  <c r="S33" i="93"/>
  <c r="R33" i="93"/>
  <c r="Q33" i="93"/>
  <c r="P33" i="93"/>
  <c r="O33" i="93"/>
  <c r="N33" i="93"/>
  <c r="M33" i="93"/>
  <c r="L33" i="93"/>
  <c r="K33" i="93"/>
  <c r="J33" i="93"/>
  <c r="I33" i="93"/>
  <c r="H33" i="93"/>
  <c r="G33" i="93"/>
  <c r="F33" i="93"/>
  <c r="E33" i="93"/>
  <c r="D33" i="93"/>
  <c r="C33" i="93"/>
  <c r="B33" i="93"/>
  <c r="Z32" i="93"/>
  <c r="Y32" i="93"/>
  <c r="X32" i="93"/>
  <c r="W32" i="93"/>
  <c r="V32" i="93"/>
  <c r="U32" i="93"/>
  <c r="T32" i="93"/>
  <c r="S32" i="93"/>
  <c r="R32" i="93"/>
  <c r="Q32" i="93"/>
  <c r="P32" i="93"/>
  <c r="O32" i="93"/>
  <c r="N32" i="93"/>
  <c r="M32" i="93"/>
  <c r="L32" i="93"/>
  <c r="K32" i="93"/>
  <c r="J32" i="93"/>
  <c r="I32" i="93"/>
  <c r="H32" i="93"/>
  <c r="G32" i="93"/>
  <c r="F32" i="93"/>
  <c r="E32" i="93"/>
  <c r="D32" i="93"/>
  <c r="C32" i="93"/>
  <c r="B32" i="93"/>
  <c r="Z31" i="93"/>
  <c r="Y31" i="93"/>
  <c r="X31" i="93"/>
  <c r="W31" i="93"/>
  <c r="V31" i="93"/>
  <c r="U31" i="93"/>
  <c r="T31" i="93"/>
  <c r="S31" i="93"/>
  <c r="R31" i="93"/>
  <c r="Q31" i="93"/>
  <c r="P31" i="93"/>
  <c r="O31" i="93"/>
  <c r="N31" i="93"/>
  <c r="M31" i="93"/>
  <c r="L31" i="93"/>
  <c r="K31" i="93"/>
  <c r="J31" i="93"/>
  <c r="I31" i="93"/>
  <c r="H31" i="93"/>
  <c r="G31" i="93"/>
  <c r="F31" i="93"/>
  <c r="E31" i="93"/>
  <c r="D31" i="93"/>
  <c r="C31" i="93"/>
  <c r="B31" i="93"/>
  <c r="Z30" i="93"/>
  <c r="Y30" i="93"/>
  <c r="X30" i="93"/>
  <c r="W30" i="93"/>
  <c r="V30" i="93"/>
  <c r="U30" i="93"/>
  <c r="T30" i="93"/>
  <c r="S30" i="93"/>
  <c r="R30" i="93"/>
  <c r="Q30" i="93"/>
  <c r="P30" i="93"/>
  <c r="O30" i="93"/>
  <c r="N30" i="93"/>
  <c r="M30" i="93"/>
  <c r="L30" i="93"/>
  <c r="K30" i="93"/>
  <c r="J30" i="93"/>
  <c r="I30" i="93"/>
  <c r="H30" i="93"/>
  <c r="G30" i="93"/>
  <c r="F30" i="93"/>
  <c r="E30" i="93"/>
  <c r="D30" i="93"/>
  <c r="C30" i="93"/>
  <c r="B30" i="93"/>
  <c r="Z29" i="93"/>
  <c r="Y29" i="93"/>
  <c r="X29" i="93"/>
  <c r="W29" i="93"/>
  <c r="V29" i="93"/>
  <c r="U29" i="93"/>
  <c r="T29" i="93"/>
  <c r="S29" i="93"/>
  <c r="R29" i="93"/>
  <c r="Q29" i="93"/>
  <c r="P29" i="93"/>
  <c r="O29" i="93"/>
  <c r="N29" i="93"/>
  <c r="M29" i="93"/>
  <c r="L29" i="93"/>
  <c r="K29" i="93"/>
  <c r="J29" i="93"/>
  <c r="I29" i="93"/>
  <c r="H29" i="93"/>
  <c r="G29" i="93"/>
  <c r="F29" i="93"/>
  <c r="E29" i="93"/>
  <c r="D29" i="93"/>
  <c r="C29" i="93"/>
  <c r="B29" i="93"/>
  <c r="Z28" i="93"/>
  <c r="Y28" i="93"/>
  <c r="X28" i="93"/>
  <c r="W28" i="93"/>
  <c r="V28" i="93"/>
  <c r="U28" i="93"/>
  <c r="T28" i="93"/>
  <c r="S28" i="93"/>
  <c r="R28" i="93"/>
  <c r="Q28" i="93"/>
  <c r="P28" i="93"/>
  <c r="O28" i="93"/>
  <c r="N28" i="93"/>
  <c r="M28" i="93"/>
  <c r="L28" i="93"/>
  <c r="K28" i="93"/>
  <c r="J28" i="93"/>
  <c r="I28" i="93"/>
  <c r="H28" i="93"/>
  <c r="G28" i="93"/>
  <c r="F28" i="93"/>
  <c r="E28" i="93"/>
  <c r="D28" i="93"/>
  <c r="C28" i="93"/>
  <c r="B28" i="93"/>
  <c r="Z27" i="93"/>
  <c r="Y27" i="93"/>
  <c r="X27" i="93"/>
  <c r="W27" i="93"/>
  <c r="V27" i="93"/>
  <c r="U27" i="93"/>
  <c r="T27" i="93"/>
  <c r="S27" i="93"/>
  <c r="R27" i="93"/>
  <c r="Q27" i="93"/>
  <c r="P27" i="93"/>
  <c r="O27" i="93"/>
  <c r="N27" i="93"/>
  <c r="M27" i="93"/>
  <c r="L27" i="93"/>
  <c r="K27" i="93"/>
  <c r="J27" i="93"/>
  <c r="I27" i="93"/>
  <c r="H27" i="93"/>
  <c r="G27" i="93"/>
  <c r="F27" i="93"/>
  <c r="E27" i="93"/>
  <c r="D27" i="93"/>
  <c r="C27" i="93"/>
  <c r="B27" i="93"/>
  <c r="Z23" i="93"/>
  <c r="Y23" i="93"/>
  <c r="X23" i="93"/>
  <c r="W23" i="93"/>
  <c r="V23" i="93"/>
  <c r="U23" i="93"/>
  <c r="T23" i="93"/>
  <c r="S23" i="93"/>
  <c r="R23" i="93"/>
  <c r="Q23" i="93"/>
  <c r="P23" i="93"/>
  <c r="O23" i="93"/>
  <c r="N23" i="93"/>
  <c r="M23" i="93"/>
  <c r="L23" i="93"/>
  <c r="K23" i="93"/>
  <c r="J23" i="93"/>
  <c r="I23" i="93"/>
  <c r="H23" i="93"/>
  <c r="G23" i="93"/>
  <c r="F23" i="93"/>
  <c r="E23" i="93"/>
  <c r="Z22" i="93"/>
  <c r="Y22" i="93"/>
  <c r="X22" i="93"/>
  <c r="W22" i="93"/>
  <c r="V22" i="93"/>
  <c r="U22" i="93"/>
  <c r="T22" i="93"/>
  <c r="S22" i="93"/>
  <c r="R22" i="93"/>
  <c r="Q22" i="93"/>
  <c r="P22" i="93"/>
  <c r="O22" i="93"/>
  <c r="N22" i="93"/>
  <c r="M22" i="93"/>
  <c r="L22" i="93"/>
  <c r="K22" i="93"/>
  <c r="J22" i="93"/>
  <c r="I22" i="93"/>
  <c r="H22" i="93"/>
  <c r="G22" i="93"/>
  <c r="F22" i="93"/>
  <c r="E22" i="93"/>
  <c r="D22" i="93"/>
  <c r="C22" i="93"/>
  <c r="Z21" i="93"/>
  <c r="Y21" i="93"/>
  <c r="X21" i="93"/>
  <c r="W21" i="93"/>
  <c r="V21" i="93"/>
  <c r="U21" i="93"/>
  <c r="T21" i="93"/>
  <c r="S21" i="93"/>
  <c r="R21" i="93"/>
  <c r="Q21" i="93"/>
  <c r="P21" i="93"/>
  <c r="O21" i="93"/>
  <c r="N21" i="93"/>
  <c r="M21" i="93"/>
  <c r="L21" i="93"/>
  <c r="K21" i="93"/>
  <c r="J21" i="93"/>
  <c r="I21" i="93"/>
  <c r="H21" i="93"/>
  <c r="G21" i="93"/>
  <c r="F21" i="93"/>
  <c r="E21" i="93"/>
  <c r="D21" i="93"/>
  <c r="C21" i="93"/>
  <c r="B21" i="93"/>
  <c r="Z20" i="93"/>
  <c r="Y20" i="93"/>
  <c r="X20" i="93"/>
  <c r="W20" i="93"/>
  <c r="V20" i="93"/>
  <c r="U20" i="93"/>
  <c r="T20" i="93"/>
  <c r="S20" i="93"/>
  <c r="R20" i="93"/>
  <c r="Q20" i="93"/>
  <c r="P20" i="93"/>
  <c r="O20" i="93"/>
  <c r="N20" i="93"/>
  <c r="M20" i="93"/>
  <c r="L20" i="93"/>
  <c r="K20" i="93"/>
  <c r="J20" i="93"/>
  <c r="I20" i="93"/>
  <c r="H20" i="93"/>
  <c r="G20" i="93"/>
  <c r="F20" i="93"/>
  <c r="E20" i="93"/>
  <c r="D20" i="93"/>
  <c r="C20" i="93"/>
  <c r="B20" i="93"/>
  <c r="Z19" i="93"/>
  <c r="Y19" i="93"/>
  <c r="X19" i="93"/>
  <c r="W19" i="93"/>
  <c r="V19" i="93"/>
  <c r="U19" i="93"/>
  <c r="T19" i="93"/>
  <c r="S19" i="93"/>
  <c r="R19" i="93"/>
  <c r="Q19" i="93"/>
  <c r="P19" i="93"/>
  <c r="O19" i="93"/>
  <c r="N19" i="93"/>
  <c r="M19" i="93"/>
  <c r="L19" i="93"/>
  <c r="K19" i="93"/>
  <c r="J19" i="93"/>
  <c r="I19" i="93"/>
  <c r="H19" i="93"/>
  <c r="G19" i="93"/>
  <c r="F19" i="93"/>
  <c r="E19" i="93"/>
  <c r="D19" i="93"/>
  <c r="C19" i="93"/>
  <c r="B19" i="93"/>
  <c r="Z18" i="93"/>
  <c r="Y18" i="93"/>
  <c r="X18" i="93"/>
  <c r="W18" i="93"/>
  <c r="V18" i="93"/>
  <c r="U18" i="93"/>
  <c r="T18" i="93"/>
  <c r="S18" i="93"/>
  <c r="R18" i="93"/>
  <c r="Q18" i="93"/>
  <c r="P18" i="93"/>
  <c r="O18" i="93"/>
  <c r="N18" i="93"/>
  <c r="M18" i="93"/>
  <c r="L18" i="93"/>
  <c r="K18" i="93"/>
  <c r="J18" i="93"/>
  <c r="I18" i="93"/>
  <c r="H18" i="93"/>
  <c r="G18" i="93"/>
  <c r="F18" i="93"/>
  <c r="E18" i="93"/>
  <c r="D18" i="93"/>
  <c r="C18" i="93"/>
  <c r="B18" i="93"/>
  <c r="Z17" i="93"/>
  <c r="Y17" i="93"/>
  <c r="X17" i="93"/>
  <c r="W17" i="93"/>
  <c r="V17" i="93"/>
  <c r="U17" i="93"/>
  <c r="T17" i="93"/>
  <c r="S17" i="93"/>
  <c r="R17" i="93"/>
  <c r="Q17" i="93"/>
  <c r="P17" i="93"/>
  <c r="O17" i="93"/>
  <c r="N17" i="93"/>
  <c r="M17" i="93"/>
  <c r="L17" i="93"/>
  <c r="K17" i="93"/>
  <c r="J17" i="93"/>
  <c r="I17" i="93"/>
  <c r="H17" i="93"/>
  <c r="G17" i="93"/>
  <c r="F17" i="93"/>
  <c r="E17" i="93"/>
  <c r="D17" i="93"/>
  <c r="C17" i="93"/>
  <c r="B17" i="93"/>
  <c r="A10" i="93"/>
  <c r="A1" i="93"/>
  <c r="W102" i="111"/>
  <c r="V102" i="111"/>
  <c r="U102" i="111"/>
  <c r="T102" i="111"/>
  <c r="S102" i="111"/>
  <c r="R102" i="111"/>
  <c r="Q102" i="111"/>
  <c r="P102" i="111"/>
  <c r="O102" i="111"/>
  <c r="N102" i="111"/>
  <c r="M102" i="111"/>
  <c r="L102" i="111"/>
  <c r="K102" i="111"/>
  <c r="J102" i="111"/>
  <c r="I102" i="111"/>
  <c r="H102" i="111"/>
  <c r="G102" i="111"/>
  <c r="F102" i="111"/>
  <c r="E102" i="111"/>
  <c r="D102" i="111"/>
  <c r="C102" i="111"/>
  <c r="W101" i="111"/>
  <c r="V101" i="111"/>
  <c r="U101" i="111"/>
  <c r="T101" i="111"/>
  <c r="S101" i="111"/>
  <c r="R101" i="111"/>
  <c r="Q101" i="111"/>
  <c r="P101" i="111"/>
  <c r="O101" i="111"/>
  <c r="N101" i="111"/>
  <c r="M101" i="111"/>
  <c r="L101" i="111"/>
  <c r="K101" i="111"/>
  <c r="J101" i="111"/>
  <c r="I101" i="111"/>
  <c r="H101" i="111"/>
  <c r="G101" i="111"/>
  <c r="F101" i="111"/>
  <c r="E101" i="111"/>
  <c r="D101" i="111"/>
  <c r="C101" i="111"/>
  <c r="W100" i="111"/>
  <c r="V100" i="111"/>
  <c r="U100" i="111"/>
  <c r="T100" i="111"/>
  <c r="S100" i="111"/>
  <c r="R100" i="111"/>
  <c r="Q100" i="111"/>
  <c r="P100" i="111"/>
  <c r="O100" i="111"/>
  <c r="N100" i="111"/>
  <c r="M100" i="111"/>
  <c r="L100" i="111"/>
  <c r="K100" i="111"/>
  <c r="J100" i="111"/>
  <c r="I100" i="111"/>
  <c r="H100" i="111"/>
  <c r="G100" i="111"/>
  <c r="F100" i="111"/>
  <c r="E100" i="111"/>
  <c r="D100" i="111"/>
  <c r="C100" i="111"/>
  <c r="W99" i="111"/>
  <c r="V99" i="111"/>
  <c r="U99" i="111"/>
  <c r="T99" i="111"/>
  <c r="S99" i="111"/>
  <c r="R99" i="111"/>
  <c r="Q99" i="111"/>
  <c r="P99" i="111"/>
  <c r="O99" i="111"/>
  <c r="N99" i="111"/>
  <c r="M99" i="111"/>
  <c r="L99" i="111"/>
  <c r="K99" i="111"/>
  <c r="J99" i="111"/>
  <c r="I99" i="111"/>
  <c r="H99" i="111"/>
  <c r="G99" i="111"/>
  <c r="F99" i="111"/>
  <c r="E99" i="111"/>
  <c r="D99" i="111"/>
  <c r="C99" i="111"/>
  <c r="W98" i="111"/>
  <c r="V98" i="111"/>
  <c r="U98" i="111"/>
  <c r="T98" i="111"/>
  <c r="S98" i="111"/>
  <c r="R98" i="111"/>
  <c r="Q98" i="111"/>
  <c r="P98" i="111"/>
  <c r="O98" i="111"/>
  <c r="N98" i="111"/>
  <c r="M98" i="111"/>
  <c r="L98" i="111"/>
  <c r="K98" i="111"/>
  <c r="J98" i="111"/>
  <c r="I98" i="111"/>
  <c r="H98" i="111"/>
  <c r="G98" i="111"/>
  <c r="F98" i="111"/>
  <c r="E98" i="111"/>
  <c r="D98" i="111"/>
  <c r="C98" i="111"/>
  <c r="W97" i="111"/>
  <c r="V97" i="111"/>
  <c r="U97" i="111"/>
  <c r="T97" i="111"/>
  <c r="S97" i="111"/>
  <c r="R97" i="111"/>
  <c r="Q97" i="111"/>
  <c r="P97" i="111"/>
  <c r="O97" i="111"/>
  <c r="N97" i="111"/>
  <c r="M97" i="111"/>
  <c r="L97" i="111"/>
  <c r="K97" i="111"/>
  <c r="J97" i="111"/>
  <c r="I97" i="111"/>
  <c r="H97" i="111"/>
  <c r="G97" i="111"/>
  <c r="F97" i="111"/>
  <c r="E97" i="111"/>
  <c r="D97" i="111"/>
  <c r="C97" i="111"/>
  <c r="U96" i="111"/>
  <c r="T96" i="111"/>
  <c r="S96" i="111"/>
  <c r="R96" i="111"/>
  <c r="Q96" i="111"/>
  <c r="P96" i="111"/>
  <c r="O96" i="111"/>
  <c r="N96" i="111"/>
  <c r="M96" i="111"/>
  <c r="L96" i="111"/>
  <c r="K96" i="111"/>
  <c r="J96" i="111"/>
  <c r="I96" i="111"/>
  <c r="H96" i="111"/>
  <c r="G96" i="111"/>
  <c r="F96" i="111"/>
  <c r="E96" i="111"/>
  <c r="D96" i="111"/>
  <c r="C96" i="111"/>
  <c r="AR92" i="111"/>
  <c r="AQ92" i="111"/>
  <c r="AP92" i="111"/>
  <c r="AO92" i="111"/>
  <c r="AN92" i="111"/>
  <c r="AM92" i="111"/>
  <c r="AL92" i="111"/>
  <c r="AK92" i="111"/>
  <c r="AJ92" i="111"/>
  <c r="AI92" i="111"/>
  <c r="AH92" i="111"/>
  <c r="AG92" i="111"/>
  <c r="AF92" i="111"/>
  <c r="AE92" i="111"/>
  <c r="AD92" i="111"/>
  <c r="AC92" i="111"/>
  <c r="AB92" i="111"/>
  <c r="AA92" i="111"/>
  <c r="Z92" i="111"/>
  <c r="Y92" i="111"/>
  <c r="X92" i="111"/>
  <c r="W92" i="111"/>
  <c r="V92" i="111"/>
  <c r="U92" i="111"/>
  <c r="T92" i="111"/>
  <c r="S92" i="111"/>
  <c r="R92" i="111"/>
  <c r="Q92" i="111"/>
  <c r="P92" i="111"/>
  <c r="O92" i="111"/>
  <c r="N92" i="111"/>
  <c r="M92" i="111"/>
  <c r="L92" i="111"/>
  <c r="K92" i="111"/>
  <c r="J92" i="111"/>
  <c r="I92" i="111"/>
  <c r="H92" i="111"/>
  <c r="G92" i="111"/>
  <c r="F92" i="111"/>
  <c r="E92" i="111"/>
  <c r="D92" i="111"/>
  <c r="C92" i="111"/>
  <c r="AR91" i="111"/>
  <c r="AQ91" i="111"/>
  <c r="AP91" i="111"/>
  <c r="AO91" i="111"/>
  <c r="AN91" i="111"/>
  <c r="AM91" i="111"/>
  <c r="AL91" i="111"/>
  <c r="AK91" i="111"/>
  <c r="AJ91" i="111"/>
  <c r="AI91" i="111"/>
  <c r="AH91" i="111"/>
  <c r="AG91" i="111"/>
  <c r="AF91" i="111"/>
  <c r="AE91" i="111"/>
  <c r="AD91" i="111"/>
  <c r="AC91" i="111"/>
  <c r="AB91" i="111"/>
  <c r="AA91" i="111"/>
  <c r="Z91" i="111"/>
  <c r="Y91" i="111"/>
  <c r="X91" i="111"/>
  <c r="W91" i="111"/>
  <c r="V91" i="111"/>
  <c r="U91" i="111"/>
  <c r="T91" i="111"/>
  <c r="S91" i="111"/>
  <c r="R91" i="111"/>
  <c r="Q91" i="111"/>
  <c r="P91" i="111"/>
  <c r="O91" i="111"/>
  <c r="N91" i="111"/>
  <c r="M91" i="111"/>
  <c r="L91" i="111"/>
  <c r="K91" i="111"/>
  <c r="J91" i="111"/>
  <c r="I91" i="111"/>
  <c r="H91" i="111"/>
  <c r="G91" i="111"/>
  <c r="F91" i="111"/>
  <c r="E91" i="111"/>
  <c r="D91" i="111"/>
  <c r="C91" i="111"/>
  <c r="AQ90" i="111"/>
  <c r="AO90" i="111"/>
  <c r="AM90" i="111"/>
  <c r="AK90" i="111"/>
  <c r="AI90" i="111"/>
  <c r="AG90" i="111"/>
  <c r="AE90" i="111"/>
  <c r="AC90" i="111"/>
  <c r="AA90" i="111"/>
  <c r="Y90" i="111"/>
  <c r="W90" i="111"/>
  <c r="U90" i="111"/>
  <c r="S90" i="111"/>
  <c r="Q90" i="111"/>
  <c r="O90" i="111"/>
  <c r="M90" i="111"/>
  <c r="K90" i="111"/>
  <c r="I90" i="111"/>
  <c r="G90" i="111"/>
  <c r="E90" i="111"/>
  <c r="C90" i="111"/>
  <c r="AR87" i="111"/>
  <c r="AQ87" i="111"/>
  <c r="AP87" i="111"/>
  <c r="AO87" i="111"/>
  <c r="AN87" i="111"/>
  <c r="AM87" i="111"/>
  <c r="AL87" i="111"/>
  <c r="AK87" i="111"/>
  <c r="AJ87" i="111"/>
  <c r="AI87" i="111"/>
  <c r="AH87" i="111"/>
  <c r="AG87" i="111"/>
  <c r="AF87" i="111"/>
  <c r="AE87" i="111"/>
  <c r="AD87" i="111"/>
  <c r="AC87" i="111"/>
  <c r="AB87" i="111"/>
  <c r="AA87" i="111"/>
  <c r="Z87" i="111"/>
  <c r="Y87" i="111"/>
  <c r="X87" i="111"/>
  <c r="W87" i="111"/>
  <c r="V87" i="111"/>
  <c r="U87" i="111"/>
  <c r="T87" i="111"/>
  <c r="S87" i="111"/>
  <c r="R87" i="111"/>
  <c r="Q87" i="111"/>
  <c r="P87" i="111"/>
  <c r="O87" i="111"/>
  <c r="N87" i="111"/>
  <c r="M87" i="111"/>
  <c r="L87" i="111"/>
  <c r="K87" i="111"/>
  <c r="J87" i="111"/>
  <c r="I87" i="111"/>
  <c r="H87" i="111"/>
  <c r="G87" i="111"/>
  <c r="F87" i="111"/>
  <c r="E87" i="111"/>
  <c r="D87" i="111"/>
  <c r="C87" i="111"/>
  <c r="A87" i="111"/>
  <c r="AR85" i="111"/>
  <c r="AQ85" i="111"/>
  <c r="AP85" i="111"/>
  <c r="AO85" i="111"/>
  <c r="AN85" i="111"/>
  <c r="AM85" i="111"/>
  <c r="AL85" i="111"/>
  <c r="AK85" i="111"/>
  <c r="AJ85" i="111"/>
  <c r="AI85" i="111"/>
  <c r="AH85" i="111"/>
  <c r="AG85" i="111"/>
  <c r="AF85" i="111"/>
  <c r="AE85" i="111"/>
  <c r="AD85" i="111"/>
  <c r="AC85" i="111"/>
  <c r="AB85" i="111"/>
  <c r="AA85" i="111"/>
  <c r="Z85" i="111"/>
  <c r="Y85" i="111"/>
  <c r="X85" i="111"/>
  <c r="W85" i="111"/>
  <c r="V85" i="111"/>
  <c r="U85" i="111"/>
  <c r="T85" i="111"/>
  <c r="S85" i="111"/>
  <c r="R85" i="111"/>
  <c r="Q85" i="111"/>
  <c r="P85" i="111"/>
  <c r="O85" i="111"/>
  <c r="N85" i="111"/>
  <c r="M85" i="111"/>
  <c r="L85" i="111"/>
  <c r="K85" i="111"/>
  <c r="J85" i="111"/>
  <c r="I85" i="111"/>
  <c r="H85" i="111"/>
  <c r="G85" i="111"/>
  <c r="F85" i="111"/>
  <c r="E85" i="111"/>
  <c r="D85" i="111"/>
  <c r="C85" i="111"/>
  <c r="AR84" i="111"/>
  <c r="AQ84" i="111"/>
  <c r="AP84" i="111"/>
  <c r="AO84" i="111"/>
  <c r="AN84" i="111"/>
  <c r="AM84" i="111"/>
  <c r="AL84" i="111"/>
  <c r="AK84" i="111"/>
  <c r="AJ84" i="111"/>
  <c r="AI84" i="111"/>
  <c r="AH84" i="111"/>
  <c r="AG84" i="111"/>
  <c r="AF84" i="111"/>
  <c r="AE84" i="111"/>
  <c r="AD84" i="111"/>
  <c r="AC84" i="111"/>
  <c r="AB84" i="111"/>
  <c r="AA84" i="111"/>
  <c r="Z84" i="111"/>
  <c r="Y84" i="111"/>
  <c r="X84" i="111"/>
  <c r="W84" i="111"/>
  <c r="V84" i="111"/>
  <c r="U84" i="111"/>
  <c r="T84" i="111"/>
  <c r="S84" i="111"/>
  <c r="R84" i="111"/>
  <c r="Q84" i="111"/>
  <c r="P84" i="111"/>
  <c r="O84" i="111"/>
  <c r="N84" i="111"/>
  <c r="M84" i="111"/>
  <c r="L84" i="111"/>
  <c r="K84" i="111"/>
  <c r="J84" i="111"/>
  <c r="I84" i="111"/>
  <c r="H84" i="111"/>
  <c r="G84" i="111"/>
  <c r="F84" i="111"/>
  <c r="E84" i="111"/>
  <c r="D84" i="111"/>
  <c r="C84" i="111"/>
  <c r="B84" i="111"/>
  <c r="AR83" i="111"/>
  <c r="AQ83" i="111"/>
  <c r="AP83" i="111"/>
  <c r="AO83" i="111"/>
  <c r="AN83" i="111"/>
  <c r="AM83" i="111"/>
  <c r="AL83" i="111"/>
  <c r="AK83" i="111"/>
  <c r="AJ83" i="111"/>
  <c r="AI83" i="111"/>
  <c r="AH83" i="111"/>
  <c r="AG83" i="111"/>
  <c r="AF83" i="111"/>
  <c r="AE83" i="111"/>
  <c r="AD83" i="111"/>
  <c r="AC83" i="111"/>
  <c r="AB83" i="111"/>
  <c r="AA83" i="111"/>
  <c r="Z83" i="111"/>
  <c r="Y83" i="111"/>
  <c r="X83" i="111"/>
  <c r="W83" i="111"/>
  <c r="V83" i="111"/>
  <c r="U83" i="111"/>
  <c r="T83" i="111"/>
  <c r="S83" i="111"/>
  <c r="R83" i="111"/>
  <c r="Q83" i="111"/>
  <c r="P83" i="111"/>
  <c r="O83" i="111"/>
  <c r="N83" i="111"/>
  <c r="M83" i="111"/>
  <c r="L83" i="111"/>
  <c r="K83" i="111"/>
  <c r="J83" i="111"/>
  <c r="I83" i="111"/>
  <c r="H83" i="111"/>
  <c r="G83" i="111"/>
  <c r="F83" i="111"/>
  <c r="E83" i="111"/>
  <c r="D83" i="111"/>
  <c r="C83" i="111"/>
  <c r="B83" i="111"/>
  <c r="AR82" i="111"/>
  <c r="AQ82" i="111"/>
  <c r="AP82" i="111"/>
  <c r="AO82" i="111"/>
  <c r="AN82" i="111"/>
  <c r="AM82" i="111"/>
  <c r="AL82" i="111"/>
  <c r="AK82" i="111"/>
  <c r="AJ82" i="111"/>
  <c r="AI82" i="111"/>
  <c r="AH82" i="111"/>
  <c r="AG82" i="111"/>
  <c r="AF82" i="111"/>
  <c r="AE82" i="111"/>
  <c r="AD82" i="111"/>
  <c r="AC82" i="111"/>
  <c r="AB82" i="111"/>
  <c r="AA82" i="111"/>
  <c r="Z82" i="111"/>
  <c r="Y82" i="111"/>
  <c r="X82" i="111"/>
  <c r="W82" i="111"/>
  <c r="V82" i="111"/>
  <c r="U82" i="111"/>
  <c r="T82" i="111"/>
  <c r="S82" i="111"/>
  <c r="R82" i="111"/>
  <c r="Q82" i="111"/>
  <c r="P82" i="111"/>
  <c r="O82" i="111"/>
  <c r="N82" i="111"/>
  <c r="M82" i="111"/>
  <c r="L82" i="111"/>
  <c r="K82" i="111"/>
  <c r="J82" i="111"/>
  <c r="I82" i="111"/>
  <c r="H82" i="111"/>
  <c r="G82" i="111"/>
  <c r="F82" i="111"/>
  <c r="E82" i="111"/>
  <c r="D82" i="111"/>
  <c r="C82" i="111"/>
  <c r="B82" i="111"/>
  <c r="AR81" i="111"/>
  <c r="AQ81" i="111"/>
  <c r="AP81" i="111"/>
  <c r="AO81" i="111"/>
  <c r="AN81" i="111"/>
  <c r="AM81" i="111"/>
  <c r="AL81" i="111"/>
  <c r="AK81" i="111"/>
  <c r="AJ81" i="111"/>
  <c r="AI81" i="111"/>
  <c r="AH81" i="111"/>
  <c r="AG81" i="111"/>
  <c r="AF81" i="111"/>
  <c r="AE81" i="111"/>
  <c r="AD81" i="111"/>
  <c r="AC81" i="111"/>
  <c r="AB81" i="111"/>
  <c r="AA81" i="111"/>
  <c r="Z81" i="111"/>
  <c r="Y81" i="111"/>
  <c r="X81" i="111"/>
  <c r="W81" i="111"/>
  <c r="V81" i="111"/>
  <c r="U81" i="111"/>
  <c r="T81" i="111"/>
  <c r="S81" i="111"/>
  <c r="R81" i="111"/>
  <c r="Q81" i="111"/>
  <c r="P81" i="111"/>
  <c r="O81" i="111"/>
  <c r="N81" i="111"/>
  <c r="M81" i="111"/>
  <c r="L81" i="111"/>
  <c r="K81" i="111"/>
  <c r="J81" i="111"/>
  <c r="I81" i="111"/>
  <c r="H81" i="111"/>
  <c r="G81" i="111"/>
  <c r="F81" i="111"/>
  <c r="E81" i="111"/>
  <c r="D81" i="111"/>
  <c r="C81" i="111"/>
  <c r="B81" i="111"/>
  <c r="AR80" i="111"/>
  <c r="AQ80" i="111"/>
  <c r="AP80" i="111"/>
  <c r="AO80" i="111"/>
  <c r="AN80" i="111"/>
  <c r="AM80" i="111"/>
  <c r="AL80" i="111"/>
  <c r="AK80" i="111"/>
  <c r="AJ80" i="111"/>
  <c r="AI80" i="111"/>
  <c r="AH80" i="111"/>
  <c r="AG80" i="111"/>
  <c r="AF80" i="111"/>
  <c r="AE80" i="111"/>
  <c r="AD80" i="111"/>
  <c r="AC80" i="111"/>
  <c r="AB80" i="111"/>
  <c r="AA80" i="111"/>
  <c r="Z80" i="111"/>
  <c r="Y80" i="111"/>
  <c r="X80" i="111"/>
  <c r="W80" i="111"/>
  <c r="V80" i="111"/>
  <c r="U80" i="111"/>
  <c r="T80" i="111"/>
  <c r="S80" i="111"/>
  <c r="R80" i="111"/>
  <c r="Q80" i="111"/>
  <c r="P80" i="111"/>
  <c r="O80" i="111"/>
  <c r="N80" i="111"/>
  <c r="M80" i="111"/>
  <c r="L80" i="111"/>
  <c r="K80" i="111"/>
  <c r="J80" i="111"/>
  <c r="I80" i="111"/>
  <c r="H80" i="111"/>
  <c r="G80" i="111"/>
  <c r="F80" i="111"/>
  <c r="E80" i="111"/>
  <c r="D80" i="111"/>
  <c r="C80" i="111"/>
  <c r="B80" i="111"/>
  <c r="AR79" i="111"/>
  <c r="AQ79" i="111"/>
  <c r="AP79" i="111"/>
  <c r="AO79" i="111"/>
  <c r="AN79" i="111"/>
  <c r="AM79" i="111"/>
  <c r="AL79" i="111"/>
  <c r="AK79" i="111"/>
  <c r="AJ79" i="111"/>
  <c r="AI79" i="111"/>
  <c r="AH79" i="111"/>
  <c r="AG79" i="111"/>
  <c r="AF79" i="111"/>
  <c r="AE79" i="111"/>
  <c r="AD79" i="111"/>
  <c r="AC79" i="111"/>
  <c r="AB79" i="111"/>
  <c r="AA79" i="111"/>
  <c r="Z79" i="111"/>
  <c r="Y79" i="111"/>
  <c r="X79" i="111"/>
  <c r="W79" i="111"/>
  <c r="V79" i="111"/>
  <c r="U79" i="111"/>
  <c r="T79" i="111"/>
  <c r="S79" i="111"/>
  <c r="R79" i="111"/>
  <c r="Q79" i="111"/>
  <c r="P79" i="111"/>
  <c r="O79" i="111"/>
  <c r="N79" i="111"/>
  <c r="M79" i="111"/>
  <c r="L79" i="111"/>
  <c r="K79" i="111"/>
  <c r="J79" i="111"/>
  <c r="I79" i="111"/>
  <c r="H79" i="111"/>
  <c r="G79" i="111"/>
  <c r="F79" i="111"/>
  <c r="E79" i="111"/>
  <c r="D79" i="111"/>
  <c r="C79" i="111"/>
  <c r="B79" i="111"/>
  <c r="AR78" i="111"/>
  <c r="AQ78" i="111"/>
  <c r="AP78" i="111"/>
  <c r="AO78" i="111"/>
  <c r="AN78" i="111"/>
  <c r="AM78" i="111"/>
  <c r="AL78" i="111"/>
  <c r="AK78" i="111"/>
  <c r="AJ78" i="111"/>
  <c r="AI78" i="111"/>
  <c r="AH78" i="111"/>
  <c r="AG78" i="111"/>
  <c r="AF78" i="111"/>
  <c r="AE78" i="111"/>
  <c r="AD78" i="111"/>
  <c r="AC78" i="111"/>
  <c r="AB78" i="111"/>
  <c r="AA78" i="111"/>
  <c r="Z78" i="111"/>
  <c r="Y78" i="111"/>
  <c r="X78" i="111"/>
  <c r="W78" i="111"/>
  <c r="V78" i="111"/>
  <c r="U78" i="111"/>
  <c r="T78" i="111"/>
  <c r="S78" i="111"/>
  <c r="R78" i="111"/>
  <c r="Q78" i="111"/>
  <c r="P78" i="111"/>
  <c r="O78" i="111"/>
  <c r="N78" i="111"/>
  <c r="M78" i="111"/>
  <c r="L78" i="111"/>
  <c r="K78" i="111"/>
  <c r="J78" i="111"/>
  <c r="I78" i="111"/>
  <c r="H78" i="111"/>
  <c r="G78" i="111"/>
  <c r="F78" i="111"/>
  <c r="E78" i="111"/>
  <c r="D78" i="111"/>
  <c r="C78" i="111"/>
  <c r="B78" i="111"/>
  <c r="AR77" i="111"/>
  <c r="AQ77" i="111"/>
  <c r="AP77" i="111"/>
  <c r="AO77" i="111"/>
  <c r="AN77" i="111"/>
  <c r="AM77" i="111"/>
  <c r="AL77" i="111"/>
  <c r="AK77" i="111"/>
  <c r="AJ77" i="111"/>
  <c r="AI77" i="111"/>
  <c r="AH77" i="111"/>
  <c r="AG77" i="111"/>
  <c r="AF77" i="111"/>
  <c r="AE77" i="111"/>
  <c r="AD77" i="111"/>
  <c r="AC77" i="111"/>
  <c r="AB77" i="111"/>
  <c r="AA77" i="111"/>
  <c r="Z77" i="111"/>
  <c r="Y77" i="111"/>
  <c r="X77" i="111"/>
  <c r="W77" i="111"/>
  <c r="V77" i="111"/>
  <c r="U77" i="111"/>
  <c r="T77" i="111"/>
  <c r="S77" i="111"/>
  <c r="R77" i="111"/>
  <c r="Q77" i="111"/>
  <c r="P77" i="111"/>
  <c r="O77" i="111"/>
  <c r="N77" i="111"/>
  <c r="M77" i="111"/>
  <c r="L77" i="111"/>
  <c r="K77" i="111"/>
  <c r="J77" i="111"/>
  <c r="I77" i="111"/>
  <c r="H77" i="111"/>
  <c r="G77" i="111"/>
  <c r="F77" i="111"/>
  <c r="E77" i="111"/>
  <c r="D77" i="111"/>
  <c r="C77" i="111"/>
  <c r="B77" i="111"/>
  <c r="AR76" i="111"/>
  <c r="AQ76" i="111"/>
  <c r="AP76" i="111"/>
  <c r="AO76" i="111"/>
  <c r="AN76" i="111"/>
  <c r="AM76" i="111"/>
  <c r="AL76" i="111"/>
  <c r="AK76" i="111"/>
  <c r="AJ76" i="111"/>
  <c r="AI76" i="111"/>
  <c r="AH76" i="111"/>
  <c r="AG76" i="111"/>
  <c r="AF76" i="111"/>
  <c r="AE76" i="111"/>
  <c r="AD76" i="111"/>
  <c r="AC76" i="111"/>
  <c r="AB76" i="111"/>
  <c r="AA76" i="111"/>
  <c r="Z76" i="111"/>
  <c r="Y76" i="111"/>
  <c r="X76" i="111"/>
  <c r="W76" i="111"/>
  <c r="V76" i="111"/>
  <c r="U76" i="111"/>
  <c r="T76" i="111"/>
  <c r="S76" i="111"/>
  <c r="R76" i="111"/>
  <c r="Q76" i="111"/>
  <c r="P76" i="111"/>
  <c r="O76" i="111"/>
  <c r="N76" i="111"/>
  <c r="M76" i="111"/>
  <c r="L76" i="111"/>
  <c r="K76" i="111"/>
  <c r="J76" i="111"/>
  <c r="I76" i="111"/>
  <c r="H76" i="111"/>
  <c r="G76" i="111"/>
  <c r="F76" i="111"/>
  <c r="E76" i="111"/>
  <c r="D76" i="111"/>
  <c r="C76" i="111"/>
  <c r="B76" i="111"/>
  <c r="AR75" i="111"/>
  <c r="AQ75" i="111"/>
  <c r="AP75" i="111"/>
  <c r="AO75" i="111"/>
  <c r="AN75" i="111"/>
  <c r="AM75" i="111"/>
  <c r="AL75" i="111"/>
  <c r="AK75" i="111"/>
  <c r="AJ75" i="111"/>
  <c r="AI75" i="111"/>
  <c r="AH75" i="111"/>
  <c r="AG75" i="111"/>
  <c r="AF75" i="111"/>
  <c r="AE75" i="111"/>
  <c r="AD75" i="111"/>
  <c r="AC75" i="111"/>
  <c r="AB75" i="111"/>
  <c r="AA75" i="111"/>
  <c r="Z75" i="111"/>
  <c r="Y75" i="111"/>
  <c r="X75" i="111"/>
  <c r="W75" i="111"/>
  <c r="V75" i="111"/>
  <c r="U75" i="111"/>
  <c r="T75" i="111"/>
  <c r="S75" i="111"/>
  <c r="R75" i="111"/>
  <c r="Q75" i="111"/>
  <c r="P75" i="111"/>
  <c r="O75" i="111"/>
  <c r="N75" i="111"/>
  <c r="M75" i="111"/>
  <c r="L75" i="111"/>
  <c r="K75" i="111"/>
  <c r="J75" i="111"/>
  <c r="I75" i="111"/>
  <c r="H75" i="111"/>
  <c r="G75" i="111"/>
  <c r="F75" i="111"/>
  <c r="E75" i="111"/>
  <c r="D75" i="111"/>
  <c r="C75" i="111"/>
  <c r="B75" i="111"/>
  <c r="AR74" i="111"/>
  <c r="AQ74" i="111"/>
  <c r="AP74" i="111"/>
  <c r="AO74" i="111"/>
  <c r="AN74" i="111"/>
  <c r="AM74" i="111"/>
  <c r="AL74" i="111"/>
  <c r="AK74" i="111"/>
  <c r="AJ74" i="111"/>
  <c r="AI74" i="111"/>
  <c r="AH74" i="111"/>
  <c r="AG74" i="111"/>
  <c r="AF74" i="111"/>
  <c r="AE74" i="111"/>
  <c r="AD74" i="111"/>
  <c r="AC74" i="111"/>
  <c r="AB74" i="111"/>
  <c r="AA74" i="111"/>
  <c r="Z74" i="111"/>
  <c r="Y74" i="111"/>
  <c r="X74" i="111"/>
  <c r="W74" i="111"/>
  <c r="V74" i="111"/>
  <c r="U74" i="111"/>
  <c r="T74" i="111"/>
  <c r="S74" i="111"/>
  <c r="R74" i="111"/>
  <c r="Q74" i="111"/>
  <c r="P74" i="111"/>
  <c r="O74" i="111"/>
  <c r="N74" i="111"/>
  <c r="M74" i="111"/>
  <c r="L74" i="111"/>
  <c r="K74" i="111"/>
  <c r="J74" i="111"/>
  <c r="I74" i="111"/>
  <c r="H74" i="111"/>
  <c r="G74" i="111"/>
  <c r="F74" i="111"/>
  <c r="E74" i="111"/>
  <c r="D74" i="111"/>
  <c r="C74" i="111"/>
  <c r="AQ73" i="111"/>
  <c r="AO73" i="111"/>
  <c r="AM73" i="111"/>
  <c r="AK73" i="111"/>
  <c r="AI73" i="111"/>
  <c r="AG73" i="111"/>
  <c r="AE73" i="111"/>
  <c r="AC73" i="111"/>
  <c r="AA73" i="111"/>
  <c r="Y73" i="111"/>
  <c r="W73" i="111"/>
  <c r="U73" i="111"/>
  <c r="S73" i="111"/>
  <c r="Q73" i="111"/>
  <c r="O73" i="111"/>
  <c r="M73" i="111"/>
  <c r="K73" i="111"/>
  <c r="I73" i="111"/>
  <c r="G73" i="111"/>
  <c r="E73" i="111"/>
  <c r="C73" i="111"/>
  <c r="B73" i="111"/>
  <c r="C71" i="111"/>
  <c r="AR65" i="111"/>
  <c r="AQ65" i="111"/>
  <c r="AP65" i="111"/>
  <c r="AO65" i="111"/>
  <c r="AN65" i="111"/>
  <c r="AM65" i="111"/>
  <c r="AL65" i="111"/>
  <c r="AK65" i="111"/>
  <c r="AJ65" i="111"/>
  <c r="AI65" i="111"/>
  <c r="AH65" i="111"/>
  <c r="AG65" i="111"/>
  <c r="AF65" i="111"/>
  <c r="AE65" i="111"/>
  <c r="AD65" i="111"/>
  <c r="AC65" i="111"/>
  <c r="AB65" i="111"/>
  <c r="AA65" i="111"/>
  <c r="Z65" i="111"/>
  <c r="Y65" i="111"/>
  <c r="X65" i="111"/>
  <c r="W65" i="111"/>
  <c r="V65" i="111"/>
  <c r="U65" i="111"/>
  <c r="T65" i="111"/>
  <c r="S65" i="111"/>
  <c r="R65" i="111"/>
  <c r="Q65" i="111"/>
  <c r="P65" i="111"/>
  <c r="O65" i="111"/>
  <c r="N65" i="111"/>
  <c r="M65" i="111"/>
  <c r="L65" i="111"/>
  <c r="K65" i="111"/>
  <c r="J65" i="111"/>
  <c r="I65" i="111"/>
  <c r="H65" i="111"/>
  <c r="G65" i="111"/>
  <c r="F65" i="111"/>
  <c r="E65" i="111"/>
  <c r="D65" i="111"/>
  <c r="C65" i="111"/>
  <c r="A65" i="111"/>
  <c r="AR64" i="111"/>
  <c r="AQ64" i="111"/>
  <c r="AP64" i="111"/>
  <c r="AO64" i="111"/>
  <c r="AN64" i="111"/>
  <c r="AM64" i="111"/>
  <c r="AL64" i="111"/>
  <c r="AK64" i="111"/>
  <c r="AJ64" i="111"/>
  <c r="AI64" i="111"/>
  <c r="AH64" i="111"/>
  <c r="AG64" i="111"/>
  <c r="AF64" i="111"/>
  <c r="AE64" i="111"/>
  <c r="AD64" i="111"/>
  <c r="AC64" i="111"/>
  <c r="AB64" i="111"/>
  <c r="AA64" i="111"/>
  <c r="Z64" i="111"/>
  <c r="Y64" i="111"/>
  <c r="X64" i="111"/>
  <c r="W64" i="111"/>
  <c r="V64" i="111"/>
  <c r="U64" i="111"/>
  <c r="T64" i="111"/>
  <c r="S64" i="111"/>
  <c r="R64" i="111"/>
  <c r="Q64" i="111"/>
  <c r="P64" i="111"/>
  <c r="O64" i="111"/>
  <c r="N64" i="111"/>
  <c r="M64" i="111"/>
  <c r="L64" i="111"/>
  <c r="K64" i="111"/>
  <c r="J64" i="111"/>
  <c r="I64" i="111"/>
  <c r="H64" i="111"/>
  <c r="G64" i="111"/>
  <c r="F64" i="111"/>
  <c r="E64" i="111"/>
  <c r="D64" i="111"/>
  <c r="C64" i="111"/>
  <c r="B64" i="111"/>
  <c r="AR63" i="111"/>
  <c r="AQ63" i="111"/>
  <c r="AP63" i="111"/>
  <c r="AO63" i="111"/>
  <c r="AN63" i="111"/>
  <c r="AM63" i="111"/>
  <c r="AL63" i="111"/>
  <c r="AK63" i="111"/>
  <c r="AJ63" i="111"/>
  <c r="AI63" i="111"/>
  <c r="AH63" i="111"/>
  <c r="AG63" i="111"/>
  <c r="AF63" i="111"/>
  <c r="AE63" i="111"/>
  <c r="AD63" i="111"/>
  <c r="AC63" i="111"/>
  <c r="AB63" i="111"/>
  <c r="AA63" i="111"/>
  <c r="Z63" i="111"/>
  <c r="Y63" i="111"/>
  <c r="X63" i="111"/>
  <c r="W63" i="111"/>
  <c r="V63" i="111"/>
  <c r="U63" i="111"/>
  <c r="T63" i="111"/>
  <c r="S63" i="111"/>
  <c r="R63" i="111"/>
  <c r="Q63" i="111"/>
  <c r="P63" i="111"/>
  <c r="O63" i="111"/>
  <c r="N63" i="111"/>
  <c r="M63" i="111"/>
  <c r="L63" i="111"/>
  <c r="K63" i="111"/>
  <c r="J63" i="111"/>
  <c r="I63" i="111"/>
  <c r="H63" i="111"/>
  <c r="G63" i="111"/>
  <c r="F63" i="111"/>
  <c r="E63" i="111"/>
  <c r="D63" i="111"/>
  <c r="C63" i="111"/>
  <c r="B63" i="111"/>
  <c r="AR62" i="111"/>
  <c r="AQ62" i="111"/>
  <c r="AP62" i="111"/>
  <c r="AO62" i="111"/>
  <c r="AN62" i="111"/>
  <c r="AM62" i="111"/>
  <c r="AL62" i="111"/>
  <c r="AK62" i="111"/>
  <c r="AJ62" i="111"/>
  <c r="AI62" i="111"/>
  <c r="AH62" i="111"/>
  <c r="AG62" i="111"/>
  <c r="AF62" i="111"/>
  <c r="AE62" i="111"/>
  <c r="AD62" i="111"/>
  <c r="AC62" i="111"/>
  <c r="AB62" i="111"/>
  <c r="AA62" i="111"/>
  <c r="Z62" i="111"/>
  <c r="Y62" i="111"/>
  <c r="X62" i="111"/>
  <c r="W62" i="111"/>
  <c r="V62" i="111"/>
  <c r="U62" i="111"/>
  <c r="T62" i="111"/>
  <c r="S62" i="111"/>
  <c r="R62" i="111"/>
  <c r="Q62" i="111"/>
  <c r="P62" i="111"/>
  <c r="O62" i="111"/>
  <c r="N62" i="111"/>
  <c r="M62" i="111"/>
  <c r="L62" i="111"/>
  <c r="K62" i="111"/>
  <c r="J62" i="111"/>
  <c r="I62" i="111"/>
  <c r="H62" i="111"/>
  <c r="G62" i="111"/>
  <c r="F62" i="111"/>
  <c r="E62" i="111"/>
  <c r="D62" i="111"/>
  <c r="C62" i="111"/>
  <c r="B62" i="111"/>
  <c r="AR61" i="111"/>
  <c r="AQ61" i="111"/>
  <c r="AP61" i="111"/>
  <c r="AO61" i="111"/>
  <c r="AN61" i="111"/>
  <c r="AM61" i="111"/>
  <c r="AL61" i="111"/>
  <c r="AK61" i="111"/>
  <c r="AJ61" i="111"/>
  <c r="AI61" i="111"/>
  <c r="AH61" i="111"/>
  <c r="AG61" i="111"/>
  <c r="AF61" i="111"/>
  <c r="AE61" i="111"/>
  <c r="AD61" i="111"/>
  <c r="AC61" i="111"/>
  <c r="AB61" i="111"/>
  <c r="AA61" i="111"/>
  <c r="Z61" i="111"/>
  <c r="Y61" i="111"/>
  <c r="X61" i="111"/>
  <c r="W61" i="111"/>
  <c r="V61" i="111"/>
  <c r="U61" i="111"/>
  <c r="T61" i="111"/>
  <c r="S61" i="111"/>
  <c r="R61" i="111"/>
  <c r="Q61" i="111"/>
  <c r="P61" i="111"/>
  <c r="O61" i="111"/>
  <c r="N61" i="111"/>
  <c r="M61" i="111"/>
  <c r="L61" i="111"/>
  <c r="K61" i="111"/>
  <c r="J61" i="111"/>
  <c r="I61" i="111"/>
  <c r="H61" i="111"/>
  <c r="G61" i="111"/>
  <c r="F61" i="111"/>
  <c r="E61" i="111"/>
  <c r="D61" i="111"/>
  <c r="C61" i="111"/>
  <c r="B61" i="111"/>
  <c r="AR60" i="111"/>
  <c r="AQ60" i="111"/>
  <c r="AP60" i="111"/>
  <c r="AO60" i="111"/>
  <c r="AN60" i="111"/>
  <c r="AM60" i="111"/>
  <c r="AL60" i="111"/>
  <c r="AK60" i="111"/>
  <c r="AJ60" i="111"/>
  <c r="AI60" i="111"/>
  <c r="AH60" i="111"/>
  <c r="AG60" i="111"/>
  <c r="AF60" i="111"/>
  <c r="AE60" i="111"/>
  <c r="AD60" i="111"/>
  <c r="AC60" i="111"/>
  <c r="AB60" i="111"/>
  <c r="AA60" i="111"/>
  <c r="Z60" i="111"/>
  <c r="Y60" i="111"/>
  <c r="X60" i="111"/>
  <c r="W60" i="111"/>
  <c r="V60" i="111"/>
  <c r="U60" i="111"/>
  <c r="T60" i="111"/>
  <c r="S60" i="111"/>
  <c r="R60" i="111"/>
  <c r="Q60" i="111"/>
  <c r="P60" i="111"/>
  <c r="O60" i="111"/>
  <c r="N60" i="111"/>
  <c r="M60" i="111"/>
  <c r="L60" i="111"/>
  <c r="K60" i="111"/>
  <c r="J60" i="111"/>
  <c r="I60" i="111"/>
  <c r="H60" i="111"/>
  <c r="G60" i="111"/>
  <c r="F60" i="111"/>
  <c r="E60" i="111"/>
  <c r="D60" i="111"/>
  <c r="C60" i="111"/>
  <c r="B60" i="111"/>
  <c r="AR59" i="111"/>
  <c r="AQ59" i="111"/>
  <c r="AP59" i="111"/>
  <c r="AO59" i="111"/>
  <c r="AN59" i="111"/>
  <c r="AM59" i="111"/>
  <c r="AL59" i="111"/>
  <c r="AK59" i="111"/>
  <c r="AJ59" i="111"/>
  <c r="AI59" i="111"/>
  <c r="AH59" i="111"/>
  <c r="AG59" i="111"/>
  <c r="AF59" i="111"/>
  <c r="AE59" i="111"/>
  <c r="AD59" i="111"/>
  <c r="AC59" i="111"/>
  <c r="AB59" i="111"/>
  <c r="AA59" i="111"/>
  <c r="Z59" i="111"/>
  <c r="Y59" i="111"/>
  <c r="X59" i="111"/>
  <c r="W59" i="111"/>
  <c r="V59" i="111"/>
  <c r="U59" i="111"/>
  <c r="T59" i="111"/>
  <c r="S59" i="111"/>
  <c r="R59" i="111"/>
  <c r="Q59" i="111"/>
  <c r="P59" i="111"/>
  <c r="O59" i="111"/>
  <c r="N59" i="111"/>
  <c r="M59" i="111"/>
  <c r="L59" i="111"/>
  <c r="K59" i="111"/>
  <c r="J59" i="111"/>
  <c r="I59" i="111"/>
  <c r="H59" i="111"/>
  <c r="G59" i="111"/>
  <c r="F59" i="111"/>
  <c r="E59" i="111"/>
  <c r="D59" i="111"/>
  <c r="C59" i="111"/>
  <c r="B59" i="111"/>
  <c r="AR58" i="111"/>
  <c r="AQ58" i="111"/>
  <c r="AP58" i="111"/>
  <c r="AO58" i="111"/>
  <c r="AN58" i="111"/>
  <c r="AM58" i="111"/>
  <c r="AL58" i="111"/>
  <c r="AK58" i="111"/>
  <c r="AJ58" i="111"/>
  <c r="AI58" i="111"/>
  <c r="AH58" i="111"/>
  <c r="AG58" i="111"/>
  <c r="AF58" i="111"/>
  <c r="AE58" i="111"/>
  <c r="AD58" i="111"/>
  <c r="AC58" i="111"/>
  <c r="AB58" i="111"/>
  <c r="AA58" i="111"/>
  <c r="Z58" i="111"/>
  <c r="Y58" i="111"/>
  <c r="X58" i="111"/>
  <c r="W58" i="111"/>
  <c r="V58" i="111"/>
  <c r="U58" i="111"/>
  <c r="T58" i="111"/>
  <c r="S58" i="111"/>
  <c r="R58" i="111"/>
  <c r="Q58" i="111"/>
  <c r="P58" i="111"/>
  <c r="O58" i="111"/>
  <c r="N58" i="111"/>
  <c r="M58" i="111"/>
  <c r="L58" i="111"/>
  <c r="K58" i="111"/>
  <c r="J58" i="111"/>
  <c r="I58" i="111"/>
  <c r="H58" i="111"/>
  <c r="G58" i="111"/>
  <c r="F58" i="111"/>
  <c r="E58" i="111"/>
  <c r="D58" i="111"/>
  <c r="C58" i="111"/>
  <c r="B58" i="111"/>
  <c r="AR57" i="111"/>
  <c r="AQ57" i="111"/>
  <c r="AP57" i="111"/>
  <c r="AO57" i="111"/>
  <c r="AN57" i="111"/>
  <c r="AM57" i="111"/>
  <c r="AL57" i="111"/>
  <c r="AK57" i="111"/>
  <c r="AJ57" i="111"/>
  <c r="AI57" i="111"/>
  <c r="AH57" i="111"/>
  <c r="AG57" i="111"/>
  <c r="AF57" i="111"/>
  <c r="AE57" i="111"/>
  <c r="AD57" i="111"/>
  <c r="AC57" i="111"/>
  <c r="AB57" i="111"/>
  <c r="AA57" i="111"/>
  <c r="Z57" i="111"/>
  <c r="Y57" i="111"/>
  <c r="X57" i="111"/>
  <c r="W57" i="111"/>
  <c r="V57" i="111"/>
  <c r="U57" i="111"/>
  <c r="T57" i="111"/>
  <c r="S57" i="111"/>
  <c r="R57" i="111"/>
  <c r="Q57" i="111"/>
  <c r="P57" i="111"/>
  <c r="O57" i="111"/>
  <c r="N57" i="111"/>
  <c r="M57" i="111"/>
  <c r="L57" i="111"/>
  <c r="K57" i="111"/>
  <c r="J57" i="111"/>
  <c r="I57" i="111"/>
  <c r="H57" i="111"/>
  <c r="G57" i="111"/>
  <c r="F57" i="111"/>
  <c r="E57" i="111"/>
  <c r="D57" i="111"/>
  <c r="C57" i="111"/>
  <c r="B57" i="111"/>
  <c r="AR56" i="111"/>
  <c r="AQ56" i="111"/>
  <c r="AP56" i="111"/>
  <c r="AO56" i="111"/>
  <c r="AN56" i="111"/>
  <c r="AM56" i="111"/>
  <c r="AL56" i="111"/>
  <c r="AK56" i="111"/>
  <c r="AJ56" i="111"/>
  <c r="AI56" i="111"/>
  <c r="AH56" i="111"/>
  <c r="AG56" i="111"/>
  <c r="AF56" i="111"/>
  <c r="AE56" i="111"/>
  <c r="AD56" i="111"/>
  <c r="AC56" i="111"/>
  <c r="AB56" i="111"/>
  <c r="AA56" i="111"/>
  <c r="Z56" i="111"/>
  <c r="Y56" i="111"/>
  <c r="X56" i="111"/>
  <c r="W56" i="111"/>
  <c r="V56" i="111"/>
  <c r="U56" i="111"/>
  <c r="T56" i="111"/>
  <c r="S56" i="111"/>
  <c r="R56" i="111"/>
  <c r="Q56" i="111"/>
  <c r="P56" i="111"/>
  <c r="O56" i="111"/>
  <c r="N56" i="111"/>
  <c r="M56" i="111"/>
  <c r="L56" i="111"/>
  <c r="K56" i="111"/>
  <c r="J56" i="111"/>
  <c r="I56" i="111"/>
  <c r="H56" i="111"/>
  <c r="G56" i="111"/>
  <c r="F56" i="111"/>
  <c r="E56" i="111"/>
  <c r="D56" i="111"/>
  <c r="C56" i="111"/>
  <c r="B56" i="111"/>
  <c r="AR55" i="111"/>
  <c r="AQ55" i="111"/>
  <c r="AP55" i="111"/>
  <c r="AO55" i="111"/>
  <c r="AN55" i="111"/>
  <c r="AM55" i="111"/>
  <c r="AL55" i="111"/>
  <c r="AK55" i="111"/>
  <c r="AJ55" i="111"/>
  <c r="AI55" i="111"/>
  <c r="AH55" i="111"/>
  <c r="AG55" i="111"/>
  <c r="AF55" i="111"/>
  <c r="AE55" i="111"/>
  <c r="AD55" i="111"/>
  <c r="AC55" i="111"/>
  <c r="AB55" i="111"/>
  <c r="AA55" i="111"/>
  <c r="Z55" i="111"/>
  <c r="Y55" i="111"/>
  <c r="X55" i="111"/>
  <c r="W55" i="111"/>
  <c r="V55" i="111"/>
  <c r="U55" i="111"/>
  <c r="T55" i="111"/>
  <c r="S55" i="111"/>
  <c r="R55" i="111"/>
  <c r="Q55" i="111"/>
  <c r="P55" i="111"/>
  <c r="O55" i="111"/>
  <c r="N55" i="111"/>
  <c r="M55" i="111"/>
  <c r="L55" i="111"/>
  <c r="K55" i="111"/>
  <c r="J55" i="111"/>
  <c r="I55" i="111"/>
  <c r="H55" i="111"/>
  <c r="G55" i="111"/>
  <c r="F55" i="111"/>
  <c r="E55" i="111"/>
  <c r="D55" i="111"/>
  <c r="C55" i="111"/>
  <c r="B55" i="111"/>
  <c r="AR54" i="111"/>
  <c r="AQ54" i="111"/>
  <c r="AP54" i="111"/>
  <c r="AO54" i="111"/>
  <c r="AN54" i="111"/>
  <c r="AM54" i="111"/>
  <c r="AL54" i="111"/>
  <c r="AK54" i="111"/>
  <c r="AJ54" i="111"/>
  <c r="AI54" i="111"/>
  <c r="AH54" i="111"/>
  <c r="AG54" i="111"/>
  <c r="AF54" i="111"/>
  <c r="AE54" i="111"/>
  <c r="AD54" i="111"/>
  <c r="AC54" i="111"/>
  <c r="AB54" i="111"/>
  <c r="AA54" i="111"/>
  <c r="Z54" i="111"/>
  <c r="Y54" i="111"/>
  <c r="X54" i="111"/>
  <c r="W54" i="111"/>
  <c r="V54" i="111"/>
  <c r="U54" i="111"/>
  <c r="T54" i="111"/>
  <c r="S54" i="111"/>
  <c r="R54" i="111"/>
  <c r="Q54" i="111"/>
  <c r="P54" i="111"/>
  <c r="O54" i="111"/>
  <c r="N54" i="111"/>
  <c r="M54" i="111"/>
  <c r="L54" i="111"/>
  <c r="K54" i="111"/>
  <c r="J54" i="111"/>
  <c r="I54" i="111"/>
  <c r="H54" i="111"/>
  <c r="G54" i="111"/>
  <c r="F54" i="111"/>
  <c r="E54" i="111"/>
  <c r="D54" i="111"/>
  <c r="C54" i="111"/>
  <c r="B54" i="111"/>
  <c r="AR53" i="111"/>
  <c r="AQ53" i="111"/>
  <c r="AP53" i="111"/>
  <c r="AO53" i="111"/>
  <c r="AN53" i="111"/>
  <c r="AM53" i="111"/>
  <c r="AL53" i="111"/>
  <c r="AK53" i="111"/>
  <c r="AJ53" i="111"/>
  <c r="AI53" i="111"/>
  <c r="AH53" i="111"/>
  <c r="AG53" i="111"/>
  <c r="AF53" i="111"/>
  <c r="AE53" i="111"/>
  <c r="AD53" i="111"/>
  <c r="AC53" i="111"/>
  <c r="AB53" i="111"/>
  <c r="AA53" i="111"/>
  <c r="Z53" i="111"/>
  <c r="Y53" i="111"/>
  <c r="X53" i="111"/>
  <c r="W53" i="111"/>
  <c r="V53" i="111"/>
  <c r="U53" i="111"/>
  <c r="T53" i="111"/>
  <c r="S53" i="111"/>
  <c r="R53" i="111"/>
  <c r="Q53" i="111"/>
  <c r="P53" i="111"/>
  <c r="O53" i="111"/>
  <c r="N53" i="111"/>
  <c r="M53" i="111"/>
  <c r="L53" i="111"/>
  <c r="K53" i="111"/>
  <c r="J53" i="111"/>
  <c r="I53" i="111"/>
  <c r="H53" i="111"/>
  <c r="G53" i="111"/>
  <c r="F53" i="111"/>
  <c r="E53" i="111"/>
  <c r="D53" i="111"/>
  <c r="C53" i="111"/>
  <c r="AQ52" i="111"/>
  <c r="AO52" i="111"/>
  <c r="AM52" i="111"/>
  <c r="AK52" i="111"/>
  <c r="AI52" i="111"/>
  <c r="AG52" i="111"/>
  <c r="AE52" i="111"/>
  <c r="AC52" i="111"/>
  <c r="AA52" i="111"/>
  <c r="Y52" i="111"/>
  <c r="W52" i="111"/>
  <c r="U52" i="111"/>
  <c r="S52" i="111"/>
  <c r="Q52" i="111"/>
  <c r="O52" i="111"/>
  <c r="M52" i="111"/>
  <c r="K52" i="111"/>
  <c r="I52" i="111"/>
  <c r="G52" i="111"/>
  <c r="E52" i="111"/>
  <c r="C52" i="111"/>
  <c r="B52" i="111"/>
  <c r="AR48" i="111"/>
  <c r="AQ48" i="111"/>
  <c r="AP48" i="111"/>
  <c r="AO48" i="111"/>
  <c r="AN48" i="111"/>
  <c r="AM48" i="111"/>
  <c r="AL48" i="111"/>
  <c r="AK48" i="111"/>
  <c r="AJ48" i="111"/>
  <c r="AI48" i="111"/>
  <c r="AH48" i="111"/>
  <c r="AG48" i="111"/>
  <c r="AF48" i="111"/>
  <c r="AE48" i="111"/>
  <c r="AD48" i="111"/>
  <c r="AC48" i="111"/>
  <c r="AB48" i="111"/>
  <c r="AA48" i="111"/>
  <c r="Z48" i="111"/>
  <c r="Y48" i="111"/>
  <c r="X48" i="111"/>
  <c r="W48" i="111"/>
  <c r="V48" i="111"/>
  <c r="U48" i="111"/>
  <c r="T48" i="111"/>
  <c r="S48" i="111"/>
  <c r="R48" i="111"/>
  <c r="Q48" i="111"/>
  <c r="P48" i="111"/>
  <c r="O48" i="111"/>
  <c r="N48" i="111"/>
  <c r="M48" i="111"/>
  <c r="L48" i="111"/>
  <c r="K48" i="111"/>
  <c r="J48" i="111"/>
  <c r="I48" i="111"/>
  <c r="H48" i="111"/>
  <c r="G48" i="111"/>
  <c r="F48" i="111"/>
  <c r="E48" i="111"/>
  <c r="D48" i="111"/>
  <c r="C48" i="111"/>
  <c r="A48" i="111"/>
  <c r="AR47" i="111"/>
  <c r="AQ47" i="111"/>
  <c r="AP47" i="111"/>
  <c r="AO47" i="111"/>
  <c r="AN47" i="111"/>
  <c r="AM47" i="111"/>
  <c r="AL47" i="111"/>
  <c r="AK47" i="111"/>
  <c r="AJ47" i="111"/>
  <c r="AI47" i="111"/>
  <c r="AH47" i="111"/>
  <c r="AG47" i="111"/>
  <c r="AF47" i="111"/>
  <c r="AE47" i="111"/>
  <c r="AD47" i="111"/>
  <c r="AC47" i="111"/>
  <c r="AB47" i="111"/>
  <c r="AA47" i="111"/>
  <c r="Z47" i="111"/>
  <c r="Y47" i="111"/>
  <c r="X47" i="111"/>
  <c r="W47" i="111"/>
  <c r="V47" i="111"/>
  <c r="U47" i="111"/>
  <c r="T47" i="111"/>
  <c r="S47" i="111"/>
  <c r="R47" i="111"/>
  <c r="Q47" i="111"/>
  <c r="P47" i="111"/>
  <c r="O47" i="111"/>
  <c r="N47" i="111"/>
  <c r="M47" i="111"/>
  <c r="L47" i="111"/>
  <c r="K47" i="111"/>
  <c r="J47" i="111"/>
  <c r="I47" i="111"/>
  <c r="H47" i="111"/>
  <c r="G47" i="111"/>
  <c r="F47" i="111"/>
  <c r="E47" i="111"/>
  <c r="D47" i="111"/>
  <c r="C47" i="111"/>
  <c r="B47" i="111"/>
  <c r="AR46" i="111"/>
  <c r="AQ46" i="111"/>
  <c r="AP46" i="111"/>
  <c r="AO46" i="111"/>
  <c r="AN46" i="111"/>
  <c r="AM46" i="111"/>
  <c r="AL46" i="111"/>
  <c r="AK46" i="111"/>
  <c r="AJ46" i="111"/>
  <c r="AI46" i="111"/>
  <c r="AH46" i="111"/>
  <c r="AG46" i="111"/>
  <c r="AF46" i="111"/>
  <c r="AE46" i="111"/>
  <c r="AD46" i="111"/>
  <c r="AC46" i="111"/>
  <c r="AB46" i="111"/>
  <c r="AA46" i="111"/>
  <c r="Z46" i="111"/>
  <c r="Y46" i="111"/>
  <c r="X46" i="111"/>
  <c r="W46" i="111"/>
  <c r="V46" i="111"/>
  <c r="U46" i="111"/>
  <c r="T46" i="111"/>
  <c r="S46" i="111"/>
  <c r="R46" i="111"/>
  <c r="Q46" i="111"/>
  <c r="P46" i="111"/>
  <c r="O46" i="111"/>
  <c r="N46" i="111"/>
  <c r="M46" i="111"/>
  <c r="L46" i="111"/>
  <c r="K46" i="111"/>
  <c r="J46" i="111"/>
  <c r="I46" i="111"/>
  <c r="H46" i="111"/>
  <c r="G46" i="111"/>
  <c r="F46" i="111"/>
  <c r="E46" i="111"/>
  <c r="D46" i="111"/>
  <c r="C46" i="111"/>
  <c r="B46" i="111"/>
  <c r="AR45" i="111"/>
  <c r="AQ45" i="111"/>
  <c r="AP45" i="111"/>
  <c r="AO45" i="111"/>
  <c r="AN45" i="111"/>
  <c r="AM45" i="111"/>
  <c r="AL45" i="111"/>
  <c r="AK45" i="111"/>
  <c r="AJ45" i="111"/>
  <c r="AI45" i="111"/>
  <c r="AH45" i="111"/>
  <c r="AG45" i="111"/>
  <c r="AF45" i="111"/>
  <c r="AE45" i="111"/>
  <c r="AD45" i="111"/>
  <c r="AC45" i="111"/>
  <c r="AB45" i="111"/>
  <c r="AA45" i="111"/>
  <c r="Z45" i="111"/>
  <c r="Y45" i="111"/>
  <c r="X45" i="111"/>
  <c r="W45" i="111"/>
  <c r="V45" i="111"/>
  <c r="U45" i="111"/>
  <c r="T45" i="111"/>
  <c r="S45" i="111"/>
  <c r="R45" i="111"/>
  <c r="Q45" i="111"/>
  <c r="P45" i="111"/>
  <c r="O45" i="111"/>
  <c r="N45" i="111"/>
  <c r="M45" i="111"/>
  <c r="L45" i="111"/>
  <c r="K45" i="111"/>
  <c r="J45" i="111"/>
  <c r="I45" i="111"/>
  <c r="H45" i="111"/>
  <c r="G45" i="111"/>
  <c r="F45" i="111"/>
  <c r="E45" i="111"/>
  <c r="D45" i="111"/>
  <c r="C45" i="111"/>
  <c r="B45" i="111"/>
  <c r="AR44" i="111"/>
  <c r="AQ44" i="111"/>
  <c r="AP44" i="111"/>
  <c r="AO44" i="111"/>
  <c r="AN44" i="111"/>
  <c r="AM44" i="111"/>
  <c r="AL44" i="111"/>
  <c r="AK44" i="111"/>
  <c r="AJ44" i="111"/>
  <c r="AI44" i="111"/>
  <c r="AH44" i="111"/>
  <c r="AG44" i="111"/>
  <c r="AF44" i="111"/>
  <c r="AE44" i="111"/>
  <c r="AD44" i="111"/>
  <c r="AC44" i="111"/>
  <c r="AB44" i="111"/>
  <c r="AA44" i="111"/>
  <c r="Z44" i="111"/>
  <c r="Y44" i="111"/>
  <c r="X44" i="111"/>
  <c r="W44" i="111"/>
  <c r="V44" i="111"/>
  <c r="U44" i="111"/>
  <c r="T44" i="111"/>
  <c r="S44" i="111"/>
  <c r="R44" i="111"/>
  <c r="Q44" i="111"/>
  <c r="P44" i="111"/>
  <c r="O44" i="111"/>
  <c r="N44" i="111"/>
  <c r="M44" i="111"/>
  <c r="L44" i="111"/>
  <c r="K44" i="111"/>
  <c r="J44" i="111"/>
  <c r="I44" i="111"/>
  <c r="H44" i="111"/>
  <c r="G44" i="111"/>
  <c r="F44" i="111"/>
  <c r="E44" i="111"/>
  <c r="D44" i="111"/>
  <c r="C44" i="111"/>
  <c r="B44" i="111"/>
  <c r="AR43" i="111"/>
  <c r="AQ43" i="111"/>
  <c r="AP43" i="111"/>
  <c r="AO43" i="111"/>
  <c r="AN43" i="111"/>
  <c r="AM43" i="111"/>
  <c r="AL43" i="111"/>
  <c r="AK43" i="111"/>
  <c r="AJ43" i="111"/>
  <c r="AI43" i="111"/>
  <c r="AH43" i="111"/>
  <c r="AG43" i="111"/>
  <c r="AF43" i="111"/>
  <c r="AE43" i="111"/>
  <c r="AD43" i="111"/>
  <c r="AC43" i="111"/>
  <c r="AB43" i="111"/>
  <c r="AA43" i="111"/>
  <c r="Z43" i="111"/>
  <c r="Y43" i="111"/>
  <c r="X43" i="111"/>
  <c r="W43" i="111"/>
  <c r="V43" i="111"/>
  <c r="U43" i="111"/>
  <c r="T43" i="111"/>
  <c r="S43" i="111"/>
  <c r="R43" i="111"/>
  <c r="Q43" i="111"/>
  <c r="P43" i="111"/>
  <c r="O43" i="111"/>
  <c r="N43" i="111"/>
  <c r="M43" i="111"/>
  <c r="L43" i="111"/>
  <c r="K43" i="111"/>
  <c r="J43" i="111"/>
  <c r="I43" i="111"/>
  <c r="H43" i="111"/>
  <c r="G43" i="111"/>
  <c r="F43" i="111"/>
  <c r="E43" i="111"/>
  <c r="D43" i="111"/>
  <c r="C43" i="111"/>
  <c r="B43" i="111"/>
  <c r="AR42" i="111"/>
  <c r="AQ42" i="111"/>
  <c r="AP42" i="111"/>
  <c r="AO42" i="111"/>
  <c r="AN42" i="111"/>
  <c r="AM42" i="111"/>
  <c r="AL42" i="111"/>
  <c r="AK42" i="111"/>
  <c r="AJ42" i="111"/>
  <c r="AI42" i="111"/>
  <c r="AH42" i="111"/>
  <c r="AG42" i="111"/>
  <c r="AF42" i="111"/>
  <c r="AE42" i="111"/>
  <c r="AD42" i="111"/>
  <c r="AC42" i="111"/>
  <c r="AB42" i="111"/>
  <c r="AA42" i="111"/>
  <c r="Z42" i="111"/>
  <c r="Y42" i="111"/>
  <c r="X42" i="111"/>
  <c r="W42" i="111"/>
  <c r="V42" i="111"/>
  <c r="U42" i="111"/>
  <c r="T42" i="111"/>
  <c r="S42" i="111"/>
  <c r="R42" i="111"/>
  <c r="Q42" i="111"/>
  <c r="P42" i="111"/>
  <c r="O42" i="111"/>
  <c r="N42" i="111"/>
  <c r="M42" i="111"/>
  <c r="L42" i="111"/>
  <c r="K42" i="111"/>
  <c r="J42" i="111"/>
  <c r="I42" i="111"/>
  <c r="H42" i="111"/>
  <c r="G42" i="111"/>
  <c r="F42" i="111"/>
  <c r="E42" i="111"/>
  <c r="D42" i="111"/>
  <c r="C42" i="111"/>
  <c r="B42" i="111"/>
  <c r="AR41" i="111"/>
  <c r="AQ41" i="111"/>
  <c r="AP41" i="111"/>
  <c r="AO41" i="111"/>
  <c r="AN41" i="111"/>
  <c r="AM41" i="111"/>
  <c r="AL41" i="111"/>
  <c r="AK41" i="111"/>
  <c r="AJ41" i="111"/>
  <c r="AI41" i="111"/>
  <c r="AH41" i="111"/>
  <c r="AG41" i="111"/>
  <c r="AF41" i="111"/>
  <c r="AE41" i="111"/>
  <c r="AD41" i="111"/>
  <c r="AC41" i="111"/>
  <c r="AB41" i="111"/>
  <c r="AA41" i="111"/>
  <c r="Z41" i="111"/>
  <c r="Y41" i="111"/>
  <c r="X41" i="111"/>
  <c r="W41" i="111"/>
  <c r="V41" i="111"/>
  <c r="U41" i="111"/>
  <c r="T41" i="111"/>
  <c r="S41" i="111"/>
  <c r="R41" i="111"/>
  <c r="Q41" i="111"/>
  <c r="P41" i="111"/>
  <c r="O41" i="111"/>
  <c r="N41" i="111"/>
  <c r="M41" i="111"/>
  <c r="L41" i="111"/>
  <c r="K41" i="111"/>
  <c r="J41" i="111"/>
  <c r="I41" i="111"/>
  <c r="H41" i="111"/>
  <c r="G41" i="111"/>
  <c r="F41" i="111"/>
  <c r="E41" i="111"/>
  <c r="D41" i="111"/>
  <c r="C41" i="111"/>
  <c r="B41" i="111"/>
  <c r="AR40" i="111"/>
  <c r="AQ40" i="111"/>
  <c r="AP40" i="111"/>
  <c r="AO40" i="111"/>
  <c r="AN40" i="111"/>
  <c r="AM40" i="111"/>
  <c r="AL40" i="111"/>
  <c r="AK40" i="111"/>
  <c r="AJ40" i="111"/>
  <c r="AI40" i="111"/>
  <c r="AH40" i="111"/>
  <c r="AG40" i="111"/>
  <c r="AF40" i="111"/>
  <c r="AE40" i="111"/>
  <c r="AD40" i="111"/>
  <c r="AC40" i="111"/>
  <c r="AB40" i="111"/>
  <c r="AA40" i="111"/>
  <c r="Z40" i="111"/>
  <c r="Y40" i="111"/>
  <c r="X40" i="111"/>
  <c r="W40" i="111"/>
  <c r="V40" i="111"/>
  <c r="U40" i="111"/>
  <c r="T40" i="111"/>
  <c r="S40" i="111"/>
  <c r="R40" i="111"/>
  <c r="Q40" i="111"/>
  <c r="P40" i="111"/>
  <c r="O40" i="111"/>
  <c r="N40" i="111"/>
  <c r="M40" i="111"/>
  <c r="L40" i="111"/>
  <c r="K40" i="111"/>
  <c r="J40" i="111"/>
  <c r="I40" i="111"/>
  <c r="H40" i="111"/>
  <c r="G40" i="111"/>
  <c r="F40" i="111"/>
  <c r="E40" i="111"/>
  <c r="D40" i="111"/>
  <c r="C40" i="111"/>
  <c r="B40" i="111"/>
  <c r="AR39" i="111"/>
  <c r="AQ39" i="111"/>
  <c r="AP39" i="111"/>
  <c r="AO39" i="111"/>
  <c r="AN39" i="111"/>
  <c r="AM39" i="111"/>
  <c r="AL39" i="111"/>
  <c r="AK39" i="111"/>
  <c r="AJ39" i="111"/>
  <c r="AI39" i="111"/>
  <c r="AH39" i="111"/>
  <c r="AG39" i="111"/>
  <c r="AF39" i="111"/>
  <c r="AE39" i="111"/>
  <c r="AD39" i="111"/>
  <c r="AC39" i="111"/>
  <c r="AB39" i="111"/>
  <c r="AA39" i="111"/>
  <c r="Z39" i="111"/>
  <c r="Y39" i="111"/>
  <c r="X39" i="111"/>
  <c r="W39" i="111"/>
  <c r="V39" i="111"/>
  <c r="U39" i="111"/>
  <c r="T39" i="111"/>
  <c r="S39" i="111"/>
  <c r="R39" i="111"/>
  <c r="Q39" i="111"/>
  <c r="P39" i="111"/>
  <c r="O39" i="111"/>
  <c r="N39" i="111"/>
  <c r="M39" i="111"/>
  <c r="L39" i="111"/>
  <c r="K39" i="111"/>
  <c r="J39" i="111"/>
  <c r="I39" i="111"/>
  <c r="H39" i="111"/>
  <c r="G39" i="111"/>
  <c r="F39" i="111"/>
  <c r="E39" i="111"/>
  <c r="D39" i="111"/>
  <c r="C39" i="111"/>
  <c r="B39" i="111"/>
  <c r="AR38" i="111"/>
  <c r="AQ38" i="111"/>
  <c r="AP38" i="111"/>
  <c r="AO38" i="111"/>
  <c r="AN38" i="111"/>
  <c r="AM38" i="111"/>
  <c r="AL38" i="111"/>
  <c r="AK38" i="111"/>
  <c r="AJ38" i="111"/>
  <c r="AI38" i="111"/>
  <c r="AH38" i="111"/>
  <c r="AG38" i="111"/>
  <c r="AF38" i="111"/>
  <c r="AE38" i="111"/>
  <c r="AD38" i="111"/>
  <c r="AC38" i="111"/>
  <c r="AB38" i="111"/>
  <c r="AA38" i="111"/>
  <c r="Z38" i="111"/>
  <c r="Y38" i="111"/>
  <c r="X38" i="111"/>
  <c r="W38" i="111"/>
  <c r="V38" i="111"/>
  <c r="U38" i="111"/>
  <c r="T38" i="111"/>
  <c r="S38" i="111"/>
  <c r="R38" i="111"/>
  <c r="Q38" i="111"/>
  <c r="P38" i="111"/>
  <c r="O38" i="111"/>
  <c r="N38" i="111"/>
  <c r="M38" i="111"/>
  <c r="L38" i="111"/>
  <c r="K38" i="111"/>
  <c r="J38" i="111"/>
  <c r="I38" i="111"/>
  <c r="H38" i="111"/>
  <c r="G38" i="111"/>
  <c r="F38" i="111"/>
  <c r="E38" i="111"/>
  <c r="D38" i="111"/>
  <c r="C38" i="111"/>
  <c r="B38" i="111"/>
  <c r="AR37" i="111"/>
  <c r="AQ37" i="111"/>
  <c r="AP37" i="111"/>
  <c r="AO37" i="111"/>
  <c r="AN37" i="111"/>
  <c r="AM37" i="111"/>
  <c r="AL37" i="111"/>
  <c r="AK37" i="111"/>
  <c r="AJ37" i="111"/>
  <c r="AI37" i="111"/>
  <c r="AH37" i="111"/>
  <c r="AG37" i="111"/>
  <c r="AF37" i="111"/>
  <c r="AE37" i="111"/>
  <c r="AD37" i="111"/>
  <c r="AC37" i="111"/>
  <c r="AB37" i="111"/>
  <c r="AA37" i="111"/>
  <c r="Z37" i="111"/>
  <c r="Y37" i="111"/>
  <c r="X37" i="111"/>
  <c r="W37" i="111"/>
  <c r="V37" i="111"/>
  <c r="U37" i="111"/>
  <c r="T37" i="111"/>
  <c r="S37" i="111"/>
  <c r="R37" i="111"/>
  <c r="Q37" i="111"/>
  <c r="P37" i="111"/>
  <c r="O37" i="111"/>
  <c r="N37" i="111"/>
  <c r="M37" i="111"/>
  <c r="L37" i="111"/>
  <c r="K37" i="111"/>
  <c r="J37" i="111"/>
  <c r="I37" i="111"/>
  <c r="H37" i="111"/>
  <c r="G37" i="111"/>
  <c r="F37" i="111"/>
  <c r="E37" i="111"/>
  <c r="D37" i="111"/>
  <c r="C37" i="111"/>
  <c r="B37" i="111"/>
  <c r="AR36" i="111"/>
  <c r="AQ36" i="111"/>
  <c r="AP36" i="111"/>
  <c r="AO36" i="111"/>
  <c r="AN36" i="111"/>
  <c r="AM36" i="111"/>
  <c r="AL36" i="111"/>
  <c r="AK36" i="111"/>
  <c r="AJ36" i="111"/>
  <c r="AI36" i="111"/>
  <c r="AH36" i="111"/>
  <c r="AG36" i="111"/>
  <c r="AF36" i="111"/>
  <c r="AE36" i="111"/>
  <c r="AD36" i="111"/>
  <c r="AC36" i="111"/>
  <c r="AB36" i="111"/>
  <c r="AA36" i="111"/>
  <c r="Z36" i="111"/>
  <c r="Y36" i="111"/>
  <c r="X36" i="111"/>
  <c r="W36" i="111"/>
  <c r="V36" i="111"/>
  <c r="U36" i="111"/>
  <c r="T36" i="111"/>
  <c r="S36" i="111"/>
  <c r="R36" i="111"/>
  <c r="Q36" i="111"/>
  <c r="P36" i="111"/>
  <c r="O36" i="111"/>
  <c r="N36" i="111"/>
  <c r="M36" i="111"/>
  <c r="L36" i="111"/>
  <c r="K36" i="111"/>
  <c r="J36" i="111"/>
  <c r="I36" i="111"/>
  <c r="H36" i="111"/>
  <c r="G36" i="111"/>
  <c r="F36" i="111"/>
  <c r="E36" i="111"/>
  <c r="D36" i="111"/>
  <c r="C36" i="111"/>
  <c r="AQ35" i="111"/>
  <c r="AO35" i="111"/>
  <c r="AM35" i="111"/>
  <c r="AK35" i="111"/>
  <c r="AI35" i="111"/>
  <c r="AG35" i="111"/>
  <c r="AE35" i="111"/>
  <c r="AC35" i="111"/>
  <c r="AA35" i="111"/>
  <c r="Y35" i="111"/>
  <c r="W35" i="111"/>
  <c r="U35" i="111"/>
  <c r="S35" i="111"/>
  <c r="Q35" i="111"/>
  <c r="O35" i="111"/>
  <c r="M35" i="111"/>
  <c r="K35" i="111"/>
  <c r="I35" i="111"/>
  <c r="G35" i="111"/>
  <c r="E35" i="111"/>
  <c r="C35" i="111"/>
  <c r="B35" i="111"/>
  <c r="B33" i="111"/>
  <c r="AR31" i="111"/>
  <c r="AQ31" i="111"/>
  <c r="AP31" i="111"/>
  <c r="AO31" i="111"/>
  <c r="AN31" i="111"/>
  <c r="AM31" i="111"/>
  <c r="AL31" i="111"/>
  <c r="AK31" i="111"/>
  <c r="AJ31" i="111"/>
  <c r="AI31" i="111"/>
  <c r="AH31" i="111"/>
  <c r="AG31" i="111"/>
  <c r="AF31" i="111"/>
  <c r="AE31" i="111"/>
  <c r="AD31" i="111"/>
  <c r="AC31" i="111"/>
  <c r="AB31" i="111"/>
  <c r="AA31" i="111"/>
  <c r="Z31" i="111"/>
  <c r="Y31" i="111"/>
  <c r="X31" i="111"/>
  <c r="W31" i="111"/>
  <c r="V31" i="111"/>
  <c r="U31" i="111"/>
  <c r="T31" i="111"/>
  <c r="S31" i="111"/>
  <c r="R31" i="111"/>
  <c r="Q31" i="111"/>
  <c r="P31" i="111"/>
  <c r="O31" i="111"/>
  <c r="N31" i="111"/>
  <c r="M31" i="111"/>
  <c r="L31" i="111"/>
  <c r="K31" i="111"/>
  <c r="J31" i="111"/>
  <c r="I31" i="111"/>
  <c r="H31" i="111"/>
  <c r="G31" i="111"/>
  <c r="F31" i="111"/>
  <c r="E31" i="111"/>
  <c r="D31" i="111"/>
  <c r="C31" i="111"/>
  <c r="A31" i="111"/>
  <c r="AR30" i="111"/>
  <c r="AQ30" i="111"/>
  <c r="AP30" i="111"/>
  <c r="AO30" i="111"/>
  <c r="AN30" i="111"/>
  <c r="AM30" i="111"/>
  <c r="AL30" i="111"/>
  <c r="AK30" i="111"/>
  <c r="AJ30" i="111"/>
  <c r="AI30" i="111"/>
  <c r="AH30" i="111"/>
  <c r="AG30" i="111"/>
  <c r="AF30" i="111"/>
  <c r="AE30" i="111"/>
  <c r="AD30" i="111"/>
  <c r="AC30" i="111"/>
  <c r="AB30" i="111"/>
  <c r="AA30" i="111"/>
  <c r="Z30" i="111"/>
  <c r="Y30" i="111"/>
  <c r="X30" i="111"/>
  <c r="W30" i="111"/>
  <c r="V30" i="111"/>
  <c r="U30" i="111"/>
  <c r="T30" i="111"/>
  <c r="S30" i="111"/>
  <c r="R30" i="111"/>
  <c r="Q30" i="111"/>
  <c r="P30" i="111"/>
  <c r="O30" i="111"/>
  <c r="N30" i="111"/>
  <c r="M30" i="111"/>
  <c r="L30" i="111"/>
  <c r="K30" i="111"/>
  <c r="J30" i="111"/>
  <c r="I30" i="111"/>
  <c r="H30" i="111"/>
  <c r="G30" i="111"/>
  <c r="F30" i="111"/>
  <c r="E30" i="111"/>
  <c r="D30" i="111"/>
  <c r="C30" i="111"/>
  <c r="B30" i="111"/>
  <c r="AR29" i="111"/>
  <c r="AQ29" i="111"/>
  <c r="AP29" i="111"/>
  <c r="AO29" i="111"/>
  <c r="AN29" i="111"/>
  <c r="AM29" i="111"/>
  <c r="AL29" i="111"/>
  <c r="AK29" i="111"/>
  <c r="AJ29" i="111"/>
  <c r="AI29" i="111"/>
  <c r="AH29" i="111"/>
  <c r="AG29" i="111"/>
  <c r="AF29" i="111"/>
  <c r="AE29" i="111"/>
  <c r="AD29" i="111"/>
  <c r="AC29" i="111"/>
  <c r="AB29" i="111"/>
  <c r="AA29" i="111"/>
  <c r="Z29" i="111"/>
  <c r="Y29" i="111"/>
  <c r="X29" i="111"/>
  <c r="W29" i="111"/>
  <c r="V29" i="111"/>
  <c r="U29" i="111"/>
  <c r="T29" i="111"/>
  <c r="S29" i="111"/>
  <c r="R29" i="111"/>
  <c r="Q29" i="111"/>
  <c r="P29" i="111"/>
  <c r="O29" i="111"/>
  <c r="N29" i="111"/>
  <c r="M29" i="111"/>
  <c r="L29" i="111"/>
  <c r="K29" i="111"/>
  <c r="J29" i="111"/>
  <c r="I29" i="111"/>
  <c r="H29" i="111"/>
  <c r="G29" i="111"/>
  <c r="F29" i="111"/>
  <c r="E29" i="111"/>
  <c r="D29" i="111"/>
  <c r="C29" i="111"/>
  <c r="B29" i="111"/>
  <c r="AR28" i="111"/>
  <c r="AQ28" i="111"/>
  <c r="AP28" i="111"/>
  <c r="AO28" i="111"/>
  <c r="AN28" i="111"/>
  <c r="AM28" i="111"/>
  <c r="AL28" i="111"/>
  <c r="AK28" i="111"/>
  <c r="AJ28" i="111"/>
  <c r="AI28" i="111"/>
  <c r="AH28" i="111"/>
  <c r="AG28" i="111"/>
  <c r="AF28" i="111"/>
  <c r="AE28" i="111"/>
  <c r="AD28" i="111"/>
  <c r="AC28" i="111"/>
  <c r="AB28" i="111"/>
  <c r="AA28" i="111"/>
  <c r="Z28" i="111"/>
  <c r="Y28" i="111"/>
  <c r="X28" i="111"/>
  <c r="W28" i="111"/>
  <c r="V28" i="111"/>
  <c r="U28" i="111"/>
  <c r="T28" i="111"/>
  <c r="S28" i="111"/>
  <c r="R28" i="111"/>
  <c r="Q28" i="111"/>
  <c r="P28" i="111"/>
  <c r="O28" i="111"/>
  <c r="N28" i="111"/>
  <c r="M28" i="111"/>
  <c r="L28" i="111"/>
  <c r="K28" i="111"/>
  <c r="J28" i="111"/>
  <c r="I28" i="111"/>
  <c r="H28" i="111"/>
  <c r="G28" i="111"/>
  <c r="F28" i="111"/>
  <c r="E28" i="111"/>
  <c r="D28" i="111"/>
  <c r="C28" i="111"/>
  <c r="B28" i="111"/>
  <c r="AR27" i="111"/>
  <c r="AQ27" i="111"/>
  <c r="AP27" i="111"/>
  <c r="AO27" i="111"/>
  <c r="AN27" i="111"/>
  <c r="AM27" i="111"/>
  <c r="AL27" i="111"/>
  <c r="AK27" i="111"/>
  <c r="AJ27" i="111"/>
  <c r="AI27" i="111"/>
  <c r="AH27" i="111"/>
  <c r="AG27" i="111"/>
  <c r="AF27" i="111"/>
  <c r="AE27" i="111"/>
  <c r="AD27" i="111"/>
  <c r="AC27" i="111"/>
  <c r="AB27" i="111"/>
  <c r="AA27" i="111"/>
  <c r="Z27" i="111"/>
  <c r="Y27" i="111"/>
  <c r="X27" i="111"/>
  <c r="W27" i="111"/>
  <c r="V27" i="111"/>
  <c r="U27" i="111"/>
  <c r="T27" i="111"/>
  <c r="S27" i="111"/>
  <c r="R27" i="111"/>
  <c r="Q27" i="111"/>
  <c r="P27" i="111"/>
  <c r="O27" i="111"/>
  <c r="N27" i="111"/>
  <c r="M27" i="111"/>
  <c r="L27" i="111"/>
  <c r="K27" i="111"/>
  <c r="J27" i="111"/>
  <c r="I27" i="111"/>
  <c r="H27" i="111"/>
  <c r="G27" i="111"/>
  <c r="F27" i="111"/>
  <c r="E27" i="111"/>
  <c r="D27" i="111"/>
  <c r="C27" i="111"/>
  <c r="B27" i="111"/>
  <c r="AR26" i="111"/>
  <c r="AQ26" i="111"/>
  <c r="AP26" i="111"/>
  <c r="AO26" i="111"/>
  <c r="AN26" i="111"/>
  <c r="AM26" i="111"/>
  <c r="AL26" i="111"/>
  <c r="AK26" i="111"/>
  <c r="AJ26" i="111"/>
  <c r="AI26" i="111"/>
  <c r="AH26" i="111"/>
  <c r="AG26" i="111"/>
  <c r="AF26" i="111"/>
  <c r="AE26" i="111"/>
  <c r="AD26" i="111"/>
  <c r="AC26" i="111"/>
  <c r="AB26" i="111"/>
  <c r="AA26" i="111"/>
  <c r="Z26" i="111"/>
  <c r="Y26" i="111"/>
  <c r="X26" i="111"/>
  <c r="W26" i="111"/>
  <c r="V26" i="111"/>
  <c r="U26" i="111"/>
  <c r="T26" i="111"/>
  <c r="S26" i="111"/>
  <c r="R26" i="111"/>
  <c r="Q26" i="111"/>
  <c r="P26" i="111"/>
  <c r="O26" i="111"/>
  <c r="N26" i="111"/>
  <c r="M26" i="111"/>
  <c r="L26" i="111"/>
  <c r="K26" i="111"/>
  <c r="J26" i="111"/>
  <c r="I26" i="111"/>
  <c r="H26" i="111"/>
  <c r="G26" i="111"/>
  <c r="F26" i="111"/>
  <c r="E26" i="111"/>
  <c r="D26" i="111"/>
  <c r="C26" i="111"/>
  <c r="B26" i="111"/>
  <c r="AR25" i="111"/>
  <c r="AQ25" i="111"/>
  <c r="AP25" i="111"/>
  <c r="AO25" i="111"/>
  <c r="AN25" i="111"/>
  <c r="AM25" i="111"/>
  <c r="AL25" i="111"/>
  <c r="AK25" i="111"/>
  <c r="AJ25" i="111"/>
  <c r="AI25" i="111"/>
  <c r="AH25" i="111"/>
  <c r="AG25" i="111"/>
  <c r="AF25" i="111"/>
  <c r="AE25" i="111"/>
  <c r="AD25" i="111"/>
  <c r="AC25" i="111"/>
  <c r="AB25" i="111"/>
  <c r="AA25" i="111"/>
  <c r="Z25" i="111"/>
  <c r="Y25" i="111"/>
  <c r="X25" i="111"/>
  <c r="W25" i="111"/>
  <c r="V25" i="111"/>
  <c r="U25" i="111"/>
  <c r="T25" i="111"/>
  <c r="S25" i="111"/>
  <c r="R25" i="111"/>
  <c r="Q25" i="111"/>
  <c r="P25" i="111"/>
  <c r="O25" i="111"/>
  <c r="N25" i="111"/>
  <c r="M25" i="111"/>
  <c r="L25" i="111"/>
  <c r="K25" i="111"/>
  <c r="J25" i="111"/>
  <c r="I25" i="111"/>
  <c r="H25" i="111"/>
  <c r="G25" i="111"/>
  <c r="F25" i="111"/>
  <c r="E25" i="111"/>
  <c r="D25" i="111"/>
  <c r="C25" i="111"/>
  <c r="B25" i="111"/>
  <c r="AR24" i="111"/>
  <c r="AQ24" i="111"/>
  <c r="AP24" i="111"/>
  <c r="AO24" i="111"/>
  <c r="AN24" i="111"/>
  <c r="AM24" i="111"/>
  <c r="AL24" i="111"/>
  <c r="AK24" i="111"/>
  <c r="AJ24" i="111"/>
  <c r="AI24" i="111"/>
  <c r="AH24" i="111"/>
  <c r="AG24" i="111"/>
  <c r="AF24" i="111"/>
  <c r="AE24" i="111"/>
  <c r="AD24" i="111"/>
  <c r="AC24" i="111"/>
  <c r="AB24" i="111"/>
  <c r="AA24" i="111"/>
  <c r="Z24" i="111"/>
  <c r="Y24" i="111"/>
  <c r="X24" i="111"/>
  <c r="W24" i="111"/>
  <c r="V24" i="111"/>
  <c r="U24" i="111"/>
  <c r="T24" i="111"/>
  <c r="S24" i="111"/>
  <c r="R24" i="111"/>
  <c r="Q24" i="111"/>
  <c r="P24" i="111"/>
  <c r="O24" i="111"/>
  <c r="N24" i="111"/>
  <c r="M24" i="111"/>
  <c r="L24" i="111"/>
  <c r="K24" i="111"/>
  <c r="J24" i="111"/>
  <c r="I24" i="111"/>
  <c r="H24" i="111"/>
  <c r="G24" i="111"/>
  <c r="F24" i="111"/>
  <c r="E24" i="111"/>
  <c r="D24" i="111"/>
  <c r="C24" i="111"/>
  <c r="B24" i="111"/>
  <c r="AR23" i="111"/>
  <c r="AQ23" i="111"/>
  <c r="AP23" i="111"/>
  <c r="AO23" i="111"/>
  <c r="AN23" i="111"/>
  <c r="AM23" i="111"/>
  <c r="AL23" i="111"/>
  <c r="AK23" i="111"/>
  <c r="AJ23" i="111"/>
  <c r="AI23" i="111"/>
  <c r="AH23" i="111"/>
  <c r="AG23" i="111"/>
  <c r="AF23" i="111"/>
  <c r="AE23" i="111"/>
  <c r="AD23" i="111"/>
  <c r="AC23" i="111"/>
  <c r="AB23" i="111"/>
  <c r="AA23" i="111"/>
  <c r="Z23" i="111"/>
  <c r="Y23" i="111"/>
  <c r="X23" i="111"/>
  <c r="W23" i="111"/>
  <c r="V23" i="111"/>
  <c r="U23" i="111"/>
  <c r="T23" i="111"/>
  <c r="S23" i="111"/>
  <c r="R23" i="111"/>
  <c r="Q23" i="111"/>
  <c r="P23" i="111"/>
  <c r="O23" i="111"/>
  <c r="N23" i="111"/>
  <c r="M23" i="111"/>
  <c r="L23" i="111"/>
  <c r="K23" i="111"/>
  <c r="J23" i="111"/>
  <c r="I23" i="111"/>
  <c r="H23" i="111"/>
  <c r="G23" i="111"/>
  <c r="F23" i="111"/>
  <c r="E23" i="111"/>
  <c r="D23" i="111"/>
  <c r="C23" i="111"/>
  <c r="B23" i="111"/>
  <c r="AR22" i="111"/>
  <c r="AQ22" i="111"/>
  <c r="AP22" i="111"/>
  <c r="AO22" i="111"/>
  <c r="AN22" i="111"/>
  <c r="AM22" i="111"/>
  <c r="AL22" i="111"/>
  <c r="AK22" i="111"/>
  <c r="AJ22" i="111"/>
  <c r="AI22" i="111"/>
  <c r="AH22" i="111"/>
  <c r="AG22" i="111"/>
  <c r="AF22" i="111"/>
  <c r="AE22" i="111"/>
  <c r="AD22" i="111"/>
  <c r="AC22" i="111"/>
  <c r="AB22" i="111"/>
  <c r="AA22" i="111"/>
  <c r="Z22" i="111"/>
  <c r="Y22" i="111"/>
  <c r="X22" i="111"/>
  <c r="W22" i="111"/>
  <c r="V22" i="111"/>
  <c r="U22" i="111"/>
  <c r="T22" i="111"/>
  <c r="S22" i="111"/>
  <c r="R22" i="111"/>
  <c r="Q22" i="111"/>
  <c r="P22" i="111"/>
  <c r="O22" i="111"/>
  <c r="N22" i="111"/>
  <c r="M22" i="111"/>
  <c r="L22" i="111"/>
  <c r="K22" i="111"/>
  <c r="J22" i="111"/>
  <c r="I22" i="111"/>
  <c r="H22" i="111"/>
  <c r="G22" i="111"/>
  <c r="F22" i="111"/>
  <c r="E22" i="111"/>
  <c r="D22" i="111"/>
  <c r="C22" i="111"/>
  <c r="B22" i="111"/>
  <c r="AR21" i="111"/>
  <c r="AQ21" i="111"/>
  <c r="AP21" i="111"/>
  <c r="AO21" i="111"/>
  <c r="AN21" i="111"/>
  <c r="AM21" i="111"/>
  <c r="AL21" i="111"/>
  <c r="AK21" i="111"/>
  <c r="AJ21" i="111"/>
  <c r="AI21" i="111"/>
  <c r="AH21" i="111"/>
  <c r="AG21" i="111"/>
  <c r="AF21" i="111"/>
  <c r="AE21" i="111"/>
  <c r="AD21" i="111"/>
  <c r="AC21" i="111"/>
  <c r="AB21" i="111"/>
  <c r="AA21" i="111"/>
  <c r="Z21" i="111"/>
  <c r="Y21" i="111"/>
  <c r="X21" i="111"/>
  <c r="W21" i="111"/>
  <c r="V21" i="111"/>
  <c r="U21" i="111"/>
  <c r="T21" i="111"/>
  <c r="S21" i="111"/>
  <c r="R21" i="111"/>
  <c r="Q21" i="111"/>
  <c r="P21" i="111"/>
  <c r="O21" i="111"/>
  <c r="N21" i="111"/>
  <c r="M21" i="111"/>
  <c r="L21" i="111"/>
  <c r="K21" i="111"/>
  <c r="J21" i="111"/>
  <c r="I21" i="111"/>
  <c r="H21" i="111"/>
  <c r="G21" i="111"/>
  <c r="F21" i="111"/>
  <c r="E21" i="111"/>
  <c r="D21" i="111"/>
  <c r="C21" i="111"/>
  <c r="B21" i="111"/>
  <c r="AR20" i="111"/>
  <c r="AQ20" i="111"/>
  <c r="AP20" i="111"/>
  <c r="AO20" i="111"/>
  <c r="AN20" i="111"/>
  <c r="AM20" i="111"/>
  <c r="AL20" i="111"/>
  <c r="AK20" i="111"/>
  <c r="AJ20" i="111"/>
  <c r="AI20" i="111"/>
  <c r="AH20" i="111"/>
  <c r="AG20" i="111"/>
  <c r="AF20" i="111"/>
  <c r="AE20" i="111"/>
  <c r="AD20" i="111"/>
  <c r="AC20" i="111"/>
  <c r="AB20" i="111"/>
  <c r="AA20" i="111"/>
  <c r="Z20" i="111"/>
  <c r="Y20" i="111"/>
  <c r="X20" i="111"/>
  <c r="W20" i="111"/>
  <c r="V20" i="111"/>
  <c r="U20" i="111"/>
  <c r="T20" i="111"/>
  <c r="S20" i="111"/>
  <c r="R20" i="111"/>
  <c r="Q20" i="111"/>
  <c r="P20" i="111"/>
  <c r="O20" i="111"/>
  <c r="N20" i="111"/>
  <c r="M20" i="111"/>
  <c r="L20" i="111"/>
  <c r="K20" i="111"/>
  <c r="J20" i="111"/>
  <c r="I20" i="111"/>
  <c r="H20" i="111"/>
  <c r="G20" i="111"/>
  <c r="F20" i="111"/>
  <c r="E20" i="111"/>
  <c r="D20" i="111"/>
  <c r="C20" i="111"/>
  <c r="B20" i="111"/>
  <c r="AR19" i="111"/>
  <c r="AQ19" i="111"/>
  <c r="AP19" i="111"/>
  <c r="AO19" i="111"/>
  <c r="AN19" i="111"/>
  <c r="AM19" i="111"/>
  <c r="AL19" i="111"/>
  <c r="AK19" i="111"/>
  <c r="AJ19" i="111"/>
  <c r="AI19" i="111"/>
  <c r="AH19" i="111"/>
  <c r="AG19" i="111"/>
  <c r="AF19" i="111"/>
  <c r="AE19" i="111"/>
  <c r="AD19" i="111"/>
  <c r="AC19" i="111"/>
  <c r="AB19" i="111"/>
  <c r="AA19" i="111"/>
  <c r="Z19" i="111"/>
  <c r="Y19" i="111"/>
  <c r="X19" i="111"/>
  <c r="W19" i="111"/>
  <c r="V19" i="111"/>
  <c r="U19" i="111"/>
  <c r="T19" i="111"/>
  <c r="S19" i="111"/>
  <c r="R19" i="111"/>
  <c r="Q19" i="111"/>
  <c r="P19" i="111"/>
  <c r="O19" i="111"/>
  <c r="N19" i="111"/>
  <c r="M19" i="111"/>
  <c r="L19" i="111"/>
  <c r="K19" i="111"/>
  <c r="J19" i="111"/>
  <c r="I19" i="111"/>
  <c r="H19" i="111"/>
  <c r="G19" i="111"/>
  <c r="F19" i="111"/>
  <c r="E19" i="111"/>
  <c r="D19" i="111"/>
  <c r="C19" i="111"/>
  <c r="AQ18" i="111"/>
  <c r="AO18" i="111"/>
  <c r="AM18" i="111"/>
  <c r="AK18" i="111"/>
  <c r="AI18" i="111"/>
  <c r="AG18" i="111"/>
  <c r="AE18" i="111"/>
  <c r="AC18" i="111"/>
  <c r="AA18" i="111"/>
  <c r="Y18" i="111"/>
  <c r="W18" i="111"/>
  <c r="U18" i="111"/>
  <c r="S18" i="111"/>
  <c r="Q18" i="111"/>
  <c r="O18" i="111"/>
  <c r="M18" i="111"/>
  <c r="K18" i="111"/>
  <c r="I18" i="111"/>
  <c r="G18" i="111"/>
  <c r="E18" i="111"/>
  <c r="C18" i="111"/>
  <c r="B18" i="111"/>
  <c r="J12" i="111"/>
  <c r="A10" i="111"/>
  <c r="A1" i="111"/>
  <c r="E66" i="96"/>
  <c r="A66" i="96"/>
  <c r="E65" i="96"/>
  <c r="E64" i="96"/>
  <c r="J62" i="96"/>
  <c r="I62" i="96"/>
  <c r="G62" i="96"/>
  <c r="E62" i="96"/>
  <c r="D62" i="96"/>
  <c r="C62" i="96"/>
  <c r="B62" i="96"/>
  <c r="J61" i="96"/>
  <c r="I61" i="96"/>
  <c r="G61" i="96"/>
  <c r="E61" i="96"/>
  <c r="D61" i="96"/>
  <c r="C61" i="96"/>
  <c r="B61" i="96"/>
  <c r="J60" i="96"/>
  <c r="I60" i="96"/>
  <c r="G60" i="96"/>
  <c r="E60" i="96"/>
  <c r="D60" i="96"/>
  <c r="C60" i="96"/>
  <c r="B60" i="96"/>
  <c r="J59" i="96"/>
  <c r="I59" i="96"/>
  <c r="G59" i="96"/>
  <c r="E59" i="96"/>
  <c r="D59" i="96"/>
  <c r="C59" i="96"/>
  <c r="B59" i="96"/>
  <c r="J58" i="96"/>
  <c r="I58" i="96"/>
  <c r="G58" i="96"/>
  <c r="E58" i="96"/>
  <c r="D58" i="96"/>
  <c r="C58" i="96"/>
  <c r="B58" i="96"/>
  <c r="J57" i="96"/>
  <c r="I57" i="96"/>
  <c r="G57" i="96"/>
  <c r="E57" i="96"/>
  <c r="D57" i="96"/>
  <c r="C57" i="96"/>
  <c r="B57" i="96"/>
  <c r="J56" i="96"/>
  <c r="I56" i="96"/>
  <c r="G56" i="96"/>
  <c r="E56" i="96"/>
  <c r="D56" i="96"/>
  <c r="C56" i="96"/>
  <c r="B56" i="96"/>
  <c r="J55" i="96"/>
  <c r="I55" i="96"/>
  <c r="G55" i="96"/>
  <c r="E55" i="96"/>
  <c r="D55" i="96"/>
  <c r="C55" i="96"/>
  <c r="B55" i="96"/>
  <c r="J54" i="96"/>
  <c r="I54" i="96"/>
  <c r="G54" i="96"/>
  <c r="E54" i="96"/>
  <c r="D54" i="96"/>
  <c r="C54" i="96"/>
  <c r="B54" i="96"/>
  <c r="J53" i="96"/>
  <c r="I53" i="96"/>
  <c r="G53" i="96"/>
  <c r="E53" i="96"/>
  <c r="D53" i="96"/>
  <c r="C53" i="96"/>
  <c r="B53" i="96"/>
  <c r="J52" i="96"/>
  <c r="I52" i="96"/>
  <c r="G52" i="96"/>
  <c r="E52" i="96"/>
  <c r="D52" i="96"/>
  <c r="C52" i="96"/>
  <c r="B52" i="96"/>
  <c r="J51" i="96"/>
  <c r="I51" i="96"/>
  <c r="G51" i="96"/>
  <c r="E51" i="96"/>
  <c r="D51" i="96"/>
  <c r="C51" i="96"/>
  <c r="B51" i="96"/>
  <c r="J50" i="96"/>
  <c r="I50" i="96"/>
  <c r="G50" i="96"/>
  <c r="E50" i="96"/>
  <c r="D50" i="96"/>
  <c r="C50" i="96"/>
  <c r="B50" i="96"/>
  <c r="J49" i="96"/>
  <c r="I49" i="96"/>
  <c r="G49" i="96"/>
  <c r="E49" i="96"/>
  <c r="D49" i="96"/>
  <c r="C49" i="96"/>
  <c r="B49" i="96"/>
  <c r="J48" i="96"/>
  <c r="I48" i="96"/>
  <c r="G48" i="96"/>
  <c r="E48" i="96"/>
  <c r="D48" i="96"/>
  <c r="C48" i="96"/>
  <c r="B48" i="96"/>
  <c r="J47" i="96"/>
  <c r="I47" i="96"/>
  <c r="G47" i="96"/>
  <c r="E47" i="96"/>
  <c r="D47" i="96"/>
  <c r="C47" i="96"/>
  <c r="B47" i="96"/>
  <c r="J46" i="96"/>
  <c r="I46" i="96"/>
  <c r="G46" i="96"/>
  <c r="E46" i="96"/>
  <c r="D46" i="96"/>
  <c r="C46" i="96"/>
  <c r="B46" i="96"/>
  <c r="J45" i="96"/>
  <c r="I45" i="96"/>
  <c r="G45" i="96"/>
  <c r="E45" i="96"/>
  <c r="D45" i="96"/>
  <c r="C45" i="96"/>
  <c r="B45" i="96"/>
  <c r="J44" i="96"/>
  <c r="I44" i="96"/>
  <c r="G44" i="96"/>
  <c r="E44" i="96"/>
  <c r="D44" i="96"/>
  <c r="C44" i="96"/>
  <c r="B44" i="96"/>
  <c r="I43" i="96"/>
  <c r="G43" i="96"/>
  <c r="F39" i="96"/>
  <c r="E39" i="96"/>
  <c r="A39" i="96"/>
  <c r="F38" i="96"/>
  <c r="E38" i="96"/>
  <c r="A38" i="96"/>
  <c r="U36" i="96"/>
  <c r="T36" i="96"/>
  <c r="S36" i="96"/>
  <c r="R36" i="96"/>
  <c r="Q36" i="96"/>
  <c r="P36" i="96"/>
  <c r="O36" i="96"/>
  <c r="N36" i="96"/>
  <c r="M36" i="96"/>
  <c r="L36" i="96"/>
  <c r="K36" i="96"/>
  <c r="J36" i="96"/>
  <c r="I36" i="96"/>
  <c r="H36" i="96"/>
  <c r="G36" i="96"/>
  <c r="F36" i="96"/>
  <c r="E36" i="96"/>
  <c r="D36" i="96"/>
  <c r="C36" i="96"/>
  <c r="U35" i="96"/>
  <c r="T35" i="96"/>
  <c r="S35" i="96"/>
  <c r="R35" i="96"/>
  <c r="Q35" i="96"/>
  <c r="P35" i="96"/>
  <c r="O35" i="96"/>
  <c r="N35" i="96"/>
  <c r="M35" i="96"/>
  <c r="L35" i="96"/>
  <c r="K35" i="96"/>
  <c r="J35" i="96"/>
  <c r="I35" i="96"/>
  <c r="H35" i="96"/>
  <c r="G35" i="96"/>
  <c r="F35" i="96"/>
  <c r="E35" i="96"/>
  <c r="D35" i="96"/>
  <c r="C35" i="96"/>
  <c r="U34" i="96"/>
  <c r="T34" i="96"/>
  <c r="S34" i="96"/>
  <c r="R34" i="96"/>
  <c r="Q34" i="96"/>
  <c r="P34" i="96"/>
  <c r="O34" i="96"/>
  <c r="N34" i="96"/>
  <c r="M34" i="96"/>
  <c r="L34" i="96"/>
  <c r="K34" i="96"/>
  <c r="J34" i="96"/>
  <c r="I34" i="96"/>
  <c r="H34" i="96"/>
  <c r="G34" i="96"/>
  <c r="F34" i="96"/>
  <c r="E34" i="96"/>
  <c r="D34" i="96"/>
  <c r="C34" i="96"/>
  <c r="U33" i="96"/>
  <c r="T33" i="96"/>
  <c r="S33" i="96"/>
  <c r="R33" i="96"/>
  <c r="Q33" i="96"/>
  <c r="P33" i="96"/>
  <c r="O33" i="96"/>
  <c r="N33" i="96"/>
  <c r="M33" i="96"/>
  <c r="L33" i="96"/>
  <c r="K33" i="96"/>
  <c r="J33" i="96"/>
  <c r="I33" i="96"/>
  <c r="H33" i="96"/>
  <c r="G33" i="96"/>
  <c r="F33" i="96"/>
  <c r="E33" i="96"/>
  <c r="D33" i="96"/>
  <c r="C33" i="96"/>
  <c r="U32" i="96"/>
  <c r="T32" i="96"/>
  <c r="S32" i="96"/>
  <c r="R32" i="96"/>
  <c r="Q32" i="96"/>
  <c r="P32" i="96"/>
  <c r="O32" i="96"/>
  <c r="N32" i="96"/>
  <c r="M32" i="96"/>
  <c r="L32" i="96"/>
  <c r="K32" i="96"/>
  <c r="J32" i="96"/>
  <c r="I32" i="96"/>
  <c r="H32" i="96"/>
  <c r="G32" i="96"/>
  <c r="F32" i="96"/>
  <c r="E32" i="96"/>
  <c r="D32" i="96"/>
  <c r="C32" i="96"/>
  <c r="U31" i="96"/>
  <c r="T31" i="96"/>
  <c r="S31" i="96"/>
  <c r="R31" i="96"/>
  <c r="Q31" i="96"/>
  <c r="P31" i="96"/>
  <c r="O31" i="96"/>
  <c r="N31" i="96"/>
  <c r="M31" i="96"/>
  <c r="L31" i="96"/>
  <c r="K31" i="96"/>
  <c r="J31" i="96"/>
  <c r="I31" i="96"/>
  <c r="H31" i="96"/>
  <c r="G31" i="96"/>
  <c r="F31" i="96"/>
  <c r="E31" i="96"/>
  <c r="D31" i="96"/>
  <c r="C31" i="96"/>
  <c r="U30" i="96"/>
  <c r="T30" i="96"/>
  <c r="S30" i="96"/>
  <c r="R30" i="96"/>
  <c r="Q30" i="96"/>
  <c r="P30" i="96"/>
  <c r="O30" i="96"/>
  <c r="N30" i="96"/>
  <c r="M30" i="96"/>
  <c r="L30" i="96"/>
  <c r="K30" i="96"/>
  <c r="J30" i="96"/>
  <c r="I30" i="96"/>
  <c r="H30" i="96"/>
  <c r="G30" i="96"/>
  <c r="F30" i="96"/>
  <c r="E30" i="96"/>
  <c r="D30" i="96"/>
  <c r="C30" i="96"/>
  <c r="AN25" i="96"/>
  <c r="AM25" i="96"/>
  <c r="AL25" i="96"/>
  <c r="AK25" i="96"/>
  <c r="AJ25" i="96"/>
  <c r="AI25" i="96"/>
  <c r="AH25" i="96"/>
  <c r="AG25" i="96"/>
  <c r="AF25" i="96"/>
  <c r="AE25" i="96"/>
  <c r="AD25" i="96"/>
  <c r="AC25" i="96"/>
  <c r="AB25" i="96"/>
  <c r="AA25" i="96"/>
  <c r="Z25" i="96"/>
  <c r="Y25" i="96"/>
  <c r="X25" i="96"/>
  <c r="W25" i="96"/>
  <c r="V25" i="96"/>
  <c r="U25" i="96"/>
  <c r="T25" i="96"/>
  <c r="S25" i="96"/>
  <c r="R25" i="96"/>
  <c r="Q25" i="96"/>
  <c r="P25" i="96"/>
  <c r="O25" i="96"/>
  <c r="N25" i="96"/>
  <c r="M25" i="96"/>
  <c r="L25" i="96"/>
  <c r="K25" i="96"/>
  <c r="J25" i="96"/>
  <c r="I25" i="96"/>
  <c r="H25" i="96"/>
  <c r="G25" i="96"/>
  <c r="F25" i="96"/>
  <c r="E25" i="96"/>
  <c r="D25" i="96"/>
  <c r="C25" i="96"/>
  <c r="AN24" i="96"/>
  <c r="AM24" i="96"/>
  <c r="AL24" i="96"/>
  <c r="AK24" i="96"/>
  <c r="AJ24" i="96"/>
  <c r="AI24" i="96"/>
  <c r="AH24" i="96"/>
  <c r="AG24" i="96"/>
  <c r="AF24" i="96"/>
  <c r="AE24" i="96"/>
  <c r="AD24" i="96"/>
  <c r="AC24" i="96"/>
  <c r="AB24" i="96"/>
  <c r="AA24" i="96"/>
  <c r="Z24" i="96"/>
  <c r="Y24" i="96"/>
  <c r="X24" i="96"/>
  <c r="W24" i="96"/>
  <c r="V24" i="96"/>
  <c r="U24" i="96"/>
  <c r="T24" i="96"/>
  <c r="S24" i="96"/>
  <c r="R24" i="96"/>
  <c r="Q24" i="96"/>
  <c r="P24" i="96"/>
  <c r="O24" i="96"/>
  <c r="N24" i="96"/>
  <c r="M24" i="96"/>
  <c r="L24" i="96"/>
  <c r="K24" i="96"/>
  <c r="J24" i="96"/>
  <c r="I24" i="96"/>
  <c r="H24" i="96"/>
  <c r="G24" i="96"/>
  <c r="F24" i="96"/>
  <c r="E24" i="96"/>
  <c r="D24" i="96"/>
  <c r="C24" i="96"/>
  <c r="AM22" i="96"/>
  <c r="AK22" i="96"/>
  <c r="AI22" i="96"/>
  <c r="AG22" i="96"/>
  <c r="AE22" i="96"/>
  <c r="AC22" i="96"/>
  <c r="AA22" i="96"/>
  <c r="Y22" i="96"/>
  <c r="W22" i="96"/>
  <c r="U22" i="96"/>
  <c r="S22" i="96"/>
  <c r="Q22" i="96"/>
  <c r="O22" i="96"/>
  <c r="M22" i="96"/>
  <c r="K22" i="96"/>
  <c r="I22" i="96"/>
  <c r="G22" i="96"/>
  <c r="E22" i="96"/>
  <c r="C22" i="96"/>
  <c r="C17" i="96"/>
  <c r="C16" i="96"/>
  <c r="C15" i="96"/>
  <c r="C14" i="96"/>
  <c r="A10" i="96"/>
  <c r="A1" i="96"/>
  <c r="B99" i="169"/>
  <c r="B98" i="169"/>
  <c r="B97" i="169"/>
  <c r="B96" i="169"/>
  <c r="B95" i="169"/>
  <c r="B94" i="169"/>
  <c r="B93" i="169"/>
  <c r="B92" i="169"/>
  <c r="B91" i="169"/>
  <c r="B90" i="169"/>
  <c r="B89" i="169"/>
  <c r="P88" i="169"/>
  <c r="O88" i="169"/>
  <c r="N88" i="169"/>
  <c r="M88" i="169"/>
  <c r="L88" i="169"/>
  <c r="K88" i="169"/>
  <c r="J88" i="169"/>
  <c r="I88" i="169"/>
  <c r="H88" i="169"/>
  <c r="G88" i="169"/>
  <c r="F88" i="169"/>
  <c r="E88" i="169"/>
  <c r="D88" i="169"/>
  <c r="C88" i="169"/>
  <c r="B88" i="169"/>
  <c r="B84" i="169"/>
  <c r="B83" i="169"/>
  <c r="B82" i="169"/>
  <c r="B81" i="169"/>
  <c r="B80" i="169"/>
  <c r="B79" i="169"/>
  <c r="B78" i="169"/>
  <c r="B77" i="169"/>
  <c r="B76" i="169"/>
  <c r="B75" i="169"/>
  <c r="B74" i="169"/>
  <c r="P73" i="169"/>
  <c r="O73" i="169"/>
  <c r="N73" i="169"/>
  <c r="M73" i="169"/>
  <c r="L73" i="169"/>
  <c r="K73" i="169"/>
  <c r="J73" i="169"/>
  <c r="I73" i="169"/>
  <c r="H73" i="169"/>
  <c r="G73" i="169"/>
  <c r="F73" i="169"/>
  <c r="E73" i="169"/>
  <c r="D73" i="169"/>
  <c r="C73" i="169"/>
  <c r="B73" i="169"/>
  <c r="F71" i="169"/>
  <c r="B67" i="169"/>
  <c r="B66" i="169"/>
  <c r="B65" i="169"/>
  <c r="B64" i="169"/>
  <c r="B63" i="169"/>
  <c r="B62" i="169"/>
  <c r="B61" i="169"/>
  <c r="B60" i="169"/>
  <c r="B59" i="169"/>
  <c r="B58" i="169"/>
  <c r="B57" i="169"/>
  <c r="P56" i="169"/>
  <c r="O56" i="169"/>
  <c r="N56" i="169"/>
  <c r="M56" i="169"/>
  <c r="L56" i="169"/>
  <c r="K56" i="169"/>
  <c r="J56" i="169"/>
  <c r="I56" i="169"/>
  <c r="H56" i="169"/>
  <c r="G56" i="169"/>
  <c r="F56" i="169"/>
  <c r="E56" i="169"/>
  <c r="D56" i="169"/>
  <c r="C56" i="169"/>
  <c r="B56" i="169"/>
  <c r="B54" i="169"/>
  <c r="B52" i="169"/>
  <c r="B51" i="169"/>
  <c r="B50" i="169"/>
  <c r="B49" i="169"/>
  <c r="B48" i="169"/>
  <c r="B47" i="169"/>
  <c r="B46" i="169"/>
  <c r="B45" i="169"/>
  <c r="B44" i="169"/>
  <c r="B43" i="169"/>
  <c r="B42" i="169"/>
  <c r="P41" i="169"/>
  <c r="O41" i="169"/>
  <c r="N41" i="169"/>
  <c r="M41" i="169"/>
  <c r="L41" i="169"/>
  <c r="K41" i="169"/>
  <c r="J41" i="169"/>
  <c r="I41" i="169"/>
  <c r="H41" i="169"/>
  <c r="G41" i="169"/>
  <c r="F41" i="169"/>
  <c r="E41" i="169"/>
  <c r="D41" i="169"/>
  <c r="C41" i="169"/>
  <c r="B41" i="169"/>
  <c r="F39" i="169"/>
  <c r="B39" i="169"/>
  <c r="H35" i="169"/>
  <c r="G35" i="169"/>
  <c r="F35" i="169"/>
  <c r="E35" i="169"/>
  <c r="D35" i="169"/>
  <c r="C35" i="169"/>
  <c r="B35" i="169"/>
  <c r="H34" i="169"/>
  <c r="G34" i="169"/>
  <c r="F34" i="169"/>
  <c r="E34" i="169"/>
  <c r="D34" i="169"/>
  <c r="C34" i="169"/>
  <c r="B34" i="169"/>
  <c r="H33" i="169"/>
  <c r="G33" i="169"/>
  <c r="F33" i="169"/>
  <c r="E33" i="169"/>
  <c r="D33" i="169"/>
  <c r="C33" i="169"/>
  <c r="B33" i="169"/>
  <c r="H32" i="169"/>
  <c r="G32" i="169"/>
  <c r="F32" i="169"/>
  <c r="E32" i="169"/>
  <c r="D32" i="169"/>
  <c r="C32" i="169"/>
  <c r="B32" i="169"/>
  <c r="H31" i="169"/>
  <c r="G31" i="169"/>
  <c r="F31" i="169"/>
  <c r="E31" i="169"/>
  <c r="D31" i="169"/>
  <c r="C31" i="169"/>
  <c r="B31" i="169"/>
  <c r="H30" i="169"/>
  <c r="G30" i="169"/>
  <c r="F30" i="169"/>
  <c r="E30" i="169"/>
  <c r="D30" i="169"/>
  <c r="C30" i="169"/>
  <c r="B30" i="169"/>
  <c r="H29" i="169"/>
  <c r="G29" i="169"/>
  <c r="F29" i="169"/>
  <c r="E29" i="169"/>
  <c r="D29" i="169"/>
  <c r="C29" i="169"/>
  <c r="B29" i="169"/>
  <c r="H28" i="169"/>
  <c r="G28" i="169"/>
  <c r="F28" i="169"/>
  <c r="E28" i="169"/>
  <c r="D28" i="169"/>
  <c r="C28" i="169"/>
  <c r="B28" i="169"/>
  <c r="H27" i="169"/>
  <c r="G27" i="169"/>
  <c r="F27" i="169"/>
  <c r="E27" i="169"/>
  <c r="D27" i="169"/>
  <c r="C27" i="169"/>
  <c r="B27" i="169"/>
  <c r="H26" i="169"/>
  <c r="G26" i="169"/>
  <c r="F26" i="169"/>
  <c r="E26" i="169"/>
  <c r="D26" i="169"/>
  <c r="C26" i="169"/>
  <c r="B26" i="169"/>
  <c r="H25" i="169"/>
  <c r="G25" i="169"/>
  <c r="F25" i="169"/>
  <c r="E25" i="169"/>
  <c r="D25" i="169"/>
  <c r="C25" i="169"/>
  <c r="B25" i="169"/>
  <c r="H24" i="169"/>
  <c r="G24" i="169"/>
  <c r="F24" i="169"/>
  <c r="E24" i="169"/>
  <c r="D24" i="169"/>
  <c r="C24" i="169"/>
  <c r="B24" i="169"/>
  <c r="F23" i="169"/>
  <c r="C23" i="169"/>
  <c r="C22" i="169"/>
  <c r="B18" i="169"/>
  <c r="A10" i="169"/>
  <c r="A1" i="169"/>
  <c r="B99" i="167"/>
  <c r="B98" i="167"/>
  <c r="B97" i="167"/>
  <c r="B96" i="167"/>
  <c r="B95" i="167"/>
  <c r="B94" i="167"/>
  <c r="B93" i="167"/>
  <c r="B92" i="167"/>
  <c r="B91" i="167"/>
  <c r="B90" i="167"/>
  <c r="B89" i="167"/>
  <c r="P88" i="167"/>
  <c r="O88" i="167"/>
  <c r="N88" i="167"/>
  <c r="M88" i="167"/>
  <c r="L88" i="167"/>
  <c r="K88" i="167"/>
  <c r="J88" i="167"/>
  <c r="I88" i="167"/>
  <c r="H88" i="167"/>
  <c r="G88" i="167"/>
  <c r="F88" i="167"/>
  <c r="E88" i="167"/>
  <c r="D88" i="167"/>
  <c r="C88" i="167"/>
  <c r="B88" i="167"/>
  <c r="B84" i="167"/>
  <c r="B83" i="167"/>
  <c r="B82" i="167"/>
  <c r="B81" i="167"/>
  <c r="B80" i="167"/>
  <c r="B79" i="167"/>
  <c r="B78" i="167"/>
  <c r="B77" i="167"/>
  <c r="B76" i="167"/>
  <c r="B75" i="167"/>
  <c r="B74" i="167"/>
  <c r="P73" i="167"/>
  <c r="O73" i="167"/>
  <c r="N73" i="167"/>
  <c r="M73" i="167"/>
  <c r="L73" i="167"/>
  <c r="K73" i="167"/>
  <c r="J73" i="167"/>
  <c r="I73" i="167"/>
  <c r="H73" i="167"/>
  <c r="G73" i="167"/>
  <c r="F73" i="167"/>
  <c r="E73" i="167"/>
  <c r="D73" i="167"/>
  <c r="C73" i="167"/>
  <c r="B73" i="167"/>
  <c r="F71" i="167"/>
  <c r="B67" i="167"/>
  <c r="B66" i="167"/>
  <c r="B65" i="167"/>
  <c r="B64" i="167"/>
  <c r="B63" i="167"/>
  <c r="B62" i="167"/>
  <c r="B61" i="167"/>
  <c r="B60" i="167"/>
  <c r="B59" i="167"/>
  <c r="B58" i="167"/>
  <c r="B57" i="167"/>
  <c r="P56" i="167"/>
  <c r="O56" i="167"/>
  <c r="N56" i="167"/>
  <c r="M56" i="167"/>
  <c r="L56" i="167"/>
  <c r="K56" i="167"/>
  <c r="J56" i="167"/>
  <c r="I56" i="167"/>
  <c r="H56" i="167"/>
  <c r="G56" i="167"/>
  <c r="F56" i="167"/>
  <c r="E56" i="167"/>
  <c r="D56" i="167"/>
  <c r="C56" i="167"/>
  <c r="B56" i="167"/>
  <c r="B54" i="167"/>
  <c r="B52" i="167"/>
  <c r="B51" i="167"/>
  <c r="B50" i="167"/>
  <c r="B49" i="167"/>
  <c r="B48" i="167"/>
  <c r="B47" i="167"/>
  <c r="B46" i="167"/>
  <c r="B45" i="167"/>
  <c r="B44" i="167"/>
  <c r="B43" i="167"/>
  <c r="B42" i="167"/>
  <c r="P41" i="167"/>
  <c r="O41" i="167"/>
  <c r="N41" i="167"/>
  <c r="M41" i="167"/>
  <c r="L41" i="167"/>
  <c r="K41" i="167"/>
  <c r="J41" i="167"/>
  <c r="I41" i="167"/>
  <c r="H41" i="167"/>
  <c r="G41" i="167"/>
  <c r="F41" i="167"/>
  <c r="E41" i="167"/>
  <c r="D41" i="167"/>
  <c r="C41" i="167"/>
  <c r="B41" i="167"/>
  <c r="F39" i="167"/>
  <c r="B39" i="167"/>
  <c r="H35" i="167"/>
  <c r="G35" i="167"/>
  <c r="F35" i="167"/>
  <c r="E35" i="167"/>
  <c r="D35" i="167"/>
  <c r="C35" i="167"/>
  <c r="B35" i="167"/>
  <c r="H34" i="167"/>
  <c r="G34" i="167"/>
  <c r="F34" i="167"/>
  <c r="E34" i="167"/>
  <c r="D34" i="167"/>
  <c r="C34" i="167"/>
  <c r="B34" i="167"/>
  <c r="H33" i="167"/>
  <c r="G33" i="167"/>
  <c r="F33" i="167"/>
  <c r="E33" i="167"/>
  <c r="D33" i="167"/>
  <c r="C33" i="167"/>
  <c r="B33" i="167"/>
  <c r="H32" i="167"/>
  <c r="G32" i="167"/>
  <c r="F32" i="167"/>
  <c r="E32" i="167"/>
  <c r="D32" i="167"/>
  <c r="C32" i="167"/>
  <c r="B32" i="167"/>
  <c r="H31" i="167"/>
  <c r="G31" i="167"/>
  <c r="F31" i="167"/>
  <c r="E31" i="167"/>
  <c r="D31" i="167"/>
  <c r="C31" i="167"/>
  <c r="B31" i="167"/>
  <c r="H30" i="167"/>
  <c r="G30" i="167"/>
  <c r="F30" i="167"/>
  <c r="E30" i="167"/>
  <c r="D30" i="167"/>
  <c r="C30" i="167"/>
  <c r="B30" i="167"/>
  <c r="H29" i="167"/>
  <c r="G29" i="167"/>
  <c r="F29" i="167"/>
  <c r="E29" i="167"/>
  <c r="D29" i="167"/>
  <c r="C29" i="167"/>
  <c r="B29" i="167"/>
  <c r="H28" i="167"/>
  <c r="G28" i="167"/>
  <c r="F28" i="167"/>
  <c r="E28" i="167"/>
  <c r="D28" i="167"/>
  <c r="C28" i="167"/>
  <c r="B28" i="167"/>
  <c r="H27" i="167"/>
  <c r="G27" i="167"/>
  <c r="F27" i="167"/>
  <c r="E27" i="167"/>
  <c r="D27" i="167"/>
  <c r="C27" i="167"/>
  <c r="B27" i="167"/>
  <c r="H26" i="167"/>
  <c r="G26" i="167"/>
  <c r="F26" i="167"/>
  <c r="E26" i="167"/>
  <c r="D26" i="167"/>
  <c r="C26" i="167"/>
  <c r="B26" i="167"/>
  <c r="H25" i="167"/>
  <c r="G25" i="167"/>
  <c r="F25" i="167"/>
  <c r="E25" i="167"/>
  <c r="D25" i="167"/>
  <c r="C25" i="167"/>
  <c r="B25" i="167"/>
  <c r="H24" i="167"/>
  <c r="G24" i="167"/>
  <c r="F24" i="167"/>
  <c r="E24" i="167"/>
  <c r="D24" i="167"/>
  <c r="C24" i="167"/>
  <c r="B24" i="167"/>
  <c r="F23" i="167"/>
  <c r="C23" i="167"/>
  <c r="C22" i="167"/>
  <c r="B18" i="167"/>
  <c r="A10" i="167"/>
  <c r="A1" i="167"/>
  <c r="P104" i="166"/>
  <c r="O104" i="166"/>
  <c r="N104" i="166"/>
  <c r="M104" i="166"/>
  <c r="L104" i="166"/>
  <c r="K104" i="166"/>
  <c r="J104" i="166"/>
  <c r="I104" i="166"/>
  <c r="H104" i="166"/>
  <c r="G104" i="166"/>
  <c r="F104" i="166"/>
  <c r="E104" i="166"/>
  <c r="D104" i="166"/>
  <c r="C104" i="166"/>
  <c r="B99" i="166"/>
  <c r="B98" i="166"/>
  <c r="B97" i="166"/>
  <c r="B96" i="166"/>
  <c r="B95" i="166"/>
  <c r="B94" i="166"/>
  <c r="B93" i="166"/>
  <c r="B92" i="166"/>
  <c r="B91" i="166"/>
  <c r="B90" i="166"/>
  <c r="B89" i="166"/>
  <c r="P88" i="166"/>
  <c r="O88" i="166"/>
  <c r="N88" i="166"/>
  <c r="M88" i="166"/>
  <c r="L88" i="166"/>
  <c r="K88" i="166"/>
  <c r="J88" i="166"/>
  <c r="I88" i="166"/>
  <c r="H88" i="166"/>
  <c r="G88" i="166"/>
  <c r="F88" i="166"/>
  <c r="E88" i="166"/>
  <c r="D88" i="166"/>
  <c r="C88" i="166"/>
  <c r="B88" i="166"/>
  <c r="B84" i="166"/>
  <c r="B83" i="166"/>
  <c r="B82" i="166"/>
  <c r="B81" i="166"/>
  <c r="B80" i="166"/>
  <c r="B79" i="166"/>
  <c r="B78" i="166"/>
  <c r="B77" i="166"/>
  <c r="B76" i="166"/>
  <c r="B75" i="166"/>
  <c r="B74" i="166"/>
  <c r="P73" i="166"/>
  <c r="O73" i="166"/>
  <c r="N73" i="166"/>
  <c r="M73" i="166"/>
  <c r="L73" i="166"/>
  <c r="K73" i="166"/>
  <c r="J73" i="166"/>
  <c r="I73" i="166"/>
  <c r="H73" i="166"/>
  <c r="G73" i="166"/>
  <c r="F73" i="166"/>
  <c r="E73" i="166"/>
  <c r="D73" i="166"/>
  <c r="C73" i="166"/>
  <c r="B73" i="166"/>
  <c r="F71" i="166"/>
  <c r="B67" i="166"/>
  <c r="B66" i="166"/>
  <c r="B65" i="166"/>
  <c r="B64" i="166"/>
  <c r="B63" i="166"/>
  <c r="B62" i="166"/>
  <c r="B61" i="166"/>
  <c r="B60" i="166"/>
  <c r="B59" i="166"/>
  <c r="B58" i="166"/>
  <c r="B57" i="166"/>
  <c r="P56" i="166"/>
  <c r="O56" i="166"/>
  <c r="N56" i="166"/>
  <c r="M56" i="166"/>
  <c r="L56" i="166"/>
  <c r="K56" i="166"/>
  <c r="J56" i="166"/>
  <c r="I56" i="166"/>
  <c r="H56" i="166"/>
  <c r="G56" i="166"/>
  <c r="F56" i="166"/>
  <c r="E56" i="166"/>
  <c r="D56" i="166"/>
  <c r="C56" i="166"/>
  <c r="B56" i="166"/>
  <c r="B54" i="166"/>
  <c r="B52" i="166"/>
  <c r="B51" i="166"/>
  <c r="B50" i="166"/>
  <c r="B49" i="166"/>
  <c r="B48" i="166"/>
  <c r="B47" i="166"/>
  <c r="B46" i="166"/>
  <c r="B45" i="166"/>
  <c r="B44" i="166"/>
  <c r="B43" i="166"/>
  <c r="B42" i="166"/>
  <c r="P41" i="166"/>
  <c r="O41" i="166"/>
  <c r="N41" i="166"/>
  <c r="M41" i="166"/>
  <c r="L41" i="166"/>
  <c r="K41" i="166"/>
  <c r="J41" i="166"/>
  <c r="I41" i="166"/>
  <c r="H41" i="166"/>
  <c r="G41" i="166"/>
  <c r="F41" i="166"/>
  <c r="E41" i="166"/>
  <c r="D41" i="166"/>
  <c r="C41" i="166"/>
  <c r="B41" i="166"/>
  <c r="F39" i="166"/>
  <c r="B39" i="166"/>
  <c r="H35" i="166"/>
  <c r="G35" i="166"/>
  <c r="F35" i="166"/>
  <c r="E35" i="166"/>
  <c r="D35" i="166"/>
  <c r="C35" i="166"/>
  <c r="B35" i="166"/>
  <c r="H34" i="166"/>
  <c r="G34" i="166"/>
  <c r="F34" i="166"/>
  <c r="E34" i="166"/>
  <c r="D34" i="166"/>
  <c r="C34" i="166"/>
  <c r="B34" i="166"/>
  <c r="H33" i="166"/>
  <c r="G33" i="166"/>
  <c r="F33" i="166"/>
  <c r="E33" i="166"/>
  <c r="D33" i="166"/>
  <c r="C33" i="166"/>
  <c r="B33" i="166"/>
  <c r="H32" i="166"/>
  <c r="G32" i="166"/>
  <c r="F32" i="166"/>
  <c r="E32" i="166"/>
  <c r="D32" i="166"/>
  <c r="C32" i="166"/>
  <c r="B32" i="166"/>
  <c r="H31" i="166"/>
  <c r="G31" i="166"/>
  <c r="F31" i="166"/>
  <c r="E31" i="166"/>
  <c r="D31" i="166"/>
  <c r="C31" i="166"/>
  <c r="B31" i="166"/>
  <c r="H30" i="166"/>
  <c r="G30" i="166"/>
  <c r="F30" i="166"/>
  <c r="E30" i="166"/>
  <c r="D30" i="166"/>
  <c r="C30" i="166"/>
  <c r="B30" i="166"/>
  <c r="H29" i="166"/>
  <c r="G29" i="166"/>
  <c r="F29" i="166"/>
  <c r="E29" i="166"/>
  <c r="D29" i="166"/>
  <c r="C29" i="166"/>
  <c r="B29" i="166"/>
  <c r="H28" i="166"/>
  <c r="G28" i="166"/>
  <c r="F28" i="166"/>
  <c r="E28" i="166"/>
  <c r="D28" i="166"/>
  <c r="C28" i="166"/>
  <c r="B28" i="166"/>
  <c r="H27" i="166"/>
  <c r="G27" i="166"/>
  <c r="F27" i="166"/>
  <c r="E27" i="166"/>
  <c r="D27" i="166"/>
  <c r="C27" i="166"/>
  <c r="B27" i="166"/>
  <c r="H26" i="166"/>
  <c r="G26" i="166"/>
  <c r="F26" i="166"/>
  <c r="E26" i="166"/>
  <c r="D26" i="166"/>
  <c r="C26" i="166"/>
  <c r="B26" i="166"/>
  <c r="H25" i="166"/>
  <c r="G25" i="166"/>
  <c r="F25" i="166"/>
  <c r="E25" i="166"/>
  <c r="D25" i="166"/>
  <c r="C25" i="166"/>
  <c r="B25" i="166"/>
  <c r="H24" i="166"/>
  <c r="G24" i="166"/>
  <c r="F24" i="166"/>
  <c r="E24" i="166"/>
  <c r="D24" i="166"/>
  <c r="C24" i="166"/>
  <c r="B24" i="166"/>
  <c r="F23" i="166"/>
  <c r="C23" i="166"/>
  <c r="C22" i="166"/>
  <c r="B18" i="166"/>
  <c r="A10" i="166"/>
  <c r="A1" i="166"/>
  <c r="B80" i="124"/>
  <c r="B79" i="124"/>
  <c r="B78" i="124"/>
  <c r="B77" i="124"/>
  <c r="B76" i="124"/>
  <c r="B75" i="124"/>
  <c r="B74" i="124"/>
  <c r="B73" i="124"/>
  <c r="B72" i="124"/>
  <c r="B71" i="124"/>
  <c r="B70" i="124"/>
  <c r="P69" i="124"/>
  <c r="O69" i="124"/>
  <c r="N69" i="124"/>
  <c r="M69" i="124"/>
  <c r="L69" i="124"/>
  <c r="K69" i="124"/>
  <c r="J69" i="124"/>
  <c r="I69" i="124"/>
  <c r="H69" i="124"/>
  <c r="G69" i="124"/>
  <c r="F69" i="124"/>
  <c r="E69" i="124"/>
  <c r="D69" i="124"/>
  <c r="C69" i="124"/>
  <c r="B69" i="124"/>
  <c r="B65" i="124"/>
  <c r="B64" i="124"/>
  <c r="B63" i="124"/>
  <c r="B62" i="124"/>
  <c r="B61" i="124"/>
  <c r="B60" i="124"/>
  <c r="B59" i="124"/>
  <c r="B58" i="124"/>
  <c r="B57" i="124"/>
  <c r="B56" i="124"/>
  <c r="B55" i="124"/>
  <c r="P54" i="124"/>
  <c r="O54" i="124"/>
  <c r="N54" i="124"/>
  <c r="M54" i="124"/>
  <c r="L54" i="124"/>
  <c r="K54" i="124"/>
  <c r="J54" i="124"/>
  <c r="I54" i="124"/>
  <c r="H54" i="124"/>
  <c r="G54" i="124"/>
  <c r="F54" i="124"/>
  <c r="E54" i="124"/>
  <c r="D54" i="124"/>
  <c r="C54" i="124"/>
  <c r="B54" i="124"/>
  <c r="B48" i="124"/>
  <c r="B47" i="124"/>
  <c r="I46" i="124"/>
  <c r="H46" i="124"/>
  <c r="G46" i="124"/>
  <c r="F46" i="124"/>
  <c r="E46" i="124"/>
  <c r="D46" i="124"/>
  <c r="C46" i="124"/>
  <c r="C42" i="124"/>
  <c r="B42" i="124"/>
  <c r="C41" i="124"/>
  <c r="B41" i="124"/>
  <c r="C40" i="124"/>
  <c r="B40" i="124"/>
  <c r="C39" i="124"/>
  <c r="B39" i="124"/>
  <c r="C38" i="124"/>
  <c r="B38" i="124"/>
  <c r="C37" i="124"/>
  <c r="B37" i="124"/>
  <c r="C36" i="124"/>
  <c r="B36" i="124"/>
  <c r="C35" i="124"/>
  <c r="B35" i="124"/>
  <c r="C34" i="124"/>
  <c r="B34" i="124"/>
  <c r="C33" i="124"/>
  <c r="B33" i="124"/>
  <c r="C32" i="124"/>
  <c r="B32" i="124"/>
  <c r="C31" i="124"/>
  <c r="B31" i="124"/>
  <c r="B29" i="124"/>
  <c r="C27" i="124"/>
  <c r="B27" i="124"/>
  <c r="C26" i="124"/>
  <c r="B26" i="124"/>
  <c r="C25" i="124"/>
  <c r="B25" i="124"/>
  <c r="C24" i="124"/>
  <c r="B24" i="124"/>
  <c r="C23" i="124"/>
  <c r="B23" i="124"/>
  <c r="C22" i="124"/>
  <c r="B22" i="124"/>
  <c r="C21" i="124"/>
  <c r="B21" i="124"/>
  <c r="C20" i="124"/>
  <c r="B20" i="124"/>
  <c r="C19" i="124"/>
  <c r="B19" i="124"/>
  <c r="C18" i="124"/>
  <c r="B18" i="124"/>
  <c r="C17" i="124"/>
  <c r="B17" i="124"/>
  <c r="C16" i="124"/>
  <c r="B16" i="124"/>
  <c r="B14" i="124"/>
  <c r="A10" i="124"/>
  <c r="A1" i="124"/>
  <c r="B80" i="123"/>
  <c r="B79" i="123"/>
  <c r="B78" i="123"/>
  <c r="B77" i="123"/>
  <c r="B76" i="123"/>
  <c r="B75" i="123"/>
  <c r="B74" i="123"/>
  <c r="B73" i="123"/>
  <c r="B72" i="123"/>
  <c r="B71" i="123"/>
  <c r="B70" i="123"/>
  <c r="P69" i="123"/>
  <c r="O69" i="123"/>
  <c r="N69" i="123"/>
  <c r="M69" i="123"/>
  <c r="L69" i="123"/>
  <c r="K69" i="123"/>
  <c r="J69" i="123"/>
  <c r="I69" i="123"/>
  <c r="H69" i="123"/>
  <c r="G69" i="123"/>
  <c r="F69" i="123"/>
  <c r="E69" i="123"/>
  <c r="D69" i="123"/>
  <c r="C69" i="123"/>
  <c r="B69" i="123"/>
  <c r="B65" i="123"/>
  <c r="B64" i="123"/>
  <c r="B63" i="123"/>
  <c r="B62" i="123"/>
  <c r="B61" i="123"/>
  <c r="B60" i="123"/>
  <c r="B59" i="123"/>
  <c r="B58" i="123"/>
  <c r="B57" i="123"/>
  <c r="B56" i="123"/>
  <c r="B55" i="123"/>
  <c r="I54" i="123"/>
  <c r="H54" i="123"/>
  <c r="G54" i="123"/>
  <c r="F54" i="123"/>
  <c r="E54" i="123"/>
  <c r="D54" i="123"/>
  <c r="C54" i="123"/>
  <c r="B54" i="123"/>
  <c r="B48" i="123"/>
  <c r="B47" i="123"/>
  <c r="I46" i="123"/>
  <c r="H46" i="123"/>
  <c r="G46" i="123"/>
  <c r="F46" i="123"/>
  <c r="E46" i="123"/>
  <c r="D46" i="123"/>
  <c r="C46" i="123"/>
  <c r="C42" i="123"/>
  <c r="B42" i="123"/>
  <c r="C41" i="123"/>
  <c r="B41" i="123"/>
  <c r="C40" i="123"/>
  <c r="B40" i="123"/>
  <c r="C39" i="123"/>
  <c r="B39" i="123"/>
  <c r="C38" i="123"/>
  <c r="B38" i="123"/>
  <c r="C37" i="123"/>
  <c r="B37" i="123"/>
  <c r="C36" i="123"/>
  <c r="B36" i="123"/>
  <c r="C35" i="123"/>
  <c r="B35" i="123"/>
  <c r="C34" i="123"/>
  <c r="B34" i="123"/>
  <c r="C33" i="123"/>
  <c r="B33" i="123"/>
  <c r="C32" i="123"/>
  <c r="B32" i="123"/>
  <c r="C31" i="123"/>
  <c r="B31" i="123"/>
  <c r="B29" i="123"/>
  <c r="C27" i="123"/>
  <c r="B27" i="123"/>
  <c r="C26" i="123"/>
  <c r="B26" i="123"/>
  <c r="C25" i="123"/>
  <c r="B25" i="123"/>
  <c r="C24" i="123"/>
  <c r="B24" i="123"/>
  <c r="C23" i="123"/>
  <c r="B23" i="123"/>
  <c r="C22" i="123"/>
  <c r="B22" i="123"/>
  <c r="C21" i="123"/>
  <c r="B21" i="123"/>
  <c r="C20" i="123"/>
  <c r="B20" i="123"/>
  <c r="C19" i="123"/>
  <c r="B19" i="123"/>
  <c r="C18" i="123"/>
  <c r="B18" i="123"/>
  <c r="C17" i="123"/>
  <c r="B17" i="123"/>
  <c r="C16" i="123"/>
  <c r="B16" i="123"/>
  <c r="B14" i="123"/>
  <c r="A10" i="123"/>
  <c r="A1" i="123"/>
  <c r="G150" i="100"/>
  <c r="F150" i="100"/>
  <c r="E150" i="100"/>
  <c r="D150" i="100"/>
  <c r="C150" i="100"/>
  <c r="B150" i="100"/>
  <c r="G149" i="100"/>
  <c r="F149" i="100"/>
  <c r="E149" i="100"/>
  <c r="D149" i="100"/>
  <c r="C149" i="100"/>
  <c r="B149" i="100"/>
  <c r="G148" i="100"/>
  <c r="F148" i="100"/>
  <c r="E148" i="100"/>
  <c r="D148" i="100"/>
  <c r="C148" i="100"/>
  <c r="B148" i="100"/>
  <c r="G147" i="100"/>
  <c r="F147" i="100"/>
  <c r="E147" i="100"/>
  <c r="D147" i="100"/>
  <c r="C147" i="100"/>
  <c r="B147" i="100"/>
  <c r="G146" i="100"/>
  <c r="F146" i="100"/>
  <c r="E146" i="100"/>
  <c r="D146" i="100"/>
  <c r="C146" i="100"/>
  <c r="B146" i="100"/>
  <c r="G145" i="100"/>
  <c r="F145" i="100"/>
  <c r="E145" i="100"/>
  <c r="D145" i="100"/>
  <c r="C145" i="100"/>
  <c r="B145" i="100"/>
  <c r="G144" i="100"/>
  <c r="F144" i="100"/>
  <c r="E144" i="100"/>
  <c r="D144" i="100"/>
  <c r="C144" i="100"/>
  <c r="B144" i="100"/>
  <c r="G143" i="100"/>
  <c r="F143" i="100"/>
  <c r="E143" i="100"/>
  <c r="D143" i="100"/>
  <c r="C143" i="100"/>
  <c r="B143" i="100"/>
  <c r="G142" i="100"/>
  <c r="F142" i="100"/>
  <c r="E142" i="100"/>
  <c r="D142" i="100"/>
  <c r="C142" i="100"/>
  <c r="B142" i="100"/>
  <c r="G141" i="100"/>
  <c r="F141" i="100"/>
  <c r="E141" i="100"/>
  <c r="D141" i="100"/>
  <c r="C141" i="100"/>
  <c r="B141" i="100"/>
  <c r="G140" i="100"/>
  <c r="F140" i="100"/>
  <c r="E140" i="100"/>
  <c r="D140" i="100"/>
  <c r="C140" i="100"/>
  <c r="B140" i="100"/>
  <c r="F138" i="100"/>
  <c r="E138" i="100"/>
  <c r="D138" i="100"/>
  <c r="C138" i="100"/>
  <c r="B138" i="100"/>
  <c r="G134" i="100"/>
  <c r="F134" i="100"/>
  <c r="E134" i="100"/>
  <c r="D134" i="100"/>
  <c r="C134" i="100"/>
  <c r="B134" i="100"/>
  <c r="G133" i="100"/>
  <c r="F133" i="100"/>
  <c r="E133" i="100"/>
  <c r="D133" i="100"/>
  <c r="C133" i="100"/>
  <c r="B133" i="100"/>
  <c r="G132" i="100"/>
  <c r="F132" i="100"/>
  <c r="E132" i="100"/>
  <c r="D132" i="100"/>
  <c r="C132" i="100"/>
  <c r="B132" i="100"/>
  <c r="G131" i="100"/>
  <c r="F131" i="100"/>
  <c r="E131" i="100"/>
  <c r="D131" i="100"/>
  <c r="C131" i="100"/>
  <c r="B131" i="100"/>
  <c r="G130" i="100"/>
  <c r="F130" i="100"/>
  <c r="E130" i="100"/>
  <c r="D130" i="100"/>
  <c r="C130" i="100"/>
  <c r="B130" i="100"/>
  <c r="G129" i="100"/>
  <c r="F129" i="100"/>
  <c r="E129" i="100"/>
  <c r="D129" i="100"/>
  <c r="C129" i="100"/>
  <c r="B129" i="100"/>
  <c r="G128" i="100"/>
  <c r="F128" i="100"/>
  <c r="E128" i="100"/>
  <c r="D128" i="100"/>
  <c r="C128" i="100"/>
  <c r="B128" i="100"/>
  <c r="G127" i="100"/>
  <c r="F127" i="100"/>
  <c r="E127" i="100"/>
  <c r="D127" i="100"/>
  <c r="C127" i="100"/>
  <c r="B127" i="100"/>
  <c r="G126" i="100"/>
  <c r="F126" i="100"/>
  <c r="E126" i="100"/>
  <c r="D126" i="100"/>
  <c r="C126" i="100"/>
  <c r="B126" i="100"/>
  <c r="G125" i="100"/>
  <c r="F125" i="100"/>
  <c r="E125" i="100"/>
  <c r="D125" i="100"/>
  <c r="C125" i="100"/>
  <c r="B125" i="100"/>
  <c r="G124" i="100"/>
  <c r="F124" i="100"/>
  <c r="E124" i="100"/>
  <c r="D124" i="100"/>
  <c r="C124" i="100"/>
  <c r="B124" i="100"/>
  <c r="F122" i="100"/>
  <c r="E122" i="100"/>
  <c r="D122" i="100"/>
  <c r="C122" i="100"/>
  <c r="B122" i="100"/>
  <c r="F118" i="100"/>
  <c r="E118" i="100"/>
  <c r="D118" i="100"/>
  <c r="C118" i="100"/>
  <c r="B118" i="100"/>
  <c r="F117" i="100"/>
  <c r="E117" i="100"/>
  <c r="D117" i="100"/>
  <c r="C117" i="100"/>
  <c r="B117" i="100"/>
  <c r="F116" i="100"/>
  <c r="E116" i="100"/>
  <c r="D116" i="100"/>
  <c r="C116" i="100"/>
  <c r="B116" i="100"/>
  <c r="F115" i="100"/>
  <c r="E115" i="100"/>
  <c r="D115" i="100"/>
  <c r="C115" i="100"/>
  <c r="B115" i="100"/>
  <c r="F114" i="100"/>
  <c r="E114" i="100"/>
  <c r="D114" i="100"/>
  <c r="C114" i="100"/>
  <c r="B114" i="100"/>
  <c r="F113" i="100"/>
  <c r="E113" i="100"/>
  <c r="D113" i="100"/>
  <c r="C113" i="100"/>
  <c r="B113" i="100"/>
  <c r="F112" i="100"/>
  <c r="E112" i="100"/>
  <c r="D112" i="100"/>
  <c r="C112" i="100"/>
  <c r="B112" i="100"/>
  <c r="F111" i="100"/>
  <c r="E111" i="100"/>
  <c r="D111" i="100"/>
  <c r="C111" i="100"/>
  <c r="B111" i="100"/>
  <c r="F110" i="100"/>
  <c r="E110" i="100"/>
  <c r="D110" i="100"/>
  <c r="C110" i="100"/>
  <c r="B110" i="100"/>
  <c r="F109" i="100"/>
  <c r="E109" i="100"/>
  <c r="D109" i="100"/>
  <c r="C109" i="100"/>
  <c r="B109" i="100"/>
  <c r="F108" i="100"/>
  <c r="E108" i="100"/>
  <c r="D108" i="100"/>
  <c r="C108" i="100"/>
  <c r="B108" i="100"/>
  <c r="F107" i="100"/>
  <c r="E107" i="100"/>
  <c r="D107" i="100"/>
  <c r="C107" i="100"/>
  <c r="C106" i="100"/>
  <c r="B106" i="100"/>
  <c r="F102" i="100"/>
  <c r="E102" i="100"/>
  <c r="D102" i="100"/>
  <c r="C102" i="100"/>
  <c r="B102" i="100"/>
  <c r="F101" i="100"/>
  <c r="E101" i="100"/>
  <c r="D101" i="100"/>
  <c r="C101" i="100"/>
  <c r="B101" i="100"/>
  <c r="F100" i="100"/>
  <c r="E100" i="100"/>
  <c r="D100" i="100"/>
  <c r="C100" i="100"/>
  <c r="B100" i="100"/>
  <c r="F99" i="100"/>
  <c r="E99" i="100"/>
  <c r="D99" i="100"/>
  <c r="C99" i="100"/>
  <c r="B99" i="100"/>
  <c r="F98" i="100"/>
  <c r="E98" i="100"/>
  <c r="D98" i="100"/>
  <c r="C98" i="100"/>
  <c r="B98" i="100"/>
  <c r="F97" i="100"/>
  <c r="E97" i="100"/>
  <c r="D97" i="100"/>
  <c r="C97" i="100"/>
  <c r="B97" i="100"/>
  <c r="F96" i="100"/>
  <c r="E96" i="100"/>
  <c r="D96" i="100"/>
  <c r="C96" i="100"/>
  <c r="B96" i="100"/>
  <c r="F95" i="100"/>
  <c r="E95" i="100"/>
  <c r="D95" i="100"/>
  <c r="C95" i="100"/>
  <c r="B95" i="100"/>
  <c r="F94" i="100"/>
  <c r="E94" i="100"/>
  <c r="D94" i="100"/>
  <c r="C94" i="100"/>
  <c r="B94" i="100"/>
  <c r="F93" i="100"/>
  <c r="E93" i="100"/>
  <c r="D93" i="100"/>
  <c r="C93" i="100"/>
  <c r="B93" i="100"/>
  <c r="F92" i="100"/>
  <c r="E92" i="100"/>
  <c r="D92" i="100"/>
  <c r="C92" i="100"/>
  <c r="B92" i="100"/>
  <c r="F91" i="100"/>
  <c r="E91" i="100"/>
  <c r="D91" i="100"/>
  <c r="C91" i="100"/>
  <c r="C90" i="100"/>
  <c r="B90" i="100"/>
  <c r="F86" i="100"/>
  <c r="E86" i="100"/>
  <c r="D86" i="100"/>
  <c r="C86" i="100"/>
  <c r="A86" i="100"/>
  <c r="F85" i="100"/>
  <c r="E85" i="100"/>
  <c r="D85" i="100"/>
  <c r="C85" i="100"/>
  <c r="B85" i="100"/>
  <c r="F84" i="100"/>
  <c r="E84" i="100"/>
  <c r="D84" i="100"/>
  <c r="C84" i="100"/>
  <c r="B84" i="100"/>
  <c r="F83" i="100"/>
  <c r="E83" i="100"/>
  <c r="D83" i="100"/>
  <c r="C83" i="100"/>
  <c r="B83" i="100"/>
  <c r="F82" i="100"/>
  <c r="E82" i="100"/>
  <c r="D82" i="100"/>
  <c r="C82" i="100"/>
  <c r="B82" i="100"/>
  <c r="F81" i="100"/>
  <c r="E81" i="100"/>
  <c r="D81" i="100"/>
  <c r="C81" i="100"/>
  <c r="B81" i="100"/>
  <c r="F80" i="100"/>
  <c r="E80" i="100"/>
  <c r="D80" i="100"/>
  <c r="C80" i="100"/>
  <c r="B80" i="100"/>
  <c r="F79" i="100"/>
  <c r="E79" i="100"/>
  <c r="D79" i="100"/>
  <c r="C79" i="100"/>
  <c r="B79" i="100"/>
  <c r="F78" i="100"/>
  <c r="E78" i="100"/>
  <c r="D78" i="100"/>
  <c r="C78" i="100"/>
  <c r="B78" i="100"/>
  <c r="F77" i="100"/>
  <c r="E77" i="100"/>
  <c r="D77" i="100"/>
  <c r="C77" i="100"/>
  <c r="B77" i="100"/>
  <c r="F76" i="100"/>
  <c r="E76" i="100"/>
  <c r="D76" i="100"/>
  <c r="C76" i="100"/>
  <c r="B76" i="100"/>
  <c r="F75" i="100"/>
  <c r="E75" i="100"/>
  <c r="D75" i="100"/>
  <c r="C75" i="100"/>
  <c r="B75" i="100"/>
  <c r="F74" i="100"/>
  <c r="E74" i="100"/>
  <c r="D74" i="100"/>
  <c r="C74" i="100"/>
  <c r="C73" i="100"/>
  <c r="B73" i="100"/>
  <c r="F69" i="100"/>
  <c r="E69" i="100"/>
  <c r="D69" i="100"/>
  <c r="C69" i="100"/>
  <c r="A69" i="100"/>
  <c r="F68" i="100"/>
  <c r="E68" i="100"/>
  <c r="D68" i="100"/>
  <c r="C68" i="100"/>
  <c r="B68" i="100"/>
  <c r="F67" i="100"/>
  <c r="E67" i="100"/>
  <c r="D67" i="100"/>
  <c r="C67" i="100"/>
  <c r="B67" i="100"/>
  <c r="F66" i="100"/>
  <c r="E66" i="100"/>
  <c r="D66" i="100"/>
  <c r="C66" i="100"/>
  <c r="B66" i="100"/>
  <c r="F65" i="100"/>
  <c r="E65" i="100"/>
  <c r="D65" i="100"/>
  <c r="C65" i="100"/>
  <c r="B65" i="100"/>
  <c r="F64" i="100"/>
  <c r="E64" i="100"/>
  <c r="D64" i="100"/>
  <c r="C64" i="100"/>
  <c r="B64" i="100"/>
  <c r="F63" i="100"/>
  <c r="E63" i="100"/>
  <c r="D63" i="100"/>
  <c r="C63" i="100"/>
  <c r="B63" i="100"/>
  <c r="F62" i="100"/>
  <c r="E62" i="100"/>
  <c r="D62" i="100"/>
  <c r="C62" i="100"/>
  <c r="B62" i="100"/>
  <c r="F61" i="100"/>
  <c r="E61" i="100"/>
  <c r="D61" i="100"/>
  <c r="C61" i="100"/>
  <c r="B61" i="100"/>
  <c r="F60" i="100"/>
  <c r="E60" i="100"/>
  <c r="D60" i="100"/>
  <c r="C60" i="100"/>
  <c r="B60" i="100"/>
  <c r="F59" i="100"/>
  <c r="E59" i="100"/>
  <c r="D59" i="100"/>
  <c r="C59" i="100"/>
  <c r="B59" i="100"/>
  <c r="F58" i="100"/>
  <c r="E58" i="100"/>
  <c r="D58" i="100"/>
  <c r="C58" i="100"/>
  <c r="B58" i="100"/>
  <c r="F57" i="100"/>
  <c r="E57" i="100"/>
  <c r="D57" i="100"/>
  <c r="C57" i="100"/>
  <c r="C56" i="100"/>
  <c r="B56" i="100"/>
  <c r="B52" i="100"/>
  <c r="F50" i="100"/>
  <c r="E50" i="100"/>
  <c r="D50" i="100"/>
  <c r="C50" i="100"/>
  <c r="A50" i="100"/>
  <c r="F49" i="100"/>
  <c r="E49" i="100"/>
  <c r="D49" i="100"/>
  <c r="C49" i="100"/>
  <c r="B49" i="100"/>
  <c r="F48" i="100"/>
  <c r="E48" i="100"/>
  <c r="D48" i="100"/>
  <c r="C48" i="100"/>
  <c r="B48" i="100"/>
  <c r="F47" i="100"/>
  <c r="E47" i="100"/>
  <c r="D47" i="100"/>
  <c r="C47" i="100"/>
  <c r="B47" i="100"/>
  <c r="F46" i="100"/>
  <c r="E46" i="100"/>
  <c r="D46" i="100"/>
  <c r="C46" i="100"/>
  <c r="B46" i="100"/>
  <c r="F45" i="100"/>
  <c r="E45" i="100"/>
  <c r="D45" i="100"/>
  <c r="C45" i="100"/>
  <c r="B45" i="100"/>
  <c r="F44" i="100"/>
  <c r="E44" i="100"/>
  <c r="D44" i="100"/>
  <c r="C44" i="100"/>
  <c r="B44" i="100"/>
  <c r="F43" i="100"/>
  <c r="E43" i="100"/>
  <c r="D43" i="100"/>
  <c r="C43" i="100"/>
  <c r="B43" i="100"/>
  <c r="F42" i="100"/>
  <c r="E42" i="100"/>
  <c r="D42" i="100"/>
  <c r="C42" i="100"/>
  <c r="B42" i="100"/>
  <c r="F41" i="100"/>
  <c r="E41" i="100"/>
  <c r="D41" i="100"/>
  <c r="C41" i="100"/>
  <c r="B41" i="100"/>
  <c r="F40" i="100"/>
  <c r="E40" i="100"/>
  <c r="D40" i="100"/>
  <c r="C40" i="100"/>
  <c r="B40" i="100"/>
  <c r="F39" i="100"/>
  <c r="E39" i="100"/>
  <c r="D39" i="100"/>
  <c r="C39" i="100"/>
  <c r="B39" i="100"/>
  <c r="F38" i="100"/>
  <c r="E38" i="100"/>
  <c r="D38" i="100"/>
  <c r="C38" i="100"/>
  <c r="C37" i="100"/>
  <c r="B37" i="100"/>
  <c r="B35" i="100"/>
  <c r="F33" i="100"/>
  <c r="E33" i="100"/>
  <c r="D33" i="100"/>
  <c r="C33" i="100"/>
  <c r="A33" i="100"/>
  <c r="F32" i="100"/>
  <c r="E32" i="100"/>
  <c r="D32" i="100"/>
  <c r="C32" i="100"/>
  <c r="B32" i="100"/>
  <c r="F31" i="100"/>
  <c r="E31" i="100"/>
  <c r="D31" i="100"/>
  <c r="C31" i="100"/>
  <c r="B31" i="100"/>
  <c r="F30" i="100"/>
  <c r="E30" i="100"/>
  <c r="D30" i="100"/>
  <c r="C30" i="100"/>
  <c r="B30" i="100"/>
  <c r="F29" i="100"/>
  <c r="E29" i="100"/>
  <c r="D29" i="100"/>
  <c r="C29" i="100"/>
  <c r="B29" i="100"/>
  <c r="F28" i="100"/>
  <c r="E28" i="100"/>
  <c r="D28" i="100"/>
  <c r="C28" i="100"/>
  <c r="B28" i="100"/>
  <c r="F27" i="100"/>
  <c r="E27" i="100"/>
  <c r="D27" i="100"/>
  <c r="C27" i="100"/>
  <c r="B27" i="100"/>
  <c r="F26" i="100"/>
  <c r="E26" i="100"/>
  <c r="D26" i="100"/>
  <c r="C26" i="100"/>
  <c r="B26" i="100"/>
  <c r="F25" i="100"/>
  <c r="E25" i="100"/>
  <c r="D25" i="100"/>
  <c r="C25" i="100"/>
  <c r="B25" i="100"/>
  <c r="F24" i="100"/>
  <c r="E24" i="100"/>
  <c r="D24" i="100"/>
  <c r="C24" i="100"/>
  <c r="B24" i="100"/>
  <c r="F23" i="100"/>
  <c r="E23" i="100"/>
  <c r="D23" i="100"/>
  <c r="C23" i="100"/>
  <c r="B23" i="100"/>
  <c r="F22" i="100"/>
  <c r="E22" i="100"/>
  <c r="D22" i="100"/>
  <c r="C22" i="100"/>
  <c r="B22" i="100"/>
  <c r="F21" i="100"/>
  <c r="E21" i="100"/>
  <c r="D21" i="100"/>
  <c r="C21" i="100"/>
  <c r="B20" i="100"/>
  <c r="B18" i="100"/>
  <c r="K14" i="100"/>
  <c r="J14" i="100"/>
  <c r="I14" i="100"/>
  <c r="H14" i="100"/>
  <c r="A10" i="100"/>
  <c r="A1" i="100"/>
  <c r="G150" i="121"/>
  <c r="F150" i="121"/>
  <c r="E150" i="121"/>
  <c r="D150" i="121"/>
  <c r="C150" i="121"/>
  <c r="B150" i="121"/>
  <c r="G149" i="121"/>
  <c r="F149" i="121"/>
  <c r="E149" i="121"/>
  <c r="D149" i="121"/>
  <c r="C149" i="121"/>
  <c r="B149" i="121"/>
  <c r="G148" i="121"/>
  <c r="F148" i="121"/>
  <c r="E148" i="121"/>
  <c r="D148" i="121"/>
  <c r="C148" i="121"/>
  <c r="B148" i="121"/>
  <c r="G147" i="121"/>
  <c r="F147" i="121"/>
  <c r="E147" i="121"/>
  <c r="D147" i="121"/>
  <c r="C147" i="121"/>
  <c r="B147" i="121"/>
  <c r="G146" i="121"/>
  <c r="F146" i="121"/>
  <c r="E146" i="121"/>
  <c r="D146" i="121"/>
  <c r="C146" i="121"/>
  <c r="B146" i="121"/>
  <c r="G145" i="121"/>
  <c r="F145" i="121"/>
  <c r="E145" i="121"/>
  <c r="D145" i="121"/>
  <c r="C145" i="121"/>
  <c r="B145" i="121"/>
  <c r="G144" i="121"/>
  <c r="F144" i="121"/>
  <c r="E144" i="121"/>
  <c r="D144" i="121"/>
  <c r="C144" i="121"/>
  <c r="B144" i="121"/>
  <c r="G143" i="121"/>
  <c r="F143" i="121"/>
  <c r="E143" i="121"/>
  <c r="D143" i="121"/>
  <c r="C143" i="121"/>
  <c r="B143" i="121"/>
  <c r="G142" i="121"/>
  <c r="F142" i="121"/>
  <c r="E142" i="121"/>
  <c r="D142" i="121"/>
  <c r="C142" i="121"/>
  <c r="B142" i="121"/>
  <c r="G141" i="121"/>
  <c r="F141" i="121"/>
  <c r="E141" i="121"/>
  <c r="D141" i="121"/>
  <c r="C141" i="121"/>
  <c r="B141" i="121"/>
  <c r="G140" i="121"/>
  <c r="F140" i="121"/>
  <c r="E140" i="121"/>
  <c r="D140" i="121"/>
  <c r="C140" i="121"/>
  <c r="B140" i="121"/>
  <c r="F138" i="121"/>
  <c r="E138" i="121"/>
  <c r="D138" i="121"/>
  <c r="C138" i="121"/>
  <c r="B138" i="121"/>
  <c r="G134" i="121"/>
  <c r="F134" i="121"/>
  <c r="E134" i="121"/>
  <c r="D134" i="121"/>
  <c r="C134" i="121"/>
  <c r="B134" i="121"/>
  <c r="G133" i="121"/>
  <c r="F133" i="121"/>
  <c r="E133" i="121"/>
  <c r="D133" i="121"/>
  <c r="C133" i="121"/>
  <c r="B133" i="121"/>
  <c r="G132" i="121"/>
  <c r="F132" i="121"/>
  <c r="E132" i="121"/>
  <c r="D132" i="121"/>
  <c r="C132" i="121"/>
  <c r="B132" i="121"/>
  <c r="G131" i="121"/>
  <c r="F131" i="121"/>
  <c r="E131" i="121"/>
  <c r="D131" i="121"/>
  <c r="C131" i="121"/>
  <c r="B131" i="121"/>
  <c r="G130" i="121"/>
  <c r="F130" i="121"/>
  <c r="E130" i="121"/>
  <c r="D130" i="121"/>
  <c r="C130" i="121"/>
  <c r="B130" i="121"/>
  <c r="G129" i="121"/>
  <c r="F129" i="121"/>
  <c r="E129" i="121"/>
  <c r="D129" i="121"/>
  <c r="C129" i="121"/>
  <c r="B129" i="121"/>
  <c r="G128" i="121"/>
  <c r="F128" i="121"/>
  <c r="E128" i="121"/>
  <c r="D128" i="121"/>
  <c r="C128" i="121"/>
  <c r="B128" i="121"/>
  <c r="G127" i="121"/>
  <c r="F127" i="121"/>
  <c r="E127" i="121"/>
  <c r="D127" i="121"/>
  <c r="C127" i="121"/>
  <c r="B127" i="121"/>
  <c r="G126" i="121"/>
  <c r="F126" i="121"/>
  <c r="E126" i="121"/>
  <c r="D126" i="121"/>
  <c r="C126" i="121"/>
  <c r="B126" i="121"/>
  <c r="G125" i="121"/>
  <c r="F125" i="121"/>
  <c r="E125" i="121"/>
  <c r="D125" i="121"/>
  <c r="C125" i="121"/>
  <c r="B125" i="121"/>
  <c r="G124" i="121"/>
  <c r="F124" i="121"/>
  <c r="E124" i="121"/>
  <c r="D124" i="121"/>
  <c r="C124" i="121"/>
  <c r="B124" i="121"/>
  <c r="F122" i="121"/>
  <c r="E122" i="121"/>
  <c r="D122" i="121"/>
  <c r="C122" i="121"/>
  <c r="B122" i="121"/>
  <c r="F118" i="121"/>
  <c r="E118" i="121"/>
  <c r="D118" i="121"/>
  <c r="C118" i="121"/>
  <c r="B118" i="121"/>
  <c r="F117" i="121"/>
  <c r="E117" i="121"/>
  <c r="D117" i="121"/>
  <c r="C117" i="121"/>
  <c r="B117" i="121"/>
  <c r="F116" i="121"/>
  <c r="E116" i="121"/>
  <c r="D116" i="121"/>
  <c r="C116" i="121"/>
  <c r="B116" i="121"/>
  <c r="F115" i="121"/>
  <c r="E115" i="121"/>
  <c r="D115" i="121"/>
  <c r="C115" i="121"/>
  <c r="B115" i="121"/>
  <c r="F114" i="121"/>
  <c r="E114" i="121"/>
  <c r="D114" i="121"/>
  <c r="C114" i="121"/>
  <c r="B114" i="121"/>
  <c r="F113" i="121"/>
  <c r="E113" i="121"/>
  <c r="D113" i="121"/>
  <c r="C113" i="121"/>
  <c r="B113" i="121"/>
  <c r="F112" i="121"/>
  <c r="E112" i="121"/>
  <c r="D112" i="121"/>
  <c r="C112" i="121"/>
  <c r="B112" i="121"/>
  <c r="F111" i="121"/>
  <c r="E111" i="121"/>
  <c r="D111" i="121"/>
  <c r="C111" i="121"/>
  <c r="B111" i="121"/>
  <c r="F110" i="121"/>
  <c r="E110" i="121"/>
  <c r="D110" i="121"/>
  <c r="C110" i="121"/>
  <c r="B110" i="121"/>
  <c r="F109" i="121"/>
  <c r="E109" i="121"/>
  <c r="D109" i="121"/>
  <c r="C109" i="121"/>
  <c r="B109" i="121"/>
  <c r="F108" i="121"/>
  <c r="E108" i="121"/>
  <c r="D108" i="121"/>
  <c r="C108" i="121"/>
  <c r="B108" i="121"/>
  <c r="F107" i="121"/>
  <c r="E107" i="121"/>
  <c r="D107" i="121"/>
  <c r="C107" i="121"/>
  <c r="C106" i="121"/>
  <c r="B106" i="121"/>
  <c r="F102" i="121"/>
  <c r="E102" i="121"/>
  <c r="D102" i="121"/>
  <c r="C102" i="121"/>
  <c r="B102" i="121"/>
  <c r="F101" i="121"/>
  <c r="E101" i="121"/>
  <c r="D101" i="121"/>
  <c r="C101" i="121"/>
  <c r="B101" i="121"/>
  <c r="F100" i="121"/>
  <c r="E100" i="121"/>
  <c r="D100" i="121"/>
  <c r="C100" i="121"/>
  <c r="B100" i="121"/>
  <c r="F99" i="121"/>
  <c r="E99" i="121"/>
  <c r="D99" i="121"/>
  <c r="C99" i="121"/>
  <c r="B99" i="121"/>
  <c r="F98" i="121"/>
  <c r="E98" i="121"/>
  <c r="D98" i="121"/>
  <c r="C98" i="121"/>
  <c r="B98" i="121"/>
  <c r="F97" i="121"/>
  <c r="E97" i="121"/>
  <c r="D97" i="121"/>
  <c r="C97" i="121"/>
  <c r="B97" i="121"/>
  <c r="F96" i="121"/>
  <c r="E96" i="121"/>
  <c r="D96" i="121"/>
  <c r="C96" i="121"/>
  <c r="B96" i="121"/>
  <c r="F95" i="121"/>
  <c r="E95" i="121"/>
  <c r="D95" i="121"/>
  <c r="C95" i="121"/>
  <c r="B95" i="121"/>
  <c r="F94" i="121"/>
  <c r="E94" i="121"/>
  <c r="D94" i="121"/>
  <c r="C94" i="121"/>
  <c r="B94" i="121"/>
  <c r="F93" i="121"/>
  <c r="E93" i="121"/>
  <c r="D93" i="121"/>
  <c r="C93" i="121"/>
  <c r="B93" i="121"/>
  <c r="F92" i="121"/>
  <c r="E92" i="121"/>
  <c r="D92" i="121"/>
  <c r="C92" i="121"/>
  <c r="B92" i="121"/>
  <c r="F91" i="121"/>
  <c r="E91" i="121"/>
  <c r="D91" i="121"/>
  <c r="C91" i="121"/>
  <c r="C90" i="121"/>
  <c r="B90" i="121"/>
  <c r="F86" i="121"/>
  <c r="E86" i="121"/>
  <c r="D86" i="121"/>
  <c r="C86" i="121"/>
  <c r="A86" i="121"/>
  <c r="F85" i="121"/>
  <c r="E85" i="121"/>
  <c r="D85" i="121"/>
  <c r="C85" i="121"/>
  <c r="B85" i="121"/>
  <c r="F84" i="121"/>
  <c r="E84" i="121"/>
  <c r="D84" i="121"/>
  <c r="C84" i="121"/>
  <c r="B84" i="121"/>
  <c r="F83" i="121"/>
  <c r="E83" i="121"/>
  <c r="D83" i="121"/>
  <c r="C83" i="121"/>
  <c r="B83" i="121"/>
  <c r="F82" i="121"/>
  <c r="E82" i="121"/>
  <c r="D82" i="121"/>
  <c r="C82" i="121"/>
  <c r="B82" i="121"/>
  <c r="F81" i="121"/>
  <c r="E81" i="121"/>
  <c r="D81" i="121"/>
  <c r="C81" i="121"/>
  <c r="B81" i="121"/>
  <c r="F80" i="121"/>
  <c r="E80" i="121"/>
  <c r="D80" i="121"/>
  <c r="C80" i="121"/>
  <c r="B80" i="121"/>
  <c r="F79" i="121"/>
  <c r="E79" i="121"/>
  <c r="D79" i="121"/>
  <c r="C79" i="121"/>
  <c r="B79" i="121"/>
  <c r="F78" i="121"/>
  <c r="E78" i="121"/>
  <c r="D78" i="121"/>
  <c r="C78" i="121"/>
  <c r="B78" i="121"/>
  <c r="F77" i="121"/>
  <c r="E77" i="121"/>
  <c r="D77" i="121"/>
  <c r="C77" i="121"/>
  <c r="B77" i="121"/>
  <c r="F76" i="121"/>
  <c r="E76" i="121"/>
  <c r="D76" i="121"/>
  <c r="C76" i="121"/>
  <c r="B76" i="121"/>
  <c r="F75" i="121"/>
  <c r="E75" i="121"/>
  <c r="D75" i="121"/>
  <c r="C75" i="121"/>
  <c r="B75" i="121"/>
  <c r="F74" i="121"/>
  <c r="E74" i="121"/>
  <c r="D74" i="121"/>
  <c r="C74" i="121"/>
  <c r="C73" i="121"/>
  <c r="B73" i="121"/>
  <c r="F69" i="121"/>
  <c r="E69" i="121"/>
  <c r="D69" i="121"/>
  <c r="C69" i="121"/>
  <c r="A69" i="121"/>
  <c r="F68" i="121"/>
  <c r="E68" i="121"/>
  <c r="D68" i="121"/>
  <c r="C68" i="121"/>
  <c r="B68" i="121"/>
  <c r="F67" i="121"/>
  <c r="E67" i="121"/>
  <c r="D67" i="121"/>
  <c r="C67" i="121"/>
  <c r="B67" i="121"/>
  <c r="F66" i="121"/>
  <c r="E66" i="121"/>
  <c r="D66" i="121"/>
  <c r="C66" i="121"/>
  <c r="B66" i="121"/>
  <c r="F65" i="121"/>
  <c r="E65" i="121"/>
  <c r="D65" i="121"/>
  <c r="C65" i="121"/>
  <c r="B65" i="121"/>
  <c r="F64" i="121"/>
  <c r="E64" i="121"/>
  <c r="D64" i="121"/>
  <c r="C64" i="121"/>
  <c r="B64" i="121"/>
  <c r="F63" i="121"/>
  <c r="E63" i="121"/>
  <c r="D63" i="121"/>
  <c r="C63" i="121"/>
  <c r="B63" i="121"/>
  <c r="F62" i="121"/>
  <c r="E62" i="121"/>
  <c r="D62" i="121"/>
  <c r="C62" i="121"/>
  <c r="B62" i="121"/>
  <c r="F61" i="121"/>
  <c r="E61" i="121"/>
  <c r="D61" i="121"/>
  <c r="C61" i="121"/>
  <c r="B61" i="121"/>
  <c r="F60" i="121"/>
  <c r="E60" i="121"/>
  <c r="D60" i="121"/>
  <c r="C60" i="121"/>
  <c r="B60" i="121"/>
  <c r="F59" i="121"/>
  <c r="E59" i="121"/>
  <c r="D59" i="121"/>
  <c r="C59" i="121"/>
  <c r="B59" i="121"/>
  <c r="F58" i="121"/>
  <c r="E58" i="121"/>
  <c r="D58" i="121"/>
  <c r="C58" i="121"/>
  <c r="B58" i="121"/>
  <c r="F57" i="121"/>
  <c r="E57" i="121"/>
  <c r="D57" i="121"/>
  <c r="C57" i="121"/>
  <c r="C56" i="121"/>
  <c r="B56" i="121"/>
  <c r="F50" i="121"/>
  <c r="E50" i="121"/>
  <c r="D50" i="121"/>
  <c r="C50" i="121"/>
  <c r="A50" i="121"/>
  <c r="F49" i="121"/>
  <c r="E49" i="121"/>
  <c r="D49" i="121"/>
  <c r="C49" i="121"/>
  <c r="B49" i="121"/>
  <c r="F48" i="121"/>
  <c r="E48" i="121"/>
  <c r="D48" i="121"/>
  <c r="C48" i="121"/>
  <c r="B48" i="121"/>
  <c r="F47" i="121"/>
  <c r="E47" i="121"/>
  <c r="D47" i="121"/>
  <c r="C47" i="121"/>
  <c r="B47" i="121"/>
  <c r="F46" i="121"/>
  <c r="E46" i="121"/>
  <c r="D46" i="121"/>
  <c r="C46" i="121"/>
  <c r="B46" i="121"/>
  <c r="F45" i="121"/>
  <c r="E45" i="121"/>
  <c r="D45" i="121"/>
  <c r="C45" i="121"/>
  <c r="B45" i="121"/>
  <c r="F44" i="121"/>
  <c r="E44" i="121"/>
  <c r="D44" i="121"/>
  <c r="C44" i="121"/>
  <c r="B44" i="121"/>
  <c r="F43" i="121"/>
  <c r="E43" i="121"/>
  <c r="D43" i="121"/>
  <c r="C43" i="121"/>
  <c r="B43" i="121"/>
  <c r="F42" i="121"/>
  <c r="E42" i="121"/>
  <c r="D42" i="121"/>
  <c r="C42" i="121"/>
  <c r="B42" i="121"/>
  <c r="F41" i="121"/>
  <c r="E41" i="121"/>
  <c r="D41" i="121"/>
  <c r="C41" i="121"/>
  <c r="B41" i="121"/>
  <c r="F40" i="121"/>
  <c r="E40" i="121"/>
  <c r="D40" i="121"/>
  <c r="C40" i="121"/>
  <c r="B40" i="121"/>
  <c r="F39" i="121"/>
  <c r="E39" i="121"/>
  <c r="D39" i="121"/>
  <c r="C39" i="121"/>
  <c r="B39" i="121"/>
  <c r="F38" i="121"/>
  <c r="E38" i="121"/>
  <c r="D38" i="121"/>
  <c r="C38" i="121"/>
  <c r="C37" i="121"/>
  <c r="B37" i="121"/>
  <c r="B35" i="121"/>
  <c r="F33" i="121"/>
  <c r="E33" i="121"/>
  <c r="D33" i="121"/>
  <c r="C33" i="121"/>
  <c r="A33" i="121"/>
  <c r="F32" i="121"/>
  <c r="E32" i="121"/>
  <c r="D32" i="121"/>
  <c r="C32" i="121"/>
  <c r="B32" i="121"/>
  <c r="F31" i="121"/>
  <c r="E31" i="121"/>
  <c r="D31" i="121"/>
  <c r="C31" i="121"/>
  <c r="B31" i="121"/>
  <c r="F30" i="121"/>
  <c r="E30" i="121"/>
  <c r="D30" i="121"/>
  <c r="C30" i="121"/>
  <c r="B30" i="121"/>
  <c r="F29" i="121"/>
  <c r="E29" i="121"/>
  <c r="D29" i="121"/>
  <c r="C29" i="121"/>
  <c r="B29" i="121"/>
  <c r="F28" i="121"/>
  <c r="E28" i="121"/>
  <c r="D28" i="121"/>
  <c r="C28" i="121"/>
  <c r="B28" i="121"/>
  <c r="F27" i="121"/>
  <c r="E27" i="121"/>
  <c r="D27" i="121"/>
  <c r="C27" i="121"/>
  <c r="B27" i="121"/>
  <c r="F26" i="121"/>
  <c r="E26" i="121"/>
  <c r="D26" i="121"/>
  <c r="C26" i="121"/>
  <c r="B26" i="121"/>
  <c r="F25" i="121"/>
  <c r="E25" i="121"/>
  <c r="D25" i="121"/>
  <c r="C25" i="121"/>
  <c r="B25" i="121"/>
  <c r="F24" i="121"/>
  <c r="E24" i="121"/>
  <c r="D24" i="121"/>
  <c r="C24" i="121"/>
  <c r="B24" i="121"/>
  <c r="F23" i="121"/>
  <c r="E23" i="121"/>
  <c r="D23" i="121"/>
  <c r="C23" i="121"/>
  <c r="B23" i="121"/>
  <c r="F22" i="121"/>
  <c r="E22" i="121"/>
  <c r="D22" i="121"/>
  <c r="C22" i="121"/>
  <c r="B22" i="121"/>
  <c r="F21" i="121"/>
  <c r="E21" i="121"/>
  <c r="D21" i="121"/>
  <c r="C21" i="121"/>
  <c r="B20" i="121"/>
  <c r="B18" i="121"/>
  <c r="A10" i="121"/>
  <c r="A1" i="121"/>
  <c r="G150" i="117"/>
  <c r="F150" i="117"/>
  <c r="E150" i="117"/>
  <c r="D150" i="117"/>
  <c r="C150" i="117"/>
  <c r="B150" i="117"/>
  <c r="G149" i="117"/>
  <c r="F149" i="117"/>
  <c r="E149" i="117"/>
  <c r="D149" i="117"/>
  <c r="C149" i="117"/>
  <c r="B149" i="117"/>
  <c r="G148" i="117"/>
  <c r="F148" i="117"/>
  <c r="E148" i="117"/>
  <c r="D148" i="117"/>
  <c r="C148" i="117"/>
  <c r="B148" i="117"/>
  <c r="G147" i="117"/>
  <c r="F147" i="117"/>
  <c r="E147" i="117"/>
  <c r="D147" i="117"/>
  <c r="C147" i="117"/>
  <c r="B147" i="117"/>
  <c r="G146" i="117"/>
  <c r="F146" i="117"/>
  <c r="E146" i="117"/>
  <c r="D146" i="117"/>
  <c r="C146" i="117"/>
  <c r="B146" i="117"/>
  <c r="G145" i="117"/>
  <c r="F145" i="117"/>
  <c r="E145" i="117"/>
  <c r="D145" i="117"/>
  <c r="C145" i="117"/>
  <c r="B145" i="117"/>
  <c r="G144" i="117"/>
  <c r="F144" i="117"/>
  <c r="E144" i="117"/>
  <c r="D144" i="117"/>
  <c r="C144" i="117"/>
  <c r="B144" i="117"/>
  <c r="G143" i="117"/>
  <c r="F143" i="117"/>
  <c r="E143" i="117"/>
  <c r="D143" i="117"/>
  <c r="C143" i="117"/>
  <c r="B143" i="117"/>
  <c r="G142" i="117"/>
  <c r="F142" i="117"/>
  <c r="E142" i="117"/>
  <c r="D142" i="117"/>
  <c r="C142" i="117"/>
  <c r="B142" i="117"/>
  <c r="G141" i="117"/>
  <c r="F141" i="117"/>
  <c r="E141" i="117"/>
  <c r="D141" i="117"/>
  <c r="C141" i="117"/>
  <c r="B141" i="117"/>
  <c r="G140" i="117"/>
  <c r="F140" i="117"/>
  <c r="E140" i="117"/>
  <c r="D140" i="117"/>
  <c r="C140" i="117"/>
  <c r="B140" i="117"/>
  <c r="F138" i="117"/>
  <c r="E138" i="117"/>
  <c r="D138" i="117"/>
  <c r="C138" i="117"/>
  <c r="B138" i="117"/>
  <c r="G134" i="117"/>
  <c r="F134" i="117"/>
  <c r="E134" i="117"/>
  <c r="D134" i="117"/>
  <c r="C134" i="117"/>
  <c r="B134" i="117"/>
  <c r="G133" i="117"/>
  <c r="F133" i="117"/>
  <c r="E133" i="117"/>
  <c r="D133" i="117"/>
  <c r="C133" i="117"/>
  <c r="B133" i="117"/>
  <c r="G132" i="117"/>
  <c r="F132" i="117"/>
  <c r="E132" i="117"/>
  <c r="D132" i="117"/>
  <c r="C132" i="117"/>
  <c r="B132" i="117"/>
  <c r="G131" i="117"/>
  <c r="F131" i="117"/>
  <c r="E131" i="117"/>
  <c r="D131" i="117"/>
  <c r="C131" i="117"/>
  <c r="B131" i="117"/>
  <c r="G130" i="117"/>
  <c r="F130" i="117"/>
  <c r="E130" i="117"/>
  <c r="D130" i="117"/>
  <c r="C130" i="117"/>
  <c r="B130" i="117"/>
  <c r="G129" i="117"/>
  <c r="F129" i="117"/>
  <c r="E129" i="117"/>
  <c r="D129" i="117"/>
  <c r="C129" i="117"/>
  <c r="B129" i="117"/>
  <c r="G128" i="117"/>
  <c r="F128" i="117"/>
  <c r="E128" i="117"/>
  <c r="D128" i="117"/>
  <c r="C128" i="117"/>
  <c r="B128" i="117"/>
  <c r="G127" i="117"/>
  <c r="F127" i="117"/>
  <c r="E127" i="117"/>
  <c r="D127" i="117"/>
  <c r="C127" i="117"/>
  <c r="B127" i="117"/>
  <c r="G126" i="117"/>
  <c r="F126" i="117"/>
  <c r="E126" i="117"/>
  <c r="D126" i="117"/>
  <c r="C126" i="117"/>
  <c r="B126" i="117"/>
  <c r="G125" i="117"/>
  <c r="F125" i="117"/>
  <c r="E125" i="117"/>
  <c r="D125" i="117"/>
  <c r="C125" i="117"/>
  <c r="B125" i="117"/>
  <c r="G124" i="117"/>
  <c r="F124" i="117"/>
  <c r="E124" i="117"/>
  <c r="D124" i="117"/>
  <c r="C124" i="117"/>
  <c r="B124" i="117"/>
  <c r="F122" i="117"/>
  <c r="E122" i="117"/>
  <c r="D122" i="117"/>
  <c r="C122" i="117"/>
  <c r="B122" i="117"/>
  <c r="F118" i="117"/>
  <c r="E118" i="117"/>
  <c r="D118" i="117"/>
  <c r="C118" i="117"/>
  <c r="B118" i="117"/>
  <c r="F117" i="117"/>
  <c r="E117" i="117"/>
  <c r="D117" i="117"/>
  <c r="C117" i="117"/>
  <c r="B117" i="117"/>
  <c r="F116" i="117"/>
  <c r="E116" i="117"/>
  <c r="D116" i="117"/>
  <c r="C116" i="117"/>
  <c r="B116" i="117"/>
  <c r="F115" i="117"/>
  <c r="E115" i="117"/>
  <c r="D115" i="117"/>
  <c r="C115" i="117"/>
  <c r="B115" i="117"/>
  <c r="F114" i="117"/>
  <c r="E114" i="117"/>
  <c r="D114" i="117"/>
  <c r="C114" i="117"/>
  <c r="B114" i="117"/>
  <c r="F113" i="117"/>
  <c r="E113" i="117"/>
  <c r="D113" i="117"/>
  <c r="C113" i="117"/>
  <c r="B113" i="117"/>
  <c r="F112" i="117"/>
  <c r="E112" i="117"/>
  <c r="D112" i="117"/>
  <c r="C112" i="117"/>
  <c r="B112" i="117"/>
  <c r="F111" i="117"/>
  <c r="E111" i="117"/>
  <c r="D111" i="117"/>
  <c r="C111" i="117"/>
  <c r="B111" i="117"/>
  <c r="F110" i="117"/>
  <c r="E110" i="117"/>
  <c r="D110" i="117"/>
  <c r="C110" i="117"/>
  <c r="B110" i="117"/>
  <c r="F109" i="117"/>
  <c r="E109" i="117"/>
  <c r="D109" i="117"/>
  <c r="C109" i="117"/>
  <c r="B109" i="117"/>
  <c r="F108" i="117"/>
  <c r="E108" i="117"/>
  <c r="D108" i="117"/>
  <c r="C108" i="117"/>
  <c r="B108" i="117"/>
  <c r="F107" i="117"/>
  <c r="E107" i="117"/>
  <c r="D107" i="117"/>
  <c r="C107" i="117"/>
  <c r="C106" i="117"/>
  <c r="B106" i="117"/>
  <c r="F102" i="117"/>
  <c r="E102" i="117"/>
  <c r="D102" i="117"/>
  <c r="C102" i="117"/>
  <c r="B102" i="117"/>
  <c r="F101" i="117"/>
  <c r="E101" i="117"/>
  <c r="D101" i="117"/>
  <c r="C101" i="117"/>
  <c r="B101" i="117"/>
  <c r="F100" i="117"/>
  <c r="E100" i="117"/>
  <c r="D100" i="117"/>
  <c r="C100" i="117"/>
  <c r="B100" i="117"/>
  <c r="F99" i="117"/>
  <c r="E99" i="117"/>
  <c r="D99" i="117"/>
  <c r="C99" i="117"/>
  <c r="B99" i="117"/>
  <c r="F98" i="117"/>
  <c r="E98" i="117"/>
  <c r="D98" i="117"/>
  <c r="C98" i="117"/>
  <c r="B98" i="117"/>
  <c r="F97" i="117"/>
  <c r="E97" i="117"/>
  <c r="D97" i="117"/>
  <c r="C97" i="117"/>
  <c r="B97" i="117"/>
  <c r="F96" i="117"/>
  <c r="E96" i="117"/>
  <c r="D96" i="117"/>
  <c r="C96" i="117"/>
  <c r="B96" i="117"/>
  <c r="F95" i="117"/>
  <c r="E95" i="117"/>
  <c r="D95" i="117"/>
  <c r="C95" i="117"/>
  <c r="B95" i="117"/>
  <c r="F94" i="117"/>
  <c r="E94" i="117"/>
  <c r="D94" i="117"/>
  <c r="C94" i="117"/>
  <c r="B94" i="117"/>
  <c r="F93" i="117"/>
  <c r="E93" i="117"/>
  <c r="D93" i="117"/>
  <c r="C93" i="117"/>
  <c r="B93" i="117"/>
  <c r="F92" i="117"/>
  <c r="E92" i="117"/>
  <c r="D92" i="117"/>
  <c r="C92" i="117"/>
  <c r="B92" i="117"/>
  <c r="F91" i="117"/>
  <c r="E91" i="117"/>
  <c r="D91" i="117"/>
  <c r="C91" i="117"/>
  <c r="C90" i="117"/>
  <c r="B90" i="117"/>
  <c r="F86" i="117"/>
  <c r="E86" i="117"/>
  <c r="D86" i="117"/>
  <c r="C86" i="117"/>
  <c r="A86" i="117"/>
  <c r="F85" i="117"/>
  <c r="E85" i="117"/>
  <c r="D85" i="117"/>
  <c r="C85" i="117"/>
  <c r="B85" i="117"/>
  <c r="F84" i="117"/>
  <c r="E84" i="117"/>
  <c r="D84" i="117"/>
  <c r="C84" i="117"/>
  <c r="B84" i="117"/>
  <c r="F83" i="117"/>
  <c r="E83" i="117"/>
  <c r="D83" i="117"/>
  <c r="C83" i="117"/>
  <c r="B83" i="117"/>
  <c r="F82" i="117"/>
  <c r="E82" i="117"/>
  <c r="D82" i="117"/>
  <c r="C82" i="117"/>
  <c r="B82" i="117"/>
  <c r="F81" i="117"/>
  <c r="E81" i="117"/>
  <c r="D81" i="117"/>
  <c r="C81" i="117"/>
  <c r="B81" i="117"/>
  <c r="F80" i="117"/>
  <c r="E80" i="117"/>
  <c r="D80" i="117"/>
  <c r="C80" i="117"/>
  <c r="B80" i="117"/>
  <c r="F79" i="117"/>
  <c r="E79" i="117"/>
  <c r="D79" i="117"/>
  <c r="C79" i="117"/>
  <c r="B79" i="117"/>
  <c r="F78" i="117"/>
  <c r="E78" i="117"/>
  <c r="D78" i="117"/>
  <c r="C78" i="117"/>
  <c r="B78" i="117"/>
  <c r="F77" i="117"/>
  <c r="E77" i="117"/>
  <c r="D77" i="117"/>
  <c r="C77" i="117"/>
  <c r="B77" i="117"/>
  <c r="F76" i="117"/>
  <c r="E76" i="117"/>
  <c r="D76" i="117"/>
  <c r="C76" i="117"/>
  <c r="B76" i="117"/>
  <c r="F75" i="117"/>
  <c r="E75" i="117"/>
  <c r="D75" i="117"/>
  <c r="C75" i="117"/>
  <c r="B75" i="117"/>
  <c r="F74" i="117"/>
  <c r="E74" i="117"/>
  <c r="D74" i="117"/>
  <c r="C74" i="117"/>
  <c r="C73" i="117"/>
  <c r="B73" i="117"/>
  <c r="F69" i="117"/>
  <c r="E69" i="117"/>
  <c r="D69" i="117"/>
  <c r="C69" i="117"/>
  <c r="A69" i="117"/>
  <c r="F68" i="117"/>
  <c r="E68" i="117"/>
  <c r="D68" i="117"/>
  <c r="C68" i="117"/>
  <c r="B68" i="117"/>
  <c r="F67" i="117"/>
  <c r="E67" i="117"/>
  <c r="D67" i="117"/>
  <c r="C67" i="117"/>
  <c r="B67" i="117"/>
  <c r="F66" i="117"/>
  <c r="E66" i="117"/>
  <c r="D66" i="117"/>
  <c r="C66" i="117"/>
  <c r="B66" i="117"/>
  <c r="F65" i="117"/>
  <c r="E65" i="117"/>
  <c r="D65" i="117"/>
  <c r="C65" i="117"/>
  <c r="B65" i="117"/>
  <c r="F64" i="117"/>
  <c r="E64" i="117"/>
  <c r="D64" i="117"/>
  <c r="C64" i="117"/>
  <c r="B64" i="117"/>
  <c r="F63" i="117"/>
  <c r="E63" i="117"/>
  <c r="D63" i="117"/>
  <c r="C63" i="117"/>
  <c r="B63" i="117"/>
  <c r="F62" i="117"/>
  <c r="E62" i="117"/>
  <c r="D62" i="117"/>
  <c r="C62" i="117"/>
  <c r="B62" i="117"/>
  <c r="F61" i="117"/>
  <c r="E61" i="117"/>
  <c r="D61" i="117"/>
  <c r="C61" i="117"/>
  <c r="B61" i="117"/>
  <c r="F60" i="117"/>
  <c r="E60" i="117"/>
  <c r="D60" i="117"/>
  <c r="C60" i="117"/>
  <c r="B60" i="117"/>
  <c r="F59" i="117"/>
  <c r="E59" i="117"/>
  <c r="D59" i="117"/>
  <c r="C59" i="117"/>
  <c r="B59" i="117"/>
  <c r="F58" i="117"/>
  <c r="E58" i="117"/>
  <c r="D58" i="117"/>
  <c r="C58" i="117"/>
  <c r="B58" i="117"/>
  <c r="F57" i="117"/>
  <c r="E57" i="117"/>
  <c r="D57" i="117"/>
  <c r="C57" i="117"/>
  <c r="C56" i="117"/>
  <c r="B56" i="117"/>
  <c r="F50" i="117"/>
  <c r="E50" i="117"/>
  <c r="D50" i="117"/>
  <c r="C50" i="117"/>
  <c r="A50" i="117"/>
  <c r="F49" i="117"/>
  <c r="E49" i="117"/>
  <c r="D49" i="117"/>
  <c r="C49" i="117"/>
  <c r="B49" i="117"/>
  <c r="F48" i="117"/>
  <c r="E48" i="117"/>
  <c r="D48" i="117"/>
  <c r="C48" i="117"/>
  <c r="B48" i="117"/>
  <c r="F47" i="117"/>
  <c r="E47" i="117"/>
  <c r="D47" i="117"/>
  <c r="C47" i="117"/>
  <c r="B47" i="117"/>
  <c r="F46" i="117"/>
  <c r="E46" i="117"/>
  <c r="D46" i="117"/>
  <c r="C46" i="117"/>
  <c r="B46" i="117"/>
  <c r="F45" i="117"/>
  <c r="E45" i="117"/>
  <c r="D45" i="117"/>
  <c r="C45" i="117"/>
  <c r="B45" i="117"/>
  <c r="F44" i="117"/>
  <c r="E44" i="117"/>
  <c r="D44" i="117"/>
  <c r="C44" i="117"/>
  <c r="B44" i="117"/>
  <c r="F43" i="117"/>
  <c r="E43" i="117"/>
  <c r="D43" i="117"/>
  <c r="C43" i="117"/>
  <c r="B43" i="117"/>
  <c r="F42" i="117"/>
  <c r="E42" i="117"/>
  <c r="D42" i="117"/>
  <c r="C42" i="117"/>
  <c r="B42" i="117"/>
  <c r="F41" i="117"/>
  <c r="E41" i="117"/>
  <c r="D41" i="117"/>
  <c r="C41" i="117"/>
  <c r="B41" i="117"/>
  <c r="F40" i="117"/>
  <c r="E40" i="117"/>
  <c r="D40" i="117"/>
  <c r="C40" i="117"/>
  <c r="B40" i="117"/>
  <c r="F39" i="117"/>
  <c r="E39" i="117"/>
  <c r="D39" i="117"/>
  <c r="C39" i="117"/>
  <c r="B39" i="117"/>
  <c r="F38" i="117"/>
  <c r="E38" i="117"/>
  <c r="D38" i="117"/>
  <c r="C38" i="117"/>
  <c r="C37" i="117"/>
  <c r="B37" i="117"/>
  <c r="B35" i="117"/>
  <c r="F33" i="117"/>
  <c r="E33" i="117"/>
  <c r="D33" i="117"/>
  <c r="C33" i="117"/>
  <c r="A33" i="117"/>
  <c r="F32" i="117"/>
  <c r="E32" i="117"/>
  <c r="D32" i="117"/>
  <c r="C32" i="117"/>
  <c r="B32" i="117"/>
  <c r="F31" i="117"/>
  <c r="E31" i="117"/>
  <c r="D31" i="117"/>
  <c r="C31" i="117"/>
  <c r="B31" i="117"/>
  <c r="F30" i="117"/>
  <c r="E30" i="117"/>
  <c r="D30" i="117"/>
  <c r="C30" i="117"/>
  <c r="B30" i="117"/>
  <c r="F29" i="117"/>
  <c r="E29" i="117"/>
  <c r="D29" i="117"/>
  <c r="C29" i="117"/>
  <c r="B29" i="117"/>
  <c r="F28" i="117"/>
  <c r="E28" i="117"/>
  <c r="D28" i="117"/>
  <c r="C28" i="117"/>
  <c r="B28" i="117"/>
  <c r="F27" i="117"/>
  <c r="E27" i="117"/>
  <c r="D27" i="117"/>
  <c r="C27" i="117"/>
  <c r="B27" i="117"/>
  <c r="F26" i="117"/>
  <c r="E26" i="117"/>
  <c r="D26" i="117"/>
  <c r="C26" i="117"/>
  <c r="B26" i="117"/>
  <c r="F25" i="117"/>
  <c r="E25" i="117"/>
  <c r="D25" i="117"/>
  <c r="C25" i="117"/>
  <c r="B25" i="117"/>
  <c r="F24" i="117"/>
  <c r="E24" i="117"/>
  <c r="D24" i="117"/>
  <c r="C24" i="117"/>
  <c r="B24" i="117"/>
  <c r="F23" i="117"/>
  <c r="E23" i="117"/>
  <c r="D23" i="117"/>
  <c r="C23" i="117"/>
  <c r="B23" i="117"/>
  <c r="F22" i="117"/>
  <c r="E22" i="117"/>
  <c r="D22" i="117"/>
  <c r="C22" i="117"/>
  <c r="B22" i="117"/>
  <c r="F21" i="117"/>
  <c r="E21" i="117"/>
  <c r="D21" i="117"/>
  <c r="C21" i="117"/>
  <c r="B20" i="117"/>
  <c r="B18" i="117"/>
  <c r="K14" i="117"/>
  <c r="J14" i="117"/>
  <c r="I14" i="117"/>
  <c r="H14" i="117"/>
  <c r="A10" i="117"/>
  <c r="A1" i="117"/>
  <c r="G150" i="120"/>
  <c r="F150" i="120"/>
  <c r="E150" i="120"/>
  <c r="D150" i="120"/>
  <c r="C150" i="120"/>
  <c r="B150" i="120"/>
  <c r="G149" i="120"/>
  <c r="F149" i="120"/>
  <c r="E149" i="120"/>
  <c r="D149" i="120"/>
  <c r="C149" i="120"/>
  <c r="B149" i="120"/>
  <c r="G148" i="120"/>
  <c r="F148" i="120"/>
  <c r="E148" i="120"/>
  <c r="D148" i="120"/>
  <c r="C148" i="120"/>
  <c r="B148" i="120"/>
  <c r="G147" i="120"/>
  <c r="F147" i="120"/>
  <c r="E147" i="120"/>
  <c r="D147" i="120"/>
  <c r="C147" i="120"/>
  <c r="B147" i="120"/>
  <c r="G146" i="120"/>
  <c r="F146" i="120"/>
  <c r="E146" i="120"/>
  <c r="D146" i="120"/>
  <c r="C146" i="120"/>
  <c r="B146" i="120"/>
  <c r="G145" i="120"/>
  <c r="F145" i="120"/>
  <c r="E145" i="120"/>
  <c r="D145" i="120"/>
  <c r="C145" i="120"/>
  <c r="B145" i="120"/>
  <c r="G144" i="120"/>
  <c r="F144" i="120"/>
  <c r="E144" i="120"/>
  <c r="D144" i="120"/>
  <c r="C144" i="120"/>
  <c r="B144" i="120"/>
  <c r="G143" i="120"/>
  <c r="F143" i="120"/>
  <c r="E143" i="120"/>
  <c r="D143" i="120"/>
  <c r="C143" i="120"/>
  <c r="B143" i="120"/>
  <c r="G142" i="120"/>
  <c r="F142" i="120"/>
  <c r="E142" i="120"/>
  <c r="D142" i="120"/>
  <c r="C142" i="120"/>
  <c r="B142" i="120"/>
  <c r="G141" i="120"/>
  <c r="F141" i="120"/>
  <c r="E141" i="120"/>
  <c r="D141" i="120"/>
  <c r="C141" i="120"/>
  <c r="B141" i="120"/>
  <c r="G140" i="120"/>
  <c r="F140" i="120"/>
  <c r="E140" i="120"/>
  <c r="D140" i="120"/>
  <c r="C140" i="120"/>
  <c r="B140" i="120"/>
  <c r="F138" i="120"/>
  <c r="E138" i="120"/>
  <c r="D138" i="120"/>
  <c r="C138" i="120"/>
  <c r="B138" i="120"/>
  <c r="G134" i="120"/>
  <c r="F134" i="120"/>
  <c r="E134" i="120"/>
  <c r="D134" i="120"/>
  <c r="C134" i="120"/>
  <c r="B134" i="120"/>
  <c r="G133" i="120"/>
  <c r="F133" i="120"/>
  <c r="E133" i="120"/>
  <c r="D133" i="120"/>
  <c r="C133" i="120"/>
  <c r="B133" i="120"/>
  <c r="G132" i="120"/>
  <c r="F132" i="120"/>
  <c r="E132" i="120"/>
  <c r="D132" i="120"/>
  <c r="C132" i="120"/>
  <c r="B132" i="120"/>
  <c r="G131" i="120"/>
  <c r="F131" i="120"/>
  <c r="E131" i="120"/>
  <c r="D131" i="120"/>
  <c r="C131" i="120"/>
  <c r="B131" i="120"/>
  <c r="G130" i="120"/>
  <c r="F130" i="120"/>
  <c r="E130" i="120"/>
  <c r="D130" i="120"/>
  <c r="C130" i="120"/>
  <c r="B130" i="120"/>
  <c r="G129" i="120"/>
  <c r="F129" i="120"/>
  <c r="E129" i="120"/>
  <c r="D129" i="120"/>
  <c r="C129" i="120"/>
  <c r="B129" i="120"/>
  <c r="G128" i="120"/>
  <c r="F128" i="120"/>
  <c r="E128" i="120"/>
  <c r="D128" i="120"/>
  <c r="C128" i="120"/>
  <c r="B128" i="120"/>
  <c r="G127" i="120"/>
  <c r="F127" i="120"/>
  <c r="E127" i="120"/>
  <c r="D127" i="120"/>
  <c r="C127" i="120"/>
  <c r="B127" i="120"/>
  <c r="G126" i="120"/>
  <c r="F126" i="120"/>
  <c r="E126" i="120"/>
  <c r="D126" i="120"/>
  <c r="C126" i="120"/>
  <c r="B126" i="120"/>
  <c r="G125" i="120"/>
  <c r="F125" i="120"/>
  <c r="E125" i="120"/>
  <c r="D125" i="120"/>
  <c r="C125" i="120"/>
  <c r="B125" i="120"/>
  <c r="G124" i="120"/>
  <c r="F124" i="120"/>
  <c r="E124" i="120"/>
  <c r="D124" i="120"/>
  <c r="C124" i="120"/>
  <c r="B124" i="120"/>
  <c r="F122" i="120"/>
  <c r="E122" i="120"/>
  <c r="D122" i="120"/>
  <c r="C122" i="120"/>
  <c r="B122" i="120"/>
  <c r="F118" i="120"/>
  <c r="E118" i="120"/>
  <c r="D118" i="120"/>
  <c r="C118" i="120"/>
  <c r="B118" i="120"/>
  <c r="F117" i="120"/>
  <c r="E117" i="120"/>
  <c r="D117" i="120"/>
  <c r="C117" i="120"/>
  <c r="B117" i="120"/>
  <c r="F116" i="120"/>
  <c r="E116" i="120"/>
  <c r="D116" i="120"/>
  <c r="C116" i="120"/>
  <c r="B116" i="120"/>
  <c r="F115" i="120"/>
  <c r="E115" i="120"/>
  <c r="D115" i="120"/>
  <c r="C115" i="120"/>
  <c r="B115" i="120"/>
  <c r="F114" i="120"/>
  <c r="E114" i="120"/>
  <c r="D114" i="120"/>
  <c r="C114" i="120"/>
  <c r="B114" i="120"/>
  <c r="F113" i="120"/>
  <c r="E113" i="120"/>
  <c r="D113" i="120"/>
  <c r="C113" i="120"/>
  <c r="B113" i="120"/>
  <c r="F112" i="120"/>
  <c r="E112" i="120"/>
  <c r="D112" i="120"/>
  <c r="C112" i="120"/>
  <c r="B112" i="120"/>
  <c r="F111" i="120"/>
  <c r="E111" i="120"/>
  <c r="D111" i="120"/>
  <c r="C111" i="120"/>
  <c r="B111" i="120"/>
  <c r="F110" i="120"/>
  <c r="E110" i="120"/>
  <c r="D110" i="120"/>
  <c r="C110" i="120"/>
  <c r="B110" i="120"/>
  <c r="F109" i="120"/>
  <c r="E109" i="120"/>
  <c r="D109" i="120"/>
  <c r="C109" i="120"/>
  <c r="B109" i="120"/>
  <c r="F108" i="120"/>
  <c r="E108" i="120"/>
  <c r="D108" i="120"/>
  <c r="C108" i="120"/>
  <c r="B108" i="120"/>
  <c r="F107" i="120"/>
  <c r="E107" i="120"/>
  <c r="D107" i="120"/>
  <c r="C107" i="120"/>
  <c r="C106" i="120"/>
  <c r="B106" i="120"/>
  <c r="F102" i="120"/>
  <c r="E102" i="120"/>
  <c r="D102" i="120"/>
  <c r="C102" i="120"/>
  <c r="B102" i="120"/>
  <c r="F101" i="120"/>
  <c r="E101" i="120"/>
  <c r="D101" i="120"/>
  <c r="C101" i="120"/>
  <c r="B101" i="120"/>
  <c r="F100" i="120"/>
  <c r="E100" i="120"/>
  <c r="D100" i="120"/>
  <c r="C100" i="120"/>
  <c r="B100" i="120"/>
  <c r="F99" i="120"/>
  <c r="E99" i="120"/>
  <c r="D99" i="120"/>
  <c r="C99" i="120"/>
  <c r="B99" i="120"/>
  <c r="F98" i="120"/>
  <c r="E98" i="120"/>
  <c r="D98" i="120"/>
  <c r="C98" i="120"/>
  <c r="B98" i="120"/>
  <c r="F97" i="120"/>
  <c r="E97" i="120"/>
  <c r="D97" i="120"/>
  <c r="C97" i="120"/>
  <c r="B97" i="120"/>
  <c r="F96" i="120"/>
  <c r="E96" i="120"/>
  <c r="D96" i="120"/>
  <c r="C96" i="120"/>
  <c r="B96" i="120"/>
  <c r="F95" i="120"/>
  <c r="E95" i="120"/>
  <c r="D95" i="120"/>
  <c r="C95" i="120"/>
  <c r="B95" i="120"/>
  <c r="F94" i="120"/>
  <c r="E94" i="120"/>
  <c r="D94" i="120"/>
  <c r="C94" i="120"/>
  <c r="B94" i="120"/>
  <c r="F93" i="120"/>
  <c r="E93" i="120"/>
  <c r="D93" i="120"/>
  <c r="C93" i="120"/>
  <c r="B93" i="120"/>
  <c r="F92" i="120"/>
  <c r="E92" i="120"/>
  <c r="D92" i="120"/>
  <c r="C92" i="120"/>
  <c r="B92" i="120"/>
  <c r="F91" i="120"/>
  <c r="E91" i="120"/>
  <c r="D91" i="120"/>
  <c r="C91" i="120"/>
  <c r="C90" i="120"/>
  <c r="B90" i="120"/>
  <c r="F86" i="120"/>
  <c r="E86" i="120"/>
  <c r="D86" i="120"/>
  <c r="C86" i="120"/>
  <c r="A86" i="120"/>
  <c r="F85" i="120"/>
  <c r="E85" i="120"/>
  <c r="D85" i="120"/>
  <c r="C85" i="120"/>
  <c r="B85" i="120"/>
  <c r="F84" i="120"/>
  <c r="E84" i="120"/>
  <c r="D84" i="120"/>
  <c r="C84" i="120"/>
  <c r="B84" i="120"/>
  <c r="F83" i="120"/>
  <c r="E83" i="120"/>
  <c r="D83" i="120"/>
  <c r="C83" i="120"/>
  <c r="B83" i="120"/>
  <c r="F82" i="120"/>
  <c r="E82" i="120"/>
  <c r="D82" i="120"/>
  <c r="C82" i="120"/>
  <c r="B82" i="120"/>
  <c r="F81" i="120"/>
  <c r="E81" i="120"/>
  <c r="D81" i="120"/>
  <c r="C81" i="120"/>
  <c r="B81" i="120"/>
  <c r="F80" i="120"/>
  <c r="E80" i="120"/>
  <c r="D80" i="120"/>
  <c r="C80" i="120"/>
  <c r="B80" i="120"/>
  <c r="F79" i="120"/>
  <c r="E79" i="120"/>
  <c r="D79" i="120"/>
  <c r="C79" i="120"/>
  <c r="B79" i="120"/>
  <c r="F78" i="120"/>
  <c r="E78" i="120"/>
  <c r="D78" i="120"/>
  <c r="C78" i="120"/>
  <c r="B78" i="120"/>
  <c r="F77" i="120"/>
  <c r="E77" i="120"/>
  <c r="D77" i="120"/>
  <c r="C77" i="120"/>
  <c r="B77" i="120"/>
  <c r="F76" i="120"/>
  <c r="E76" i="120"/>
  <c r="D76" i="120"/>
  <c r="C76" i="120"/>
  <c r="B76" i="120"/>
  <c r="F75" i="120"/>
  <c r="E75" i="120"/>
  <c r="D75" i="120"/>
  <c r="C75" i="120"/>
  <c r="B75" i="120"/>
  <c r="F74" i="120"/>
  <c r="E74" i="120"/>
  <c r="D74" i="120"/>
  <c r="C74" i="120"/>
  <c r="C73" i="120"/>
  <c r="B73" i="120"/>
  <c r="F69" i="120"/>
  <c r="E69" i="120"/>
  <c r="D69" i="120"/>
  <c r="C69" i="120"/>
  <c r="A69" i="120"/>
  <c r="F68" i="120"/>
  <c r="E68" i="120"/>
  <c r="D68" i="120"/>
  <c r="C68" i="120"/>
  <c r="B68" i="120"/>
  <c r="F67" i="120"/>
  <c r="E67" i="120"/>
  <c r="D67" i="120"/>
  <c r="C67" i="120"/>
  <c r="B67" i="120"/>
  <c r="F66" i="120"/>
  <c r="E66" i="120"/>
  <c r="D66" i="120"/>
  <c r="C66" i="120"/>
  <c r="B66" i="120"/>
  <c r="F65" i="120"/>
  <c r="E65" i="120"/>
  <c r="D65" i="120"/>
  <c r="C65" i="120"/>
  <c r="B65" i="120"/>
  <c r="F64" i="120"/>
  <c r="E64" i="120"/>
  <c r="D64" i="120"/>
  <c r="C64" i="120"/>
  <c r="B64" i="120"/>
  <c r="F63" i="120"/>
  <c r="E63" i="120"/>
  <c r="D63" i="120"/>
  <c r="C63" i="120"/>
  <c r="B63" i="120"/>
  <c r="F62" i="120"/>
  <c r="E62" i="120"/>
  <c r="D62" i="120"/>
  <c r="C62" i="120"/>
  <c r="B62" i="120"/>
  <c r="F61" i="120"/>
  <c r="E61" i="120"/>
  <c r="D61" i="120"/>
  <c r="C61" i="120"/>
  <c r="B61" i="120"/>
  <c r="F60" i="120"/>
  <c r="E60" i="120"/>
  <c r="D60" i="120"/>
  <c r="C60" i="120"/>
  <c r="B60" i="120"/>
  <c r="F59" i="120"/>
  <c r="E59" i="120"/>
  <c r="D59" i="120"/>
  <c r="C59" i="120"/>
  <c r="B59" i="120"/>
  <c r="F58" i="120"/>
  <c r="E58" i="120"/>
  <c r="D58" i="120"/>
  <c r="C58" i="120"/>
  <c r="B58" i="120"/>
  <c r="F57" i="120"/>
  <c r="E57" i="120"/>
  <c r="D57" i="120"/>
  <c r="C57" i="120"/>
  <c r="C56" i="120"/>
  <c r="B56" i="120"/>
  <c r="F50" i="120"/>
  <c r="E50" i="120"/>
  <c r="D50" i="120"/>
  <c r="C50" i="120"/>
  <c r="A50" i="120"/>
  <c r="F49" i="120"/>
  <c r="E49" i="120"/>
  <c r="D49" i="120"/>
  <c r="C49" i="120"/>
  <c r="B49" i="120"/>
  <c r="F48" i="120"/>
  <c r="E48" i="120"/>
  <c r="D48" i="120"/>
  <c r="C48" i="120"/>
  <c r="B48" i="120"/>
  <c r="F47" i="120"/>
  <c r="E47" i="120"/>
  <c r="D47" i="120"/>
  <c r="C47" i="120"/>
  <c r="B47" i="120"/>
  <c r="F46" i="120"/>
  <c r="E46" i="120"/>
  <c r="D46" i="120"/>
  <c r="C46" i="120"/>
  <c r="B46" i="120"/>
  <c r="F45" i="120"/>
  <c r="E45" i="120"/>
  <c r="D45" i="120"/>
  <c r="C45" i="120"/>
  <c r="B45" i="120"/>
  <c r="F44" i="120"/>
  <c r="E44" i="120"/>
  <c r="D44" i="120"/>
  <c r="C44" i="120"/>
  <c r="B44" i="120"/>
  <c r="F43" i="120"/>
  <c r="E43" i="120"/>
  <c r="D43" i="120"/>
  <c r="C43" i="120"/>
  <c r="B43" i="120"/>
  <c r="F42" i="120"/>
  <c r="E42" i="120"/>
  <c r="D42" i="120"/>
  <c r="C42" i="120"/>
  <c r="B42" i="120"/>
  <c r="F41" i="120"/>
  <c r="E41" i="120"/>
  <c r="D41" i="120"/>
  <c r="C41" i="120"/>
  <c r="B41" i="120"/>
  <c r="F40" i="120"/>
  <c r="E40" i="120"/>
  <c r="D40" i="120"/>
  <c r="C40" i="120"/>
  <c r="B40" i="120"/>
  <c r="F39" i="120"/>
  <c r="E39" i="120"/>
  <c r="D39" i="120"/>
  <c r="C39" i="120"/>
  <c r="B39" i="120"/>
  <c r="F38" i="120"/>
  <c r="E38" i="120"/>
  <c r="D38" i="120"/>
  <c r="C38" i="120"/>
  <c r="C37" i="120"/>
  <c r="B37" i="120"/>
  <c r="B35" i="120"/>
  <c r="F33" i="120"/>
  <c r="E33" i="120"/>
  <c r="D33" i="120"/>
  <c r="C33" i="120"/>
  <c r="A33" i="120"/>
  <c r="F32" i="120"/>
  <c r="E32" i="120"/>
  <c r="D32" i="120"/>
  <c r="C32" i="120"/>
  <c r="B32" i="120"/>
  <c r="F31" i="120"/>
  <c r="E31" i="120"/>
  <c r="D31" i="120"/>
  <c r="C31" i="120"/>
  <c r="B31" i="120"/>
  <c r="F30" i="120"/>
  <c r="E30" i="120"/>
  <c r="D30" i="120"/>
  <c r="C30" i="120"/>
  <c r="B30" i="120"/>
  <c r="F29" i="120"/>
  <c r="E29" i="120"/>
  <c r="D29" i="120"/>
  <c r="C29" i="120"/>
  <c r="B29" i="120"/>
  <c r="F28" i="120"/>
  <c r="E28" i="120"/>
  <c r="D28" i="120"/>
  <c r="C28" i="120"/>
  <c r="B28" i="120"/>
  <c r="F27" i="120"/>
  <c r="E27" i="120"/>
  <c r="D27" i="120"/>
  <c r="C27" i="120"/>
  <c r="B27" i="120"/>
  <c r="F26" i="120"/>
  <c r="E26" i="120"/>
  <c r="D26" i="120"/>
  <c r="C26" i="120"/>
  <c r="B26" i="120"/>
  <c r="F25" i="120"/>
  <c r="E25" i="120"/>
  <c r="D25" i="120"/>
  <c r="C25" i="120"/>
  <c r="B25" i="120"/>
  <c r="F24" i="120"/>
  <c r="E24" i="120"/>
  <c r="D24" i="120"/>
  <c r="C24" i="120"/>
  <c r="B24" i="120"/>
  <c r="F23" i="120"/>
  <c r="E23" i="120"/>
  <c r="D23" i="120"/>
  <c r="C23" i="120"/>
  <c r="B23" i="120"/>
  <c r="F22" i="120"/>
  <c r="E22" i="120"/>
  <c r="D22" i="120"/>
  <c r="C22" i="120"/>
  <c r="B22" i="120"/>
  <c r="F21" i="120"/>
  <c r="E21" i="120"/>
  <c r="D21" i="120"/>
  <c r="C21" i="120"/>
  <c r="B20" i="120"/>
  <c r="B18" i="120"/>
  <c r="A10" i="120"/>
  <c r="A1" i="120"/>
  <c r="G150" i="118"/>
  <c r="F150" i="118"/>
  <c r="E150" i="118"/>
  <c r="D150" i="118"/>
  <c r="C150" i="118"/>
  <c r="B150" i="118"/>
  <c r="G149" i="118"/>
  <c r="F149" i="118"/>
  <c r="E149" i="118"/>
  <c r="D149" i="118"/>
  <c r="C149" i="118"/>
  <c r="B149" i="118"/>
  <c r="G148" i="118"/>
  <c r="F148" i="118"/>
  <c r="E148" i="118"/>
  <c r="D148" i="118"/>
  <c r="C148" i="118"/>
  <c r="B148" i="118"/>
  <c r="G147" i="118"/>
  <c r="F147" i="118"/>
  <c r="E147" i="118"/>
  <c r="D147" i="118"/>
  <c r="C147" i="118"/>
  <c r="B147" i="118"/>
  <c r="G146" i="118"/>
  <c r="F146" i="118"/>
  <c r="E146" i="118"/>
  <c r="D146" i="118"/>
  <c r="C146" i="118"/>
  <c r="B146" i="118"/>
  <c r="G145" i="118"/>
  <c r="F145" i="118"/>
  <c r="E145" i="118"/>
  <c r="D145" i="118"/>
  <c r="C145" i="118"/>
  <c r="B145" i="118"/>
  <c r="G144" i="118"/>
  <c r="F144" i="118"/>
  <c r="E144" i="118"/>
  <c r="D144" i="118"/>
  <c r="C144" i="118"/>
  <c r="B144" i="118"/>
  <c r="G143" i="118"/>
  <c r="F143" i="118"/>
  <c r="E143" i="118"/>
  <c r="D143" i="118"/>
  <c r="C143" i="118"/>
  <c r="B143" i="118"/>
  <c r="G142" i="118"/>
  <c r="F142" i="118"/>
  <c r="E142" i="118"/>
  <c r="D142" i="118"/>
  <c r="C142" i="118"/>
  <c r="B142" i="118"/>
  <c r="G141" i="118"/>
  <c r="F141" i="118"/>
  <c r="E141" i="118"/>
  <c r="D141" i="118"/>
  <c r="C141" i="118"/>
  <c r="B141" i="118"/>
  <c r="G140" i="118"/>
  <c r="F140" i="118"/>
  <c r="E140" i="118"/>
  <c r="D140" i="118"/>
  <c r="C140" i="118"/>
  <c r="B140" i="118"/>
  <c r="F138" i="118"/>
  <c r="E138" i="118"/>
  <c r="D138" i="118"/>
  <c r="C138" i="118"/>
  <c r="B138" i="118"/>
  <c r="G134" i="118"/>
  <c r="F134" i="118"/>
  <c r="E134" i="118"/>
  <c r="D134" i="118"/>
  <c r="C134" i="118"/>
  <c r="B134" i="118"/>
  <c r="G133" i="118"/>
  <c r="F133" i="118"/>
  <c r="E133" i="118"/>
  <c r="D133" i="118"/>
  <c r="C133" i="118"/>
  <c r="B133" i="118"/>
  <c r="G132" i="118"/>
  <c r="F132" i="118"/>
  <c r="E132" i="118"/>
  <c r="D132" i="118"/>
  <c r="C132" i="118"/>
  <c r="B132" i="118"/>
  <c r="G131" i="118"/>
  <c r="F131" i="118"/>
  <c r="E131" i="118"/>
  <c r="D131" i="118"/>
  <c r="C131" i="118"/>
  <c r="B131" i="118"/>
  <c r="G130" i="118"/>
  <c r="F130" i="118"/>
  <c r="E130" i="118"/>
  <c r="D130" i="118"/>
  <c r="C130" i="118"/>
  <c r="B130" i="118"/>
  <c r="G129" i="118"/>
  <c r="F129" i="118"/>
  <c r="E129" i="118"/>
  <c r="D129" i="118"/>
  <c r="C129" i="118"/>
  <c r="B129" i="118"/>
  <c r="G128" i="118"/>
  <c r="F128" i="118"/>
  <c r="E128" i="118"/>
  <c r="D128" i="118"/>
  <c r="C128" i="118"/>
  <c r="B128" i="118"/>
  <c r="G127" i="118"/>
  <c r="F127" i="118"/>
  <c r="E127" i="118"/>
  <c r="D127" i="118"/>
  <c r="C127" i="118"/>
  <c r="B127" i="118"/>
  <c r="G126" i="118"/>
  <c r="F126" i="118"/>
  <c r="E126" i="118"/>
  <c r="D126" i="118"/>
  <c r="C126" i="118"/>
  <c r="B126" i="118"/>
  <c r="G125" i="118"/>
  <c r="F125" i="118"/>
  <c r="E125" i="118"/>
  <c r="D125" i="118"/>
  <c r="C125" i="118"/>
  <c r="B125" i="118"/>
  <c r="G124" i="118"/>
  <c r="F124" i="118"/>
  <c r="E124" i="118"/>
  <c r="D124" i="118"/>
  <c r="C124" i="118"/>
  <c r="B124" i="118"/>
  <c r="F122" i="118"/>
  <c r="E122" i="118"/>
  <c r="D122" i="118"/>
  <c r="C122" i="118"/>
  <c r="B122" i="118"/>
  <c r="F118" i="118"/>
  <c r="E118" i="118"/>
  <c r="D118" i="118"/>
  <c r="C118" i="118"/>
  <c r="B118" i="118"/>
  <c r="F117" i="118"/>
  <c r="E117" i="118"/>
  <c r="D117" i="118"/>
  <c r="C117" i="118"/>
  <c r="B117" i="118"/>
  <c r="F116" i="118"/>
  <c r="E116" i="118"/>
  <c r="D116" i="118"/>
  <c r="C116" i="118"/>
  <c r="B116" i="118"/>
  <c r="F115" i="118"/>
  <c r="E115" i="118"/>
  <c r="D115" i="118"/>
  <c r="C115" i="118"/>
  <c r="B115" i="118"/>
  <c r="F114" i="118"/>
  <c r="E114" i="118"/>
  <c r="D114" i="118"/>
  <c r="C114" i="118"/>
  <c r="B114" i="118"/>
  <c r="F113" i="118"/>
  <c r="E113" i="118"/>
  <c r="D113" i="118"/>
  <c r="C113" i="118"/>
  <c r="B113" i="118"/>
  <c r="F112" i="118"/>
  <c r="E112" i="118"/>
  <c r="D112" i="118"/>
  <c r="C112" i="118"/>
  <c r="B112" i="118"/>
  <c r="F111" i="118"/>
  <c r="E111" i="118"/>
  <c r="D111" i="118"/>
  <c r="C111" i="118"/>
  <c r="B111" i="118"/>
  <c r="F110" i="118"/>
  <c r="E110" i="118"/>
  <c r="D110" i="118"/>
  <c r="C110" i="118"/>
  <c r="B110" i="118"/>
  <c r="F109" i="118"/>
  <c r="E109" i="118"/>
  <c r="D109" i="118"/>
  <c r="C109" i="118"/>
  <c r="B109" i="118"/>
  <c r="F108" i="118"/>
  <c r="E108" i="118"/>
  <c r="D108" i="118"/>
  <c r="C108" i="118"/>
  <c r="B108" i="118"/>
  <c r="F107" i="118"/>
  <c r="E107" i="118"/>
  <c r="D107" i="118"/>
  <c r="C107" i="118"/>
  <c r="C106" i="118"/>
  <c r="B106" i="118"/>
  <c r="F102" i="118"/>
  <c r="E102" i="118"/>
  <c r="D102" i="118"/>
  <c r="C102" i="118"/>
  <c r="B102" i="118"/>
  <c r="F101" i="118"/>
  <c r="E101" i="118"/>
  <c r="D101" i="118"/>
  <c r="C101" i="118"/>
  <c r="B101" i="118"/>
  <c r="F100" i="118"/>
  <c r="E100" i="118"/>
  <c r="D100" i="118"/>
  <c r="C100" i="118"/>
  <c r="B100" i="118"/>
  <c r="F99" i="118"/>
  <c r="E99" i="118"/>
  <c r="D99" i="118"/>
  <c r="C99" i="118"/>
  <c r="B99" i="118"/>
  <c r="F98" i="118"/>
  <c r="E98" i="118"/>
  <c r="D98" i="118"/>
  <c r="C98" i="118"/>
  <c r="B98" i="118"/>
  <c r="F97" i="118"/>
  <c r="E97" i="118"/>
  <c r="D97" i="118"/>
  <c r="C97" i="118"/>
  <c r="B97" i="118"/>
  <c r="F96" i="118"/>
  <c r="E96" i="118"/>
  <c r="D96" i="118"/>
  <c r="C96" i="118"/>
  <c r="B96" i="118"/>
  <c r="F95" i="118"/>
  <c r="E95" i="118"/>
  <c r="D95" i="118"/>
  <c r="C95" i="118"/>
  <c r="B95" i="118"/>
  <c r="F94" i="118"/>
  <c r="E94" i="118"/>
  <c r="D94" i="118"/>
  <c r="C94" i="118"/>
  <c r="B94" i="118"/>
  <c r="F93" i="118"/>
  <c r="E93" i="118"/>
  <c r="D93" i="118"/>
  <c r="C93" i="118"/>
  <c r="B93" i="118"/>
  <c r="F92" i="118"/>
  <c r="E92" i="118"/>
  <c r="D92" i="118"/>
  <c r="C92" i="118"/>
  <c r="B92" i="118"/>
  <c r="F91" i="118"/>
  <c r="E91" i="118"/>
  <c r="D91" i="118"/>
  <c r="C91" i="118"/>
  <c r="C90" i="118"/>
  <c r="B90" i="118"/>
  <c r="F86" i="118"/>
  <c r="E86" i="118"/>
  <c r="D86" i="118"/>
  <c r="C86" i="118"/>
  <c r="A86" i="118"/>
  <c r="F85" i="118"/>
  <c r="E85" i="118"/>
  <c r="D85" i="118"/>
  <c r="C85" i="118"/>
  <c r="B85" i="118"/>
  <c r="F84" i="118"/>
  <c r="E84" i="118"/>
  <c r="D84" i="118"/>
  <c r="C84" i="118"/>
  <c r="B84" i="118"/>
  <c r="F83" i="118"/>
  <c r="E83" i="118"/>
  <c r="D83" i="118"/>
  <c r="C83" i="118"/>
  <c r="B83" i="118"/>
  <c r="F82" i="118"/>
  <c r="E82" i="118"/>
  <c r="D82" i="118"/>
  <c r="C82" i="118"/>
  <c r="B82" i="118"/>
  <c r="F81" i="118"/>
  <c r="E81" i="118"/>
  <c r="D81" i="118"/>
  <c r="C81" i="118"/>
  <c r="B81" i="118"/>
  <c r="F80" i="118"/>
  <c r="E80" i="118"/>
  <c r="D80" i="118"/>
  <c r="C80" i="118"/>
  <c r="B80" i="118"/>
  <c r="F79" i="118"/>
  <c r="E79" i="118"/>
  <c r="D79" i="118"/>
  <c r="C79" i="118"/>
  <c r="B79" i="118"/>
  <c r="F78" i="118"/>
  <c r="E78" i="118"/>
  <c r="D78" i="118"/>
  <c r="C78" i="118"/>
  <c r="B78" i="118"/>
  <c r="F77" i="118"/>
  <c r="E77" i="118"/>
  <c r="D77" i="118"/>
  <c r="C77" i="118"/>
  <c r="B77" i="118"/>
  <c r="F76" i="118"/>
  <c r="E76" i="118"/>
  <c r="D76" i="118"/>
  <c r="C76" i="118"/>
  <c r="B76" i="118"/>
  <c r="F75" i="118"/>
  <c r="E75" i="118"/>
  <c r="D75" i="118"/>
  <c r="C75" i="118"/>
  <c r="B75" i="118"/>
  <c r="F74" i="118"/>
  <c r="E74" i="118"/>
  <c r="D74" i="118"/>
  <c r="C74" i="118"/>
  <c r="C73" i="118"/>
  <c r="B73" i="118"/>
  <c r="F69" i="118"/>
  <c r="E69" i="118"/>
  <c r="D69" i="118"/>
  <c r="C69" i="118"/>
  <c r="A69" i="118"/>
  <c r="F68" i="118"/>
  <c r="E68" i="118"/>
  <c r="D68" i="118"/>
  <c r="C68" i="118"/>
  <c r="B68" i="118"/>
  <c r="F67" i="118"/>
  <c r="E67" i="118"/>
  <c r="D67" i="118"/>
  <c r="C67" i="118"/>
  <c r="B67" i="118"/>
  <c r="F66" i="118"/>
  <c r="E66" i="118"/>
  <c r="D66" i="118"/>
  <c r="C66" i="118"/>
  <c r="B66" i="118"/>
  <c r="F65" i="118"/>
  <c r="E65" i="118"/>
  <c r="D65" i="118"/>
  <c r="C65" i="118"/>
  <c r="B65" i="118"/>
  <c r="F64" i="118"/>
  <c r="E64" i="118"/>
  <c r="D64" i="118"/>
  <c r="C64" i="118"/>
  <c r="B64" i="118"/>
  <c r="F63" i="118"/>
  <c r="E63" i="118"/>
  <c r="D63" i="118"/>
  <c r="C63" i="118"/>
  <c r="B63" i="118"/>
  <c r="F62" i="118"/>
  <c r="E62" i="118"/>
  <c r="D62" i="118"/>
  <c r="C62" i="118"/>
  <c r="B62" i="118"/>
  <c r="F61" i="118"/>
  <c r="E61" i="118"/>
  <c r="D61" i="118"/>
  <c r="C61" i="118"/>
  <c r="B61" i="118"/>
  <c r="F60" i="118"/>
  <c r="E60" i="118"/>
  <c r="D60" i="118"/>
  <c r="C60" i="118"/>
  <c r="B60" i="118"/>
  <c r="F59" i="118"/>
  <c r="E59" i="118"/>
  <c r="D59" i="118"/>
  <c r="C59" i="118"/>
  <c r="B59" i="118"/>
  <c r="F58" i="118"/>
  <c r="E58" i="118"/>
  <c r="D58" i="118"/>
  <c r="C58" i="118"/>
  <c r="B58" i="118"/>
  <c r="F57" i="118"/>
  <c r="E57" i="118"/>
  <c r="D57" i="118"/>
  <c r="C57" i="118"/>
  <c r="C56" i="118"/>
  <c r="B56" i="118"/>
  <c r="F50" i="118"/>
  <c r="E50" i="118"/>
  <c r="D50" i="118"/>
  <c r="C50" i="118"/>
  <c r="A50" i="118"/>
  <c r="F49" i="118"/>
  <c r="E49" i="118"/>
  <c r="D49" i="118"/>
  <c r="C49" i="118"/>
  <c r="B49" i="118"/>
  <c r="F48" i="118"/>
  <c r="E48" i="118"/>
  <c r="D48" i="118"/>
  <c r="C48" i="118"/>
  <c r="B48" i="118"/>
  <c r="F47" i="118"/>
  <c r="E47" i="118"/>
  <c r="D47" i="118"/>
  <c r="C47" i="118"/>
  <c r="B47" i="118"/>
  <c r="F46" i="118"/>
  <c r="E46" i="118"/>
  <c r="D46" i="118"/>
  <c r="C46" i="118"/>
  <c r="B46" i="118"/>
  <c r="F45" i="118"/>
  <c r="E45" i="118"/>
  <c r="D45" i="118"/>
  <c r="C45" i="118"/>
  <c r="B45" i="118"/>
  <c r="F44" i="118"/>
  <c r="E44" i="118"/>
  <c r="D44" i="118"/>
  <c r="C44" i="118"/>
  <c r="B44" i="118"/>
  <c r="F43" i="118"/>
  <c r="E43" i="118"/>
  <c r="D43" i="118"/>
  <c r="C43" i="118"/>
  <c r="B43" i="118"/>
  <c r="F42" i="118"/>
  <c r="E42" i="118"/>
  <c r="D42" i="118"/>
  <c r="C42" i="118"/>
  <c r="B42" i="118"/>
  <c r="F41" i="118"/>
  <c r="E41" i="118"/>
  <c r="D41" i="118"/>
  <c r="C41" i="118"/>
  <c r="B41" i="118"/>
  <c r="F40" i="118"/>
  <c r="E40" i="118"/>
  <c r="D40" i="118"/>
  <c r="C40" i="118"/>
  <c r="B40" i="118"/>
  <c r="F39" i="118"/>
  <c r="E39" i="118"/>
  <c r="D39" i="118"/>
  <c r="C39" i="118"/>
  <c r="B39" i="118"/>
  <c r="F38" i="118"/>
  <c r="E38" i="118"/>
  <c r="D38" i="118"/>
  <c r="C38" i="118"/>
  <c r="C37" i="118"/>
  <c r="B37" i="118"/>
  <c r="B35" i="118"/>
  <c r="F33" i="118"/>
  <c r="E33" i="118"/>
  <c r="D33" i="118"/>
  <c r="C33" i="118"/>
  <c r="A33" i="118"/>
  <c r="F32" i="118"/>
  <c r="E32" i="118"/>
  <c r="D32" i="118"/>
  <c r="C32" i="118"/>
  <c r="B32" i="118"/>
  <c r="F31" i="118"/>
  <c r="E31" i="118"/>
  <c r="D31" i="118"/>
  <c r="C31" i="118"/>
  <c r="B31" i="118"/>
  <c r="F30" i="118"/>
  <c r="E30" i="118"/>
  <c r="D30" i="118"/>
  <c r="C30" i="118"/>
  <c r="B30" i="118"/>
  <c r="F29" i="118"/>
  <c r="E29" i="118"/>
  <c r="D29" i="118"/>
  <c r="C29" i="118"/>
  <c r="B29" i="118"/>
  <c r="F28" i="118"/>
  <c r="E28" i="118"/>
  <c r="D28" i="118"/>
  <c r="C28" i="118"/>
  <c r="B28" i="118"/>
  <c r="F27" i="118"/>
  <c r="E27" i="118"/>
  <c r="D27" i="118"/>
  <c r="C27" i="118"/>
  <c r="B27" i="118"/>
  <c r="F26" i="118"/>
  <c r="E26" i="118"/>
  <c r="D26" i="118"/>
  <c r="C26" i="118"/>
  <c r="B26" i="118"/>
  <c r="F25" i="118"/>
  <c r="E25" i="118"/>
  <c r="D25" i="118"/>
  <c r="C25" i="118"/>
  <c r="B25" i="118"/>
  <c r="F24" i="118"/>
  <c r="E24" i="118"/>
  <c r="D24" i="118"/>
  <c r="C24" i="118"/>
  <c r="B24" i="118"/>
  <c r="F23" i="118"/>
  <c r="E23" i="118"/>
  <c r="D23" i="118"/>
  <c r="C23" i="118"/>
  <c r="B23" i="118"/>
  <c r="F22" i="118"/>
  <c r="E22" i="118"/>
  <c r="D22" i="118"/>
  <c r="C22" i="118"/>
  <c r="B22" i="118"/>
  <c r="F21" i="118"/>
  <c r="E21" i="118"/>
  <c r="D21" i="118"/>
  <c r="C21" i="118"/>
  <c r="B20" i="118"/>
  <c r="B18" i="118"/>
  <c r="K14" i="118"/>
  <c r="J14" i="118"/>
  <c r="I14" i="118"/>
  <c r="H14" i="118"/>
  <c r="A10" i="118"/>
  <c r="A1" i="118"/>
  <c r="G150" i="119"/>
  <c r="F150" i="119"/>
  <c r="E150" i="119"/>
  <c r="D150" i="119"/>
  <c r="C150" i="119"/>
  <c r="B150" i="119"/>
  <c r="G149" i="119"/>
  <c r="F149" i="119"/>
  <c r="E149" i="119"/>
  <c r="D149" i="119"/>
  <c r="C149" i="119"/>
  <c r="B149" i="119"/>
  <c r="G148" i="119"/>
  <c r="F148" i="119"/>
  <c r="E148" i="119"/>
  <c r="D148" i="119"/>
  <c r="C148" i="119"/>
  <c r="B148" i="119"/>
  <c r="G147" i="119"/>
  <c r="F147" i="119"/>
  <c r="E147" i="119"/>
  <c r="D147" i="119"/>
  <c r="C147" i="119"/>
  <c r="B147" i="119"/>
  <c r="G146" i="119"/>
  <c r="F146" i="119"/>
  <c r="E146" i="119"/>
  <c r="D146" i="119"/>
  <c r="C146" i="119"/>
  <c r="B146" i="119"/>
  <c r="G145" i="119"/>
  <c r="F145" i="119"/>
  <c r="E145" i="119"/>
  <c r="D145" i="119"/>
  <c r="C145" i="119"/>
  <c r="B145" i="119"/>
  <c r="G144" i="119"/>
  <c r="F144" i="119"/>
  <c r="E144" i="119"/>
  <c r="D144" i="119"/>
  <c r="C144" i="119"/>
  <c r="B144" i="119"/>
  <c r="G143" i="119"/>
  <c r="F143" i="119"/>
  <c r="E143" i="119"/>
  <c r="D143" i="119"/>
  <c r="C143" i="119"/>
  <c r="B143" i="119"/>
  <c r="G142" i="119"/>
  <c r="F142" i="119"/>
  <c r="E142" i="119"/>
  <c r="D142" i="119"/>
  <c r="C142" i="119"/>
  <c r="B142" i="119"/>
  <c r="G141" i="119"/>
  <c r="F141" i="119"/>
  <c r="E141" i="119"/>
  <c r="D141" i="119"/>
  <c r="C141" i="119"/>
  <c r="B141" i="119"/>
  <c r="G140" i="119"/>
  <c r="F140" i="119"/>
  <c r="E140" i="119"/>
  <c r="D140" i="119"/>
  <c r="C140" i="119"/>
  <c r="B140" i="119"/>
  <c r="F138" i="119"/>
  <c r="E138" i="119"/>
  <c r="D138" i="119"/>
  <c r="C138" i="119"/>
  <c r="B138" i="119"/>
  <c r="G134" i="119"/>
  <c r="F134" i="119"/>
  <c r="E134" i="119"/>
  <c r="D134" i="119"/>
  <c r="C134" i="119"/>
  <c r="B134" i="119"/>
  <c r="G133" i="119"/>
  <c r="F133" i="119"/>
  <c r="E133" i="119"/>
  <c r="D133" i="119"/>
  <c r="C133" i="119"/>
  <c r="B133" i="119"/>
  <c r="G132" i="119"/>
  <c r="F132" i="119"/>
  <c r="E132" i="119"/>
  <c r="D132" i="119"/>
  <c r="C132" i="119"/>
  <c r="B132" i="119"/>
  <c r="G131" i="119"/>
  <c r="F131" i="119"/>
  <c r="E131" i="119"/>
  <c r="D131" i="119"/>
  <c r="C131" i="119"/>
  <c r="B131" i="119"/>
  <c r="G130" i="119"/>
  <c r="F130" i="119"/>
  <c r="E130" i="119"/>
  <c r="D130" i="119"/>
  <c r="C130" i="119"/>
  <c r="B130" i="119"/>
  <c r="G129" i="119"/>
  <c r="F129" i="119"/>
  <c r="E129" i="119"/>
  <c r="D129" i="119"/>
  <c r="C129" i="119"/>
  <c r="B129" i="119"/>
  <c r="G128" i="119"/>
  <c r="F128" i="119"/>
  <c r="E128" i="119"/>
  <c r="D128" i="119"/>
  <c r="C128" i="119"/>
  <c r="B128" i="119"/>
  <c r="G127" i="119"/>
  <c r="F127" i="119"/>
  <c r="E127" i="119"/>
  <c r="D127" i="119"/>
  <c r="C127" i="119"/>
  <c r="B127" i="119"/>
  <c r="G126" i="119"/>
  <c r="F126" i="119"/>
  <c r="E126" i="119"/>
  <c r="D126" i="119"/>
  <c r="C126" i="119"/>
  <c r="B126" i="119"/>
  <c r="G125" i="119"/>
  <c r="F125" i="119"/>
  <c r="E125" i="119"/>
  <c r="D125" i="119"/>
  <c r="C125" i="119"/>
  <c r="B125" i="119"/>
  <c r="G124" i="119"/>
  <c r="F124" i="119"/>
  <c r="E124" i="119"/>
  <c r="D124" i="119"/>
  <c r="C124" i="119"/>
  <c r="B124" i="119"/>
  <c r="F122" i="119"/>
  <c r="E122" i="119"/>
  <c r="D122" i="119"/>
  <c r="C122" i="119"/>
  <c r="B122" i="119"/>
  <c r="F118" i="119"/>
  <c r="E118" i="119"/>
  <c r="D118" i="119"/>
  <c r="C118" i="119"/>
  <c r="B118" i="119"/>
  <c r="F117" i="119"/>
  <c r="E117" i="119"/>
  <c r="D117" i="119"/>
  <c r="C117" i="119"/>
  <c r="B117" i="119"/>
  <c r="F116" i="119"/>
  <c r="E116" i="119"/>
  <c r="D116" i="119"/>
  <c r="C116" i="119"/>
  <c r="B116" i="119"/>
  <c r="F115" i="119"/>
  <c r="E115" i="119"/>
  <c r="D115" i="119"/>
  <c r="C115" i="119"/>
  <c r="B115" i="119"/>
  <c r="F114" i="119"/>
  <c r="E114" i="119"/>
  <c r="D114" i="119"/>
  <c r="C114" i="119"/>
  <c r="B114" i="119"/>
  <c r="F113" i="119"/>
  <c r="E113" i="119"/>
  <c r="D113" i="119"/>
  <c r="C113" i="119"/>
  <c r="B113" i="119"/>
  <c r="F112" i="119"/>
  <c r="E112" i="119"/>
  <c r="D112" i="119"/>
  <c r="C112" i="119"/>
  <c r="B112" i="119"/>
  <c r="F111" i="119"/>
  <c r="E111" i="119"/>
  <c r="D111" i="119"/>
  <c r="C111" i="119"/>
  <c r="B111" i="119"/>
  <c r="F110" i="119"/>
  <c r="E110" i="119"/>
  <c r="D110" i="119"/>
  <c r="C110" i="119"/>
  <c r="B110" i="119"/>
  <c r="F109" i="119"/>
  <c r="E109" i="119"/>
  <c r="D109" i="119"/>
  <c r="C109" i="119"/>
  <c r="B109" i="119"/>
  <c r="F108" i="119"/>
  <c r="E108" i="119"/>
  <c r="D108" i="119"/>
  <c r="C108" i="119"/>
  <c r="B108" i="119"/>
  <c r="F107" i="119"/>
  <c r="E107" i="119"/>
  <c r="D107" i="119"/>
  <c r="C107" i="119"/>
  <c r="C106" i="119"/>
  <c r="B106" i="119"/>
  <c r="F102" i="119"/>
  <c r="E102" i="119"/>
  <c r="D102" i="119"/>
  <c r="C102" i="119"/>
  <c r="B102" i="119"/>
  <c r="F101" i="119"/>
  <c r="E101" i="119"/>
  <c r="D101" i="119"/>
  <c r="C101" i="119"/>
  <c r="B101" i="119"/>
  <c r="F100" i="119"/>
  <c r="E100" i="119"/>
  <c r="D100" i="119"/>
  <c r="C100" i="119"/>
  <c r="B100" i="119"/>
  <c r="F99" i="119"/>
  <c r="E99" i="119"/>
  <c r="D99" i="119"/>
  <c r="C99" i="119"/>
  <c r="B99" i="119"/>
  <c r="F98" i="119"/>
  <c r="E98" i="119"/>
  <c r="D98" i="119"/>
  <c r="C98" i="119"/>
  <c r="B98" i="119"/>
  <c r="F97" i="119"/>
  <c r="E97" i="119"/>
  <c r="D97" i="119"/>
  <c r="C97" i="119"/>
  <c r="B97" i="119"/>
  <c r="F96" i="119"/>
  <c r="E96" i="119"/>
  <c r="D96" i="119"/>
  <c r="C96" i="119"/>
  <c r="B96" i="119"/>
  <c r="F95" i="119"/>
  <c r="E95" i="119"/>
  <c r="D95" i="119"/>
  <c r="C95" i="119"/>
  <c r="B95" i="119"/>
  <c r="F94" i="119"/>
  <c r="E94" i="119"/>
  <c r="D94" i="119"/>
  <c r="C94" i="119"/>
  <c r="B94" i="119"/>
  <c r="F93" i="119"/>
  <c r="E93" i="119"/>
  <c r="D93" i="119"/>
  <c r="C93" i="119"/>
  <c r="B93" i="119"/>
  <c r="F92" i="119"/>
  <c r="E92" i="119"/>
  <c r="D92" i="119"/>
  <c r="C92" i="119"/>
  <c r="B92" i="119"/>
  <c r="F91" i="119"/>
  <c r="E91" i="119"/>
  <c r="D91" i="119"/>
  <c r="C91" i="119"/>
  <c r="C90" i="119"/>
  <c r="B90" i="119"/>
  <c r="F86" i="119"/>
  <c r="E86" i="119"/>
  <c r="D86" i="119"/>
  <c r="C86" i="119"/>
  <c r="A86" i="119"/>
  <c r="F85" i="119"/>
  <c r="E85" i="119"/>
  <c r="D85" i="119"/>
  <c r="C85" i="119"/>
  <c r="B85" i="119"/>
  <c r="F84" i="119"/>
  <c r="E84" i="119"/>
  <c r="D84" i="119"/>
  <c r="C84" i="119"/>
  <c r="B84" i="119"/>
  <c r="F83" i="119"/>
  <c r="E83" i="119"/>
  <c r="D83" i="119"/>
  <c r="C83" i="119"/>
  <c r="B83" i="119"/>
  <c r="F82" i="119"/>
  <c r="E82" i="119"/>
  <c r="D82" i="119"/>
  <c r="C82" i="119"/>
  <c r="B82" i="119"/>
  <c r="F81" i="119"/>
  <c r="E81" i="119"/>
  <c r="D81" i="119"/>
  <c r="C81" i="119"/>
  <c r="B81" i="119"/>
  <c r="F80" i="119"/>
  <c r="E80" i="119"/>
  <c r="D80" i="119"/>
  <c r="C80" i="119"/>
  <c r="B80" i="119"/>
  <c r="F79" i="119"/>
  <c r="E79" i="119"/>
  <c r="D79" i="119"/>
  <c r="C79" i="119"/>
  <c r="B79" i="119"/>
  <c r="F78" i="119"/>
  <c r="E78" i="119"/>
  <c r="D78" i="119"/>
  <c r="C78" i="119"/>
  <c r="B78" i="119"/>
  <c r="F77" i="119"/>
  <c r="E77" i="119"/>
  <c r="D77" i="119"/>
  <c r="C77" i="119"/>
  <c r="B77" i="119"/>
  <c r="F76" i="119"/>
  <c r="E76" i="119"/>
  <c r="D76" i="119"/>
  <c r="C76" i="119"/>
  <c r="B76" i="119"/>
  <c r="F75" i="119"/>
  <c r="E75" i="119"/>
  <c r="D75" i="119"/>
  <c r="C75" i="119"/>
  <c r="B75" i="119"/>
  <c r="F74" i="119"/>
  <c r="E74" i="119"/>
  <c r="D74" i="119"/>
  <c r="C74" i="119"/>
  <c r="C73" i="119"/>
  <c r="B73" i="119"/>
  <c r="F69" i="119"/>
  <c r="E69" i="119"/>
  <c r="D69" i="119"/>
  <c r="C69" i="119"/>
  <c r="A69" i="119"/>
  <c r="F68" i="119"/>
  <c r="E68" i="119"/>
  <c r="D68" i="119"/>
  <c r="C68" i="119"/>
  <c r="B68" i="119"/>
  <c r="F67" i="119"/>
  <c r="E67" i="119"/>
  <c r="D67" i="119"/>
  <c r="C67" i="119"/>
  <c r="B67" i="119"/>
  <c r="F66" i="119"/>
  <c r="E66" i="119"/>
  <c r="D66" i="119"/>
  <c r="C66" i="119"/>
  <c r="B66" i="119"/>
  <c r="F65" i="119"/>
  <c r="E65" i="119"/>
  <c r="D65" i="119"/>
  <c r="C65" i="119"/>
  <c r="B65" i="119"/>
  <c r="F64" i="119"/>
  <c r="E64" i="119"/>
  <c r="D64" i="119"/>
  <c r="C64" i="119"/>
  <c r="B64" i="119"/>
  <c r="F63" i="119"/>
  <c r="E63" i="119"/>
  <c r="D63" i="119"/>
  <c r="C63" i="119"/>
  <c r="B63" i="119"/>
  <c r="F62" i="119"/>
  <c r="E62" i="119"/>
  <c r="D62" i="119"/>
  <c r="C62" i="119"/>
  <c r="B62" i="119"/>
  <c r="F61" i="119"/>
  <c r="E61" i="119"/>
  <c r="D61" i="119"/>
  <c r="C61" i="119"/>
  <c r="B61" i="119"/>
  <c r="F60" i="119"/>
  <c r="E60" i="119"/>
  <c r="D60" i="119"/>
  <c r="C60" i="119"/>
  <c r="B60" i="119"/>
  <c r="F59" i="119"/>
  <c r="E59" i="119"/>
  <c r="D59" i="119"/>
  <c r="C59" i="119"/>
  <c r="B59" i="119"/>
  <c r="F58" i="119"/>
  <c r="E58" i="119"/>
  <c r="D58" i="119"/>
  <c r="C58" i="119"/>
  <c r="B58" i="119"/>
  <c r="F57" i="119"/>
  <c r="E57" i="119"/>
  <c r="D57" i="119"/>
  <c r="C57" i="119"/>
  <c r="C56" i="119"/>
  <c r="B56" i="119"/>
  <c r="F50" i="119"/>
  <c r="E50" i="119"/>
  <c r="D50" i="119"/>
  <c r="C50" i="119"/>
  <c r="A50" i="119"/>
  <c r="F49" i="119"/>
  <c r="E49" i="119"/>
  <c r="D49" i="119"/>
  <c r="C49" i="119"/>
  <c r="B49" i="119"/>
  <c r="F48" i="119"/>
  <c r="E48" i="119"/>
  <c r="D48" i="119"/>
  <c r="C48" i="119"/>
  <c r="B48" i="119"/>
  <c r="F47" i="119"/>
  <c r="E47" i="119"/>
  <c r="D47" i="119"/>
  <c r="C47" i="119"/>
  <c r="B47" i="119"/>
  <c r="F46" i="119"/>
  <c r="E46" i="119"/>
  <c r="D46" i="119"/>
  <c r="C46" i="119"/>
  <c r="B46" i="119"/>
  <c r="F45" i="119"/>
  <c r="E45" i="119"/>
  <c r="D45" i="119"/>
  <c r="C45" i="119"/>
  <c r="B45" i="119"/>
  <c r="F44" i="119"/>
  <c r="E44" i="119"/>
  <c r="D44" i="119"/>
  <c r="C44" i="119"/>
  <c r="B44" i="119"/>
  <c r="F43" i="119"/>
  <c r="E43" i="119"/>
  <c r="D43" i="119"/>
  <c r="C43" i="119"/>
  <c r="B43" i="119"/>
  <c r="F42" i="119"/>
  <c r="E42" i="119"/>
  <c r="D42" i="119"/>
  <c r="C42" i="119"/>
  <c r="B42" i="119"/>
  <c r="F41" i="119"/>
  <c r="E41" i="119"/>
  <c r="D41" i="119"/>
  <c r="C41" i="119"/>
  <c r="B41" i="119"/>
  <c r="F40" i="119"/>
  <c r="E40" i="119"/>
  <c r="D40" i="119"/>
  <c r="C40" i="119"/>
  <c r="B40" i="119"/>
  <c r="F39" i="119"/>
  <c r="E39" i="119"/>
  <c r="D39" i="119"/>
  <c r="C39" i="119"/>
  <c r="B39" i="119"/>
  <c r="F38" i="119"/>
  <c r="E38" i="119"/>
  <c r="D38" i="119"/>
  <c r="C38" i="119"/>
  <c r="C37" i="119"/>
  <c r="B37" i="119"/>
  <c r="B35" i="119"/>
  <c r="F33" i="119"/>
  <c r="E33" i="119"/>
  <c r="D33" i="119"/>
  <c r="C33" i="119"/>
  <c r="A33" i="119"/>
  <c r="F32" i="119"/>
  <c r="E32" i="119"/>
  <c r="D32" i="119"/>
  <c r="C32" i="119"/>
  <c r="B32" i="119"/>
  <c r="F31" i="119"/>
  <c r="E31" i="119"/>
  <c r="D31" i="119"/>
  <c r="C31" i="119"/>
  <c r="B31" i="119"/>
  <c r="F30" i="119"/>
  <c r="E30" i="119"/>
  <c r="D30" i="119"/>
  <c r="C30" i="119"/>
  <c r="B30" i="119"/>
  <c r="F29" i="119"/>
  <c r="E29" i="119"/>
  <c r="D29" i="119"/>
  <c r="C29" i="119"/>
  <c r="B29" i="119"/>
  <c r="F28" i="119"/>
  <c r="E28" i="119"/>
  <c r="D28" i="119"/>
  <c r="C28" i="119"/>
  <c r="B28" i="119"/>
  <c r="F27" i="119"/>
  <c r="E27" i="119"/>
  <c r="D27" i="119"/>
  <c r="C27" i="119"/>
  <c r="B27" i="119"/>
  <c r="F26" i="119"/>
  <c r="E26" i="119"/>
  <c r="D26" i="119"/>
  <c r="C26" i="119"/>
  <c r="B26" i="119"/>
  <c r="F25" i="119"/>
  <c r="E25" i="119"/>
  <c r="D25" i="119"/>
  <c r="C25" i="119"/>
  <c r="B25" i="119"/>
  <c r="F24" i="119"/>
  <c r="E24" i="119"/>
  <c r="D24" i="119"/>
  <c r="C24" i="119"/>
  <c r="B24" i="119"/>
  <c r="F23" i="119"/>
  <c r="E23" i="119"/>
  <c r="D23" i="119"/>
  <c r="C23" i="119"/>
  <c r="B23" i="119"/>
  <c r="F22" i="119"/>
  <c r="E22" i="119"/>
  <c r="D22" i="119"/>
  <c r="C22" i="119"/>
  <c r="B22" i="119"/>
  <c r="F21" i="119"/>
  <c r="E21" i="119"/>
  <c r="D21" i="119"/>
  <c r="C21" i="119"/>
  <c r="B20" i="119"/>
  <c r="B18" i="119"/>
  <c r="A10" i="119"/>
  <c r="A1" i="119"/>
  <c r="O155" i="225"/>
  <c r="N155" i="225"/>
  <c r="M155" i="225"/>
  <c r="L155" i="225"/>
  <c r="K155" i="225"/>
  <c r="J155" i="225"/>
  <c r="I155" i="225"/>
  <c r="H155" i="225"/>
  <c r="G155" i="225"/>
  <c r="F155" i="225"/>
  <c r="E155" i="225"/>
  <c r="D155" i="225"/>
  <c r="O154" i="225"/>
  <c r="N154" i="225"/>
  <c r="M154" i="225"/>
  <c r="L154" i="225"/>
  <c r="K154" i="225"/>
  <c r="J154" i="225"/>
  <c r="I154" i="225"/>
  <c r="H154" i="225"/>
  <c r="G154" i="225"/>
  <c r="F154" i="225"/>
  <c r="E154" i="225"/>
  <c r="D154" i="225"/>
  <c r="O153" i="225"/>
  <c r="N153" i="225"/>
  <c r="M153" i="225"/>
  <c r="L153" i="225"/>
  <c r="K153" i="225"/>
  <c r="J153" i="225"/>
  <c r="I153" i="225"/>
  <c r="H153" i="225"/>
  <c r="G153" i="225"/>
  <c r="F153" i="225"/>
  <c r="E153" i="225"/>
  <c r="D153" i="225"/>
  <c r="O152" i="225"/>
  <c r="N152" i="225"/>
  <c r="M152" i="225"/>
  <c r="L152" i="225"/>
  <c r="K152" i="225"/>
  <c r="J152" i="225"/>
  <c r="I152" i="225"/>
  <c r="H152" i="225"/>
  <c r="G152" i="225"/>
  <c r="F152" i="225"/>
  <c r="E152" i="225"/>
  <c r="D152" i="225"/>
  <c r="O151" i="225"/>
  <c r="N151" i="225"/>
  <c r="M151" i="225"/>
  <c r="L151" i="225"/>
  <c r="K151" i="225"/>
  <c r="J151" i="225"/>
  <c r="I151" i="225"/>
  <c r="H151" i="225"/>
  <c r="G151" i="225"/>
  <c r="F151" i="225"/>
  <c r="E151" i="225"/>
  <c r="D151" i="225"/>
  <c r="O150" i="225"/>
  <c r="N150" i="225"/>
  <c r="M150" i="225"/>
  <c r="L150" i="225"/>
  <c r="K150" i="225"/>
  <c r="J150" i="225"/>
  <c r="I150" i="225"/>
  <c r="H150" i="225"/>
  <c r="G150" i="225"/>
  <c r="F150" i="225"/>
  <c r="E150" i="225"/>
  <c r="D150" i="225"/>
  <c r="O149" i="225"/>
  <c r="N149" i="225"/>
  <c r="M149" i="225"/>
  <c r="L149" i="225"/>
  <c r="K149" i="225"/>
  <c r="J149" i="225"/>
  <c r="I149" i="225"/>
  <c r="H149" i="225"/>
  <c r="G149" i="225"/>
  <c r="F149" i="225"/>
  <c r="E149" i="225"/>
  <c r="D149" i="225"/>
  <c r="O148" i="225"/>
  <c r="N148" i="225"/>
  <c r="M148" i="225"/>
  <c r="L148" i="225"/>
  <c r="K148" i="225"/>
  <c r="J148" i="225"/>
  <c r="I148" i="225"/>
  <c r="H148" i="225"/>
  <c r="G148" i="225"/>
  <c r="F148" i="225"/>
  <c r="E148" i="225"/>
  <c r="D148" i="225"/>
  <c r="O147" i="225"/>
  <c r="N147" i="225"/>
  <c r="M147" i="225"/>
  <c r="L147" i="225"/>
  <c r="K147" i="225"/>
  <c r="J147" i="225"/>
  <c r="I147" i="225"/>
  <c r="H147" i="225"/>
  <c r="G147" i="225"/>
  <c r="F147" i="225"/>
  <c r="E147" i="225"/>
  <c r="D147" i="225"/>
  <c r="O146" i="225"/>
  <c r="N146" i="225"/>
  <c r="M146" i="225"/>
  <c r="L146" i="225"/>
  <c r="K146" i="225"/>
  <c r="J146" i="225"/>
  <c r="I146" i="225"/>
  <c r="H146" i="225"/>
  <c r="G146" i="225"/>
  <c r="F146" i="225"/>
  <c r="E146" i="225"/>
  <c r="D146" i="225"/>
  <c r="O145" i="225"/>
  <c r="N145" i="225"/>
  <c r="M145" i="225"/>
  <c r="L145" i="225"/>
  <c r="K145" i="225"/>
  <c r="J145" i="225"/>
  <c r="I145" i="225"/>
  <c r="H145" i="225"/>
  <c r="G145" i="225"/>
  <c r="F145" i="225"/>
  <c r="E145" i="225"/>
  <c r="D145" i="225"/>
  <c r="O144" i="225"/>
  <c r="N144" i="225"/>
  <c r="M144" i="225"/>
  <c r="L144" i="225"/>
  <c r="K144" i="225"/>
  <c r="J144" i="225"/>
  <c r="I144" i="225"/>
  <c r="H144" i="225"/>
  <c r="G144" i="225"/>
  <c r="F144" i="225"/>
  <c r="E144" i="225"/>
  <c r="D144" i="225"/>
  <c r="O143" i="225"/>
  <c r="N143" i="225"/>
  <c r="M143" i="225"/>
  <c r="L143" i="225"/>
  <c r="K143" i="225"/>
  <c r="J143" i="225"/>
  <c r="I143" i="225"/>
  <c r="H143" i="225"/>
  <c r="G143" i="225"/>
  <c r="F143" i="225"/>
  <c r="E143" i="225"/>
  <c r="D143" i="225"/>
  <c r="O142" i="225"/>
  <c r="N142" i="225"/>
  <c r="M142" i="225"/>
  <c r="L142" i="225"/>
  <c r="K142" i="225"/>
  <c r="J142" i="225"/>
  <c r="I142" i="225"/>
  <c r="H142" i="225"/>
  <c r="G142" i="225"/>
  <c r="F142" i="225"/>
  <c r="E142" i="225"/>
  <c r="D142" i="225"/>
  <c r="O141" i="225"/>
  <c r="N141" i="225"/>
  <c r="M141" i="225"/>
  <c r="L141" i="225"/>
  <c r="K141" i="225"/>
  <c r="J141" i="225"/>
  <c r="I141" i="225"/>
  <c r="H141" i="225"/>
  <c r="G141" i="225"/>
  <c r="F141" i="225"/>
  <c r="E141" i="225"/>
  <c r="D141" i="225"/>
  <c r="O140" i="225"/>
  <c r="N140" i="225"/>
  <c r="M140" i="225"/>
  <c r="L140" i="225"/>
  <c r="K140" i="225"/>
  <c r="J140" i="225"/>
  <c r="I140" i="225"/>
  <c r="H140" i="225"/>
  <c r="G140" i="225"/>
  <c r="F140" i="225"/>
  <c r="E140" i="225"/>
  <c r="D140" i="225"/>
  <c r="O139" i="225"/>
  <c r="N139" i="225"/>
  <c r="M139" i="225"/>
  <c r="L139" i="225"/>
  <c r="K139" i="225"/>
  <c r="J139" i="225"/>
  <c r="I139" i="225"/>
  <c r="H139" i="225"/>
  <c r="G139" i="225"/>
  <c r="F139" i="225"/>
  <c r="E139" i="225"/>
  <c r="D139" i="225"/>
  <c r="O138" i="225"/>
  <c r="N138" i="225"/>
  <c r="M138" i="225"/>
  <c r="L138" i="225"/>
  <c r="K138" i="225"/>
  <c r="J138" i="225"/>
  <c r="I138" i="225"/>
  <c r="H138" i="225"/>
  <c r="G138" i="225"/>
  <c r="F138" i="225"/>
  <c r="E138" i="225"/>
  <c r="D138" i="225"/>
  <c r="O137" i="225"/>
  <c r="N137" i="225"/>
  <c r="M137" i="225"/>
  <c r="L137" i="225"/>
  <c r="K137" i="225"/>
  <c r="J137" i="225"/>
  <c r="I137" i="225"/>
  <c r="H137" i="225"/>
  <c r="G137" i="225"/>
  <c r="F137" i="225"/>
  <c r="E137" i="225"/>
  <c r="D137" i="225"/>
  <c r="O136" i="225"/>
  <c r="N136" i="225"/>
  <c r="M136" i="225"/>
  <c r="L136" i="225"/>
  <c r="K136" i="225"/>
  <c r="J136" i="225"/>
  <c r="I136" i="225"/>
  <c r="H136" i="225"/>
  <c r="G136" i="225"/>
  <c r="F136" i="225"/>
  <c r="E136" i="225"/>
  <c r="D136" i="225"/>
  <c r="O135" i="225"/>
  <c r="N135" i="225"/>
  <c r="M135" i="225"/>
  <c r="L135" i="225"/>
  <c r="K135" i="225"/>
  <c r="J135" i="225"/>
  <c r="I135" i="225"/>
  <c r="H135" i="225"/>
  <c r="G135" i="225"/>
  <c r="F135" i="225"/>
  <c r="E135" i="225"/>
  <c r="D135" i="225"/>
  <c r="O134" i="225"/>
  <c r="N134" i="225"/>
  <c r="M134" i="225"/>
  <c r="L134" i="225"/>
  <c r="K134" i="225"/>
  <c r="J134" i="225"/>
  <c r="I134" i="225"/>
  <c r="H134" i="225"/>
  <c r="G134" i="225"/>
  <c r="F134" i="225"/>
  <c r="E134" i="225"/>
  <c r="D134" i="225"/>
  <c r="O133" i="225"/>
  <c r="N133" i="225"/>
  <c r="M133" i="225"/>
  <c r="L133" i="225"/>
  <c r="K133" i="225"/>
  <c r="J133" i="225"/>
  <c r="I133" i="225"/>
  <c r="H133" i="225"/>
  <c r="G133" i="225"/>
  <c r="F133" i="225"/>
  <c r="E133" i="225"/>
  <c r="D133" i="225"/>
  <c r="O132" i="225"/>
  <c r="N132" i="225"/>
  <c r="M132" i="225"/>
  <c r="L132" i="225"/>
  <c r="K132" i="225"/>
  <c r="J132" i="225"/>
  <c r="I132" i="225"/>
  <c r="H132" i="225"/>
  <c r="G132" i="225"/>
  <c r="F132" i="225"/>
  <c r="E132" i="225"/>
  <c r="D132" i="225"/>
  <c r="O131" i="225"/>
  <c r="N131" i="225"/>
  <c r="M131" i="225"/>
  <c r="L131" i="225"/>
  <c r="K131" i="225"/>
  <c r="J131" i="225"/>
  <c r="I131" i="225"/>
  <c r="H131" i="225"/>
  <c r="G131" i="225"/>
  <c r="F131" i="225"/>
  <c r="E131" i="225"/>
  <c r="D131" i="225"/>
  <c r="O130" i="225"/>
  <c r="N130" i="225"/>
  <c r="M130" i="225"/>
  <c r="L130" i="225"/>
  <c r="K130" i="225"/>
  <c r="J130" i="225"/>
  <c r="I130" i="225"/>
  <c r="H130" i="225"/>
  <c r="G130" i="225"/>
  <c r="F130" i="225"/>
  <c r="E130" i="225"/>
  <c r="D130" i="225"/>
  <c r="O129" i="225"/>
  <c r="N129" i="225"/>
  <c r="M129" i="225"/>
  <c r="L129" i="225"/>
  <c r="K129" i="225"/>
  <c r="J129" i="225"/>
  <c r="I129" i="225"/>
  <c r="H129" i="225"/>
  <c r="G129" i="225"/>
  <c r="F129" i="225"/>
  <c r="E129" i="225"/>
  <c r="D129" i="225"/>
  <c r="O128" i="225"/>
  <c r="N128" i="225"/>
  <c r="M128" i="225"/>
  <c r="L128" i="225"/>
  <c r="K128" i="225"/>
  <c r="J128" i="225"/>
  <c r="I128" i="225"/>
  <c r="H128" i="225"/>
  <c r="G128" i="225"/>
  <c r="F128" i="225"/>
  <c r="E128" i="225"/>
  <c r="D128" i="225"/>
  <c r="O127" i="225"/>
  <c r="N127" i="225"/>
  <c r="M127" i="225"/>
  <c r="L127" i="225"/>
  <c r="K127" i="225"/>
  <c r="J127" i="225"/>
  <c r="I127" i="225"/>
  <c r="H127" i="225"/>
  <c r="G127" i="225"/>
  <c r="F127" i="225"/>
  <c r="E127" i="225"/>
  <c r="D127" i="225"/>
  <c r="O126" i="225"/>
  <c r="N126" i="225"/>
  <c r="M126" i="225"/>
  <c r="L126" i="225"/>
  <c r="K126" i="225"/>
  <c r="J126" i="225"/>
  <c r="I126" i="225"/>
  <c r="H126" i="225"/>
  <c r="G126" i="225"/>
  <c r="F126" i="225"/>
  <c r="E126" i="225"/>
  <c r="D126" i="225"/>
  <c r="O125" i="225"/>
  <c r="N125" i="225"/>
  <c r="M125" i="225"/>
  <c r="L125" i="225"/>
  <c r="K125" i="225"/>
  <c r="J125" i="225"/>
  <c r="I125" i="225"/>
  <c r="H125" i="225"/>
  <c r="G125" i="225"/>
  <c r="F125" i="225"/>
  <c r="E125" i="225"/>
  <c r="D125" i="225"/>
  <c r="O124" i="225"/>
  <c r="N124" i="225"/>
  <c r="M124" i="225"/>
  <c r="L124" i="225"/>
  <c r="K124" i="225"/>
  <c r="J124" i="225"/>
  <c r="I124" i="225"/>
  <c r="H124" i="225"/>
  <c r="G124" i="225"/>
  <c r="F124" i="225"/>
  <c r="E124" i="225"/>
  <c r="D124" i="225"/>
  <c r="O123" i="225"/>
  <c r="N123" i="225"/>
  <c r="M123" i="225"/>
  <c r="L123" i="225"/>
  <c r="K123" i="225"/>
  <c r="J123" i="225"/>
  <c r="I123" i="225"/>
  <c r="H123" i="225"/>
  <c r="G123" i="225"/>
  <c r="F123" i="225"/>
  <c r="E123" i="225"/>
  <c r="D123" i="225"/>
  <c r="O122" i="225"/>
  <c r="N122" i="225"/>
  <c r="M122" i="225"/>
  <c r="L122" i="225"/>
  <c r="K122" i="225"/>
  <c r="J122" i="225"/>
  <c r="I122" i="225"/>
  <c r="H122" i="225"/>
  <c r="G122" i="225"/>
  <c r="F122" i="225"/>
  <c r="E122" i="225"/>
  <c r="D122" i="225"/>
  <c r="O121" i="225"/>
  <c r="N121" i="225"/>
  <c r="M121" i="225"/>
  <c r="L121" i="225"/>
  <c r="K121" i="225"/>
  <c r="J121" i="225"/>
  <c r="I121" i="225"/>
  <c r="H121" i="225"/>
  <c r="G121" i="225"/>
  <c r="F121" i="225"/>
  <c r="E121" i="225"/>
  <c r="D121" i="225"/>
  <c r="O120" i="225"/>
  <c r="N120" i="225"/>
  <c r="M120" i="225"/>
  <c r="L120" i="225"/>
  <c r="K120" i="225"/>
  <c r="J120" i="225"/>
  <c r="I120" i="225"/>
  <c r="H120" i="225"/>
  <c r="G120" i="225"/>
  <c r="F120" i="225"/>
  <c r="E120" i="225"/>
  <c r="D120" i="225"/>
  <c r="O119" i="225"/>
  <c r="N119" i="225"/>
  <c r="M119" i="225"/>
  <c r="L119" i="225"/>
  <c r="K119" i="225"/>
  <c r="J119" i="225"/>
  <c r="I119" i="225"/>
  <c r="H119" i="225"/>
  <c r="G119" i="225"/>
  <c r="F119" i="225"/>
  <c r="E119" i="225"/>
  <c r="D119" i="225"/>
  <c r="O118" i="225"/>
  <c r="N118" i="225"/>
  <c r="M118" i="225"/>
  <c r="L118" i="225"/>
  <c r="K118" i="225"/>
  <c r="J118" i="225"/>
  <c r="I118" i="225"/>
  <c r="H118" i="225"/>
  <c r="G118" i="225"/>
  <c r="F118" i="225"/>
  <c r="E118" i="225"/>
  <c r="D118" i="225"/>
  <c r="O117" i="225"/>
  <c r="N117" i="225"/>
  <c r="M117" i="225"/>
  <c r="L117" i="225"/>
  <c r="K117" i="225"/>
  <c r="J117" i="225"/>
  <c r="I117" i="225"/>
  <c r="H117" i="225"/>
  <c r="G117" i="225"/>
  <c r="F117" i="225"/>
  <c r="E117" i="225"/>
  <c r="D117" i="225"/>
  <c r="O116" i="225"/>
  <c r="N116" i="225"/>
  <c r="M116" i="225"/>
  <c r="L116" i="225"/>
  <c r="K116" i="225"/>
  <c r="J116" i="225"/>
  <c r="I116" i="225"/>
  <c r="H116" i="225"/>
  <c r="G116" i="225"/>
  <c r="F116" i="225"/>
  <c r="E116" i="225"/>
  <c r="D116" i="225"/>
  <c r="O115" i="225"/>
  <c r="N115" i="225"/>
  <c r="M115" i="225"/>
  <c r="L115" i="225"/>
  <c r="K115" i="225"/>
  <c r="J115" i="225"/>
  <c r="I115" i="225"/>
  <c r="H115" i="225"/>
  <c r="G115" i="225"/>
  <c r="F115" i="225"/>
  <c r="E115" i="225"/>
  <c r="D115" i="225"/>
  <c r="O114" i="225"/>
  <c r="N114" i="225"/>
  <c r="M114" i="225"/>
  <c r="L114" i="225"/>
  <c r="K114" i="225"/>
  <c r="J114" i="225"/>
  <c r="I114" i="225"/>
  <c r="H114" i="225"/>
  <c r="G114" i="225"/>
  <c r="F114" i="225"/>
  <c r="E114" i="225"/>
  <c r="D114" i="225"/>
  <c r="O113" i="225"/>
  <c r="N113" i="225"/>
  <c r="M113" i="225"/>
  <c r="L113" i="225"/>
  <c r="K113" i="225"/>
  <c r="J113" i="225"/>
  <c r="I113" i="225"/>
  <c r="H113" i="225"/>
  <c r="G113" i="225"/>
  <c r="F113" i="225"/>
  <c r="E113" i="225"/>
  <c r="D113" i="225"/>
  <c r="O112" i="225"/>
  <c r="N112" i="225"/>
  <c r="M112" i="225"/>
  <c r="L112" i="225"/>
  <c r="K112" i="225"/>
  <c r="J112" i="225"/>
  <c r="I112" i="225"/>
  <c r="H112" i="225"/>
  <c r="G112" i="225"/>
  <c r="F112" i="225"/>
  <c r="E112" i="225"/>
  <c r="D112" i="225"/>
  <c r="O111" i="225"/>
  <c r="N111" i="225"/>
  <c r="M111" i="225"/>
  <c r="L111" i="225"/>
  <c r="K111" i="225"/>
  <c r="J111" i="225"/>
  <c r="I111" i="225"/>
  <c r="H111" i="225"/>
  <c r="G111" i="225"/>
  <c r="F111" i="225"/>
  <c r="E111" i="225"/>
  <c r="D111" i="225"/>
  <c r="O110" i="225"/>
  <c r="N110" i="225"/>
  <c r="M110" i="225"/>
  <c r="L110" i="225"/>
  <c r="K110" i="225"/>
  <c r="J110" i="225"/>
  <c r="I110" i="225"/>
  <c r="H110" i="225"/>
  <c r="G110" i="225"/>
  <c r="F110" i="225"/>
  <c r="E110" i="225"/>
  <c r="D110" i="225"/>
  <c r="O109" i="225"/>
  <c r="N109" i="225"/>
  <c r="M109" i="225"/>
  <c r="L109" i="225"/>
  <c r="K109" i="225"/>
  <c r="J109" i="225"/>
  <c r="I109" i="225"/>
  <c r="H109" i="225"/>
  <c r="G109" i="225"/>
  <c r="F109" i="225"/>
  <c r="E109" i="225"/>
  <c r="D109" i="225"/>
  <c r="O108" i="225"/>
  <c r="N108" i="225"/>
  <c r="M108" i="225"/>
  <c r="L108" i="225"/>
  <c r="K108" i="225"/>
  <c r="J108" i="225"/>
  <c r="I108" i="225"/>
  <c r="H108" i="225"/>
  <c r="G108" i="225"/>
  <c r="F108" i="225"/>
  <c r="E108" i="225"/>
  <c r="D108" i="225"/>
  <c r="O107" i="225"/>
  <c r="N107" i="225"/>
  <c r="M107" i="225"/>
  <c r="L107" i="225"/>
  <c r="K107" i="225"/>
  <c r="J107" i="225"/>
  <c r="I107" i="225"/>
  <c r="H107" i="225"/>
  <c r="G107" i="225"/>
  <c r="F107" i="225"/>
  <c r="E107" i="225"/>
  <c r="D107" i="225"/>
  <c r="O106" i="225"/>
  <c r="N106" i="225"/>
  <c r="M106" i="225"/>
  <c r="L106" i="225"/>
  <c r="K106" i="225"/>
  <c r="J106" i="225"/>
  <c r="I106" i="225"/>
  <c r="H106" i="225"/>
  <c r="G106" i="225"/>
  <c r="F106" i="225"/>
  <c r="E106" i="225"/>
  <c r="D106" i="225"/>
  <c r="O105" i="225"/>
  <c r="N105" i="225"/>
  <c r="M105" i="225"/>
  <c r="L105" i="225"/>
  <c r="K105" i="225"/>
  <c r="J105" i="225"/>
  <c r="I105" i="225"/>
  <c r="H105" i="225"/>
  <c r="G105" i="225"/>
  <c r="F105" i="225"/>
  <c r="E105" i="225"/>
  <c r="D105" i="225"/>
  <c r="O104" i="225"/>
  <c r="N104" i="225"/>
  <c r="M104" i="225"/>
  <c r="L104" i="225"/>
  <c r="K104" i="225"/>
  <c r="J104" i="225"/>
  <c r="I104" i="225"/>
  <c r="H104" i="225"/>
  <c r="G104" i="225"/>
  <c r="F104" i="225"/>
  <c r="E104" i="225"/>
  <c r="D104" i="225"/>
  <c r="O103" i="225"/>
  <c r="N103" i="225"/>
  <c r="M103" i="225"/>
  <c r="L103" i="225"/>
  <c r="K103" i="225"/>
  <c r="J103" i="225"/>
  <c r="I103" i="225"/>
  <c r="H103" i="225"/>
  <c r="G103" i="225"/>
  <c r="F103" i="225"/>
  <c r="E103" i="225"/>
  <c r="D103" i="225"/>
  <c r="O102" i="225"/>
  <c r="N102" i="225"/>
  <c r="M102" i="225"/>
  <c r="L102" i="225"/>
  <c r="K102" i="225"/>
  <c r="J102" i="225"/>
  <c r="I102" i="225"/>
  <c r="H102" i="225"/>
  <c r="G102" i="225"/>
  <c r="F102" i="225"/>
  <c r="E102" i="225"/>
  <c r="D102" i="225"/>
  <c r="O101" i="225"/>
  <c r="N101" i="225"/>
  <c r="M101" i="225"/>
  <c r="L101" i="225"/>
  <c r="K101" i="225"/>
  <c r="J101" i="225"/>
  <c r="I101" i="225"/>
  <c r="H101" i="225"/>
  <c r="G101" i="225"/>
  <c r="F101" i="225"/>
  <c r="E101" i="225"/>
  <c r="D101" i="225"/>
  <c r="O100" i="225"/>
  <c r="N100" i="225"/>
  <c r="M100" i="225"/>
  <c r="L100" i="225"/>
  <c r="K100" i="225"/>
  <c r="J100" i="225"/>
  <c r="I100" i="225"/>
  <c r="H100" i="225"/>
  <c r="G100" i="225"/>
  <c r="F100" i="225"/>
  <c r="E100" i="225"/>
  <c r="D100" i="225"/>
  <c r="O99" i="225"/>
  <c r="N99" i="225"/>
  <c r="M99" i="225"/>
  <c r="L99" i="225"/>
  <c r="K99" i="225"/>
  <c r="J99" i="225"/>
  <c r="I99" i="225"/>
  <c r="H99" i="225"/>
  <c r="G99" i="225"/>
  <c r="F99" i="225"/>
  <c r="E99" i="225"/>
  <c r="D99" i="225"/>
  <c r="O98" i="225"/>
  <c r="N98" i="225"/>
  <c r="M98" i="225"/>
  <c r="L98" i="225"/>
  <c r="K98" i="225"/>
  <c r="J98" i="225"/>
  <c r="I98" i="225"/>
  <c r="H98" i="225"/>
  <c r="G98" i="225"/>
  <c r="F98" i="225"/>
  <c r="E98" i="225"/>
  <c r="D98" i="225"/>
  <c r="O97" i="225"/>
  <c r="N97" i="225"/>
  <c r="M97" i="225"/>
  <c r="L97" i="225"/>
  <c r="K97" i="225"/>
  <c r="J97" i="225"/>
  <c r="I97" i="225"/>
  <c r="H97" i="225"/>
  <c r="G97" i="225"/>
  <c r="F97" i="225"/>
  <c r="E97" i="225"/>
  <c r="D97" i="225"/>
  <c r="O96" i="225"/>
  <c r="N96" i="225"/>
  <c r="M96" i="225"/>
  <c r="L96" i="225"/>
  <c r="K96" i="225"/>
  <c r="J96" i="225"/>
  <c r="I96" i="225"/>
  <c r="H96" i="225"/>
  <c r="G96" i="225"/>
  <c r="F96" i="225"/>
  <c r="E96" i="225"/>
  <c r="D96" i="225"/>
  <c r="O95" i="225"/>
  <c r="N95" i="225"/>
  <c r="M95" i="225"/>
  <c r="L95" i="225"/>
  <c r="K95" i="225"/>
  <c r="J95" i="225"/>
  <c r="I95" i="225"/>
  <c r="H95" i="225"/>
  <c r="G95" i="225"/>
  <c r="F95" i="225"/>
  <c r="E95" i="225"/>
  <c r="D95" i="225"/>
  <c r="O94" i="225"/>
  <c r="N94" i="225"/>
  <c r="M94" i="225"/>
  <c r="L94" i="225"/>
  <c r="K94" i="225"/>
  <c r="J94" i="225"/>
  <c r="I94" i="225"/>
  <c r="H94" i="225"/>
  <c r="G94" i="225"/>
  <c r="F94" i="225"/>
  <c r="E94" i="225"/>
  <c r="D94" i="225"/>
  <c r="O93" i="225"/>
  <c r="N93" i="225"/>
  <c r="M93" i="225"/>
  <c r="L93" i="225"/>
  <c r="K93" i="225"/>
  <c r="J93" i="225"/>
  <c r="I93" i="225"/>
  <c r="H93" i="225"/>
  <c r="G93" i="225"/>
  <c r="F93" i="225"/>
  <c r="E93" i="225"/>
  <c r="D93" i="225"/>
  <c r="O92" i="225"/>
  <c r="N92" i="225"/>
  <c r="M92" i="225"/>
  <c r="L92" i="225"/>
  <c r="K92" i="225"/>
  <c r="J92" i="225"/>
  <c r="I92" i="225"/>
  <c r="H92" i="225"/>
  <c r="G92" i="225"/>
  <c r="F92" i="225"/>
  <c r="E92" i="225"/>
  <c r="D92" i="225"/>
  <c r="O91" i="225"/>
  <c r="N91" i="225"/>
  <c r="M91" i="225"/>
  <c r="L91" i="225"/>
  <c r="K91" i="225"/>
  <c r="J91" i="225"/>
  <c r="I91" i="225"/>
  <c r="H91" i="225"/>
  <c r="G91" i="225"/>
  <c r="F91" i="225"/>
  <c r="E91" i="225"/>
  <c r="D91" i="225"/>
  <c r="O90" i="225"/>
  <c r="N90" i="225"/>
  <c r="M90" i="225"/>
  <c r="L90" i="225"/>
  <c r="K90" i="225"/>
  <c r="J90" i="225"/>
  <c r="I90" i="225"/>
  <c r="H90" i="225"/>
  <c r="G90" i="225"/>
  <c r="F90" i="225"/>
  <c r="E90" i="225"/>
  <c r="D90" i="225"/>
  <c r="O89" i="225"/>
  <c r="N89" i="225"/>
  <c r="M89" i="225"/>
  <c r="L89" i="225"/>
  <c r="K89" i="225"/>
  <c r="J89" i="225"/>
  <c r="I89" i="225"/>
  <c r="H89" i="225"/>
  <c r="G89" i="225"/>
  <c r="F89" i="225"/>
  <c r="E89" i="225"/>
  <c r="D89" i="225"/>
  <c r="O88" i="225"/>
  <c r="N88" i="225"/>
  <c r="M88" i="225"/>
  <c r="L88" i="225"/>
  <c r="K88" i="225"/>
  <c r="J88" i="225"/>
  <c r="I88" i="225"/>
  <c r="H88" i="225"/>
  <c r="G88" i="225"/>
  <c r="F88" i="225"/>
  <c r="E88" i="225"/>
  <c r="D88" i="225"/>
  <c r="O87" i="225"/>
  <c r="N87" i="225"/>
  <c r="M87" i="225"/>
  <c r="L87" i="225"/>
  <c r="K87" i="225"/>
  <c r="J87" i="225"/>
  <c r="I87" i="225"/>
  <c r="H87" i="225"/>
  <c r="G87" i="225"/>
  <c r="F87" i="225"/>
  <c r="E87" i="225"/>
  <c r="D87" i="225"/>
  <c r="O86" i="225"/>
  <c r="N86" i="225"/>
  <c r="M86" i="225"/>
  <c r="L86" i="225"/>
  <c r="K86" i="225"/>
  <c r="J86" i="225"/>
  <c r="I86" i="225"/>
  <c r="H86" i="225"/>
  <c r="G86" i="225"/>
  <c r="F86" i="225"/>
  <c r="E86" i="225"/>
  <c r="D86" i="225"/>
  <c r="O85" i="225"/>
  <c r="N85" i="225"/>
  <c r="M85" i="225"/>
  <c r="L85" i="225"/>
  <c r="K85" i="225"/>
  <c r="J85" i="225"/>
  <c r="I85" i="225"/>
  <c r="H85" i="225"/>
  <c r="G85" i="225"/>
  <c r="F85" i="225"/>
  <c r="E85" i="225"/>
  <c r="D85" i="225"/>
  <c r="O84" i="225"/>
  <c r="N84" i="225"/>
  <c r="M84" i="225"/>
  <c r="L84" i="225"/>
  <c r="K84" i="225"/>
  <c r="J84" i="225"/>
  <c r="I84" i="225"/>
  <c r="H84" i="225"/>
  <c r="G84" i="225"/>
  <c r="F84" i="225"/>
  <c r="E84" i="225"/>
  <c r="D84" i="225"/>
  <c r="O83" i="225"/>
  <c r="N83" i="225"/>
  <c r="M83" i="225"/>
  <c r="L83" i="225"/>
  <c r="K83" i="225"/>
  <c r="J83" i="225"/>
  <c r="I83" i="225"/>
  <c r="H83" i="225"/>
  <c r="G83" i="225"/>
  <c r="F83" i="225"/>
  <c r="E83" i="225"/>
  <c r="D83" i="225"/>
  <c r="O82" i="225"/>
  <c r="N82" i="225"/>
  <c r="M82" i="225"/>
  <c r="L82" i="225"/>
  <c r="K82" i="225"/>
  <c r="J82" i="225"/>
  <c r="I82" i="225"/>
  <c r="H82" i="225"/>
  <c r="G82" i="225"/>
  <c r="F82" i="225"/>
  <c r="E82" i="225"/>
  <c r="D82" i="225"/>
  <c r="O81" i="225"/>
  <c r="N81" i="225"/>
  <c r="M81" i="225"/>
  <c r="L81" i="225"/>
  <c r="K81" i="225"/>
  <c r="J81" i="225"/>
  <c r="I81" i="225"/>
  <c r="H81" i="225"/>
  <c r="G81" i="225"/>
  <c r="F81" i="225"/>
  <c r="E81" i="225"/>
  <c r="D81" i="225"/>
  <c r="O80" i="225"/>
  <c r="N80" i="225"/>
  <c r="M80" i="225"/>
  <c r="L80" i="225"/>
  <c r="K80" i="225"/>
  <c r="J80" i="225"/>
  <c r="I80" i="225"/>
  <c r="H80" i="225"/>
  <c r="G80" i="225"/>
  <c r="F80" i="225"/>
  <c r="E80" i="225"/>
  <c r="D80" i="225"/>
  <c r="O60" i="225"/>
  <c r="N60" i="225"/>
  <c r="M60" i="225"/>
  <c r="L60" i="225"/>
  <c r="K60" i="225"/>
  <c r="J60" i="225"/>
  <c r="I60" i="225"/>
  <c r="H60" i="225"/>
  <c r="G60" i="225"/>
  <c r="F60" i="225"/>
  <c r="E60" i="225"/>
  <c r="D60" i="225"/>
  <c r="O59" i="225"/>
  <c r="N59" i="225"/>
  <c r="M59" i="225"/>
  <c r="L59" i="225"/>
  <c r="K59" i="225"/>
  <c r="J59" i="225"/>
  <c r="I59" i="225"/>
  <c r="H59" i="225"/>
  <c r="G59" i="225"/>
  <c r="F59" i="225"/>
  <c r="E59" i="225"/>
  <c r="D59" i="225"/>
  <c r="O58" i="225"/>
  <c r="N58" i="225"/>
  <c r="M58" i="225"/>
  <c r="L58" i="225"/>
  <c r="K58" i="225"/>
  <c r="J58" i="225"/>
  <c r="I58" i="225"/>
  <c r="H58" i="225"/>
  <c r="G58" i="225"/>
  <c r="F58" i="225"/>
  <c r="E58" i="225"/>
  <c r="D58" i="225"/>
  <c r="O57" i="225"/>
  <c r="N57" i="225"/>
  <c r="M57" i="225"/>
  <c r="L57" i="225"/>
  <c r="K57" i="225"/>
  <c r="J57" i="225"/>
  <c r="I57" i="225"/>
  <c r="H57" i="225"/>
  <c r="G57" i="225"/>
  <c r="F57" i="225"/>
  <c r="E57" i="225"/>
  <c r="D57" i="225"/>
  <c r="O56" i="225"/>
  <c r="N56" i="225"/>
  <c r="M56" i="225"/>
  <c r="L56" i="225"/>
  <c r="K56" i="225"/>
  <c r="J56" i="225"/>
  <c r="I56" i="225"/>
  <c r="H56" i="225"/>
  <c r="G56" i="225"/>
  <c r="F56" i="225"/>
  <c r="E56" i="225"/>
  <c r="D56" i="225"/>
  <c r="O55" i="225"/>
  <c r="N55" i="225"/>
  <c r="M55" i="225"/>
  <c r="L55" i="225"/>
  <c r="K55" i="225"/>
  <c r="J55" i="225"/>
  <c r="I55" i="225"/>
  <c r="H55" i="225"/>
  <c r="G55" i="225"/>
  <c r="F55" i="225"/>
  <c r="E55" i="225"/>
  <c r="D55" i="225"/>
  <c r="O54" i="225"/>
  <c r="N54" i="225"/>
  <c r="M54" i="225"/>
  <c r="L54" i="225"/>
  <c r="K54" i="225"/>
  <c r="J54" i="225"/>
  <c r="I54" i="225"/>
  <c r="H54" i="225"/>
  <c r="G54" i="225"/>
  <c r="F54" i="225"/>
  <c r="E54" i="225"/>
  <c r="D54" i="225"/>
  <c r="O53" i="225"/>
  <c r="N53" i="225"/>
  <c r="M53" i="225"/>
  <c r="L53" i="225"/>
  <c r="K53" i="225"/>
  <c r="J53" i="225"/>
  <c r="I53" i="225"/>
  <c r="H53" i="225"/>
  <c r="G53" i="225"/>
  <c r="F53" i="225"/>
  <c r="E53" i="225"/>
  <c r="D53" i="225"/>
  <c r="O52" i="225"/>
  <c r="N52" i="225"/>
  <c r="M52" i="225"/>
  <c r="L52" i="225"/>
  <c r="K52" i="225"/>
  <c r="J52" i="225"/>
  <c r="I52" i="225"/>
  <c r="H52" i="225"/>
  <c r="G52" i="225"/>
  <c r="F52" i="225"/>
  <c r="E52" i="225"/>
  <c r="D52" i="225"/>
  <c r="O51" i="225"/>
  <c r="N51" i="225"/>
  <c r="M51" i="225"/>
  <c r="L51" i="225"/>
  <c r="K51" i="225"/>
  <c r="J51" i="225"/>
  <c r="I51" i="225"/>
  <c r="H51" i="225"/>
  <c r="G51" i="225"/>
  <c r="F51" i="225"/>
  <c r="E51" i="225"/>
  <c r="D51" i="225"/>
  <c r="O50" i="225"/>
  <c r="N50" i="225"/>
  <c r="M50" i="225"/>
  <c r="L50" i="225"/>
  <c r="K50" i="225"/>
  <c r="J50" i="225"/>
  <c r="I50" i="225"/>
  <c r="H50" i="225"/>
  <c r="G50" i="225"/>
  <c r="F50" i="225"/>
  <c r="E50" i="225"/>
  <c r="D50" i="225"/>
  <c r="O49" i="225"/>
  <c r="N49" i="225"/>
  <c r="M49" i="225"/>
  <c r="L49" i="225"/>
  <c r="K49" i="225"/>
  <c r="J49" i="225"/>
  <c r="I49" i="225"/>
  <c r="H49" i="225"/>
  <c r="G49" i="225"/>
  <c r="F49" i="225"/>
  <c r="E49" i="225"/>
  <c r="D49" i="225"/>
  <c r="O48" i="225"/>
  <c r="N48" i="225"/>
  <c r="M48" i="225"/>
  <c r="L48" i="225"/>
  <c r="K48" i="225"/>
  <c r="J48" i="225"/>
  <c r="I48" i="225"/>
  <c r="H48" i="225"/>
  <c r="G48" i="225"/>
  <c r="F48" i="225"/>
  <c r="E48" i="225"/>
  <c r="D48" i="225"/>
  <c r="O47" i="225"/>
  <c r="N47" i="225"/>
  <c r="M47" i="225"/>
  <c r="L47" i="225"/>
  <c r="K47" i="225"/>
  <c r="J47" i="225"/>
  <c r="I47" i="225"/>
  <c r="H47" i="225"/>
  <c r="G47" i="225"/>
  <c r="F47" i="225"/>
  <c r="E47" i="225"/>
  <c r="D47" i="225"/>
  <c r="O46" i="225"/>
  <c r="N46" i="225"/>
  <c r="M46" i="225"/>
  <c r="L46" i="225"/>
  <c r="K46" i="225"/>
  <c r="J46" i="225"/>
  <c r="I46" i="225"/>
  <c r="H46" i="225"/>
  <c r="G46" i="225"/>
  <c r="F46" i="225"/>
  <c r="E46" i="225"/>
  <c r="D46" i="225"/>
  <c r="O45" i="225"/>
  <c r="N45" i="225"/>
  <c r="M45" i="225"/>
  <c r="L45" i="225"/>
  <c r="K45" i="225"/>
  <c r="J45" i="225"/>
  <c r="I45" i="225"/>
  <c r="H45" i="225"/>
  <c r="G45" i="225"/>
  <c r="F45" i="225"/>
  <c r="E45" i="225"/>
  <c r="D45" i="225"/>
  <c r="O44" i="225"/>
  <c r="N44" i="225"/>
  <c r="M44" i="225"/>
  <c r="L44" i="225"/>
  <c r="K44" i="225"/>
  <c r="J44" i="225"/>
  <c r="I44" i="225"/>
  <c r="H44" i="225"/>
  <c r="G44" i="225"/>
  <c r="F44" i="225"/>
  <c r="E44" i="225"/>
  <c r="D44" i="225"/>
  <c r="O43" i="225"/>
  <c r="N43" i="225"/>
  <c r="M43" i="225"/>
  <c r="L43" i="225"/>
  <c r="K43" i="225"/>
  <c r="J43" i="225"/>
  <c r="I43" i="225"/>
  <c r="H43" i="225"/>
  <c r="G43" i="225"/>
  <c r="F43" i="225"/>
  <c r="E43" i="225"/>
  <c r="D43" i="225"/>
  <c r="O42" i="225"/>
  <c r="N42" i="225"/>
  <c r="M42" i="225"/>
  <c r="L42" i="225"/>
  <c r="K42" i="225"/>
  <c r="J42" i="225"/>
  <c r="I42" i="225"/>
  <c r="H42" i="225"/>
  <c r="G42" i="225"/>
  <c r="F42" i="225"/>
  <c r="E42" i="225"/>
  <c r="D42" i="225"/>
  <c r="O41" i="225"/>
  <c r="N430" i="92" s="1"/>
  <c r="N454" i="92" s="1"/>
  <c r="N41" i="225"/>
  <c r="M430" i="92" s="1"/>
  <c r="M454" i="92" s="1"/>
  <c r="M41" i="225"/>
  <c r="L430" i="92" s="1"/>
  <c r="L454" i="92" s="1"/>
  <c r="L41" i="225"/>
  <c r="K430" i="92" s="1"/>
  <c r="K454" i="92" s="1"/>
  <c r="K41" i="225"/>
  <c r="J430" i="92" s="1"/>
  <c r="J454" i="92" s="1"/>
  <c r="J41" i="225"/>
  <c r="I430" i="92" s="1"/>
  <c r="I454" i="92" s="1"/>
  <c r="I41" i="225"/>
  <c r="H430" i="92" s="1"/>
  <c r="H454" i="92" s="1"/>
  <c r="H41" i="225"/>
  <c r="G430" i="92" s="1"/>
  <c r="G454" i="92" s="1"/>
  <c r="G41" i="225"/>
  <c r="F430" i="92" s="1"/>
  <c r="F454" i="92" s="1"/>
  <c r="F41" i="225"/>
  <c r="E430" i="92" s="1"/>
  <c r="E454" i="92" s="1"/>
  <c r="E41" i="225"/>
  <c r="D430" i="92" s="1"/>
  <c r="D454" i="92" s="1"/>
  <c r="D41" i="225"/>
  <c r="C430" i="92" s="1"/>
  <c r="C454" i="92" s="1"/>
  <c r="O40" i="225"/>
  <c r="N429" i="92" s="1"/>
  <c r="N453" i="92" s="1"/>
  <c r="N40" i="225"/>
  <c r="M429" i="92" s="1"/>
  <c r="M453" i="92" s="1"/>
  <c r="M40" i="225"/>
  <c r="L429" i="92" s="1"/>
  <c r="L453" i="92" s="1"/>
  <c r="L40" i="225"/>
  <c r="K429" i="92" s="1"/>
  <c r="K453" i="92" s="1"/>
  <c r="K40" i="225"/>
  <c r="J429" i="92" s="1"/>
  <c r="J453" i="92" s="1"/>
  <c r="J40" i="225"/>
  <c r="I429" i="92" s="1"/>
  <c r="I453" i="92" s="1"/>
  <c r="I40" i="225"/>
  <c r="H429" i="92" s="1"/>
  <c r="H453" i="92" s="1"/>
  <c r="H40" i="225"/>
  <c r="G429" i="92" s="1"/>
  <c r="G453" i="92" s="1"/>
  <c r="G40" i="225"/>
  <c r="F429" i="92" s="1"/>
  <c r="F453" i="92" s="1"/>
  <c r="F40" i="225"/>
  <c r="E429" i="92" s="1"/>
  <c r="E453" i="92" s="1"/>
  <c r="E40" i="225"/>
  <c r="D429" i="92" s="1"/>
  <c r="D453" i="92" s="1"/>
  <c r="D40" i="225"/>
  <c r="C429" i="92" s="1"/>
  <c r="C453" i="92" s="1"/>
  <c r="O39" i="225"/>
  <c r="N428" i="92" s="1"/>
  <c r="N452" i="92" s="1"/>
  <c r="N39" i="225"/>
  <c r="M428" i="92" s="1"/>
  <c r="M452" i="92" s="1"/>
  <c r="M39" i="225"/>
  <c r="L428" i="92" s="1"/>
  <c r="L452" i="92" s="1"/>
  <c r="L39" i="225"/>
  <c r="K428" i="92" s="1"/>
  <c r="K452" i="92" s="1"/>
  <c r="K39" i="225"/>
  <c r="J428" i="92" s="1"/>
  <c r="J452" i="92" s="1"/>
  <c r="J39" i="225"/>
  <c r="I428" i="92" s="1"/>
  <c r="I452" i="92" s="1"/>
  <c r="I39" i="225"/>
  <c r="H428" i="92" s="1"/>
  <c r="H452" i="92" s="1"/>
  <c r="H39" i="225"/>
  <c r="G428" i="92" s="1"/>
  <c r="G452" i="92" s="1"/>
  <c r="G39" i="225"/>
  <c r="F428" i="92" s="1"/>
  <c r="F452" i="92" s="1"/>
  <c r="F39" i="225"/>
  <c r="E428" i="92" s="1"/>
  <c r="E452" i="92" s="1"/>
  <c r="E39" i="225"/>
  <c r="D428" i="92" s="1"/>
  <c r="D452" i="92" s="1"/>
  <c r="D39" i="225"/>
  <c r="C428" i="92" s="1"/>
  <c r="C452" i="92" s="1"/>
  <c r="O38" i="225"/>
  <c r="N427" i="92" s="1"/>
  <c r="N451" i="92" s="1"/>
  <c r="N38" i="225"/>
  <c r="M427" i="92" s="1"/>
  <c r="M451" i="92" s="1"/>
  <c r="M38" i="225"/>
  <c r="L427" i="92" s="1"/>
  <c r="L451" i="92" s="1"/>
  <c r="L38" i="225"/>
  <c r="K427" i="92" s="1"/>
  <c r="K451" i="92" s="1"/>
  <c r="K38" i="225"/>
  <c r="J427" i="92" s="1"/>
  <c r="J451" i="92" s="1"/>
  <c r="J38" i="225"/>
  <c r="I427" i="92" s="1"/>
  <c r="I451" i="92" s="1"/>
  <c r="I38" i="225"/>
  <c r="H427" i="92" s="1"/>
  <c r="H451" i="92" s="1"/>
  <c r="H38" i="225"/>
  <c r="G427" i="92" s="1"/>
  <c r="G451" i="92" s="1"/>
  <c r="G38" i="225"/>
  <c r="F427" i="92" s="1"/>
  <c r="F451" i="92" s="1"/>
  <c r="F38" i="225"/>
  <c r="E427" i="92" s="1"/>
  <c r="E451" i="92" s="1"/>
  <c r="E38" i="225"/>
  <c r="D427" i="92" s="1"/>
  <c r="D451" i="92" s="1"/>
  <c r="D38" i="225"/>
  <c r="C427" i="92" s="1"/>
  <c r="C451" i="92" s="1"/>
  <c r="O37" i="225"/>
  <c r="N426" i="92" s="1"/>
  <c r="N450" i="92" s="1"/>
  <c r="N37" i="225"/>
  <c r="M426" i="92" s="1"/>
  <c r="M450" i="92" s="1"/>
  <c r="M37" i="225"/>
  <c r="L426" i="92" s="1"/>
  <c r="L450" i="92" s="1"/>
  <c r="L37" i="225"/>
  <c r="K426" i="92" s="1"/>
  <c r="K450" i="92" s="1"/>
  <c r="K37" i="225"/>
  <c r="J426" i="92" s="1"/>
  <c r="J450" i="92" s="1"/>
  <c r="J37" i="225"/>
  <c r="I426" i="92" s="1"/>
  <c r="I450" i="92" s="1"/>
  <c r="I37" i="225"/>
  <c r="H426" i="92" s="1"/>
  <c r="H450" i="92" s="1"/>
  <c r="H37" i="225"/>
  <c r="G426" i="92" s="1"/>
  <c r="G450" i="92" s="1"/>
  <c r="G37" i="225"/>
  <c r="F426" i="92" s="1"/>
  <c r="F450" i="92" s="1"/>
  <c r="F37" i="225"/>
  <c r="E426" i="92" s="1"/>
  <c r="E450" i="92" s="1"/>
  <c r="E37" i="225"/>
  <c r="D426" i="92" s="1"/>
  <c r="D450" i="92" s="1"/>
  <c r="D37" i="225"/>
  <c r="C426" i="92" s="1"/>
  <c r="C450" i="92" s="1"/>
  <c r="O36" i="225"/>
  <c r="N425" i="92" s="1"/>
  <c r="N449" i="92" s="1"/>
  <c r="N36" i="225"/>
  <c r="M425" i="92" s="1"/>
  <c r="M449" i="92" s="1"/>
  <c r="M36" i="225"/>
  <c r="L425" i="92" s="1"/>
  <c r="L449" i="92" s="1"/>
  <c r="L36" i="225"/>
  <c r="K425" i="92" s="1"/>
  <c r="K449" i="92" s="1"/>
  <c r="K36" i="225"/>
  <c r="J425" i="92" s="1"/>
  <c r="J449" i="92" s="1"/>
  <c r="J36" i="225"/>
  <c r="I425" i="92" s="1"/>
  <c r="I449" i="92" s="1"/>
  <c r="I36" i="225"/>
  <c r="H425" i="92" s="1"/>
  <c r="H449" i="92" s="1"/>
  <c r="H36" i="225"/>
  <c r="G425" i="92" s="1"/>
  <c r="G449" i="92" s="1"/>
  <c r="G36" i="225"/>
  <c r="F425" i="92" s="1"/>
  <c r="F449" i="92" s="1"/>
  <c r="F36" i="225"/>
  <c r="E425" i="92" s="1"/>
  <c r="E449" i="92" s="1"/>
  <c r="E36" i="225"/>
  <c r="D425" i="92" s="1"/>
  <c r="D449" i="92" s="1"/>
  <c r="D36" i="225"/>
  <c r="C425" i="92" s="1"/>
  <c r="C449" i="92" s="1"/>
  <c r="O35" i="225"/>
  <c r="N424" i="92" s="1"/>
  <c r="N448" i="92" s="1"/>
  <c r="N35" i="225"/>
  <c r="M424" i="92" s="1"/>
  <c r="M448" i="92" s="1"/>
  <c r="M35" i="225"/>
  <c r="L424" i="92" s="1"/>
  <c r="L448" i="92" s="1"/>
  <c r="L35" i="225"/>
  <c r="K424" i="92" s="1"/>
  <c r="K448" i="92" s="1"/>
  <c r="K35" i="225"/>
  <c r="J424" i="92" s="1"/>
  <c r="J448" i="92" s="1"/>
  <c r="J35" i="225"/>
  <c r="I424" i="92" s="1"/>
  <c r="I448" i="92" s="1"/>
  <c r="I35" i="225"/>
  <c r="H424" i="92" s="1"/>
  <c r="H448" i="92" s="1"/>
  <c r="H35" i="225"/>
  <c r="G424" i="92" s="1"/>
  <c r="G448" i="92" s="1"/>
  <c r="G35" i="225"/>
  <c r="F424" i="92" s="1"/>
  <c r="F448" i="92" s="1"/>
  <c r="F35" i="225"/>
  <c r="E424" i="92" s="1"/>
  <c r="E448" i="92" s="1"/>
  <c r="E35" i="225"/>
  <c r="D424" i="92" s="1"/>
  <c r="D448" i="92" s="1"/>
  <c r="D35" i="225"/>
  <c r="C424" i="92" s="1"/>
  <c r="C448" i="92" s="1"/>
  <c r="O34" i="225"/>
  <c r="N423" i="92" s="1"/>
  <c r="N447" i="92" s="1"/>
  <c r="N34" i="225"/>
  <c r="M423" i="92" s="1"/>
  <c r="M447" i="92" s="1"/>
  <c r="M34" i="225"/>
  <c r="L423" i="92" s="1"/>
  <c r="L447" i="92" s="1"/>
  <c r="L34" i="225"/>
  <c r="K423" i="92" s="1"/>
  <c r="K447" i="92" s="1"/>
  <c r="K34" i="225"/>
  <c r="J423" i="92" s="1"/>
  <c r="J447" i="92" s="1"/>
  <c r="J34" i="225"/>
  <c r="I423" i="92" s="1"/>
  <c r="I447" i="92" s="1"/>
  <c r="I34" i="225"/>
  <c r="H423" i="92" s="1"/>
  <c r="H447" i="92" s="1"/>
  <c r="H34" i="225"/>
  <c r="G423" i="92" s="1"/>
  <c r="G447" i="92" s="1"/>
  <c r="G34" i="225"/>
  <c r="F423" i="92" s="1"/>
  <c r="F447" i="92" s="1"/>
  <c r="F34" i="225"/>
  <c r="E423" i="92" s="1"/>
  <c r="E447" i="92" s="1"/>
  <c r="E34" i="225"/>
  <c r="D423" i="92" s="1"/>
  <c r="D447" i="92" s="1"/>
  <c r="D34" i="225"/>
  <c r="C423" i="92" s="1"/>
  <c r="C447" i="92" s="1"/>
  <c r="O33" i="225"/>
  <c r="N422" i="92" s="1"/>
  <c r="N446" i="92" s="1"/>
  <c r="N33" i="225"/>
  <c r="M422" i="92" s="1"/>
  <c r="M446" i="92" s="1"/>
  <c r="M33" i="225"/>
  <c r="L422" i="92" s="1"/>
  <c r="L446" i="92" s="1"/>
  <c r="L33" i="225"/>
  <c r="K422" i="92" s="1"/>
  <c r="K446" i="92" s="1"/>
  <c r="K33" i="225"/>
  <c r="J422" i="92" s="1"/>
  <c r="J446" i="92" s="1"/>
  <c r="J33" i="225"/>
  <c r="I422" i="92" s="1"/>
  <c r="I446" i="92" s="1"/>
  <c r="I33" i="225"/>
  <c r="H422" i="92" s="1"/>
  <c r="H446" i="92" s="1"/>
  <c r="H33" i="225"/>
  <c r="G422" i="92" s="1"/>
  <c r="G446" i="92" s="1"/>
  <c r="G33" i="225"/>
  <c r="F422" i="92" s="1"/>
  <c r="F446" i="92" s="1"/>
  <c r="F33" i="225"/>
  <c r="E422" i="92" s="1"/>
  <c r="E446" i="92" s="1"/>
  <c r="E33" i="225"/>
  <c r="D422" i="92" s="1"/>
  <c r="D446" i="92" s="1"/>
  <c r="D33" i="225"/>
  <c r="C422" i="92" s="1"/>
  <c r="C446" i="92" s="1"/>
  <c r="O32" i="225"/>
  <c r="N421" i="92" s="1"/>
  <c r="N445" i="92" s="1"/>
  <c r="N32" i="225"/>
  <c r="M421" i="92" s="1"/>
  <c r="M445" i="92" s="1"/>
  <c r="M32" i="225"/>
  <c r="L421" i="92" s="1"/>
  <c r="L445" i="92" s="1"/>
  <c r="L32" i="225"/>
  <c r="K421" i="92" s="1"/>
  <c r="K445" i="92" s="1"/>
  <c r="K32" i="225"/>
  <c r="J421" i="92" s="1"/>
  <c r="J445" i="92" s="1"/>
  <c r="J32" i="225"/>
  <c r="I421" i="92" s="1"/>
  <c r="I445" i="92" s="1"/>
  <c r="I32" i="225"/>
  <c r="H421" i="92" s="1"/>
  <c r="H445" i="92" s="1"/>
  <c r="H32" i="225"/>
  <c r="G421" i="92" s="1"/>
  <c r="G445" i="92" s="1"/>
  <c r="G32" i="225"/>
  <c r="F421" i="92" s="1"/>
  <c r="F445" i="92" s="1"/>
  <c r="F32" i="225"/>
  <c r="E421" i="92" s="1"/>
  <c r="E445" i="92" s="1"/>
  <c r="E32" i="225"/>
  <c r="D421" i="92" s="1"/>
  <c r="D445" i="92" s="1"/>
  <c r="D32" i="225"/>
  <c r="C421" i="92" s="1"/>
  <c r="C445" i="92" s="1"/>
  <c r="O31" i="225"/>
  <c r="N420" i="92" s="1"/>
  <c r="N444" i="92" s="1"/>
  <c r="N31" i="225"/>
  <c r="M420" i="92" s="1"/>
  <c r="M444" i="92" s="1"/>
  <c r="M31" i="225"/>
  <c r="L420" i="92" s="1"/>
  <c r="L444" i="92" s="1"/>
  <c r="L31" i="225"/>
  <c r="K420" i="92" s="1"/>
  <c r="K444" i="92" s="1"/>
  <c r="K31" i="225"/>
  <c r="J420" i="92" s="1"/>
  <c r="J444" i="92" s="1"/>
  <c r="J31" i="225"/>
  <c r="I420" i="92" s="1"/>
  <c r="I444" i="92" s="1"/>
  <c r="I31" i="225"/>
  <c r="H420" i="92" s="1"/>
  <c r="H444" i="92" s="1"/>
  <c r="H31" i="225"/>
  <c r="G420" i="92" s="1"/>
  <c r="G444" i="92" s="1"/>
  <c r="G31" i="225"/>
  <c r="F420" i="92" s="1"/>
  <c r="F444" i="92" s="1"/>
  <c r="F31" i="225"/>
  <c r="E420" i="92" s="1"/>
  <c r="E444" i="92" s="1"/>
  <c r="E31" i="225"/>
  <c r="D420" i="92" s="1"/>
  <c r="D444" i="92" s="1"/>
  <c r="D31" i="225"/>
  <c r="C420" i="92" s="1"/>
  <c r="C444" i="92" s="1"/>
  <c r="O30" i="225"/>
  <c r="N419" i="92" s="1"/>
  <c r="N443" i="92" s="1"/>
  <c r="N30" i="225"/>
  <c r="M419" i="92" s="1"/>
  <c r="M443" i="92" s="1"/>
  <c r="M30" i="225"/>
  <c r="L419" i="92" s="1"/>
  <c r="L443" i="92" s="1"/>
  <c r="L30" i="225"/>
  <c r="K419" i="92" s="1"/>
  <c r="K443" i="92" s="1"/>
  <c r="K30" i="225"/>
  <c r="J419" i="92" s="1"/>
  <c r="J443" i="92" s="1"/>
  <c r="J30" i="225"/>
  <c r="I419" i="92" s="1"/>
  <c r="I443" i="92" s="1"/>
  <c r="I30" i="225"/>
  <c r="H419" i="92" s="1"/>
  <c r="H443" i="92" s="1"/>
  <c r="H30" i="225"/>
  <c r="G419" i="92" s="1"/>
  <c r="G443" i="92" s="1"/>
  <c r="G30" i="225"/>
  <c r="F419" i="92" s="1"/>
  <c r="F443" i="92" s="1"/>
  <c r="F30" i="225"/>
  <c r="E419" i="92" s="1"/>
  <c r="E443" i="92" s="1"/>
  <c r="E30" i="225"/>
  <c r="D419" i="92" s="1"/>
  <c r="D443" i="92" s="1"/>
  <c r="D30" i="225"/>
  <c r="C419" i="92" s="1"/>
  <c r="C443" i="92" s="1"/>
  <c r="O29" i="225"/>
  <c r="N418" i="92" s="1"/>
  <c r="N442" i="92" s="1"/>
  <c r="N29" i="225"/>
  <c r="M418" i="92" s="1"/>
  <c r="M442" i="92" s="1"/>
  <c r="M29" i="225"/>
  <c r="L418" i="92" s="1"/>
  <c r="L442" i="92" s="1"/>
  <c r="L29" i="225"/>
  <c r="K418" i="92" s="1"/>
  <c r="K442" i="92" s="1"/>
  <c r="K29" i="225"/>
  <c r="J418" i="92" s="1"/>
  <c r="J442" i="92" s="1"/>
  <c r="J29" i="225"/>
  <c r="I418" i="92" s="1"/>
  <c r="I442" i="92" s="1"/>
  <c r="I29" i="225"/>
  <c r="H418" i="92" s="1"/>
  <c r="H442" i="92" s="1"/>
  <c r="H29" i="225"/>
  <c r="G418" i="92" s="1"/>
  <c r="G442" i="92" s="1"/>
  <c r="G29" i="225"/>
  <c r="F418" i="92" s="1"/>
  <c r="F442" i="92" s="1"/>
  <c r="F29" i="225"/>
  <c r="E418" i="92" s="1"/>
  <c r="E442" i="92" s="1"/>
  <c r="E29" i="225"/>
  <c r="D418" i="92" s="1"/>
  <c r="D442" i="92" s="1"/>
  <c r="D29" i="225"/>
  <c r="C418" i="92" s="1"/>
  <c r="C442" i="92" s="1"/>
  <c r="O28" i="225"/>
  <c r="N417" i="92" s="1"/>
  <c r="N441" i="92" s="1"/>
  <c r="N28" i="225"/>
  <c r="M417" i="92" s="1"/>
  <c r="M441" i="92" s="1"/>
  <c r="M28" i="225"/>
  <c r="L417" i="92" s="1"/>
  <c r="L441" i="92" s="1"/>
  <c r="L28" i="225"/>
  <c r="K417" i="92" s="1"/>
  <c r="K441" i="92" s="1"/>
  <c r="K28" i="225"/>
  <c r="J417" i="92" s="1"/>
  <c r="J441" i="92" s="1"/>
  <c r="J28" i="225"/>
  <c r="I417" i="92" s="1"/>
  <c r="I441" i="92" s="1"/>
  <c r="I28" i="225"/>
  <c r="H417" i="92" s="1"/>
  <c r="H441" i="92" s="1"/>
  <c r="H28" i="225"/>
  <c r="G417" i="92" s="1"/>
  <c r="G441" i="92" s="1"/>
  <c r="G28" i="225"/>
  <c r="F417" i="92" s="1"/>
  <c r="F441" i="92" s="1"/>
  <c r="F28" i="225"/>
  <c r="E417" i="92" s="1"/>
  <c r="E441" i="92" s="1"/>
  <c r="E28" i="225"/>
  <c r="D417" i="92" s="1"/>
  <c r="D441" i="92" s="1"/>
  <c r="D28" i="225"/>
  <c r="C417" i="92" s="1"/>
  <c r="C441" i="92" s="1"/>
  <c r="O27" i="225"/>
  <c r="N416" i="92" s="1"/>
  <c r="N440" i="92" s="1"/>
  <c r="N27" i="225"/>
  <c r="M416" i="92" s="1"/>
  <c r="M440" i="92" s="1"/>
  <c r="M27" i="225"/>
  <c r="L416" i="92" s="1"/>
  <c r="L440" i="92" s="1"/>
  <c r="L27" i="225"/>
  <c r="K416" i="92" s="1"/>
  <c r="K440" i="92" s="1"/>
  <c r="K27" i="225"/>
  <c r="J416" i="92" s="1"/>
  <c r="J440" i="92" s="1"/>
  <c r="J27" i="225"/>
  <c r="I416" i="92" s="1"/>
  <c r="I440" i="92" s="1"/>
  <c r="I27" i="225"/>
  <c r="H416" i="92" s="1"/>
  <c r="H440" i="92" s="1"/>
  <c r="H27" i="225"/>
  <c r="G416" i="92" s="1"/>
  <c r="G440" i="92" s="1"/>
  <c r="G27" i="225"/>
  <c r="F416" i="92" s="1"/>
  <c r="F440" i="92" s="1"/>
  <c r="F27" i="225"/>
  <c r="E416" i="92" s="1"/>
  <c r="E440" i="92" s="1"/>
  <c r="E27" i="225"/>
  <c r="D416" i="92" s="1"/>
  <c r="D440" i="92" s="1"/>
  <c r="D27" i="225"/>
  <c r="C416" i="92" s="1"/>
  <c r="C440" i="92" s="1"/>
  <c r="O26" i="225"/>
  <c r="N415" i="92" s="1"/>
  <c r="N439" i="92" s="1"/>
  <c r="N26" i="225"/>
  <c r="M415" i="92" s="1"/>
  <c r="M439" i="92" s="1"/>
  <c r="M26" i="225"/>
  <c r="L415" i="92" s="1"/>
  <c r="L439" i="92" s="1"/>
  <c r="L26" i="225"/>
  <c r="K415" i="92" s="1"/>
  <c r="K439" i="92" s="1"/>
  <c r="K26" i="225"/>
  <c r="J415" i="92" s="1"/>
  <c r="J439" i="92" s="1"/>
  <c r="J26" i="225"/>
  <c r="I415" i="92" s="1"/>
  <c r="I439" i="92" s="1"/>
  <c r="I26" i="225"/>
  <c r="H415" i="92" s="1"/>
  <c r="H439" i="92" s="1"/>
  <c r="H26" i="225"/>
  <c r="G415" i="92" s="1"/>
  <c r="G439" i="92" s="1"/>
  <c r="G26" i="225"/>
  <c r="F415" i="92" s="1"/>
  <c r="F439" i="92" s="1"/>
  <c r="F26" i="225"/>
  <c r="E415" i="92" s="1"/>
  <c r="E439" i="92" s="1"/>
  <c r="E26" i="225"/>
  <c r="D415" i="92" s="1"/>
  <c r="D439" i="92" s="1"/>
  <c r="D26" i="225"/>
  <c r="C415" i="92" s="1"/>
  <c r="C439" i="92" s="1"/>
  <c r="O25" i="225"/>
  <c r="N414" i="92" s="1"/>
  <c r="N438" i="92" s="1"/>
  <c r="N25" i="225"/>
  <c r="M414" i="92" s="1"/>
  <c r="M438" i="92" s="1"/>
  <c r="M25" i="225"/>
  <c r="L414" i="92" s="1"/>
  <c r="L438" i="92" s="1"/>
  <c r="L25" i="225"/>
  <c r="K414" i="92" s="1"/>
  <c r="K438" i="92" s="1"/>
  <c r="K25" i="225"/>
  <c r="J414" i="92" s="1"/>
  <c r="J438" i="92" s="1"/>
  <c r="J25" i="225"/>
  <c r="I414" i="92" s="1"/>
  <c r="I438" i="92" s="1"/>
  <c r="I25" i="225"/>
  <c r="H414" i="92" s="1"/>
  <c r="H438" i="92" s="1"/>
  <c r="H25" i="225"/>
  <c r="G414" i="92" s="1"/>
  <c r="G438" i="92" s="1"/>
  <c r="G25" i="225"/>
  <c r="F414" i="92" s="1"/>
  <c r="F438" i="92" s="1"/>
  <c r="F25" i="225"/>
  <c r="E414" i="92" s="1"/>
  <c r="E438" i="92" s="1"/>
  <c r="E25" i="225"/>
  <c r="D414" i="92" s="1"/>
  <c r="D438" i="92" s="1"/>
  <c r="D25" i="225"/>
  <c r="C414" i="92" s="1"/>
  <c r="C438" i="92" s="1"/>
  <c r="O24" i="225"/>
  <c r="N413" i="92" s="1"/>
  <c r="N437" i="92" s="1"/>
  <c r="N24" i="225"/>
  <c r="M413" i="92" s="1"/>
  <c r="M437" i="92" s="1"/>
  <c r="M24" i="225"/>
  <c r="L413" i="92" s="1"/>
  <c r="L437" i="92" s="1"/>
  <c r="L24" i="225"/>
  <c r="K413" i="92" s="1"/>
  <c r="K437" i="92" s="1"/>
  <c r="K24" i="225"/>
  <c r="J413" i="92" s="1"/>
  <c r="J437" i="92" s="1"/>
  <c r="J24" i="225"/>
  <c r="I413" i="92" s="1"/>
  <c r="I437" i="92" s="1"/>
  <c r="I24" i="225"/>
  <c r="H413" i="92" s="1"/>
  <c r="H437" i="92" s="1"/>
  <c r="H24" i="225"/>
  <c r="G413" i="92" s="1"/>
  <c r="G437" i="92" s="1"/>
  <c r="G24" i="225"/>
  <c r="F413" i="92" s="1"/>
  <c r="F437" i="92" s="1"/>
  <c r="F24" i="225"/>
  <c r="E413" i="92" s="1"/>
  <c r="E437" i="92" s="1"/>
  <c r="E24" i="225"/>
  <c r="D413" i="92" s="1"/>
  <c r="D437" i="92" s="1"/>
  <c r="D24" i="225"/>
  <c r="C413" i="92" s="1"/>
  <c r="C437" i="92" s="1"/>
  <c r="O23" i="225"/>
  <c r="N412" i="92" s="1"/>
  <c r="N23" i="225"/>
  <c r="M412" i="92" s="1"/>
  <c r="M23" i="225"/>
  <c r="L412" i="92" s="1"/>
  <c r="L23" i="225"/>
  <c r="K412" i="92" s="1"/>
  <c r="K23" i="225"/>
  <c r="J412" i="92" s="1"/>
  <c r="J23" i="225"/>
  <c r="I412" i="92" s="1"/>
  <c r="I23" i="225"/>
  <c r="H412" i="92" s="1"/>
  <c r="H23" i="225"/>
  <c r="G412" i="92" s="1"/>
  <c r="G23" i="225"/>
  <c r="F412" i="92" s="1"/>
  <c r="F23" i="225"/>
  <c r="E412" i="92" s="1"/>
  <c r="E23" i="225"/>
  <c r="D412" i="92" s="1"/>
  <c r="D23" i="225"/>
  <c r="C412" i="92" s="1"/>
  <c r="O22" i="225"/>
  <c r="N411" i="92" s="1"/>
  <c r="N435" i="92" s="1"/>
  <c r="N459" i="92" s="1"/>
  <c r="N22" i="225"/>
  <c r="Z41" i="225" s="1"/>
  <c r="M22" i="225"/>
  <c r="Y41" i="225" s="1"/>
  <c r="L22" i="225"/>
  <c r="K411" i="92" s="1"/>
  <c r="K435" i="92" s="1"/>
  <c r="K459" i="92" s="1"/>
  <c r="K22" i="225"/>
  <c r="J411" i="92" s="1"/>
  <c r="J435" i="92" s="1"/>
  <c r="J459" i="92" s="1"/>
  <c r="J22" i="225"/>
  <c r="V41" i="225" s="1"/>
  <c r="I22" i="225"/>
  <c r="U41" i="225" s="1"/>
  <c r="H22" i="225"/>
  <c r="G411" i="92" s="1"/>
  <c r="G435" i="92" s="1"/>
  <c r="G459" i="92" s="1"/>
  <c r="G22" i="225"/>
  <c r="F411" i="92" s="1"/>
  <c r="F435" i="92" s="1"/>
  <c r="F459" i="92" s="1"/>
  <c r="F22" i="225"/>
  <c r="R41" i="225" s="1"/>
  <c r="E22" i="225"/>
  <c r="Q41" i="225" s="1"/>
  <c r="D22" i="225"/>
  <c r="C411" i="92" s="1"/>
  <c r="C435" i="92" s="1"/>
  <c r="C459" i="92" s="1"/>
  <c r="A1" i="225"/>
  <c r="E287" i="108"/>
  <c r="D287" i="108" s="1"/>
  <c r="D249" i="108" s="1"/>
  <c r="C615" i="92" s="1"/>
  <c r="D253" i="152" s="1"/>
  <c r="E286" i="108"/>
  <c r="D286" i="108" s="1"/>
  <c r="D248" i="108" s="1"/>
  <c r="C614" i="92" s="1"/>
  <c r="D252" i="152" s="1"/>
  <c r="E285" i="108"/>
  <c r="D285" i="108" s="1"/>
  <c r="D247" i="108" s="1"/>
  <c r="C613" i="92" s="1"/>
  <c r="D251" i="152" s="1"/>
  <c r="E284" i="108"/>
  <c r="D284" i="108" s="1"/>
  <c r="D246" i="108" s="1"/>
  <c r="C612" i="92" s="1"/>
  <c r="D250" i="152" s="1"/>
  <c r="E283" i="108"/>
  <c r="D283" i="108" s="1"/>
  <c r="D245" i="108" s="1"/>
  <c r="C611" i="92" s="1"/>
  <c r="D249" i="152" s="1"/>
  <c r="E282" i="108"/>
  <c r="D282" i="108" s="1"/>
  <c r="D244" i="108" s="1"/>
  <c r="C610" i="92" s="1"/>
  <c r="D248" i="152" s="1"/>
  <c r="E281" i="108"/>
  <c r="D281" i="108" s="1"/>
  <c r="D243" i="108" s="1"/>
  <c r="C609" i="92" s="1"/>
  <c r="D247" i="152" s="1"/>
  <c r="E280" i="108"/>
  <c r="D280" i="108" s="1"/>
  <c r="D242" i="108" s="1"/>
  <c r="C608" i="92" s="1"/>
  <c r="D246" i="152" s="1"/>
  <c r="E279" i="108"/>
  <c r="D279" i="108" s="1"/>
  <c r="D241" i="108" s="1"/>
  <c r="C607" i="92" s="1"/>
  <c r="D245" i="152" s="1"/>
  <c r="E278" i="108"/>
  <c r="D278" i="108" s="1"/>
  <c r="D240" i="108" s="1"/>
  <c r="C606" i="92" s="1"/>
  <c r="D244" i="152" s="1"/>
  <c r="E277" i="108"/>
  <c r="D277" i="108" s="1"/>
  <c r="D239" i="108" s="1"/>
  <c r="C605" i="92" s="1"/>
  <c r="D243" i="152" s="1"/>
  <c r="E276" i="108"/>
  <c r="D276" i="108" s="1"/>
  <c r="D238" i="108" s="1"/>
  <c r="C604" i="92" s="1"/>
  <c r="D242" i="152" s="1"/>
  <c r="E275" i="108"/>
  <c r="D275" i="108" s="1"/>
  <c r="D237" i="108" s="1"/>
  <c r="C603" i="92" s="1"/>
  <c r="D241" i="152" s="1"/>
  <c r="E274" i="108"/>
  <c r="D274" i="108" s="1"/>
  <c r="D236" i="108" s="1"/>
  <c r="C602" i="92" s="1"/>
  <c r="D240" i="152" s="1"/>
  <c r="E273" i="108"/>
  <c r="D273" i="108" s="1"/>
  <c r="D235" i="108" s="1"/>
  <c r="C601" i="92" s="1"/>
  <c r="D239" i="152" s="1"/>
  <c r="E272" i="108"/>
  <c r="D272" i="108" s="1"/>
  <c r="D234" i="108" s="1"/>
  <c r="C600" i="92" s="1"/>
  <c r="D238" i="152" s="1"/>
  <c r="E271" i="108"/>
  <c r="D271" i="108" s="1"/>
  <c r="D233" i="108" s="1"/>
  <c r="C599" i="92" s="1"/>
  <c r="D237" i="152" s="1"/>
  <c r="E270" i="108"/>
  <c r="D270" i="108" s="1"/>
  <c r="D232" i="108" s="1"/>
  <c r="C598" i="92" s="1"/>
  <c r="D236" i="152" s="1"/>
  <c r="E269" i="108"/>
  <c r="D269" i="108" s="1"/>
  <c r="D231" i="108" s="1"/>
  <c r="C597" i="92" s="1"/>
  <c r="D235" i="152" s="1"/>
  <c r="D268" i="108"/>
  <c r="E267" i="108"/>
  <c r="D267" i="108"/>
  <c r="D266" i="108"/>
  <c r="E265" i="108"/>
  <c r="D265" i="108"/>
  <c r="D264" i="108"/>
  <c r="E263" i="108"/>
  <c r="D263" i="108"/>
  <c r="D262" i="108"/>
  <c r="E261" i="108"/>
  <c r="D261" i="108"/>
  <c r="D260" i="108"/>
  <c r="E259" i="108"/>
  <c r="D259" i="108"/>
  <c r="D258" i="108"/>
  <c r="E257" i="108"/>
  <c r="D257" i="108"/>
  <c r="D256" i="108"/>
  <c r="E255" i="108"/>
  <c r="D255" i="108"/>
  <c r="D254" i="108"/>
  <c r="E253" i="108"/>
  <c r="D253" i="108"/>
  <c r="D252" i="108"/>
  <c r="E251" i="108"/>
  <c r="D251" i="108"/>
  <c r="D250" i="108"/>
  <c r="D230" i="108"/>
  <c r="D227" i="108"/>
  <c r="D222" i="108"/>
  <c r="D220" i="108"/>
  <c r="N48" i="104" s="1"/>
  <c r="D234" i="152" s="1"/>
  <c r="K214" i="108"/>
  <c r="J214" i="108"/>
  <c r="I214" i="108"/>
  <c r="H214" i="108"/>
  <c r="G214" i="108"/>
  <c r="F214" i="108"/>
  <c r="E214" i="108"/>
  <c r="D214" i="108"/>
  <c r="K213" i="108"/>
  <c r="J213" i="108"/>
  <c r="I213" i="108"/>
  <c r="H213" i="108"/>
  <c r="G213" i="108"/>
  <c r="F213" i="108"/>
  <c r="E213" i="108"/>
  <c r="D213" i="108"/>
  <c r="K212" i="108"/>
  <c r="J212" i="108"/>
  <c r="I212" i="108"/>
  <c r="H212" i="108"/>
  <c r="G212" i="108"/>
  <c r="F212" i="108"/>
  <c r="E212" i="108"/>
  <c r="D212" i="108"/>
  <c r="K211" i="108"/>
  <c r="J211" i="108"/>
  <c r="I211" i="108"/>
  <c r="H211" i="108"/>
  <c r="G211" i="108"/>
  <c r="F211" i="108"/>
  <c r="E211" i="108"/>
  <c r="D211" i="108"/>
  <c r="K210" i="108"/>
  <c r="J210" i="108"/>
  <c r="I210" i="108"/>
  <c r="H210" i="108"/>
  <c r="G210" i="108"/>
  <c r="F210" i="108"/>
  <c r="E210" i="108"/>
  <c r="D210" i="108"/>
  <c r="K209" i="108"/>
  <c r="J209" i="108"/>
  <c r="I209" i="108"/>
  <c r="H209" i="108"/>
  <c r="G209" i="108"/>
  <c r="F209" i="108"/>
  <c r="E209" i="108"/>
  <c r="D209" i="108"/>
  <c r="K208" i="108"/>
  <c r="J208" i="108"/>
  <c r="I208" i="108"/>
  <c r="H208" i="108"/>
  <c r="G208" i="108"/>
  <c r="F208" i="108"/>
  <c r="E208" i="108"/>
  <c r="D208" i="108"/>
  <c r="K207" i="108"/>
  <c r="J207" i="108"/>
  <c r="I207" i="108"/>
  <c r="H207" i="108"/>
  <c r="G207" i="108"/>
  <c r="F207" i="108"/>
  <c r="E207" i="108"/>
  <c r="D207" i="108"/>
  <c r="K206" i="108"/>
  <c r="J206" i="108"/>
  <c r="I206" i="108"/>
  <c r="H206" i="108"/>
  <c r="G206" i="108"/>
  <c r="F206" i="108"/>
  <c r="E206" i="108"/>
  <c r="D206" i="108"/>
  <c r="K205" i="108"/>
  <c r="J205" i="108"/>
  <c r="I205" i="108"/>
  <c r="H205" i="108"/>
  <c r="G205" i="108"/>
  <c r="F205" i="108"/>
  <c r="E205" i="108"/>
  <c r="D205" i="108"/>
  <c r="K204" i="108"/>
  <c r="J204" i="108"/>
  <c r="I204" i="108"/>
  <c r="H204" i="108"/>
  <c r="G204" i="108"/>
  <c r="F204" i="108"/>
  <c r="E204" i="108"/>
  <c r="D204" i="108"/>
  <c r="K203" i="108"/>
  <c r="J203" i="108"/>
  <c r="I203" i="108"/>
  <c r="H203" i="108"/>
  <c r="G203" i="108"/>
  <c r="F203" i="108"/>
  <c r="E203" i="108"/>
  <c r="D203" i="108"/>
  <c r="K202" i="108"/>
  <c r="J202" i="108"/>
  <c r="I202" i="108"/>
  <c r="H202" i="108"/>
  <c r="G202" i="108"/>
  <c r="F202" i="108"/>
  <c r="E202" i="108"/>
  <c r="D202" i="108"/>
  <c r="K201" i="108"/>
  <c r="J201" i="108"/>
  <c r="I201" i="108"/>
  <c r="H201" i="108"/>
  <c r="G201" i="108"/>
  <c r="F201" i="108"/>
  <c r="E201" i="108"/>
  <c r="D201" i="108"/>
  <c r="K200" i="108"/>
  <c r="J200" i="108"/>
  <c r="I200" i="108"/>
  <c r="H200" i="108"/>
  <c r="G200" i="108"/>
  <c r="F200" i="108"/>
  <c r="E200" i="108"/>
  <c r="D200" i="108"/>
  <c r="K199" i="108"/>
  <c r="J199" i="108"/>
  <c r="I199" i="108"/>
  <c r="H199" i="108"/>
  <c r="G199" i="108"/>
  <c r="F199" i="108"/>
  <c r="E199" i="108"/>
  <c r="D199" i="108"/>
  <c r="K198" i="108"/>
  <c r="J198" i="108"/>
  <c r="I198" i="108"/>
  <c r="H198" i="108"/>
  <c r="G198" i="108"/>
  <c r="F198" i="108"/>
  <c r="E198" i="108"/>
  <c r="D198" i="108"/>
  <c r="K197" i="108"/>
  <c r="J197" i="108"/>
  <c r="I197" i="108"/>
  <c r="H197" i="108"/>
  <c r="G197" i="108"/>
  <c r="F197" i="108"/>
  <c r="E197" i="108"/>
  <c r="D197" i="108"/>
  <c r="K196" i="108"/>
  <c r="J196" i="108"/>
  <c r="I196" i="108"/>
  <c r="H196" i="108"/>
  <c r="G196" i="108"/>
  <c r="F196" i="108"/>
  <c r="E196" i="108"/>
  <c r="D196" i="108"/>
  <c r="K195" i="108"/>
  <c r="G195" i="108"/>
  <c r="K194" i="108"/>
  <c r="G194" i="108"/>
  <c r="K193" i="108"/>
  <c r="G193" i="108"/>
  <c r="K192" i="108"/>
  <c r="G192" i="108"/>
  <c r="K191" i="108"/>
  <c r="G191" i="108"/>
  <c r="K190" i="108"/>
  <c r="G190" i="108"/>
  <c r="K189" i="108"/>
  <c r="G189" i="108"/>
  <c r="K188" i="108"/>
  <c r="G188" i="108"/>
  <c r="K187" i="108"/>
  <c r="G187" i="108"/>
  <c r="K186" i="108"/>
  <c r="G186" i="108"/>
  <c r="K185" i="108"/>
  <c r="G185" i="108"/>
  <c r="K184" i="108"/>
  <c r="G184" i="108"/>
  <c r="K183" i="108"/>
  <c r="G183" i="108"/>
  <c r="K182" i="108"/>
  <c r="G182" i="108"/>
  <c r="K181" i="108"/>
  <c r="G181" i="108"/>
  <c r="K180" i="108"/>
  <c r="G180" i="108"/>
  <c r="K179" i="108"/>
  <c r="G179" i="108"/>
  <c r="K178" i="108"/>
  <c r="G178" i="108"/>
  <c r="K177" i="108"/>
  <c r="G177" i="108"/>
  <c r="G176" i="108"/>
  <c r="H41" i="211" s="1"/>
  <c r="C223" i="211" s="1"/>
  <c r="D223" i="211" s="1"/>
  <c r="E223" i="211" s="1"/>
  <c r="F223" i="211" s="1"/>
  <c r="G223" i="211" s="1"/>
  <c r="H223" i="211" s="1"/>
  <c r="I223" i="211" s="1"/>
  <c r="J223" i="211" s="1"/>
  <c r="K223" i="211" s="1"/>
  <c r="L223" i="211" s="1"/>
  <c r="G175" i="108"/>
  <c r="H40" i="211" s="1"/>
  <c r="C222" i="211" s="1"/>
  <c r="D222" i="211" s="1"/>
  <c r="E222" i="211" s="1"/>
  <c r="F222" i="211" s="1"/>
  <c r="G222" i="211" s="1"/>
  <c r="H222" i="211" s="1"/>
  <c r="I222" i="211" s="1"/>
  <c r="J222" i="211" s="1"/>
  <c r="K222" i="211" s="1"/>
  <c r="L222" i="211" s="1"/>
  <c r="G174" i="108"/>
  <c r="H39" i="211" s="1"/>
  <c r="C221" i="211" s="1"/>
  <c r="D221" i="211" s="1"/>
  <c r="E221" i="211" s="1"/>
  <c r="F221" i="211" s="1"/>
  <c r="G221" i="211" s="1"/>
  <c r="H221" i="211" s="1"/>
  <c r="I221" i="211" s="1"/>
  <c r="J221" i="211" s="1"/>
  <c r="K221" i="211" s="1"/>
  <c r="L221" i="211" s="1"/>
  <c r="G173" i="108"/>
  <c r="H38" i="211" s="1"/>
  <c r="C220" i="211" s="1"/>
  <c r="D220" i="211" s="1"/>
  <c r="E220" i="211" s="1"/>
  <c r="F220" i="211" s="1"/>
  <c r="G220" i="211" s="1"/>
  <c r="H220" i="211" s="1"/>
  <c r="I220" i="211" s="1"/>
  <c r="J220" i="211" s="1"/>
  <c r="K220" i="211" s="1"/>
  <c r="L220" i="211" s="1"/>
  <c r="G172" i="108"/>
  <c r="H37" i="211" s="1"/>
  <c r="C219" i="211" s="1"/>
  <c r="D219" i="211" s="1"/>
  <c r="E219" i="211" s="1"/>
  <c r="F219" i="211" s="1"/>
  <c r="G219" i="211" s="1"/>
  <c r="H219" i="211" s="1"/>
  <c r="I219" i="211" s="1"/>
  <c r="J219" i="211" s="1"/>
  <c r="K219" i="211" s="1"/>
  <c r="L219" i="211" s="1"/>
  <c r="G171" i="108"/>
  <c r="H36" i="211" s="1"/>
  <c r="C218" i="211" s="1"/>
  <c r="D218" i="211" s="1"/>
  <c r="E218" i="211" s="1"/>
  <c r="F218" i="211" s="1"/>
  <c r="G218" i="211" s="1"/>
  <c r="H218" i="211" s="1"/>
  <c r="I218" i="211" s="1"/>
  <c r="J218" i="211" s="1"/>
  <c r="K218" i="211" s="1"/>
  <c r="L218" i="211" s="1"/>
  <c r="G170" i="108"/>
  <c r="H35" i="211" s="1"/>
  <c r="C217" i="211" s="1"/>
  <c r="D217" i="211" s="1"/>
  <c r="E217" i="211" s="1"/>
  <c r="F217" i="211" s="1"/>
  <c r="G217" i="211" s="1"/>
  <c r="H217" i="211" s="1"/>
  <c r="I217" i="211" s="1"/>
  <c r="J217" i="211" s="1"/>
  <c r="K217" i="211" s="1"/>
  <c r="L217" i="211" s="1"/>
  <c r="G169" i="108"/>
  <c r="H34" i="211" s="1"/>
  <c r="C216" i="211" s="1"/>
  <c r="D216" i="211" s="1"/>
  <c r="E216" i="211" s="1"/>
  <c r="F216" i="211" s="1"/>
  <c r="G216" i="211" s="1"/>
  <c r="H216" i="211" s="1"/>
  <c r="I216" i="211" s="1"/>
  <c r="J216" i="211" s="1"/>
  <c r="K216" i="211" s="1"/>
  <c r="L216" i="211" s="1"/>
  <c r="G168" i="108"/>
  <c r="H33" i="211" s="1"/>
  <c r="C215" i="211" s="1"/>
  <c r="D215" i="211" s="1"/>
  <c r="E215" i="211" s="1"/>
  <c r="F215" i="211" s="1"/>
  <c r="G215" i="211" s="1"/>
  <c r="H215" i="211" s="1"/>
  <c r="I215" i="211" s="1"/>
  <c r="J215" i="211" s="1"/>
  <c r="K215" i="211" s="1"/>
  <c r="L215" i="211" s="1"/>
  <c r="G167" i="108"/>
  <c r="H32" i="211" s="1"/>
  <c r="C214" i="211" s="1"/>
  <c r="D214" i="211" s="1"/>
  <c r="E214" i="211" s="1"/>
  <c r="F214" i="211" s="1"/>
  <c r="G214" i="211" s="1"/>
  <c r="H214" i="211" s="1"/>
  <c r="I214" i="211" s="1"/>
  <c r="J214" i="211" s="1"/>
  <c r="K214" i="211" s="1"/>
  <c r="L214" i="211" s="1"/>
  <c r="G166" i="108"/>
  <c r="H31" i="211" s="1"/>
  <c r="C213" i="211" s="1"/>
  <c r="D213" i="211" s="1"/>
  <c r="E213" i="211" s="1"/>
  <c r="F213" i="211" s="1"/>
  <c r="G213" i="211" s="1"/>
  <c r="H213" i="211" s="1"/>
  <c r="I213" i="211" s="1"/>
  <c r="J213" i="211" s="1"/>
  <c r="K213" i="211" s="1"/>
  <c r="L213" i="211" s="1"/>
  <c r="G165" i="108"/>
  <c r="H30" i="211" s="1"/>
  <c r="C212" i="211" s="1"/>
  <c r="D212" i="211" s="1"/>
  <c r="E212" i="211" s="1"/>
  <c r="F212" i="211" s="1"/>
  <c r="G212" i="211" s="1"/>
  <c r="H212" i="211" s="1"/>
  <c r="I212" i="211" s="1"/>
  <c r="J212" i="211" s="1"/>
  <c r="K212" i="211" s="1"/>
  <c r="L212" i="211" s="1"/>
  <c r="G164" i="108"/>
  <c r="H29" i="211" s="1"/>
  <c r="C211" i="211" s="1"/>
  <c r="D211" i="211" s="1"/>
  <c r="E211" i="211" s="1"/>
  <c r="F211" i="211" s="1"/>
  <c r="G211" i="211" s="1"/>
  <c r="H211" i="211" s="1"/>
  <c r="I211" i="211" s="1"/>
  <c r="J211" i="211" s="1"/>
  <c r="K211" i="211" s="1"/>
  <c r="L211" i="211" s="1"/>
  <c r="G163" i="108"/>
  <c r="H28" i="211" s="1"/>
  <c r="C210" i="211" s="1"/>
  <c r="D210" i="211" s="1"/>
  <c r="E210" i="211" s="1"/>
  <c r="F210" i="211" s="1"/>
  <c r="G210" i="211" s="1"/>
  <c r="H210" i="211" s="1"/>
  <c r="I210" i="211" s="1"/>
  <c r="J210" i="211" s="1"/>
  <c r="K210" i="211" s="1"/>
  <c r="L210" i="211" s="1"/>
  <c r="G162" i="108"/>
  <c r="H27" i="211" s="1"/>
  <c r="C209" i="211" s="1"/>
  <c r="D209" i="211" s="1"/>
  <c r="E209" i="211" s="1"/>
  <c r="F209" i="211" s="1"/>
  <c r="G209" i="211" s="1"/>
  <c r="H209" i="211" s="1"/>
  <c r="I209" i="211" s="1"/>
  <c r="J209" i="211" s="1"/>
  <c r="K209" i="211" s="1"/>
  <c r="L209" i="211" s="1"/>
  <c r="G161" i="108"/>
  <c r="H26" i="211" s="1"/>
  <c r="C208" i="211" s="1"/>
  <c r="D208" i="211" s="1"/>
  <c r="E208" i="211" s="1"/>
  <c r="F208" i="211" s="1"/>
  <c r="G208" i="211" s="1"/>
  <c r="H208" i="211" s="1"/>
  <c r="I208" i="211" s="1"/>
  <c r="J208" i="211" s="1"/>
  <c r="K208" i="211" s="1"/>
  <c r="L208" i="211" s="1"/>
  <c r="G160" i="108"/>
  <c r="H25" i="211" s="1"/>
  <c r="C207" i="211" s="1"/>
  <c r="D207" i="211" s="1"/>
  <c r="E207" i="211" s="1"/>
  <c r="F207" i="211" s="1"/>
  <c r="G207" i="211" s="1"/>
  <c r="H207" i="211" s="1"/>
  <c r="I207" i="211" s="1"/>
  <c r="J207" i="211" s="1"/>
  <c r="K207" i="211" s="1"/>
  <c r="L207" i="211" s="1"/>
  <c r="G159" i="108"/>
  <c r="H24" i="211" s="1"/>
  <c r="C206" i="211" s="1"/>
  <c r="D206" i="211" s="1"/>
  <c r="E206" i="211" s="1"/>
  <c r="F206" i="211" s="1"/>
  <c r="G206" i="211" s="1"/>
  <c r="H206" i="211" s="1"/>
  <c r="I206" i="211" s="1"/>
  <c r="J206" i="211" s="1"/>
  <c r="K206" i="211" s="1"/>
  <c r="L206" i="211" s="1"/>
  <c r="G158" i="108"/>
  <c r="H23" i="211" s="1"/>
  <c r="C205" i="211" s="1"/>
  <c r="D205" i="211" s="1"/>
  <c r="E205" i="211" s="1"/>
  <c r="F205" i="211" s="1"/>
  <c r="G205" i="211" s="1"/>
  <c r="H205" i="211" s="1"/>
  <c r="I205" i="211" s="1"/>
  <c r="J205" i="211" s="1"/>
  <c r="K205" i="211" s="1"/>
  <c r="L205" i="211" s="1"/>
  <c r="G157" i="108"/>
  <c r="D154" i="108"/>
  <c r="G149" i="108"/>
  <c r="F149" i="108"/>
  <c r="E149" i="108"/>
  <c r="D149" i="108"/>
  <c r="D148" i="108"/>
  <c r="D147" i="108"/>
  <c r="C119" i="209" s="1"/>
  <c r="G146" i="108"/>
  <c r="F146" i="108"/>
  <c r="F157" i="108" s="1"/>
  <c r="E146" i="108"/>
  <c r="E157" i="108" s="1"/>
  <c r="D146" i="108"/>
  <c r="D157" i="108" s="1"/>
  <c r="C140" i="108"/>
  <c r="C139" i="108"/>
  <c r="C138" i="108"/>
  <c r="C133" i="108"/>
  <c r="C132" i="108"/>
  <c r="C131" i="108"/>
  <c r="D125" i="108"/>
  <c r="E124" i="108"/>
  <c r="D124" i="108"/>
  <c r="E123" i="108"/>
  <c r="D123" i="108"/>
  <c r="E122" i="108"/>
  <c r="D122" i="108"/>
  <c r="E121" i="108"/>
  <c r="D121" i="108"/>
  <c r="E120" i="108"/>
  <c r="D120" i="108"/>
  <c r="D119" i="108"/>
  <c r="D140" i="108" s="1"/>
  <c r="D115" i="108"/>
  <c r="E114" i="108"/>
  <c r="D114" i="108"/>
  <c r="E113" i="108"/>
  <c r="D113" i="108"/>
  <c r="E112" i="108"/>
  <c r="D112" i="108"/>
  <c r="E111" i="108"/>
  <c r="D111" i="108"/>
  <c r="E110" i="108"/>
  <c r="D110" i="108"/>
  <c r="D109" i="108"/>
  <c r="D133" i="108" s="1"/>
  <c r="D103" i="108"/>
  <c r="D97" i="108"/>
  <c r="C49" i="152" s="1"/>
  <c r="D93" i="108"/>
  <c r="D87" i="108"/>
  <c r="D81" i="108"/>
  <c r="D80" i="108"/>
  <c r="D73" i="108"/>
  <c r="D69" i="108"/>
  <c r="D68" i="108"/>
  <c r="D61" i="108"/>
  <c r="AA55" i="108"/>
  <c r="Z55" i="108"/>
  <c r="Y55" i="108"/>
  <c r="X55" i="108"/>
  <c r="W55" i="108"/>
  <c r="V55" i="108"/>
  <c r="U55" i="108"/>
  <c r="T55" i="108"/>
  <c r="S55" i="108"/>
  <c r="R55" i="108"/>
  <c r="Q55" i="108"/>
  <c r="P55" i="108"/>
  <c r="O55" i="108"/>
  <c r="N55" i="108"/>
  <c r="M55" i="108"/>
  <c r="L55" i="108"/>
  <c r="K55" i="108"/>
  <c r="J55" i="108"/>
  <c r="I55" i="108"/>
  <c r="H55" i="108"/>
  <c r="G55" i="108"/>
  <c r="F55" i="108"/>
  <c r="E55" i="108"/>
  <c r="D55" i="108"/>
  <c r="C55" i="108"/>
  <c r="AA54" i="108"/>
  <c r="Z54" i="108"/>
  <c r="Y54" i="108"/>
  <c r="X54" i="108"/>
  <c r="W54" i="108"/>
  <c r="V54" i="108"/>
  <c r="U54" i="108"/>
  <c r="T54" i="108"/>
  <c r="S54" i="108"/>
  <c r="R54" i="108"/>
  <c r="Q54" i="108"/>
  <c r="P54" i="108"/>
  <c r="O54" i="108"/>
  <c r="N54" i="108"/>
  <c r="M54" i="108"/>
  <c r="L54" i="108"/>
  <c r="K54" i="108"/>
  <c r="J54" i="108"/>
  <c r="I54" i="108"/>
  <c r="H54" i="108"/>
  <c r="G54" i="108"/>
  <c r="F54" i="108"/>
  <c r="E54" i="108"/>
  <c r="D54" i="108"/>
  <c r="C54" i="108"/>
  <c r="AA53" i="108"/>
  <c r="Z53" i="108"/>
  <c r="Y53" i="108"/>
  <c r="X53" i="108"/>
  <c r="W53" i="108"/>
  <c r="V53" i="108"/>
  <c r="U53" i="108"/>
  <c r="T53" i="108"/>
  <c r="S53" i="108"/>
  <c r="R53" i="108"/>
  <c r="Q53" i="108"/>
  <c r="P53" i="108"/>
  <c r="O53" i="108"/>
  <c r="N53" i="108"/>
  <c r="M53" i="108"/>
  <c r="L53" i="108"/>
  <c r="K53" i="108"/>
  <c r="J53" i="108"/>
  <c r="I53" i="108"/>
  <c r="H53" i="108"/>
  <c r="G53" i="108"/>
  <c r="F53" i="108"/>
  <c r="E53" i="108"/>
  <c r="D53" i="108"/>
  <c r="C53" i="108"/>
  <c r="AA51" i="108"/>
  <c r="Z51" i="108"/>
  <c r="Y51" i="108"/>
  <c r="X51" i="108"/>
  <c r="W51" i="108"/>
  <c r="V51" i="108"/>
  <c r="U51" i="108"/>
  <c r="T51" i="108"/>
  <c r="S51" i="108"/>
  <c r="R51" i="108"/>
  <c r="Q51" i="108"/>
  <c r="P51" i="108"/>
  <c r="O51" i="108"/>
  <c r="N51" i="108"/>
  <c r="M51" i="108"/>
  <c r="L51" i="108"/>
  <c r="K51" i="108"/>
  <c r="J51" i="108"/>
  <c r="I51" i="108"/>
  <c r="H51" i="108"/>
  <c r="G51" i="108"/>
  <c r="F51" i="108"/>
  <c r="E51" i="108"/>
  <c r="D51" i="108"/>
  <c r="C51" i="108"/>
  <c r="AA50" i="108"/>
  <c r="Z50" i="108"/>
  <c r="Y50" i="108"/>
  <c r="X50" i="108"/>
  <c r="W50" i="108"/>
  <c r="V50" i="108"/>
  <c r="U50" i="108"/>
  <c r="T50" i="108"/>
  <c r="S50" i="108"/>
  <c r="R50" i="108"/>
  <c r="Q50" i="108"/>
  <c r="P50" i="108"/>
  <c r="O50" i="108"/>
  <c r="N50" i="108"/>
  <c r="M50" i="108"/>
  <c r="L50" i="108"/>
  <c r="K50" i="108"/>
  <c r="J50" i="108"/>
  <c r="I50" i="108"/>
  <c r="H50" i="108"/>
  <c r="G50" i="108"/>
  <c r="F50" i="108"/>
  <c r="E50" i="108"/>
  <c r="D50" i="108"/>
  <c r="C50" i="108"/>
  <c r="AA49" i="108"/>
  <c r="Z49" i="108"/>
  <c r="Y49" i="108"/>
  <c r="X49" i="108"/>
  <c r="W49" i="108"/>
  <c r="V49" i="108"/>
  <c r="U49" i="108"/>
  <c r="T49" i="108"/>
  <c r="S49" i="108"/>
  <c r="R49" i="108"/>
  <c r="Q49" i="108"/>
  <c r="P49" i="108"/>
  <c r="O49" i="108"/>
  <c r="N49" i="108"/>
  <c r="M49" i="108"/>
  <c r="L49" i="108"/>
  <c r="K49" i="108"/>
  <c r="J49" i="108"/>
  <c r="I49" i="108"/>
  <c r="H49" i="108"/>
  <c r="G49" i="108"/>
  <c r="F49" i="108"/>
  <c r="E49" i="108"/>
  <c r="D49" i="108"/>
  <c r="C49" i="108"/>
  <c r="AA47" i="108"/>
  <c r="Z47" i="108"/>
  <c r="Y47" i="108"/>
  <c r="X47" i="108"/>
  <c r="W47" i="108"/>
  <c r="V47" i="108"/>
  <c r="U47" i="108"/>
  <c r="T47" i="108"/>
  <c r="S47" i="108"/>
  <c r="R47" i="108"/>
  <c r="Q47" i="108"/>
  <c r="P47" i="108"/>
  <c r="O47" i="108"/>
  <c r="N47" i="108"/>
  <c r="M47" i="108"/>
  <c r="L47" i="108"/>
  <c r="K47" i="108"/>
  <c r="J47" i="108"/>
  <c r="I47" i="108"/>
  <c r="H47" i="108"/>
  <c r="G47" i="108"/>
  <c r="F47" i="108"/>
  <c r="E47" i="108"/>
  <c r="D47" i="108"/>
  <c r="C47" i="108"/>
  <c r="AA46" i="108"/>
  <c r="Z46" i="108"/>
  <c r="Y46" i="108"/>
  <c r="X46" i="108"/>
  <c r="W46" i="108"/>
  <c r="V46" i="108"/>
  <c r="U46" i="108"/>
  <c r="T46" i="108"/>
  <c r="S46" i="108"/>
  <c r="R46" i="108"/>
  <c r="Q46" i="108"/>
  <c r="P46" i="108"/>
  <c r="O46" i="108"/>
  <c r="N46" i="108"/>
  <c r="M46" i="108"/>
  <c r="L46" i="108"/>
  <c r="K46" i="108"/>
  <c r="J46" i="108"/>
  <c r="I46" i="108"/>
  <c r="H46" i="108"/>
  <c r="G46" i="108"/>
  <c r="F46" i="108"/>
  <c r="E46" i="108"/>
  <c r="D46" i="108"/>
  <c r="C46" i="108"/>
  <c r="AA45" i="108"/>
  <c r="Z45" i="108"/>
  <c r="Y45" i="108"/>
  <c r="X45" i="108"/>
  <c r="W45" i="108"/>
  <c r="V45" i="108"/>
  <c r="U45" i="108"/>
  <c r="T45" i="108"/>
  <c r="S45" i="108"/>
  <c r="R45" i="108"/>
  <c r="Q45" i="108"/>
  <c r="P45" i="108"/>
  <c r="O45" i="108"/>
  <c r="N45" i="108"/>
  <c r="M45" i="108"/>
  <c r="L45" i="108"/>
  <c r="K45" i="108"/>
  <c r="J45" i="108"/>
  <c r="I45" i="108"/>
  <c r="H45" i="108"/>
  <c r="G45" i="108"/>
  <c r="F45" i="108"/>
  <c r="E45" i="108"/>
  <c r="D45" i="108"/>
  <c r="C45" i="108"/>
  <c r="AA43" i="108"/>
  <c r="Z43" i="108"/>
  <c r="Y43" i="108"/>
  <c r="X43" i="108"/>
  <c r="W43" i="108"/>
  <c r="V43" i="108"/>
  <c r="U43" i="108"/>
  <c r="T43" i="108"/>
  <c r="S43" i="108"/>
  <c r="R43" i="108"/>
  <c r="Q43" i="108"/>
  <c r="P43" i="108"/>
  <c r="O43" i="108"/>
  <c r="N43" i="108"/>
  <c r="M43" i="108"/>
  <c r="L43" i="108"/>
  <c r="K43" i="108"/>
  <c r="J43" i="108"/>
  <c r="I43" i="108"/>
  <c r="H43" i="108"/>
  <c r="G43" i="108"/>
  <c r="F43" i="108"/>
  <c r="E43" i="108"/>
  <c r="D43" i="108"/>
  <c r="C43" i="108"/>
  <c r="AA42" i="108"/>
  <c r="Z42" i="108"/>
  <c r="Y42" i="108"/>
  <c r="X42" i="108"/>
  <c r="W42" i="108"/>
  <c r="V42" i="108"/>
  <c r="U42" i="108"/>
  <c r="T42" i="108"/>
  <c r="S42" i="108"/>
  <c r="R42" i="108"/>
  <c r="Q42" i="108"/>
  <c r="P42" i="108"/>
  <c r="O42" i="108"/>
  <c r="N42" i="108"/>
  <c r="M42" i="108"/>
  <c r="L42" i="108"/>
  <c r="K42" i="108"/>
  <c r="J42" i="108"/>
  <c r="I42" i="108"/>
  <c r="H42" i="108"/>
  <c r="G42" i="108"/>
  <c r="F42" i="108"/>
  <c r="E42" i="108"/>
  <c r="D42" i="108"/>
  <c r="C42" i="108"/>
  <c r="AA41" i="108"/>
  <c r="Z41" i="108"/>
  <c r="Y41" i="108"/>
  <c r="X41" i="108"/>
  <c r="W41" i="108"/>
  <c r="V41" i="108"/>
  <c r="U41" i="108"/>
  <c r="T41" i="108"/>
  <c r="S41" i="108"/>
  <c r="R41" i="108"/>
  <c r="Q41" i="108"/>
  <c r="P41" i="108"/>
  <c r="O41" i="108"/>
  <c r="N41" i="108"/>
  <c r="M41" i="108"/>
  <c r="L41" i="108"/>
  <c r="K41" i="108"/>
  <c r="J41" i="108"/>
  <c r="I41" i="108"/>
  <c r="H41" i="108"/>
  <c r="G41" i="108"/>
  <c r="F41" i="108"/>
  <c r="E41" i="108"/>
  <c r="D41" i="108"/>
  <c r="C41" i="108"/>
  <c r="AA38" i="108"/>
  <c r="Z38" i="108"/>
  <c r="Y38" i="108"/>
  <c r="X38" i="108"/>
  <c r="W38" i="108"/>
  <c r="V38" i="108"/>
  <c r="U38" i="108"/>
  <c r="T38" i="108"/>
  <c r="S38" i="108"/>
  <c r="R38" i="108"/>
  <c r="Q38" i="108"/>
  <c r="P38" i="108"/>
  <c r="O38" i="108"/>
  <c r="N38" i="108"/>
  <c r="M38" i="108"/>
  <c r="L38" i="108"/>
  <c r="K38" i="108"/>
  <c r="J38" i="108"/>
  <c r="I38" i="108"/>
  <c r="H38" i="108"/>
  <c r="G38" i="108"/>
  <c r="F38" i="108"/>
  <c r="E38" i="108"/>
  <c r="D38" i="108"/>
  <c r="AA37" i="108"/>
  <c r="Z37" i="108"/>
  <c r="Y37" i="108"/>
  <c r="X37" i="108"/>
  <c r="W37" i="108"/>
  <c r="V37" i="108"/>
  <c r="U37" i="108"/>
  <c r="T37" i="108"/>
  <c r="S37" i="108"/>
  <c r="R37" i="108"/>
  <c r="Q37" i="108"/>
  <c r="P37" i="108"/>
  <c r="O37" i="108"/>
  <c r="N37" i="108"/>
  <c r="M37" i="108"/>
  <c r="L37" i="108"/>
  <c r="K37" i="108"/>
  <c r="J37" i="108"/>
  <c r="I37" i="108"/>
  <c r="H37" i="108"/>
  <c r="G37" i="108"/>
  <c r="F37" i="108"/>
  <c r="E37" i="108"/>
  <c r="D37" i="108"/>
  <c r="AA36" i="108"/>
  <c r="Z36" i="108"/>
  <c r="Y36" i="108"/>
  <c r="X36" i="108"/>
  <c r="W36" i="108"/>
  <c r="V36" i="108"/>
  <c r="U36" i="108"/>
  <c r="T36" i="108"/>
  <c r="S36" i="108"/>
  <c r="R36" i="108"/>
  <c r="Q36" i="108"/>
  <c r="P36" i="108"/>
  <c r="O36" i="108"/>
  <c r="N36" i="108"/>
  <c r="M36" i="108"/>
  <c r="L36" i="108"/>
  <c r="K36" i="108"/>
  <c r="J36" i="108"/>
  <c r="I36" i="108"/>
  <c r="H36" i="108"/>
  <c r="G36" i="108"/>
  <c r="F36" i="108"/>
  <c r="E36" i="108"/>
  <c r="D36" i="108"/>
  <c r="AA35" i="108"/>
  <c r="Z35" i="108"/>
  <c r="Y35" i="108"/>
  <c r="X35" i="108"/>
  <c r="W35" i="108"/>
  <c r="V35" i="108"/>
  <c r="U35" i="108"/>
  <c r="T35" i="108"/>
  <c r="S35" i="108"/>
  <c r="R35" i="108"/>
  <c r="Q35" i="108"/>
  <c r="P35" i="108"/>
  <c r="O35" i="108"/>
  <c r="N35" i="108"/>
  <c r="M35" i="108"/>
  <c r="L35" i="108"/>
  <c r="K35" i="108"/>
  <c r="J35" i="108"/>
  <c r="I35" i="108"/>
  <c r="H35" i="108"/>
  <c r="G35" i="108"/>
  <c r="F35" i="108"/>
  <c r="E35" i="108"/>
  <c r="D35" i="108"/>
  <c r="AA34" i="108"/>
  <c r="Z34" i="108"/>
  <c r="Y34" i="108"/>
  <c r="X34" i="108"/>
  <c r="W34" i="108"/>
  <c r="V34" i="108"/>
  <c r="U34" i="108"/>
  <c r="T34" i="108"/>
  <c r="S34" i="108"/>
  <c r="R34" i="108"/>
  <c r="Q34" i="108"/>
  <c r="P34" i="108"/>
  <c r="O34" i="108"/>
  <c r="N34" i="108"/>
  <c r="M34" i="108"/>
  <c r="L34" i="108"/>
  <c r="K34" i="108"/>
  <c r="J34" i="108"/>
  <c r="I34" i="108"/>
  <c r="H34" i="108"/>
  <c r="G34" i="108"/>
  <c r="F34" i="108"/>
  <c r="E34" i="108"/>
  <c r="D34" i="108"/>
  <c r="J29" i="108"/>
  <c r="I29" i="108"/>
  <c r="H29" i="108"/>
  <c r="G29" i="108"/>
  <c r="F29" i="108"/>
  <c r="E29" i="108"/>
  <c r="D29" i="108"/>
  <c r="J28" i="108"/>
  <c r="I28" i="108"/>
  <c r="H28" i="108"/>
  <c r="G28" i="108"/>
  <c r="F28" i="108"/>
  <c r="E28" i="108"/>
  <c r="D28" i="108"/>
  <c r="C28" i="108"/>
  <c r="J27" i="108"/>
  <c r="I27" i="108"/>
  <c r="H27" i="108"/>
  <c r="G27" i="108"/>
  <c r="F27" i="108"/>
  <c r="E27" i="108"/>
  <c r="D27" i="108"/>
  <c r="C27" i="108"/>
  <c r="J26" i="108"/>
  <c r="I26" i="108"/>
  <c r="H26" i="108"/>
  <c r="G26" i="108"/>
  <c r="F26" i="108"/>
  <c r="E26" i="108"/>
  <c r="D26" i="108"/>
  <c r="C26" i="108"/>
  <c r="J23" i="108"/>
  <c r="I23" i="108"/>
  <c r="H23" i="108"/>
  <c r="G23" i="108"/>
  <c r="F23" i="108"/>
  <c r="E23" i="108"/>
  <c r="D23" i="108"/>
  <c r="J22" i="108"/>
  <c r="I22" i="108"/>
  <c r="H22" i="108"/>
  <c r="G22" i="108"/>
  <c r="F22" i="108"/>
  <c r="E22" i="108"/>
  <c r="D22" i="108"/>
  <c r="C22" i="108"/>
  <c r="J21" i="108"/>
  <c r="I21" i="108"/>
  <c r="H21" i="108"/>
  <c r="G21" i="108"/>
  <c r="F21" i="108"/>
  <c r="E21" i="108"/>
  <c r="D21" i="108"/>
  <c r="C21" i="108"/>
  <c r="J20" i="108"/>
  <c r="I20" i="108"/>
  <c r="H20" i="108"/>
  <c r="G20" i="108"/>
  <c r="F20" i="108"/>
  <c r="E20" i="108"/>
  <c r="D20" i="108"/>
  <c r="C20" i="108"/>
  <c r="J19" i="108"/>
  <c r="I19" i="108"/>
  <c r="H19" i="108"/>
  <c r="G19" i="108"/>
  <c r="F19" i="108"/>
  <c r="E19" i="108"/>
  <c r="D19" i="108"/>
  <c r="J17" i="108"/>
  <c r="I19" i="152" s="1"/>
  <c r="I17" i="108"/>
  <c r="H19" i="152" s="1"/>
  <c r="H17" i="108"/>
  <c r="G19" i="152" s="1"/>
  <c r="G17" i="108"/>
  <c r="F19" i="152" s="1"/>
  <c r="F17" i="108"/>
  <c r="E19" i="152" s="1"/>
  <c r="E17" i="108"/>
  <c r="D19" i="152" s="1"/>
  <c r="D17" i="108"/>
  <c r="C19" i="152" s="1"/>
  <c r="J16" i="108"/>
  <c r="I18" i="152" s="1"/>
  <c r="I16" i="108"/>
  <c r="H18" i="152" s="1"/>
  <c r="H16" i="108"/>
  <c r="G18" i="152" s="1"/>
  <c r="G16" i="108"/>
  <c r="F18" i="152" s="1"/>
  <c r="F16" i="108"/>
  <c r="E18" i="152" s="1"/>
  <c r="E16" i="108"/>
  <c r="D18" i="152" s="1"/>
  <c r="D16" i="108"/>
  <c r="C18" i="152" s="1"/>
  <c r="J15" i="108"/>
  <c r="I15" i="108"/>
  <c r="H15" i="108"/>
  <c r="G15" i="108"/>
  <c r="F15" i="108"/>
  <c r="E15" i="108"/>
  <c r="D15" i="108"/>
  <c r="A1" i="108"/>
  <c r="B28" i="105"/>
  <c r="B27" i="105"/>
  <c r="B26" i="105"/>
  <c r="B25" i="105"/>
  <c r="B24" i="105"/>
  <c r="B23" i="105"/>
  <c r="B22" i="105"/>
  <c r="B21" i="105"/>
  <c r="B20" i="105"/>
  <c r="A1" i="105"/>
  <c r="A1" i="91"/>
  <c r="E621" i="19"/>
  <c r="D621" i="19"/>
  <c r="A621" i="19"/>
  <c r="E620" i="19"/>
  <c r="B610" i="19"/>
  <c r="B609" i="19"/>
  <c r="B608" i="19"/>
  <c r="B607" i="19"/>
  <c r="B606" i="19"/>
  <c r="B605" i="19"/>
  <c r="B604" i="19"/>
  <c r="B603" i="19"/>
  <c r="B602" i="19"/>
  <c r="B601" i="19"/>
  <c r="B600" i="19"/>
  <c r="B599" i="19"/>
  <c r="B598" i="19"/>
  <c r="B597" i="19"/>
  <c r="B596" i="19"/>
  <c r="B595" i="19"/>
  <c r="B594" i="19"/>
  <c r="B593" i="19"/>
  <c r="B592" i="19"/>
  <c r="B591" i="19"/>
  <c r="C573" i="19"/>
  <c r="C572" i="19"/>
  <c r="C560" i="19"/>
  <c r="B559" i="19"/>
  <c r="B558" i="19"/>
  <c r="B557" i="19"/>
  <c r="B556" i="19"/>
  <c r="B555" i="19"/>
  <c r="B554" i="19"/>
  <c r="B553" i="19"/>
  <c r="B552" i="19"/>
  <c r="B551" i="19"/>
  <c r="B550" i="19"/>
  <c r="B549" i="19"/>
  <c r="B548" i="19"/>
  <c r="B547" i="19"/>
  <c r="B546" i="19"/>
  <c r="B545" i="19"/>
  <c r="B544" i="19"/>
  <c r="B543" i="19"/>
  <c r="B542" i="19"/>
  <c r="B541" i="19"/>
  <c r="B540" i="19"/>
  <c r="B528" i="19"/>
  <c r="B527" i="19"/>
  <c r="B526" i="19"/>
  <c r="B525" i="19"/>
  <c r="B524" i="19"/>
  <c r="B523" i="19"/>
  <c r="B522" i="19"/>
  <c r="B521" i="19"/>
  <c r="B520" i="19"/>
  <c r="B519" i="19"/>
  <c r="B518" i="19"/>
  <c r="B517" i="19"/>
  <c r="B516" i="19"/>
  <c r="B515" i="19"/>
  <c r="B514" i="19"/>
  <c r="B513" i="19"/>
  <c r="B512" i="19"/>
  <c r="B511" i="19"/>
  <c r="B510" i="19"/>
  <c r="B509" i="19"/>
  <c r="F462" i="19"/>
  <c r="E462" i="19"/>
  <c r="D462" i="19"/>
  <c r="C462" i="19"/>
  <c r="F454" i="19"/>
  <c r="E454" i="19"/>
  <c r="D454" i="19"/>
  <c r="C454" i="19"/>
  <c r="F446" i="19"/>
  <c r="E446" i="19"/>
  <c r="D446" i="19"/>
  <c r="C446" i="19"/>
  <c r="Z373" i="19"/>
  <c r="Y373" i="19"/>
  <c r="X373" i="19"/>
  <c r="W373" i="19"/>
  <c r="V373" i="19"/>
  <c r="U373" i="19"/>
  <c r="T373" i="19"/>
  <c r="S373" i="19"/>
  <c r="R373" i="19"/>
  <c r="Q373" i="19"/>
  <c r="P373" i="19"/>
  <c r="O373" i="19"/>
  <c r="N373" i="19"/>
  <c r="M373" i="19"/>
  <c r="L373" i="19"/>
  <c r="K373" i="19"/>
  <c r="J373" i="19"/>
  <c r="I373" i="19"/>
  <c r="H373" i="19"/>
  <c r="G373" i="19"/>
  <c r="F373" i="19"/>
  <c r="E373" i="19"/>
  <c r="D373" i="19"/>
  <c r="C373" i="19"/>
  <c r="Z364" i="19"/>
  <c r="Y364" i="19"/>
  <c r="X364" i="19"/>
  <c r="W364" i="19"/>
  <c r="V364" i="19"/>
  <c r="U364" i="19"/>
  <c r="T364" i="19"/>
  <c r="S364" i="19"/>
  <c r="R364" i="19"/>
  <c r="Q364" i="19"/>
  <c r="P364" i="19"/>
  <c r="O364" i="19"/>
  <c r="N364" i="19"/>
  <c r="M364" i="19"/>
  <c r="L364" i="19"/>
  <c r="K364" i="19"/>
  <c r="J364" i="19"/>
  <c r="I364" i="19"/>
  <c r="H364" i="19"/>
  <c r="G364" i="19"/>
  <c r="F364" i="19"/>
  <c r="E364" i="19"/>
  <c r="D364" i="19"/>
  <c r="C364" i="19"/>
  <c r="Z355" i="19"/>
  <c r="Y355" i="19"/>
  <c r="X355" i="19"/>
  <c r="W355" i="19"/>
  <c r="V355" i="19"/>
  <c r="U355" i="19"/>
  <c r="T355" i="19"/>
  <c r="S355" i="19"/>
  <c r="R355" i="19"/>
  <c r="Q355" i="19"/>
  <c r="P355" i="19"/>
  <c r="O355" i="19"/>
  <c r="N355" i="19"/>
  <c r="M355" i="19"/>
  <c r="L355" i="19"/>
  <c r="K355" i="19"/>
  <c r="J355" i="19"/>
  <c r="I355" i="19"/>
  <c r="H355" i="19"/>
  <c r="G355" i="19"/>
  <c r="F355" i="19"/>
  <c r="E355" i="19"/>
  <c r="D355" i="19"/>
  <c r="C355" i="19"/>
  <c r="G342" i="19"/>
  <c r="F342" i="19"/>
  <c r="E342" i="19"/>
  <c r="D342" i="19"/>
  <c r="C342" i="19"/>
  <c r="A342" i="19"/>
  <c r="F341" i="19"/>
  <c r="E341" i="19"/>
  <c r="D341" i="19"/>
  <c r="C341" i="19"/>
  <c r="F330" i="19"/>
  <c r="E330" i="19"/>
  <c r="D330" i="19"/>
  <c r="C330" i="19"/>
  <c r="G326" i="19"/>
  <c r="F326" i="19"/>
  <c r="E326" i="19"/>
  <c r="D326" i="19"/>
  <c r="C326" i="19"/>
  <c r="A326" i="19"/>
  <c r="F325" i="19"/>
  <c r="E325" i="19"/>
  <c r="D325" i="19"/>
  <c r="C325" i="19"/>
  <c r="F314" i="19"/>
  <c r="E314" i="19"/>
  <c r="D314" i="19"/>
  <c r="C314" i="19"/>
  <c r="M296" i="19"/>
  <c r="L296" i="19"/>
  <c r="K296" i="19"/>
  <c r="J296" i="19"/>
  <c r="I296" i="19"/>
  <c r="G296" i="19"/>
  <c r="F296" i="19"/>
  <c r="E296" i="19"/>
  <c r="D296" i="19"/>
  <c r="C296" i="19"/>
  <c r="A296" i="19"/>
  <c r="L295" i="19"/>
  <c r="K295" i="19"/>
  <c r="J295" i="19"/>
  <c r="I295" i="19"/>
  <c r="F295" i="19"/>
  <c r="E295" i="19"/>
  <c r="D295" i="19"/>
  <c r="C295" i="19"/>
  <c r="L284" i="19"/>
  <c r="K284" i="19"/>
  <c r="J284" i="19"/>
  <c r="I284" i="19"/>
  <c r="F284" i="19"/>
  <c r="E284" i="19"/>
  <c r="D284" i="19"/>
  <c r="C284" i="19"/>
  <c r="M279" i="19"/>
  <c r="L279" i="19"/>
  <c r="K279" i="19"/>
  <c r="J279" i="19"/>
  <c r="I279" i="19"/>
  <c r="G279" i="19"/>
  <c r="F279" i="19"/>
  <c r="E279" i="19"/>
  <c r="D279" i="19"/>
  <c r="C279" i="19"/>
  <c r="A279" i="19"/>
  <c r="L278" i="19"/>
  <c r="K278" i="19"/>
  <c r="J278" i="19"/>
  <c r="I278" i="19"/>
  <c r="F278" i="19"/>
  <c r="E278" i="19"/>
  <c r="D278" i="19"/>
  <c r="C278" i="19"/>
  <c r="L267" i="19"/>
  <c r="K267" i="19"/>
  <c r="J267" i="19"/>
  <c r="I267" i="19"/>
  <c r="F267" i="19"/>
  <c r="E267" i="19"/>
  <c r="D267" i="19"/>
  <c r="C267" i="19"/>
  <c r="M253" i="19"/>
  <c r="L253" i="19"/>
  <c r="K253" i="19"/>
  <c r="J253" i="19"/>
  <c r="I253" i="19"/>
  <c r="G253" i="19"/>
  <c r="F253" i="19"/>
  <c r="E253" i="19"/>
  <c r="D253" i="19"/>
  <c r="C253" i="19"/>
  <c r="A253" i="19"/>
  <c r="L252" i="19"/>
  <c r="K252" i="19"/>
  <c r="J252" i="19"/>
  <c r="I252" i="19"/>
  <c r="F252" i="19"/>
  <c r="E252" i="19"/>
  <c r="D252" i="19"/>
  <c r="C252" i="19"/>
  <c r="L241" i="19"/>
  <c r="K241" i="19"/>
  <c r="J241" i="19"/>
  <c r="I241" i="19"/>
  <c r="F241" i="19"/>
  <c r="E241" i="19"/>
  <c r="D241" i="19"/>
  <c r="C241" i="19"/>
  <c r="M236" i="19"/>
  <c r="L236" i="19"/>
  <c r="K236" i="19"/>
  <c r="J236" i="19"/>
  <c r="I236" i="19"/>
  <c r="G236" i="19"/>
  <c r="F236" i="19"/>
  <c r="E236" i="19"/>
  <c r="D236" i="19"/>
  <c r="C236" i="19"/>
  <c r="A236" i="19"/>
  <c r="L235" i="19"/>
  <c r="K235" i="19"/>
  <c r="J235" i="19"/>
  <c r="I235" i="19"/>
  <c r="F235" i="19"/>
  <c r="E235" i="19"/>
  <c r="D235" i="19"/>
  <c r="C235" i="19"/>
  <c r="L224" i="19"/>
  <c r="K224" i="19"/>
  <c r="J224" i="19"/>
  <c r="I224" i="19"/>
  <c r="F224" i="19"/>
  <c r="E224" i="19"/>
  <c r="D224" i="19"/>
  <c r="C224" i="19"/>
  <c r="M194" i="19"/>
  <c r="L194" i="19"/>
  <c r="K194" i="19"/>
  <c r="J194" i="19"/>
  <c r="I194" i="19"/>
  <c r="G194" i="19"/>
  <c r="F194" i="19"/>
  <c r="E194" i="19"/>
  <c r="D194" i="19"/>
  <c r="C194" i="19"/>
  <c r="A194" i="19"/>
  <c r="L193" i="19"/>
  <c r="K193" i="19"/>
  <c r="J193" i="19"/>
  <c r="I193" i="19"/>
  <c r="F193" i="19"/>
  <c r="E193" i="19"/>
  <c r="D193" i="19"/>
  <c r="C193" i="19"/>
  <c r="L182" i="19"/>
  <c r="K182" i="19"/>
  <c r="J182" i="19"/>
  <c r="I182" i="19"/>
  <c r="F182" i="19"/>
  <c r="E182" i="19"/>
  <c r="D182" i="19"/>
  <c r="C182" i="19"/>
  <c r="M177" i="19"/>
  <c r="L177" i="19"/>
  <c r="K177" i="19"/>
  <c r="J177" i="19"/>
  <c r="I177" i="19"/>
  <c r="G177" i="19"/>
  <c r="F177" i="19"/>
  <c r="E177" i="19"/>
  <c r="D177" i="19"/>
  <c r="C177" i="19"/>
  <c r="A177" i="19"/>
  <c r="L176" i="19"/>
  <c r="K176" i="19"/>
  <c r="J176" i="19"/>
  <c r="I176" i="19"/>
  <c r="F176" i="19"/>
  <c r="E176" i="19"/>
  <c r="D176" i="19"/>
  <c r="C176" i="19"/>
  <c r="L165" i="19"/>
  <c r="K165" i="19"/>
  <c r="J165" i="19"/>
  <c r="I165" i="19"/>
  <c r="F165" i="19"/>
  <c r="E165" i="19"/>
  <c r="D165" i="19"/>
  <c r="C165" i="19"/>
  <c r="M160" i="19"/>
  <c r="L160" i="19"/>
  <c r="K160" i="19"/>
  <c r="J160" i="19"/>
  <c r="I160" i="19"/>
  <c r="G160" i="19"/>
  <c r="F160" i="19"/>
  <c r="E160" i="19"/>
  <c r="D160" i="19"/>
  <c r="C160" i="19"/>
  <c r="A160" i="19"/>
  <c r="L159" i="19"/>
  <c r="K159" i="19"/>
  <c r="J159" i="19"/>
  <c r="I159" i="19"/>
  <c r="F159" i="19"/>
  <c r="E159" i="19"/>
  <c r="D159" i="19"/>
  <c r="C159" i="19"/>
  <c r="S150" i="19"/>
  <c r="R150" i="19"/>
  <c r="Q150" i="19"/>
  <c r="P150" i="19"/>
  <c r="S149" i="19"/>
  <c r="R149" i="19"/>
  <c r="Q149" i="19"/>
  <c r="P149" i="19"/>
  <c r="S148" i="19"/>
  <c r="R148" i="19"/>
  <c r="Q148" i="19"/>
  <c r="P148" i="19"/>
  <c r="L148" i="19"/>
  <c r="K148" i="19"/>
  <c r="J148" i="19"/>
  <c r="I148" i="19"/>
  <c r="F148" i="19"/>
  <c r="E148" i="19"/>
  <c r="D148" i="19"/>
  <c r="C148" i="19"/>
  <c r="S147" i="19"/>
  <c r="R147" i="19"/>
  <c r="Q147" i="19"/>
  <c r="P147" i="19"/>
  <c r="S146" i="19"/>
  <c r="R146" i="19"/>
  <c r="Q146" i="19"/>
  <c r="P146" i="19"/>
  <c r="S145" i="19"/>
  <c r="R145" i="19"/>
  <c r="Q145" i="19"/>
  <c r="P145" i="19"/>
  <c r="S143" i="19"/>
  <c r="R143" i="19"/>
  <c r="Q143" i="19"/>
  <c r="P143" i="19"/>
  <c r="M143" i="19"/>
  <c r="L143" i="19"/>
  <c r="K143" i="19"/>
  <c r="J143" i="19"/>
  <c r="I143" i="19"/>
  <c r="G143" i="19"/>
  <c r="F143" i="19"/>
  <c r="E143" i="19"/>
  <c r="D143" i="19"/>
  <c r="C143" i="19"/>
  <c r="A143" i="19"/>
  <c r="S142" i="19"/>
  <c r="R142" i="19"/>
  <c r="Q142" i="19"/>
  <c r="P142" i="19"/>
  <c r="L142" i="19"/>
  <c r="K142" i="19"/>
  <c r="J142" i="19"/>
  <c r="I142" i="19"/>
  <c r="F142" i="19"/>
  <c r="E142" i="19"/>
  <c r="D142" i="19"/>
  <c r="C142" i="19"/>
  <c r="S141" i="19"/>
  <c r="R141" i="19"/>
  <c r="Q141" i="19"/>
  <c r="P141" i="19"/>
  <c r="S140" i="19"/>
  <c r="R140" i="19"/>
  <c r="Q140" i="19"/>
  <c r="P140" i="19"/>
  <c r="S139" i="19"/>
  <c r="R139" i="19"/>
  <c r="Q139" i="19"/>
  <c r="P139" i="19"/>
  <c r="S138" i="19"/>
  <c r="R138" i="19"/>
  <c r="Q138" i="19"/>
  <c r="P138" i="19"/>
  <c r="S136" i="19"/>
  <c r="R136" i="19"/>
  <c r="Q136" i="19"/>
  <c r="P136" i="19"/>
  <c r="S135" i="19"/>
  <c r="R135" i="19"/>
  <c r="Q135" i="19"/>
  <c r="P135" i="19"/>
  <c r="S134" i="19"/>
  <c r="R134" i="19"/>
  <c r="Q134" i="19"/>
  <c r="P134" i="19"/>
  <c r="S133" i="19"/>
  <c r="R133" i="19"/>
  <c r="Q133" i="19"/>
  <c r="P133" i="19"/>
  <c r="S132" i="19"/>
  <c r="R132" i="19"/>
  <c r="Q132" i="19"/>
  <c r="P132" i="19"/>
  <c r="S131" i="19"/>
  <c r="R131" i="19"/>
  <c r="Q131" i="19"/>
  <c r="P131" i="19"/>
  <c r="L131" i="19"/>
  <c r="K131" i="19"/>
  <c r="J131" i="19"/>
  <c r="I131" i="19"/>
  <c r="D113" i="19"/>
  <c r="A113" i="19"/>
  <c r="G112" i="19"/>
  <c r="C112" i="19"/>
  <c r="G111" i="19"/>
  <c r="C111" i="19"/>
  <c r="F100" i="19"/>
  <c r="E100" i="19"/>
  <c r="D100" i="19"/>
  <c r="C100" i="19"/>
  <c r="A100" i="19"/>
  <c r="AP69" i="19"/>
  <c r="AO69" i="19"/>
  <c r="AN69" i="19"/>
  <c r="A69" i="19"/>
  <c r="AP68" i="19"/>
  <c r="AO68" i="19"/>
  <c r="AN68" i="19"/>
  <c r="A68" i="19"/>
  <c r="AP67" i="19"/>
  <c r="AO67" i="19"/>
  <c r="AN67" i="19"/>
  <c r="A67" i="19"/>
  <c r="AR66" i="19"/>
  <c r="AQ66" i="19"/>
  <c r="AP66" i="19"/>
  <c r="AO66" i="19"/>
  <c r="AN66" i="19"/>
  <c r="AM66" i="19"/>
  <c r="AL66" i="19"/>
  <c r="AK66" i="19"/>
  <c r="AJ66" i="19"/>
  <c r="AI66" i="19"/>
  <c r="AH66" i="19"/>
  <c r="AG66" i="19"/>
  <c r="AF66" i="19"/>
  <c r="AE66" i="19"/>
  <c r="AD66" i="19"/>
  <c r="AC66" i="19"/>
  <c r="AB66" i="19"/>
  <c r="AA66" i="19"/>
  <c r="Z66" i="19"/>
  <c r="Y66" i="19"/>
  <c r="X66" i="19"/>
  <c r="W66" i="19"/>
  <c r="V66" i="19"/>
  <c r="U66" i="19"/>
  <c r="T66" i="19"/>
  <c r="S66" i="19"/>
  <c r="R66" i="19"/>
  <c r="Q66" i="19"/>
  <c r="P66" i="19"/>
  <c r="O66" i="19"/>
  <c r="N66" i="19"/>
  <c r="M66" i="19"/>
  <c r="L66" i="19"/>
  <c r="K66" i="19"/>
  <c r="J66" i="19"/>
  <c r="I66" i="19"/>
  <c r="H66" i="19"/>
  <c r="G66" i="19"/>
  <c r="F66" i="19"/>
  <c r="E66" i="19"/>
  <c r="D66" i="19"/>
  <c r="C66" i="19"/>
  <c r="AP65" i="19"/>
  <c r="AO65" i="19"/>
  <c r="AP64" i="19"/>
  <c r="AO64" i="19"/>
  <c r="AP63" i="19"/>
  <c r="AO63" i="19"/>
  <c r="AP62" i="19"/>
  <c r="AO62" i="19"/>
  <c r="AP61" i="19"/>
  <c r="AO61" i="19"/>
  <c r="AP60" i="19"/>
  <c r="AO60" i="19"/>
  <c r="AP59" i="19"/>
  <c r="AO59" i="19"/>
  <c r="AP58" i="19"/>
  <c r="AO58" i="19"/>
  <c r="AP57" i="19"/>
  <c r="AO57" i="19"/>
  <c r="AP56" i="19"/>
  <c r="AO56" i="19"/>
  <c r="AQ54" i="19"/>
  <c r="AO54" i="19"/>
  <c r="AM54" i="19"/>
  <c r="AK54" i="19"/>
  <c r="AI54" i="19"/>
  <c r="AG54" i="19"/>
  <c r="AE54" i="19"/>
  <c r="AC54" i="19"/>
  <c r="AA54" i="19"/>
  <c r="Y54" i="19"/>
  <c r="W54" i="19"/>
  <c r="S54" i="19"/>
  <c r="Q54" i="19"/>
  <c r="O54" i="19"/>
  <c r="M54" i="19"/>
  <c r="K54" i="19"/>
  <c r="I54" i="19"/>
  <c r="G54" i="19"/>
  <c r="E54" i="19"/>
  <c r="C54" i="19"/>
  <c r="AP53" i="19"/>
  <c r="AO53" i="19"/>
  <c r="AN53" i="19"/>
  <c r="A53" i="19"/>
  <c r="AP52" i="19"/>
  <c r="AO52" i="19"/>
  <c r="AN52" i="19"/>
  <c r="A52" i="19"/>
  <c r="AV51" i="19"/>
  <c r="AT51" i="19"/>
  <c r="AP51" i="19"/>
  <c r="AO51" i="19"/>
  <c r="AN51" i="19"/>
  <c r="A51" i="19"/>
  <c r="AR50" i="19"/>
  <c r="AQ50" i="19"/>
  <c r="AP50" i="19"/>
  <c r="AO50" i="19"/>
  <c r="AN50" i="19"/>
  <c r="AM50" i="19"/>
  <c r="AL50" i="19"/>
  <c r="AK50" i="19"/>
  <c r="AJ50" i="19"/>
  <c r="AI50" i="19"/>
  <c r="AH50" i="19"/>
  <c r="AG50" i="19"/>
  <c r="AF50" i="19"/>
  <c r="AE50" i="19"/>
  <c r="AD50" i="19"/>
  <c r="AC50" i="19"/>
  <c r="AB50" i="19"/>
  <c r="AA50" i="19"/>
  <c r="Z50" i="19"/>
  <c r="Y50" i="19"/>
  <c r="X50" i="19"/>
  <c r="W50" i="19"/>
  <c r="V50" i="19"/>
  <c r="U50" i="19"/>
  <c r="T50" i="19"/>
  <c r="S50" i="19"/>
  <c r="R50" i="19"/>
  <c r="Q50" i="19"/>
  <c r="P50" i="19"/>
  <c r="O50" i="19"/>
  <c r="N50" i="19"/>
  <c r="M50" i="19"/>
  <c r="L50" i="19"/>
  <c r="K50" i="19"/>
  <c r="J50" i="19"/>
  <c r="I50" i="19"/>
  <c r="H50" i="19"/>
  <c r="G50" i="19"/>
  <c r="F50" i="19"/>
  <c r="E50" i="19"/>
  <c r="D50" i="19"/>
  <c r="C50" i="19"/>
  <c r="AP49" i="19"/>
  <c r="AO49" i="19"/>
  <c r="AP48" i="19"/>
  <c r="AO48" i="19"/>
  <c r="AP47" i="19"/>
  <c r="AO47" i="19"/>
  <c r="AP46" i="19"/>
  <c r="AO46" i="19"/>
  <c r="AP45" i="19"/>
  <c r="AO45" i="19"/>
  <c r="AP44" i="19"/>
  <c r="AO44" i="19"/>
  <c r="AP43" i="19"/>
  <c r="AO43" i="19"/>
  <c r="AP42" i="19"/>
  <c r="AO42" i="19"/>
  <c r="AP41" i="19"/>
  <c r="AO41" i="19"/>
  <c r="AP40" i="19"/>
  <c r="AO40" i="19"/>
  <c r="A9" i="19"/>
  <c r="A1" i="19"/>
  <c r="Y129" i="155"/>
  <c r="X129" i="155"/>
  <c r="W129" i="155"/>
  <c r="V129" i="155"/>
  <c r="U129" i="155"/>
  <c r="T129" i="155"/>
  <c r="S129" i="155"/>
  <c r="R129" i="155"/>
  <c r="Q129" i="155"/>
  <c r="P129" i="155"/>
  <c r="O129" i="155"/>
  <c r="N129" i="155"/>
  <c r="M129" i="155"/>
  <c r="Y128" i="155"/>
  <c r="X128" i="155"/>
  <c r="W128" i="155"/>
  <c r="V128" i="155"/>
  <c r="U128" i="155"/>
  <c r="T128" i="155"/>
  <c r="S128" i="155"/>
  <c r="R128" i="155"/>
  <c r="Q128" i="155"/>
  <c r="P128" i="155"/>
  <c r="O128" i="155"/>
  <c r="N128" i="155"/>
  <c r="M128" i="155"/>
  <c r="M127" i="155"/>
  <c r="L127" i="155"/>
  <c r="K127" i="155"/>
  <c r="J127" i="155"/>
  <c r="I127" i="155"/>
  <c r="H127" i="155"/>
  <c r="G127" i="155"/>
  <c r="F127" i="155"/>
  <c r="E127" i="155"/>
  <c r="D127" i="155"/>
  <c r="C127" i="155"/>
  <c r="M126" i="155"/>
  <c r="L126" i="155"/>
  <c r="K126" i="155"/>
  <c r="J126" i="155"/>
  <c r="I126" i="155"/>
  <c r="H126" i="155"/>
  <c r="G126" i="155"/>
  <c r="F126" i="155"/>
  <c r="E126" i="155"/>
  <c r="D126" i="155"/>
  <c r="C126" i="155"/>
  <c r="Y125" i="155"/>
  <c r="X125" i="155"/>
  <c r="W125" i="155"/>
  <c r="V125" i="155"/>
  <c r="U125" i="155"/>
  <c r="T125" i="155"/>
  <c r="S125" i="155"/>
  <c r="R125" i="155"/>
  <c r="Q125" i="155"/>
  <c r="P125" i="155"/>
  <c r="O125" i="155"/>
  <c r="N125" i="155"/>
  <c r="M125" i="155"/>
  <c r="L125" i="155"/>
  <c r="K125" i="155"/>
  <c r="J125" i="155"/>
  <c r="I125" i="155"/>
  <c r="H125" i="155"/>
  <c r="G125" i="155"/>
  <c r="F125" i="155"/>
  <c r="E125" i="155"/>
  <c r="D125" i="155"/>
  <c r="C125" i="155"/>
  <c r="Y124" i="155"/>
  <c r="X124" i="155"/>
  <c r="W124" i="155"/>
  <c r="V124" i="155"/>
  <c r="U124" i="155"/>
  <c r="T124" i="155"/>
  <c r="S124" i="155"/>
  <c r="R124" i="155"/>
  <c r="Q124" i="155"/>
  <c r="P124" i="155"/>
  <c r="O124" i="155"/>
  <c r="N124" i="155"/>
  <c r="M124" i="155"/>
  <c r="L124" i="155"/>
  <c r="K124" i="155"/>
  <c r="J124" i="155"/>
  <c r="I124" i="155"/>
  <c r="H124" i="155"/>
  <c r="G124" i="155"/>
  <c r="F124" i="155"/>
  <c r="E124" i="155"/>
  <c r="D124" i="155"/>
  <c r="C124" i="155"/>
  <c r="Y123" i="155"/>
  <c r="X123" i="155"/>
  <c r="W123" i="155"/>
  <c r="V123" i="155"/>
  <c r="U123" i="155"/>
  <c r="T123" i="155"/>
  <c r="S123" i="155"/>
  <c r="R123" i="155"/>
  <c r="Q123" i="155"/>
  <c r="P123" i="155"/>
  <c r="O123" i="155"/>
  <c r="N123" i="155"/>
  <c r="M123" i="155"/>
  <c r="L123" i="155"/>
  <c r="K123" i="155"/>
  <c r="J123" i="155"/>
  <c r="I123" i="155"/>
  <c r="H123" i="155"/>
  <c r="G123" i="155"/>
  <c r="F123" i="155"/>
  <c r="E123" i="155"/>
  <c r="D123" i="155"/>
  <c r="C123" i="155"/>
  <c r="Y122" i="155"/>
  <c r="X122" i="155"/>
  <c r="W122" i="155"/>
  <c r="V122" i="155"/>
  <c r="U122" i="155"/>
  <c r="T122" i="155"/>
  <c r="S122" i="155"/>
  <c r="R122" i="155"/>
  <c r="Q122" i="155"/>
  <c r="P122" i="155"/>
  <c r="O122" i="155"/>
  <c r="N122" i="155"/>
  <c r="M122" i="155"/>
  <c r="L122" i="155"/>
  <c r="K122" i="155"/>
  <c r="J122" i="155"/>
  <c r="I122" i="155"/>
  <c r="H122" i="155"/>
  <c r="G122" i="155"/>
  <c r="F122" i="155"/>
  <c r="E122" i="155"/>
  <c r="D122" i="155"/>
  <c r="C122" i="155"/>
  <c r="Y121" i="155"/>
  <c r="X121" i="155"/>
  <c r="W121" i="155"/>
  <c r="V121" i="155"/>
  <c r="U121" i="155"/>
  <c r="T121" i="155"/>
  <c r="S121" i="155"/>
  <c r="R121" i="155"/>
  <c r="Q121" i="155"/>
  <c r="P121" i="155"/>
  <c r="O121" i="155"/>
  <c r="N121" i="155"/>
  <c r="M121" i="155"/>
  <c r="L121" i="155"/>
  <c r="K121" i="155"/>
  <c r="J121" i="155"/>
  <c r="I121" i="155"/>
  <c r="H121" i="155"/>
  <c r="G121" i="155"/>
  <c r="F121" i="155"/>
  <c r="E121" i="155"/>
  <c r="D121" i="155"/>
  <c r="C121" i="155"/>
  <c r="Z81" i="155"/>
  <c r="Y81" i="155"/>
  <c r="X81" i="155"/>
  <c r="W81" i="155"/>
  <c r="V81" i="155"/>
  <c r="U81" i="155"/>
  <c r="T81" i="155"/>
  <c r="S81" i="155"/>
  <c r="R81" i="155"/>
  <c r="Q81" i="155"/>
  <c r="P81" i="155"/>
  <c r="O81" i="155"/>
  <c r="N81" i="155"/>
  <c r="N80" i="155"/>
  <c r="M80" i="155"/>
  <c r="L80" i="155"/>
  <c r="K80" i="155"/>
  <c r="J80" i="155"/>
  <c r="I80" i="155"/>
  <c r="H80" i="155"/>
  <c r="G80" i="155"/>
  <c r="F80" i="155"/>
  <c r="E80" i="155"/>
  <c r="D80" i="155"/>
  <c r="C80" i="155"/>
  <c r="Z79" i="155"/>
  <c r="Y79" i="155"/>
  <c r="X79" i="155"/>
  <c r="W79" i="155"/>
  <c r="V79" i="155"/>
  <c r="U79" i="155"/>
  <c r="T79" i="155"/>
  <c r="S79" i="155"/>
  <c r="R79" i="155"/>
  <c r="Q79" i="155"/>
  <c r="P79" i="155"/>
  <c r="O79" i="155"/>
  <c r="N79" i="155"/>
  <c r="N78" i="155"/>
  <c r="M78" i="155"/>
  <c r="L78" i="155"/>
  <c r="K78" i="155"/>
  <c r="J78" i="155"/>
  <c r="I78" i="155"/>
  <c r="H78" i="155"/>
  <c r="G78" i="155"/>
  <c r="F78" i="155"/>
  <c r="E78" i="155"/>
  <c r="D78" i="155"/>
  <c r="C78" i="155"/>
  <c r="Z77" i="155"/>
  <c r="Y77" i="155"/>
  <c r="X77" i="155"/>
  <c r="W77" i="155"/>
  <c r="V77" i="155"/>
  <c r="U77" i="155"/>
  <c r="T77" i="155"/>
  <c r="S77" i="155"/>
  <c r="R77" i="155"/>
  <c r="Q77" i="155"/>
  <c r="P77" i="155"/>
  <c r="O77" i="155"/>
  <c r="N77" i="155"/>
  <c r="N76" i="155"/>
  <c r="M76" i="155"/>
  <c r="L76" i="155"/>
  <c r="K76" i="155"/>
  <c r="J76" i="155"/>
  <c r="I76" i="155"/>
  <c r="H76" i="155"/>
  <c r="G76" i="155"/>
  <c r="F76" i="155"/>
  <c r="E76" i="155"/>
  <c r="D76" i="155"/>
  <c r="C76" i="155"/>
  <c r="Z75" i="155"/>
  <c r="Y75" i="155"/>
  <c r="X75" i="155"/>
  <c r="W75" i="155"/>
  <c r="V75" i="155"/>
  <c r="U75" i="155"/>
  <c r="T75" i="155"/>
  <c r="S75" i="155"/>
  <c r="R75" i="155"/>
  <c r="Q75" i="155"/>
  <c r="P75" i="155"/>
  <c r="O75" i="155"/>
  <c r="N75" i="155"/>
  <c r="N74" i="155"/>
  <c r="M74" i="155"/>
  <c r="L74" i="155"/>
  <c r="K74" i="155"/>
  <c r="J74" i="155"/>
  <c r="I74" i="155"/>
  <c r="H74" i="155"/>
  <c r="G74" i="155"/>
  <c r="F74" i="155"/>
  <c r="E74" i="155"/>
  <c r="D74" i="155"/>
  <c r="C74" i="155"/>
  <c r="Z73" i="155"/>
  <c r="Y73" i="155"/>
  <c r="X73" i="155"/>
  <c r="W73" i="155"/>
  <c r="V73" i="155"/>
  <c r="U73" i="155"/>
  <c r="T73" i="155"/>
  <c r="S73" i="155"/>
  <c r="R73" i="155"/>
  <c r="Q73" i="155"/>
  <c r="P73" i="155"/>
  <c r="O73" i="155"/>
  <c r="N73" i="155"/>
  <c r="N72" i="155"/>
  <c r="M72" i="155"/>
  <c r="L72" i="155"/>
  <c r="K72" i="155"/>
  <c r="J72" i="155"/>
  <c r="I72" i="155"/>
  <c r="H72" i="155"/>
  <c r="G72" i="155"/>
  <c r="F72" i="155"/>
  <c r="E72" i="155"/>
  <c r="D72" i="155"/>
  <c r="C72" i="155"/>
  <c r="Z71" i="155"/>
  <c r="Y71" i="155"/>
  <c r="X71" i="155"/>
  <c r="W71" i="155"/>
  <c r="V71" i="155"/>
  <c r="U71" i="155"/>
  <c r="T71" i="155"/>
  <c r="S71" i="155"/>
  <c r="R71" i="155"/>
  <c r="Q71" i="155"/>
  <c r="P71" i="155"/>
  <c r="O71" i="155"/>
  <c r="N71" i="155"/>
  <c r="M71" i="155"/>
  <c r="L71" i="155"/>
  <c r="K71" i="155"/>
  <c r="J71" i="155"/>
  <c r="I71" i="155"/>
  <c r="H71" i="155"/>
  <c r="G71" i="155"/>
  <c r="F71" i="155"/>
  <c r="E71" i="155"/>
  <c r="D71" i="155"/>
  <c r="C71" i="155"/>
  <c r="Z69" i="155"/>
  <c r="Y69" i="155"/>
  <c r="X69" i="155"/>
  <c r="W69" i="155"/>
  <c r="V69" i="155"/>
  <c r="U69" i="155"/>
  <c r="T69" i="155"/>
  <c r="S69" i="155"/>
  <c r="R69" i="155"/>
  <c r="Q69" i="155"/>
  <c r="P69" i="155"/>
  <c r="O69" i="155"/>
  <c r="N69" i="155"/>
  <c r="M69" i="155"/>
  <c r="L69" i="155"/>
  <c r="K69" i="155"/>
  <c r="J69" i="155"/>
  <c r="I69" i="155"/>
  <c r="H69" i="155"/>
  <c r="G69" i="155"/>
  <c r="F69" i="155"/>
  <c r="E69" i="155"/>
  <c r="D69" i="155"/>
  <c r="C69" i="155"/>
  <c r="Z68" i="155"/>
  <c r="Y68" i="155"/>
  <c r="X68" i="155"/>
  <c r="W68" i="155"/>
  <c r="V68" i="155"/>
  <c r="U68" i="155"/>
  <c r="T68" i="155"/>
  <c r="S68" i="155"/>
  <c r="R68" i="155"/>
  <c r="Q68" i="155"/>
  <c r="P68" i="155"/>
  <c r="O68" i="155"/>
  <c r="N68" i="155"/>
  <c r="M68" i="155"/>
  <c r="L68" i="155"/>
  <c r="K68" i="155"/>
  <c r="J68" i="155"/>
  <c r="I68" i="155"/>
  <c r="H68" i="155"/>
  <c r="G68" i="155"/>
  <c r="F68" i="155"/>
  <c r="E68" i="155"/>
  <c r="D68" i="155"/>
  <c r="C68" i="155"/>
  <c r="Z67" i="155"/>
  <c r="Y67" i="155"/>
  <c r="X67" i="155"/>
  <c r="W67" i="155"/>
  <c r="V67" i="155"/>
  <c r="U67" i="155"/>
  <c r="T67" i="155"/>
  <c r="S67" i="155"/>
  <c r="R67" i="155"/>
  <c r="Q67" i="155"/>
  <c r="P67" i="155"/>
  <c r="O67" i="155"/>
  <c r="N67" i="155"/>
  <c r="M67" i="155"/>
  <c r="L67" i="155"/>
  <c r="K67" i="155"/>
  <c r="J67" i="155"/>
  <c r="I67" i="155"/>
  <c r="H67" i="155"/>
  <c r="G67" i="155"/>
  <c r="F67" i="155"/>
  <c r="E67" i="155"/>
  <c r="D67" i="155"/>
  <c r="C67" i="155"/>
  <c r="Z65" i="155"/>
  <c r="Y65" i="155"/>
  <c r="X65" i="155"/>
  <c r="W65" i="155"/>
  <c r="V65" i="155"/>
  <c r="U65" i="155"/>
  <c r="T65" i="155"/>
  <c r="S65" i="155"/>
  <c r="R65" i="155"/>
  <c r="Q65" i="155"/>
  <c r="P65" i="155"/>
  <c r="O65" i="155"/>
  <c r="N65" i="155"/>
  <c r="M65" i="155"/>
  <c r="L65" i="155"/>
  <c r="K65" i="155"/>
  <c r="J65" i="155"/>
  <c r="I65" i="155"/>
  <c r="H65" i="155"/>
  <c r="G65" i="155"/>
  <c r="F65" i="155"/>
  <c r="E65" i="155"/>
  <c r="D65" i="155"/>
  <c r="C65" i="155"/>
  <c r="Z64" i="155"/>
  <c r="Y64" i="155"/>
  <c r="X64" i="155"/>
  <c r="W64" i="155"/>
  <c r="V64" i="155"/>
  <c r="U64" i="155"/>
  <c r="T64" i="155"/>
  <c r="S64" i="155"/>
  <c r="R64" i="155"/>
  <c r="Q64" i="155"/>
  <c r="P64" i="155"/>
  <c r="O64" i="155"/>
  <c r="N64" i="155"/>
  <c r="M64" i="155"/>
  <c r="L64" i="155"/>
  <c r="K64" i="155"/>
  <c r="J64" i="155"/>
  <c r="I64" i="155"/>
  <c r="H64" i="155"/>
  <c r="G64" i="155"/>
  <c r="F64" i="155"/>
  <c r="E64" i="155"/>
  <c r="D64" i="155"/>
  <c r="C64" i="155"/>
  <c r="Z63" i="155"/>
  <c r="Y63" i="155"/>
  <c r="X63" i="155"/>
  <c r="W63" i="155"/>
  <c r="V63" i="155"/>
  <c r="U63" i="155"/>
  <c r="T63" i="155"/>
  <c r="S63" i="155"/>
  <c r="R63" i="155"/>
  <c r="Q63" i="155"/>
  <c r="P63" i="155"/>
  <c r="O63" i="155"/>
  <c r="N63" i="155"/>
  <c r="M63" i="155"/>
  <c r="L63" i="155"/>
  <c r="K63" i="155"/>
  <c r="J63" i="155"/>
  <c r="I63" i="155"/>
  <c r="H63" i="155"/>
  <c r="G63" i="155"/>
  <c r="F63" i="155"/>
  <c r="E63" i="155"/>
  <c r="D63" i="155"/>
  <c r="C63" i="155"/>
  <c r="Z62" i="155"/>
  <c r="Y62" i="155"/>
  <c r="X62" i="155"/>
  <c r="W62" i="155"/>
  <c r="V62" i="155"/>
  <c r="U62" i="155"/>
  <c r="T62" i="155"/>
  <c r="S62" i="155"/>
  <c r="R62" i="155"/>
  <c r="Q62" i="155"/>
  <c r="P62" i="155"/>
  <c r="O62" i="155"/>
  <c r="N62" i="155"/>
  <c r="M62" i="155"/>
  <c r="L62" i="155"/>
  <c r="K62" i="155"/>
  <c r="J62" i="155"/>
  <c r="I62" i="155"/>
  <c r="H62" i="155"/>
  <c r="G62" i="155"/>
  <c r="F62" i="155"/>
  <c r="E62" i="155"/>
  <c r="D62" i="155"/>
  <c r="C62" i="155"/>
  <c r="Z59" i="155"/>
  <c r="Y59" i="155"/>
  <c r="X59" i="155"/>
  <c r="W59" i="155"/>
  <c r="V59" i="155"/>
  <c r="U59" i="155"/>
  <c r="T59" i="155"/>
  <c r="S59" i="155"/>
  <c r="R59" i="155"/>
  <c r="Q59" i="155"/>
  <c r="P59" i="155"/>
  <c r="O59" i="155"/>
  <c r="N59" i="155"/>
  <c r="M59" i="155"/>
  <c r="L59" i="155"/>
  <c r="K59" i="155"/>
  <c r="J59" i="155"/>
  <c r="I59" i="155"/>
  <c r="H59" i="155"/>
  <c r="G59" i="155"/>
  <c r="F59" i="155"/>
  <c r="E59" i="155"/>
  <c r="D59" i="155"/>
  <c r="C59" i="155"/>
  <c r="Z58" i="155"/>
  <c r="Y58" i="155"/>
  <c r="X58" i="155"/>
  <c r="W58" i="155"/>
  <c r="V58" i="155"/>
  <c r="U58" i="155"/>
  <c r="T58" i="155"/>
  <c r="S58" i="155"/>
  <c r="R58" i="155"/>
  <c r="Q58" i="155"/>
  <c r="P58" i="155"/>
  <c r="O58" i="155"/>
  <c r="N58" i="155"/>
  <c r="M58" i="155"/>
  <c r="L58" i="155"/>
  <c r="K58" i="155"/>
  <c r="J58" i="155"/>
  <c r="I58" i="155"/>
  <c r="H58" i="155"/>
  <c r="G58" i="155"/>
  <c r="F58" i="155"/>
  <c r="E58" i="155"/>
  <c r="D58" i="155"/>
  <c r="C58" i="155"/>
  <c r="Z57" i="155"/>
  <c r="Y57" i="155"/>
  <c r="X57" i="155"/>
  <c r="W57" i="155"/>
  <c r="V57" i="155"/>
  <c r="U57" i="155"/>
  <c r="T57" i="155"/>
  <c r="S57" i="155"/>
  <c r="R57" i="155"/>
  <c r="Q57" i="155"/>
  <c r="P57" i="155"/>
  <c r="O57" i="155"/>
  <c r="N57" i="155"/>
  <c r="M57" i="155"/>
  <c r="L57" i="155"/>
  <c r="K57" i="155"/>
  <c r="J57" i="155"/>
  <c r="I57" i="155"/>
  <c r="H57" i="155"/>
  <c r="G57" i="155"/>
  <c r="F57" i="155"/>
  <c r="E57" i="155"/>
  <c r="D57" i="155"/>
  <c r="C57" i="155"/>
  <c r="Z56" i="155"/>
  <c r="Y56" i="155"/>
  <c r="X56" i="155"/>
  <c r="W56" i="155"/>
  <c r="V56" i="155"/>
  <c r="U56" i="155"/>
  <c r="T56" i="155"/>
  <c r="S56" i="155"/>
  <c r="R56" i="155"/>
  <c r="Q56" i="155"/>
  <c r="P56" i="155"/>
  <c r="O56" i="155"/>
  <c r="N56" i="155"/>
  <c r="M56" i="155"/>
  <c r="L56" i="155"/>
  <c r="K56" i="155"/>
  <c r="J56" i="155"/>
  <c r="I56" i="155"/>
  <c r="H56" i="155"/>
  <c r="G56" i="155"/>
  <c r="F56" i="155"/>
  <c r="E56" i="155"/>
  <c r="D56" i="155"/>
  <c r="C56" i="155"/>
  <c r="Z53" i="155"/>
  <c r="Y53" i="155"/>
  <c r="X53" i="155"/>
  <c r="W53" i="155"/>
  <c r="V53" i="155"/>
  <c r="U53" i="155"/>
  <c r="T53" i="155"/>
  <c r="S53" i="155"/>
  <c r="R53" i="155"/>
  <c r="Q53" i="155"/>
  <c r="P53" i="155"/>
  <c r="O53" i="155"/>
  <c r="N53" i="155"/>
  <c r="M53" i="155"/>
  <c r="L53" i="155"/>
  <c r="K53" i="155"/>
  <c r="J53" i="155"/>
  <c r="I53" i="155"/>
  <c r="H53" i="155"/>
  <c r="G53" i="155"/>
  <c r="F53" i="155"/>
  <c r="E53" i="155"/>
  <c r="D53" i="155"/>
  <c r="C53" i="155"/>
  <c r="Z52" i="155"/>
  <c r="Y52" i="155"/>
  <c r="X52" i="155"/>
  <c r="W52" i="155"/>
  <c r="V52" i="155"/>
  <c r="U52" i="155"/>
  <c r="T52" i="155"/>
  <c r="S52" i="155"/>
  <c r="R52" i="155"/>
  <c r="Q52" i="155"/>
  <c r="P52" i="155"/>
  <c r="O52" i="155"/>
  <c r="N52" i="155"/>
  <c r="M52" i="155"/>
  <c r="L52" i="155"/>
  <c r="K52" i="155"/>
  <c r="J52" i="155"/>
  <c r="I52" i="155"/>
  <c r="H52" i="155"/>
  <c r="G52" i="155"/>
  <c r="F52" i="155"/>
  <c r="E52" i="155"/>
  <c r="D52" i="155"/>
  <c r="C52" i="155"/>
  <c r="Z51" i="155"/>
  <c r="Y51" i="155"/>
  <c r="X51" i="155"/>
  <c r="W51" i="155"/>
  <c r="V51" i="155"/>
  <c r="U51" i="155"/>
  <c r="T51" i="155"/>
  <c r="S51" i="155"/>
  <c r="R51" i="155"/>
  <c r="Q51" i="155"/>
  <c r="P51" i="155"/>
  <c r="O51" i="155"/>
  <c r="N51" i="155"/>
  <c r="M51" i="155"/>
  <c r="L51" i="155"/>
  <c r="K51" i="155"/>
  <c r="J51" i="155"/>
  <c r="I51" i="155"/>
  <c r="H51" i="155"/>
  <c r="G51" i="155"/>
  <c r="F51" i="155"/>
  <c r="E51" i="155"/>
  <c r="D51" i="155"/>
  <c r="C51" i="155"/>
  <c r="Z50" i="155"/>
  <c r="Y50" i="155"/>
  <c r="X50" i="155"/>
  <c r="W50" i="155"/>
  <c r="V50" i="155"/>
  <c r="U50" i="155"/>
  <c r="T50" i="155"/>
  <c r="S50" i="155"/>
  <c r="R50" i="155"/>
  <c r="Q50" i="155"/>
  <c r="P50" i="155"/>
  <c r="O50" i="155"/>
  <c r="N50" i="155"/>
  <c r="M50" i="155"/>
  <c r="L50" i="155"/>
  <c r="K50" i="155"/>
  <c r="J50" i="155"/>
  <c r="I50" i="155"/>
  <c r="H50" i="155"/>
  <c r="G50" i="155"/>
  <c r="F50" i="155"/>
  <c r="E50" i="155"/>
  <c r="D50" i="155"/>
  <c r="C50" i="155"/>
  <c r="Z47" i="155"/>
  <c r="Y47" i="155"/>
  <c r="X47" i="155"/>
  <c r="W47" i="155"/>
  <c r="V47" i="155"/>
  <c r="U47" i="155"/>
  <c r="T47" i="155"/>
  <c r="S47" i="155"/>
  <c r="R47" i="155"/>
  <c r="Q47" i="155"/>
  <c r="P47" i="155"/>
  <c r="O47" i="155"/>
  <c r="N47" i="155"/>
  <c r="M47" i="155"/>
  <c r="L47" i="155"/>
  <c r="K47" i="155"/>
  <c r="J47" i="155"/>
  <c r="I47" i="155"/>
  <c r="H47" i="155"/>
  <c r="G47" i="155"/>
  <c r="F47" i="155"/>
  <c r="E47" i="155"/>
  <c r="D47" i="155"/>
  <c r="C47" i="155"/>
  <c r="Z46" i="155"/>
  <c r="Y46" i="155"/>
  <c r="X46" i="155"/>
  <c r="W46" i="155"/>
  <c r="V46" i="155"/>
  <c r="U46" i="155"/>
  <c r="T46" i="155"/>
  <c r="S46" i="155"/>
  <c r="R46" i="155"/>
  <c r="Q46" i="155"/>
  <c r="P46" i="155"/>
  <c r="O46" i="155"/>
  <c r="N46" i="155"/>
  <c r="M46" i="155"/>
  <c r="L46" i="155"/>
  <c r="K46" i="155"/>
  <c r="J46" i="155"/>
  <c r="I46" i="155"/>
  <c r="H46" i="155"/>
  <c r="G46" i="155"/>
  <c r="F46" i="155"/>
  <c r="E46" i="155"/>
  <c r="D46" i="155"/>
  <c r="C46" i="155"/>
  <c r="Z45" i="155"/>
  <c r="Y45" i="155"/>
  <c r="X45" i="155"/>
  <c r="W45" i="155"/>
  <c r="V45" i="155"/>
  <c r="U45" i="155"/>
  <c r="T45" i="155"/>
  <c r="S45" i="155"/>
  <c r="R45" i="155"/>
  <c r="Q45" i="155"/>
  <c r="P45" i="155"/>
  <c r="O45" i="155"/>
  <c r="N45" i="155"/>
  <c r="M45" i="155"/>
  <c r="L45" i="155"/>
  <c r="K45" i="155"/>
  <c r="J45" i="155"/>
  <c r="I45" i="155"/>
  <c r="H45" i="155"/>
  <c r="G45" i="155"/>
  <c r="F45" i="155"/>
  <c r="E45" i="155"/>
  <c r="D45" i="155"/>
  <c r="C45" i="155"/>
  <c r="Z44" i="155"/>
  <c r="Y44" i="155"/>
  <c r="X44" i="155"/>
  <c r="W44" i="155"/>
  <c r="V44" i="155"/>
  <c r="U44" i="155"/>
  <c r="T44" i="155"/>
  <c r="S44" i="155"/>
  <c r="R44" i="155"/>
  <c r="Q44" i="155"/>
  <c r="P44" i="155"/>
  <c r="O44" i="155"/>
  <c r="N44" i="155"/>
  <c r="M44" i="155"/>
  <c r="L44" i="155"/>
  <c r="K44" i="155"/>
  <c r="J44" i="155"/>
  <c r="I44" i="155"/>
  <c r="H44" i="155"/>
  <c r="G44" i="155"/>
  <c r="F44" i="155"/>
  <c r="E44" i="155"/>
  <c r="D44" i="155"/>
  <c r="C44" i="155"/>
  <c r="Z41" i="155"/>
  <c r="Y41" i="155"/>
  <c r="X41" i="155"/>
  <c r="W41" i="155"/>
  <c r="V41" i="155"/>
  <c r="U41" i="155"/>
  <c r="T41" i="155"/>
  <c r="S41" i="155"/>
  <c r="R41" i="155"/>
  <c r="Q41" i="155"/>
  <c r="P41" i="155"/>
  <c r="O41" i="155"/>
  <c r="N41" i="155"/>
  <c r="M41" i="155"/>
  <c r="L41" i="155"/>
  <c r="K41" i="155"/>
  <c r="J41" i="155"/>
  <c r="I41" i="155"/>
  <c r="H41" i="155"/>
  <c r="G41" i="155"/>
  <c r="F41" i="155"/>
  <c r="E41" i="155"/>
  <c r="D41" i="155"/>
  <c r="C41" i="155"/>
  <c r="Z40" i="155"/>
  <c r="Y40" i="155"/>
  <c r="X40" i="155"/>
  <c r="W40" i="155"/>
  <c r="V40" i="155"/>
  <c r="U40" i="155"/>
  <c r="T40" i="155"/>
  <c r="S40" i="155"/>
  <c r="R40" i="155"/>
  <c r="Q40" i="155"/>
  <c r="P40" i="155"/>
  <c r="O40" i="155"/>
  <c r="N40" i="155"/>
  <c r="M40" i="155"/>
  <c r="L40" i="155"/>
  <c r="K40" i="155"/>
  <c r="J40" i="155"/>
  <c r="I40" i="155"/>
  <c r="H40" i="155"/>
  <c r="G40" i="155"/>
  <c r="F40" i="155"/>
  <c r="E40" i="155"/>
  <c r="D40" i="155"/>
  <c r="C40" i="155"/>
  <c r="Z39" i="155"/>
  <c r="Y39" i="155"/>
  <c r="X39" i="155"/>
  <c r="W39" i="155"/>
  <c r="V39" i="155"/>
  <c r="U39" i="155"/>
  <c r="T39" i="155"/>
  <c r="S39" i="155"/>
  <c r="R39" i="155"/>
  <c r="Q39" i="155"/>
  <c r="P39" i="155"/>
  <c r="O39" i="155"/>
  <c r="N39" i="155"/>
  <c r="M39" i="155"/>
  <c r="L39" i="155"/>
  <c r="K39" i="155"/>
  <c r="J39" i="155"/>
  <c r="I39" i="155"/>
  <c r="H39" i="155"/>
  <c r="G39" i="155"/>
  <c r="F39" i="155"/>
  <c r="E39" i="155"/>
  <c r="D39" i="155"/>
  <c r="C39" i="155"/>
  <c r="Z38" i="155"/>
  <c r="Y38" i="155"/>
  <c r="X38" i="155"/>
  <c r="W38" i="155"/>
  <c r="V38" i="155"/>
  <c r="U38" i="155"/>
  <c r="T38" i="155"/>
  <c r="S38" i="155"/>
  <c r="R38" i="155"/>
  <c r="Q38" i="155"/>
  <c r="P38" i="155"/>
  <c r="O38" i="155"/>
  <c r="N38" i="155"/>
  <c r="M38" i="155"/>
  <c r="L38" i="155"/>
  <c r="K38" i="155"/>
  <c r="J38" i="155"/>
  <c r="I38" i="155"/>
  <c r="H38" i="155"/>
  <c r="G38" i="155"/>
  <c r="F38" i="155"/>
  <c r="E38" i="155"/>
  <c r="D38" i="155"/>
  <c r="C38" i="155"/>
  <c r="A1" i="155"/>
  <c r="A1" i="85"/>
  <c r="A1" i="103"/>
  <c r="E342" i="95"/>
  <c r="D342" i="95"/>
  <c r="E268" i="108" s="1"/>
  <c r="D341" i="95"/>
  <c r="E341" i="95" s="1"/>
  <c r="E340" i="95"/>
  <c r="D340" i="95"/>
  <c r="E266" i="108" s="1"/>
  <c r="D339" i="95"/>
  <c r="E339" i="95" s="1"/>
  <c r="E338" i="95"/>
  <c r="D338" i="95"/>
  <c r="E264" i="108" s="1"/>
  <c r="D337" i="95"/>
  <c r="E337" i="95" s="1"/>
  <c r="E336" i="95"/>
  <c r="D336" i="95"/>
  <c r="E262" i="108" s="1"/>
  <c r="D335" i="95"/>
  <c r="E335" i="95" s="1"/>
  <c r="E334" i="95"/>
  <c r="D334" i="95"/>
  <c r="E260" i="108" s="1"/>
  <c r="D333" i="95"/>
  <c r="E333" i="95" s="1"/>
  <c r="E332" i="95"/>
  <c r="D332" i="95"/>
  <c r="E258" i="108" s="1"/>
  <c r="D331" i="95"/>
  <c r="E331" i="95" s="1"/>
  <c r="E330" i="95"/>
  <c r="D330" i="95"/>
  <c r="E256" i="108" s="1"/>
  <c r="D329" i="95"/>
  <c r="E329" i="95" s="1"/>
  <c r="E328" i="95"/>
  <c r="D328" i="95"/>
  <c r="E254" i="108" s="1"/>
  <c r="D327" i="95"/>
  <c r="E327" i="95" s="1"/>
  <c r="E326" i="95"/>
  <c r="D326" i="95"/>
  <c r="E252" i="108" s="1"/>
  <c r="D325" i="95"/>
  <c r="E325" i="95" s="1"/>
  <c r="E324" i="95"/>
  <c r="D324" i="95"/>
  <c r="E250" i="108" s="1"/>
  <c r="D323" i="95"/>
  <c r="D221" i="108" s="1"/>
  <c r="J296" i="95"/>
  <c r="I296" i="95"/>
  <c r="H296" i="95"/>
  <c r="J295" i="95"/>
  <c r="I295" i="95"/>
  <c r="J195" i="108" s="1"/>
  <c r="F195" i="108" s="1"/>
  <c r="F176" i="108" s="1"/>
  <c r="G41" i="211" s="1"/>
  <c r="C199" i="211" s="1"/>
  <c r="D199" i="211" s="1"/>
  <c r="E199" i="211" s="1"/>
  <c r="F199" i="211" s="1"/>
  <c r="G199" i="211" s="1"/>
  <c r="H199" i="211" s="1"/>
  <c r="I199" i="211" s="1"/>
  <c r="J199" i="211" s="1"/>
  <c r="K199" i="211" s="1"/>
  <c r="L199" i="211" s="1"/>
  <c r="H295" i="95"/>
  <c r="I195" i="108" s="1"/>
  <c r="E195" i="108" s="1"/>
  <c r="E176" i="108" s="1"/>
  <c r="F41" i="211" s="1"/>
  <c r="C175" i="211" s="1"/>
  <c r="D175" i="211" s="1"/>
  <c r="E175" i="211" s="1"/>
  <c r="F175" i="211" s="1"/>
  <c r="G175" i="211" s="1"/>
  <c r="H175" i="211" s="1"/>
  <c r="I175" i="211" s="1"/>
  <c r="J175" i="211" s="1"/>
  <c r="K175" i="211" s="1"/>
  <c r="L175" i="211" s="1"/>
  <c r="G295" i="95"/>
  <c r="H195" i="108" s="1"/>
  <c r="D195" i="108" s="1"/>
  <c r="D176" i="108" s="1"/>
  <c r="C138" i="209" s="1"/>
  <c r="J294" i="95"/>
  <c r="G148" i="108" s="1"/>
  <c r="G147" i="108" s="1"/>
  <c r="H22" i="211" s="1"/>
  <c r="C204" i="211" s="1"/>
  <c r="D204" i="211" s="1"/>
  <c r="E204" i="211" s="1"/>
  <c r="F204" i="211" s="1"/>
  <c r="G204" i="211" s="1"/>
  <c r="H204" i="211" s="1"/>
  <c r="I204" i="211" s="1"/>
  <c r="J204" i="211" s="1"/>
  <c r="K204" i="211" s="1"/>
  <c r="L204" i="211" s="1"/>
  <c r="I294" i="95"/>
  <c r="F148" i="108" s="1"/>
  <c r="F147" i="108" s="1"/>
  <c r="G22" i="211" s="1"/>
  <c r="C180" i="211" s="1"/>
  <c r="D180" i="211" s="1"/>
  <c r="E180" i="211" s="1"/>
  <c r="F180" i="211" s="1"/>
  <c r="G180" i="211" s="1"/>
  <c r="H180" i="211" s="1"/>
  <c r="I180" i="211" s="1"/>
  <c r="J180" i="211" s="1"/>
  <c r="K180" i="211" s="1"/>
  <c r="L180" i="211" s="1"/>
  <c r="H294" i="95"/>
  <c r="E148" i="108" s="1"/>
  <c r="E147" i="108" s="1"/>
  <c r="F22" i="211" s="1"/>
  <c r="C156" i="211" s="1"/>
  <c r="D156" i="211" s="1"/>
  <c r="E156" i="211" s="1"/>
  <c r="F156" i="211" s="1"/>
  <c r="G156" i="211" s="1"/>
  <c r="H156" i="211" s="1"/>
  <c r="I156" i="211" s="1"/>
  <c r="J156" i="211" s="1"/>
  <c r="K156" i="211" s="1"/>
  <c r="L156" i="211" s="1"/>
  <c r="G294" i="95"/>
  <c r="J293" i="95"/>
  <c r="I293" i="95"/>
  <c r="J194" i="108" s="1"/>
  <c r="F194" i="108" s="1"/>
  <c r="F175" i="108" s="1"/>
  <c r="G40" i="211" s="1"/>
  <c r="C198" i="211" s="1"/>
  <c r="D198" i="211" s="1"/>
  <c r="E198" i="211" s="1"/>
  <c r="F198" i="211" s="1"/>
  <c r="G198" i="211" s="1"/>
  <c r="H198" i="211" s="1"/>
  <c r="I198" i="211" s="1"/>
  <c r="J198" i="211" s="1"/>
  <c r="K198" i="211" s="1"/>
  <c r="L198" i="211" s="1"/>
  <c r="H293" i="95"/>
  <c r="I194" i="108" s="1"/>
  <c r="E194" i="108" s="1"/>
  <c r="E175" i="108" s="1"/>
  <c r="F40" i="211" s="1"/>
  <c r="C174" i="211" s="1"/>
  <c r="D174" i="211" s="1"/>
  <c r="E174" i="211" s="1"/>
  <c r="F174" i="211" s="1"/>
  <c r="G174" i="211" s="1"/>
  <c r="H174" i="211" s="1"/>
  <c r="I174" i="211" s="1"/>
  <c r="J174" i="211" s="1"/>
  <c r="K174" i="211" s="1"/>
  <c r="L174" i="211" s="1"/>
  <c r="G293" i="95"/>
  <c r="H194" i="108" s="1"/>
  <c r="D194" i="108" s="1"/>
  <c r="D175" i="108" s="1"/>
  <c r="C137" i="209" s="1"/>
  <c r="J292" i="95"/>
  <c r="I292" i="95"/>
  <c r="J193" i="108" s="1"/>
  <c r="F193" i="108" s="1"/>
  <c r="F174" i="108" s="1"/>
  <c r="G39" i="211" s="1"/>
  <c r="C197" i="211" s="1"/>
  <c r="D197" i="211" s="1"/>
  <c r="E197" i="211" s="1"/>
  <c r="F197" i="211" s="1"/>
  <c r="G197" i="211" s="1"/>
  <c r="H197" i="211" s="1"/>
  <c r="I197" i="211" s="1"/>
  <c r="J197" i="211" s="1"/>
  <c r="K197" i="211" s="1"/>
  <c r="L197" i="211" s="1"/>
  <c r="H292" i="95"/>
  <c r="I193" i="108" s="1"/>
  <c r="E193" i="108" s="1"/>
  <c r="E174" i="108" s="1"/>
  <c r="F39" i="211" s="1"/>
  <c r="C173" i="211" s="1"/>
  <c r="D173" i="211" s="1"/>
  <c r="E173" i="211" s="1"/>
  <c r="F173" i="211" s="1"/>
  <c r="G173" i="211" s="1"/>
  <c r="H173" i="211" s="1"/>
  <c r="I173" i="211" s="1"/>
  <c r="J173" i="211" s="1"/>
  <c r="K173" i="211" s="1"/>
  <c r="L173" i="211" s="1"/>
  <c r="G292" i="95"/>
  <c r="H193" i="108" s="1"/>
  <c r="D193" i="108" s="1"/>
  <c r="D174" i="108" s="1"/>
  <c r="C136" i="209" s="1"/>
  <c r="J291" i="95"/>
  <c r="I291" i="95"/>
  <c r="J192" i="108" s="1"/>
  <c r="F192" i="108" s="1"/>
  <c r="F173" i="108" s="1"/>
  <c r="G38" i="211" s="1"/>
  <c r="C196" i="211" s="1"/>
  <c r="D196" i="211" s="1"/>
  <c r="E196" i="211" s="1"/>
  <c r="F196" i="211" s="1"/>
  <c r="G196" i="211" s="1"/>
  <c r="H196" i="211" s="1"/>
  <c r="I196" i="211" s="1"/>
  <c r="J196" i="211" s="1"/>
  <c r="K196" i="211" s="1"/>
  <c r="L196" i="211" s="1"/>
  <c r="H291" i="95"/>
  <c r="I192" i="108" s="1"/>
  <c r="E192" i="108" s="1"/>
  <c r="E173" i="108" s="1"/>
  <c r="F38" i="211" s="1"/>
  <c r="C172" i="211" s="1"/>
  <c r="D172" i="211" s="1"/>
  <c r="E172" i="211" s="1"/>
  <c r="F172" i="211" s="1"/>
  <c r="G172" i="211" s="1"/>
  <c r="H172" i="211" s="1"/>
  <c r="I172" i="211" s="1"/>
  <c r="J172" i="211" s="1"/>
  <c r="K172" i="211" s="1"/>
  <c r="L172" i="211" s="1"/>
  <c r="G291" i="95"/>
  <c r="H192" i="108" s="1"/>
  <c r="D192" i="108" s="1"/>
  <c r="D173" i="108" s="1"/>
  <c r="C135" i="209" s="1"/>
  <c r="J290" i="95"/>
  <c r="I290" i="95"/>
  <c r="J191" i="108" s="1"/>
  <c r="F191" i="108" s="1"/>
  <c r="F172" i="108" s="1"/>
  <c r="G37" i="211" s="1"/>
  <c r="C195" i="211" s="1"/>
  <c r="D195" i="211" s="1"/>
  <c r="E195" i="211" s="1"/>
  <c r="F195" i="211" s="1"/>
  <c r="G195" i="211" s="1"/>
  <c r="H195" i="211" s="1"/>
  <c r="I195" i="211" s="1"/>
  <c r="J195" i="211" s="1"/>
  <c r="K195" i="211" s="1"/>
  <c r="L195" i="211" s="1"/>
  <c r="H290" i="95"/>
  <c r="I191" i="108" s="1"/>
  <c r="E191" i="108" s="1"/>
  <c r="E172" i="108" s="1"/>
  <c r="F37" i="211" s="1"/>
  <c r="C171" i="211" s="1"/>
  <c r="D171" i="211" s="1"/>
  <c r="E171" i="211" s="1"/>
  <c r="F171" i="211" s="1"/>
  <c r="G171" i="211" s="1"/>
  <c r="H171" i="211" s="1"/>
  <c r="I171" i="211" s="1"/>
  <c r="J171" i="211" s="1"/>
  <c r="K171" i="211" s="1"/>
  <c r="L171" i="211" s="1"/>
  <c r="G290" i="95"/>
  <c r="H191" i="108" s="1"/>
  <c r="D191" i="108" s="1"/>
  <c r="D172" i="108" s="1"/>
  <c r="C134" i="209" s="1"/>
  <c r="J289" i="95"/>
  <c r="I289" i="95"/>
  <c r="J190" i="108" s="1"/>
  <c r="F190" i="108" s="1"/>
  <c r="F171" i="108" s="1"/>
  <c r="G36" i="211" s="1"/>
  <c r="C194" i="211" s="1"/>
  <c r="D194" i="211" s="1"/>
  <c r="E194" i="211" s="1"/>
  <c r="F194" i="211" s="1"/>
  <c r="G194" i="211" s="1"/>
  <c r="H194" i="211" s="1"/>
  <c r="I194" i="211" s="1"/>
  <c r="J194" i="211" s="1"/>
  <c r="K194" i="211" s="1"/>
  <c r="L194" i="211" s="1"/>
  <c r="H289" i="95"/>
  <c r="I190" i="108" s="1"/>
  <c r="E190" i="108" s="1"/>
  <c r="E171" i="108" s="1"/>
  <c r="F36" i="211" s="1"/>
  <c r="C170" i="211" s="1"/>
  <c r="D170" i="211" s="1"/>
  <c r="E170" i="211" s="1"/>
  <c r="F170" i="211" s="1"/>
  <c r="G170" i="211" s="1"/>
  <c r="H170" i="211" s="1"/>
  <c r="I170" i="211" s="1"/>
  <c r="J170" i="211" s="1"/>
  <c r="K170" i="211" s="1"/>
  <c r="L170" i="211" s="1"/>
  <c r="G289" i="95"/>
  <c r="H190" i="108" s="1"/>
  <c r="D190" i="108" s="1"/>
  <c r="D171" i="108" s="1"/>
  <c r="C133" i="209" s="1"/>
  <c r="J288" i="95"/>
  <c r="I288" i="95"/>
  <c r="J189" i="108" s="1"/>
  <c r="F189" i="108" s="1"/>
  <c r="F170" i="108" s="1"/>
  <c r="G35" i="211" s="1"/>
  <c r="C193" i="211" s="1"/>
  <c r="D193" i="211" s="1"/>
  <c r="E193" i="211" s="1"/>
  <c r="F193" i="211" s="1"/>
  <c r="G193" i="211" s="1"/>
  <c r="H193" i="211" s="1"/>
  <c r="I193" i="211" s="1"/>
  <c r="J193" i="211" s="1"/>
  <c r="K193" i="211" s="1"/>
  <c r="L193" i="211" s="1"/>
  <c r="H288" i="95"/>
  <c r="I189" i="108" s="1"/>
  <c r="E189" i="108" s="1"/>
  <c r="E170" i="108" s="1"/>
  <c r="F35" i="211" s="1"/>
  <c r="C169" i="211" s="1"/>
  <c r="D169" i="211" s="1"/>
  <c r="E169" i="211" s="1"/>
  <c r="F169" i="211" s="1"/>
  <c r="G169" i="211" s="1"/>
  <c r="H169" i="211" s="1"/>
  <c r="I169" i="211" s="1"/>
  <c r="J169" i="211" s="1"/>
  <c r="K169" i="211" s="1"/>
  <c r="L169" i="211" s="1"/>
  <c r="G288" i="95"/>
  <c r="H189" i="108" s="1"/>
  <c r="D189" i="108" s="1"/>
  <c r="D170" i="108" s="1"/>
  <c r="C132" i="209" s="1"/>
  <c r="J287" i="95"/>
  <c r="I287" i="95"/>
  <c r="J188" i="108" s="1"/>
  <c r="F188" i="108" s="1"/>
  <c r="F169" i="108" s="1"/>
  <c r="G34" i="211" s="1"/>
  <c r="C192" i="211" s="1"/>
  <c r="D192" i="211" s="1"/>
  <c r="E192" i="211" s="1"/>
  <c r="F192" i="211" s="1"/>
  <c r="G192" i="211" s="1"/>
  <c r="H192" i="211" s="1"/>
  <c r="I192" i="211" s="1"/>
  <c r="J192" i="211" s="1"/>
  <c r="K192" i="211" s="1"/>
  <c r="L192" i="211" s="1"/>
  <c r="H287" i="95"/>
  <c r="I188" i="108" s="1"/>
  <c r="E188" i="108" s="1"/>
  <c r="E169" i="108" s="1"/>
  <c r="F34" i="211" s="1"/>
  <c r="C168" i="211" s="1"/>
  <c r="D168" i="211" s="1"/>
  <c r="E168" i="211" s="1"/>
  <c r="F168" i="211" s="1"/>
  <c r="G168" i="211" s="1"/>
  <c r="H168" i="211" s="1"/>
  <c r="I168" i="211" s="1"/>
  <c r="J168" i="211" s="1"/>
  <c r="K168" i="211" s="1"/>
  <c r="L168" i="211" s="1"/>
  <c r="G287" i="95"/>
  <c r="H188" i="108" s="1"/>
  <c r="D188" i="108" s="1"/>
  <c r="D169" i="108" s="1"/>
  <c r="C131" i="209" s="1"/>
  <c r="J286" i="95"/>
  <c r="I286" i="95"/>
  <c r="J187" i="108" s="1"/>
  <c r="F187" i="108" s="1"/>
  <c r="F168" i="108" s="1"/>
  <c r="G33" i="211" s="1"/>
  <c r="C191" i="211" s="1"/>
  <c r="D191" i="211" s="1"/>
  <c r="E191" i="211" s="1"/>
  <c r="F191" i="211" s="1"/>
  <c r="G191" i="211" s="1"/>
  <c r="H191" i="211" s="1"/>
  <c r="I191" i="211" s="1"/>
  <c r="J191" i="211" s="1"/>
  <c r="K191" i="211" s="1"/>
  <c r="L191" i="211" s="1"/>
  <c r="H286" i="95"/>
  <c r="I187" i="108" s="1"/>
  <c r="E187" i="108" s="1"/>
  <c r="E168" i="108" s="1"/>
  <c r="F33" i="211" s="1"/>
  <c r="C167" i="211" s="1"/>
  <c r="D167" i="211" s="1"/>
  <c r="E167" i="211" s="1"/>
  <c r="F167" i="211" s="1"/>
  <c r="G167" i="211" s="1"/>
  <c r="H167" i="211" s="1"/>
  <c r="I167" i="211" s="1"/>
  <c r="J167" i="211" s="1"/>
  <c r="K167" i="211" s="1"/>
  <c r="L167" i="211" s="1"/>
  <c r="G286" i="95"/>
  <c r="H187" i="108" s="1"/>
  <c r="D187" i="108" s="1"/>
  <c r="D168" i="108" s="1"/>
  <c r="C130" i="209" s="1"/>
  <c r="J285" i="95"/>
  <c r="I285" i="95"/>
  <c r="J186" i="108" s="1"/>
  <c r="F186" i="108" s="1"/>
  <c r="F167" i="108" s="1"/>
  <c r="G32" i="211" s="1"/>
  <c r="C190" i="211" s="1"/>
  <c r="D190" i="211" s="1"/>
  <c r="E190" i="211" s="1"/>
  <c r="F190" i="211" s="1"/>
  <c r="G190" i="211" s="1"/>
  <c r="H190" i="211" s="1"/>
  <c r="I190" i="211" s="1"/>
  <c r="J190" i="211" s="1"/>
  <c r="K190" i="211" s="1"/>
  <c r="L190" i="211" s="1"/>
  <c r="H285" i="95"/>
  <c r="I186" i="108" s="1"/>
  <c r="E186" i="108" s="1"/>
  <c r="E167" i="108" s="1"/>
  <c r="F32" i="211" s="1"/>
  <c r="C166" i="211" s="1"/>
  <c r="D166" i="211" s="1"/>
  <c r="E166" i="211" s="1"/>
  <c r="F166" i="211" s="1"/>
  <c r="G166" i="211" s="1"/>
  <c r="H166" i="211" s="1"/>
  <c r="I166" i="211" s="1"/>
  <c r="J166" i="211" s="1"/>
  <c r="K166" i="211" s="1"/>
  <c r="L166" i="211" s="1"/>
  <c r="G285" i="95"/>
  <c r="H186" i="108" s="1"/>
  <c r="D186" i="108" s="1"/>
  <c r="D167" i="108" s="1"/>
  <c r="C129" i="209" s="1"/>
  <c r="J284" i="95"/>
  <c r="I284" i="95"/>
  <c r="J185" i="108" s="1"/>
  <c r="F185" i="108" s="1"/>
  <c r="F166" i="108" s="1"/>
  <c r="G31" i="211" s="1"/>
  <c r="C189" i="211" s="1"/>
  <c r="D189" i="211" s="1"/>
  <c r="E189" i="211" s="1"/>
  <c r="F189" i="211" s="1"/>
  <c r="G189" i="211" s="1"/>
  <c r="H189" i="211" s="1"/>
  <c r="I189" i="211" s="1"/>
  <c r="J189" i="211" s="1"/>
  <c r="K189" i="211" s="1"/>
  <c r="L189" i="211" s="1"/>
  <c r="H284" i="95"/>
  <c r="I185" i="108" s="1"/>
  <c r="E185" i="108" s="1"/>
  <c r="E166" i="108" s="1"/>
  <c r="F31" i="211" s="1"/>
  <c r="C165" i="211" s="1"/>
  <c r="D165" i="211" s="1"/>
  <c r="E165" i="211" s="1"/>
  <c r="F165" i="211" s="1"/>
  <c r="G165" i="211" s="1"/>
  <c r="H165" i="211" s="1"/>
  <c r="I165" i="211" s="1"/>
  <c r="J165" i="211" s="1"/>
  <c r="K165" i="211" s="1"/>
  <c r="L165" i="211" s="1"/>
  <c r="G284" i="95"/>
  <c r="H185" i="108" s="1"/>
  <c r="D185" i="108" s="1"/>
  <c r="D166" i="108" s="1"/>
  <c r="C128" i="209" s="1"/>
  <c r="J283" i="95"/>
  <c r="I283" i="95"/>
  <c r="J184" i="108" s="1"/>
  <c r="F184" i="108" s="1"/>
  <c r="F165" i="108" s="1"/>
  <c r="G30" i="211" s="1"/>
  <c r="C188" i="211" s="1"/>
  <c r="D188" i="211" s="1"/>
  <c r="E188" i="211" s="1"/>
  <c r="F188" i="211" s="1"/>
  <c r="G188" i="211" s="1"/>
  <c r="H188" i="211" s="1"/>
  <c r="I188" i="211" s="1"/>
  <c r="J188" i="211" s="1"/>
  <c r="K188" i="211" s="1"/>
  <c r="L188" i="211" s="1"/>
  <c r="H283" i="95"/>
  <c r="I184" i="108" s="1"/>
  <c r="E184" i="108" s="1"/>
  <c r="E165" i="108" s="1"/>
  <c r="F30" i="211" s="1"/>
  <c r="C164" i="211" s="1"/>
  <c r="D164" i="211" s="1"/>
  <c r="E164" i="211" s="1"/>
  <c r="F164" i="211" s="1"/>
  <c r="G164" i="211" s="1"/>
  <c r="H164" i="211" s="1"/>
  <c r="I164" i="211" s="1"/>
  <c r="J164" i="211" s="1"/>
  <c r="K164" i="211" s="1"/>
  <c r="L164" i="211" s="1"/>
  <c r="G283" i="95"/>
  <c r="H184" i="108" s="1"/>
  <c r="D184" i="108" s="1"/>
  <c r="D165" i="108" s="1"/>
  <c r="C127" i="209" s="1"/>
  <c r="J282" i="95"/>
  <c r="I282" i="95"/>
  <c r="J183" i="108" s="1"/>
  <c r="F183" i="108" s="1"/>
  <c r="F164" i="108" s="1"/>
  <c r="G29" i="211" s="1"/>
  <c r="C187" i="211" s="1"/>
  <c r="D187" i="211" s="1"/>
  <c r="E187" i="211" s="1"/>
  <c r="F187" i="211" s="1"/>
  <c r="G187" i="211" s="1"/>
  <c r="H187" i="211" s="1"/>
  <c r="I187" i="211" s="1"/>
  <c r="J187" i="211" s="1"/>
  <c r="K187" i="211" s="1"/>
  <c r="L187" i="211" s="1"/>
  <c r="H282" i="95"/>
  <c r="I183" i="108" s="1"/>
  <c r="E183" i="108" s="1"/>
  <c r="E164" i="108" s="1"/>
  <c r="F29" i="211" s="1"/>
  <c r="C163" i="211" s="1"/>
  <c r="D163" i="211" s="1"/>
  <c r="E163" i="211" s="1"/>
  <c r="F163" i="211" s="1"/>
  <c r="G163" i="211" s="1"/>
  <c r="H163" i="211" s="1"/>
  <c r="I163" i="211" s="1"/>
  <c r="J163" i="211" s="1"/>
  <c r="K163" i="211" s="1"/>
  <c r="L163" i="211" s="1"/>
  <c r="G282" i="95"/>
  <c r="H183" i="108" s="1"/>
  <c r="D183" i="108" s="1"/>
  <c r="D164" i="108" s="1"/>
  <c r="C126" i="209" s="1"/>
  <c r="J281" i="95"/>
  <c r="I281" i="95"/>
  <c r="J182" i="108" s="1"/>
  <c r="F182" i="108" s="1"/>
  <c r="F163" i="108" s="1"/>
  <c r="G28" i="211" s="1"/>
  <c r="C186" i="211" s="1"/>
  <c r="D186" i="211" s="1"/>
  <c r="E186" i="211" s="1"/>
  <c r="F186" i="211" s="1"/>
  <c r="G186" i="211" s="1"/>
  <c r="H186" i="211" s="1"/>
  <c r="I186" i="211" s="1"/>
  <c r="J186" i="211" s="1"/>
  <c r="K186" i="211" s="1"/>
  <c r="L186" i="211" s="1"/>
  <c r="H281" i="95"/>
  <c r="I182" i="108" s="1"/>
  <c r="E182" i="108" s="1"/>
  <c r="E163" i="108" s="1"/>
  <c r="F28" i="211" s="1"/>
  <c r="C162" i="211" s="1"/>
  <c r="D162" i="211" s="1"/>
  <c r="E162" i="211" s="1"/>
  <c r="F162" i="211" s="1"/>
  <c r="G162" i="211" s="1"/>
  <c r="H162" i="211" s="1"/>
  <c r="I162" i="211" s="1"/>
  <c r="J162" i="211" s="1"/>
  <c r="K162" i="211" s="1"/>
  <c r="L162" i="211" s="1"/>
  <c r="G281" i="95"/>
  <c r="H182" i="108" s="1"/>
  <c r="D182" i="108" s="1"/>
  <c r="D163" i="108" s="1"/>
  <c r="C125" i="209" s="1"/>
  <c r="J280" i="95"/>
  <c r="I280" i="95"/>
  <c r="J181" i="108" s="1"/>
  <c r="F181" i="108" s="1"/>
  <c r="F162" i="108" s="1"/>
  <c r="G27" i="211" s="1"/>
  <c r="C185" i="211" s="1"/>
  <c r="D185" i="211" s="1"/>
  <c r="E185" i="211" s="1"/>
  <c r="F185" i="211" s="1"/>
  <c r="G185" i="211" s="1"/>
  <c r="H185" i="211" s="1"/>
  <c r="I185" i="211" s="1"/>
  <c r="J185" i="211" s="1"/>
  <c r="K185" i="211" s="1"/>
  <c r="L185" i="211" s="1"/>
  <c r="H280" i="95"/>
  <c r="I181" i="108" s="1"/>
  <c r="E181" i="108" s="1"/>
  <c r="E162" i="108" s="1"/>
  <c r="F27" i="211" s="1"/>
  <c r="C161" i="211" s="1"/>
  <c r="D161" i="211" s="1"/>
  <c r="E161" i="211" s="1"/>
  <c r="F161" i="211" s="1"/>
  <c r="G161" i="211" s="1"/>
  <c r="H161" i="211" s="1"/>
  <c r="I161" i="211" s="1"/>
  <c r="J161" i="211" s="1"/>
  <c r="K161" i="211" s="1"/>
  <c r="L161" i="211" s="1"/>
  <c r="G280" i="95"/>
  <c r="H181" i="108" s="1"/>
  <c r="D181" i="108" s="1"/>
  <c r="D162" i="108" s="1"/>
  <c r="C124" i="209" s="1"/>
  <c r="J279" i="95"/>
  <c r="I279" i="95"/>
  <c r="J180" i="108" s="1"/>
  <c r="F180" i="108" s="1"/>
  <c r="F161" i="108" s="1"/>
  <c r="G26" i="211" s="1"/>
  <c r="C184" i="211" s="1"/>
  <c r="D184" i="211" s="1"/>
  <c r="E184" i="211" s="1"/>
  <c r="F184" i="211" s="1"/>
  <c r="G184" i="211" s="1"/>
  <c r="H184" i="211" s="1"/>
  <c r="I184" i="211" s="1"/>
  <c r="J184" i="211" s="1"/>
  <c r="K184" i="211" s="1"/>
  <c r="L184" i="211" s="1"/>
  <c r="H279" i="95"/>
  <c r="I180" i="108" s="1"/>
  <c r="E180" i="108" s="1"/>
  <c r="E161" i="108" s="1"/>
  <c r="F26" i="211" s="1"/>
  <c r="C160" i="211" s="1"/>
  <c r="D160" i="211" s="1"/>
  <c r="E160" i="211" s="1"/>
  <c r="F160" i="211" s="1"/>
  <c r="G160" i="211" s="1"/>
  <c r="H160" i="211" s="1"/>
  <c r="I160" i="211" s="1"/>
  <c r="J160" i="211" s="1"/>
  <c r="K160" i="211" s="1"/>
  <c r="L160" i="211" s="1"/>
  <c r="G279" i="95"/>
  <c r="H180" i="108" s="1"/>
  <c r="D180" i="108" s="1"/>
  <c r="D161" i="108" s="1"/>
  <c r="C123" i="209" s="1"/>
  <c r="J278" i="95"/>
  <c r="I278" i="95"/>
  <c r="J179" i="108" s="1"/>
  <c r="F179" i="108" s="1"/>
  <c r="F160" i="108" s="1"/>
  <c r="G25" i="211" s="1"/>
  <c r="C183" i="211" s="1"/>
  <c r="D183" i="211" s="1"/>
  <c r="E183" i="211" s="1"/>
  <c r="F183" i="211" s="1"/>
  <c r="G183" i="211" s="1"/>
  <c r="H183" i="211" s="1"/>
  <c r="I183" i="211" s="1"/>
  <c r="J183" i="211" s="1"/>
  <c r="K183" i="211" s="1"/>
  <c r="L183" i="211" s="1"/>
  <c r="H278" i="95"/>
  <c r="I179" i="108" s="1"/>
  <c r="E179" i="108" s="1"/>
  <c r="E160" i="108" s="1"/>
  <c r="F25" i="211" s="1"/>
  <c r="C159" i="211" s="1"/>
  <c r="D159" i="211" s="1"/>
  <c r="E159" i="211" s="1"/>
  <c r="F159" i="211" s="1"/>
  <c r="G159" i="211" s="1"/>
  <c r="H159" i="211" s="1"/>
  <c r="I159" i="211" s="1"/>
  <c r="J159" i="211" s="1"/>
  <c r="K159" i="211" s="1"/>
  <c r="L159" i="211" s="1"/>
  <c r="G278" i="95"/>
  <c r="H179" i="108" s="1"/>
  <c r="D179" i="108" s="1"/>
  <c r="D160" i="108" s="1"/>
  <c r="C122" i="209" s="1"/>
  <c r="J277" i="95"/>
  <c r="I277" i="95"/>
  <c r="J178" i="108" s="1"/>
  <c r="F178" i="108" s="1"/>
  <c r="F159" i="108" s="1"/>
  <c r="G24" i="211" s="1"/>
  <c r="C182" i="211" s="1"/>
  <c r="D182" i="211" s="1"/>
  <c r="E182" i="211" s="1"/>
  <c r="F182" i="211" s="1"/>
  <c r="G182" i="211" s="1"/>
  <c r="H182" i="211" s="1"/>
  <c r="I182" i="211" s="1"/>
  <c r="J182" i="211" s="1"/>
  <c r="K182" i="211" s="1"/>
  <c r="L182" i="211" s="1"/>
  <c r="H277" i="95"/>
  <c r="I178" i="108" s="1"/>
  <c r="E178" i="108" s="1"/>
  <c r="E159" i="108" s="1"/>
  <c r="F24" i="211" s="1"/>
  <c r="C158" i="211" s="1"/>
  <c r="D158" i="211" s="1"/>
  <c r="E158" i="211" s="1"/>
  <c r="F158" i="211" s="1"/>
  <c r="G158" i="211" s="1"/>
  <c r="H158" i="211" s="1"/>
  <c r="I158" i="211" s="1"/>
  <c r="J158" i="211" s="1"/>
  <c r="K158" i="211" s="1"/>
  <c r="L158" i="211" s="1"/>
  <c r="G277" i="95"/>
  <c r="H178" i="108" s="1"/>
  <c r="D178" i="108" s="1"/>
  <c r="D159" i="108" s="1"/>
  <c r="C121" i="209" s="1"/>
  <c r="J276" i="95"/>
  <c r="I276" i="95"/>
  <c r="J177" i="108" s="1"/>
  <c r="F177" i="108" s="1"/>
  <c r="F158" i="108" s="1"/>
  <c r="G23" i="211" s="1"/>
  <c r="C181" i="211" s="1"/>
  <c r="D181" i="211" s="1"/>
  <c r="E181" i="211" s="1"/>
  <c r="F181" i="211" s="1"/>
  <c r="G181" i="211" s="1"/>
  <c r="H181" i="211" s="1"/>
  <c r="I181" i="211" s="1"/>
  <c r="J181" i="211" s="1"/>
  <c r="K181" i="211" s="1"/>
  <c r="L181" i="211" s="1"/>
  <c r="H276" i="95"/>
  <c r="I177" i="108" s="1"/>
  <c r="E177" i="108" s="1"/>
  <c r="E158" i="108" s="1"/>
  <c r="F23" i="211" s="1"/>
  <c r="C157" i="211" s="1"/>
  <c r="D157" i="211" s="1"/>
  <c r="E157" i="211" s="1"/>
  <c r="F157" i="211" s="1"/>
  <c r="G157" i="211" s="1"/>
  <c r="H157" i="211" s="1"/>
  <c r="I157" i="211" s="1"/>
  <c r="J157" i="211" s="1"/>
  <c r="K157" i="211" s="1"/>
  <c r="L157" i="211" s="1"/>
  <c r="G276" i="95"/>
  <c r="H177" i="108" s="1"/>
  <c r="D177" i="108" s="1"/>
  <c r="D158" i="108" s="1"/>
  <c r="C120" i="209" s="1"/>
  <c r="K242" i="95"/>
  <c r="K241" i="95"/>
  <c r="AE215" i="95"/>
  <c r="AE213" i="95"/>
  <c r="AQ211" i="95"/>
  <c r="AP211" i="95"/>
  <c r="AO211" i="95"/>
  <c r="AN211" i="95"/>
  <c r="AM211" i="95"/>
  <c r="AL211" i="95"/>
  <c r="AK211" i="95"/>
  <c r="AJ211" i="95"/>
  <c r="AI211" i="95"/>
  <c r="AH211" i="95"/>
  <c r="AG211" i="95"/>
  <c r="AF211" i="95"/>
  <c r="AE211" i="95"/>
  <c r="W203" i="95"/>
  <c r="V203" i="95"/>
  <c r="U203" i="95"/>
  <c r="T203" i="95"/>
  <c r="S203" i="95"/>
  <c r="R203" i="95"/>
  <c r="Q203" i="95"/>
  <c r="P203" i="95"/>
  <c r="O203" i="95"/>
  <c r="N203" i="95"/>
  <c r="M203" i="95"/>
  <c r="L203" i="95"/>
  <c r="K203" i="95"/>
  <c r="L167" i="95"/>
  <c r="K167" i="95"/>
  <c r="J167" i="95"/>
  <c r="I167" i="95"/>
  <c r="H167" i="95"/>
  <c r="G167" i="95"/>
  <c r="F167" i="95"/>
  <c r="L166" i="95"/>
  <c r="K166" i="95"/>
  <c r="J166" i="95"/>
  <c r="I166" i="95"/>
  <c r="H166" i="95"/>
  <c r="G166" i="95"/>
  <c r="F166" i="95"/>
  <c r="L165" i="95"/>
  <c r="K165" i="95"/>
  <c r="J165" i="95"/>
  <c r="I165" i="95"/>
  <c r="H165" i="95"/>
  <c r="G165" i="95"/>
  <c r="F165" i="95"/>
  <c r="B135" i="95"/>
  <c r="B131" i="95"/>
  <c r="B130" i="95"/>
  <c r="B128" i="95"/>
  <c r="B124" i="95"/>
  <c r="B120" i="95"/>
  <c r="K108" i="95"/>
  <c r="B108" i="95"/>
  <c r="C92" i="208" s="1"/>
  <c r="K107" i="95"/>
  <c r="B107" i="95"/>
  <c r="C91" i="208" s="1"/>
  <c r="K106" i="95"/>
  <c r="B106" i="95"/>
  <c r="C90" i="208" s="1"/>
  <c r="K105" i="95"/>
  <c r="B105" i="95"/>
  <c r="C89" i="208" s="1"/>
  <c r="K104" i="95"/>
  <c r="B104" i="95"/>
  <c r="C88" i="208" s="1"/>
  <c r="K103" i="95"/>
  <c r="J103" i="95"/>
  <c r="C103" i="95"/>
  <c r="D130" i="95" s="1"/>
  <c r="K102" i="95"/>
  <c r="B102" i="95"/>
  <c r="C86" i="208" s="1"/>
  <c r="K101" i="95"/>
  <c r="B101" i="95"/>
  <c r="C85" i="208" s="1"/>
  <c r="K100" i="95"/>
  <c r="B100" i="95"/>
  <c r="C84" i="208" s="1"/>
  <c r="K99" i="95"/>
  <c r="B99" i="95"/>
  <c r="C83" i="208" s="1"/>
  <c r="K98" i="95"/>
  <c r="B98" i="95"/>
  <c r="C82" i="208" s="1"/>
  <c r="K97" i="95"/>
  <c r="B97" i="95"/>
  <c r="C81" i="208" s="1"/>
  <c r="K96" i="95"/>
  <c r="B96" i="95"/>
  <c r="C80" i="208" s="1"/>
  <c r="K95" i="95"/>
  <c r="B95" i="95"/>
  <c r="C79" i="208" s="1"/>
  <c r="K94" i="95"/>
  <c r="B94" i="95"/>
  <c r="C78" i="208" s="1"/>
  <c r="K93" i="95"/>
  <c r="B93" i="95"/>
  <c r="C77" i="208" s="1"/>
  <c r="K92" i="95"/>
  <c r="B92" i="95"/>
  <c r="C76" i="208" s="1"/>
  <c r="K91" i="95"/>
  <c r="B91" i="95"/>
  <c r="C75" i="208" s="1"/>
  <c r="K90" i="95"/>
  <c r="B90" i="95"/>
  <c r="C74" i="208" s="1"/>
  <c r="K89" i="95"/>
  <c r="B89" i="95"/>
  <c r="C73" i="208" s="1"/>
  <c r="B76" i="95"/>
  <c r="B74" i="95"/>
  <c r="B72" i="95"/>
  <c r="B70" i="95"/>
  <c r="B66" i="95"/>
  <c r="B62" i="95"/>
  <c r="B58" i="95"/>
  <c r="L56" i="95"/>
  <c r="H56" i="95"/>
  <c r="D56" i="95"/>
  <c r="B52" i="95"/>
  <c r="B77" i="95" s="1"/>
  <c r="B51" i="95"/>
  <c r="C38" i="208" s="1"/>
  <c r="B50" i="95"/>
  <c r="C37" i="208" s="1"/>
  <c r="B49" i="95"/>
  <c r="C36" i="208" s="1"/>
  <c r="B48" i="95"/>
  <c r="C35" i="208" s="1"/>
  <c r="B47" i="95"/>
  <c r="C34" i="208" s="1"/>
  <c r="B46" i="95"/>
  <c r="C33" i="208" s="1"/>
  <c r="B45" i="95"/>
  <c r="C32" i="208" s="1"/>
  <c r="B44" i="95"/>
  <c r="C31" i="208" s="1"/>
  <c r="B43" i="95"/>
  <c r="C30" i="208" s="1"/>
  <c r="B42" i="95"/>
  <c r="C29" i="208" s="1"/>
  <c r="B41" i="95"/>
  <c r="C28" i="208" s="1"/>
  <c r="B40" i="95"/>
  <c r="C27" i="208" s="1"/>
  <c r="B39" i="95"/>
  <c r="C26" i="208" s="1"/>
  <c r="B38" i="95"/>
  <c r="C25" i="208" s="1"/>
  <c r="B37" i="95"/>
  <c r="C24" i="208" s="1"/>
  <c r="B36" i="95"/>
  <c r="C23" i="208" s="1"/>
  <c r="B35" i="95"/>
  <c r="C22" i="208" s="1"/>
  <c r="B34" i="95"/>
  <c r="C21" i="208" s="1"/>
  <c r="AM33" i="95"/>
  <c r="AL33" i="95"/>
  <c r="AK33" i="95"/>
  <c r="AJ33" i="95"/>
  <c r="AI33" i="95"/>
  <c r="AH33" i="95"/>
  <c r="AG33" i="95"/>
  <c r="AF33" i="95"/>
  <c r="AE33" i="95"/>
  <c r="AD33" i="95"/>
  <c r="AC33" i="95"/>
  <c r="AB33" i="95"/>
  <c r="B33" i="95"/>
  <c r="C20" i="208" s="1"/>
  <c r="AM32" i="95"/>
  <c r="AL32" i="95"/>
  <c r="AK32" i="95"/>
  <c r="AJ32" i="95"/>
  <c r="AI32" i="95"/>
  <c r="AH32" i="95"/>
  <c r="AG32" i="95"/>
  <c r="AF32" i="95"/>
  <c r="AE32" i="95"/>
  <c r="AD32" i="95"/>
  <c r="AC32" i="95"/>
  <c r="AB32" i="95"/>
  <c r="B32" i="95"/>
  <c r="C19" i="208" s="1"/>
  <c r="N31" i="95"/>
  <c r="N56" i="95" s="1"/>
  <c r="M31" i="95"/>
  <c r="M56" i="95" s="1"/>
  <c r="L31" i="95"/>
  <c r="AK31" i="95" s="1"/>
  <c r="K31" i="95"/>
  <c r="AJ31" i="95" s="1"/>
  <c r="J31" i="95"/>
  <c r="J56" i="95" s="1"/>
  <c r="I31" i="95"/>
  <c r="I56" i="95" s="1"/>
  <c r="H31" i="95"/>
  <c r="AG31" i="95" s="1"/>
  <c r="G31" i="95"/>
  <c r="AF31" i="95" s="1"/>
  <c r="F31" i="95"/>
  <c r="F56" i="95" s="1"/>
  <c r="E31" i="95"/>
  <c r="E56" i="95" s="1"/>
  <c r="D31" i="95"/>
  <c r="AC31" i="95" s="1"/>
  <c r="C31" i="95"/>
  <c r="AB31" i="95" s="1"/>
  <c r="A1" i="95"/>
  <c r="N83" i="287"/>
  <c r="M83" i="287"/>
  <c r="L83" i="287"/>
  <c r="K83" i="287"/>
  <c r="J83" i="287"/>
  <c r="I83" i="287"/>
  <c r="H83" i="287"/>
  <c r="G83" i="287"/>
  <c r="F83" i="287"/>
  <c r="E83" i="287"/>
  <c r="D83" i="287"/>
  <c r="C83" i="287"/>
  <c r="B83" i="287"/>
  <c r="N82" i="287"/>
  <c r="M82" i="287"/>
  <c r="L82" i="287"/>
  <c r="K82" i="287"/>
  <c r="J82" i="287"/>
  <c r="I82" i="287"/>
  <c r="H82" i="287"/>
  <c r="G82" i="287"/>
  <c r="F82" i="287"/>
  <c r="E82" i="287"/>
  <c r="D82" i="287"/>
  <c r="C82" i="287"/>
  <c r="B82" i="287"/>
  <c r="N81" i="287"/>
  <c r="M81" i="287"/>
  <c r="L81" i="287"/>
  <c r="K81" i="287"/>
  <c r="J81" i="287"/>
  <c r="I81" i="287"/>
  <c r="H81" i="287"/>
  <c r="G81" i="287"/>
  <c r="F81" i="287"/>
  <c r="E81" i="287"/>
  <c r="D81" i="287"/>
  <c r="C81" i="287"/>
  <c r="B81" i="287"/>
  <c r="N80" i="287"/>
  <c r="M80" i="287"/>
  <c r="L80" i="287"/>
  <c r="K80" i="287"/>
  <c r="J80" i="287"/>
  <c r="I80" i="287"/>
  <c r="H80" i="287"/>
  <c r="G80" i="287"/>
  <c r="F80" i="287"/>
  <c r="E80" i="287"/>
  <c r="D80" i="287"/>
  <c r="C80" i="287"/>
  <c r="B78" i="287"/>
  <c r="B77" i="287"/>
  <c r="B76" i="287"/>
  <c r="N75" i="287"/>
  <c r="M75" i="287"/>
  <c r="L75" i="287"/>
  <c r="K75" i="287"/>
  <c r="J75" i="287"/>
  <c r="I75" i="287"/>
  <c r="H75" i="287"/>
  <c r="G75" i="287"/>
  <c r="F75" i="287"/>
  <c r="E75" i="287"/>
  <c r="D75" i="287"/>
  <c r="C75" i="287"/>
  <c r="B71" i="287"/>
  <c r="B70" i="287"/>
  <c r="B69" i="287"/>
  <c r="A1" i="287"/>
  <c r="D79" i="212"/>
  <c r="D78" i="212"/>
  <c r="L77" i="212"/>
  <c r="K77" i="212"/>
  <c r="H77" i="212"/>
  <c r="F77" i="212"/>
  <c r="E77" i="212"/>
  <c r="D77" i="212"/>
  <c r="L76" i="212"/>
  <c r="K76" i="212"/>
  <c r="H76" i="212"/>
  <c r="F76" i="212"/>
  <c r="E76" i="212"/>
  <c r="D76" i="212"/>
  <c r="L74" i="212"/>
  <c r="K74" i="212"/>
  <c r="H74" i="212"/>
  <c r="F74" i="212"/>
  <c r="E74" i="212"/>
  <c r="D74" i="212"/>
  <c r="L73" i="212"/>
  <c r="K73" i="212"/>
  <c r="J73" i="212"/>
  <c r="H73" i="212"/>
  <c r="F73" i="212"/>
  <c r="B73" i="212"/>
  <c r="L72" i="212"/>
  <c r="K72" i="212"/>
  <c r="J72" i="212"/>
  <c r="H72" i="212"/>
  <c r="F72" i="212"/>
  <c r="B72" i="212"/>
  <c r="L71" i="212"/>
  <c r="K71" i="212"/>
  <c r="J71" i="212"/>
  <c r="H71" i="212"/>
  <c r="F71" i="212"/>
  <c r="B71" i="212"/>
  <c r="L70" i="212"/>
  <c r="K70" i="212"/>
  <c r="J70" i="212"/>
  <c r="H70" i="212"/>
  <c r="F70" i="212"/>
  <c r="B70" i="212"/>
  <c r="L69" i="212"/>
  <c r="K69" i="212"/>
  <c r="J69" i="212"/>
  <c r="H69" i="212"/>
  <c r="F69" i="212"/>
  <c r="B69" i="212"/>
  <c r="L68" i="212"/>
  <c r="K68" i="212"/>
  <c r="J68" i="212"/>
  <c r="I68" i="212"/>
  <c r="H68" i="212"/>
  <c r="G68" i="212"/>
  <c r="F68" i="212"/>
  <c r="C68" i="212"/>
  <c r="L67" i="212"/>
  <c r="K67" i="212"/>
  <c r="J67" i="212"/>
  <c r="H67" i="212"/>
  <c r="F67" i="212"/>
  <c r="B67" i="212"/>
  <c r="L66" i="212"/>
  <c r="K66" i="212"/>
  <c r="J66" i="212"/>
  <c r="H66" i="212"/>
  <c r="F66" i="212"/>
  <c r="B66" i="212"/>
  <c r="L65" i="212"/>
  <c r="K65" i="212"/>
  <c r="J65" i="212"/>
  <c r="H65" i="212"/>
  <c r="F65" i="212"/>
  <c r="B65" i="212"/>
  <c r="L64" i="212"/>
  <c r="K64" i="212"/>
  <c r="J64" i="212"/>
  <c r="H64" i="212"/>
  <c r="F64" i="212"/>
  <c r="B64" i="212"/>
  <c r="L63" i="212"/>
  <c r="K63" i="212"/>
  <c r="J63" i="212"/>
  <c r="H63" i="212"/>
  <c r="F63" i="212"/>
  <c r="B63" i="212"/>
  <c r="L62" i="212"/>
  <c r="K62" i="212"/>
  <c r="J62" i="212"/>
  <c r="H62" i="212"/>
  <c r="F62" i="212"/>
  <c r="B62" i="212"/>
  <c r="L61" i="212"/>
  <c r="K61" i="212"/>
  <c r="J61" i="212"/>
  <c r="H61" i="212"/>
  <c r="F61" i="212"/>
  <c r="B61" i="212"/>
  <c r="L60" i="212"/>
  <c r="K60" i="212"/>
  <c r="J60" i="212"/>
  <c r="H60" i="212"/>
  <c r="F60" i="212"/>
  <c r="B60" i="212"/>
  <c r="L59" i="212"/>
  <c r="K59" i="212"/>
  <c r="J59" i="212"/>
  <c r="H59" i="212"/>
  <c r="F59" i="212"/>
  <c r="B59" i="212"/>
  <c r="L58" i="212"/>
  <c r="K58" i="212"/>
  <c r="J58" i="212"/>
  <c r="H58" i="212"/>
  <c r="F58" i="212"/>
  <c r="B58" i="212"/>
  <c r="L57" i="212"/>
  <c r="K57" i="212"/>
  <c r="J57" i="212"/>
  <c r="H57" i="212"/>
  <c r="F57" i="212"/>
  <c r="B57" i="212"/>
  <c r="L56" i="212"/>
  <c r="K56" i="212"/>
  <c r="J56" i="212"/>
  <c r="H56" i="212"/>
  <c r="F56" i="212"/>
  <c r="B56" i="212"/>
  <c r="L55" i="212"/>
  <c r="K55" i="212"/>
  <c r="J55" i="212"/>
  <c r="H55" i="212"/>
  <c r="F55" i="212"/>
  <c r="B55" i="212"/>
  <c r="L54" i="212"/>
  <c r="K54" i="212"/>
  <c r="J54" i="212"/>
  <c r="H54" i="212"/>
  <c r="F54" i="212"/>
  <c r="B54" i="212"/>
  <c r="A1" i="212"/>
  <c r="A1" i="51"/>
  <c r="B1" i="288"/>
  <c r="B1" i="231"/>
  <c r="G60" i="69"/>
  <c r="B1" i="69"/>
  <c r="M123" i="68"/>
  <c r="M122" i="68"/>
  <c r="M121" i="68"/>
  <c r="M120" i="68"/>
  <c r="M119" i="68"/>
  <c r="M118" i="68"/>
  <c r="M117" i="68"/>
  <c r="M116" i="68"/>
  <c r="M115" i="68"/>
  <c r="M114" i="68"/>
  <c r="M113" i="68"/>
  <c r="M112" i="68"/>
  <c r="M111" i="68"/>
  <c r="M110" i="68"/>
  <c r="M109" i="68"/>
  <c r="M107" i="68"/>
  <c r="M105" i="68"/>
  <c r="M104" i="68"/>
  <c r="M103" i="68"/>
  <c r="M102" i="68"/>
  <c r="M98" i="68"/>
  <c r="M76" i="68"/>
  <c r="M75" i="68"/>
  <c r="M74" i="68"/>
  <c r="M73" i="68"/>
  <c r="M52" i="68"/>
  <c r="M51" i="68"/>
  <c r="M49" i="68"/>
  <c r="M48" i="68"/>
  <c r="M47" i="68"/>
  <c r="M46" i="68"/>
  <c r="M45" i="68"/>
  <c r="M44" i="68"/>
  <c r="M43" i="68"/>
  <c r="M42" i="68"/>
  <c r="M41" i="68"/>
  <c r="M40" i="68"/>
  <c r="M39" i="68"/>
  <c r="M38" i="68"/>
  <c r="M37" i="68"/>
  <c r="M36" i="68"/>
  <c r="M35" i="68"/>
  <c r="M34" i="68"/>
  <c r="M30" i="68"/>
  <c r="M29" i="68"/>
  <c r="M28" i="68"/>
  <c r="M27" i="68"/>
  <c r="M26" i="68"/>
  <c r="C16" i="68"/>
  <c r="H9" i="68"/>
  <c r="H8" i="68"/>
  <c r="E3" i="68"/>
  <c r="E2" i="68"/>
  <c r="C196" i="209" l="1"/>
  <c r="D120" i="209"/>
  <c r="D121" i="209"/>
  <c r="C197" i="209"/>
  <c r="C198" i="209"/>
  <c r="D122" i="209"/>
  <c r="C199" i="209"/>
  <c r="D123" i="209"/>
  <c r="C200" i="209"/>
  <c r="D124" i="209"/>
  <c r="D125" i="209"/>
  <c r="C201" i="209"/>
  <c r="C202" i="209"/>
  <c r="D126" i="209"/>
  <c r="D127" i="209"/>
  <c r="C203" i="209"/>
  <c r="C204" i="209"/>
  <c r="D128" i="209"/>
  <c r="D129" i="209"/>
  <c r="C205" i="209"/>
  <c r="C206" i="209"/>
  <c r="D130" i="209"/>
  <c r="C207" i="209"/>
  <c r="D131" i="209"/>
  <c r="C208" i="209"/>
  <c r="D132" i="209"/>
  <c r="D133" i="209"/>
  <c r="C209" i="209"/>
  <c r="C210" i="209"/>
  <c r="D134" i="209"/>
  <c r="D135" i="209"/>
  <c r="C211" i="209"/>
  <c r="C212" i="209"/>
  <c r="D136" i="209"/>
  <c r="D137" i="209"/>
  <c r="C213" i="209"/>
  <c r="C214" i="209"/>
  <c r="D138" i="209"/>
  <c r="C337" i="152"/>
  <c r="C29" i="185"/>
  <c r="D132" i="108"/>
  <c r="D131" i="108"/>
  <c r="C344" i="152"/>
  <c r="C29" i="203"/>
  <c r="C29" i="204"/>
  <c r="C29" i="202"/>
  <c r="C29" i="201"/>
  <c r="C29" i="200"/>
  <c r="C29" i="199"/>
  <c r="C29" i="196"/>
  <c r="C29" i="197"/>
  <c r="C29" i="198"/>
  <c r="C29" i="193"/>
  <c r="C29" i="194"/>
  <c r="C29" i="192"/>
  <c r="C29" i="190"/>
  <c r="C29" i="195"/>
  <c r="C29" i="191"/>
  <c r="C29" i="189"/>
  <c r="C29" i="187"/>
  <c r="C29" i="188"/>
  <c r="C29" i="186"/>
  <c r="D138" i="108"/>
  <c r="D139" i="108"/>
  <c r="AL31" i="95"/>
  <c r="C56" i="95"/>
  <c r="G56" i="95"/>
  <c r="K56" i="95"/>
  <c r="B57" i="95"/>
  <c r="B61" i="95"/>
  <c r="B65" i="95"/>
  <c r="B69" i="95"/>
  <c r="B73" i="95"/>
  <c r="B116" i="95"/>
  <c r="B119" i="95"/>
  <c r="B123" i="95"/>
  <c r="B127" i="95"/>
  <c r="B134" i="95"/>
  <c r="C40" i="152"/>
  <c r="Q12" i="113"/>
  <c r="C68" i="113" s="1"/>
  <c r="F69" i="113" s="1"/>
  <c r="K205" i="95" s="1"/>
  <c r="F47" i="123"/>
  <c r="F48" i="123"/>
  <c r="AD31" i="95"/>
  <c r="C39" i="152"/>
  <c r="Q12" i="104"/>
  <c r="C75" i="104" s="1"/>
  <c r="F76" i="104" s="1"/>
  <c r="K204" i="95" s="1"/>
  <c r="D119" i="209"/>
  <c r="C195" i="209"/>
  <c r="C47" i="123"/>
  <c r="G47" i="123"/>
  <c r="C48" i="123"/>
  <c r="G48" i="123"/>
  <c r="AH31" i="95"/>
  <c r="AE31" i="95"/>
  <c r="AI31" i="95"/>
  <c r="AM31" i="95"/>
  <c r="B59" i="95"/>
  <c r="B63" i="95"/>
  <c r="B67" i="95"/>
  <c r="B71" i="95"/>
  <c r="B75" i="95"/>
  <c r="B117" i="95"/>
  <c r="B121" i="95"/>
  <c r="B125" i="95"/>
  <c r="B129" i="95"/>
  <c r="B132" i="95"/>
  <c r="D47" i="123"/>
  <c r="H47" i="123"/>
  <c r="D48" i="123"/>
  <c r="H48" i="123"/>
  <c r="B60" i="95"/>
  <c r="B64" i="95"/>
  <c r="B68" i="95"/>
  <c r="B118" i="95"/>
  <c r="B122" i="95"/>
  <c r="B126" i="95"/>
  <c r="B133" i="95"/>
  <c r="E323" i="95"/>
  <c r="C48" i="152"/>
  <c r="L12" i="104"/>
  <c r="E47" i="123"/>
  <c r="I47" i="123"/>
  <c r="E48" i="123"/>
  <c r="I48" i="123"/>
  <c r="L12" i="113"/>
  <c r="O34" i="113" s="1"/>
  <c r="S41" i="225"/>
  <c r="W41" i="225"/>
  <c r="AA41" i="225"/>
  <c r="D411" i="92"/>
  <c r="D435" i="92" s="1"/>
  <c r="D459" i="92" s="1"/>
  <c r="H411" i="92"/>
  <c r="H435" i="92" s="1"/>
  <c r="H459" i="92" s="1"/>
  <c r="L411" i="92"/>
  <c r="L435" i="92" s="1"/>
  <c r="L459" i="92" s="1"/>
  <c r="P41" i="225"/>
  <c r="T41" i="225"/>
  <c r="X41" i="225"/>
  <c r="E411" i="92"/>
  <c r="E435" i="92" s="1"/>
  <c r="E459" i="92" s="1"/>
  <c r="I411" i="92"/>
  <c r="I435" i="92" s="1"/>
  <c r="I459" i="92" s="1"/>
  <c r="M411" i="92"/>
  <c r="M435" i="92" s="1"/>
  <c r="M459" i="92" s="1"/>
  <c r="E431" i="92"/>
  <c r="E436" i="92"/>
  <c r="I431" i="92"/>
  <c r="I436" i="92"/>
  <c r="M431" i="92"/>
  <c r="M436" i="92"/>
  <c r="D431" i="92"/>
  <c r="D436" i="92"/>
  <c r="H431" i="92"/>
  <c r="H436" i="92"/>
  <c r="L431" i="92"/>
  <c r="L436" i="92"/>
  <c r="F436" i="92"/>
  <c r="F431" i="92"/>
  <c r="J436" i="92"/>
  <c r="J431" i="92"/>
  <c r="N436" i="92"/>
  <c r="N431" i="92"/>
  <c r="C431" i="92"/>
  <c r="C436" i="92"/>
  <c r="G431" i="92"/>
  <c r="G436" i="92"/>
  <c r="K431" i="92"/>
  <c r="K436" i="92"/>
  <c r="C24" i="68"/>
  <c r="C32" i="68" s="1"/>
  <c r="C100" i="68" s="1"/>
  <c r="C52" i="188" l="1"/>
  <c r="D52" i="188" s="1"/>
  <c r="C86" i="188"/>
  <c r="C87" i="188" s="1"/>
  <c r="D29" i="188"/>
  <c r="C86" i="195"/>
  <c r="C87" i="195" s="1"/>
  <c r="D29" i="195"/>
  <c r="C52" i="195"/>
  <c r="D52" i="195" s="1"/>
  <c r="C86" i="193"/>
  <c r="C87" i="193" s="1"/>
  <c r="D29" i="193"/>
  <c r="C52" i="193"/>
  <c r="D52" i="193" s="1"/>
  <c r="C52" i="199"/>
  <c r="D52" i="199" s="1"/>
  <c r="C86" i="199"/>
  <c r="C87" i="199" s="1"/>
  <c r="D29" i="199"/>
  <c r="C52" i="204"/>
  <c r="D52" i="204" s="1"/>
  <c r="D29" i="204"/>
  <c r="C86" i="204"/>
  <c r="C87" i="204" s="1"/>
  <c r="C336" i="152"/>
  <c r="C28" i="185"/>
  <c r="D267" i="152"/>
  <c r="G68" i="113"/>
  <c r="G69" i="113" s="1"/>
  <c r="L205" i="95" s="1"/>
  <c r="O37" i="113"/>
  <c r="P34" i="113"/>
  <c r="AF215" i="95"/>
  <c r="E47" i="124"/>
  <c r="E63" i="123"/>
  <c r="E59" i="123"/>
  <c r="E55" i="123"/>
  <c r="E64" i="123"/>
  <c r="E60" i="123"/>
  <c r="E56" i="123"/>
  <c r="E65" i="123"/>
  <c r="E180" i="152" s="1"/>
  <c r="E61" i="123"/>
  <c r="E57" i="123"/>
  <c r="E62" i="123"/>
  <c r="E58" i="123"/>
  <c r="D77" i="123"/>
  <c r="D192" i="152" s="1"/>
  <c r="D73" i="123"/>
  <c r="D188" i="152" s="1"/>
  <c r="D48" i="124"/>
  <c r="D78" i="123"/>
  <c r="D193" i="152" s="1"/>
  <c r="D74" i="123"/>
  <c r="D189" i="152" s="1"/>
  <c r="D70" i="123"/>
  <c r="D185" i="152" s="1"/>
  <c r="D79" i="123"/>
  <c r="D194" i="152" s="1"/>
  <c r="D75" i="123"/>
  <c r="D190" i="152" s="1"/>
  <c r="D71" i="123"/>
  <c r="D186" i="152" s="1"/>
  <c r="D80" i="123"/>
  <c r="D195" i="152" s="1"/>
  <c r="D76" i="123"/>
  <c r="D191" i="152" s="1"/>
  <c r="D72" i="123"/>
  <c r="D187" i="152" s="1"/>
  <c r="C65" i="123"/>
  <c r="C180" i="152" s="1"/>
  <c r="C61" i="123"/>
  <c r="C176" i="152" s="1"/>
  <c r="C57" i="123"/>
  <c r="C172" i="152" s="1"/>
  <c r="C62" i="123"/>
  <c r="C177" i="152" s="1"/>
  <c r="C58" i="123"/>
  <c r="C173" i="152" s="1"/>
  <c r="C47" i="124"/>
  <c r="C63" i="123"/>
  <c r="C178" i="152" s="1"/>
  <c r="C59" i="123"/>
  <c r="C174" i="152" s="1"/>
  <c r="C55" i="123"/>
  <c r="C170" i="152" s="1"/>
  <c r="C64" i="123"/>
  <c r="C179" i="152" s="1"/>
  <c r="C60" i="123"/>
  <c r="C175" i="152" s="1"/>
  <c r="C56" i="123"/>
  <c r="C171" i="152" s="1"/>
  <c r="C343" i="152"/>
  <c r="C28" i="202"/>
  <c r="C28" i="204"/>
  <c r="C28" i="203"/>
  <c r="C28" i="200"/>
  <c r="C28" i="198"/>
  <c r="C28" i="201"/>
  <c r="C28" i="199"/>
  <c r="C28" i="197"/>
  <c r="C28" i="196"/>
  <c r="C28" i="194"/>
  <c r="C28" i="195"/>
  <c r="C28" i="193"/>
  <c r="C28" i="192"/>
  <c r="C28" i="190"/>
  <c r="C28" i="191"/>
  <c r="C28" i="189"/>
  <c r="C28" i="187"/>
  <c r="C28" i="188"/>
  <c r="C28" i="186"/>
  <c r="C86" i="187"/>
  <c r="C87" i="187" s="1"/>
  <c r="D29" i="187"/>
  <c r="C52" i="187"/>
  <c r="D52" i="187" s="1"/>
  <c r="C86" i="190"/>
  <c r="C87" i="190" s="1"/>
  <c r="D29" i="190"/>
  <c r="C52" i="190"/>
  <c r="D52" i="190" s="1"/>
  <c r="C86" i="198"/>
  <c r="C87" i="198" s="1"/>
  <c r="D29" i="198"/>
  <c r="C52" i="198"/>
  <c r="D52" i="198" s="1"/>
  <c r="C52" i="200"/>
  <c r="D52" i="200" s="1"/>
  <c r="C86" i="200"/>
  <c r="C87" i="200" s="1"/>
  <c r="D29" i="200"/>
  <c r="C52" i="203"/>
  <c r="D52" i="203" s="1"/>
  <c r="D29" i="203"/>
  <c r="C86" i="203"/>
  <c r="C87" i="203" s="1"/>
  <c r="C52" i="185"/>
  <c r="D52" i="185" s="1"/>
  <c r="C86" i="185"/>
  <c r="C87" i="185" s="1"/>
  <c r="D29" i="185"/>
  <c r="D207" i="209"/>
  <c r="E131" i="209"/>
  <c r="D199" i="209"/>
  <c r="E123" i="209"/>
  <c r="I47" i="124"/>
  <c r="I63" i="123"/>
  <c r="I59" i="123"/>
  <c r="I55" i="123"/>
  <c r="I64" i="123"/>
  <c r="I60" i="123"/>
  <c r="I56" i="123"/>
  <c r="I65" i="123"/>
  <c r="I61" i="123"/>
  <c r="I57" i="123"/>
  <c r="I62" i="123"/>
  <c r="I58" i="123"/>
  <c r="H77" i="123"/>
  <c r="H192" i="152" s="1"/>
  <c r="H73" i="123"/>
  <c r="H188" i="152" s="1"/>
  <c r="H48" i="124"/>
  <c r="H78" i="123"/>
  <c r="H193" i="152" s="1"/>
  <c r="H74" i="123"/>
  <c r="H189" i="152" s="1"/>
  <c r="H70" i="123"/>
  <c r="H185" i="152" s="1"/>
  <c r="H79" i="123"/>
  <c r="H194" i="152" s="1"/>
  <c r="H75" i="123"/>
  <c r="H190" i="152" s="1"/>
  <c r="H71" i="123"/>
  <c r="H186" i="152" s="1"/>
  <c r="H80" i="123"/>
  <c r="H195" i="152" s="1"/>
  <c r="H76" i="123"/>
  <c r="H191" i="152" s="1"/>
  <c r="H72" i="123"/>
  <c r="H187" i="152" s="1"/>
  <c r="G65" i="123"/>
  <c r="G180" i="152" s="1"/>
  <c r="G61" i="123"/>
  <c r="G176" i="152" s="1"/>
  <c r="G57" i="123"/>
  <c r="G172" i="152" s="1"/>
  <c r="G62" i="123"/>
  <c r="G177" i="152" s="1"/>
  <c r="G58" i="123"/>
  <c r="G173" i="152" s="1"/>
  <c r="G47" i="124"/>
  <c r="G63" i="123"/>
  <c r="G178" i="152" s="1"/>
  <c r="G59" i="123"/>
  <c r="G174" i="152" s="1"/>
  <c r="G55" i="123"/>
  <c r="G170" i="152" s="1"/>
  <c r="G64" i="123"/>
  <c r="G179" i="152" s="1"/>
  <c r="G60" i="123"/>
  <c r="G175" i="152" s="1"/>
  <c r="G56" i="123"/>
  <c r="G171" i="152" s="1"/>
  <c r="F64" i="123"/>
  <c r="F179" i="152" s="1"/>
  <c r="F60" i="123"/>
  <c r="F175" i="152" s="1"/>
  <c r="F56" i="123"/>
  <c r="F171" i="152" s="1"/>
  <c r="F65" i="123"/>
  <c r="F180" i="152" s="1"/>
  <c r="F61" i="123"/>
  <c r="F176" i="152" s="1"/>
  <c r="F57" i="123"/>
  <c r="F172" i="152" s="1"/>
  <c r="F62" i="123"/>
  <c r="F177" i="152" s="1"/>
  <c r="F58" i="123"/>
  <c r="F173" i="152" s="1"/>
  <c r="F47" i="124"/>
  <c r="F63" i="123"/>
  <c r="F178" i="152" s="1"/>
  <c r="F59" i="123"/>
  <c r="F174" i="152" s="1"/>
  <c r="F55" i="123"/>
  <c r="F170" i="152" s="1"/>
  <c r="I48" i="124"/>
  <c r="I78" i="123"/>
  <c r="I74" i="123"/>
  <c r="I70" i="123"/>
  <c r="I79" i="123"/>
  <c r="I75" i="123"/>
  <c r="I71" i="123"/>
  <c r="I80" i="123"/>
  <c r="I76" i="123"/>
  <c r="I72" i="123"/>
  <c r="I77" i="123"/>
  <c r="I73" i="123"/>
  <c r="O34" i="104"/>
  <c r="H62" i="123"/>
  <c r="H177" i="152" s="1"/>
  <c r="H58" i="123"/>
  <c r="H173" i="152" s="1"/>
  <c r="H47" i="124"/>
  <c r="H63" i="123"/>
  <c r="H178" i="152" s="1"/>
  <c r="H59" i="123"/>
  <c r="H174" i="152" s="1"/>
  <c r="H55" i="123"/>
  <c r="H170" i="152" s="1"/>
  <c r="H64" i="123"/>
  <c r="H179" i="152" s="1"/>
  <c r="H60" i="123"/>
  <c r="H175" i="152" s="1"/>
  <c r="H56" i="123"/>
  <c r="H171" i="152" s="1"/>
  <c r="H65" i="123"/>
  <c r="H180" i="152" s="1"/>
  <c r="H61" i="123"/>
  <c r="H176" i="152" s="1"/>
  <c r="H57" i="123"/>
  <c r="H172" i="152" s="1"/>
  <c r="G80" i="123"/>
  <c r="G195" i="152" s="1"/>
  <c r="G76" i="123"/>
  <c r="G191" i="152" s="1"/>
  <c r="G72" i="123"/>
  <c r="G187" i="152" s="1"/>
  <c r="G77" i="123"/>
  <c r="G192" i="152" s="1"/>
  <c r="G73" i="123"/>
  <c r="G188" i="152" s="1"/>
  <c r="G48" i="124"/>
  <c r="G78" i="123"/>
  <c r="G193" i="152" s="1"/>
  <c r="G74" i="123"/>
  <c r="G189" i="152" s="1"/>
  <c r="G70" i="123"/>
  <c r="G185" i="152" s="1"/>
  <c r="G79" i="123"/>
  <c r="G194" i="152" s="1"/>
  <c r="G75" i="123"/>
  <c r="G190" i="152" s="1"/>
  <c r="G71" i="123"/>
  <c r="G186" i="152" s="1"/>
  <c r="C216" i="209"/>
  <c r="C215" i="209"/>
  <c r="C234" i="209" s="1"/>
  <c r="C342" i="152"/>
  <c r="C27" i="204"/>
  <c r="C27" i="203"/>
  <c r="C27" i="202"/>
  <c r="C27" i="200"/>
  <c r="C27" i="201"/>
  <c r="C27" i="199"/>
  <c r="C27" i="197"/>
  <c r="C27" i="196"/>
  <c r="C27" i="193"/>
  <c r="C27" i="198"/>
  <c r="C27" i="194"/>
  <c r="C27" i="191"/>
  <c r="C27" i="195"/>
  <c r="C27" i="192"/>
  <c r="C27" i="190"/>
  <c r="C27" i="188"/>
  <c r="C27" i="186"/>
  <c r="C27" i="189"/>
  <c r="C27" i="187"/>
  <c r="D141" i="108"/>
  <c r="C345" i="152" s="1"/>
  <c r="C86" i="189"/>
  <c r="C87" i="189" s="1"/>
  <c r="D29" i="189"/>
  <c r="C52" i="189"/>
  <c r="D52" i="189" s="1"/>
  <c r="C86" i="192"/>
  <c r="C87" i="192" s="1"/>
  <c r="D29" i="192"/>
  <c r="C52" i="192"/>
  <c r="D52" i="192" s="1"/>
  <c r="C86" i="197"/>
  <c r="C87" i="197" s="1"/>
  <c r="D29" i="197"/>
  <c r="C52" i="197"/>
  <c r="D52" i="197" s="1"/>
  <c r="C86" i="201"/>
  <c r="C87" i="201" s="1"/>
  <c r="C52" i="201"/>
  <c r="D52" i="201" s="1"/>
  <c r="D29" i="201"/>
  <c r="D213" i="209"/>
  <c r="E137" i="209"/>
  <c r="D211" i="209"/>
  <c r="E135" i="209"/>
  <c r="D209" i="209"/>
  <c r="E133" i="209"/>
  <c r="C233" i="209"/>
  <c r="D205" i="209"/>
  <c r="E129" i="209"/>
  <c r="D203" i="209"/>
  <c r="E127" i="209"/>
  <c r="D201" i="209"/>
  <c r="E125" i="209"/>
  <c r="D197" i="209"/>
  <c r="E121" i="209"/>
  <c r="E48" i="124"/>
  <c r="E78" i="123"/>
  <c r="E74" i="123"/>
  <c r="E70" i="123"/>
  <c r="E79" i="123"/>
  <c r="E75" i="123"/>
  <c r="E71" i="123"/>
  <c r="E80" i="123"/>
  <c r="E195" i="152" s="1"/>
  <c r="E76" i="123"/>
  <c r="E72" i="123"/>
  <c r="E77" i="123"/>
  <c r="E73" i="123"/>
  <c r="D62" i="123"/>
  <c r="D177" i="152" s="1"/>
  <c r="D58" i="123"/>
  <c r="D173" i="152" s="1"/>
  <c r="D47" i="124"/>
  <c r="D63" i="123"/>
  <c r="D178" i="152" s="1"/>
  <c r="D59" i="123"/>
  <c r="D174" i="152" s="1"/>
  <c r="D55" i="123"/>
  <c r="D170" i="152" s="1"/>
  <c r="D64" i="123"/>
  <c r="D179" i="152" s="1"/>
  <c r="D60" i="123"/>
  <c r="D175" i="152" s="1"/>
  <c r="D56" i="123"/>
  <c r="D171" i="152" s="1"/>
  <c r="D65" i="123"/>
  <c r="D180" i="152" s="1"/>
  <c r="D61" i="123"/>
  <c r="D176" i="152" s="1"/>
  <c r="D57" i="123"/>
  <c r="D172" i="152" s="1"/>
  <c r="C80" i="123"/>
  <c r="C195" i="152" s="1"/>
  <c r="C76" i="123"/>
  <c r="C191" i="152" s="1"/>
  <c r="C72" i="123"/>
  <c r="C187" i="152" s="1"/>
  <c r="C77" i="123"/>
  <c r="C192" i="152" s="1"/>
  <c r="C73" i="123"/>
  <c r="C188" i="152" s="1"/>
  <c r="C48" i="124"/>
  <c r="C78" i="123"/>
  <c r="C193" i="152" s="1"/>
  <c r="C74" i="123"/>
  <c r="C189" i="152" s="1"/>
  <c r="C70" i="123"/>
  <c r="C185" i="152" s="1"/>
  <c r="C79" i="123"/>
  <c r="C194" i="152" s="1"/>
  <c r="C75" i="123"/>
  <c r="C190" i="152" s="1"/>
  <c r="C71" i="123"/>
  <c r="C186" i="152" s="1"/>
  <c r="D195" i="209"/>
  <c r="E119" i="209"/>
  <c r="F79" i="123"/>
  <c r="F194" i="152" s="1"/>
  <c r="F75" i="123"/>
  <c r="F190" i="152" s="1"/>
  <c r="F71" i="123"/>
  <c r="F186" i="152" s="1"/>
  <c r="F80" i="123"/>
  <c r="F195" i="152" s="1"/>
  <c r="F76" i="123"/>
  <c r="F191" i="152" s="1"/>
  <c r="F72" i="123"/>
  <c r="F187" i="152" s="1"/>
  <c r="F77" i="123"/>
  <c r="F192" i="152" s="1"/>
  <c r="F73" i="123"/>
  <c r="F188" i="152" s="1"/>
  <c r="F48" i="124"/>
  <c r="F78" i="123"/>
  <c r="F193" i="152" s="1"/>
  <c r="F74" i="123"/>
  <c r="F189" i="152" s="1"/>
  <c r="F70" i="123"/>
  <c r="F185" i="152" s="1"/>
  <c r="C52" i="186"/>
  <c r="D52" i="186" s="1"/>
  <c r="C86" i="186"/>
  <c r="C87" i="186" s="1"/>
  <c r="D29" i="186"/>
  <c r="C52" i="191"/>
  <c r="D52" i="191" s="1"/>
  <c r="C86" i="191"/>
  <c r="C87" i="191" s="1"/>
  <c r="D29" i="191"/>
  <c r="C86" i="194"/>
  <c r="C87" i="194" s="1"/>
  <c r="D29" i="194"/>
  <c r="C52" i="194"/>
  <c r="D52" i="194" s="1"/>
  <c r="C86" i="196"/>
  <c r="C87" i="196" s="1"/>
  <c r="D29" i="196"/>
  <c r="C52" i="196"/>
  <c r="D52" i="196" s="1"/>
  <c r="C86" i="202"/>
  <c r="C87" i="202" s="1"/>
  <c r="C52" i="202"/>
  <c r="D52" i="202" s="1"/>
  <c r="D29" i="202"/>
  <c r="C335" i="152"/>
  <c r="C27" i="185"/>
  <c r="D134" i="108"/>
  <c r="C338" i="152" s="1"/>
  <c r="E138" i="209"/>
  <c r="D214" i="209"/>
  <c r="D212" i="209"/>
  <c r="E136" i="209"/>
  <c r="D210" i="209"/>
  <c r="E134" i="209"/>
  <c r="D208" i="209"/>
  <c r="E132" i="209"/>
  <c r="D206" i="209"/>
  <c r="E130" i="209"/>
  <c r="D204" i="209"/>
  <c r="E128" i="209"/>
  <c r="D202" i="209"/>
  <c r="E126" i="209"/>
  <c r="D200" i="209"/>
  <c r="E124" i="209"/>
  <c r="D198" i="209"/>
  <c r="E122" i="209"/>
  <c r="D196" i="209"/>
  <c r="E120" i="209"/>
  <c r="G455" i="92"/>
  <c r="G460" i="92" s="1"/>
  <c r="N455" i="92"/>
  <c r="N460" i="92" s="1"/>
  <c r="F455" i="92"/>
  <c r="F460" i="92" s="1"/>
  <c r="I455" i="92"/>
  <c r="I460" i="92" s="1"/>
  <c r="H455" i="92"/>
  <c r="H460" i="92" s="1"/>
  <c r="K455" i="92"/>
  <c r="K460" i="92" s="1"/>
  <c r="C455" i="92"/>
  <c r="C460" i="92" s="1"/>
  <c r="J455" i="92"/>
  <c r="J460" i="92" s="1"/>
  <c r="M455" i="92"/>
  <c r="M460" i="92" s="1"/>
  <c r="E455" i="92"/>
  <c r="E460" i="92" s="1"/>
  <c r="O431" i="92"/>
  <c r="A431" i="92"/>
  <c r="L455" i="92"/>
  <c r="L460" i="92" s="1"/>
  <c r="D455" i="92"/>
  <c r="C50" i="185" l="1"/>
  <c r="D50" i="185" s="1"/>
  <c r="D27" i="185"/>
  <c r="C64" i="185"/>
  <c r="C65" i="185" s="1"/>
  <c r="F52" i="194"/>
  <c r="H52" i="194" s="1"/>
  <c r="E52" i="194"/>
  <c r="G52" i="194" s="1"/>
  <c r="I52" i="194" s="1"/>
  <c r="C89" i="191"/>
  <c r="C91" i="191" s="1"/>
  <c r="C88" i="191"/>
  <c r="C90" i="191" s="1"/>
  <c r="F78" i="124"/>
  <c r="F74" i="124"/>
  <c r="F70" i="124"/>
  <c r="F79" i="124"/>
  <c r="F75" i="124"/>
  <c r="F71" i="124"/>
  <c r="F80" i="124"/>
  <c r="F76" i="124"/>
  <c r="F72" i="124"/>
  <c r="F77" i="124"/>
  <c r="F73" i="124"/>
  <c r="E186" i="152"/>
  <c r="C128" i="140"/>
  <c r="C230" i="140" s="1"/>
  <c r="C264" i="140" s="1"/>
  <c r="F52" i="201"/>
  <c r="H52" i="201" s="1"/>
  <c r="C89" i="197"/>
  <c r="C91" i="197" s="1"/>
  <c r="C88" i="197"/>
  <c r="C90" i="197" s="1"/>
  <c r="C64" i="187"/>
  <c r="C65" i="187" s="1"/>
  <c r="C50" i="187"/>
  <c r="D50" i="187" s="1"/>
  <c r="D27" i="187"/>
  <c r="C64" i="194"/>
  <c r="C65" i="194" s="1"/>
  <c r="C50" i="194"/>
  <c r="D50" i="194" s="1"/>
  <c r="D27" i="194"/>
  <c r="C64" i="202"/>
  <c r="C65" i="202" s="1"/>
  <c r="C50" i="202"/>
  <c r="D50" i="202" s="1"/>
  <c r="D27" i="202"/>
  <c r="E198" i="209"/>
  <c r="F122" i="209"/>
  <c r="E202" i="209"/>
  <c r="F126" i="209"/>
  <c r="E206" i="209"/>
  <c r="F130" i="209"/>
  <c r="E210" i="209"/>
  <c r="F134" i="209"/>
  <c r="F52" i="196"/>
  <c r="H52" i="196" s="1"/>
  <c r="E52" i="196"/>
  <c r="G52" i="196" s="1"/>
  <c r="I52" i="196" s="1"/>
  <c r="E29" i="194"/>
  <c r="D86" i="194"/>
  <c r="D87" i="194" s="1"/>
  <c r="F52" i="191"/>
  <c r="H52" i="191" s="1"/>
  <c r="E52" i="191"/>
  <c r="G52" i="191" s="1"/>
  <c r="I52" i="191" s="1"/>
  <c r="F119" i="209"/>
  <c r="E195" i="209"/>
  <c r="C79" i="124"/>
  <c r="C75" i="124"/>
  <c r="C71" i="124"/>
  <c r="C80" i="124"/>
  <c r="C76" i="124"/>
  <c r="C72" i="124"/>
  <c r="C77" i="124"/>
  <c r="C73" i="124"/>
  <c r="C78" i="124"/>
  <c r="C74" i="124"/>
  <c r="C70" i="124"/>
  <c r="E187" i="152"/>
  <c r="C129" i="140"/>
  <c r="C231" i="140" s="1"/>
  <c r="C265" i="140" s="1"/>
  <c r="E190" i="152"/>
  <c r="C132" i="140"/>
  <c r="C234" i="140" s="1"/>
  <c r="C268" i="140" s="1"/>
  <c r="E193" i="152"/>
  <c r="C135" i="140"/>
  <c r="C237" i="140" s="1"/>
  <c r="C271" i="140" s="1"/>
  <c r="C225" i="209"/>
  <c r="E209" i="209"/>
  <c r="F133" i="209"/>
  <c r="E213" i="209"/>
  <c r="F137" i="209"/>
  <c r="C89" i="201"/>
  <c r="C91" i="201" s="1"/>
  <c r="F52" i="192"/>
  <c r="H52" i="192" s="1"/>
  <c r="D86" i="189"/>
  <c r="D87" i="189" s="1"/>
  <c r="E29" i="189"/>
  <c r="C64" i="189"/>
  <c r="C65" i="189" s="1"/>
  <c r="C50" i="189"/>
  <c r="D50" i="189" s="1"/>
  <c r="D27" i="189"/>
  <c r="C64" i="192"/>
  <c r="C65" i="192" s="1"/>
  <c r="C50" i="192"/>
  <c r="D50" i="192" s="1"/>
  <c r="D27" i="192"/>
  <c r="C64" i="198"/>
  <c r="C65" i="198" s="1"/>
  <c r="C50" i="198"/>
  <c r="D50" i="198" s="1"/>
  <c r="D27" i="198"/>
  <c r="D27" i="199"/>
  <c r="C64" i="199"/>
  <c r="C65" i="199" s="1"/>
  <c r="C50" i="199"/>
  <c r="D50" i="199" s="1"/>
  <c r="C64" i="203"/>
  <c r="C65" i="203" s="1"/>
  <c r="C50" i="203"/>
  <c r="D50" i="203" s="1"/>
  <c r="D27" i="203"/>
  <c r="C221" i="209"/>
  <c r="G79" i="124"/>
  <c r="G75" i="124"/>
  <c r="G71" i="124"/>
  <c r="G80" i="124"/>
  <c r="G76" i="124"/>
  <c r="G72" i="124"/>
  <c r="G77" i="124"/>
  <c r="G73" i="124"/>
  <c r="G78" i="124"/>
  <c r="G74" i="124"/>
  <c r="G70" i="124"/>
  <c r="I192" i="152"/>
  <c r="J77" i="123"/>
  <c r="I186" i="152"/>
  <c r="J71" i="123"/>
  <c r="I189" i="152"/>
  <c r="J74" i="123"/>
  <c r="H80" i="124"/>
  <c r="H76" i="124"/>
  <c r="H72" i="124"/>
  <c r="H77" i="124"/>
  <c r="H73" i="124"/>
  <c r="H78" i="124"/>
  <c r="H74" i="124"/>
  <c r="H70" i="124"/>
  <c r="H79" i="124"/>
  <c r="H75" i="124"/>
  <c r="H71" i="124"/>
  <c r="I177" i="152"/>
  <c r="J62" i="123"/>
  <c r="I171" i="152"/>
  <c r="J56" i="123"/>
  <c r="I174" i="152"/>
  <c r="J59" i="123"/>
  <c r="F123" i="209"/>
  <c r="E199" i="209"/>
  <c r="C231" i="209"/>
  <c r="C237" i="209"/>
  <c r="F52" i="185"/>
  <c r="H52" i="185" s="1"/>
  <c r="D86" i="200"/>
  <c r="D87" i="200" s="1"/>
  <c r="E29" i="200"/>
  <c r="E29" i="198"/>
  <c r="D86" i="198"/>
  <c r="D87" i="198" s="1"/>
  <c r="C88" i="190"/>
  <c r="C90" i="190" s="1"/>
  <c r="C89" i="190"/>
  <c r="C91" i="190" s="1"/>
  <c r="C51" i="186"/>
  <c r="D51" i="186" s="1"/>
  <c r="D28" i="186"/>
  <c r="C75" i="186"/>
  <c r="C76" i="186" s="1"/>
  <c r="C51" i="191"/>
  <c r="D51" i="191" s="1"/>
  <c r="D28" i="191"/>
  <c r="C75" i="191"/>
  <c r="C76" i="191" s="1"/>
  <c r="C75" i="195"/>
  <c r="C76" i="195" s="1"/>
  <c r="D28" i="195"/>
  <c r="C51" i="195"/>
  <c r="D51" i="195" s="1"/>
  <c r="C75" i="199"/>
  <c r="C76" i="199" s="1"/>
  <c r="C51" i="199"/>
  <c r="D51" i="199" s="1"/>
  <c r="D28" i="199"/>
  <c r="C51" i="203"/>
  <c r="D51" i="203" s="1"/>
  <c r="D28" i="203"/>
  <c r="C75" i="203"/>
  <c r="C76" i="203" s="1"/>
  <c r="E173" i="152"/>
  <c r="C114" i="140"/>
  <c r="C216" i="140" s="1"/>
  <c r="C250" i="140" s="1"/>
  <c r="E170" i="152"/>
  <c r="C111" i="140"/>
  <c r="C228" i="209"/>
  <c r="C236" i="209"/>
  <c r="D86" i="199"/>
  <c r="D87" i="199" s="1"/>
  <c r="E29" i="199"/>
  <c r="D86" i="193"/>
  <c r="D87" i="193" s="1"/>
  <c r="E29" i="193"/>
  <c r="C89" i="195"/>
  <c r="C91" i="195" s="1"/>
  <c r="C88" i="195"/>
  <c r="C90" i="195" s="1"/>
  <c r="E214" i="209"/>
  <c r="F138" i="209"/>
  <c r="D86" i="196"/>
  <c r="D87" i="196" s="1"/>
  <c r="E29" i="196"/>
  <c r="D86" i="186"/>
  <c r="D87" i="186" s="1"/>
  <c r="E29" i="186"/>
  <c r="D215" i="209"/>
  <c r="D222" i="209" s="1"/>
  <c r="D216" i="209"/>
  <c r="E194" i="152"/>
  <c r="C136" i="140"/>
  <c r="C238" i="140" s="1"/>
  <c r="C272" i="140" s="1"/>
  <c r="E205" i="209"/>
  <c r="F129" i="209"/>
  <c r="F52" i="197"/>
  <c r="H52" i="197" s="1"/>
  <c r="D86" i="192"/>
  <c r="D87" i="192" s="1"/>
  <c r="E29" i="192"/>
  <c r="D27" i="186"/>
  <c r="C64" i="186"/>
  <c r="C65" i="186" s="1"/>
  <c r="C50" i="186"/>
  <c r="D50" i="186" s="1"/>
  <c r="D27" i="193"/>
  <c r="C64" i="193"/>
  <c r="C65" i="193" s="1"/>
  <c r="C50" i="193"/>
  <c r="D50" i="193" s="1"/>
  <c r="D27" i="201"/>
  <c r="C64" i="201"/>
  <c r="C65" i="201" s="1"/>
  <c r="C50" i="201"/>
  <c r="D50" i="201" s="1"/>
  <c r="I187" i="152"/>
  <c r="J72" i="123"/>
  <c r="I190" i="152"/>
  <c r="J75" i="123"/>
  <c r="I193" i="152"/>
  <c r="J78" i="123"/>
  <c r="G64" i="124"/>
  <c r="G60" i="124"/>
  <c r="G56" i="124"/>
  <c r="G65" i="124"/>
  <c r="G61" i="124"/>
  <c r="G57" i="124"/>
  <c r="G62" i="124"/>
  <c r="G58" i="124"/>
  <c r="G63" i="124"/>
  <c r="G59" i="124"/>
  <c r="G55" i="124"/>
  <c r="I172" i="152"/>
  <c r="J57" i="123"/>
  <c r="I175" i="152"/>
  <c r="J60" i="123"/>
  <c r="I178" i="152"/>
  <c r="J63" i="123"/>
  <c r="D225" i="209"/>
  <c r="F131" i="209"/>
  <c r="E207" i="209"/>
  <c r="C239" i="209"/>
  <c r="C89" i="203"/>
  <c r="C91" i="203" s="1"/>
  <c r="C88" i="200"/>
  <c r="C90" i="200" s="1"/>
  <c r="C89" i="200"/>
  <c r="C91" i="200" s="1"/>
  <c r="C88" i="198"/>
  <c r="C90" i="198" s="1"/>
  <c r="C89" i="198"/>
  <c r="C91" i="198" s="1"/>
  <c r="F52" i="187"/>
  <c r="H52" i="187" s="1"/>
  <c r="C51" i="188"/>
  <c r="D51" i="188" s="1"/>
  <c r="D28" i="188"/>
  <c r="C75" i="188"/>
  <c r="C76" i="188" s="1"/>
  <c r="C75" i="190"/>
  <c r="C76" i="190" s="1"/>
  <c r="C51" i="190"/>
  <c r="D51" i="190" s="1"/>
  <c r="D28" i="190"/>
  <c r="C75" i="194"/>
  <c r="C76" i="194" s="1"/>
  <c r="C51" i="194"/>
  <c r="D51" i="194" s="1"/>
  <c r="D28" i="194"/>
  <c r="C75" i="201"/>
  <c r="C76" i="201" s="1"/>
  <c r="C51" i="201"/>
  <c r="D51" i="201" s="1"/>
  <c r="D28" i="201"/>
  <c r="C51" i="204"/>
  <c r="D51" i="204" s="1"/>
  <c r="D28" i="204"/>
  <c r="C75" i="204"/>
  <c r="C76" i="204" s="1"/>
  <c r="D80" i="124"/>
  <c r="D76" i="124"/>
  <c r="D72" i="124"/>
  <c r="D77" i="124"/>
  <c r="D73" i="124"/>
  <c r="D78" i="124"/>
  <c r="D74" i="124"/>
  <c r="D70" i="124"/>
  <c r="D79" i="124"/>
  <c r="D75" i="124"/>
  <c r="D71" i="124"/>
  <c r="E177" i="152"/>
  <c r="C118" i="140"/>
  <c r="C220" i="140" s="1"/>
  <c r="C254" i="140" s="1"/>
  <c r="E171" i="152"/>
  <c r="C112" i="140"/>
  <c r="C214" i="140" s="1"/>
  <c r="C248" i="140" s="1"/>
  <c r="E174" i="152"/>
  <c r="C115" i="140"/>
  <c r="C217" i="140" s="1"/>
  <c r="C251" i="140" s="1"/>
  <c r="E267" i="152"/>
  <c r="Q34" i="113"/>
  <c r="H68" i="113"/>
  <c r="H69" i="113" s="1"/>
  <c r="M205" i="95" s="1"/>
  <c r="P37" i="113"/>
  <c r="AG215" i="95"/>
  <c r="C222" i="209"/>
  <c r="C230" i="209"/>
  <c r="C238" i="209"/>
  <c r="C89" i="204"/>
  <c r="C91" i="204" s="1"/>
  <c r="C89" i="199"/>
  <c r="C91" i="199" s="1"/>
  <c r="C89" i="193"/>
  <c r="C91" i="193" s="1"/>
  <c r="D86" i="188"/>
  <c r="D87" i="188" s="1"/>
  <c r="E29" i="188"/>
  <c r="D228" i="209"/>
  <c r="D86" i="202"/>
  <c r="D87" i="202" s="1"/>
  <c r="E29" i="202"/>
  <c r="C88" i="194"/>
  <c r="C90" i="194" s="1"/>
  <c r="C89" i="194"/>
  <c r="C91" i="194" s="1"/>
  <c r="E191" i="152"/>
  <c r="C133" i="140"/>
  <c r="C235" i="140" s="1"/>
  <c r="C269" i="140" s="1"/>
  <c r="E77" i="124"/>
  <c r="E73" i="124"/>
  <c r="E78" i="124"/>
  <c r="E74" i="124"/>
  <c r="E70" i="124"/>
  <c r="E79" i="124"/>
  <c r="E75" i="124"/>
  <c r="E71" i="124"/>
  <c r="E80" i="124"/>
  <c r="E76" i="124"/>
  <c r="E72" i="124"/>
  <c r="E201" i="209"/>
  <c r="F125" i="209"/>
  <c r="D239" i="209"/>
  <c r="C89" i="189"/>
  <c r="C91" i="189" s="1"/>
  <c r="C88" i="189"/>
  <c r="C90" i="189" s="1"/>
  <c r="D27" i="195"/>
  <c r="C64" i="195"/>
  <c r="C65" i="195" s="1"/>
  <c r="C50" i="195"/>
  <c r="D50" i="195" s="1"/>
  <c r="C64" i="204"/>
  <c r="C65" i="204" s="1"/>
  <c r="C50" i="204"/>
  <c r="D50" i="204" s="1"/>
  <c r="D27" i="204"/>
  <c r="E196" i="209"/>
  <c r="F120" i="209"/>
  <c r="E200" i="209"/>
  <c r="F124" i="209"/>
  <c r="E204" i="209"/>
  <c r="F128" i="209"/>
  <c r="E208" i="209"/>
  <c r="F132" i="209"/>
  <c r="E212" i="209"/>
  <c r="F136" i="209"/>
  <c r="F52" i="202"/>
  <c r="H52" i="202" s="1"/>
  <c r="E52" i="202"/>
  <c r="G52" i="202" s="1"/>
  <c r="I52" i="202" s="1"/>
  <c r="C89" i="196"/>
  <c r="C91" i="196" s="1"/>
  <c r="D86" i="191"/>
  <c r="D87" i="191" s="1"/>
  <c r="E29" i="191"/>
  <c r="C89" i="186"/>
  <c r="C91" i="186" s="1"/>
  <c r="C88" i="186"/>
  <c r="C90" i="186" s="1"/>
  <c r="E188" i="152"/>
  <c r="C130" i="140"/>
  <c r="C232" i="140" s="1"/>
  <c r="C266" i="140" s="1"/>
  <c r="E185" i="152"/>
  <c r="C127" i="140"/>
  <c r="E197" i="209"/>
  <c r="F121" i="209"/>
  <c r="D231" i="209"/>
  <c r="F135" i="209"/>
  <c r="E211" i="209"/>
  <c r="D86" i="201"/>
  <c r="D87" i="201" s="1"/>
  <c r="E29" i="201"/>
  <c r="E29" i="197"/>
  <c r="D86" i="197"/>
  <c r="D87" i="197" s="1"/>
  <c r="C89" i="192"/>
  <c r="C91" i="192" s="1"/>
  <c r="D27" i="188"/>
  <c r="C64" i="188"/>
  <c r="C65" i="188" s="1"/>
  <c r="C50" i="188"/>
  <c r="D50" i="188" s="1"/>
  <c r="D27" i="191"/>
  <c r="C64" i="191"/>
  <c r="C65" i="191" s="1"/>
  <c r="C50" i="191"/>
  <c r="D50" i="191" s="1"/>
  <c r="C64" i="196"/>
  <c r="C65" i="196" s="1"/>
  <c r="C50" i="196"/>
  <c r="D50" i="196" s="1"/>
  <c r="D27" i="196"/>
  <c r="C64" i="200"/>
  <c r="C65" i="200" s="1"/>
  <c r="C50" i="200"/>
  <c r="D50" i="200" s="1"/>
  <c r="D27" i="200"/>
  <c r="D261" i="152"/>
  <c r="G75" i="104"/>
  <c r="G76" i="104" s="1"/>
  <c r="L204" i="95" s="1"/>
  <c r="P34" i="104"/>
  <c r="O37" i="104"/>
  <c r="AF213" i="95"/>
  <c r="I191" i="152"/>
  <c r="J76" i="123"/>
  <c r="I194" i="152"/>
  <c r="J79" i="123"/>
  <c r="I77" i="124"/>
  <c r="I73" i="124"/>
  <c r="I78" i="124"/>
  <c r="I74" i="124"/>
  <c r="I70" i="124"/>
  <c r="I79" i="124"/>
  <c r="I75" i="124"/>
  <c r="I71" i="124"/>
  <c r="I80" i="124"/>
  <c r="I76" i="124"/>
  <c r="I72" i="124"/>
  <c r="F63" i="124"/>
  <c r="F59" i="124"/>
  <c r="F55" i="124"/>
  <c r="F64" i="124"/>
  <c r="F60" i="124"/>
  <c r="F56" i="124"/>
  <c r="F65" i="124"/>
  <c r="F61" i="124"/>
  <c r="F57" i="124"/>
  <c r="F62" i="124"/>
  <c r="F58" i="124"/>
  <c r="I176" i="152"/>
  <c r="J61" i="123"/>
  <c r="I179" i="152"/>
  <c r="J64" i="123"/>
  <c r="I62" i="124"/>
  <c r="I58" i="124"/>
  <c r="I63" i="124"/>
  <c r="I59" i="124"/>
  <c r="I55" i="124"/>
  <c r="I64" i="124"/>
  <c r="I60" i="124"/>
  <c r="I56" i="124"/>
  <c r="I65" i="124"/>
  <c r="I61" i="124"/>
  <c r="I57" i="124"/>
  <c r="C227" i="209"/>
  <c r="D233" i="209"/>
  <c r="D86" i="185"/>
  <c r="D87" i="185" s="1"/>
  <c r="E29" i="185"/>
  <c r="D86" i="203"/>
  <c r="D87" i="203" s="1"/>
  <c r="E29" i="203"/>
  <c r="F52" i="200"/>
  <c r="H52" i="200" s="1"/>
  <c r="E52" i="200"/>
  <c r="G52" i="200" s="1"/>
  <c r="I52" i="200" s="1"/>
  <c r="F52" i="190"/>
  <c r="H52" i="190" s="1"/>
  <c r="E52" i="190"/>
  <c r="G52" i="190" s="1"/>
  <c r="I52" i="190" s="1"/>
  <c r="D86" i="187"/>
  <c r="D87" i="187" s="1"/>
  <c r="E29" i="187"/>
  <c r="C75" i="187"/>
  <c r="C76" i="187" s="1"/>
  <c r="C51" i="187"/>
  <c r="D51" i="187" s="1"/>
  <c r="D28" i="187"/>
  <c r="C75" i="192"/>
  <c r="C76" i="192" s="1"/>
  <c r="C51" i="192"/>
  <c r="D51" i="192" s="1"/>
  <c r="D28" i="192"/>
  <c r="C75" i="196"/>
  <c r="C76" i="196" s="1"/>
  <c r="C51" i="196"/>
  <c r="D51" i="196" s="1"/>
  <c r="D28" i="196"/>
  <c r="C75" i="198"/>
  <c r="C76" i="198" s="1"/>
  <c r="D28" i="198"/>
  <c r="C51" i="198"/>
  <c r="D51" i="198" s="1"/>
  <c r="C51" i="202"/>
  <c r="D51" i="202" s="1"/>
  <c r="D28" i="202"/>
  <c r="C75" i="202"/>
  <c r="C76" i="202" s="1"/>
  <c r="C64" i="124"/>
  <c r="C60" i="124"/>
  <c r="C56" i="124"/>
  <c r="C65" i="124"/>
  <c r="C61" i="124"/>
  <c r="C57" i="124"/>
  <c r="C62" i="124"/>
  <c r="C58" i="124"/>
  <c r="C63" i="124"/>
  <c r="C59" i="124"/>
  <c r="C55" i="124"/>
  <c r="E172" i="152"/>
  <c r="C113" i="140"/>
  <c r="C215" i="140" s="1"/>
  <c r="C249" i="140" s="1"/>
  <c r="E175" i="152"/>
  <c r="C116" i="140"/>
  <c r="C218" i="140" s="1"/>
  <c r="C252" i="140" s="1"/>
  <c r="E178" i="152"/>
  <c r="C119" i="140"/>
  <c r="C221" i="140" s="1"/>
  <c r="C255" i="140" s="1"/>
  <c r="D266" i="152"/>
  <c r="O41" i="113"/>
  <c r="O46" i="113" s="1"/>
  <c r="O56" i="113" s="1"/>
  <c r="N15" i="92" s="1"/>
  <c r="C487" i="92" s="1"/>
  <c r="C224" i="209"/>
  <c r="C232" i="209"/>
  <c r="C240" i="209"/>
  <c r="D86" i="204"/>
  <c r="D87" i="204" s="1"/>
  <c r="E29" i="204"/>
  <c r="F52" i="199"/>
  <c r="H52" i="199" s="1"/>
  <c r="F52" i="195"/>
  <c r="H52" i="195" s="1"/>
  <c r="E52" i="195"/>
  <c r="G52" i="195" s="1"/>
  <c r="I52" i="195" s="1"/>
  <c r="C89" i="188"/>
  <c r="C91" i="188" s="1"/>
  <c r="C88" i="188"/>
  <c r="C90" i="188" s="1"/>
  <c r="D238" i="209"/>
  <c r="C89" i="202"/>
  <c r="C91" i="202" s="1"/>
  <c r="C88" i="202"/>
  <c r="C90" i="202" s="1"/>
  <c r="F52" i="186"/>
  <c r="H52" i="186" s="1"/>
  <c r="E52" i="186"/>
  <c r="G52" i="186" s="1"/>
  <c r="I52" i="186" s="1"/>
  <c r="D65" i="124"/>
  <c r="D61" i="124"/>
  <c r="D57" i="124"/>
  <c r="D62" i="124"/>
  <c r="D58" i="124"/>
  <c r="D63" i="124"/>
  <c r="D59" i="124"/>
  <c r="D55" i="124"/>
  <c r="D64" i="124"/>
  <c r="D60" i="124"/>
  <c r="D56" i="124"/>
  <c r="E192" i="152"/>
  <c r="C134" i="140"/>
  <c r="C236" i="140" s="1"/>
  <c r="C270" i="140" s="1"/>
  <c r="E189" i="152"/>
  <c r="C131" i="140"/>
  <c r="C233" i="140" s="1"/>
  <c r="C267" i="140" s="1"/>
  <c r="F127" i="209"/>
  <c r="E203" i="209"/>
  <c r="D237" i="209"/>
  <c r="F52" i="189"/>
  <c r="H52" i="189" s="1"/>
  <c r="E52" i="189"/>
  <c r="G52" i="189" s="1"/>
  <c r="I52" i="189" s="1"/>
  <c r="C64" i="190"/>
  <c r="C65" i="190" s="1"/>
  <c r="C50" i="190"/>
  <c r="D50" i="190" s="1"/>
  <c r="D27" i="190"/>
  <c r="D27" i="197"/>
  <c r="C64" i="197"/>
  <c r="C65" i="197" s="1"/>
  <c r="C50" i="197"/>
  <c r="D50" i="197" s="1"/>
  <c r="H65" i="124"/>
  <c r="H61" i="124"/>
  <c r="H57" i="124"/>
  <c r="H62" i="124"/>
  <c r="H58" i="124"/>
  <c r="H63" i="124"/>
  <c r="H59" i="124"/>
  <c r="H55" i="124"/>
  <c r="H64" i="124"/>
  <c r="H60" i="124"/>
  <c r="H56" i="124"/>
  <c r="I188" i="152"/>
  <c r="J73" i="123"/>
  <c r="I195" i="152"/>
  <c r="J80" i="123"/>
  <c r="I185" i="152"/>
  <c r="J70" i="123"/>
  <c r="I173" i="152"/>
  <c r="J58" i="123"/>
  <c r="I180" i="152"/>
  <c r="J65" i="123"/>
  <c r="I170" i="152"/>
  <c r="J55" i="123"/>
  <c r="C223" i="209"/>
  <c r="C229" i="209"/>
  <c r="C235" i="209"/>
  <c r="C89" i="185"/>
  <c r="C91" i="185" s="1"/>
  <c r="E52" i="203"/>
  <c r="G52" i="203" s="1"/>
  <c r="I52" i="203" s="1"/>
  <c r="F52" i="203"/>
  <c r="H52" i="203" s="1"/>
  <c r="F52" i="198"/>
  <c r="H52" i="198" s="1"/>
  <c r="D86" i="190"/>
  <c r="D87" i="190" s="1"/>
  <c r="E29" i="190"/>
  <c r="C88" i="187"/>
  <c r="C90" i="187" s="1"/>
  <c r="C89" i="187"/>
  <c r="C91" i="187" s="1"/>
  <c r="C75" i="189"/>
  <c r="C76" i="189" s="1"/>
  <c r="C51" i="189"/>
  <c r="D51" i="189" s="1"/>
  <c r="D28" i="189"/>
  <c r="C75" i="193"/>
  <c r="C76" i="193" s="1"/>
  <c r="D28" i="193"/>
  <c r="C51" i="193"/>
  <c r="D51" i="193" s="1"/>
  <c r="C75" i="197"/>
  <c r="C76" i="197" s="1"/>
  <c r="D28" i="197"/>
  <c r="C51" i="197"/>
  <c r="D51" i="197" s="1"/>
  <c r="C51" i="200"/>
  <c r="D51" i="200" s="1"/>
  <c r="D28" i="200"/>
  <c r="C75" i="200"/>
  <c r="C76" i="200" s="1"/>
  <c r="E176" i="152"/>
  <c r="C117" i="140"/>
  <c r="C219" i="140" s="1"/>
  <c r="C253" i="140" s="1"/>
  <c r="E179" i="152"/>
  <c r="C120" i="140"/>
  <c r="C222" i="140" s="1"/>
  <c r="C256" i="140" s="1"/>
  <c r="E62" i="124"/>
  <c r="E58" i="124"/>
  <c r="E63" i="124"/>
  <c r="E59" i="124"/>
  <c r="E55" i="124"/>
  <c r="E64" i="124"/>
  <c r="E60" i="124"/>
  <c r="E56" i="124"/>
  <c r="E65" i="124"/>
  <c r="E61" i="124"/>
  <c r="E57" i="124"/>
  <c r="C226" i="209"/>
  <c r="C51" i="185"/>
  <c r="D51" i="185" s="1"/>
  <c r="C75" i="185"/>
  <c r="C76" i="185" s="1"/>
  <c r="D28" i="185"/>
  <c r="F52" i="204"/>
  <c r="H52" i="204" s="1"/>
  <c r="F52" i="193"/>
  <c r="H52" i="193" s="1"/>
  <c r="E52" i="193"/>
  <c r="G52" i="193" s="1"/>
  <c r="I52" i="193" s="1"/>
  <c r="E29" i="195"/>
  <c r="D86" i="195"/>
  <c r="D87" i="195" s="1"/>
  <c r="F52" i="188"/>
  <c r="H52" i="188" s="1"/>
  <c r="E52" i="188"/>
  <c r="G52" i="188" s="1"/>
  <c r="I52" i="188" s="1"/>
  <c r="L456" i="92"/>
  <c r="L461" i="92"/>
  <c r="L466" i="92"/>
  <c r="L471" i="92"/>
  <c r="L476" i="92"/>
  <c r="L469" i="92"/>
  <c r="L477" i="92"/>
  <c r="L464" i="92"/>
  <c r="L470" i="92"/>
  <c r="L475" i="92"/>
  <c r="L463" i="92"/>
  <c r="L468" i="92"/>
  <c r="L474" i="92"/>
  <c r="L473" i="92"/>
  <c r="L462" i="92"/>
  <c r="L467" i="92"/>
  <c r="L472" i="92"/>
  <c r="L478" i="92"/>
  <c r="L465" i="92"/>
  <c r="E456" i="92"/>
  <c r="E463" i="92"/>
  <c r="E467" i="92"/>
  <c r="E471" i="92"/>
  <c r="E475" i="92"/>
  <c r="E462" i="92"/>
  <c r="E466" i="92"/>
  <c r="E470" i="92"/>
  <c r="E474" i="92"/>
  <c r="E478" i="92"/>
  <c r="E461" i="92"/>
  <c r="E465" i="92"/>
  <c r="E469" i="92"/>
  <c r="E473" i="92"/>
  <c r="E477" i="92"/>
  <c r="E464" i="92"/>
  <c r="E468" i="92"/>
  <c r="E472" i="92"/>
  <c r="E476" i="92"/>
  <c r="J456" i="92"/>
  <c r="J464" i="92"/>
  <c r="J469" i="92"/>
  <c r="J474" i="92"/>
  <c r="J471" i="92"/>
  <c r="J467" i="92"/>
  <c r="J462" i="92"/>
  <c r="J468" i="92"/>
  <c r="J473" i="92"/>
  <c r="J478" i="92"/>
  <c r="J475" i="92"/>
  <c r="J463" i="92"/>
  <c r="J461" i="92"/>
  <c r="J466" i="92"/>
  <c r="J472" i="92"/>
  <c r="J477" i="92"/>
  <c r="J465" i="92"/>
  <c r="J470" i="92"/>
  <c r="J476" i="92"/>
  <c r="K456" i="92"/>
  <c r="K466" i="92"/>
  <c r="K461" i="92"/>
  <c r="K467" i="92"/>
  <c r="K472" i="92"/>
  <c r="K477" i="92"/>
  <c r="K462" i="92"/>
  <c r="K465" i="92"/>
  <c r="K471" i="92"/>
  <c r="K476" i="92"/>
  <c r="K470" i="92"/>
  <c r="K478" i="92"/>
  <c r="K464" i="92"/>
  <c r="K469" i="92"/>
  <c r="K475" i="92"/>
  <c r="K474" i="92"/>
  <c r="K463" i="92"/>
  <c r="K468" i="92"/>
  <c r="K473" i="92"/>
  <c r="I456" i="92"/>
  <c r="I464" i="92"/>
  <c r="I468" i="92"/>
  <c r="I472" i="92"/>
  <c r="I476" i="92"/>
  <c r="I463" i="92"/>
  <c r="I467" i="92"/>
  <c r="I471" i="92"/>
  <c r="I475" i="92"/>
  <c r="I462" i="92"/>
  <c r="I466" i="92"/>
  <c r="I470" i="92"/>
  <c r="I474" i="92"/>
  <c r="I478" i="92"/>
  <c r="I461" i="92"/>
  <c r="I465" i="92"/>
  <c r="I469" i="92"/>
  <c r="I473" i="92"/>
  <c r="I477" i="92"/>
  <c r="N456" i="92"/>
  <c r="N475" i="92"/>
  <c r="N465" i="92"/>
  <c r="N470" i="92"/>
  <c r="N476" i="92"/>
  <c r="N464" i="92"/>
  <c r="N469" i="92"/>
  <c r="N474" i="92"/>
  <c r="N467" i="92"/>
  <c r="N463" i="92"/>
  <c r="N462" i="92"/>
  <c r="N468" i="92"/>
  <c r="N473" i="92"/>
  <c r="N478" i="92"/>
  <c r="N471" i="92"/>
  <c r="N461" i="92"/>
  <c r="N466" i="92"/>
  <c r="N472" i="92"/>
  <c r="N477" i="92"/>
  <c r="D456" i="92"/>
  <c r="D463" i="92"/>
  <c r="D468" i="92"/>
  <c r="D474" i="92"/>
  <c r="D462" i="92"/>
  <c r="D467" i="92"/>
  <c r="D472" i="92"/>
  <c r="D478" i="92"/>
  <c r="D473" i="92"/>
  <c r="D461" i="92"/>
  <c r="D469" i="92"/>
  <c r="D466" i="92"/>
  <c r="D471" i="92"/>
  <c r="D476" i="92"/>
  <c r="D477" i="92"/>
  <c r="D464" i="92"/>
  <c r="D470" i="92"/>
  <c r="D475" i="92"/>
  <c r="D465" i="92"/>
  <c r="H456" i="92"/>
  <c r="H464" i="92"/>
  <c r="H470" i="92"/>
  <c r="H475" i="92"/>
  <c r="H461" i="92"/>
  <c r="H463" i="92"/>
  <c r="H468" i="92"/>
  <c r="H474" i="92"/>
  <c r="H477" i="92"/>
  <c r="H462" i="92"/>
  <c r="H467" i="92"/>
  <c r="H472" i="92"/>
  <c r="H478" i="92"/>
  <c r="H469" i="92"/>
  <c r="H465" i="92"/>
  <c r="H466" i="92"/>
  <c r="H471" i="92"/>
  <c r="H476" i="92"/>
  <c r="H473" i="92"/>
  <c r="D460" i="92"/>
  <c r="M456" i="92"/>
  <c r="M461" i="92"/>
  <c r="M465" i="92"/>
  <c r="M469" i="92"/>
  <c r="M473" i="92"/>
  <c r="M477" i="92"/>
  <c r="M464" i="92"/>
  <c r="M468" i="92"/>
  <c r="M472" i="92"/>
  <c r="M476" i="92"/>
  <c r="M463" i="92"/>
  <c r="M467" i="92"/>
  <c r="M471" i="92"/>
  <c r="M475" i="92"/>
  <c r="M462" i="92"/>
  <c r="M466" i="92"/>
  <c r="M470" i="92"/>
  <c r="M474" i="92"/>
  <c r="M478" i="92"/>
  <c r="C456" i="92"/>
  <c r="C466" i="92"/>
  <c r="C464" i="92"/>
  <c r="C469" i="92"/>
  <c r="C475" i="92"/>
  <c r="C463" i="92"/>
  <c r="C468" i="92"/>
  <c r="C473" i="92"/>
  <c r="C474" i="92"/>
  <c r="C461" i="92"/>
  <c r="C467" i="92"/>
  <c r="C472" i="92"/>
  <c r="C477" i="92"/>
  <c r="C462" i="92"/>
  <c r="C470" i="92"/>
  <c r="C465" i="92"/>
  <c r="C471" i="92"/>
  <c r="C476" i="92"/>
  <c r="C478" i="92"/>
  <c r="F456" i="92"/>
  <c r="F471" i="92"/>
  <c r="F462" i="92"/>
  <c r="F468" i="92"/>
  <c r="F473" i="92"/>
  <c r="F478" i="92"/>
  <c r="F467" i="92"/>
  <c r="F461" i="92"/>
  <c r="F466" i="92"/>
  <c r="F472" i="92"/>
  <c r="F477" i="92"/>
  <c r="F465" i="92"/>
  <c r="F470" i="92"/>
  <c r="F476" i="92"/>
  <c r="F464" i="92"/>
  <c r="F469" i="92"/>
  <c r="F474" i="92"/>
  <c r="F475" i="92"/>
  <c r="F463" i="92"/>
  <c r="G456" i="92"/>
  <c r="G466" i="92"/>
  <c r="G465" i="92"/>
  <c r="G471" i="92"/>
  <c r="G476" i="92"/>
  <c r="G474" i="92"/>
  <c r="G462" i="92"/>
  <c r="G464" i="92"/>
  <c r="G469" i="92"/>
  <c r="G475" i="92"/>
  <c r="G478" i="92"/>
  <c r="G463" i="92"/>
  <c r="G468" i="92"/>
  <c r="G473" i="92"/>
  <c r="G470" i="92"/>
  <c r="G461" i="92"/>
  <c r="G467" i="92"/>
  <c r="G472" i="92"/>
  <c r="G477" i="92"/>
  <c r="C489" i="92" l="1"/>
  <c r="C522" i="92" s="1"/>
  <c r="C572" i="92" s="1"/>
  <c r="C622" i="92" s="1"/>
  <c r="C490" i="92"/>
  <c r="C523" i="92" s="1"/>
  <c r="C573" i="92" s="1"/>
  <c r="C623" i="92" s="1"/>
  <c r="E204" i="152"/>
  <c r="E44" i="169"/>
  <c r="E76" i="169" s="1"/>
  <c r="E44" i="167"/>
  <c r="E76" i="167" s="1"/>
  <c r="E44" i="166"/>
  <c r="E76" i="166" s="1"/>
  <c r="E207" i="152"/>
  <c r="E47" i="169"/>
  <c r="E79" i="169" s="1"/>
  <c r="E47" i="167"/>
  <c r="E79" i="167" s="1"/>
  <c r="E47" i="166"/>
  <c r="E79" i="166" s="1"/>
  <c r="D75" i="200"/>
  <c r="D76" i="200" s="1"/>
  <c r="E28" i="200"/>
  <c r="E28" i="189"/>
  <c r="D75" i="189"/>
  <c r="D76" i="189" s="1"/>
  <c r="H209" i="152"/>
  <c r="H49" i="169"/>
  <c r="H81" i="169" s="1"/>
  <c r="H49" i="167"/>
  <c r="H81" i="167" s="1"/>
  <c r="H49" i="166"/>
  <c r="H81" i="166" s="1"/>
  <c r="F50" i="190"/>
  <c r="H50" i="190" s="1"/>
  <c r="E50" i="190"/>
  <c r="G50" i="190" s="1"/>
  <c r="I50" i="190" s="1"/>
  <c r="D207" i="152"/>
  <c r="D47" i="169"/>
  <c r="D79" i="169" s="1"/>
  <c r="D47" i="167"/>
  <c r="D79" i="167" s="1"/>
  <c r="D47" i="166"/>
  <c r="D79" i="166" s="1"/>
  <c r="D208" i="152"/>
  <c r="D48" i="169"/>
  <c r="D80" i="169" s="1"/>
  <c r="D48" i="167"/>
  <c r="D80" i="167" s="1"/>
  <c r="D48" i="166"/>
  <c r="D80" i="166" s="1"/>
  <c r="C202" i="152"/>
  <c r="C42" i="169"/>
  <c r="C74" i="169" s="1"/>
  <c r="C42" i="167"/>
  <c r="C74" i="167" s="1"/>
  <c r="C42" i="166"/>
  <c r="C74" i="166" s="1"/>
  <c r="C78" i="198"/>
  <c r="C80" i="198" s="1"/>
  <c r="I202" i="152"/>
  <c r="I42" i="169"/>
  <c r="I74" i="169" s="1"/>
  <c r="J55" i="124"/>
  <c r="I42" i="167"/>
  <c r="I74" i="167" s="1"/>
  <c r="I42" i="166"/>
  <c r="I74" i="166" s="1"/>
  <c r="F211" i="152"/>
  <c r="F51" i="169"/>
  <c r="F83" i="169" s="1"/>
  <c r="F51" i="167"/>
  <c r="F83" i="167" s="1"/>
  <c r="F51" i="166"/>
  <c r="F83" i="166" s="1"/>
  <c r="I219" i="152"/>
  <c r="I59" i="169"/>
  <c r="I91" i="169" s="1"/>
  <c r="I59" i="167"/>
  <c r="I91" i="167" s="1"/>
  <c r="I59" i="166"/>
  <c r="I91" i="166" s="1"/>
  <c r="J72" i="124"/>
  <c r="I225" i="152"/>
  <c r="I65" i="169"/>
  <c r="I97" i="169" s="1"/>
  <c r="I65" i="167"/>
  <c r="I97" i="167" s="1"/>
  <c r="I65" i="166"/>
  <c r="I97" i="166" s="1"/>
  <c r="J78" i="124"/>
  <c r="F50" i="196"/>
  <c r="H50" i="196" s="1"/>
  <c r="D64" i="191"/>
  <c r="D65" i="191" s="1"/>
  <c r="E27" i="191"/>
  <c r="E86" i="201"/>
  <c r="E87" i="201" s="1"/>
  <c r="F29" i="201"/>
  <c r="C229" i="140"/>
  <c r="C137" i="140"/>
  <c r="C138" i="140" s="1"/>
  <c r="G136" i="209"/>
  <c r="F212" i="209"/>
  <c r="G128" i="209"/>
  <c r="F204" i="209"/>
  <c r="G120" i="209"/>
  <c r="F196" i="209"/>
  <c r="C67" i="204"/>
  <c r="C69" i="204" s="1"/>
  <c r="F201" i="209"/>
  <c r="G125" i="209"/>
  <c r="E227" i="152"/>
  <c r="E67" i="169"/>
  <c r="E99" i="169" s="1"/>
  <c r="E110" i="166" s="1"/>
  <c r="E67" i="167"/>
  <c r="E99" i="167" s="1"/>
  <c r="E108" i="166" s="1"/>
  <c r="E67" i="166"/>
  <c r="E99" i="166" s="1"/>
  <c r="E106" i="166" s="1"/>
  <c r="E217" i="152"/>
  <c r="E57" i="169"/>
  <c r="E89" i="169" s="1"/>
  <c r="E57" i="167"/>
  <c r="E89" i="167" s="1"/>
  <c r="E57" i="166"/>
  <c r="E89" i="166" s="1"/>
  <c r="E224" i="152"/>
  <c r="E64" i="169"/>
  <c r="E96" i="169" s="1"/>
  <c r="E64" i="167"/>
  <c r="E96" i="167" s="1"/>
  <c r="E64" i="166"/>
  <c r="E96" i="166" s="1"/>
  <c r="D222" i="152"/>
  <c r="D62" i="169"/>
  <c r="D94" i="169" s="1"/>
  <c r="D62" i="167"/>
  <c r="D94" i="167" s="1"/>
  <c r="D62" i="166"/>
  <c r="D94" i="166" s="1"/>
  <c r="D225" i="152"/>
  <c r="D65" i="169"/>
  <c r="D97" i="169" s="1"/>
  <c r="D65" i="167"/>
  <c r="D97" i="167" s="1"/>
  <c r="D65" i="166"/>
  <c r="D97" i="166" s="1"/>
  <c r="D223" i="152"/>
  <c r="D63" i="169"/>
  <c r="D95" i="169" s="1"/>
  <c r="D63" i="167"/>
  <c r="D95" i="167" s="1"/>
  <c r="D63" i="166"/>
  <c r="D95" i="166" s="1"/>
  <c r="E51" i="204"/>
  <c r="G51" i="204" s="1"/>
  <c r="I51" i="204" s="1"/>
  <c r="F51" i="204"/>
  <c r="H51" i="204" s="1"/>
  <c r="E28" i="194"/>
  <c r="D75" i="194"/>
  <c r="D76" i="194" s="1"/>
  <c r="F51" i="190"/>
  <c r="H51" i="190" s="1"/>
  <c r="F51" i="188"/>
  <c r="H51" i="188" s="1"/>
  <c r="G206" i="152"/>
  <c r="G46" i="169"/>
  <c r="G78" i="169" s="1"/>
  <c r="G46" i="167"/>
  <c r="G78" i="167" s="1"/>
  <c r="G46" i="166"/>
  <c r="G78" i="166" s="1"/>
  <c r="G204" i="152"/>
  <c r="G44" i="169"/>
  <c r="G76" i="169" s="1"/>
  <c r="G44" i="167"/>
  <c r="G76" i="167" s="1"/>
  <c r="G44" i="166"/>
  <c r="G76" i="166" s="1"/>
  <c r="G207" i="152"/>
  <c r="G47" i="169"/>
  <c r="G79" i="169" s="1"/>
  <c r="G47" i="167"/>
  <c r="G79" i="167" s="1"/>
  <c r="G47" i="166"/>
  <c r="G79" i="166" s="1"/>
  <c r="J190" i="152"/>
  <c r="K75" i="123"/>
  <c r="F50" i="201"/>
  <c r="H50" i="201" s="1"/>
  <c r="E50" i="201"/>
  <c r="G50" i="201" s="1"/>
  <c r="I50" i="201" s="1"/>
  <c r="C67" i="193"/>
  <c r="C69" i="193" s="1"/>
  <c r="C66" i="193"/>
  <c r="C68" i="193" s="1"/>
  <c r="D64" i="186"/>
  <c r="D65" i="186" s="1"/>
  <c r="E27" i="186"/>
  <c r="E86" i="186"/>
  <c r="E87" i="186" s="1"/>
  <c r="F29" i="186"/>
  <c r="G138" i="209"/>
  <c r="F214" i="209"/>
  <c r="E86" i="199"/>
  <c r="E87" i="199" s="1"/>
  <c r="F29" i="199"/>
  <c r="C213" i="140"/>
  <c r="C121" i="140"/>
  <c r="C78" i="203"/>
  <c r="C80" i="203" s="1"/>
  <c r="C77" i="203"/>
  <c r="C79" i="203" s="1"/>
  <c r="C81" i="203" s="1"/>
  <c r="F51" i="199"/>
  <c r="H51" i="199" s="1"/>
  <c r="C78" i="195"/>
  <c r="C80" i="195" s="1"/>
  <c r="C77" i="195"/>
  <c r="C79" i="195" s="1"/>
  <c r="C81" i="195" s="1"/>
  <c r="C78" i="186"/>
  <c r="C80" i="186" s="1"/>
  <c r="C77" i="186"/>
  <c r="C79" i="186" s="1"/>
  <c r="C81" i="186" s="1"/>
  <c r="D89" i="200"/>
  <c r="D91" i="200" s="1"/>
  <c r="H217" i="152"/>
  <c r="H57" i="169"/>
  <c r="H89" i="169" s="1"/>
  <c r="H57" i="167"/>
  <c r="H89" i="167" s="1"/>
  <c r="H57" i="166"/>
  <c r="H89" i="166" s="1"/>
  <c r="H224" i="152"/>
  <c r="H64" i="169"/>
  <c r="H96" i="169" s="1"/>
  <c r="H64" i="167"/>
  <c r="H96" i="167" s="1"/>
  <c r="H64" i="166"/>
  <c r="H96" i="166" s="1"/>
  <c r="J189" i="152"/>
  <c r="K74" i="123"/>
  <c r="J192" i="152"/>
  <c r="K77" i="123"/>
  <c r="G225" i="152"/>
  <c r="G65" i="167"/>
  <c r="G97" i="167" s="1"/>
  <c r="G65" i="166"/>
  <c r="G97" i="166" s="1"/>
  <c r="G65" i="169"/>
  <c r="G97" i="169" s="1"/>
  <c r="G223" i="152"/>
  <c r="G63" i="169"/>
  <c r="G95" i="169" s="1"/>
  <c r="G63" i="167"/>
  <c r="G95" i="167" s="1"/>
  <c r="G63" i="166"/>
  <c r="G95" i="166" s="1"/>
  <c r="G226" i="152"/>
  <c r="G66" i="169"/>
  <c r="G98" i="169" s="1"/>
  <c r="G66" i="167"/>
  <c r="G98" i="167" s="1"/>
  <c r="G66" i="166"/>
  <c r="G98" i="166" s="1"/>
  <c r="C67" i="203"/>
  <c r="C69" i="203" s="1"/>
  <c r="C66" i="203"/>
  <c r="C68" i="203" s="1"/>
  <c r="D64" i="198"/>
  <c r="D65" i="198" s="1"/>
  <c r="E27" i="198"/>
  <c r="F50" i="192"/>
  <c r="H50" i="192" s="1"/>
  <c r="E50" i="192"/>
  <c r="G50" i="192" s="1"/>
  <c r="I50" i="192" s="1"/>
  <c r="C67" i="189"/>
  <c r="C69" i="189" s="1"/>
  <c r="C221" i="152"/>
  <c r="C61" i="169"/>
  <c r="C93" i="169" s="1"/>
  <c r="C61" i="167"/>
  <c r="C93" i="167" s="1"/>
  <c r="C61" i="166"/>
  <c r="C93" i="166" s="1"/>
  <c r="C219" i="152"/>
  <c r="C59" i="169"/>
  <c r="C91" i="169" s="1"/>
  <c r="C59" i="167"/>
  <c r="C91" i="167" s="1"/>
  <c r="C59" i="166"/>
  <c r="C91" i="166" s="1"/>
  <c r="C222" i="152"/>
  <c r="C62" i="169"/>
  <c r="C94" i="169" s="1"/>
  <c r="C62" i="167"/>
  <c r="C94" i="167" s="1"/>
  <c r="C62" i="166"/>
  <c r="C94" i="166" s="1"/>
  <c r="F50" i="202"/>
  <c r="H50" i="202" s="1"/>
  <c r="C66" i="194"/>
  <c r="C68" i="194" s="1"/>
  <c r="C67" i="194"/>
  <c r="C69" i="194" s="1"/>
  <c r="D223" i="209"/>
  <c r="F224" i="152"/>
  <c r="F64" i="169"/>
  <c r="F96" i="169" s="1"/>
  <c r="F64" i="167"/>
  <c r="F96" i="167" s="1"/>
  <c r="F64" i="166"/>
  <c r="F96" i="166" s="1"/>
  <c r="F218" i="152"/>
  <c r="F58" i="169"/>
  <c r="F90" i="169" s="1"/>
  <c r="F58" i="167"/>
  <c r="F90" i="167" s="1"/>
  <c r="F58" i="166"/>
  <c r="F90" i="166" s="1"/>
  <c r="F221" i="152"/>
  <c r="F61" i="169"/>
  <c r="F93" i="169" s="1"/>
  <c r="F61" i="167"/>
  <c r="F93" i="167" s="1"/>
  <c r="F61" i="166"/>
  <c r="F93" i="166" s="1"/>
  <c r="F50" i="185"/>
  <c r="H50" i="185" s="1"/>
  <c r="C503" i="92"/>
  <c r="C536" i="92" s="1"/>
  <c r="C586" i="92" s="1"/>
  <c r="C636" i="92" s="1"/>
  <c r="C32" i="88" s="1"/>
  <c r="C488" i="92"/>
  <c r="C521" i="92" s="1"/>
  <c r="C571" i="92" s="1"/>
  <c r="C621" i="92" s="1"/>
  <c r="C17" i="88" s="1"/>
  <c r="C493" i="92"/>
  <c r="C526" i="92" s="1"/>
  <c r="C576" i="92" s="1"/>
  <c r="C626" i="92" s="1"/>
  <c r="E28" i="185"/>
  <c r="D75" i="185"/>
  <c r="D76" i="185" s="1"/>
  <c r="E210" i="152"/>
  <c r="E50" i="169"/>
  <c r="E82" i="169" s="1"/>
  <c r="E50" i="167"/>
  <c r="E82" i="167" s="1"/>
  <c r="E50" i="166"/>
  <c r="E82" i="166" s="1"/>
  <c r="C78" i="197"/>
  <c r="C80" i="197" s="1"/>
  <c r="H202" i="152"/>
  <c r="H42" i="169"/>
  <c r="H74" i="169" s="1"/>
  <c r="H42" i="167"/>
  <c r="H74" i="167" s="1"/>
  <c r="H42" i="166"/>
  <c r="H74" i="166" s="1"/>
  <c r="E50" i="197"/>
  <c r="G50" i="197" s="1"/>
  <c r="I50" i="197" s="1"/>
  <c r="F50" i="197"/>
  <c r="H50" i="197" s="1"/>
  <c r="D210" i="152"/>
  <c r="D50" i="169"/>
  <c r="D82" i="169" s="1"/>
  <c r="D50" i="167"/>
  <c r="D82" i="167" s="1"/>
  <c r="D50" i="166"/>
  <c r="D82" i="166" s="1"/>
  <c r="C209" i="152"/>
  <c r="C49" i="169"/>
  <c r="C81" i="169" s="1"/>
  <c r="C49" i="167"/>
  <c r="C81" i="167" s="1"/>
  <c r="C49" i="166"/>
  <c r="C81" i="166" s="1"/>
  <c r="C203" i="152"/>
  <c r="C43" i="169"/>
  <c r="C75" i="169" s="1"/>
  <c r="C43" i="167"/>
  <c r="C75" i="167" s="1"/>
  <c r="C43" i="166"/>
  <c r="C75" i="166" s="1"/>
  <c r="D75" i="202"/>
  <c r="D76" i="202" s="1"/>
  <c r="E28" i="202"/>
  <c r="E28" i="192"/>
  <c r="D75" i="192"/>
  <c r="D76" i="192" s="1"/>
  <c r="F51" i="187"/>
  <c r="H51" i="187" s="1"/>
  <c r="F29" i="203"/>
  <c r="E86" i="203"/>
  <c r="E87" i="203" s="1"/>
  <c r="I212" i="152"/>
  <c r="I52" i="169"/>
  <c r="I84" i="169" s="1"/>
  <c r="I109" i="166" s="1"/>
  <c r="J65" i="124"/>
  <c r="I52" i="167"/>
  <c r="I84" i="167" s="1"/>
  <c r="I107" i="166" s="1"/>
  <c r="I52" i="166"/>
  <c r="I84" i="166" s="1"/>
  <c r="I105" i="166" s="1"/>
  <c r="I209" i="152"/>
  <c r="I49" i="169"/>
  <c r="I81" i="169" s="1"/>
  <c r="I49" i="167"/>
  <c r="I81" i="167" s="1"/>
  <c r="I49" i="166"/>
  <c r="I81" i="166" s="1"/>
  <c r="J62" i="124"/>
  <c r="F208" i="152"/>
  <c r="F48" i="169"/>
  <c r="F80" i="169" s="1"/>
  <c r="F48" i="167"/>
  <c r="F80" i="167" s="1"/>
  <c r="F48" i="166"/>
  <c r="F80" i="166" s="1"/>
  <c r="I222" i="152"/>
  <c r="I62" i="169"/>
  <c r="I94" i="169" s="1"/>
  <c r="I62" i="167"/>
  <c r="I94" i="167" s="1"/>
  <c r="I62" i="166"/>
  <c r="I94" i="166" s="1"/>
  <c r="J75" i="124"/>
  <c r="D260" i="152"/>
  <c r="O46" i="104"/>
  <c r="O41" i="104"/>
  <c r="D64" i="200"/>
  <c r="D65" i="200" s="1"/>
  <c r="E27" i="200"/>
  <c r="C498" i="92"/>
  <c r="C531" i="92" s="1"/>
  <c r="C581" i="92" s="1"/>
  <c r="C631" i="92" s="1"/>
  <c r="C504" i="92"/>
  <c r="C537" i="92" s="1"/>
  <c r="C587" i="92" s="1"/>
  <c r="C637" i="92" s="1"/>
  <c r="C36" i="150" s="1"/>
  <c r="C501" i="92"/>
  <c r="C534" i="92" s="1"/>
  <c r="C584" i="92" s="1"/>
  <c r="C634" i="92" s="1"/>
  <c r="C30" i="88" s="1"/>
  <c r="C502" i="92"/>
  <c r="C535" i="92" s="1"/>
  <c r="C585" i="92" s="1"/>
  <c r="C635" i="92" s="1"/>
  <c r="C78" i="185"/>
  <c r="C80" i="185" s="1"/>
  <c r="C77" i="185"/>
  <c r="C79" i="185" s="1"/>
  <c r="C81" i="185" s="1"/>
  <c r="E208" i="152"/>
  <c r="E48" i="169"/>
  <c r="E80" i="169" s="1"/>
  <c r="E48" i="167"/>
  <c r="E80" i="167" s="1"/>
  <c r="E48" i="166"/>
  <c r="E80" i="166" s="1"/>
  <c r="E211" i="152"/>
  <c r="E51" i="169"/>
  <c r="E83" i="169" s="1"/>
  <c r="E51" i="167"/>
  <c r="E83" i="167" s="1"/>
  <c r="E51" i="166"/>
  <c r="E83" i="166" s="1"/>
  <c r="E205" i="152"/>
  <c r="E45" i="169"/>
  <c r="E77" i="169" s="1"/>
  <c r="E45" i="167"/>
  <c r="E77" i="167" s="1"/>
  <c r="E45" i="166"/>
  <c r="E77" i="166" s="1"/>
  <c r="F51" i="200"/>
  <c r="H51" i="200" s="1"/>
  <c r="E51" i="200"/>
  <c r="G51" i="200" s="1"/>
  <c r="I51" i="200" s="1"/>
  <c r="F51" i="193"/>
  <c r="H51" i="193" s="1"/>
  <c r="E51" i="193"/>
  <c r="G51" i="193" s="1"/>
  <c r="I51" i="193" s="1"/>
  <c r="F51" i="189"/>
  <c r="H51" i="189" s="1"/>
  <c r="E51" i="189"/>
  <c r="G51" i="189" s="1"/>
  <c r="I51" i="189" s="1"/>
  <c r="E86" i="190"/>
  <c r="E87" i="190" s="1"/>
  <c r="F29" i="190"/>
  <c r="J170" i="152"/>
  <c r="K55" i="123"/>
  <c r="J173" i="152"/>
  <c r="K58" i="123"/>
  <c r="J195" i="152"/>
  <c r="K80" i="123"/>
  <c r="H203" i="152"/>
  <c r="H43" i="169"/>
  <c r="H75" i="169" s="1"/>
  <c r="H43" i="167"/>
  <c r="H75" i="167" s="1"/>
  <c r="H43" i="166"/>
  <c r="H75" i="166" s="1"/>
  <c r="H206" i="152"/>
  <c r="H46" i="169"/>
  <c r="H78" i="169" s="1"/>
  <c r="H46" i="167"/>
  <c r="H78" i="167" s="1"/>
  <c r="H46" i="166"/>
  <c r="H78" i="166" s="1"/>
  <c r="H204" i="152"/>
  <c r="H44" i="169"/>
  <c r="H76" i="169" s="1"/>
  <c r="H44" i="167"/>
  <c r="H76" i="167" s="1"/>
  <c r="H44" i="166"/>
  <c r="H76" i="166" s="1"/>
  <c r="C67" i="197"/>
  <c r="C69" i="197" s="1"/>
  <c r="C66" i="190"/>
  <c r="C68" i="190" s="1"/>
  <c r="C67" i="190"/>
  <c r="C69" i="190" s="1"/>
  <c r="D211" i="152"/>
  <c r="D51" i="169"/>
  <c r="D83" i="169" s="1"/>
  <c r="D51" i="167"/>
  <c r="D83" i="167" s="1"/>
  <c r="D51" i="166"/>
  <c r="D83" i="166" s="1"/>
  <c r="D205" i="152"/>
  <c r="D45" i="169"/>
  <c r="D77" i="169" s="1"/>
  <c r="D45" i="167"/>
  <c r="D77" i="167" s="1"/>
  <c r="D45" i="166"/>
  <c r="D77" i="166" s="1"/>
  <c r="D212" i="152"/>
  <c r="D52" i="169"/>
  <c r="D84" i="169" s="1"/>
  <c r="D109" i="166" s="1"/>
  <c r="D52" i="167"/>
  <c r="D84" i="167" s="1"/>
  <c r="D107" i="166" s="1"/>
  <c r="D52" i="166"/>
  <c r="D84" i="166" s="1"/>
  <c r="D105" i="166" s="1"/>
  <c r="C92" i="202"/>
  <c r="C92" i="188"/>
  <c r="E52" i="199"/>
  <c r="G52" i="199" s="1"/>
  <c r="I52" i="199" s="1"/>
  <c r="C206" i="152"/>
  <c r="C46" i="169"/>
  <c r="C78" i="169" s="1"/>
  <c r="C46" i="167"/>
  <c r="C78" i="167" s="1"/>
  <c r="C46" i="166"/>
  <c r="C78" i="166" s="1"/>
  <c r="C204" i="152"/>
  <c r="C44" i="169"/>
  <c r="C76" i="169" s="1"/>
  <c r="C44" i="167"/>
  <c r="C76" i="167" s="1"/>
  <c r="C44" i="166"/>
  <c r="C76" i="166" s="1"/>
  <c r="C207" i="152"/>
  <c r="C47" i="169"/>
  <c r="C79" i="169" s="1"/>
  <c r="C47" i="167"/>
  <c r="C79" i="167" s="1"/>
  <c r="C47" i="166"/>
  <c r="C79" i="166" s="1"/>
  <c r="F51" i="202"/>
  <c r="H51" i="202" s="1"/>
  <c r="D75" i="196"/>
  <c r="D76" i="196" s="1"/>
  <c r="E28" i="196"/>
  <c r="F51" i="192"/>
  <c r="H51" i="192" s="1"/>
  <c r="C77" i="187"/>
  <c r="C79" i="187" s="1"/>
  <c r="C81" i="187" s="1"/>
  <c r="C78" i="187"/>
  <c r="C80" i="187" s="1"/>
  <c r="D89" i="203"/>
  <c r="D91" i="203" s="1"/>
  <c r="I203" i="152"/>
  <c r="J56" i="124"/>
  <c r="I43" i="167"/>
  <c r="I75" i="167" s="1"/>
  <c r="I43" i="166"/>
  <c r="I75" i="166" s="1"/>
  <c r="I43" i="169"/>
  <c r="I75" i="169" s="1"/>
  <c r="I206" i="152"/>
  <c r="I46" i="169"/>
  <c r="I78" i="169" s="1"/>
  <c r="J59" i="124"/>
  <c r="I46" i="167"/>
  <c r="I78" i="167" s="1"/>
  <c r="I46" i="166"/>
  <c r="I78" i="166" s="1"/>
  <c r="J179" i="152"/>
  <c r="K64" i="123"/>
  <c r="F205" i="152"/>
  <c r="F45" i="169"/>
  <c r="F77" i="169" s="1"/>
  <c r="F45" i="167"/>
  <c r="F77" i="167" s="1"/>
  <c r="F45" i="166"/>
  <c r="F77" i="166" s="1"/>
  <c r="F212" i="152"/>
  <c r="F52" i="169"/>
  <c r="F84" i="169" s="1"/>
  <c r="F109" i="166" s="1"/>
  <c r="F52" i="167"/>
  <c r="F84" i="167" s="1"/>
  <c r="F107" i="166" s="1"/>
  <c r="F52" i="166"/>
  <c r="F84" i="166" s="1"/>
  <c r="F105" i="166" s="1"/>
  <c r="F202" i="152"/>
  <c r="F42" i="169"/>
  <c r="F74" i="169" s="1"/>
  <c r="F42" i="167"/>
  <c r="F74" i="167" s="1"/>
  <c r="F42" i="166"/>
  <c r="F74" i="166" s="1"/>
  <c r="I223" i="152"/>
  <c r="I63" i="167"/>
  <c r="I95" i="167" s="1"/>
  <c r="I63" i="166"/>
  <c r="I95" i="166" s="1"/>
  <c r="J76" i="124"/>
  <c r="I63" i="169"/>
  <c r="I95" i="169" s="1"/>
  <c r="I226" i="152"/>
  <c r="I66" i="169"/>
  <c r="I98" i="169" s="1"/>
  <c r="I66" i="167"/>
  <c r="I98" i="167" s="1"/>
  <c r="I66" i="166"/>
  <c r="I98" i="166" s="1"/>
  <c r="J79" i="124"/>
  <c r="I220" i="152"/>
  <c r="I60" i="169"/>
  <c r="I92" i="169" s="1"/>
  <c r="I60" i="167"/>
  <c r="I92" i="167" s="1"/>
  <c r="I60" i="166"/>
  <c r="I92" i="166" s="1"/>
  <c r="J73" i="124"/>
  <c r="J191" i="152"/>
  <c r="K76" i="123"/>
  <c r="E261" i="152"/>
  <c r="H75" i="104"/>
  <c r="H76" i="104" s="1"/>
  <c r="M204" i="95" s="1"/>
  <c r="Q34" i="104"/>
  <c r="P37" i="104"/>
  <c r="AG213" i="95"/>
  <c r="F50" i="200"/>
  <c r="H50" i="200" s="1"/>
  <c r="C66" i="196"/>
  <c r="C68" i="196" s="1"/>
  <c r="C67" i="196"/>
  <c r="C69" i="196" s="1"/>
  <c r="E50" i="188"/>
  <c r="G50" i="188" s="1"/>
  <c r="I50" i="188" s="1"/>
  <c r="F50" i="188"/>
  <c r="H50" i="188" s="1"/>
  <c r="C88" i="192"/>
  <c r="C90" i="192" s="1"/>
  <c r="C92" i="192" s="1"/>
  <c r="D89" i="201"/>
  <c r="D91" i="201" s="1"/>
  <c r="D88" i="201"/>
  <c r="D90" i="201" s="1"/>
  <c r="D227" i="209"/>
  <c r="C92" i="186"/>
  <c r="C88" i="196"/>
  <c r="C90" i="196" s="1"/>
  <c r="C92" i="196" s="1"/>
  <c r="F50" i="195"/>
  <c r="H50" i="195" s="1"/>
  <c r="C92" i="189"/>
  <c r="E218" i="152"/>
  <c r="E58" i="169"/>
  <c r="E90" i="169" s="1"/>
  <c r="E58" i="167"/>
  <c r="E90" i="167" s="1"/>
  <c r="E58" i="166"/>
  <c r="E90" i="166" s="1"/>
  <c r="E221" i="152"/>
  <c r="E61" i="169"/>
  <c r="E93" i="169" s="1"/>
  <c r="E61" i="167"/>
  <c r="E93" i="167" s="1"/>
  <c r="E61" i="166"/>
  <c r="E93" i="166" s="1"/>
  <c r="E86" i="202"/>
  <c r="E87" i="202" s="1"/>
  <c r="F29" i="202"/>
  <c r="E86" i="188"/>
  <c r="E87" i="188" s="1"/>
  <c r="F29" i="188"/>
  <c r="C88" i="199"/>
  <c r="C90" i="199" s="1"/>
  <c r="E266" i="152"/>
  <c r="P38" i="113"/>
  <c r="P46" i="113"/>
  <c r="P56" i="113" s="1"/>
  <c r="P41" i="113"/>
  <c r="D226" i="152"/>
  <c r="D66" i="167"/>
  <c r="D98" i="167" s="1"/>
  <c r="D66" i="166"/>
  <c r="D98" i="166" s="1"/>
  <c r="D66" i="169"/>
  <c r="D98" i="169" s="1"/>
  <c r="D220" i="152"/>
  <c r="D60" i="169"/>
  <c r="D92" i="169" s="1"/>
  <c r="D60" i="167"/>
  <c r="D92" i="167" s="1"/>
  <c r="D60" i="166"/>
  <c r="D92" i="166" s="1"/>
  <c r="D227" i="152"/>
  <c r="D67" i="169"/>
  <c r="D99" i="169" s="1"/>
  <c r="D110" i="166" s="1"/>
  <c r="D67" i="167"/>
  <c r="D99" i="167" s="1"/>
  <c r="D108" i="166" s="1"/>
  <c r="D67" i="166"/>
  <c r="D99" i="166" s="1"/>
  <c r="D106" i="166" s="1"/>
  <c r="D75" i="201"/>
  <c r="D76" i="201" s="1"/>
  <c r="E28" i="201"/>
  <c r="F51" i="194"/>
  <c r="H51" i="194" s="1"/>
  <c r="C77" i="190"/>
  <c r="C79" i="190" s="1"/>
  <c r="C81" i="190" s="1"/>
  <c r="C78" i="190"/>
  <c r="C80" i="190" s="1"/>
  <c r="E52" i="187"/>
  <c r="G52" i="187" s="1"/>
  <c r="I52" i="187" s="1"/>
  <c r="C92" i="200"/>
  <c r="J178" i="152"/>
  <c r="K63" i="123"/>
  <c r="J172" i="152"/>
  <c r="K57" i="123"/>
  <c r="G210" i="152"/>
  <c r="G50" i="169"/>
  <c r="G82" i="169" s="1"/>
  <c r="G50" i="167"/>
  <c r="G82" i="167" s="1"/>
  <c r="G50" i="166"/>
  <c r="G82" i="166" s="1"/>
  <c r="G208" i="152"/>
  <c r="G48" i="169"/>
  <c r="G80" i="169" s="1"/>
  <c r="G48" i="167"/>
  <c r="G80" i="167" s="1"/>
  <c r="G48" i="166"/>
  <c r="G80" i="166" s="1"/>
  <c r="G211" i="152"/>
  <c r="G51" i="169"/>
  <c r="G83" i="169" s="1"/>
  <c r="G51" i="167"/>
  <c r="G83" i="167" s="1"/>
  <c r="G51" i="166"/>
  <c r="G83" i="166" s="1"/>
  <c r="C67" i="201"/>
  <c r="C69" i="201" s="1"/>
  <c r="D64" i="193"/>
  <c r="D65" i="193" s="1"/>
  <c r="E27" i="193"/>
  <c r="E86" i="192"/>
  <c r="E87" i="192" s="1"/>
  <c r="F29" i="192"/>
  <c r="F205" i="209"/>
  <c r="G129" i="209"/>
  <c r="D88" i="186"/>
  <c r="D90" i="186" s="1"/>
  <c r="D89" i="186"/>
  <c r="D91" i="186" s="1"/>
  <c r="C92" i="195"/>
  <c r="D89" i="199"/>
  <c r="D91" i="199" s="1"/>
  <c r="D75" i="203"/>
  <c r="D76" i="203" s="1"/>
  <c r="E28" i="203"/>
  <c r="C78" i="199"/>
  <c r="C80" i="199" s="1"/>
  <c r="C78" i="191"/>
  <c r="C80" i="191" s="1"/>
  <c r="E28" i="186"/>
  <c r="D75" i="186"/>
  <c r="D76" i="186" s="1"/>
  <c r="D89" i="198"/>
  <c r="D91" i="198" s="1"/>
  <c r="E52" i="185"/>
  <c r="G52" i="185" s="1"/>
  <c r="I52" i="185" s="1"/>
  <c r="J171" i="152"/>
  <c r="K56" i="123"/>
  <c r="H218" i="152"/>
  <c r="H58" i="169"/>
  <c r="H90" i="169" s="1"/>
  <c r="H58" i="167"/>
  <c r="H90" i="167" s="1"/>
  <c r="H58" i="166"/>
  <c r="H90" i="166" s="1"/>
  <c r="H221" i="152"/>
  <c r="H61" i="169"/>
  <c r="H93" i="169" s="1"/>
  <c r="H61" i="167"/>
  <c r="H93" i="167" s="1"/>
  <c r="H61" i="166"/>
  <c r="H93" i="166" s="1"/>
  <c r="H219" i="152"/>
  <c r="H59" i="169"/>
  <c r="H91" i="169" s="1"/>
  <c r="H59" i="167"/>
  <c r="H91" i="167" s="1"/>
  <c r="H59" i="166"/>
  <c r="H91" i="166" s="1"/>
  <c r="G220" i="152"/>
  <c r="G60" i="169"/>
  <c r="G92" i="169" s="1"/>
  <c r="G60" i="167"/>
  <c r="G92" i="167" s="1"/>
  <c r="G60" i="166"/>
  <c r="G92" i="166" s="1"/>
  <c r="G227" i="152"/>
  <c r="G67" i="169"/>
  <c r="G99" i="169" s="1"/>
  <c r="G110" i="166" s="1"/>
  <c r="G67" i="167"/>
  <c r="G99" i="167" s="1"/>
  <c r="G108" i="166" s="1"/>
  <c r="G67" i="166"/>
  <c r="G99" i="166" s="1"/>
  <c r="G106" i="166" s="1"/>
  <c r="C241" i="209"/>
  <c r="C242" i="209" s="1"/>
  <c r="F50" i="199"/>
  <c r="H50" i="199" s="1"/>
  <c r="E50" i="199"/>
  <c r="G50" i="199" s="1"/>
  <c r="I50" i="199" s="1"/>
  <c r="F50" i="198"/>
  <c r="H50" i="198" s="1"/>
  <c r="C67" i="192"/>
  <c r="C69" i="192" s="1"/>
  <c r="E86" i="189"/>
  <c r="E87" i="189" s="1"/>
  <c r="F29" i="189"/>
  <c r="C88" i="201"/>
  <c r="C90" i="201" s="1"/>
  <c r="F209" i="209"/>
  <c r="G133" i="209"/>
  <c r="C225" i="152"/>
  <c r="C65" i="169"/>
  <c r="C97" i="169" s="1"/>
  <c r="C65" i="167"/>
  <c r="C97" i="167" s="1"/>
  <c r="C65" i="166"/>
  <c r="C97" i="166" s="1"/>
  <c r="C223" i="152"/>
  <c r="C63" i="169"/>
  <c r="C95" i="169" s="1"/>
  <c r="C63" i="167"/>
  <c r="C95" i="167" s="1"/>
  <c r="C63" i="166"/>
  <c r="C95" i="166" s="1"/>
  <c r="C226" i="152"/>
  <c r="C66" i="169"/>
  <c r="C98" i="169" s="1"/>
  <c r="C66" i="167"/>
  <c r="C98" i="167" s="1"/>
  <c r="C66" i="166"/>
  <c r="C98" i="166" s="1"/>
  <c r="F206" i="209"/>
  <c r="G130" i="209"/>
  <c r="F198" i="209"/>
  <c r="G122" i="209"/>
  <c r="C66" i="202"/>
  <c r="C68" i="202" s="1"/>
  <c r="C67" i="202"/>
  <c r="C69" i="202" s="1"/>
  <c r="E27" i="187"/>
  <c r="D64" i="187"/>
  <c r="D65" i="187" s="1"/>
  <c r="C92" i="197"/>
  <c r="F219" i="152"/>
  <c r="F59" i="169"/>
  <c r="F91" i="169" s="1"/>
  <c r="F59" i="167"/>
  <c r="F91" i="167" s="1"/>
  <c r="F59" i="166"/>
  <c r="F91" i="166" s="1"/>
  <c r="F222" i="152"/>
  <c r="F62" i="169"/>
  <c r="F94" i="169" s="1"/>
  <c r="F62" i="167"/>
  <c r="F94" i="167" s="1"/>
  <c r="F62" i="166"/>
  <c r="F94" i="166" s="1"/>
  <c r="F225" i="152"/>
  <c r="F65" i="169"/>
  <c r="F97" i="169" s="1"/>
  <c r="F65" i="167"/>
  <c r="F97" i="167" s="1"/>
  <c r="F65" i="166"/>
  <c r="F97" i="166" s="1"/>
  <c r="D234" i="209"/>
  <c r="C492" i="92"/>
  <c r="C525" i="92" s="1"/>
  <c r="C575" i="92" s="1"/>
  <c r="C625" i="92" s="1"/>
  <c r="C21" i="88" s="1"/>
  <c r="C496" i="92"/>
  <c r="C529" i="92" s="1"/>
  <c r="C579" i="92" s="1"/>
  <c r="C629" i="92" s="1"/>
  <c r="C36" i="162" s="1"/>
  <c r="D89" i="195"/>
  <c r="D91" i="195" s="1"/>
  <c r="F51" i="185"/>
  <c r="H51" i="185" s="1"/>
  <c r="E51" i="185"/>
  <c r="G51" i="185" s="1"/>
  <c r="I51" i="185" s="1"/>
  <c r="C78" i="189"/>
  <c r="C80" i="189" s="1"/>
  <c r="H207" i="152"/>
  <c r="H47" i="169"/>
  <c r="H79" i="169" s="1"/>
  <c r="H47" i="167"/>
  <c r="H79" i="167" s="1"/>
  <c r="H47" i="166"/>
  <c r="H79" i="166" s="1"/>
  <c r="F203" i="209"/>
  <c r="G127" i="209"/>
  <c r="D202" i="152"/>
  <c r="D42" i="169"/>
  <c r="D74" i="169" s="1"/>
  <c r="D42" i="167"/>
  <c r="D74" i="167" s="1"/>
  <c r="D42" i="166"/>
  <c r="D74" i="166" s="1"/>
  <c r="D209" i="152"/>
  <c r="D49" i="169"/>
  <c r="D81" i="169" s="1"/>
  <c r="D49" i="167"/>
  <c r="D81" i="167" s="1"/>
  <c r="D49" i="166"/>
  <c r="D81" i="166" s="1"/>
  <c r="C210" i="152"/>
  <c r="C50" i="169"/>
  <c r="C82" i="169" s="1"/>
  <c r="C50" i="167"/>
  <c r="C82" i="167" s="1"/>
  <c r="C50" i="166"/>
  <c r="C82" i="166" s="1"/>
  <c r="F51" i="198"/>
  <c r="H51" i="198" s="1"/>
  <c r="E51" i="198"/>
  <c r="G51" i="198" s="1"/>
  <c r="I51" i="198" s="1"/>
  <c r="C78" i="192"/>
  <c r="C80" i="192" s="1"/>
  <c r="E86" i="187"/>
  <c r="E87" i="187" s="1"/>
  <c r="F29" i="187"/>
  <c r="E86" i="185"/>
  <c r="E87" i="185" s="1"/>
  <c r="F29" i="185"/>
  <c r="I207" i="152"/>
  <c r="I47" i="169"/>
  <c r="I79" i="169" s="1"/>
  <c r="J60" i="124"/>
  <c r="I47" i="167"/>
  <c r="I79" i="167" s="1"/>
  <c r="I47" i="166"/>
  <c r="I79" i="166" s="1"/>
  <c r="I210" i="152"/>
  <c r="I50" i="169"/>
  <c r="I82" i="169" s="1"/>
  <c r="J63" i="124"/>
  <c r="I50" i="167"/>
  <c r="I82" i="167" s="1"/>
  <c r="I50" i="166"/>
  <c r="I82" i="166" s="1"/>
  <c r="F209" i="152"/>
  <c r="F49" i="169"/>
  <c r="F81" i="169" s="1"/>
  <c r="F49" i="167"/>
  <c r="F81" i="167" s="1"/>
  <c r="F49" i="166"/>
  <c r="F81" i="166" s="1"/>
  <c r="F206" i="152"/>
  <c r="F46" i="169"/>
  <c r="F78" i="169" s="1"/>
  <c r="F46" i="167"/>
  <c r="F78" i="167" s="1"/>
  <c r="F46" i="166"/>
  <c r="F78" i="166" s="1"/>
  <c r="I217" i="152"/>
  <c r="I57" i="169"/>
  <c r="I89" i="169" s="1"/>
  <c r="I57" i="167"/>
  <c r="I89" i="167" s="1"/>
  <c r="I57" i="166"/>
  <c r="I89" i="166" s="1"/>
  <c r="J70" i="124"/>
  <c r="I224" i="152"/>
  <c r="I64" i="169"/>
  <c r="I96" i="169" s="1"/>
  <c r="I64" i="167"/>
  <c r="I96" i="167" s="1"/>
  <c r="I64" i="166"/>
  <c r="I96" i="166" s="1"/>
  <c r="J77" i="124"/>
  <c r="C67" i="200"/>
  <c r="C69" i="200" s="1"/>
  <c r="C67" i="188"/>
  <c r="C69" i="188" s="1"/>
  <c r="C66" i="188"/>
  <c r="C68" i="188" s="1"/>
  <c r="E86" i="191"/>
  <c r="E87" i="191" s="1"/>
  <c r="F29" i="191"/>
  <c r="G132" i="209"/>
  <c r="F208" i="209"/>
  <c r="G124" i="209"/>
  <c r="F200" i="209"/>
  <c r="D64" i="204"/>
  <c r="D65" i="204" s="1"/>
  <c r="E27" i="204"/>
  <c r="C67" i="195"/>
  <c r="C69" i="195" s="1"/>
  <c r="C66" i="195"/>
  <c r="C68" i="195" s="1"/>
  <c r="E219" i="152"/>
  <c r="E59" i="169"/>
  <c r="E91" i="169" s="1"/>
  <c r="E59" i="167"/>
  <c r="E91" i="167" s="1"/>
  <c r="E59" i="166"/>
  <c r="E91" i="166" s="1"/>
  <c r="E225" i="152"/>
  <c r="E65" i="169"/>
  <c r="E97" i="169" s="1"/>
  <c r="E65" i="167"/>
  <c r="E97" i="167" s="1"/>
  <c r="E65" i="166"/>
  <c r="E97" i="166" s="1"/>
  <c r="D89" i="202"/>
  <c r="D91" i="202" s="1"/>
  <c r="D89" i="188"/>
  <c r="D91" i="188" s="1"/>
  <c r="C92" i="199"/>
  <c r="D217" i="152"/>
  <c r="D57" i="169"/>
  <c r="D89" i="169" s="1"/>
  <c r="D57" i="167"/>
  <c r="D89" i="167" s="1"/>
  <c r="D57" i="166"/>
  <c r="D89" i="166" s="1"/>
  <c r="D224" i="152"/>
  <c r="D64" i="169"/>
  <c r="D96" i="169" s="1"/>
  <c r="D64" i="167"/>
  <c r="D96" i="167" s="1"/>
  <c r="D64" i="166"/>
  <c r="D96" i="166" s="1"/>
  <c r="C78" i="204"/>
  <c r="C80" i="204" s="1"/>
  <c r="E51" i="201"/>
  <c r="G51" i="201" s="1"/>
  <c r="I51" i="201" s="1"/>
  <c r="F51" i="201"/>
  <c r="H51" i="201" s="1"/>
  <c r="C77" i="194"/>
  <c r="C79" i="194" s="1"/>
  <c r="C81" i="194" s="1"/>
  <c r="C78" i="194"/>
  <c r="C80" i="194" s="1"/>
  <c r="C78" i="188"/>
  <c r="C80" i="188" s="1"/>
  <c r="G205" i="152"/>
  <c r="G45" i="167"/>
  <c r="G77" i="167" s="1"/>
  <c r="G45" i="166"/>
  <c r="G77" i="166" s="1"/>
  <c r="G45" i="169"/>
  <c r="G77" i="169" s="1"/>
  <c r="G212" i="152"/>
  <c r="G52" i="169"/>
  <c r="G84" i="169" s="1"/>
  <c r="G109" i="166" s="1"/>
  <c r="G52" i="167"/>
  <c r="G84" i="167" s="1"/>
  <c r="G107" i="166" s="1"/>
  <c r="G52" i="166"/>
  <c r="G84" i="166" s="1"/>
  <c r="G105" i="166" s="1"/>
  <c r="J193" i="152"/>
  <c r="K78" i="123"/>
  <c r="J187" i="152"/>
  <c r="K72" i="123"/>
  <c r="E27" i="201"/>
  <c r="D64" i="201"/>
  <c r="D65" i="201" s="1"/>
  <c r="F50" i="186"/>
  <c r="H50" i="186" s="1"/>
  <c r="D89" i="192"/>
  <c r="D91" i="192" s="1"/>
  <c r="D88" i="192"/>
  <c r="D90" i="192" s="1"/>
  <c r="E86" i="196"/>
  <c r="E87" i="196" s="1"/>
  <c r="F29" i="196"/>
  <c r="D232" i="209"/>
  <c r="E86" i="193"/>
  <c r="E87" i="193" s="1"/>
  <c r="F29" i="193"/>
  <c r="F51" i="203"/>
  <c r="H51" i="203" s="1"/>
  <c r="F51" i="195"/>
  <c r="H51" i="195" s="1"/>
  <c r="E51" i="195"/>
  <c r="G51" i="195" s="1"/>
  <c r="I51" i="195" s="1"/>
  <c r="E28" i="191"/>
  <c r="D75" i="191"/>
  <c r="D76" i="191" s="1"/>
  <c r="F51" i="186"/>
  <c r="H51" i="186" s="1"/>
  <c r="E51" i="186"/>
  <c r="G51" i="186" s="1"/>
  <c r="I51" i="186" s="1"/>
  <c r="E86" i="198"/>
  <c r="E87" i="198" s="1"/>
  <c r="F29" i="198"/>
  <c r="F199" i="209"/>
  <c r="G123" i="209"/>
  <c r="H222" i="152"/>
  <c r="H62" i="169"/>
  <c r="H94" i="169" s="1"/>
  <c r="H62" i="167"/>
  <c r="H94" i="167" s="1"/>
  <c r="H62" i="166"/>
  <c r="H94" i="166" s="1"/>
  <c r="H225" i="152"/>
  <c r="H65" i="169"/>
  <c r="H97" i="169" s="1"/>
  <c r="H65" i="167"/>
  <c r="H97" i="167" s="1"/>
  <c r="H65" i="166"/>
  <c r="H97" i="166" s="1"/>
  <c r="H223" i="152"/>
  <c r="H63" i="169"/>
  <c r="H95" i="169" s="1"/>
  <c r="H63" i="167"/>
  <c r="H95" i="167" s="1"/>
  <c r="H63" i="166"/>
  <c r="H95" i="166" s="1"/>
  <c r="J186" i="152"/>
  <c r="K71" i="123"/>
  <c r="G217" i="152"/>
  <c r="G57" i="167"/>
  <c r="G89" i="167" s="1"/>
  <c r="G57" i="166"/>
  <c r="G89" i="166" s="1"/>
  <c r="G57" i="169"/>
  <c r="G89" i="169" s="1"/>
  <c r="G224" i="152"/>
  <c r="G64" i="169"/>
  <c r="G96" i="169" s="1"/>
  <c r="G64" i="167"/>
  <c r="G96" i="167" s="1"/>
  <c r="G64" i="166"/>
  <c r="G96" i="166" s="1"/>
  <c r="G218" i="152"/>
  <c r="G58" i="169"/>
  <c r="G90" i="169" s="1"/>
  <c r="G58" i="167"/>
  <c r="G90" i="167" s="1"/>
  <c r="G58" i="166"/>
  <c r="G90" i="166" s="1"/>
  <c r="E27" i="203"/>
  <c r="D64" i="203"/>
  <c r="D65" i="203" s="1"/>
  <c r="C67" i="199"/>
  <c r="C69" i="199" s="1"/>
  <c r="C66" i="199"/>
  <c r="C68" i="199" s="1"/>
  <c r="C67" i="198"/>
  <c r="C69" i="198" s="1"/>
  <c r="E27" i="189"/>
  <c r="D64" i="189"/>
  <c r="D65" i="189" s="1"/>
  <c r="D89" i="189"/>
  <c r="D91" i="189" s="1"/>
  <c r="C92" i="201"/>
  <c r="E235" i="209"/>
  <c r="C220" i="152"/>
  <c r="C60" i="169"/>
  <c r="C92" i="169" s="1"/>
  <c r="C60" i="167"/>
  <c r="C92" i="167" s="1"/>
  <c r="C60" i="166"/>
  <c r="C92" i="166" s="1"/>
  <c r="C227" i="152"/>
  <c r="C67" i="169"/>
  <c r="C99" i="169" s="1"/>
  <c r="C110" i="166" s="1"/>
  <c r="C67" i="167"/>
  <c r="C99" i="167" s="1"/>
  <c r="C108" i="166" s="1"/>
  <c r="C67" i="166"/>
  <c r="C99" i="166" s="1"/>
  <c r="C106" i="166" s="1"/>
  <c r="E216" i="209"/>
  <c r="E215" i="209"/>
  <c r="E236" i="209" s="1"/>
  <c r="D89" i="194"/>
  <c r="D91" i="194" s="1"/>
  <c r="D240" i="209"/>
  <c r="E224" i="209"/>
  <c r="E27" i="194"/>
  <c r="D64" i="194"/>
  <c r="D65" i="194" s="1"/>
  <c r="F50" i="187"/>
  <c r="H50" i="187" s="1"/>
  <c r="E50" i="187"/>
  <c r="G50" i="187" s="1"/>
  <c r="I50" i="187" s="1"/>
  <c r="F223" i="152"/>
  <c r="F63" i="169"/>
  <c r="F95" i="169" s="1"/>
  <c r="F63" i="167"/>
  <c r="F95" i="167" s="1"/>
  <c r="F63" i="166"/>
  <c r="F95" i="166" s="1"/>
  <c r="F226" i="152"/>
  <c r="F66" i="169"/>
  <c r="F98" i="169" s="1"/>
  <c r="F66" i="167"/>
  <c r="F98" i="167" s="1"/>
  <c r="F66" i="166"/>
  <c r="F98" i="166" s="1"/>
  <c r="C67" i="185"/>
  <c r="C66" i="185"/>
  <c r="D230" i="209"/>
  <c r="C499" i="92"/>
  <c r="C532" i="92" s="1"/>
  <c r="C582" i="92" s="1"/>
  <c r="C632" i="92" s="1"/>
  <c r="C500" i="92"/>
  <c r="C533" i="92" s="1"/>
  <c r="C583" i="92" s="1"/>
  <c r="C633" i="92" s="1"/>
  <c r="E212" i="152"/>
  <c r="E52" i="169"/>
  <c r="E84" i="169" s="1"/>
  <c r="E109" i="166" s="1"/>
  <c r="E52" i="167"/>
  <c r="E84" i="167" s="1"/>
  <c r="E107" i="166" s="1"/>
  <c r="E52" i="166"/>
  <c r="E84" i="166" s="1"/>
  <c r="E105" i="166" s="1"/>
  <c r="E202" i="152"/>
  <c r="E42" i="169"/>
  <c r="E74" i="169" s="1"/>
  <c r="E42" i="167"/>
  <c r="E74" i="167" s="1"/>
  <c r="E42" i="166"/>
  <c r="E74" i="166" s="1"/>
  <c r="E209" i="152"/>
  <c r="E49" i="169"/>
  <c r="E81" i="169" s="1"/>
  <c r="E49" i="167"/>
  <c r="E81" i="167" s="1"/>
  <c r="E49" i="166"/>
  <c r="E81" i="166" s="1"/>
  <c r="F51" i="197"/>
  <c r="H51" i="197" s="1"/>
  <c r="E28" i="193"/>
  <c r="D75" i="193"/>
  <c r="D76" i="193" s="1"/>
  <c r="D89" i="190"/>
  <c r="D91" i="190" s="1"/>
  <c r="H210" i="152"/>
  <c r="H50" i="169"/>
  <c r="H82" i="169" s="1"/>
  <c r="H50" i="167"/>
  <c r="H82" i="167" s="1"/>
  <c r="H50" i="166"/>
  <c r="H82" i="166" s="1"/>
  <c r="H208" i="152"/>
  <c r="H48" i="169"/>
  <c r="H80" i="169" s="1"/>
  <c r="H48" i="167"/>
  <c r="H80" i="167" s="1"/>
  <c r="H48" i="166"/>
  <c r="H80" i="166" s="1"/>
  <c r="D64" i="197"/>
  <c r="D65" i="197" s="1"/>
  <c r="E27" i="197"/>
  <c r="E86" i="204"/>
  <c r="E87" i="204" s="1"/>
  <c r="F29" i="204"/>
  <c r="C208" i="152"/>
  <c r="C48" i="169"/>
  <c r="C80" i="169" s="1"/>
  <c r="C48" i="167"/>
  <c r="C80" i="167" s="1"/>
  <c r="C48" i="166"/>
  <c r="C80" i="166" s="1"/>
  <c r="C211" i="152"/>
  <c r="C51" i="169"/>
  <c r="C83" i="169" s="1"/>
  <c r="C51" i="167"/>
  <c r="C83" i="167" s="1"/>
  <c r="C51" i="166"/>
  <c r="C83" i="166" s="1"/>
  <c r="F51" i="196"/>
  <c r="H51" i="196" s="1"/>
  <c r="I204" i="152"/>
  <c r="I44" i="169"/>
  <c r="I76" i="169" s="1"/>
  <c r="J57" i="124"/>
  <c r="I44" i="167"/>
  <c r="I76" i="167" s="1"/>
  <c r="I44" i="166"/>
  <c r="I76" i="166" s="1"/>
  <c r="F203" i="152"/>
  <c r="F43" i="169"/>
  <c r="F75" i="169" s="1"/>
  <c r="F43" i="167"/>
  <c r="F75" i="167" s="1"/>
  <c r="F43" i="166"/>
  <c r="F75" i="166" s="1"/>
  <c r="I227" i="152"/>
  <c r="I67" i="169"/>
  <c r="I99" i="169" s="1"/>
  <c r="I110" i="166" s="1"/>
  <c r="I67" i="167"/>
  <c r="I99" i="167" s="1"/>
  <c r="I108" i="166" s="1"/>
  <c r="I67" i="166"/>
  <c r="I99" i="166" s="1"/>
  <c r="I106" i="166" s="1"/>
  <c r="J80" i="124"/>
  <c r="E50" i="191"/>
  <c r="G50" i="191" s="1"/>
  <c r="I50" i="191" s="1"/>
  <c r="F50" i="191"/>
  <c r="H50" i="191" s="1"/>
  <c r="D88" i="197"/>
  <c r="D90" i="197" s="1"/>
  <c r="D89" i="197"/>
  <c r="D91" i="197" s="1"/>
  <c r="E237" i="209"/>
  <c r="F197" i="209"/>
  <c r="G121" i="209"/>
  <c r="E222" i="152"/>
  <c r="E62" i="169"/>
  <c r="E94" i="169" s="1"/>
  <c r="E62" i="167"/>
  <c r="E94" i="167" s="1"/>
  <c r="E62" i="166"/>
  <c r="E94" i="166" s="1"/>
  <c r="C505" i="92"/>
  <c r="C538" i="92" s="1"/>
  <c r="C588" i="92" s="1"/>
  <c r="C638" i="92" s="1"/>
  <c r="D313" i="108" s="1"/>
  <c r="F313" i="108" s="1"/>
  <c r="L313" i="108" s="1"/>
  <c r="C59" i="128" s="1"/>
  <c r="C497" i="92"/>
  <c r="C530" i="92" s="1"/>
  <c r="C580" i="92" s="1"/>
  <c r="C630" i="92" s="1"/>
  <c r="C494" i="92"/>
  <c r="C527" i="92" s="1"/>
  <c r="C577" i="92" s="1"/>
  <c r="C627" i="92" s="1"/>
  <c r="C23" i="88" s="1"/>
  <c r="C495" i="92"/>
  <c r="C528" i="92" s="1"/>
  <c r="C578" i="92" s="1"/>
  <c r="C628" i="92" s="1"/>
  <c r="D303" i="108" s="1"/>
  <c r="F303" i="108" s="1"/>
  <c r="L303" i="108" s="1"/>
  <c r="C48" i="128" s="1"/>
  <c r="C491" i="92"/>
  <c r="C524" i="92" s="1"/>
  <c r="C574" i="92" s="1"/>
  <c r="C624" i="92" s="1"/>
  <c r="C20" i="88" s="1"/>
  <c r="E86" i="195"/>
  <c r="E87" i="195" s="1"/>
  <c r="F29" i="195"/>
  <c r="E52" i="204"/>
  <c r="G52" i="204" s="1"/>
  <c r="I52" i="204" s="1"/>
  <c r="E203" i="152"/>
  <c r="E43" i="169"/>
  <c r="E75" i="169" s="1"/>
  <c r="E43" i="167"/>
  <c r="E75" i="167" s="1"/>
  <c r="E43" i="166"/>
  <c r="E75" i="166" s="1"/>
  <c r="E206" i="152"/>
  <c r="E46" i="169"/>
  <c r="E78" i="169" s="1"/>
  <c r="E46" i="167"/>
  <c r="E78" i="167" s="1"/>
  <c r="E46" i="166"/>
  <c r="E78" i="166" s="1"/>
  <c r="C77" i="200"/>
  <c r="C79" i="200" s="1"/>
  <c r="C81" i="200" s="1"/>
  <c r="C78" i="200"/>
  <c r="C80" i="200" s="1"/>
  <c r="E28" i="197"/>
  <c r="D75" i="197"/>
  <c r="D76" i="197" s="1"/>
  <c r="C78" i="193"/>
  <c r="C80" i="193" s="1"/>
  <c r="C92" i="187"/>
  <c r="E52" i="198"/>
  <c r="G52" i="198" s="1"/>
  <c r="I52" i="198" s="1"/>
  <c r="C88" i="185"/>
  <c r="C90" i="185" s="1"/>
  <c r="C92" i="185" s="1"/>
  <c r="J180" i="152"/>
  <c r="K65" i="123"/>
  <c r="J185" i="152"/>
  <c r="K70" i="123"/>
  <c r="J188" i="152"/>
  <c r="K73" i="123"/>
  <c r="H211" i="152"/>
  <c r="H51" i="169"/>
  <c r="H83" i="169" s="1"/>
  <c r="H51" i="167"/>
  <c r="H83" i="167" s="1"/>
  <c r="H51" i="166"/>
  <c r="H83" i="166" s="1"/>
  <c r="H205" i="152"/>
  <c r="H45" i="169"/>
  <c r="H77" i="169" s="1"/>
  <c r="H45" i="167"/>
  <c r="H77" i="167" s="1"/>
  <c r="H45" i="166"/>
  <c r="H77" i="166" s="1"/>
  <c r="H212" i="152"/>
  <c r="H52" i="169"/>
  <c r="H84" i="169" s="1"/>
  <c r="H109" i="166" s="1"/>
  <c r="H52" i="167"/>
  <c r="H84" i="167" s="1"/>
  <c r="H107" i="166" s="1"/>
  <c r="H52" i="166"/>
  <c r="H84" i="166" s="1"/>
  <c r="H105" i="166" s="1"/>
  <c r="E27" i="190"/>
  <c r="D64" i="190"/>
  <c r="D65" i="190" s="1"/>
  <c r="D203" i="152"/>
  <c r="D43" i="169"/>
  <c r="D75" i="169" s="1"/>
  <c r="D43" i="167"/>
  <c r="D75" i="167" s="1"/>
  <c r="D43" i="166"/>
  <c r="D75" i="166" s="1"/>
  <c r="D206" i="152"/>
  <c r="D46" i="167"/>
  <c r="D78" i="167" s="1"/>
  <c r="D46" i="166"/>
  <c r="D78" i="166" s="1"/>
  <c r="D46" i="169"/>
  <c r="D78" i="169" s="1"/>
  <c r="D204" i="152"/>
  <c r="D44" i="169"/>
  <c r="D76" i="169" s="1"/>
  <c r="D44" i="167"/>
  <c r="D76" i="167" s="1"/>
  <c r="D44" i="166"/>
  <c r="D76" i="166" s="1"/>
  <c r="D226" i="209"/>
  <c r="D88" i="204"/>
  <c r="D90" i="204" s="1"/>
  <c r="D89" i="204"/>
  <c r="D91" i="204" s="1"/>
  <c r="C205" i="152"/>
  <c r="C45" i="169"/>
  <c r="C77" i="169" s="1"/>
  <c r="C45" i="167"/>
  <c r="C77" i="167" s="1"/>
  <c r="C45" i="166"/>
  <c r="C77" i="166" s="1"/>
  <c r="C212" i="152"/>
  <c r="C52" i="169"/>
  <c r="C84" i="169" s="1"/>
  <c r="C109" i="166" s="1"/>
  <c r="C52" i="167"/>
  <c r="C84" i="167" s="1"/>
  <c r="C107" i="166" s="1"/>
  <c r="C52" i="166"/>
  <c r="C84" i="166" s="1"/>
  <c r="C105" i="166" s="1"/>
  <c r="C78" i="202"/>
  <c r="C80" i="202" s="1"/>
  <c r="E28" i="198"/>
  <c r="D75" i="198"/>
  <c r="D76" i="198" s="1"/>
  <c r="C77" i="196"/>
  <c r="C79" i="196" s="1"/>
  <c r="C81" i="196" s="1"/>
  <c r="C78" i="196"/>
  <c r="C80" i="196" s="1"/>
  <c r="E28" i="187"/>
  <c r="D75" i="187"/>
  <c r="D76" i="187" s="1"/>
  <c r="D89" i="187"/>
  <c r="D91" i="187" s="1"/>
  <c r="D89" i="185"/>
  <c r="D91" i="185" s="1"/>
  <c r="D88" i="185"/>
  <c r="D90" i="185" s="1"/>
  <c r="I208" i="152"/>
  <c r="I48" i="169"/>
  <c r="I80" i="169" s="1"/>
  <c r="J61" i="124"/>
  <c r="I48" i="167"/>
  <c r="I80" i="167" s="1"/>
  <c r="I48" i="166"/>
  <c r="I80" i="166" s="1"/>
  <c r="I211" i="152"/>
  <c r="J64" i="124"/>
  <c r="I51" i="167"/>
  <c r="I83" i="167" s="1"/>
  <c r="I51" i="166"/>
  <c r="I83" i="166" s="1"/>
  <c r="I51" i="169"/>
  <c r="I83" i="169" s="1"/>
  <c r="I205" i="152"/>
  <c r="I45" i="169"/>
  <c r="I77" i="169" s="1"/>
  <c r="I45" i="167"/>
  <c r="I77" i="167" s="1"/>
  <c r="I45" i="166"/>
  <c r="I77" i="166" s="1"/>
  <c r="J58" i="124"/>
  <c r="J176" i="152"/>
  <c r="K61" i="123"/>
  <c r="F204" i="152"/>
  <c r="F44" i="169"/>
  <c r="F76" i="169" s="1"/>
  <c r="F44" i="167"/>
  <c r="F76" i="167" s="1"/>
  <c r="F44" i="166"/>
  <c r="F76" i="166" s="1"/>
  <c r="F207" i="152"/>
  <c r="F47" i="169"/>
  <c r="F79" i="169" s="1"/>
  <c r="F47" i="167"/>
  <c r="F79" i="167" s="1"/>
  <c r="F47" i="166"/>
  <c r="F79" i="166" s="1"/>
  <c r="F210" i="152"/>
  <c r="F50" i="169"/>
  <c r="F82" i="169" s="1"/>
  <c r="F50" i="167"/>
  <c r="F82" i="167" s="1"/>
  <c r="F50" i="166"/>
  <c r="F82" i="166" s="1"/>
  <c r="I218" i="152"/>
  <c r="I58" i="169"/>
  <c r="I90" i="169" s="1"/>
  <c r="I58" i="167"/>
  <c r="I90" i="167" s="1"/>
  <c r="I58" i="166"/>
  <c r="I90" i="166" s="1"/>
  <c r="J71" i="124"/>
  <c r="I221" i="152"/>
  <c r="I61" i="169"/>
  <c r="I93" i="169" s="1"/>
  <c r="I61" i="167"/>
  <c r="I93" i="167" s="1"/>
  <c r="I61" i="166"/>
  <c r="I93" i="166" s="1"/>
  <c r="J74" i="124"/>
  <c r="J194" i="152"/>
  <c r="K79" i="123"/>
  <c r="E27" i="196"/>
  <c r="D64" i="196"/>
  <c r="D65" i="196" s="1"/>
  <c r="C67" i="191"/>
  <c r="C69" i="191" s="1"/>
  <c r="D64" i="188"/>
  <c r="D65" i="188" s="1"/>
  <c r="E27" i="188"/>
  <c r="E86" i="197"/>
  <c r="E87" i="197" s="1"/>
  <c r="F29" i="197"/>
  <c r="F211" i="209"/>
  <c r="G135" i="209"/>
  <c r="E223" i="209"/>
  <c r="D89" i="191"/>
  <c r="D91" i="191" s="1"/>
  <c r="E226" i="209"/>
  <c r="F50" i="204"/>
  <c r="H50" i="204" s="1"/>
  <c r="E50" i="204"/>
  <c r="G50" i="204" s="1"/>
  <c r="I50" i="204" s="1"/>
  <c r="J50" i="204" s="1"/>
  <c r="D64" i="195"/>
  <c r="D65" i="195" s="1"/>
  <c r="E27" i="195"/>
  <c r="D235" i="209"/>
  <c r="E223" i="152"/>
  <c r="E63" i="169"/>
  <c r="E95" i="169" s="1"/>
  <c r="E63" i="167"/>
  <c r="E95" i="167" s="1"/>
  <c r="E63" i="166"/>
  <c r="E95" i="166" s="1"/>
  <c r="E226" i="152"/>
  <c r="E66" i="169"/>
  <c r="E98" i="169" s="1"/>
  <c r="E66" i="167"/>
  <c r="E98" i="167" s="1"/>
  <c r="E66" i="166"/>
  <c r="E98" i="166" s="1"/>
  <c r="E220" i="152"/>
  <c r="E60" i="169"/>
  <c r="E92" i="169" s="1"/>
  <c r="E60" i="167"/>
  <c r="E92" i="167" s="1"/>
  <c r="E60" i="166"/>
  <c r="E92" i="166" s="1"/>
  <c r="C92" i="194"/>
  <c r="D236" i="209"/>
  <c r="C88" i="193"/>
  <c r="C90" i="193" s="1"/>
  <c r="C92" i="193" s="1"/>
  <c r="C88" i="204"/>
  <c r="C90" i="204" s="1"/>
  <c r="C92" i="204" s="1"/>
  <c r="F267" i="152"/>
  <c r="R34" i="113"/>
  <c r="I68" i="113"/>
  <c r="I69" i="113" s="1"/>
  <c r="N205" i="95" s="1"/>
  <c r="Q37" i="113"/>
  <c r="AH215" i="95"/>
  <c r="D218" i="152"/>
  <c r="D58" i="167"/>
  <c r="D90" i="167" s="1"/>
  <c r="D58" i="166"/>
  <c r="D90" i="166" s="1"/>
  <c r="D58" i="169"/>
  <c r="D90" i="169" s="1"/>
  <c r="D221" i="152"/>
  <c r="D61" i="169"/>
  <c r="D93" i="169" s="1"/>
  <c r="D61" i="167"/>
  <c r="D93" i="167" s="1"/>
  <c r="D61" i="166"/>
  <c r="D93" i="166" s="1"/>
  <c r="D219" i="152"/>
  <c r="D59" i="169"/>
  <c r="D91" i="169" s="1"/>
  <c r="D59" i="167"/>
  <c r="D91" i="167" s="1"/>
  <c r="D59" i="166"/>
  <c r="D91" i="166" s="1"/>
  <c r="D75" i="204"/>
  <c r="D76" i="204" s="1"/>
  <c r="E28" i="204"/>
  <c r="C78" i="201"/>
  <c r="C80" i="201" s="1"/>
  <c r="C77" i="201"/>
  <c r="C79" i="201" s="1"/>
  <c r="C81" i="201" s="1"/>
  <c r="E28" i="190"/>
  <c r="D75" i="190"/>
  <c r="D76" i="190" s="1"/>
  <c r="E28" i="188"/>
  <c r="D75" i="188"/>
  <c r="D76" i="188" s="1"/>
  <c r="C92" i="198"/>
  <c r="C88" i="203"/>
  <c r="C90" i="203" s="1"/>
  <c r="C92" i="203" s="1"/>
  <c r="F207" i="209"/>
  <c r="G131" i="209"/>
  <c r="J175" i="152"/>
  <c r="K60" i="123"/>
  <c r="G202" i="152"/>
  <c r="G42" i="169"/>
  <c r="G74" i="169" s="1"/>
  <c r="G42" i="167"/>
  <c r="G74" i="167" s="1"/>
  <c r="G42" i="166"/>
  <c r="G74" i="166" s="1"/>
  <c r="G209" i="152"/>
  <c r="G49" i="169"/>
  <c r="G81" i="169" s="1"/>
  <c r="G49" i="167"/>
  <c r="G81" i="167" s="1"/>
  <c r="G49" i="166"/>
  <c r="G81" i="166" s="1"/>
  <c r="G203" i="152"/>
  <c r="G43" i="169"/>
  <c r="G75" i="169" s="1"/>
  <c r="G43" i="167"/>
  <c r="G75" i="167" s="1"/>
  <c r="G43" i="166"/>
  <c r="G75" i="166" s="1"/>
  <c r="F50" i="193"/>
  <c r="H50" i="193" s="1"/>
  <c r="C67" i="186"/>
  <c r="C69" i="186" s="1"/>
  <c r="C66" i="186"/>
  <c r="C68" i="186" s="1"/>
  <c r="E52" i="197"/>
  <c r="G52" i="197" s="1"/>
  <c r="I52" i="197" s="1"/>
  <c r="D221" i="209"/>
  <c r="D89" i="196"/>
  <c r="D91" i="196" s="1"/>
  <c r="D88" i="196"/>
  <c r="D90" i="196" s="1"/>
  <c r="D224" i="209"/>
  <c r="D89" i="193"/>
  <c r="D91" i="193" s="1"/>
  <c r="E28" i="199"/>
  <c r="D75" i="199"/>
  <c r="D76" i="199" s="1"/>
  <c r="E28" i="195"/>
  <c r="D75" i="195"/>
  <c r="D76" i="195" s="1"/>
  <c r="F51" i="191"/>
  <c r="H51" i="191" s="1"/>
  <c r="C92" i="190"/>
  <c r="E86" i="200"/>
  <c r="E87" i="200" s="1"/>
  <c r="F29" i="200"/>
  <c r="J174" i="152"/>
  <c r="K59" i="123"/>
  <c r="J177" i="152"/>
  <c r="K62" i="123"/>
  <c r="H226" i="152"/>
  <c r="H66" i="169"/>
  <c r="H98" i="169" s="1"/>
  <c r="H66" i="167"/>
  <c r="H98" i="167" s="1"/>
  <c r="H66" i="166"/>
  <c r="H98" i="166" s="1"/>
  <c r="H220" i="152"/>
  <c r="H60" i="169"/>
  <c r="H92" i="169" s="1"/>
  <c r="H60" i="167"/>
  <c r="H92" i="167" s="1"/>
  <c r="H60" i="166"/>
  <c r="H92" i="166" s="1"/>
  <c r="H227" i="152"/>
  <c r="H67" i="169"/>
  <c r="H99" i="169" s="1"/>
  <c r="H110" i="166" s="1"/>
  <c r="H67" i="167"/>
  <c r="H99" i="167" s="1"/>
  <c r="H108" i="166" s="1"/>
  <c r="H67" i="166"/>
  <c r="H99" i="166" s="1"/>
  <c r="H106" i="166" s="1"/>
  <c r="G221" i="152"/>
  <c r="G61" i="169"/>
  <c r="G93" i="169" s="1"/>
  <c r="G61" i="167"/>
  <c r="G93" i="167" s="1"/>
  <c r="G61" i="166"/>
  <c r="G93" i="166" s="1"/>
  <c r="G219" i="152"/>
  <c r="G59" i="169"/>
  <c r="G91" i="169" s="1"/>
  <c r="G59" i="167"/>
  <c r="G91" i="167" s="1"/>
  <c r="G59" i="166"/>
  <c r="G91" i="166" s="1"/>
  <c r="G222" i="152"/>
  <c r="G62" i="169"/>
  <c r="G94" i="169" s="1"/>
  <c r="G62" i="167"/>
  <c r="G94" i="167" s="1"/>
  <c r="G62" i="166"/>
  <c r="G94" i="166" s="1"/>
  <c r="F50" i="203"/>
  <c r="H50" i="203" s="1"/>
  <c r="E50" i="203"/>
  <c r="G50" i="203" s="1"/>
  <c r="I50" i="203" s="1"/>
  <c r="D64" i="199"/>
  <c r="D65" i="199" s="1"/>
  <c r="E27" i="199"/>
  <c r="E27" i="192"/>
  <c r="D64" i="192"/>
  <c r="D65" i="192" s="1"/>
  <c r="F50" i="189"/>
  <c r="H50" i="189" s="1"/>
  <c r="E50" i="189"/>
  <c r="G50" i="189" s="1"/>
  <c r="I50" i="189" s="1"/>
  <c r="J50" i="189" s="1"/>
  <c r="E52" i="192"/>
  <c r="G52" i="192" s="1"/>
  <c r="I52" i="192" s="1"/>
  <c r="F213" i="209"/>
  <c r="G137" i="209"/>
  <c r="D229" i="209"/>
  <c r="C217" i="152"/>
  <c r="C57" i="169"/>
  <c r="C89" i="169" s="1"/>
  <c r="C57" i="167"/>
  <c r="C89" i="167" s="1"/>
  <c r="C57" i="166"/>
  <c r="C89" i="166" s="1"/>
  <c r="C224" i="152"/>
  <c r="C64" i="169"/>
  <c r="C96" i="169" s="1"/>
  <c r="C64" i="167"/>
  <c r="C96" i="167" s="1"/>
  <c r="C64" i="166"/>
  <c r="C96" i="166" s="1"/>
  <c r="C218" i="152"/>
  <c r="C58" i="169"/>
  <c r="C90" i="169" s="1"/>
  <c r="C58" i="167"/>
  <c r="C90" i="167" s="1"/>
  <c r="C58" i="166"/>
  <c r="C90" i="166" s="1"/>
  <c r="F195" i="209"/>
  <c r="G119" i="209"/>
  <c r="E86" i="194"/>
  <c r="E87" i="194" s="1"/>
  <c r="F29" i="194"/>
  <c r="F210" i="209"/>
  <c r="G134" i="209"/>
  <c r="F202" i="209"/>
  <c r="G126" i="209"/>
  <c r="D64" i="202"/>
  <c r="D65" i="202" s="1"/>
  <c r="E27" i="202"/>
  <c r="F50" i="194"/>
  <c r="H50" i="194" s="1"/>
  <c r="C67" i="187"/>
  <c r="C69" i="187" s="1"/>
  <c r="E52" i="201"/>
  <c r="G52" i="201" s="1"/>
  <c r="I52" i="201" s="1"/>
  <c r="F220" i="152"/>
  <c r="F60" i="169"/>
  <c r="F92" i="169" s="1"/>
  <c r="F60" i="167"/>
  <c r="F92" i="167" s="1"/>
  <c r="F60" i="166"/>
  <c r="F92" i="166" s="1"/>
  <c r="F227" i="152"/>
  <c r="F67" i="169"/>
  <c r="F99" i="169" s="1"/>
  <c r="F110" i="166" s="1"/>
  <c r="F67" i="167"/>
  <c r="F99" i="167" s="1"/>
  <c r="F108" i="166" s="1"/>
  <c r="F67" i="166"/>
  <c r="F99" i="166" s="1"/>
  <c r="F106" i="166" s="1"/>
  <c r="F217" i="152"/>
  <c r="F57" i="169"/>
  <c r="F89" i="169" s="1"/>
  <c r="F57" i="167"/>
  <c r="F89" i="167" s="1"/>
  <c r="F57" i="166"/>
  <c r="F89" i="166" s="1"/>
  <c r="C92" i="191"/>
  <c r="E27" i="185"/>
  <c r="D64" i="185"/>
  <c r="D65" i="185" s="1"/>
  <c r="H479" i="92"/>
  <c r="H480" i="92" s="1"/>
  <c r="C36" i="151"/>
  <c r="C36" i="143"/>
  <c r="C26" i="88"/>
  <c r="D305" i="108"/>
  <c r="F305" i="108" s="1"/>
  <c r="L305" i="108" s="1"/>
  <c r="C50" i="128" s="1"/>
  <c r="C24" i="88"/>
  <c r="C36" i="137"/>
  <c r="J479" i="92"/>
  <c r="J480" i="92" s="1"/>
  <c r="C36" i="149"/>
  <c r="C18" i="88"/>
  <c r="C36" i="135"/>
  <c r="D297" i="108"/>
  <c r="F297" i="108" s="1"/>
  <c r="L297" i="108" s="1"/>
  <c r="C42" i="128" s="1"/>
  <c r="D296" i="108"/>
  <c r="F296" i="108" s="1"/>
  <c r="L296" i="108" s="1"/>
  <c r="C41" i="128" s="1"/>
  <c r="C36" i="136"/>
  <c r="C19" i="88"/>
  <c r="D298" i="108"/>
  <c r="F298" i="108" s="1"/>
  <c r="L298" i="108" s="1"/>
  <c r="C43" i="128" s="1"/>
  <c r="C36" i="139"/>
  <c r="C22" i="88"/>
  <c r="D301" i="108"/>
  <c r="F301" i="108" s="1"/>
  <c r="L301" i="108" s="1"/>
  <c r="C46" i="128" s="1"/>
  <c r="K479" i="92"/>
  <c r="K480" i="92" s="1"/>
  <c r="I479" i="92"/>
  <c r="I480" i="92" s="1"/>
  <c r="G479" i="92"/>
  <c r="G480" i="92" s="1"/>
  <c r="C36" i="144"/>
  <c r="C27" i="88"/>
  <c r="D306" i="108"/>
  <c r="F306" i="108" s="1"/>
  <c r="L306" i="108" s="1"/>
  <c r="C51" i="128" s="1"/>
  <c r="D312" i="108"/>
  <c r="F312" i="108" s="1"/>
  <c r="L312" i="108" s="1"/>
  <c r="C57" i="128" s="1"/>
  <c r="C36" i="147"/>
  <c r="C36" i="148"/>
  <c r="C31" i="88"/>
  <c r="D310" i="108"/>
  <c r="F310" i="108" s="1"/>
  <c r="L310" i="108" s="1"/>
  <c r="C55" i="128" s="1"/>
  <c r="A456" i="92"/>
  <c r="D479" i="92"/>
  <c r="D480" i="92" s="1"/>
  <c r="L479" i="92"/>
  <c r="L480" i="92" s="1"/>
  <c r="F479" i="92"/>
  <c r="F480" i="92" s="1"/>
  <c r="N479" i="92"/>
  <c r="N480" i="92" s="1"/>
  <c r="C520" i="92"/>
  <c r="C36" i="138"/>
  <c r="C36" i="145"/>
  <c r="C28" i="88"/>
  <c r="D307" i="108"/>
  <c r="F307" i="108" s="1"/>
  <c r="L307" i="108" s="1"/>
  <c r="C52" i="128" s="1"/>
  <c r="C36" i="146"/>
  <c r="C29" i="88"/>
  <c r="D308" i="108"/>
  <c r="F308" i="108" s="1"/>
  <c r="L308" i="108" s="1"/>
  <c r="C53" i="128" s="1"/>
  <c r="E479" i="92"/>
  <c r="E480" i="92" s="1"/>
  <c r="C479" i="92"/>
  <c r="C480" i="92" s="1"/>
  <c r="M479" i="92"/>
  <c r="M480" i="92" s="1"/>
  <c r="D304" i="108" l="1"/>
  <c r="F304" i="108" s="1"/>
  <c r="L304" i="108" s="1"/>
  <c r="C49" i="128" s="1"/>
  <c r="C25" i="88"/>
  <c r="D300" i="108"/>
  <c r="F300" i="108" s="1"/>
  <c r="L300" i="108" s="1"/>
  <c r="C45" i="128" s="1"/>
  <c r="D309" i="108"/>
  <c r="F309" i="108" s="1"/>
  <c r="L309" i="108" s="1"/>
  <c r="C54" i="128" s="1"/>
  <c r="C33" i="88"/>
  <c r="C36" i="134"/>
  <c r="D311" i="108"/>
  <c r="F311" i="108" s="1"/>
  <c r="L311" i="108" s="1"/>
  <c r="C56" i="128" s="1"/>
  <c r="D302" i="108"/>
  <c r="F302" i="108" s="1"/>
  <c r="L302" i="108" s="1"/>
  <c r="C47" i="128" s="1"/>
  <c r="C36" i="142"/>
  <c r="C36" i="141"/>
  <c r="G202" i="209"/>
  <c r="H126" i="209"/>
  <c r="F86" i="200"/>
  <c r="F87" i="200" s="1"/>
  <c r="G29" i="200"/>
  <c r="C136" i="146"/>
  <c r="C238" i="146" s="1"/>
  <c r="C272" i="146" s="1"/>
  <c r="C136" i="143"/>
  <c r="C238" i="143" s="1"/>
  <c r="C272" i="143" s="1"/>
  <c r="C136" i="142"/>
  <c r="C238" i="142" s="1"/>
  <c r="C272" i="142" s="1"/>
  <c r="C136" i="137"/>
  <c r="C238" i="137" s="1"/>
  <c r="C272" i="137" s="1"/>
  <c r="C136" i="144"/>
  <c r="C238" i="144" s="1"/>
  <c r="C272" i="144" s="1"/>
  <c r="D299" i="108"/>
  <c r="F299" i="108" s="1"/>
  <c r="L299" i="108" s="1"/>
  <c r="C44" i="128" s="1"/>
  <c r="D67" i="185"/>
  <c r="D66" i="185"/>
  <c r="F27" i="202"/>
  <c r="E64" i="202"/>
  <c r="E65" i="202" s="1"/>
  <c r="G210" i="209"/>
  <c r="H134" i="209"/>
  <c r="G195" i="209"/>
  <c r="H119" i="209"/>
  <c r="D67" i="192"/>
  <c r="D69" i="192" s="1"/>
  <c r="D66" i="192"/>
  <c r="D68" i="192" s="1"/>
  <c r="K174" i="152"/>
  <c r="L59" i="123"/>
  <c r="E75" i="195"/>
  <c r="E76" i="195" s="1"/>
  <c r="F28" i="195"/>
  <c r="D241" i="209"/>
  <c r="D242" i="209" s="1"/>
  <c r="G207" i="209"/>
  <c r="H131" i="209"/>
  <c r="D78" i="188"/>
  <c r="D80" i="188" s="1"/>
  <c r="C34" i="88"/>
  <c r="E64" i="185"/>
  <c r="E65" i="185" s="1"/>
  <c r="F27" i="185"/>
  <c r="C66" i="187"/>
  <c r="C68" i="187" s="1"/>
  <c r="C70" i="187" s="1"/>
  <c r="C94" i="187" s="1"/>
  <c r="D66" i="202"/>
  <c r="D68" i="202" s="1"/>
  <c r="D67" i="202"/>
  <c r="D69" i="202" s="1"/>
  <c r="F215" i="209"/>
  <c r="F236" i="209" s="1"/>
  <c r="F216" i="209"/>
  <c r="F27" i="192"/>
  <c r="E64" i="192"/>
  <c r="E65" i="192" s="1"/>
  <c r="E51" i="191"/>
  <c r="G51" i="191" s="1"/>
  <c r="I51" i="191" s="1"/>
  <c r="D78" i="199"/>
  <c r="D80" i="199" s="1"/>
  <c r="D77" i="199"/>
  <c r="D79" i="199" s="1"/>
  <c r="D81" i="199" s="1"/>
  <c r="E50" i="193"/>
  <c r="G50" i="193" s="1"/>
  <c r="I50" i="193" s="1"/>
  <c r="J50" i="193" s="1"/>
  <c r="F233" i="209"/>
  <c r="E75" i="188"/>
  <c r="E76" i="188" s="1"/>
  <c r="F28" i="188"/>
  <c r="F266" i="152"/>
  <c r="Q46" i="113"/>
  <c r="Q56" i="113" s="1"/>
  <c r="Q41" i="113"/>
  <c r="Q38" i="113"/>
  <c r="C130" i="150"/>
  <c r="C232" i="150" s="1"/>
  <c r="C266" i="150" s="1"/>
  <c r="C130" i="145"/>
  <c r="C232" i="145" s="1"/>
  <c r="C266" i="145" s="1"/>
  <c r="C130" i="138"/>
  <c r="C232" i="138" s="1"/>
  <c r="C266" i="138" s="1"/>
  <c r="C130" i="136"/>
  <c r="C232" i="136" s="1"/>
  <c r="C266" i="136" s="1"/>
  <c r="C130" i="134"/>
  <c r="C232" i="134" s="1"/>
  <c r="C266" i="134" s="1"/>
  <c r="C136" i="150"/>
  <c r="C238" i="150" s="1"/>
  <c r="C272" i="150" s="1"/>
  <c r="C136" i="145"/>
  <c r="C238" i="145" s="1"/>
  <c r="C272" i="145" s="1"/>
  <c r="C136" i="138"/>
  <c r="C238" i="138" s="1"/>
  <c r="C272" i="138" s="1"/>
  <c r="C136" i="136"/>
  <c r="C238" i="136" s="1"/>
  <c r="C272" i="136" s="1"/>
  <c r="C136" i="134"/>
  <c r="C238" i="134" s="1"/>
  <c r="C272" i="134" s="1"/>
  <c r="C133" i="150"/>
  <c r="C235" i="150" s="1"/>
  <c r="C269" i="150" s="1"/>
  <c r="C133" i="138"/>
  <c r="C235" i="138" s="1"/>
  <c r="C269" i="138" s="1"/>
  <c r="C133" i="136"/>
  <c r="C235" i="136" s="1"/>
  <c r="C269" i="136" s="1"/>
  <c r="C133" i="145"/>
  <c r="C235" i="145" s="1"/>
  <c r="C269" i="145" s="1"/>
  <c r="C133" i="134"/>
  <c r="C235" i="134" s="1"/>
  <c r="C269" i="134" s="1"/>
  <c r="D88" i="191"/>
  <c r="D90" i="191" s="1"/>
  <c r="G29" i="197"/>
  <c r="F86" i="197"/>
  <c r="F87" i="197" s="1"/>
  <c r="C66" i="191"/>
  <c r="C68" i="191" s="1"/>
  <c r="K194" i="152"/>
  <c r="L79" i="123"/>
  <c r="K176" i="152"/>
  <c r="L61" i="123"/>
  <c r="D88" i="187"/>
  <c r="D90" i="187" s="1"/>
  <c r="C77" i="202"/>
  <c r="C79" i="202" s="1"/>
  <c r="C81" i="202" s="1"/>
  <c r="C77" i="193"/>
  <c r="C79" i="193" s="1"/>
  <c r="C81" i="193" s="1"/>
  <c r="C94" i="193" s="1"/>
  <c r="C115" i="151"/>
  <c r="C217" i="151" s="1"/>
  <c r="C251" i="151" s="1"/>
  <c r="C115" i="149"/>
  <c r="C217" i="149" s="1"/>
  <c r="C251" i="149" s="1"/>
  <c r="C115" i="147"/>
  <c r="C217" i="147" s="1"/>
  <c r="C251" i="147" s="1"/>
  <c r="C115" i="162"/>
  <c r="C217" i="162" s="1"/>
  <c r="C251" i="162" s="1"/>
  <c r="C115" i="141"/>
  <c r="C217" i="141" s="1"/>
  <c r="C251" i="141" s="1"/>
  <c r="C115" i="148"/>
  <c r="C217" i="148" s="1"/>
  <c r="C251" i="148" s="1"/>
  <c r="C115" i="139"/>
  <c r="C217" i="139" s="1"/>
  <c r="C251" i="139" s="1"/>
  <c r="C115" i="135"/>
  <c r="C217" i="135" s="1"/>
  <c r="C251" i="135" s="1"/>
  <c r="C115" i="86"/>
  <c r="C217" i="86" s="1"/>
  <c r="C251" i="86" s="1"/>
  <c r="C112" i="151"/>
  <c r="C214" i="151" s="1"/>
  <c r="C248" i="151" s="1"/>
  <c r="C112" i="149"/>
  <c r="C214" i="149" s="1"/>
  <c r="C248" i="149" s="1"/>
  <c r="C112" i="148"/>
  <c r="C214" i="148" s="1"/>
  <c r="C248" i="148" s="1"/>
  <c r="C112" i="139"/>
  <c r="C214" i="139" s="1"/>
  <c r="C248" i="139" s="1"/>
  <c r="C112" i="135"/>
  <c r="C214" i="135" s="1"/>
  <c r="C248" i="135" s="1"/>
  <c r="C112" i="147"/>
  <c r="C214" i="147" s="1"/>
  <c r="C248" i="147" s="1"/>
  <c r="C112" i="162"/>
  <c r="C214" i="162" s="1"/>
  <c r="C248" i="162" s="1"/>
  <c r="C112" i="141"/>
  <c r="C214" i="141" s="1"/>
  <c r="C248" i="141" s="1"/>
  <c r="C112" i="86"/>
  <c r="C214" i="86" s="1"/>
  <c r="C248" i="86" s="1"/>
  <c r="E88" i="195"/>
  <c r="E90" i="195" s="1"/>
  <c r="E89" i="195"/>
  <c r="E91" i="195" s="1"/>
  <c r="C132" i="146"/>
  <c r="C234" i="146" s="1"/>
  <c r="C268" i="146" s="1"/>
  <c r="C132" i="143"/>
  <c r="C234" i="143" s="1"/>
  <c r="C268" i="143" s="1"/>
  <c r="C132" i="142"/>
  <c r="C234" i="142" s="1"/>
  <c r="C268" i="142" s="1"/>
  <c r="C132" i="137"/>
  <c r="C234" i="137" s="1"/>
  <c r="C268" i="137" s="1"/>
  <c r="C132" i="144"/>
  <c r="C234" i="144" s="1"/>
  <c r="C268" i="144" s="1"/>
  <c r="F223" i="209"/>
  <c r="E51" i="196"/>
  <c r="G51" i="196" s="1"/>
  <c r="I51" i="196" s="1"/>
  <c r="E64" i="197"/>
  <c r="E65" i="197" s="1"/>
  <c r="F27" i="197"/>
  <c r="D78" i="193"/>
  <c r="D80" i="193" s="1"/>
  <c r="D77" i="193"/>
  <c r="D79" i="193" s="1"/>
  <c r="D81" i="193" s="1"/>
  <c r="C118" i="150"/>
  <c r="C220" i="150" s="1"/>
  <c r="C254" i="150" s="1"/>
  <c r="C118" i="145"/>
  <c r="C220" i="145" s="1"/>
  <c r="C254" i="145" s="1"/>
  <c r="C118" i="138"/>
  <c r="C220" i="138" s="1"/>
  <c r="C254" i="138" s="1"/>
  <c r="C118" i="136"/>
  <c r="C220" i="136" s="1"/>
  <c r="C254" i="136" s="1"/>
  <c r="C118" i="134"/>
  <c r="C220" i="134" s="1"/>
  <c r="C254" i="134" s="1"/>
  <c r="C111" i="150"/>
  <c r="C111" i="138"/>
  <c r="C111" i="136"/>
  <c r="C111" i="145"/>
  <c r="C111" i="134"/>
  <c r="C69" i="185"/>
  <c r="F27" i="194"/>
  <c r="E64" i="194"/>
  <c r="E65" i="194" s="1"/>
  <c r="D88" i="194"/>
  <c r="D90" i="194" s="1"/>
  <c r="D88" i="189"/>
  <c r="D90" i="189" s="1"/>
  <c r="C66" i="198"/>
  <c r="C68" i="198" s="1"/>
  <c r="E64" i="203"/>
  <c r="E65" i="203" s="1"/>
  <c r="F27" i="203"/>
  <c r="F225" i="209"/>
  <c r="E89" i="193"/>
  <c r="E91" i="193" s="1"/>
  <c r="E231" i="209"/>
  <c r="E50" i="186"/>
  <c r="G50" i="186" s="1"/>
  <c r="I50" i="186" s="1"/>
  <c r="J50" i="186" s="1"/>
  <c r="C77" i="188"/>
  <c r="C79" i="188" s="1"/>
  <c r="C81" i="188" s="1"/>
  <c r="D88" i="202"/>
  <c r="D90" i="202" s="1"/>
  <c r="D66" i="204"/>
  <c r="D68" i="204" s="1"/>
  <c r="D67" i="204"/>
  <c r="D69" i="204" s="1"/>
  <c r="G208" i="209"/>
  <c r="H132" i="209"/>
  <c r="C70" i="188"/>
  <c r="J217" i="152"/>
  <c r="J57" i="169"/>
  <c r="J89" i="169" s="1"/>
  <c r="J57" i="167"/>
  <c r="J89" i="167" s="1"/>
  <c r="J57" i="166"/>
  <c r="J89" i="166" s="1"/>
  <c r="K70" i="124"/>
  <c r="J207" i="152"/>
  <c r="J47" i="169"/>
  <c r="J79" i="169" s="1"/>
  <c r="K60" i="124"/>
  <c r="J47" i="167"/>
  <c r="J79" i="167" s="1"/>
  <c r="J47" i="166"/>
  <c r="J79" i="166" s="1"/>
  <c r="E88" i="185"/>
  <c r="E90" i="185" s="1"/>
  <c r="E89" i="185"/>
  <c r="E91" i="185" s="1"/>
  <c r="C77" i="192"/>
  <c r="C79" i="192" s="1"/>
  <c r="C81" i="192" s="1"/>
  <c r="C94" i="192" s="1"/>
  <c r="F229" i="209"/>
  <c r="C70" i="202"/>
  <c r="G206" i="209"/>
  <c r="H130" i="209"/>
  <c r="C66" i="192"/>
  <c r="C68" i="192" s="1"/>
  <c r="E225" i="209"/>
  <c r="D78" i="186"/>
  <c r="D80" i="186" s="1"/>
  <c r="C77" i="199"/>
  <c r="C79" i="199" s="1"/>
  <c r="C81" i="199" s="1"/>
  <c r="D88" i="199"/>
  <c r="D90" i="199" s="1"/>
  <c r="D92" i="186"/>
  <c r="G29" i="192"/>
  <c r="F86" i="192"/>
  <c r="F87" i="192" s="1"/>
  <c r="C66" i="201"/>
  <c r="C68" i="201" s="1"/>
  <c r="K178" i="152"/>
  <c r="L63" i="123"/>
  <c r="E75" i="201"/>
  <c r="E76" i="201" s="1"/>
  <c r="F28" i="201"/>
  <c r="E89" i="188"/>
  <c r="E91" i="188" s="1"/>
  <c r="C131" i="144"/>
  <c r="C233" i="144" s="1"/>
  <c r="C267" i="144" s="1"/>
  <c r="C131" i="146"/>
  <c r="C233" i="146" s="1"/>
  <c r="C267" i="146" s="1"/>
  <c r="C131" i="143"/>
  <c r="C233" i="143" s="1"/>
  <c r="C267" i="143" s="1"/>
  <c r="C131" i="142"/>
  <c r="C233" i="142" s="1"/>
  <c r="C267" i="142" s="1"/>
  <c r="C131" i="137"/>
  <c r="C233" i="137" s="1"/>
  <c r="C267" i="137" s="1"/>
  <c r="C128" i="146"/>
  <c r="C230" i="146" s="1"/>
  <c r="C264" i="146" s="1"/>
  <c r="C128" i="143"/>
  <c r="C230" i="143" s="1"/>
  <c r="C264" i="143" s="1"/>
  <c r="C128" i="142"/>
  <c r="C230" i="142" s="1"/>
  <c r="C264" i="142" s="1"/>
  <c r="C128" i="137"/>
  <c r="C230" i="137" s="1"/>
  <c r="C264" i="137" s="1"/>
  <c r="C128" i="144"/>
  <c r="C230" i="144" s="1"/>
  <c r="C264" i="144" s="1"/>
  <c r="E230" i="209"/>
  <c r="E50" i="200"/>
  <c r="G50" i="200" s="1"/>
  <c r="I50" i="200" s="1"/>
  <c r="J50" i="200" s="1"/>
  <c r="F261" i="152"/>
  <c r="Q37" i="104"/>
  <c r="I75" i="104"/>
  <c r="I76" i="104" s="1"/>
  <c r="N204" i="95" s="1"/>
  <c r="R34" i="104"/>
  <c r="AH213" i="95"/>
  <c r="J223" i="152"/>
  <c r="J63" i="169"/>
  <c r="J95" i="169" s="1"/>
  <c r="J63" i="167"/>
  <c r="J95" i="167" s="1"/>
  <c r="J63" i="166"/>
  <c r="J95" i="166" s="1"/>
  <c r="K76" i="124"/>
  <c r="K179" i="152"/>
  <c r="L64" i="123"/>
  <c r="J206" i="152"/>
  <c r="J46" i="169"/>
  <c r="J78" i="169" s="1"/>
  <c r="J46" i="167"/>
  <c r="J78" i="167" s="1"/>
  <c r="J46" i="166"/>
  <c r="J78" i="166" s="1"/>
  <c r="K59" i="124"/>
  <c r="D88" i="203"/>
  <c r="D90" i="203" s="1"/>
  <c r="E51" i="192"/>
  <c r="G51" i="192" s="1"/>
  <c r="I51" i="192" s="1"/>
  <c r="E51" i="202"/>
  <c r="G51" i="202" s="1"/>
  <c r="I51" i="202" s="1"/>
  <c r="C94" i="202"/>
  <c r="C66" i="197"/>
  <c r="C68" i="197" s="1"/>
  <c r="K173" i="152"/>
  <c r="L58" i="123"/>
  <c r="J209" i="152"/>
  <c r="J49" i="169"/>
  <c r="J81" i="169" s="1"/>
  <c r="K62" i="124"/>
  <c r="J49" i="167"/>
  <c r="J81" i="167" s="1"/>
  <c r="J49" i="166"/>
  <c r="J81" i="166" s="1"/>
  <c r="E51" i="187"/>
  <c r="G51" i="187" s="1"/>
  <c r="I51" i="187" s="1"/>
  <c r="E75" i="202"/>
  <c r="E76" i="202" s="1"/>
  <c r="F28" i="202"/>
  <c r="C77" i="197"/>
  <c r="C79" i="197" s="1"/>
  <c r="C81" i="197" s="1"/>
  <c r="C119" i="151"/>
  <c r="C221" i="151" s="1"/>
  <c r="C255" i="151" s="1"/>
  <c r="C119" i="149"/>
  <c r="C221" i="149" s="1"/>
  <c r="C255" i="149" s="1"/>
  <c r="C119" i="147"/>
  <c r="C221" i="147" s="1"/>
  <c r="C255" i="147" s="1"/>
  <c r="C119" i="162"/>
  <c r="C221" i="162" s="1"/>
  <c r="C255" i="162" s="1"/>
  <c r="C119" i="141"/>
  <c r="C221" i="141" s="1"/>
  <c r="C255" i="141" s="1"/>
  <c r="C119" i="148"/>
  <c r="C221" i="148" s="1"/>
  <c r="C255" i="148" s="1"/>
  <c r="C119" i="139"/>
  <c r="C221" i="139" s="1"/>
  <c r="C255" i="139" s="1"/>
  <c r="C119" i="135"/>
  <c r="C221" i="135" s="1"/>
  <c r="C255" i="135" s="1"/>
  <c r="C119" i="86"/>
  <c r="C221" i="86" s="1"/>
  <c r="C255" i="86" s="1"/>
  <c r="E50" i="185"/>
  <c r="G50" i="185" s="1"/>
  <c r="I50" i="185" s="1"/>
  <c r="J50" i="185" s="1"/>
  <c r="E50" i="202"/>
  <c r="G50" i="202" s="1"/>
  <c r="I50" i="202" s="1"/>
  <c r="J50" i="202" s="1"/>
  <c r="E239" i="209"/>
  <c r="C70" i="203"/>
  <c r="C94" i="203" s="1"/>
  <c r="E51" i="199"/>
  <c r="G51" i="199" s="1"/>
  <c r="I51" i="199" s="1"/>
  <c r="C223" i="140"/>
  <c r="C247" i="140"/>
  <c r="C257" i="140" s="1"/>
  <c r="C258" i="140" s="1"/>
  <c r="G214" i="209"/>
  <c r="H138" i="209"/>
  <c r="D67" i="186"/>
  <c r="D69" i="186" s="1"/>
  <c r="E51" i="188"/>
  <c r="G51" i="188" s="1"/>
  <c r="I51" i="188" s="1"/>
  <c r="D77" i="194"/>
  <c r="D79" i="194" s="1"/>
  <c r="D81" i="194" s="1"/>
  <c r="D78" i="194"/>
  <c r="D80" i="194" s="1"/>
  <c r="C134" i="151"/>
  <c r="C236" i="151" s="1"/>
  <c r="C270" i="151" s="1"/>
  <c r="C134" i="149"/>
  <c r="C236" i="149" s="1"/>
  <c r="C270" i="149" s="1"/>
  <c r="C134" i="148"/>
  <c r="C236" i="148" s="1"/>
  <c r="C270" i="148" s="1"/>
  <c r="C134" i="139"/>
  <c r="C236" i="139" s="1"/>
  <c r="C270" i="139" s="1"/>
  <c r="C134" i="135"/>
  <c r="C236" i="135" s="1"/>
  <c r="C270" i="135" s="1"/>
  <c r="C134" i="147"/>
  <c r="C236" i="147" s="1"/>
  <c r="C270" i="147" s="1"/>
  <c r="C134" i="162"/>
  <c r="C236" i="162" s="1"/>
  <c r="C270" i="162" s="1"/>
  <c r="C134" i="141"/>
  <c r="C236" i="141" s="1"/>
  <c r="C270" i="141" s="1"/>
  <c r="C134" i="86"/>
  <c r="C236" i="86" s="1"/>
  <c r="C270" i="86" s="1"/>
  <c r="C127" i="151"/>
  <c r="C127" i="149"/>
  <c r="C127" i="147"/>
  <c r="C127" i="162"/>
  <c r="C127" i="141"/>
  <c r="C127" i="148"/>
  <c r="C127" i="139"/>
  <c r="C127" i="135"/>
  <c r="C127" i="86"/>
  <c r="C66" i="204"/>
  <c r="C68" i="204" s="1"/>
  <c r="C70" i="204" s="1"/>
  <c r="F230" i="209"/>
  <c r="E88" i="201"/>
  <c r="E90" i="201" s="1"/>
  <c r="E89" i="201"/>
  <c r="E91" i="201" s="1"/>
  <c r="E50" i="196"/>
  <c r="G50" i="196" s="1"/>
  <c r="I50" i="196" s="1"/>
  <c r="J50" i="196" s="1"/>
  <c r="D78" i="200"/>
  <c r="D80" i="200" s="1"/>
  <c r="K175" i="152"/>
  <c r="L60" i="123"/>
  <c r="F28" i="204"/>
  <c r="E75" i="204"/>
  <c r="E76" i="204" s="1"/>
  <c r="C70" i="191"/>
  <c r="D92" i="187"/>
  <c r="D67" i="190"/>
  <c r="D69" i="190" s="1"/>
  <c r="D66" i="190"/>
  <c r="D68" i="190" s="1"/>
  <c r="K185" i="152"/>
  <c r="L70" i="123"/>
  <c r="J50" i="191"/>
  <c r="J204" i="152"/>
  <c r="K57" i="124"/>
  <c r="J44" i="167"/>
  <c r="J76" i="167" s="1"/>
  <c r="J44" i="166"/>
  <c r="J76" i="166" s="1"/>
  <c r="J44" i="169"/>
  <c r="J76" i="169" s="1"/>
  <c r="E75" i="193"/>
  <c r="E76" i="193" s="1"/>
  <c r="F28" i="193"/>
  <c r="D92" i="194"/>
  <c r="G29" i="198"/>
  <c r="F86" i="198"/>
  <c r="F87" i="198" s="1"/>
  <c r="F232" i="209"/>
  <c r="F86" i="189"/>
  <c r="F87" i="189" s="1"/>
  <c r="G29" i="189"/>
  <c r="E75" i="186"/>
  <c r="E76" i="186" s="1"/>
  <c r="F28" i="186"/>
  <c r="D92" i="199"/>
  <c r="E89" i="192"/>
  <c r="E91" i="192" s="1"/>
  <c r="E88" i="192"/>
  <c r="E90" i="192" s="1"/>
  <c r="C70" i="201"/>
  <c r="D78" i="201"/>
  <c r="D80" i="201" s="1"/>
  <c r="F86" i="202"/>
  <c r="F87" i="202" s="1"/>
  <c r="G29" i="202"/>
  <c r="C131" i="151"/>
  <c r="C233" i="151" s="1"/>
  <c r="C267" i="151" s="1"/>
  <c r="C131" i="149"/>
  <c r="C233" i="149" s="1"/>
  <c r="C267" i="149" s="1"/>
  <c r="C131" i="147"/>
  <c r="C233" i="147" s="1"/>
  <c r="C267" i="147" s="1"/>
  <c r="C131" i="162"/>
  <c r="C233" i="162" s="1"/>
  <c r="C267" i="162" s="1"/>
  <c r="C131" i="141"/>
  <c r="C233" i="141" s="1"/>
  <c r="C267" i="141" s="1"/>
  <c r="C131" i="148"/>
  <c r="C233" i="148" s="1"/>
  <c r="C267" i="148" s="1"/>
  <c r="C131" i="139"/>
  <c r="C233" i="139" s="1"/>
  <c r="C267" i="139" s="1"/>
  <c r="C131" i="135"/>
  <c r="C233" i="135" s="1"/>
  <c r="C267" i="135" s="1"/>
  <c r="C131" i="86"/>
  <c r="C233" i="86" s="1"/>
  <c r="C267" i="86" s="1"/>
  <c r="C128" i="151"/>
  <c r="C230" i="151" s="1"/>
  <c r="C264" i="151" s="1"/>
  <c r="C128" i="149"/>
  <c r="C230" i="149" s="1"/>
  <c r="C264" i="149" s="1"/>
  <c r="C128" i="148"/>
  <c r="C230" i="148" s="1"/>
  <c r="C264" i="148" s="1"/>
  <c r="C128" i="139"/>
  <c r="C230" i="139" s="1"/>
  <c r="C264" i="139" s="1"/>
  <c r="C128" i="135"/>
  <c r="C230" i="135" s="1"/>
  <c r="C264" i="135" s="1"/>
  <c r="C128" i="147"/>
  <c r="C230" i="147" s="1"/>
  <c r="C264" i="147" s="1"/>
  <c r="C128" i="162"/>
  <c r="C230" i="162" s="1"/>
  <c r="C264" i="162" s="1"/>
  <c r="C128" i="141"/>
  <c r="C230" i="141" s="1"/>
  <c r="C264" i="141" s="1"/>
  <c r="C128" i="86"/>
  <c r="C230" i="86" s="1"/>
  <c r="C264" i="86" s="1"/>
  <c r="E238" i="209"/>
  <c r="J50" i="188"/>
  <c r="J220" i="152"/>
  <c r="J60" i="169"/>
  <c r="J92" i="169" s="1"/>
  <c r="J60" i="167"/>
  <c r="J92" i="167" s="1"/>
  <c r="J60" i="166"/>
  <c r="J92" i="166" s="1"/>
  <c r="K73" i="124"/>
  <c r="D92" i="203"/>
  <c r="E229" i="209"/>
  <c r="C70" i="197"/>
  <c r="C94" i="197" s="1"/>
  <c r="F86" i="190"/>
  <c r="F87" i="190" s="1"/>
  <c r="G29" i="190"/>
  <c r="C114" i="150"/>
  <c r="C216" i="150" s="1"/>
  <c r="C250" i="150" s="1"/>
  <c r="C114" i="145"/>
  <c r="C216" i="145" s="1"/>
  <c r="C250" i="145" s="1"/>
  <c r="C114" i="138"/>
  <c r="C216" i="138" s="1"/>
  <c r="C250" i="138" s="1"/>
  <c r="C114" i="136"/>
  <c r="C216" i="136" s="1"/>
  <c r="C250" i="136" s="1"/>
  <c r="C114" i="134"/>
  <c r="C216" i="134" s="1"/>
  <c r="C250" i="134" s="1"/>
  <c r="C120" i="150"/>
  <c r="C222" i="150" s="1"/>
  <c r="C256" i="150" s="1"/>
  <c r="C120" i="145"/>
  <c r="C222" i="145" s="1"/>
  <c r="C256" i="145" s="1"/>
  <c r="C120" i="138"/>
  <c r="C222" i="138" s="1"/>
  <c r="C256" i="138" s="1"/>
  <c r="C120" i="136"/>
  <c r="C222" i="136" s="1"/>
  <c r="C256" i="136" s="1"/>
  <c r="C120" i="134"/>
  <c r="C222" i="134" s="1"/>
  <c r="C256" i="134" s="1"/>
  <c r="C117" i="150"/>
  <c r="C219" i="150" s="1"/>
  <c r="C253" i="150" s="1"/>
  <c r="C117" i="138"/>
  <c r="C219" i="138" s="1"/>
  <c r="C253" i="138" s="1"/>
  <c r="C117" i="136"/>
  <c r="C219" i="136" s="1"/>
  <c r="C253" i="136" s="1"/>
  <c r="C117" i="145"/>
  <c r="C219" i="145" s="1"/>
  <c r="C253" i="145" s="1"/>
  <c r="C117" i="134"/>
  <c r="C219" i="134" s="1"/>
  <c r="C253" i="134" s="1"/>
  <c r="O49" i="104"/>
  <c r="O51" i="104" s="1"/>
  <c r="O53" i="104" s="1"/>
  <c r="O63" i="104" s="1"/>
  <c r="D78" i="202"/>
  <c r="D80" i="202" s="1"/>
  <c r="F27" i="198"/>
  <c r="E64" i="198"/>
  <c r="E65" i="198" s="1"/>
  <c r="K192" i="152"/>
  <c r="L77" i="123"/>
  <c r="F86" i="199"/>
  <c r="F87" i="199" s="1"/>
  <c r="G29" i="199"/>
  <c r="F86" i="186"/>
  <c r="F87" i="186" s="1"/>
  <c r="G29" i="186"/>
  <c r="K190" i="152"/>
  <c r="L75" i="123"/>
  <c r="E75" i="194"/>
  <c r="E76" i="194" s="1"/>
  <c r="F28" i="194"/>
  <c r="G204" i="209"/>
  <c r="H128" i="209"/>
  <c r="D78" i="189"/>
  <c r="D80" i="189" s="1"/>
  <c r="D77" i="189"/>
  <c r="D79" i="189" s="1"/>
  <c r="D81" i="189" s="1"/>
  <c r="C116" i="150"/>
  <c r="C218" i="150" s="1"/>
  <c r="C252" i="150" s="1"/>
  <c r="C116" i="145"/>
  <c r="C218" i="145" s="1"/>
  <c r="C252" i="145" s="1"/>
  <c r="C116" i="138"/>
  <c r="C218" i="138" s="1"/>
  <c r="C252" i="138" s="1"/>
  <c r="C116" i="136"/>
  <c r="C218" i="136" s="1"/>
  <c r="C252" i="136" s="1"/>
  <c r="C116" i="134"/>
  <c r="C218" i="134" s="1"/>
  <c r="C252" i="134" s="1"/>
  <c r="C113" i="150"/>
  <c r="C215" i="150" s="1"/>
  <c r="C249" i="150" s="1"/>
  <c r="C113" i="138"/>
  <c r="C215" i="138" s="1"/>
  <c r="C249" i="138" s="1"/>
  <c r="C113" i="136"/>
  <c r="C215" i="136" s="1"/>
  <c r="C249" i="136" s="1"/>
  <c r="C113" i="145"/>
  <c r="C215" i="145" s="1"/>
  <c r="C249" i="145" s="1"/>
  <c r="C113" i="134"/>
  <c r="C215" i="134" s="1"/>
  <c r="C249" i="134" s="1"/>
  <c r="F86" i="194"/>
  <c r="F87" i="194" s="1"/>
  <c r="G29" i="194"/>
  <c r="E64" i="199"/>
  <c r="E65" i="199" s="1"/>
  <c r="F27" i="199"/>
  <c r="C133" i="144"/>
  <c r="C235" i="144" s="1"/>
  <c r="C269" i="144" s="1"/>
  <c r="C133" i="146"/>
  <c r="C235" i="146" s="1"/>
  <c r="C269" i="146" s="1"/>
  <c r="C133" i="143"/>
  <c r="C235" i="143" s="1"/>
  <c r="C269" i="143" s="1"/>
  <c r="C133" i="142"/>
  <c r="C235" i="142" s="1"/>
  <c r="C269" i="142" s="1"/>
  <c r="C133" i="137"/>
  <c r="C235" i="137" s="1"/>
  <c r="C269" i="137" s="1"/>
  <c r="E89" i="197"/>
  <c r="E91" i="197" s="1"/>
  <c r="C132" i="151"/>
  <c r="C234" i="151" s="1"/>
  <c r="C268" i="151" s="1"/>
  <c r="C132" i="149"/>
  <c r="C234" i="149" s="1"/>
  <c r="C268" i="149" s="1"/>
  <c r="C132" i="148"/>
  <c r="C234" i="148" s="1"/>
  <c r="C268" i="148" s="1"/>
  <c r="C132" i="139"/>
  <c r="C234" i="139" s="1"/>
  <c r="C268" i="139" s="1"/>
  <c r="C132" i="135"/>
  <c r="C234" i="135" s="1"/>
  <c r="C268" i="135" s="1"/>
  <c r="C132" i="147"/>
  <c r="C234" i="147" s="1"/>
  <c r="C268" i="147" s="1"/>
  <c r="C132" i="162"/>
  <c r="C234" i="162" s="1"/>
  <c r="C268" i="162" s="1"/>
  <c r="C132" i="141"/>
  <c r="C234" i="141" s="1"/>
  <c r="C268" i="141" s="1"/>
  <c r="C132" i="86"/>
  <c r="C234" i="86" s="1"/>
  <c r="C268" i="86" s="1"/>
  <c r="D67" i="197"/>
  <c r="D69" i="197" s="1"/>
  <c r="C118" i="146"/>
  <c r="C220" i="146" s="1"/>
  <c r="C254" i="146" s="1"/>
  <c r="C118" i="143"/>
  <c r="C220" i="143" s="1"/>
  <c r="C254" i="143" s="1"/>
  <c r="C118" i="142"/>
  <c r="C220" i="142" s="1"/>
  <c r="C254" i="142" s="1"/>
  <c r="C118" i="137"/>
  <c r="C220" i="137" s="1"/>
  <c r="C254" i="137" s="1"/>
  <c r="C118" i="144"/>
  <c r="C220" i="144" s="1"/>
  <c r="C254" i="144" s="1"/>
  <c r="C111" i="144"/>
  <c r="C111" i="146"/>
  <c r="C111" i="143"/>
  <c r="C111" i="142"/>
  <c r="C111" i="137"/>
  <c r="J50" i="187"/>
  <c r="D67" i="189"/>
  <c r="D69" i="189" s="1"/>
  <c r="D66" i="189"/>
  <c r="D68" i="189" s="1"/>
  <c r="K186" i="152"/>
  <c r="L71" i="123"/>
  <c r="D78" i="191"/>
  <c r="D80" i="191" s="1"/>
  <c r="D67" i="201"/>
  <c r="D69" i="201" s="1"/>
  <c r="D66" i="201"/>
  <c r="D68" i="201" s="1"/>
  <c r="K193" i="152"/>
  <c r="L78" i="123"/>
  <c r="C135" i="150"/>
  <c r="C237" i="150" s="1"/>
  <c r="C271" i="150" s="1"/>
  <c r="C135" i="138"/>
  <c r="C237" i="138" s="1"/>
  <c r="C271" i="138" s="1"/>
  <c r="C135" i="136"/>
  <c r="C237" i="136" s="1"/>
  <c r="C271" i="136" s="1"/>
  <c r="C135" i="145"/>
  <c r="C237" i="145" s="1"/>
  <c r="C271" i="145" s="1"/>
  <c r="C135" i="134"/>
  <c r="C237" i="134" s="1"/>
  <c r="C271" i="134" s="1"/>
  <c r="C129" i="150"/>
  <c r="C231" i="150" s="1"/>
  <c r="C265" i="150" s="1"/>
  <c r="C129" i="138"/>
  <c r="C231" i="138" s="1"/>
  <c r="C265" i="138" s="1"/>
  <c r="C129" i="136"/>
  <c r="C231" i="136" s="1"/>
  <c r="C265" i="136" s="1"/>
  <c r="C129" i="145"/>
  <c r="C231" i="145" s="1"/>
  <c r="C265" i="145" s="1"/>
  <c r="C129" i="134"/>
  <c r="C231" i="134" s="1"/>
  <c r="C265" i="134" s="1"/>
  <c r="F226" i="209"/>
  <c r="F86" i="191"/>
  <c r="F87" i="191" s="1"/>
  <c r="G29" i="191"/>
  <c r="F86" i="187"/>
  <c r="F87" i="187" s="1"/>
  <c r="G29" i="187"/>
  <c r="C506" i="92"/>
  <c r="C507" i="92" s="1"/>
  <c r="E50" i="194"/>
  <c r="G50" i="194" s="1"/>
  <c r="I50" i="194" s="1"/>
  <c r="F228" i="209"/>
  <c r="E89" i="194"/>
  <c r="E91" i="194" s="1"/>
  <c r="E88" i="194"/>
  <c r="E90" i="194" s="1"/>
  <c r="H137" i="209"/>
  <c r="G213" i="209"/>
  <c r="D67" i="199"/>
  <c r="D69" i="199" s="1"/>
  <c r="D66" i="199"/>
  <c r="D68" i="199" s="1"/>
  <c r="E89" i="200"/>
  <c r="E91" i="200" s="1"/>
  <c r="E88" i="200"/>
  <c r="E90" i="200" s="1"/>
  <c r="D78" i="195"/>
  <c r="D80" i="195" s="1"/>
  <c r="D77" i="195"/>
  <c r="D79" i="195" s="1"/>
  <c r="D81" i="195" s="1"/>
  <c r="D88" i="193"/>
  <c r="D90" i="193" s="1"/>
  <c r="D92" i="193" s="1"/>
  <c r="D92" i="196"/>
  <c r="C70" i="186"/>
  <c r="F28" i="190"/>
  <c r="E75" i="190"/>
  <c r="E76" i="190" s="1"/>
  <c r="D78" i="204"/>
  <c r="D80" i="204" s="1"/>
  <c r="G267" i="152"/>
  <c r="S34" i="113"/>
  <c r="J68" i="113"/>
  <c r="J69" i="113" s="1"/>
  <c r="O205" i="95" s="1"/>
  <c r="R37" i="113"/>
  <c r="AI215" i="95"/>
  <c r="C130" i="151"/>
  <c r="C232" i="151" s="1"/>
  <c r="C266" i="151" s="1"/>
  <c r="C130" i="149"/>
  <c r="C232" i="149" s="1"/>
  <c r="C266" i="149" s="1"/>
  <c r="C130" i="148"/>
  <c r="C232" i="148" s="1"/>
  <c r="C266" i="148" s="1"/>
  <c r="C130" i="139"/>
  <c r="C232" i="139" s="1"/>
  <c r="C266" i="139" s="1"/>
  <c r="C130" i="135"/>
  <c r="C232" i="135" s="1"/>
  <c r="C266" i="135" s="1"/>
  <c r="C130" i="147"/>
  <c r="C232" i="147" s="1"/>
  <c r="C266" i="147" s="1"/>
  <c r="C130" i="162"/>
  <c r="C232" i="162" s="1"/>
  <c r="C266" i="162" s="1"/>
  <c r="C130" i="141"/>
  <c r="C232" i="141" s="1"/>
  <c r="C266" i="141" s="1"/>
  <c r="C130" i="86"/>
  <c r="C232" i="86" s="1"/>
  <c r="C266" i="86" s="1"/>
  <c r="C136" i="151"/>
  <c r="C238" i="151" s="1"/>
  <c r="C272" i="151" s="1"/>
  <c r="C136" i="149"/>
  <c r="C238" i="149" s="1"/>
  <c r="C272" i="149" s="1"/>
  <c r="C136" i="148"/>
  <c r="C238" i="148" s="1"/>
  <c r="C272" i="148" s="1"/>
  <c r="C136" i="139"/>
  <c r="C238" i="139" s="1"/>
  <c r="C272" i="139" s="1"/>
  <c r="C136" i="135"/>
  <c r="C238" i="135" s="1"/>
  <c r="C272" i="135" s="1"/>
  <c r="C136" i="147"/>
  <c r="C238" i="147" s="1"/>
  <c r="C272" i="147" s="1"/>
  <c r="C136" i="162"/>
  <c r="C238" i="162" s="1"/>
  <c r="C272" i="162" s="1"/>
  <c r="C136" i="141"/>
  <c r="C238" i="141" s="1"/>
  <c r="C272" i="141" s="1"/>
  <c r="C136" i="86"/>
  <c r="C238" i="86" s="1"/>
  <c r="C272" i="86" s="1"/>
  <c r="C133" i="151"/>
  <c r="C235" i="151" s="1"/>
  <c r="C269" i="151" s="1"/>
  <c r="C133" i="149"/>
  <c r="C235" i="149" s="1"/>
  <c r="C269" i="149" s="1"/>
  <c r="C133" i="147"/>
  <c r="C235" i="147" s="1"/>
  <c r="C269" i="147" s="1"/>
  <c r="C133" i="162"/>
  <c r="C235" i="162" s="1"/>
  <c r="C269" i="162" s="1"/>
  <c r="C133" i="141"/>
  <c r="C235" i="141" s="1"/>
  <c r="C269" i="141" s="1"/>
  <c r="C133" i="148"/>
  <c r="C235" i="148" s="1"/>
  <c r="C269" i="148" s="1"/>
  <c r="C133" i="139"/>
  <c r="C235" i="139" s="1"/>
  <c r="C269" i="139" s="1"/>
  <c r="C133" i="135"/>
  <c r="C235" i="135" s="1"/>
  <c r="C269" i="135" s="1"/>
  <c r="C133" i="86"/>
  <c r="C235" i="86" s="1"/>
  <c r="C269" i="86" s="1"/>
  <c r="D67" i="195"/>
  <c r="D69" i="195" s="1"/>
  <c r="D66" i="195"/>
  <c r="D68" i="195" s="1"/>
  <c r="E234" i="209"/>
  <c r="G211" i="209"/>
  <c r="H135" i="209"/>
  <c r="E64" i="188"/>
  <c r="E65" i="188" s="1"/>
  <c r="F27" i="188"/>
  <c r="D67" i="196"/>
  <c r="D69" i="196" s="1"/>
  <c r="J221" i="152"/>
  <c r="J61" i="169"/>
  <c r="J93" i="169" s="1"/>
  <c r="J61" i="167"/>
  <c r="J93" i="167" s="1"/>
  <c r="J61" i="166"/>
  <c r="J93" i="166" s="1"/>
  <c r="K74" i="124"/>
  <c r="J205" i="152"/>
  <c r="J45" i="169"/>
  <c r="J77" i="169" s="1"/>
  <c r="K58" i="124"/>
  <c r="J45" i="167"/>
  <c r="J77" i="167" s="1"/>
  <c r="J45" i="166"/>
  <c r="J77" i="166" s="1"/>
  <c r="J211" i="152"/>
  <c r="J51" i="169"/>
  <c r="J83" i="169" s="1"/>
  <c r="K64" i="124"/>
  <c r="J51" i="167"/>
  <c r="J83" i="167" s="1"/>
  <c r="J51" i="166"/>
  <c r="J83" i="166" s="1"/>
  <c r="J208" i="152"/>
  <c r="J48" i="169"/>
  <c r="J80" i="169" s="1"/>
  <c r="K61" i="124"/>
  <c r="J48" i="167"/>
  <c r="J80" i="167" s="1"/>
  <c r="J48" i="166"/>
  <c r="J80" i="166" s="1"/>
  <c r="D78" i="187"/>
  <c r="D80" i="187" s="1"/>
  <c r="D78" i="198"/>
  <c r="D80" i="198" s="1"/>
  <c r="D92" i="204"/>
  <c r="F27" i="190"/>
  <c r="E64" i="190"/>
  <c r="E65" i="190" s="1"/>
  <c r="D78" i="197"/>
  <c r="D80" i="197" s="1"/>
  <c r="D77" i="197"/>
  <c r="D79" i="197" s="1"/>
  <c r="D81" i="197" s="1"/>
  <c r="C115" i="150"/>
  <c r="C217" i="150" s="1"/>
  <c r="C251" i="150" s="1"/>
  <c r="C115" i="138"/>
  <c r="C217" i="138" s="1"/>
  <c r="C251" i="138" s="1"/>
  <c r="C115" i="136"/>
  <c r="C217" i="136" s="1"/>
  <c r="C251" i="136" s="1"/>
  <c r="C115" i="145"/>
  <c r="C217" i="145" s="1"/>
  <c r="C251" i="145" s="1"/>
  <c r="C115" i="134"/>
  <c r="C217" i="134" s="1"/>
  <c r="C251" i="134" s="1"/>
  <c r="C112" i="150"/>
  <c r="C214" i="150" s="1"/>
  <c r="C248" i="150" s="1"/>
  <c r="C112" i="145"/>
  <c r="C214" i="145" s="1"/>
  <c r="C248" i="145" s="1"/>
  <c r="C112" i="138"/>
  <c r="C214" i="138" s="1"/>
  <c r="C248" i="138" s="1"/>
  <c r="C112" i="136"/>
  <c r="C214" i="136" s="1"/>
  <c r="C248" i="136" s="1"/>
  <c r="C112" i="134"/>
  <c r="C214" i="134" s="1"/>
  <c r="C248" i="134" s="1"/>
  <c r="D92" i="197"/>
  <c r="J227" i="152"/>
  <c r="J67" i="169"/>
  <c r="J99" i="169" s="1"/>
  <c r="J110" i="166" s="1"/>
  <c r="J67" i="167"/>
  <c r="J99" i="167" s="1"/>
  <c r="J108" i="166" s="1"/>
  <c r="J67" i="166"/>
  <c r="J99" i="166" s="1"/>
  <c r="J106" i="166" s="1"/>
  <c r="K80" i="124"/>
  <c r="F86" i="204"/>
  <c r="F87" i="204" s="1"/>
  <c r="G29" i="204"/>
  <c r="D88" i="190"/>
  <c r="D90" i="190" s="1"/>
  <c r="E51" i="197"/>
  <c r="G51" i="197" s="1"/>
  <c r="I51" i="197" s="1"/>
  <c r="C118" i="151"/>
  <c r="C220" i="151" s="1"/>
  <c r="C254" i="151" s="1"/>
  <c r="C118" i="149"/>
  <c r="C220" i="149" s="1"/>
  <c r="C254" i="149" s="1"/>
  <c r="C118" i="148"/>
  <c r="C220" i="148" s="1"/>
  <c r="C254" i="148" s="1"/>
  <c r="C118" i="139"/>
  <c r="C220" i="139" s="1"/>
  <c r="C254" i="139" s="1"/>
  <c r="C118" i="135"/>
  <c r="C220" i="135" s="1"/>
  <c r="C254" i="135" s="1"/>
  <c r="C118" i="147"/>
  <c r="C220" i="147" s="1"/>
  <c r="C254" i="147" s="1"/>
  <c r="C118" i="162"/>
  <c r="C220" i="162" s="1"/>
  <c r="C254" i="162" s="1"/>
  <c r="C118" i="141"/>
  <c r="C220" i="141" s="1"/>
  <c r="C254" i="141" s="1"/>
  <c r="C118" i="86"/>
  <c r="C220" i="86" s="1"/>
  <c r="C254" i="86" s="1"/>
  <c r="C111" i="151"/>
  <c r="C111" i="149"/>
  <c r="C111" i="147"/>
  <c r="C111" i="162"/>
  <c r="C111" i="141"/>
  <c r="C111" i="148"/>
  <c r="C111" i="139"/>
  <c r="C111" i="135"/>
  <c r="C111" i="86"/>
  <c r="C68" i="185"/>
  <c r="E232" i="209"/>
  <c r="E221" i="209"/>
  <c r="C94" i="201"/>
  <c r="F27" i="189"/>
  <c r="E64" i="189"/>
  <c r="E65" i="189" s="1"/>
  <c r="C70" i="199"/>
  <c r="C94" i="199" s="1"/>
  <c r="E89" i="198"/>
  <c r="E91" i="198" s="1"/>
  <c r="E88" i="198"/>
  <c r="E90" i="198" s="1"/>
  <c r="E75" i="191"/>
  <c r="E76" i="191" s="1"/>
  <c r="F28" i="191"/>
  <c r="E51" i="203"/>
  <c r="G51" i="203" s="1"/>
  <c r="I51" i="203" s="1"/>
  <c r="J50" i="203" s="1"/>
  <c r="F86" i="196"/>
  <c r="F87" i="196" s="1"/>
  <c r="G29" i="196"/>
  <c r="D92" i="192"/>
  <c r="E64" i="201"/>
  <c r="E65" i="201" s="1"/>
  <c r="F27" i="201"/>
  <c r="C77" i="204"/>
  <c r="C79" i="204" s="1"/>
  <c r="C81" i="204" s="1"/>
  <c r="C94" i="204" s="1"/>
  <c r="D88" i="188"/>
  <c r="D90" i="188" s="1"/>
  <c r="D92" i="188" s="1"/>
  <c r="C135" i="144"/>
  <c r="C237" i="144" s="1"/>
  <c r="C271" i="144" s="1"/>
  <c r="C135" i="146"/>
  <c r="C237" i="146" s="1"/>
  <c r="C271" i="146" s="1"/>
  <c r="C135" i="143"/>
  <c r="C237" i="143" s="1"/>
  <c r="C271" i="143" s="1"/>
  <c r="C135" i="142"/>
  <c r="C237" i="142" s="1"/>
  <c r="C271" i="142" s="1"/>
  <c r="C135" i="137"/>
  <c r="C237" i="137" s="1"/>
  <c r="C271" i="137" s="1"/>
  <c r="C129" i="144"/>
  <c r="C231" i="144" s="1"/>
  <c r="C265" i="144" s="1"/>
  <c r="C129" i="146"/>
  <c r="C231" i="146" s="1"/>
  <c r="C265" i="146" s="1"/>
  <c r="C129" i="143"/>
  <c r="C231" i="143" s="1"/>
  <c r="C265" i="143" s="1"/>
  <c r="C129" i="142"/>
  <c r="C231" i="142" s="1"/>
  <c r="C265" i="142" s="1"/>
  <c r="C129" i="137"/>
  <c r="C231" i="137" s="1"/>
  <c r="C265" i="137" s="1"/>
  <c r="C70" i="195"/>
  <c r="G200" i="209"/>
  <c r="H124" i="209"/>
  <c r="E88" i="191"/>
  <c r="E90" i="191" s="1"/>
  <c r="E89" i="191"/>
  <c r="E91" i="191" s="1"/>
  <c r="C66" i="200"/>
  <c r="C68" i="200" s="1"/>
  <c r="C70" i="200" s="1"/>
  <c r="C94" i="200" s="1"/>
  <c r="E89" i="187"/>
  <c r="E91" i="187" s="1"/>
  <c r="E88" i="187"/>
  <c r="E90" i="187" s="1"/>
  <c r="C77" i="189"/>
  <c r="C79" i="189" s="1"/>
  <c r="C81" i="189" s="1"/>
  <c r="D88" i="195"/>
  <c r="D90" i="195" s="1"/>
  <c r="D92" i="195" s="1"/>
  <c r="D67" i="187"/>
  <c r="D69" i="187" s="1"/>
  <c r="D66" i="187"/>
  <c r="D68" i="187" s="1"/>
  <c r="G198" i="209"/>
  <c r="H122" i="209"/>
  <c r="G209" i="209"/>
  <c r="H133" i="209"/>
  <c r="E89" i="189"/>
  <c r="E91" i="189" s="1"/>
  <c r="E50" i="198"/>
  <c r="G50" i="198" s="1"/>
  <c r="I50" i="198" s="1"/>
  <c r="J50" i="198" s="1"/>
  <c r="K171" i="152"/>
  <c r="L56" i="123"/>
  <c r="D88" i="198"/>
  <c r="D90" i="198" s="1"/>
  <c r="C77" i="191"/>
  <c r="C79" i="191" s="1"/>
  <c r="C81" i="191" s="1"/>
  <c r="C94" i="191" s="1"/>
  <c r="F28" i="203"/>
  <c r="E75" i="203"/>
  <c r="E76" i="203" s="1"/>
  <c r="C94" i="195"/>
  <c r="G205" i="209"/>
  <c r="H129" i="209"/>
  <c r="E64" i="193"/>
  <c r="E65" i="193" s="1"/>
  <c r="F27" i="193"/>
  <c r="K172" i="152"/>
  <c r="L57" i="123"/>
  <c r="E51" i="194"/>
  <c r="G51" i="194" s="1"/>
  <c r="I51" i="194" s="1"/>
  <c r="E89" i="202"/>
  <c r="E91" i="202" s="1"/>
  <c r="E88" i="202"/>
  <c r="E90" i="202" s="1"/>
  <c r="E50" i="195"/>
  <c r="G50" i="195" s="1"/>
  <c r="I50" i="195" s="1"/>
  <c r="J50" i="195" s="1"/>
  <c r="D92" i="201"/>
  <c r="C70" i="196"/>
  <c r="C94" i="196" s="1"/>
  <c r="J226" i="152"/>
  <c r="J66" i="169"/>
  <c r="J98" i="169" s="1"/>
  <c r="J66" i="167"/>
  <c r="J98" i="167" s="1"/>
  <c r="J66" i="166"/>
  <c r="J98" i="166" s="1"/>
  <c r="K79" i="124"/>
  <c r="J203" i="152"/>
  <c r="J43" i="169"/>
  <c r="J75" i="169" s="1"/>
  <c r="K56" i="124"/>
  <c r="J43" i="167"/>
  <c r="J75" i="167" s="1"/>
  <c r="J43" i="166"/>
  <c r="J75" i="166" s="1"/>
  <c r="E75" i="196"/>
  <c r="E76" i="196" s="1"/>
  <c r="F28" i="196"/>
  <c r="C70" i="190"/>
  <c r="C94" i="190" s="1"/>
  <c r="K195" i="152"/>
  <c r="L80" i="123"/>
  <c r="K170" i="152"/>
  <c r="L55" i="123"/>
  <c r="E89" i="190"/>
  <c r="E91" i="190" s="1"/>
  <c r="E88" i="190"/>
  <c r="E90" i="190" s="1"/>
  <c r="C114" i="146"/>
  <c r="C216" i="146" s="1"/>
  <c r="C250" i="146" s="1"/>
  <c r="C114" i="143"/>
  <c r="C216" i="143" s="1"/>
  <c r="C250" i="143" s="1"/>
  <c r="C114" i="142"/>
  <c r="C216" i="142" s="1"/>
  <c r="C250" i="142" s="1"/>
  <c r="C114" i="137"/>
  <c r="C216" i="137" s="1"/>
  <c r="C250" i="137" s="1"/>
  <c r="C114" i="144"/>
  <c r="C216" i="144" s="1"/>
  <c r="C250" i="144" s="1"/>
  <c r="C120" i="146"/>
  <c r="C222" i="146" s="1"/>
  <c r="C256" i="146" s="1"/>
  <c r="C120" i="143"/>
  <c r="C222" i="143" s="1"/>
  <c r="C256" i="143" s="1"/>
  <c r="C120" i="142"/>
  <c r="C222" i="142" s="1"/>
  <c r="C256" i="142" s="1"/>
  <c r="C120" i="137"/>
  <c r="C222" i="137" s="1"/>
  <c r="C256" i="137" s="1"/>
  <c r="C120" i="144"/>
  <c r="C222" i="144" s="1"/>
  <c r="C256" i="144" s="1"/>
  <c r="C117" i="144"/>
  <c r="C219" i="144" s="1"/>
  <c r="C253" i="144" s="1"/>
  <c r="C117" i="146"/>
  <c r="C219" i="146" s="1"/>
  <c r="C253" i="146" s="1"/>
  <c r="C117" i="143"/>
  <c r="C219" i="143" s="1"/>
  <c r="C253" i="143" s="1"/>
  <c r="C117" i="142"/>
  <c r="C219" i="142" s="1"/>
  <c r="C253" i="142" s="1"/>
  <c r="C117" i="137"/>
  <c r="C219" i="137" s="1"/>
  <c r="C253" i="137" s="1"/>
  <c r="F27" i="200"/>
  <c r="E64" i="200"/>
  <c r="E65" i="200" s="1"/>
  <c r="E88" i="203"/>
  <c r="E90" i="203" s="1"/>
  <c r="E89" i="203"/>
  <c r="E91" i="203" s="1"/>
  <c r="D78" i="192"/>
  <c r="D80" i="192" s="1"/>
  <c r="C119" i="150"/>
  <c r="C221" i="150" s="1"/>
  <c r="C255" i="150" s="1"/>
  <c r="C119" i="138"/>
  <c r="C221" i="138" s="1"/>
  <c r="C255" i="138" s="1"/>
  <c r="C119" i="136"/>
  <c r="C221" i="136" s="1"/>
  <c r="C255" i="136" s="1"/>
  <c r="C119" i="145"/>
  <c r="C221" i="145" s="1"/>
  <c r="C255" i="145" s="1"/>
  <c r="C119" i="134"/>
  <c r="C221" i="134" s="1"/>
  <c r="C255" i="134" s="1"/>
  <c r="D78" i="185"/>
  <c r="D80" i="185" s="1"/>
  <c r="C70" i="194"/>
  <c r="E228" i="209"/>
  <c r="C66" i="189"/>
  <c r="C68" i="189" s="1"/>
  <c r="C70" i="189" s="1"/>
  <c r="D67" i="198"/>
  <c r="D69" i="198" s="1"/>
  <c r="D66" i="198"/>
  <c r="D68" i="198" s="1"/>
  <c r="D88" i="200"/>
  <c r="D90" i="200" s="1"/>
  <c r="D92" i="200" s="1"/>
  <c r="E88" i="199"/>
  <c r="E90" i="199" s="1"/>
  <c r="E89" i="199"/>
  <c r="E91" i="199" s="1"/>
  <c r="E88" i="186"/>
  <c r="E90" i="186" s="1"/>
  <c r="E89" i="186"/>
  <c r="E91" i="186" s="1"/>
  <c r="C70" i="193"/>
  <c r="E51" i="190"/>
  <c r="G51" i="190" s="1"/>
  <c r="I51" i="190" s="1"/>
  <c r="C134" i="150"/>
  <c r="C236" i="150" s="1"/>
  <c r="C270" i="150" s="1"/>
  <c r="C134" i="145"/>
  <c r="C236" i="145" s="1"/>
  <c r="C270" i="145" s="1"/>
  <c r="C134" i="138"/>
  <c r="C236" i="138" s="1"/>
  <c r="C270" i="138" s="1"/>
  <c r="C134" i="136"/>
  <c r="C236" i="136" s="1"/>
  <c r="C270" i="136" s="1"/>
  <c r="C134" i="134"/>
  <c r="C236" i="134" s="1"/>
  <c r="C270" i="134" s="1"/>
  <c r="C127" i="150"/>
  <c r="C127" i="138"/>
  <c r="C127" i="136"/>
  <c r="C127" i="145"/>
  <c r="C127" i="134"/>
  <c r="G201" i="209"/>
  <c r="H125" i="209"/>
  <c r="F222" i="209"/>
  <c r="F238" i="209"/>
  <c r="C263" i="140"/>
  <c r="C273" i="140" s="1"/>
  <c r="C274" i="140" s="1"/>
  <c r="C239" i="140"/>
  <c r="C240" i="140" s="1"/>
  <c r="E64" i="191"/>
  <c r="E65" i="191" s="1"/>
  <c r="F27" i="191"/>
  <c r="J225" i="152"/>
  <c r="J65" i="169"/>
  <c r="J97" i="169" s="1"/>
  <c r="J65" i="167"/>
  <c r="J97" i="167" s="1"/>
  <c r="J65" i="166"/>
  <c r="J97" i="166" s="1"/>
  <c r="K78" i="124"/>
  <c r="J202" i="152"/>
  <c r="J42" i="169"/>
  <c r="J74" i="169" s="1"/>
  <c r="J42" i="167"/>
  <c r="J74" i="167" s="1"/>
  <c r="J42" i="166"/>
  <c r="J74" i="166" s="1"/>
  <c r="K55" i="124"/>
  <c r="C77" i="198"/>
  <c r="C79" i="198" s="1"/>
  <c r="C81" i="198" s="1"/>
  <c r="C94" i="198" s="1"/>
  <c r="F28" i="189"/>
  <c r="E75" i="189"/>
  <c r="E76" i="189" s="1"/>
  <c r="C116" i="146"/>
  <c r="C218" i="146" s="1"/>
  <c r="C252" i="146" s="1"/>
  <c r="C116" i="143"/>
  <c r="C218" i="143" s="1"/>
  <c r="C252" i="143" s="1"/>
  <c r="C116" i="142"/>
  <c r="C218" i="142" s="1"/>
  <c r="C252" i="142" s="1"/>
  <c r="C116" i="137"/>
  <c r="C218" i="137" s="1"/>
  <c r="C252" i="137" s="1"/>
  <c r="C116" i="144"/>
  <c r="C218" i="144" s="1"/>
  <c r="C252" i="144" s="1"/>
  <c r="C113" i="144"/>
  <c r="C215" i="144" s="1"/>
  <c r="C249" i="144" s="1"/>
  <c r="C113" i="146"/>
  <c r="C215" i="146" s="1"/>
  <c r="C249" i="146" s="1"/>
  <c r="C113" i="143"/>
  <c r="C215" i="143" s="1"/>
  <c r="C249" i="143" s="1"/>
  <c r="C113" i="142"/>
  <c r="C215" i="142" s="1"/>
  <c r="C249" i="142" s="1"/>
  <c r="C113" i="137"/>
  <c r="C215" i="137" s="1"/>
  <c r="C249" i="137" s="1"/>
  <c r="K177" i="152"/>
  <c r="L62" i="123"/>
  <c r="E75" i="199"/>
  <c r="E76" i="199" s="1"/>
  <c r="F28" i="199"/>
  <c r="D78" i="190"/>
  <c r="D80" i="190" s="1"/>
  <c r="D77" i="190"/>
  <c r="D79" i="190" s="1"/>
  <c r="D81" i="190" s="1"/>
  <c r="C130" i="146"/>
  <c r="C232" i="146" s="1"/>
  <c r="C266" i="146" s="1"/>
  <c r="C130" i="143"/>
  <c r="C232" i="143" s="1"/>
  <c r="C266" i="143" s="1"/>
  <c r="C130" i="142"/>
  <c r="C232" i="142" s="1"/>
  <c r="C266" i="142" s="1"/>
  <c r="C130" i="137"/>
  <c r="C232" i="137" s="1"/>
  <c r="C266" i="137" s="1"/>
  <c r="C130" i="144"/>
  <c r="C232" i="144" s="1"/>
  <c r="C266" i="144" s="1"/>
  <c r="E64" i="195"/>
  <c r="E65" i="195" s="1"/>
  <c r="F27" i="195"/>
  <c r="C94" i="194"/>
  <c r="D92" i="191"/>
  <c r="D66" i="188"/>
  <c r="D68" i="188" s="1"/>
  <c r="D67" i="188"/>
  <c r="D69" i="188" s="1"/>
  <c r="F27" i="196"/>
  <c r="E64" i="196"/>
  <c r="E65" i="196" s="1"/>
  <c r="J218" i="152"/>
  <c r="J58" i="169"/>
  <c r="J90" i="169" s="1"/>
  <c r="J58" i="167"/>
  <c r="J90" i="167" s="1"/>
  <c r="J58" i="166"/>
  <c r="J90" i="166" s="1"/>
  <c r="K71" i="124"/>
  <c r="D92" i="185"/>
  <c r="F28" i="187"/>
  <c r="E75" i="187"/>
  <c r="E76" i="187" s="1"/>
  <c r="E75" i="198"/>
  <c r="E76" i="198" s="1"/>
  <c r="F28" i="198"/>
  <c r="K188" i="152"/>
  <c r="L73" i="123"/>
  <c r="K180" i="152"/>
  <c r="L65" i="123"/>
  <c r="E75" i="197"/>
  <c r="E76" i="197" s="1"/>
  <c r="F28" i="197"/>
  <c r="C115" i="144"/>
  <c r="C217" i="144" s="1"/>
  <c r="C251" i="144" s="1"/>
  <c r="C115" i="146"/>
  <c r="C217" i="146" s="1"/>
  <c r="C251" i="146" s="1"/>
  <c r="C115" i="143"/>
  <c r="C217" i="143" s="1"/>
  <c r="C251" i="143" s="1"/>
  <c r="C115" i="142"/>
  <c r="C217" i="142" s="1"/>
  <c r="C251" i="142" s="1"/>
  <c r="C115" i="137"/>
  <c r="C217" i="137" s="1"/>
  <c r="C251" i="137" s="1"/>
  <c r="C112" i="146"/>
  <c r="C214" i="146" s="1"/>
  <c r="C248" i="146" s="1"/>
  <c r="C112" i="143"/>
  <c r="C214" i="143" s="1"/>
  <c r="C248" i="143" s="1"/>
  <c r="C112" i="142"/>
  <c r="C214" i="142" s="1"/>
  <c r="C248" i="142" s="1"/>
  <c r="C112" i="137"/>
  <c r="C214" i="137" s="1"/>
  <c r="C248" i="137" s="1"/>
  <c r="C112" i="144"/>
  <c r="C214" i="144" s="1"/>
  <c r="C248" i="144" s="1"/>
  <c r="G29" i="195"/>
  <c r="F86" i="195"/>
  <c r="F87" i="195" s="1"/>
  <c r="C132" i="150"/>
  <c r="C234" i="150" s="1"/>
  <c r="C268" i="150" s="1"/>
  <c r="C132" i="145"/>
  <c r="C234" i="145" s="1"/>
  <c r="C268" i="145" s="1"/>
  <c r="C132" i="138"/>
  <c r="C234" i="138" s="1"/>
  <c r="C268" i="138" s="1"/>
  <c r="C132" i="136"/>
  <c r="C234" i="136" s="1"/>
  <c r="C268" i="136" s="1"/>
  <c r="C132" i="134"/>
  <c r="C234" i="134" s="1"/>
  <c r="C268" i="134" s="1"/>
  <c r="G197" i="209"/>
  <c r="H121" i="209"/>
  <c r="E88" i="204"/>
  <c r="E90" i="204" s="1"/>
  <c r="E89" i="204"/>
  <c r="E91" i="204" s="1"/>
  <c r="D92" i="190"/>
  <c r="D67" i="194"/>
  <c r="D69" i="194" s="1"/>
  <c r="D66" i="194"/>
  <c r="D68" i="194" s="1"/>
  <c r="D92" i="189"/>
  <c r="C70" i="198"/>
  <c r="D67" i="203"/>
  <c r="D69" i="203" s="1"/>
  <c r="D66" i="203"/>
  <c r="D68" i="203" s="1"/>
  <c r="G199" i="209"/>
  <c r="H123" i="209"/>
  <c r="G29" i="193"/>
  <c r="F86" i="193"/>
  <c r="F87" i="193" s="1"/>
  <c r="E89" i="196"/>
  <c r="E91" i="196" s="1"/>
  <c r="E88" i="196"/>
  <c r="E90" i="196" s="1"/>
  <c r="K187" i="152"/>
  <c r="L72" i="123"/>
  <c r="E233" i="209"/>
  <c r="D92" i="202"/>
  <c r="C135" i="151"/>
  <c r="C237" i="151" s="1"/>
  <c r="C271" i="151" s="1"/>
  <c r="C135" i="149"/>
  <c r="C237" i="149" s="1"/>
  <c r="C271" i="149" s="1"/>
  <c r="C135" i="147"/>
  <c r="C237" i="147" s="1"/>
  <c r="C271" i="147" s="1"/>
  <c r="C135" i="162"/>
  <c r="C237" i="162" s="1"/>
  <c r="C271" i="162" s="1"/>
  <c r="C135" i="141"/>
  <c r="C237" i="141" s="1"/>
  <c r="C271" i="141" s="1"/>
  <c r="C135" i="148"/>
  <c r="C237" i="148" s="1"/>
  <c r="C271" i="148" s="1"/>
  <c r="C135" i="139"/>
  <c r="C237" i="139" s="1"/>
  <c r="C271" i="139" s="1"/>
  <c r="C135" i="135"/>
  <c r="C237" i="135" s="1"/>
  <c r="C271" i="135" s="1"/>
  <c r="C135" i="86"/>
  <c r="C237" i="86" s="1"/>
  <c r="C271" i="86" s="1"/>
  <c r="C129" i="151"/>
  <c r="C231" i="151" s="1"/>
  <c r="C265" i="151" s="1"/>
  <c r="C129" i="149"/>
  <c r="C231" i="149" s="1"/>
  <c r="C265" i="149" s="1"/>
  <c r="C129" i="147"/>
  <c r="C231" i="147" s="1"/>
  <c r="C265" i="147" s="1"/>
  <c r="C129" i="162"/>
  <c r="C231" i="162" s="1"/>
  <c r="C265" i="162" s="1"/>
  <c r="C129" i="141"/>
  <c r="C231" i="141" s="1"/>
  <c r="C265" i="141" s="1"/>
  <c r="C129" i="148"/>
  <c r="C231" i="148" s="1"/>
  <c r="C265" i="148" s="1"/>
  <c r="C129" i="139"/>
  <c r="C231" i="139" s="1"/>
  <c r="C265" i="139" s="1"/>
  <c r="C129" i="135"/>
  <c r="C231" i="135" s="1"/>
  <c r="C265" i="135" s="1"/>
  <c r="C129" i="86"/>
  <c r="C231" i="86" s="1"/>
  <c r="C265" i="86" s="1"/>
  <c r="E64" i="204"/>
  <c r="E65" i="204" s="1"/>
  <c r="F27" i="204"/>
  <c r="F234" i="209"/>
  <c r="J224" i="152"/>
  <c r="J64" i="167"/>
  <c r="J96" i="167" s="1"/>
  <c r="J64" i="166"/>
  <c r="J96" i="166" s="1"/>
  <c r="K77" i="124"/>
  <c r="J64" i="169"/>
  <c r="J96" i="169" s="1"/>
  <c r="J210" i="152"/>
  <c r="J50" i="169"/>
  <c r="J82" i="169" s="1"/>
  <c r="J50" i="167"/>
  <c r="J82" i="167" s="1"/>
  <c r="J50" i="166"/>
  <c r="J82" i="166" s="1"/>
  <c r="K63" i="124"/>
  <c r="F86" i="185"/>
  <c r="F87" i="185" s="1"/>
  <c r="G29" i="185"/>
  <c r="G203" i="209"/>
  <c r="H127" i="209"/>
  <c r="F27" i="187"/>
  <c r="E64" i="187"/>
  <c r="E65" i="187" s="1"/>
  <c r="F224" i="209"/>
  <c r="F235" i="209"/>
  <c r="C70" i="192"/>
  <c r="J50" i="199"/>
  <c r="D92" i="198"/>
  <c r="D78" i="203"/>
  <c r="D80" i="203" s="1"/>
  <c r="D77" i="203"/>
  <c r="D79" i="203" s="1"/>
  <c r="D81" i="203" s="1"/>
  <c r="E240" i="209"/>
  <c r="F231" i="209"/>
  <c r="D67" i="193"/>
  <c r="D69" i="193" s="1"/>
  <c r="O15" i="92"/>
  <c r="P57" i="113"/>
  <c r="F86" i="188"/>
  <c r="F87" i="188" s="1"/>
  <c r="G29" i="188"/>
  <c r="C131" i="150"/>
  <c r="C233" i="150" s="1"/>
  <c r="C267" i="150" s="1"/>
  <c r="C131" i="138"/>
  <c r="C233" i="138" s="1"/>
  <c r="C267" i="138" s="1"/>
  <c r="C131" i="136"/>
  <c r="C233" i="136" s="1"/>
  <c r="C267" i="136" s="1"/>
  <c r="C131" i="145"/>
  <c r="C233" i="145" s="1"/>
  <c r="C267" i="145" s="1"/>
  <c r="C131" i="134"/>
  <c r="C233" i="134" s="1"/>
  <c r="C267" i="134" s="1"/>
  <c r="C128" i="150"/>
  <c r="C230" i="150" s="1"/>
  <c r="C264" i="150" s="1"/>
  <c r="C128" i="145"/>
  <c r="C230" i="145" s="1"/>
  <c r="C264" i="145" s="1"/>
  <c r="C128" i="138"/>
  <c r="C230" i="138" s="1"/>
  <c r="C264" i="138" s="1"/>
  <c r="C128" i="136"/>
  <c r="C230" i="136" s="1"/>
  <c r="C264" i="136" s="1"/>
  <c r="C128" i="134"/>
  <c r="C230" i="134" s="1"/>
  <c r="C264" i="134" s="1"/>
  <c r="E227" i="209"/>
  <c r="E222" i="209"/>
  <c r="C94" i="186"/>
  <c r="E260" i="152"/>
  <c r="P41" i="104"/>
  <c r="P46" i="104" s="1"/>
  <c r="P38" i="104"/>
  <c r="K191" i="152"/>
  <c r="L76" i="123"/>
  <c r="D77" i="196"/>
  <c r="D79" i="196" s="1"/>
  <c r="D81" i="196" s="1"/>
  <c r="D78" i="196"/>
  <c r="D80" i="196" s="1"/>
  <c r="C94" i="188"/>
  <c r="C114" i="151"/>
  <c r="C216" i="151" s="1"/>
  <c r="C250" i="151" s="1"/>
  <c r="C114" i="149"/>
  <c r="C216" i="149" s="1"/>
  <c r="C250" i="149" s="1"/>
  <c r="C114" i="148"/>
  <c r="C216" i="148" s="1"/>
  <c r="C250" i="148" s="1"/>
  <c r="C114" i="139"/>
  <c r="C216" i="139" s="1"/>
  <c r="C250" i="139" s="1"/>
  <c r="C114" i="135"/>
  <c r="C216" i="135" s="1"/>
  <c r="C250" i="135" s="1"/>
  <c r="C114" i="147"/>
  <c r="C216" i="147" s="1"/>
  <c r="C250" i="147" s="1"/>
  <c r="C114" i="162"/>
  <c r="C216" i="162" s="1"/>
  <c r="C250" i="162" s="1"/>
  <c r="C114" i="141"/>
  <c r="C216" i="141" s="1"/>
  <c r="C250" i="141" s="1"/>
  <c r="C114" i="86"/>
  <c r="C216" i="86" s="1"/>
  <c r="C250" i="86" s="1"/>
  <c r="C120" i="151"/>
  <c r="C222" i="151" s="1"/>
  <c r="C256" i="151" s="1"/>
  <c r="C120" i="149"/>
  <c r="C222" i="149" s="1"/>
  <c r="C256" i="149" s="1"/>
  <c r="C120" i="148"/>
  <c r="C222" i="148" s="1"/>
  <c r="C256" i="148" s="1"/>
  <c r="C120" i="139"/>
  <c r="C222" i="139" s="1"/>
  <c r="C256" i="139" s="1"/>
  <c r="C120" i="135"/>
  <c r="C222" i="135" s="1"/>
  <c r="C256" i="135" s="1"/>
  <c r="C120" i="147"/>
  <c r="C222" i="147" s="1"/>
  <c r="C256" i="147" s="1"/>
  <c r="C120" i="162"/>
  <c r="C222" i="162" s="1"/>
  <c r="C256" i="162" s="1"/>
  <c r="C120" i="141"/>
  <c r="C222" i="141" s="1"/>
  <c r="C256" i="141" s="1"/>
  <c r="C120" i="86"/>
  <c r="C222" i="86" s="1"/>
  <c r="C256" i="86" s="1"/>
  <c r="C117" i="151"/>
  <c r="C219" i="151" s="1"/>
  <c r="C253" i="151" s="1"/>
  <c r="C117" i="149"/>
  <c r="C219" i="149" s="1"/>
  <c r="C253" i="149" s="1"/>
  <c r="C117" i="147"/>
  <c r="C219" i="147" s="1"/>
  <c r="C253" i="147" s="1"/>
  <c r="C117" i="162"/>
  <c r="C219" i="162" s="1"/>
  <c r="C253" i="162" s="1"/>
  <c r="C117" i="141"/>
  <c r="C219" i="141" s="1"/>
  <c r="C253" i="141" s="1"/>
  <c r="C117" i="148"/>
  <c r="C219" i="148" s="1"/>
  <c r="C253" i="148" s="1"/>
  <c r="C117" i="139"/>
  <c r="C219" i="139" s="1"/>
  <c r="C253" i="139" s="1"/>
  <c r="C117" i="135"/>
  <c r="C219" i="135" s="1"/>
  <c r="C253" i="135" s="1"/>
  <c r="C117" i="86"/>
  <c r="C219" i="86" s="1"/>
  <c r="C253" i="86" s="1"/>
  <c r="D66" i="200"/>
  <c r="D68" i="200" s="1"/>
  <c r="D67" i="200"/>
  <c r="D69" i="200" s="1"/>
  <c r="J222" i="152"/>
  <c r="J62" i="169"/>
  <c r="J94" i="169" s="1"/>
  <c r="J62" i="167"/>
  <c r="J94" i="167" s="1"/>
  <c r="J62" i="166"/>
  <c r="J94" i="166" s="1"/>
  <c r="K75" i="124"/>
  <c r="J212" i="152"/>
  <c r="K65" i="124"/>
  <c r="J52" i="167"/>
  <c r="J84" i="167" s="1"/>
  <c r="J107" i="166" s="1"/>
  <c r="J52" i="166"/>
  <c r="J84" i="166" s="1"/>
  <c r="J105" i="166" s="1"/>
  <c r="J52" i="169"/>
  <c r="J84" i="169" s="1"/>
  <c r="J109" i="166" s="1"/>
  <c r="F86" i="203"/>
  <c r="F87" i="203" s="1"/>
  <c r="G29" i="203"/>
  <c r="F28" i="192"/>
  <c r="E75" i="192"/>
  <c r="E76" i="192" s="1"/>
  <c r="J50" i="197"/>
  <c r="C119" i="144"/>
  <c r="C221" i="144" s="1"/>
  <c r="C255" i="144" s="1"/>
  <c r="C119" i="146"/>
  <c r="C221" i="146" s="1"/>
  <c r="C255" i="146" s="1"/>
  <c r="C119" i="143"/>
  <c r="C221" i="143" s="1"/>
  <c r="C255" i="143" s="1"/>
  <c r="C119" i="142"/>
  <c r="C221" i="142" s="1"/>
  <c r="C255" i="142" s="1"/>
  <c r="C119" i="137"/>
  <c r="C221" i="137" s="1"/>
  <c r="C255" i="137" s="1"/>
  <c r="F28" i="185"/>
  <c r="E75" i="185"/>
  <c r="E76" i="185" s="1"/>
  <c r="J50" i="192"/>
  <c r="K189" i="152"/>
  <c r="L74" i="123"/>
  <c r="C122" i="140"/>
  <c r="C282" i="140"/>
  <c r="F240" i="209"/>
  <c r="E64" i="186"/>
  <c r="E65" i="186" s="1"/>
  <c r="F27" i="186"/>
  <c r="J50" i="201"/>
  <c r="C134" i="146"/>
  <c r="C236" i="146" s="1"/>
  <c r="C270" i="146" s="1"/>
  <c r="C134" i="143"/>
  <c r="C236" i="143" s="1"/>
  <c r="C270" i="143" s="1"/>
  <c r="C134" i="142"/>
  <c r="C236" i="142" s="1"/>
  <c r="C270" i="142" s="1"/>
  <c r="C134" i="137"/>
  <c r="C236" i="137" s="1"/>
  <c r="C270" i="137" s="1"/>
  <c r="C134" i="144"/>
  <c r="C236" i="144" s="1"/>
  <c r="C270" i="144" s="1"/>
  <c r="C127" i="144"/>
  <c r="C127" i="146"/>
  <c r="C127" i="143"/>
  <c r="C127" i="142"/>
  <c r="C127" i="137"/>
  <c r="F227" i="209"/>
  <c r="G196" i="209"/>
  <c r="H120" i="209"/>
  <c r="G212" i="209"/>
  <c r="H136" i="209"/>
  <c r="F86" i="201"/>
  <c r="F87" i="201" s="1"/>
  <c r="G29" i="201"/>
  <c r="D66" i="191"/>
  <c r="D68" i="191" s="1"/>
  <c r="D67" i="191"/>
  <c r="D69" i="191" s="1"/>
  <c r="J219" i="152"/>
  <c r="J59" i="169"/>
  <c r="J91" i="169" s="1"/>
  <c r="J59" i="167"/>
  <c r="J91" i="167" s="1"/>
  <c r="J59" i="166"/>
  <c r="J91" i="166" s="1"/>
  <c r="K72" i="124"/>
  <c r="J50" i="190"/>
  <c r="F28" i="200"/>
  <c r="E75" i="200"/>
  <c r="E76" i="200" s="1"/>
  <c r="C116" i="151"/>
  <c r="C218" i="151" s="1"/>
  <c r="C252" i="151" s="1"/>
  <c r="C116" i="149"/>
  <c r="C218" i="149" s="1"/>
  <c r="C252" i="149" s="1"/>
  <c r="C116" i="148"/>
  <c r="C218" i="148" s="1"/>
  <c r="C252" i="148" s="1"/>
  <c r="C116" i="139"/>
  <c r="C218" i="139" s="1"/>
  <c r="C252" i="139" s="1"/>
  <c r="C116" i="135"/>
  <c r="C218" i="135" s="1"/>
  <c r="C252" i="135" s="1"/>
  <c r="C116" i="147"/>
  <c r="C218" i="147" s="1"/>
  <c r="C252" i="147" s="1"/>
  <c r="C116" i="162"/>
  <c r="C218" i="162" s="1"/>
  <c r="C252" i="162" s="1"/>
  <c r="C116" i="141"/>
  <c r="C218" i="141" s="1"/>
  <c r="C252" i="141" s="1"/>
  <c r="C116" i="86"/>
  <c r="C218" i="86" s="1"/>
  <c r="C252" i="86" s="1"/>
  <c r="C113" i="151"/>
  <c r="C215" i="151" s="1"/>
  <c r="C249" i="151" s="1"/>
  <c r="C113" i="149"/>
  <c r="C215" i="149" s="1"/>
  <c r="C249" i="149" s="1"/>
  <c r="C113" i="147"/>
  <c r="C215" i="147" s="1"/>
  <c r="C249" i="147" s="1"/>
  <c r="C113" i="162"/>
  <c r="C215" i="162" s="1"/>
  <c r="C249" i="162" s="1"/>
  <c r="C113" i="141"/>
  <c r="C215" i="141" s="1"/>
  <c r="C249" i="141" s="1"/>
  <c r="C113" i="148"/>
  <c r="C215" i="148" s="1"/>
  <c r="C249" i="148" s="1"/>
  <c r="C113" i="139"/>
  <c r="C215" i="139" s="1"/>
  <c r="C249" i="139" s="1"/>
  <c r="C113" i="135"/>
  <c r="C215" i="135" s="1"/>
  <c r="C249" i="135" s="1"/>
  <c r="C113" i="86"/>
  <c r="C215" i="86" s="1"/>
  <c r="C249" i="86" s="1"/>
  <c r="C27" i="127"/>
  <c r="C35" i="287" s="1"/>
  <c r="H35" i="287" s="1"/>
  <c r="D52" i="88"/>
  <c r="D15" i="145" s="1"/>
  <c r="C369" i="144"/>
  <c r="A480" i="92"/>
  <c r="C28" i="127"/>
  <c r="D53" i="88"/>
  <c r="D15" i="146" s="1"/>
  <c r="C369" i="145"/>
  <c r="C29" i="127"/>
  <c r="C37" i="287" s="1"/>
  <c r="H37" i="287" s="1"/>
  <c r="D54" i="88"/>
  <c r="D15" i="147" s="1"/>
  <c r="C369" i="150"/>
  <c r="C16" i="127"/>
  <c r="D41" i="88"/>
  <c r="D15" i="134" s="1"/>
  <c r="C17" i="127"/>
  <c r="C25" i="287" s="1"/>
  <c r="H25" i="287" s="1"/>
  <c r="D42" i="88"/>
  <c r="D15" i="135" s="1"/>
  <c r="C22" i="127"/>
  <c r="C30" i="287" s="1"/>
  <c r="H30" i="287" s="1"/>
  <c r="D47" i="88"/>
  <c r="D15" i="141" s="1"/>
  <c r="C369" i="143"/>
  <c r="C24" i="127"/>
  <c r="C32" i="287" s="1"/>
  <c r="H32" i="287" s="1"/>
  <c r="D49" i="88"/>
  <c r="D15" i="162" s="1"/>
  <c r="C369" i="146"/>
  <c r="C30" i="127"/>
  <c r="C38" i="287" s="1"/>
  <c r="H38" i="287" s="1"/>
  <c r="D55" i="88"/>
  <c r="D15" i="148" s="1"/>
  <c r="C369" i="147"/>
  <c r="C18" i="127"/>
  <c r="C26" i="287" s="1"/>
  <c r="H26" i="287" s="1"/>
  <c r="D43" i="88"/>
  <c r="D15" i="136" s="1"/>
  <c r="C369" i="134"/>
  <c r="C23" i="127"/>
  <c r="C31" i="287" s="1"/>
  <c r="H31" i="287" s="1"/>
  <c r="D48" i="88"/>
  <c r="D15" i="142" s="1"/>
  <c r="C369" i="141"/>
  <c r="C539" i="92"/>
  <c r="C540" i="92" s="1"/>
  <c r="C570" i="92"/>
  <c r="C369" i="162"/>
  <c r="C20" i="127"/>
  <c r="C28" i="287" s="1"/>
  <c r="H28" i="287" s="1"/>
  <c r="D45" i="88"/>
  <c r="D15" i="138" s="1"/>
  <c r="C369" i="148"/>
  <c r="C26" i="127"/>
  <c r="D51" i="88"/>
  <c r="D15" i="144" s="1"/>
  <c r="C21" i="127"/>
  <c r="C29" i="287" s="1"/>
  <c r="H29" i="287" s="1"/>
  <c r="D46" i="88"/>
  <c r="D15" i="139" s="1"/>
  <c r="C369" i="136"/>
  <c r="C31" i="127"/>
  <c r="C39" i="287" s="1"/>
  <c r="H39" i="287" s="1"/>
  <c r="D56" i="88"/>
  <c r="D15" i="149" s="1"/>
  <c r="C19" i="127"/>
  <c r="C27" i="287" s="1"/>
  <c r="H27" i="287" s="1"/>
  <c r="D44" i="88"/>
  <c r="D15" i="137" s="1"/>
  <c r="C369" i="142"/>
  <c r="C33" i="127"/>
  <c r="C41" i="287" s="1"/>
  <c r="H41" i="287" s="1"/>
  <c r="D58" i="88"/>
  <c r="D15" i="151" s="1"/>
  <c r="C369" i="138"/>
  <c r="C32" i="127"/>
  <c r="C40" i="287" s="1"/>
  <c r="H40" i="287" s="1"/>
  <c r="D57" i="88"/>
  <c r="D15" i="150" s="1"/>
  <c r="C369" i="139"/>
  <c r="C369" i="135"/>
  <c r="C369" i="149"/>
  <c r="C369" i="137"/>
  <c r="C25" i="127"/>
  <c r="D50" i="88"/>
  <c r="D15" i="143" s="1"/>
  <c r="C369" i="151"/>
  <c r="C94" i="189" l="1"/>
  <c r="C15" i="88"/>
  <c r="D294" i="108"/>
  <c r="F294" i="108" s="1"/>
  <c r="L294" i="108" s="1"/>
  <c r="C58" i="128" s="1"/>
  <c r="P49" i="104"/>
  <c r="P51" i="104"/>
  <c r="P53" i="104" s="1"/>
  <c r="G28" i="192"/>
  <c r="F75" i="192"/>
  <c r="F76" i="192" s="1"/>
  <c r="G86" i="188"/>
  <c r="G87" i="188" s="1"/>
  <c r="H29" i="188"/>
  <c r="F64" i="187"/>
  <c r="F65" i="187" s="1"/>
  <c r="G27" i="187"/>
  <c r="F89" i="185"/>
  <c r="F91" i="185" s="1"/>
  <c r="G27" i="204"/>
  <c r="F64" i="204"/>
  <c r="F65" i="204" s="1"/>
  <c r="H199" i="209"/>
  <c r="I123" i="209"/>
  <c r="G28" i="187"/>
  <c r="F75" i="187"/>
  <c r="F76" i="187" s="1"/>
  <c r="F64" i="196"/>
  <c r="F65" i="196" s="1"/>
  <c r="G27" i="196"/>
  <c r="L177" i="152"/>
  <c r="M62" i="123"/>
  <c r="E78" i="189"/>
  <c r="E80" i="189" s="1"/>
  <c r="K225" i="152"/>
  <c r="K65" i="169"/>
  <c r="K97" i="169" s="1"/>
  <c r="K65" i="167"/>
  <c r="K97" i="167" s="1"/>
  <c r="K65" i="166"/>
  <c r="K97" i="166" s="1"/>
  <c r="L78" i="124"/>
  <c r="C229" i="138"/>
  <c r="C137" i="138"/>
  <c r="C138" i="138" s="1"/>
  <c r="G27" i="200"/>
  <c r="F64" i="200"/>
  <c r="F65" i="200" s="1"/>
  <c r="L195" i="152"/>
  <c r="M80" i="123"/>
  <c r="E78" i="196"/>
  <c r="E80" i="196" s="1"/>
  <c r="E77" i="196"/>
  <c r="E79" i="196" s="1"/>
  <c r="E81" i="196" s="1"/>
  <c r="F64" i="193"/>
  <c r="F65" i="193" s="1"/>
  <c r="G27" i="193"/>
  <c r="I122" i="209"/>
  <c r="H198" i="209"/>
  <c r="G28" i="191"/>
  <c r="F75" i="191"/>
  <c r="F76" i="191" s="1"/>
  <c r="E241" i="209"/>
  <c r="E242" i="209" s="1"/>
  <c r="C121" i="86"/>
  <c r="C213" i="86"/>
  <c r="C213" i="141"/>
  <c r="C121" i="141"/>
  <c r="C213" i="151"/>
  <c r="C121" i="151"/>
  <c r="G86" i="204"/>
  <c r="G87" i="204" s="1"/>
  <c r="H29" i="204"/>
  <c r="E67" i="190"/>
  <c r="E69" i="190" s="1"/>
  <c r="G266" i="152"/>
  <c r="R41" i="113"/>
  <c r="R46" i="113" s="1"/>
  <c r="R56" i="113" s="1"/>
  <c r="R38" i="113"/>
  <c r="G86" i="191"/>
  <c r="G87" i="191" s="1"/>
  <c r="H29" i="191"/>
  <c r="L186" i="152"/>
  <c r="M71" i="123"/>
  <c r="C213" i="146"/>
  <c r="C121" i="146"/>
  <c r="F89" i="194"/>
  <c r="F91" i="194" s="1"/>
  <c r="F88" i="194"/>
  <c r="F90" i="194" s="1"/>
  <c r="L190" i="152"/>
  <c r="M75" i="123"/>
  <c r="G86" i="199"/>
  <c r="G87" i="199" s="1"/>
  <c r="H29" i="199"/>
  <c r="F88" i="190"/>
  <c r="F90" i="190" s="1"/>
  <c r="F89" i="190"/>
  <c r="F91" i="190" s="1"/>
  <c r="K220" i="152"/>
  <c r="K60" i="169"/>
  <c r="K92" i="169" s="1"/>
  <c r="K60" i="167"/>
  <c r="K92" i="167" s="1"/>
  <c r="K60" i="166"/>
  <c r="K92" i="166" s="1"/>
  <c r="L73" i="124"/>
  <c r="G86" i="189"/>
  <c r="G87" i="189" s="1"/>
  <c r="H29" i="189"/>
  <c r="G28" i="193"/>
  <c r="F75" i="193"/>
  <c r="F76" i="193" s="1"/>
  <c r="L185" i="152"/>
  <c r="M70" i="123"/>
  <c r="L175" i="152"/>
  <c r="M60" i="123"/>
  <c r="C229" i="148"/>
  <c r="C137" i="148"/>
  <c r="C138" i="148" s="1"/>
  <c r="C229" i="149"/>
  <c r="C137" i="149"/>
  <c r="C138" i="149" s="1"/>
  <c r="I138" i="209"/>
  <c r="H214" i="209"/>
  <c r="E78" i="202"/>
  <c r="E80" i="202" s="1"/>
  <c r="E77" i="202"/>
  <c r="E79" i="202" s="1"/>
  <c r="E81" i="202" s="1"/>
  <c r="K209" i="152"/>
  <c r="K49" i="169"/>
  <c r="K81" i="169" s="1"/>
  <c r="L62" i="124"/>
  <c r="K49" i="167"/>
  <c r="K81" i="167" s="1"/>
  <c r="K49" i="166"/>
  <c r="K81" i="166" s="1"/>
  <c r="L178" i="152"/>
  <c r="M63" i="123"/>
  <c r="G86" i="192"/>
  <c r="G87" i="192" s="1"/>
  <c r="H29" i="192"/>
  <c r="I130" i="209"/>
  <c r="H206" i="209"/>
  <c r="E67" i="203"/>
  <c r="E69" i="203" s="1"/>
  <c r="E66" i="203"/>
  <c r="E68" i="203" s="1"/>
  <c r="E67" i="194"/>
  <c r="E69" i="194" s="1"/>
  <c r="E66" i="194"/>
  <c r="E68" i="194" s="1"/>
  <c r="C213" i="134"/>
  <c r="C121" i="134"/>
  <c r="C213" i="150"/>
  <c r="C121" i="150"/>
  <c r="G27" i="197"/>
  <c r="F64" i="197"/>
  <c r="F65" i="197" s="1"/>
  <c r="L176" i="152"/>
  <c r="M61" i="123"/>
  <c r="E78" i="188"/>
  <c r="E80" i="188" s="1"/>
  <c r="D70" i="202"/>
  <c r="E67" i="185"/>
  <c r="D77" i="188"/>
  <c r="D79" i="188" s="1"/>
  <c r="D81" i="188" s="1"/>
  <c r="D94" i="188" s="1"/>
  <c r="L174" i="152"/>
  <c r="M59" i="123"/>
  <c r="D70" i="192"/>
  <c r="I134" i="209"/>
  <c r="H210" i="209"/>
  <c r="I126" i="209"/>
  <c r="H202" i="209"/>
  <c r="G28" i="200"/>
  <c r="F75" i="200"/>
  <c r="F76" i="200" s="1"/>
  <c r="C229" i="137"/>
  <c r="C137" i="137"/>
  <c r="C138" i="137" s="1"/>
  <c r="C229" i="144"/>
  <c r="C137" i="144"/>
  <c r="C138" i="144" s="1"/>
  <c r="E66" i="186"/>
  <c r="E68" i="186" s="1"/>
  <c r="E67" i="186"/>
  <c r="E69" i="186" s="1"/>
  <c r="L189" i="152"/>
  <c r="M74" i="123"/>
  <c r="F75" i="185"/>
  <c r="F76" i="185" s="1"/>
  <c r="G28" i="185"/>
  <c r="K222" i="152"/>
  <c r="K62" i="169"/>
  <c r="K94" i="169" s="1"/>
  <c r="K62" i="167"/>
  <c r="K94" i="167" s="1"/>
  <c r="K62" i="166"/>
  <c r="K94" i="166" s="1"/>
  <c r="L75" i="124"/>
  <c r="G86" i="201"/>
  <c r="G87" i="201" s="1"/>
  <c r="H29" i="201"/>
  <c r="H196" i="209"/>
  <c r="I120" i="209"/>
  <c r="C229" i="142"/>
  <c r="C137" i="142"/>
  <c r="C138" i="142" s="1"/>
  <c r="G86" i="203"/>
  <c r="G87" i="203" s="1"/>
  <c r="H29" i="203"/>
  <c r="D70" i="200"/>
  <c r="L191" i="152"/>
  <c r="M76" i="123"/>
  <c r="F89" i="188"/>
  <c r="F91" i="188" s="1"/>
  <c r="D66" i="193"/>
  <c r="D68" i="193" s="1"/>
  <c r="D70" i="193" s="1"/>
  <c r="D94" i="193" s="1"/>
  <c r="H203" i="209"/>
  <c r="I127" i="209"/>
  <c r="K210" i="152"/>
  <c r="K50" i="169"/>
  <c r="K82" i="169" s="1"/>
  <c r="L63" i="124"/>
  <c r="K50" i="167"/>
  <c r="K82" i="167" s="1"/>
  <c r="K50" i="166"/>
  <c r="K82" i="166" s="1"/>
  <c r="E67" i="204"/>
  <c r="E69" i="204" s="1"/>
  <c r="E92" i="196"/>
  <c r="E92" i="204"/>
  <c r="L180" i="152"/>
  <c r="M65" i="123"/>
  <c r="G28" i="198"/>
  <c r="F75" i="198"/>
  <c r="F76" i="198" s="1"/>
  <c r="D70" i="188"/>
  <c r="G27" i="195"/>
  <c r="F64" i="195"/>
  <c r="F65" i="195" s="1"/>
  <c r="G28" i="189"/>
  <c r="F75" i="189"/>
  <c r="F76" i="189" s="1"/>
  <c r="G27" i="191"/>
  <c r="F64" i="191"/>
  <c r="F65" i="191" s="1"/>
  <c r="C229" i="134"/>
  <c r="C137" i="134"/>
  <c r="C138" i="134" s="1"/>
  <c r="C229" i="150"/>
  <c r="C137" i="150"/>
  <c r="C138" i="150" s="1"/>
  <c r="E92" i="186"/>
  <c r="E92" i="203"/>
  <c r="E92" i="190"/>
  <c r="E67" i="193"/>
  <c r="E69" i="193" s="1"/>
  <c r="E78" i="203"/>
  <c r="E80" i="203" s="1"/>
  <c r="E77" i="203"/>
  <c r="E79" i="203" s="1"/>
  <c r="E81" i="203" s="1"/>
  <c r="L171" i="152"/>
  <c r="M56" i="123"/>
  <c r="E88" i="189"/>
  <c r="E90" i="189" s="1"/>
  <c r="E92" i="189" s="1"/>
  <c r="E92" i="191"/>
  <c r="G86" i="196"/>
  <c r="G87" i="196" s="1"/>
  <c r="H29" i="196"/>
  <c r="E77" i="191"/>
  <c r="E79" i="191" s="1"/>
  <c r="E81" i="191" s="1"/>
  <c r="E78" i="191"/>
  <c r="E80" i="191" s="1"/>
  <c r="E67" i="189"/>
  <c r="E69" i="189" s="1"/>
  <c r="C213" i="135"/>
  <c r="C121" i="135"/>
  <c r="C213" i="162"/>
  <c r="C121" i="162"/>
  <c r="F89" i="204"/>
  <c r="F91" i="204" s="1"/>
  <c r="F64" i="190"/>
  <c r="F65" i="190" s="1"/>
  <c r="G27" i="190"/>
  <c r="D77" i="187"/>
  <c r="D79" i="187" s="1"/>
  <c r="D81" i="187" s="1"/>
  <c r="D94" i="187" s="1"/>
  <c r="K208" i="152"/>
  <c r="K48" i="169"/>
  <c r="K80" i="169" s="1"/>
  <c r="L61" i="124"/>
  <c r="K48" i="167"/>
  <c r="K80" i="167" s="1"/>
  <c r="K48" i="166"/>
  <c r="K80" i="166" s="1"/>
  <c r="G27" i="188"/>
  <c r="F64" i="188"/>
  <c r="F65" i="188" s="1"/>
  <c r="D77" i="204"/>
  <c r="D79" i="204" s="1"/>
  <c r="D81" i="204" s="1"/>
  <c r="D70" i="199"/>
  <c r="D94" i="199" s="1"/>
  <c r="E92" i="194"/>
  <c r="G86" i="187"/>
  <c r="G87" i="187" s="1"/>
  <c r="H29" i="187"/>
  <c r="F89" i="191"/>
  <c r="F91" i="191" s="1"/>
  <c r="F88" i="191"/>
  <c r="F90" i="191" s="1"/>
  <c r="D70" i="201"/>
  <c r="C213" i="137"/>
  <c r="C121" i="137"/>
  <c r="C213" i="144"/>
  <c r="C121" i="144"/>
  <c r="F64" i="199"/>
  <c r="F65" i="199" s="1"/>
  <c r="G27" i="199"/>
  <c r="F88" i="199"/>
  <c r="F90" i="199" s="1"/>
  <c r="F89" i="199"/>
  <c r="F91" i="199" s="1"/>
  <c r="E67" i="198"/>
  <c r="E69" i="198" s="1"/>
  <c r="D77" i="202"/>
  <c r="D79" i="202" s="1"/>
  <c r="D81" i="202" s="1"/>
  <c r="D94" i="202" s="1"/>
  <c r="H29" i="202"/>
  <c r="G86" i="202"/>
  <c r="G87" i="202" s="1"/>
  <c r="G28" i="186"/>
  <c r="F75" i="186"/>
  <c r="F76" i="186" s="1"/>
  <c r="F89" i="189"/>
  <c r="F91" i="189" s="1"/>
  <c r="F88" i="189"/>
  <c r="F90" i="189" s="1"/>
  <c r="F89" i="198"/>
  <c r="F91" i="198" s="1"/>
  <c r="E78" i="193"/>
  <c r="E80" i="193" s="1"/>
  <c r="K204" i="152"/>
  <c r="K44" i="169"/>
  <c r="K76" i="169" s="1"/>
  <c r="L57" i="124"/>
  <c r="K44" i="167"/>
  <c r="K76" i="167" s="1"/>
  <c r="K44" i="166"/>
  <c r="K76" i="166" s="1"/>
  <c r="E92" i="201"/>
  <c r="C229" i="86"/>
  <c r="C137" i="86"/>
  <c r="C138" i="86" s="1"/>
  <c r="C229" i="141"/>
  <c r="C137" i="141"/>
  <c r="C138" i="141" s="1"/>
  <c r="C229" i="151"/>
  <c r="C137" i="151"/>
  <c r="C138" i="151" s="1"/>
  <c r="K223" i="152"/>
  <c r="K63" i="169"/>
  <c r="K95" i="169" s="1"/>
  <c r="K63" i="167"/>
  <c r="K95" i="167" s="1"/>
  <c r="K63" i="166"/>
  <c r="K95" i="166" s="1"/>
  <c r="L76" i="124"/>
  <c r="F260" i="152"/>
  <c r="Q41" i="104"/>
  <c r="Q38" i="104"/>
  <c r="Q46" i="104"/>
  <c r="E88" i="188"/>
  <c r="E90" i="188" s="1"/>
  <c r="E92" i="188" s="1"/>
  <c r="D77" i="186"/>
  <c r="D79" i="186" s="1"/>
  <c r="D81" i="186" s="1"/>
  <c r="G232" i="209"/>
  <c r="E92" i="185"/>
  <c r="K217" i="152"/>
  <c r="K57" i="169"/>
  <c r="K89" i="169" s="1"/>
  <c r="K57" i="167"/>
  <c r="K89" i="167" s="1"/>
  <c r="K57" i="166"/>
  <c r="K89" i="166" s="1"/>
  <c r="L70" i="124"/>
  <c r="D70" i="204"/>
  <c r="E88" i="193"/>
  <c r="E90" i="193" s="1"/>
  <c r="E92" i="193" s="1"/>
  <c r="F64" i="194"/>
  <c r="F65" i="194" s="1"/>
  <c r="G27" i="194"/>
  <c r="C213" i="145"/>
  <c r="C121" i="145"/>
  <c r="E67" i="197"/>
  <c r="E69" i="197" s="1"/>
  <c r="E92" i="195"/>
  <c r="F89" i="197"/>
  <c r="F91" i="197" s="1"/>
  <c r="Q57" i="113"/>
  <c r="P15" i="92"/>
  <c r="H207" i="209"/>
  <c r="I131" i="209"/>
  <c r="G28" i="195"/>
  <c r="F75" i="195"/>
  <c r="F76" i="195" s="1"/>
  <c r="F239" i="209"/>
  <c r="D68" i="185"/>
  <c r="G228" i="209"/>
  <c r="K219" i="152"/>
  <c r="K59" i="169"/>
  <c r="K91" i="169" s="1"/>
  <c r="K59" i="167"/>
  <c r="K91" i="167" s="1"/>
  <c r="K59" i="166"/>
  <c r="K91" i="166" s="1"/>
  <c r="L72" i="124"/>
  <c r="F88" i="201"/>
  <c r="F90" i="201" s="1"/>
  <c r="F89" i="201"/>
  <c r="F91" i="201" s="1"/>
  <c r="G222" i="209"/>
  <c r="C229" i="143"/>
  <c r="C137" i="143"/>
  <c r="C138" i="143" s="1"/>
  <c r="C14" i="132"/>
  <c r="C283" i="140"/>
  <c r="F89" i="203"/>
  <c r="F91" i="203" s="1"/>
  <c r="K212" i="152"/>
  <c r="K52" i="169"/>
  <c r="K84" i="169" s="1"/>
  <c r="K109" i="166" s="1"/>
  <c r="L65" i="124"/>
  <c r="K52" i="167"/>
  <c r="K84" i="167" s="1"/>
  <c r="K107" i="166" s="1"/>
  <c r="K52" i="166"/>
  <c r="K84" i="166" s="1"/>
  <c r="K105" i="166" s="1"/>
  <c r="D94" i="198"/>
  <c r="L187" i="152"/>
  <c r="M72" i="123"/>
  <c r="F89" i="193"/>
  <c r="F91" i="193" s="1"/>
  <c r="F89" i="195"/>
  <c r="F91" i="195" s="1"/>
  <c r="G28" i="197"/>
  <c r="F75" i="197"/>
  <c r="F76" i="197" s="1"/>
  <c r="E78" i="198"/>
  <c r="E80" i="198" s="1"/>
  <c r="K218" i="152"/>
  <c r="K58" i="169"/>
  <c r="K90" i="169" s="1"/>
  <c r="K58" i="167"/>
  <c r="K90" i="167" s="1"/>
  <c r="K58" i="166"/>
  <c r="K90" i="166" s="1"/>
  <c r="L71" i="124"/>
  <c r="E67" i="195"/>
  <c r="E69" i="195" s="1"/>
  <c r="F75" i="199"/>
  <c r="F76" i="199" s="1"/>
  <c r="G28" i="199"/>
  <c r="E67" i="191"/>
  <c r="E69" i="191" s="1"/>
  <c r="C229" i="145"/>
  <c r="C137" i="145"/>
  <c r="C138" i="145" s="1"/>
  <c r="L170" i="152"/>
  <c r="M55" i="123"/>
  <c r="K226" i="152"/>
  <c r="K66" i="169"/>
  <c r="K98" i="169" s="1"/>
  <c r="K66" i="167"/>
  <c r="K98" i="167" s="1"/>
  <c r="K66" i="166"/>
  <c r="K98" i="166" s="1"/>
  <c r="L79" i="124"/>
  <c r="L172" i="152"/>
  <c r="M57" i="123"/>
  <c r="H205" i="209"/>
  <c r="I129" i="209"/>
  <c r="F75" i="203"/>
  <c r="F76" i="203" s="1"/>
  <c r="G28" i="203"/>
  <c r="H209" i="209"/>
  <c r="I133" i="209"/>
  <c r="F64" i="201"/>
  <c r="F65" i="201" s="1"/>
  <c r="G27" i="201"/>
  <c r="F89" i="196"/>
  <c r="F91" i="196" s="1"/>
  <c r="F64" i="189"/>
  <c r="F65" i="189" s="1"/>
  <c r="G27" i="189"/>
  <c r="C213" i="139"/>
  <c r="C121" i="139"/>
  <c r="C213" i="147"/>
  <c r="C121" i="147"/>
  <c r="K227" i="152"/>
  <c r="K67" i="169"/>
  <c r="K99" i="169" s="1"/>
  <c r="K110" i="166" s="1"/>
  <c r="K67" i="167"/>
  <c r="K99" i="167" s="1"/>
  <c r="K108" i="166" s="1"/>
  <c r="K67" i="166"/>
  <c r="K99" i="166" s="1"/>
  <c r="K106" i="166" s="1"/>
  <c r="L80" i="124"/>
  <c r="D94" i="204"/>
  <c r="K211" i="152"/>
  <c r="K51" i="169"/>
  <c r="K83" i="169" s="1"/>
  <c r="K51" i="167"/>
  <c r="K83" i="167" s="1"/>
  <c r="K51" i="166"/>
  <c r="K83" i="166" s="1"/>
  <c r="L64" i="124"/>
  <c r="K221" i="152"/>
  <c r="K61" i="169"/>
  <c r="K93" i="169" s="1"/>
  <c r="K61" i="167"/>
  <c r="K93" i="167" s="1"/>
  <c r="K61" i="166"/>
  <c r="K93" i="166" s="1"/>
  <c r="L74" i="124"/>
  <c r="E66" i="188"/>
  <c r="E68" i="188" s="1"/>
  <c r="E67" i="188"/>
  <c r="E69" i="188" s="1"/>
  <c r="H267" i="152"/>
  <c r="K68" i="113"/>
  <c r="K69" i="113" s="1"/>
  <c r="P205" i="95" s="1"/>
  <c r="S37" i="113"/>
  <c r="T34" i="113"/>
  <c r="AJ215" i="95"/>
  <c r="E78" i="190"/>
  <c r="E80" i="190" s="1"/>
  <c r="E77" i="190"/>
  <c r="E79" i="190" s="1"/>
  <c r="E81" i="190" s="1"/>
  <c r="G239" i="209"/>
  <c r="F89" i="187"/>
  <c r="F91" i="187" s="1"/>
  <c r="L193" i="152"/>
  <c r="M78" i="123"/>
  <c r="C213" i="142"/>
  <c r="C121" i="142"/>
  <c r="E66" i="199"/>
  <c r="E68" i="199" s="1"/>
  <c r="E67" i="199"/>
  <c r="E69" i="199" s="1"/>
  <c r="G28" i="194"/>
  <c r="F75" i="194"/>
  <c r="F76" i="194" s="1"/>
  <c r="G86" i="186"/>
  <c r="G87" i="186" s="1"/>
  <c r="H29" i="186"/>
  <c r="F64" i="198"/>
  <c r="F65" i="198" s="1"/>
  <c r="G27" i="198"/>
  <c r="F89" i="202"/>
  <c r="F91" i="202" s="1"/>
  <c r="E77" i="186"/>
  <c r="E79" i="186" s="1"/>
  <c r="E81" i="186" s="1"/>
  <c r="E78" i="186"/>
  <c r="E80" i="186" s="1"/>
  <c r="G86" i="198"/>
  <c r="G87" i="198" s="1"/>
  <c r="H29" i="198"/>
  <c r="E77" i="204"/>
  <c r="E79" i="204" s="1"/>
  <c r="E81" i="204" s="1"/>
  <c r="E78" i="204"/>
  <c r="E80" i="204" s="1"/>
  <c r="C229" i="135"/>
  <c r="C137" i="135"/>
  <c r="C138" i="135" s="1"/>
  <c r="C229" i="162"/>
  <c r="C137" i="162"/>
  <c r="C138" i="162" s="1"/>
  <c r="K206" i="152"/>
  <c r="K46" i="169"/>
  <c r="K78" i="169" s="1"/>
  <c r="L59" i="124"/>
  <c r="K46" i="167"/>
  <c r="K78" i="167" s="1"/>
  <c r="K46" i="166"/>
  <c r="K78" i="166" s="1"/>
  <c r="F75" i="201"/>
  <c r="F76" i="201" s="1"/>
  <c r="G28" i="201"/>
  <c r="K207" i="152"/>
  <c r="K47" i="169"/>
  <c r="K79" i="169" s="1"/>
  <c r="K47" i="167"/>
  <c r="K79" i="167" s="1"/>
  <c r="K47" i="166"/>
  <c r="K79" i="166" s="1"/>
  <c r="L60" i="124"/>
  <c r="C70" i="185"/>
  <c r="C94" i="185" s="1"/>
  <c r="C213" i="136"/>
  <c r="C121" i="136"/>
  <c r="L194" i="152"/>
  <c r="M79" i="123"/>
  <c r="G86" i="197"/>
  <c r="G87" i="197" s="1"/>
  <c r="H29" i="197"/>
  <c r="E67" i="192"/>
  <c r="E69" i="192" s="1"/>
  <c r="E66" i="192"/>
  <c r="E68" i="192" s="1"/>
  <c r="F221" i="209"/>
  <c r="F237" i="209"/>
  <c r="E77" i="195"/>
  <c r="E79" i="195" s="1"/>
  <c r="E81" i="195" s="1"/>
  <c r="E78" i="195"/>
  <c r="E80" i="195" s="1"/>
  <c r="H195" i="209"/>
  <c r="I119" i="209"/>
  <c r="E67" i="202"/>
  <c r="E69" i="202" s="1"/>
  <c r="G86" i="200"/>
  <c r="G87" i="200" s="1"/>
  <c r="H29" i="200"/>
  <c r="E78" i="200"/>
  <c r="E80" i="200" s="1"/>
  <c r="D70" i="191"/>
  <c r="H212" i="209"/>
  <c r="I136" i="209"/>
  <c r="C229" i="146"/>
  <c r="C137" i="146"/>
  <c r="C138" i="146" s="1"/>
  <c r="G27" i="186"/>
  <c r="F64" i="186"/>
  <c r="F65" i="186" s="1"/>
  <c r="E77" i="185"/>
  <c r="E79" i="185" s="1"/>
  <c r="E81" i="185" s="1"/>
  <c r="E78" i="185"/>
  <c r="E80" i="185" s="1"/>
  <c r="E78" i="192"/>
  <c r="E80" i="192" s="1"/>
  <c r="E77" i="192"/>
  <c r="E79" i="192" s="1"/>
  <c r="E81" i="192" s="1"/>
  <c r="D491" i="92"/>
  <c r="D524" i="92" s="1"/>
  <c r="D574" i="92" s="1"/>
  <c r="D624" i="92" s="1"/>
  <c r="D501" i="92"/>
  <c r="D534" i="92" s="1"/>
  <c r="D584" i="92" s="1"/>
  <c r="D634" i="92" s="1"/>
  <c r="D504" i="92"/>
  <c r="D537" i="92" s="1"/>
  <c r="D587" i="92" s="1"/>
  <c r="D637" i="92" s="1"/>
  <c r="D503" i="92"/>
  <c r="D536" i="92" s="1"/>
  <c r="D586" i="92" s="1"/>
  <c r="D636" i="92" s="1"/>
  <c r="D489" i="92"/>
  <c r="D522" i="92" s="1"/>
  <c r="D572" i="92" s="1"/>
  <c r="D622" i="92" s="1"/>
  <c r="D505" i="92"/>
  <c r="D538" i="92" s="1"/>
  <c r="D588" i="92" s="1"/>
  <c r="D638" i="92" s="1"/>
  <c r="D496" i="92"/>
  <c r="D529" i="92" s="1"/>
  <c r="D579" i="92" s="1"/>
  <c r="D629" i="92" s="1"/>
  <c r="D494" i="92"/>
  <c r="D527" i="92" s="1"/>
  <c r="D577" i="92" s="1"/>
  <c r="D627" i="92" s="1"/>
  <c r="D497" i="92"/>
  <c r="D530" i="92" s="1"/>
  <c r="D580" i="92" s="1"/>
  <c r="D630" i="92" s="1"/>
  <c r="D490" i="92"/>
  <c r="D523" i="92" s="1"/>
  <c r="D573" i="92" s="1"/>
  <c r="D623" i="92" s="1"/>
  <c r="D499" i="92"/>
  <c r="D532" i="92" s="1"/>
  <c r="D582" i="92" s="1"/>
  <c r="D632" i="92" s="1"/>
  <c r="D498" i="92"/>
  <c r="D531" i="92" s="1"/>
  <c r="D581" i="92" s="1"/>
  <c r="D631" i="92" s="1"/>
  <c r="D493" i="92"/>
  <c r="D526" i="92" s="1"/>
  <c r="D576" i="92" s="1"/>
  <c r="D626" i="92" s="1"/>
  <c r="D492" i="92"/>
  <c r="D525" i="92" s="1"/>
  <c r="D575" i="92" s="1"/>
  <c r="D625" i="92" s="1"/>
  <c r="D495" i="92"/>
  <c r="D528" i="92" s="1"/>
  <c r="D578" i="92" s="1"/>
  <c r="D628" i="92" s="1"/>
  <c r="D488" i="92"/>
  <c r="D521" i="92" s="1"/>
  <c r="D571" i="92" s="1"/>
  <c r="D621" i="92" s="1"/>
  <c r="D502" i="92"/>
  <c r="D535" i="92" s="1"/>
  <c r="D585" i="92" s="1"/>
  <c r="D635" i="92" s="1"/>
  <c r="D500" i="92"/>
  <c r="D533" i="92" s="1"/>
  <c r="D583" i="92" s="1"/>
  <c r="D633" i="92" s="1"/>
  <c r="D487" i="92"/>
  <c r="E67" i="187"/>
  <c r="E69" i="187" s="1"/>
  <c r="G86" i="185"/>
  <c r="G87" i="185" s="1"/>
  <c r="H29" i="185"/>
  <c r="K224" i="152"/>
  <c r="K64" i="169"/>
  <c r="K96" i="169" s="1"/>
  <c r="K64" i="167"/>
  <c r="K96" i="167" s="1"/>
  <c r="K64" i="166"/>
  <c r="K96" i="166" s="1"/>
  <c r="L77" i="124"/>
  <c r="G86" i="193"/>
  <c r="G87" i="193" s="1"/>
  <c r="H29" i="193"/>
  <c r="D70" i="203"/>
  <c r="D70" i="194"/>
  <c r="D94" i="194" s="1"/>
  <c r="H197" i="209"/>
  <c r="I121" i="209"/>
  <c r="G86" i="195"/>
  <c r="G87" i="195" s="1"/>
  <c r="H29" i="195"/>
  <c r="E78" i="197"/>
  <c r="E80" i="197" s="1"/>
  <c r="L188" i="152"/>
  <c r="M73" i="123"/>
  <c r="E78" i="187"/>
  <c r="E80" i="187" s="1"/>
  <c r="E77" i="187"/>
  <c r="E79" i="187" s="1"/>
  <c r="E81" i="187" s="1"/>
  <c r="E67" i="196"/>
  <c r="E69" i="196" s="1"/>
  <c r="E66" i="196"/>
  <c r="E68" i="196" s="1"/>
  <c r="E77" i="199"/>
  <c r="E79" i="199" s="1"/>
  <c r="E81" i="199" s="1"/>
  <c r="E78" i="199"/>
  <c r="E80" i="199" s="1"/>
  <c r="K202" i="152"/>
  <c r="K42" i="169"/>
  <c r="K74" i="169" s="1"/>
  <c r="L55" i="124"/>
  <c r="K42" i="167"/>
  <c r="K74" i="167" s="1"/>
  <c r="K42" i="166"/>
  <c r="K74" i="166" s="1"/>
  <c r="H201" i="209"/>
  <c r="I125" i="209"/>
  <c r="C229" i="136"/>
  <c r="C137" i="136"/>
  <c r="C138" i="136" s="1"/>
  <c r="E92" i="199"/>
  <c r="D70" i="198"/>
  <c r="D77" i="185"/>
  <c r="D79" i="185" s="1"/>
  <c r="D81" i="185" s="1"/>
  <c r="D94" i="185" s="1"/>
  <c r="D77" i="192"/>
  <c r="D79" i="192" s="1"/>
  <c r="D81" i="192" s="1"/>
  <c r="D94" i="192" s="1"/>
  <c r="E67" i="200"/>
  <c r="E69" i="200" s="1"/>
  <c r="G28" i="196"/>
  <c r="F75" i="196"/>
  <c r="F76" i="196" s="1"/>
  <c r="K203" i="152"/>
  <c r="K43" i="169"/>
  <c r="K75" i="169" s="1"/>
  <c r="K43" i="167"/>
  <c r="K75" i="167" s="1"/>
  <c r="K43" i="166"/>
  <c r="K75" i="166" s="1"/>
  <c r="L56" i="124"/>
  <c r="E92" i="202"/>
  <c r="G231" i="209"/>
  <c r="D70" i="187"/>
  <c r="E92" i="187"/>
  <c r="H200" i="209"/>
  <c r="I124" i="209"/>
  <c r="E66" i="201"/>
  <c r="E68" i="201" s="1"/>
  <c r="E67" i="201"/>
  <c r="E69" i="201" s="1"/>
  <c r="E92" i="198"/>
  <c r="C213" i="148"/>
  <c r="C121" i="148"/>
  <c r="C213" i="149"/>
  <c r="C121" i="149"/>
  <c r="D77" i="198"/>
  <c r="D79" i="198" s="1"/>
  <c r="D81" i="198" s="1"/>
  <c r="K205" i="152"/>
  <c r="L58" i="124"/>
  <c r="K45" i="169"/>
  <c r="K77" i="169" s="1"/>
  <c r="K45" i="167"/>
  <c r="K77" i="167" s="1"/>
  <c r="K45" i="166"/>
  <c r="K77" i="166" s="1"/>
  <c r="D66" i="196"/>
  <c r="D68" i="196" s="1"/>
  <c r="D70" i="196" s="1"/>
  <c r="D94" i="196" s="1"/>
  <c r="H211" i="209"/>
  <c r="I135" i="209"/>
  <c r="D70" i="195"/>
  <c r="D94" i="195" s="1"/>
  <c r="G28" i="190"/>
  <c r="F75" i="190"/>
  <c r="F76" i="190" s="1"/>
  <c r="E92" i="200"/>
  <c r="H213" i="209"/>
  <c r="I137" i="209"/>
  <c r="J50" i="194"/>
  <c r="D77" i="191"/>
  <c r="D79" i="191" s="1"/>
  <c r="D81" i="191" s="1"/>
  <c r="D94" i="191" s="1"/>
  <c r="D70" i="189"/>
  <c r="D94" i="189" s="1"/>
  <c r="C213" i="143"/>
  <c r="C121" i="143"/>
  <c r="D66" i="197"/>
  <c r="D68" i="197" s="1"/>
  <c r="D70" i="197" s="1"/>
  <c r="D94" i="197" s="1"/>
  <c r="E88" i="197"/>
  <c r="E90" i="197" s="1"/>
  <c r="E92" i="197" s="1"/>
  <c r="G86" i="194"/>
  <c r="G87" i="194" s="1"/>
  <c r="H29" i="194"/>
  <c r="H204" i="209"/>
  <c r="I128" i="209"/>
  <c r="E78" i="194"/>
  <c r="E80" i="194" s="1"/>
  <c r="F89" i="186"/>
  <c r="F91" i="186" s="1"/>
  <c r="L192" i="152"/>
  <c r="M77" i="123"/>
  <c r="G86" i="190"/>
  <c r="G87" i="190" s="1"/>
  <c r="H29" i="190"/>
  <c r="D94" i="203"/>
  <c r="D77" i="201"/>
  <c r="D79" i="201" s="1"/>
  <c r="D81" i="201" s="1"/>
  <c r="D94" i="201" s="1"/>
  <c r="E92" i="192"/>
  <c r="D70" i="190"/>
  <c r="D94" i="190" s="1"/>
  <c r="F75" i="204"/>
  <c r="F76" i="204" s="1"/>
  <c r="G28" i="204"/>
  <c r="D77" i="200"/>
  <c r="D79" i="200" s="1"/>
  <c r="D81" i="200" s="1"/>
  <c r="D94" i="200" s="1"/>
  <c r="C229" i="139"/>
  <c r="C137" i="139"/>
  <c r="C138" i="139" s="1"/>
  <c r="C229" i="147"/>
  <c r="C137" i="147"/>
  <c r="C138" i="147" s="1"/>
  <c r="D66" i="186"/>
  <c r="D68" i="186" s="1"/>
  <c r="D70" i="186" s="1"/>
  <c r="D94" i="186" s="1"/>
  <c r="C224" i="140"/>
  <c r="C279" i="140"/>
  <c r="C14" i="130" s="1"/>
  <c r="F75" i="202"/>
  <c r="F76" i="202" s="1"/>
  <c r="G28" i="202"/>
  <c r="L173" i="152"/>
  <c r="M58" i="123"/>
  <c r="L179" i="152"/>
  <c r="M64" i="123"/>
  <c r="G261" i="152"/>
  <c r="R37" i="104"/>
  <c r="J75" i="104"/>
  <c r="J76" i="104" s="1"/>
  <c r="O204" i="95" s="1"/>
  <c r="AI213" i="95"/>
  <c r="S34" i="104"/>
  <c r="E77" i="201"/>
  <c r="E79" i="201" s="1"/>
  <c r="E81" i="201" s="1"/>
  <c r="E78" i="201"/>
  <c r="E80" i="201" s="1"/>
  <c r="F88" i="192"/>
  <c r="F90" i="192" s="1"/>
  <c r="F89" i="192"/>
  <c r="F91" i="192" s="1"/>
  <c r="H208" i="209"/>
  <c r="I132" i="209"/>
  <c r="F64" i="203"/>
  <c r="F65" i="203" s="1"/>
  <c r="G27" i="203"/>
  <c r="C213" i="138"/>
  <c r="C121" i="138"/>
  <c r="G28" i="188"/>
  <c r="F75" i="188"/>
  <c r="F76" i="188" s="1"/>
  <c r="F64" i="192"/>
  <c r="F65" i="192" s="1"/>
  <c r="G27" i="192"/>
  <c r="F64" i="185"/>
  <c r="F65" i="185" s="1"/>
  <c r="G27" i="185"/>
  <c r="G216" i="209"/>
  <c r="G215" i="209"/>
  <c r="G227" i="209" s="1"/>
  <c r="G221" i="209"/>
  <c r="G27" i="202"/>
  <c r="F64" i="202"/>
  <c r="F65" i="202" s="1"/>
  <c r="D69" i="185"/>
  <c r="D70" i="185" s="1"/>
  <c r="F89" i="200"/>
  <c r="F91" i="200" s="1"/>
  <c r="F88" i="200"/>
  <c r="F90" i="200" s="1"/>
  <c r="C62" i="127"/>
  <c r="C24" i="287"/>
  <c r="H24" i="287" s="1"/>
  <c r="C78" i="287"/>
  <c r="C34" i="287"/>
  <c r="H34" i="287" s="1"/>
  <c r="C36" i="287"/>
  <c r="H36" i="287" s="1"/>
  <c r="C76" i="287"/>
  <c r="C33" i="287"/>
  <c r="H33" i="287" s="1"/>
  <c r="C77" i="287"/>
  <c r="C620" i="92"/>
  <c r="C589" i="92"/>
  <c r="C590" i="92" s="1"/>
  <c r="Q15" i="92" l="1"/>
  <c r="R57" i="113"/>
  <c r="F66" i="185"/>
  <c r="F67" i="185"/>
  <c r="F67" i="203"/>
  <c r="F69" i="203" s="1"/>
  <c r="C263" i="139"/>
  <c r="C273" i="139" s="1"/>
  <c r="C274" i="139" s="1"/>
  <c r="C239" i="139"/>
  <c r="C240" i="139" s="1"/>
  <c r="J137" i="209"/>
  <c r="I213" i="209"/>
  <c r="L205" i="152"/>
  <c r="L45" i="169"/>
  <c r="L77" i="169" s="1"/>
  <c r="M58" i="124"/>
  <c r="L45" i="167"/>
  <c r="L77" i="167" s="1"/>
  <c r="L45" i="166"/>
  <c r="L77" i="166" s="1"/>
  <c r="C263" i="136"/>
  <c r="C273" i="136" s="1"/>
  <c r="C274" i="136" s="1"/>
  <c r="C239" i="136"/>
  <c r="C240" i="136" s="1"/>
  <c r="M188" i="152"/>
  <c r="N73" i="123"/>
  <c r="L224" i="152"/>
  <c r="L64" i="169"/>
  <c r="L96" i="169" s="1"/>
  <c r="L64" i="167"/>
  <c r="L96" i="167" s="1"/>
  <c r="L64" i="166"/>
  <c r="L96" i="166" s="1"/>
  <c r="M77" i="124"/>
  <c r="D36" i="149"/>
  <c r="D369" i="149" s="1"/>
  <c r="D32" i="88"/>
  <c r="H215" i="209"/>
  <c r="H226" i="209" s="1"/>
  <c r="H216" i="209"/>
  <c r="H86" i="197"/>
  <c r="H87" i="197" s="1"/>
  <c r="I29" i="197"/>
  <c r="C263" i="135"/>
  <c r="C273" i="135" s="1"/>
  <c r="C274" i="135" s="1"/>
  <c r="C239" i="135"/>
  <c r="C240" i="135" s="1"/>
  <c r="G89" i="186"/>
  <c r="G91" i="186" s="1"/>
  <c r="L211" i="152"/>
  <c r="L51" i="169"/>
  <c r="L83" i="169" s="1"/>
  <c r="M64" i="124"/>
  <c r="L51" i="167"/>
  <c r="L83" i="167" s="1"/>
  <c r="L51" i="166"/>
  <c r="L83" i="166" s="1"/>
  <c r="F66" i="189"/>
  <c r="F68" i="189" s="1"/>
  <c r="F67" i="189"/>
  <c r="F69" i="189" s="1"/>
  <c r="F78" i="203"/>
  <c r="F80" i="203" s="1"/>
  <c r="G75" i="199"/>
  <c r="G76" i="199" s="1"/>
  <c r="H28" i="199"/>
  <c r="Q51" i="104"/>
  <c r="Q53" i="104" s="1"/>
  <c r="Q49" i="104"/>
  <c r="G64" i="192"/>
  <c r="G65" i="192" s="1"/>
  <c r="H27" i="192"/>
  <c r="C282" i="138"/>
  <c r="C20" i="132" s="1"/>
  <c r="C122" i="138"/>
  <c r="I208" i="209"/>
  <c r="J132" i="209"/>
  <c r="F78" i="202"/>
  <c r="F80" i="202" s="1"/>
  <c r="H86" i="190"/>
  <c r="H87" i="190" s="1"/>
  <c r="I29" i="190"/>
  <c r="F88" i="186"/>
  <c r="F90" i="186" s="1"/>
  <c r="I204" i="209"/>
  <c r="J128" i="209"/>
  <c r="H239" i="209"/>
  <c r="C247" i="149"/>
  <c r="C257" i="149" s="1"/>
  <c r="C258" i="149" s="1"/>
  <c r="C223" i="149"/>
  <c r="E70" i="201"/>
  <c r="E66" i="200"/>
  <c r="E68" i="200" s="1"/>
  <c r="I201" i="209"/>
  <c r="J125" i="209"/>
  <c r="E70" i="196"/>
  <c r="G89" i="195"/>
  <c r="G91" i="195" s="1"/>
  <c r="H86" i="185"/>
  <c r="H87" i="185" s="1"/>
  <c r="I29" i="185"/>
  <c r="D506" i="92"/>
  <c r="D507" i="92" s="1"/>
  <c r="D520" i="92"/>
  <c r="D36" i="142"/>
  <c r="D369" i="142" s="1"/>
  <c r="D24" i="88"/>
  <c r="D28" i="88"/>
  <c r="D36" i="145"/>
  <c r="D369" i="145" s="1"/>
  <c r="D25" i="88"/>
  <c r="D36" i="162"/>
  <c r="D369" i="162" s="1"/>
  <c r="D36" i="150"/>
  <c r="D369" i="150" s="1"/>
  <c r="D33" i="88"/>
  <c r="C263" i="146"/>
  <c r="C273" i="146" s="1"/>
  <c r="C274" i="146" s="1"/>
  <c r="C239" i="146"/>
  <c r="C240" i="146" s="1"/>
  <c r="E77" i="200"/>
  <c r="E79" i="200" s="1"/>
  <c r="E81" i="200" s="1"/>
  <c r="E66" i="202"/>
  <c r="E68" i="202" s="1"/>
  <c r="F241" i="209"/>
  <c r="F242" i="209" s="1"/>
  <c r="G89" i="197"/>
  <c r="G91" i="197" s="1"/>
  <c r="C247" i="136"/>
  <c r="C257" i="136" s="1"/>
  <c r="C258" i="136" s="1"/>
  <c r="C223" i="136"/>
  <c r="F77" i="201"/>
  <c r="F79" i="201" s="1"/>
  <c r="F81" i="201" s="1"/>
  <c r="F78" i="201"/>
  <c r="F80" i="201" s="1"/>
  <c r="G64" i="198"/>
  <c r="G65" i="198" s="1"/>
  <c r="H27" i="198"/>
  <c r="F78" i="194"/>
  <c r="F80" i="194" s="1"/>
  <c r="I267" i="152"/>
  <c r="U34" i="113"/>
  <c r="L68" i="113"/>
  <c r="L69" i="113" s="1"/>
  <c r="Q205" i="95" s="1"/>
  <c r="T37" i="113"/>
  <c r="AK215" i="95"/>
  <c r="E70" i="188"/>
  <c r="C282" i="139"/>
  <c r="C21" i="132" s="1"/>
  <c r="C122" i="139"/>
  <c r="F88" i="196"/>
  <c r="F90" i="196" s="1"/>
  <c r="I209" i="209"/>
  <c r="J133" i="209"/>
  <c r="I205" i="209"/>
  <c r="J129" i="209"/>
  <c r="L226" i="152"/>
  <c r="L66" i="169"/>
  <c r="L98" i="169" s="1"/>
  <c r="L66" i="167"/>
  <c r="L98" i="167" s="1"/>
  <c r="L66" i="166"/>
  <c r="L98" i="166" s="1"/>
  <c r="M79" i="124"/>
  <c r="C263" i="145"/>
  <c r="C273" i="145" s="1"/>
  <c r="C274" i="145" s="1"/>
  <c r="C239" i="145"/>
  <c r="C240" i="145" s="1"/>
  <c r="F78" i="199"/>
  <c r="F80" i="199" s="1"/>
  <c r="E77" i="198"/>
  <c r="E79" i="198" s="1"/>
  <c r="E81" i="198" s="1"/>
  <c r="F88" i="195"/>
  <c r="F90" i="195" s="1"/>
  <c r="M187" i="152"/>
  <c r="N72" i="123"/>
  <c r="I88" i="217"/>
  <c r="F92" i="201"/>
  <c r="F78" i="195"/>
  <c r="F80" i="195" s="1"/>
  <c r="E487" i="92"/>
  <c r="E488" i="92"/>
  <c r="E521" i="92" s="1"/>
  <c r="E571" i="92" s="1"/>
  <c r="E621" i="92" s="1"/>
  <c r="E494" i="92"/>
  <c r="E527" i="92" s="1"/>
  <c r="E577" i="92" s="1"/>
  <c r="E627" i="92" s="1"/>
  <c r="E505" i="92"/>
  <c r="E538" i="92" s="1"/>
  <c r="E588" i="92" s="1"/>
  <c r="E638" i="92" s="1"/>
  <c r="E501" i="92"/>
  <c r="E534" i="92" s="1"/>
  <c r="E584" i="92" s="1"/>
  <c r="E634" i="92" s="1"/>
  <c r="E492" i="92"/>
  <c r="E525" i="92" s="1"/>
  <c r="E575" i="92" s="1"/>
  <c r="E625" i="92" s="1"/>
  <c r="E503" i="92"/>
  <c r="E536" i="92" s="1"/>
  <c r="E586" i="92" s="1"/>
  <c r="E636" i="92" s="1"/>
  <c r="E489" i="92"/>
  <c r="E522" i="92" s="1"/>
  <c r="E572" i="92" s="1"/>
  <c r="E622" i="92" s="1"/>
  <c r="E495" i="92"/>
  <c r="E528" i="92" s="1"/>
  <c r="E578" i="92" s="1"/>
  <c r="E628" i="92" s="1"/>
  <c r="E497" i="92"/>
  <c r="E530" i="92" s="1"/>
  <c r="E580" i="92" s="1"/>
  <c r="E630" i="92" s="1"/>
  <c r="E504" i="92"/>
  <c r="E537" i="92" s="1"/>
  <c r="E587" i="92" s="1"/>
  <c r="E637" i="92" s="1"/>
  <c r="E499" i="92"/>
  <c r="E532" i="92" s="1"/>
  <c r="E582" i="92" s="1"/>
  <c r="E632" i="92" s="1"/>
  <c r="E490" i="92"/>
  <c r="E523" i="92" s="1"/>
  <c r="E573" i="92" s="1"/>
  <c r="E623" i="92" s="1"/>
  <c r="E496" i="92"/>
  <c r="E529" i="92" s="1"/>
  <c r="E579" i="92" s="1"/>
  <c r="E629" i="92" s="1"/>
  <c r="E498" i="92"/>
  <c r="E531" i="92" s="1"/>
  <c r="E581" i="92" s="1"/>
  <c r="E631" i="92" s="1"/>
  <c r="E493" i="92"/>
  <c r="E526" i="92" s="1"/>
  <c r="E576" i="92" s="1"/>
  <c r="E626" i="92" s="1"/>
  <c r="E500" i="92"/>
  <c r="E533" i="92" s="1"/>
  <c r="E583" i="92" s="1"/>
  <c r="E633" i="92" s="1"/>
  <c r="E502" i="92"/>
  <c r="E535" i="92" s="1"/>
  <c r="E585" i="92" s="1"/>
  <c r="E635" i="92" s="1"/>
  <c r="E491" i="92"/>
  <c r="E524" i="92" s="1"/>
  <c r="E574" i="92" s="1"/>
  <c r="E624" i="92" s="1"/>
  <c r="C247" i="145"/>
  <c r="C257" i="145" s="1"/>
  <c r="C258" i="145" s="1"/>
  <c r="C223" i="145"/>
  <c r="G240" i="209"/>
  <c r="C263" i="141"/>
  <c r="C273" i="141" s="1"/>
  <c r="C274" i="141" s="1"/>
  <c r="C239" i="141"/>
  <c r="C240" i="141" s="1"/>
  <c r="F88" i="198"/>
  <c r="F90" i="198" s="1"/>
  <c r="H28" i="186"/>
  <c r="G75" i="186"/>
  <c r="G76" i="186" s="1"/>
  <c r="E66" i="198"/>
  <c r="E68" i="198" s="1"/>
  <c r="H27" i="199"/>
  <c r="G64" i="199"/>
  <c r="G65" i="199" s="1"/>
  <c r="C282" i="137"/>
  <c r="C19" i="132" s="1"/>
  <c r="C122" i="137"/>
  <c r="F92" i="191"/>
  <c r="F88" i="204"/>
  <c r="F90" i="204" s="1"/>
  <c r="C282" i="135"/>
  <c r="C17" i="132" s="1"/>
  <c r="C122" i="135"/>
  <c r="E66" i="193"/>
  <c r="E68" i="193" s="1"/>
  <c r="F67" i="191"/>
  <c r="F69" i="191" s="1"/>
  <c r="F67" i="195"/>
  <c r="F69" i="195" s="1"/>
  <c r="F66" i="195"/>
  <c r="F68" i="195" s="1"/>
  <c r="F78" i="198"/>
  <c r="F80" i="198" s="1"/>
  <c r="E66" i="204"/>
  <c r="E68" i="204" s="1"/>
  <c r="L210" i="152"/>
  <c r="M63" i="124"/>
  <c r="L50" i="167"/>
  <c r="L82" i="167" s="1"/>
  <c r="L50" i="166"/>
  <c r="L82" i="166" s="1"/>
  <c r="L50" i="169"/>
  <c r="L82" i="169" s="1"/>
  <c r="H229" i="209"/>
  <c r="M191" i="152"/>
  <c r="N76" i="123"/>
  <c r="G89" i="203"/>
  <c r="G91" i="203" s="1"/>
  <c r="H222" i="209"/>
  <c r="G75" i="185"/>
  <c r="G76" i="185" s="1"/>
  <c r="H28" i="185"/>
  <c r="E70" i="186"/>
  <c r="H28" i="200"/>
  <c r="G75" i="200"/>
  <c r="G76" i="200" s="1"/>
  <c r="I210" i="209"/>
  <c r="J134" i="209"/>
  <c r="C247" i="150"/>
  <c r="C257" i="150" s="1"/>
  <c r="C258" i="150" s="1"/>
  <c r="C223" i="150"/>
  <c r="E70" i="194"/>
  <c r="G234" i="209"/>
  <c r="G89" i="192"/>
  <c r="G91" i="192" s="1"/>
  <c r="I214" i="209"/>
  <c r="J138" i="209"/>
  <c r="C263" i="148"/>
  <c r="C273" i="148" s="1"/>
  <c r="C274" i="148" s="1"/>
  <c r="C239" i="148"/>
  <c r="C240" i="148" s="1"/>
  <c r="M185" i="152"/>
  <c r="N70" i="123"/>
  <c r="H86" i="189"/>
  <c r="H87" i="189" s="1"/>
  <c r="I29" i="189"/>
  <c r="F92" i="190"/>
  <c r="M190" i="152"/>
  <c r="N75" i="123"/>
  <c r="F92" i="194"/>
  <c r="M186" i="152"/>
  <c r="N71" i="123"/>
  <c r="G237" i="209"/>
  <c r="H86" i="204"/>
  <c r="H87" i="204" s="1"/>
  <c r="I29" i="204"/>
  <c r="C282" i="141"/>
  <c r="C22" i="132" s="1"/>
  <c r="C122" i="141"/>
  <c r="G226" i="209"/>
  <c r="H27" i="193"/>
  <c r="G64" i="193"/>
  <c r="G65" i="193" s="1"/>
  <c r="G64" i="200"/>
  <c r="G65" i="200" s="1"/>
  <c r="H27" i="200"/>
  <c r="M177" i="152"/>
  <c r="N62" i="123"/>
  <c r="F78" i="187"/>
  <c r="F80" i="187" s="1"/>
  <c r="J123" i="209"/>
  <c r="I199" i="209"/>
  <c r="G64" i="204"/>
  <c r="G65" i="204" s="1"/>
  <c r="H27" i="204"/>
  <c r="G64" i="187"/>
  <c r="G65" i="187" s="1"/>
  <c r="H27" i="187"/>
  <c r="G89" i="188"/>
  <c r="G91" i="188" s="1"/>
  <c r="G88" i="188"/>
  <c r="G90" i="188" s="1"/>
  <c r="G89" i="194"/>
  <c r="G91" i="194" s="1"/>
  <c r="G75" i="190"/>
  <c r="G76" i="190" s="1"/>
  <c r="H28" i="190"/>
  <c r="H86" i="195"/>
  <c r="H87" i="195" s="1"/>
  <c r="I29" i="195"/>
  <c r="D27" i="88"/>
  <c r="D36" i="144"/>
  <c r="D369" i="144" s="1"/>
  <c r="C282" i="136"/>
  <c r="C18" i="132" s="1"/>
  <c r="C122" i="136"/>
  <c r="G89" i="198"/>
  <c r="G91" i="198" s="1"/>
  <c r="C247" i="147"/>
  <c r="C257" i="147" s="1"/>
  <c r="C258" i="147" s="1"/>
  <c r="C223" i="147"/>
  <c r="C282" i="145"/>
  <c r="C27" i="132" s="1"/>
  <c r="C122" i="145"/>
  <c r="E94" i="201"/>
  <c r="F67" i="202"/>
  <c r="F69" i="202" s="1"/>
  <c r="F67" i="192"/>
  <c r="F69" i="192" s="1"/>
  <c r="C247" i="138"/>
  <c r="C257" i="138" s="1"/>
  <c r="C258" i="138" s="1"/>
  <c r="C223" i="138"/>
  <c r="H234" i="209"/>
  <c r="G260" i="152"/>
  <c r="R38" i="104"/>
  <c r="R41" i="104"/>
  <c r="R46" i="104"/>
  <c r="M173" i="152"/>
  <c r="N58" i="123"/>
  <c r="C12" i="130"/>
  <c r="C263" i="147"/>
  <c r="C273" i="147" s="1"/>
  <c r="C274" i="147" s="1"/>
  <c r="C239" i="147"/>
  <c r="C240" i="147" s="1"/>
  <c r="H28" i="204"/>
  <c r="G75" i="204"/>
  <c r="G76" i="204" s="1"/>
  <c r="G88" i="190"/>
  <c r="G90" i="190" s="1"/>
  <c r="G89" i="190"/>
  <c r="G91" i="190" s="1"/>
  <c r="F92" i="186"/>
  <c r="H230" i="209"/>
  <c r="E94" i="200"/>
  <c r="J135" i="209"/>
  <c r="I211" i="209"/>
  <c r="C282" i="148"/>
  <c r="C30" i="132" s="1"/>
  <c r="C122" i="148"/>
  <c r="L203" i="152"/>
  <c r="L43" i="169"/>
  <c r="L75" i="169" s="1"/>
  <c r="M56" i="124"/>
  <c r="L43" i="167"/>
  <c r="L75" i="167" s="1"/>
  <c r="L43" i="166"/>
  <c r="L75" i="166" s="1"/>
  <c r="E70" i="200"/>
  <c r="H227" i="209"/>
  <c r="L202" i="152"/>
  <c r="M55" i="124"/>
  <c r="L42" i="167"/>
  <c r="L74" i="167" s="1"/>
  <c r="L42" i="166"/>
  <c r="L74" i="166" s="1"/>
  <c r="L42" i="169"/>
  <c r="L74" i="169" s="1"/>
  <c r="I197" i="209"/>
  <c r="J121" i="209"/>
  <c r="I29" i="193"/>
  <c r="H86" i="193"/>
  <c r="H87" i="193" s="1"/>
  <c r="G89" i="185"/>
  <c r="G91" i="185" s="1"/>
  <c r="G88" i="185"/>
  <c r="G90" i="185" s="1"/>
  <c r="D36" i="146"/>
  <c r="D369" i="146" s="1"/>
  <c r="D29" i="88"/>
  <c r="D36" i="138"/>
  <c r="D369" i="138" s="1"/>
  <c r="D21" i="88"/>
  <c r="D36" i="136"/>
  <c r="D369" i="136" s="1"/>
  <c r="D19" i="88"/>
  <c r="D36" i="151"/>
  <c r="D369" i="151" s="1"/>
  <c r="D34" i="88"/>
  <c r="D30" i="88"/>
  <c r="D36" i="147"/>
  <c r="D369" i="147" s="1"/>
  <c r="F67" i="186"/>
  <c r="F69" i="186" s="1"/>
  <c r="I212" i="209"/>
  <c r="J136" i="209"/>
  <c r="E70" i="202"/>
  <c r="E94" i="202" s="1"/>
  <c r="M194" i="152"/>
  <c r="N79" i="123"/>
  <c r="C263" i="162"/>
  <c r="C273" i="162" s="1"/>
  <c r="C274" i="162" s="1"/>
  <c r="C239" i="162"/>
  <c r="C240" i="162" s="1"/>
  <c r="F67" i="198"/>
  <c r="F69" i="198" s="1"/>
  <c r="G75" i="194"/>
  <c r="G76" i="194" s="1"/>
  <c r="H28" i="194"/>
  <c r="C282" i="142"/>
  <c r="C23" i="132" s="1"/>
  <c r="C122" i="142"/>
  <c r="H266" i="152"/>
  <c r="S41" i="113"/>
  <c r="S46" i="113" s="1"/>
  <c r="S56" i="113" s="1"/>
  <c r="S38" i="113"/>
  <c r="L227" i="152"/>
  <c r="L67" i="169"/>
  <c r="L99" i="169" s="1"/>
  <c r="L110" i="166" s="1"/>
  <c r="L67" i="167"/>
  <c r="L99" i="167" s="1"/>
  <c r="L108" i="166" s="1"/>
  <c r="L67" i="166"/>
  <c r="L99" i="166" s="1"/>
  <c r="L106" i="166" s="1"/>
  <c r="M80" i="124"/>
  <c r="C247" i="139"/>
  <c r="C257" i="139" s="1"/>
  <c r="C258" i="139" s="1"/>
  <c r="C223" i="139"/>
  <c r="F92" i="196"/>
  <c r="H235" i="209"/>
  <c r="H231" i="209"/>
  <c r="M170" i="152"/>
  <c r="N55" i="123"/>
  <c r="F92" i="195"/>
  <c r="G75" i="195"/>
  <c r="G76" i="195" s="1"/>
  <c r="H28" i="195"/>
  <c r="G64" i="194"/>
  <c r="G65" i="194" s="1"/>
  <c r="H27" i="194"/>
  <c r="L217" i="152"/>
  <c r="L57" i="169"/>
  <c r="L89" i="169" s="1"/>
  <c r="L57" i="167"/>
  <c r="L89" i="167" s="1"/>
  <c r="L57" i="166"/>
  <c r="L89" i="166" s="1"/>
  <c r="M70" i="124"/>
  <c r="G89" i="202"/>
  <c r="G91" i="202" s="1"/>
  <c r="E70" i="198"/>
  <c r="E94" i="198" s="1"/>
  <c r="F66" i="199"/>
  <c r="F68" i="199" s="1"/>
  <c r="F67" i="199"/>
  <c r="F69" i="199" s="1"/>
  <c r="F70" i="199" s="1"/>
  <c r="C247" i="137"/>
  <c r="C257" i="137" s="1"/>
  <c r="C258" i="137" s="1"/>
  <c r="C223" i="137"/>
  <c r="H86" i="187"/>
  <c r="H87" i="187" s="1"/>
  <c r="I29" i="187"/>
  <c r="F92" i="204"/>
  <c r="C247" i="135"/>
  <c r="C257" i="135" s="1"/>
  <c r="C258" i="135" s="1"/>
  <c r="C223" i="135"/>
  <c r="G224" i="209"/>
  <c r="C263" i="150"/>
  <c r="C273" i="150" s="1"/>
  <c r="C274" i="150" s="1"/>
  <c r="C239" i="150"/>
  <c r="C240" i="150" s="1"/>
  <c r="H27" i="191"/>
  <c r="G64" i="191"/>
  <c r="G65" i="191" s="1"/>
  <c r="H27" i="195"/>
  <c r="G64" i="195"/>
  <c r="G65" i="195" s="1"/>
  <c r="G75" i="198"/>
  <c r="G76" i="198" s="1"/>
  <c r="H28" i="198"/>
  <c r="E70" i="204"/>
  <c r="E94" i="204" s="1"/>
  <c r="H86" i="201"/>
  <c r="H87" i="201" s="1"/>
  <c r="I29" i="201"/>
  <c r="F77" i="185"/>
  <c r="F79" i="185" s="1"/>
  <c r="F81" i="185" s="1"/>
  <c r="F78" i="185"/>
  <c r="F80" i="185" s="1"/>
  <c r="C263" i="137"/>
  <c r="C273" i="137" s="1"/>
  <c r="C274" i="137" s="1"/>
  <c r="C239" i="137"/>
  <c r="C240" i="137" s="1"/>
  <c r="H228" i="209"/>
  <c r="E69" i="185"/>
  <c r="F67" i="197"/>
  <c r="F69" i="197" s="1"/>
  <c r="F66" i="197"/>
  <c r="F68" i="197" s="1"/>
  <c r="C282" i="134"/>
  <c r="C16" i="132" s="1"/>
  <c r="C122" i="134"/>
  <c r="H232" i="209"/>
  <c r="M178" i="152"/>
  <c r="N63" i="123"/>
  <c r="M175" i="152"/>
  <c r="N60" i="123"/>
  <c r="G89" i="189"/>
  <c r="G91" i="189" s="1"/>
  <c r="G89" i="204"/>
  <c r="G91" i="204" s="1"/>
  <c r="G88" i="204"/>
  <c r="G90" i="204" s="1"/>
  <c r="C247" i="141"/>
  <c r="C257" i="141" s="1"/>
  <c r="C258" i="141" s="1"/>
  <c r="C223" i="141"/>
  <c r="F78" i="191"/>
  <c r="F80" i="191" s="1"/>
  <c r="F77" i="191"/>
  <c r="F79" i="191" s="1"/>
  <c r="F81" i="191" s="1"/>
  <c r="H224" i="209"/>
  <c r="F67" i="193"/>
  <c r="F69" i="193" s="1"/>
  <c r="M195" i="152"/>
  <c r="N80" i="123"/>
  <c r="L225" i="152"/>
  <c r="L65" i="169"/>
  <c r="L97" i="169" s="1"/>
  <c r="L65" i="167"/>
  <c r="L97" i="167" s="1"/>
  <c r="L65" i="166"/>
  <c r="L97" i="166" s="1"/>
  <c r="M78" i="124"/>
  <c r="G75" i="187"/>
  <c r="G76" i="187" s="1"/>
  <c r="H28" i="187"/>
  <c r="H225" i="209"/>
  <c r="F67" i="187"/>
  <c r="F69" i="187" s="1"/>
  <c r="F77" i="192"/>
  <c r="F79" i="192" s="1"/>
  <c r="F81" i="192" s="1"/>
  <c r="F78" i="192"/>
  <c r="F80" i="192" s="1"/>
  <c r="P63" i="104"/>
  <c r="P54" i="104"/>
  <c r="C14" i="127"/>
  <c r="C36" i="140"/>
  <c r="D39" i="88"/>
  <c r="D15" i="140" s="1"/>
  <c r="H28" i="188"/>
  <c r="G75" i="188"/>
  <c r="G76" i="188" s="1"/>
  <c r="M179" i="152"/>
  <c r="N64" i="123"/>
  <c r="H28" i="202"/>
  <c r="G75" i="202"/>
  <c r="G76" i="202" s="1"/>
  <c r="C247" i="143"/>
  <c r="C257" i="143" s="1"/>
  <c r="C258" i="143" s="1"/>
  <c r="C223" i="143"/>
  <c r="C282" i="149"/>
  <c r="C31" i="132" s="1"/>
  <c r="C122" i="149"/>
  <c r="G75" i="196"/>
  <c r="G76" i="196" s="1"/>
  <c r="H28" i="196"/>
  <c r="D36" i="134"/>
  <c r="D369" i="134" s="1"/>
  <c r="D17" i="88"/>
  <c r="D23" i="88"/>
  <c r="D36" i="141"/>
  <c r="D369" i="141" s="1"/>
  <c r="G88" i="200"/>
  <c r="G90" i="200" s="1"/>
  <c r="G89" i="200"/>
  <c r="G91" i="200" s="1"/>
  <c r="G75" i="201"/>
  <c r="G76" i="201" s="1"/>
  <c r="H28" i="201"/>
  <c r="L206" i="152"/>
  <c r="L46" i="169"/>
  <c r="L78" i="169" s="1"/>
  <c r="M59" i="124"/>
  <c r="L46" i="167"/>
  <c r="L78" i="167" s="1"/>
  <c r="L46" i="166"/>
  <c r="L78" i="166" s="1"/>
  <c r="M193" i="152"/>
  <c r="N78" i="123"/>
  <c r="F66" i="201"/>
  <c r="F68" i="201" s="1"/>
  <c r="F67" i="201"/>
  <c r="F69" i="201" s="1"/>
  <c r="L218" i="152"/>
  <c r="L58" i="169"/>
  <c r="L90" i="169" s="1"/>
  <c r="L58" i="167"/>
  <c r="L90" i="167" s="1"/>
  <c r="L58" i="166"/>
  <c r="L90" i="166" s="1"/>
  <c r="M71" i="124"/>
  <c r="G75" i="197"/>
  <c r="G76" i="197" s="1"/>
  <c r="H28" i="197"/>
  <c r="H233" i="209"/>
  <c r="L223" i="152"/>
  <c r="L63" i="169"/>
  <c r="L95" i="169" s="1"/>
  <c r="L63" i="167"/>
  <c r="L95" i="167" s="1"/>
  <c r="L63" i="166"/>
  <c r="L95" i="166" s="1"/>
  <c r="M76" i="124"/>
  <c r="F92" i="200"/>
  <c r="G64" i="202"/>
  <c r="G65" i="202" s="1"/>
  <c r="H27" i="202"/>
  <c r="H27" i="185"/>
  <c r="G64" i="185"/>
  <c r="G65" i="185" s="1"/>
  <c r="F78" i="188"/>
  <c r="F80" i="188" s="1"/>
  <c r="G64" i="203"/>
  <c r="G65" i="203" s="1"/>
  <c r="H27" i="203"/>
  <c r="F92" i="192"/>
  <c r="H261" i="152"/>
  <c r="K75" i="104"/>
  <c r="K76" i="104" s="1"/>
  <c r="P204" i="95" s="1"/>
  <c r="T34" i="104"/>
  <c r="S37" i="104"/>
  <c r="AJ213" i="95"/>
  <c r="F78" i="204"/>
  <c r="F80" i="204" s="1"/>
  <c r="M192" i="152"/>
  <c r="N77" i="123"/>
  <c r="E77" i="194"/>
  <c r="E79" i="194" s="1"/>
  <c r="E81" i="194" s="1"/>
  <c r="I29" i="194"/>
  <c r="H86" i="194"/>
  <c r="H87" i="194" s="1"/>
  <c r="C282" i="143"/>
  <c r="C25" i="132" s="1"/>
  <c r="C122" i="143"/>
  <c r="F77" i="190"/>
  <c r="F79" i="190" s="1"/>
  <c r="F81" i="190" s="1"/>
  <c r="F78" i="190"/>
  <c r="F80" i="190" s="1"/>
  <c r="H237" i="209"/>
  <c r="C247" i="148"/>
  <c r="C257" i="148" s="1"/>
  <c r="C258" i="148" s="1"/>
  <c r="C223" i="148"/>
  <c r="I200" i="209"/>
  <c r="J124" i="209"/>
  <c r="G235" i="209"/>
  <c r="F78" i="196"/>
  <c r="F80" i="196" s="1"/>
  <c r="E77" i="197"/>
  <c r="E79" i="197" s="1"/>
  <c r="E81" i="197" s="1"/>
  <c r="H223" i="209"/>
  <c r="G89" i="193"/>
  <c r="G91" i="193" s="1"/>
  <c r="E66" i="187"/>
  <c r="E68" i="187" s="1"/>
  <c r="E70" i="187" s="1"/>
  <c r="E94" i="187" s="1"/>
  <c r="D36" i="148"/>
  <c r="D369" i="148" s="1"/>
  <c r="D31" i="88"/>
  <c r="D36" i="139"/>
  <c r="D369" i="139" s="1"/>
  <c r="D22" i="88"/>
  <c r="D36" i="143"/>
  <c r="D369" i="143" s="1"/>
  <c r="D26" i="88"/>
  <c r="D36" i="135"/>
  <c r="D369" i="135" s="1"/>
  <c r="D18" i="88"/>
  <c r="D20" i="88"/>
  <c r="D36" i="137"/>
  <c r="D369" i="137" s="1"/>
  <c r="H27" i="186"/>
  <c r="G64" i="186"/>
  <c r="G65" i="186" s="1"/>
  <c r="H238" i="209"/>
  <c r="H86" i="200"/>
  <c r="H87" i="200" s="1"/>
  <c r="I29" i="200"/>
  <c r="J119" i="209"/>
  <c r="I195" i="209"/>
  <c r="G233" i="209"/>
  <c r="E70" i="192"/>
  <c r="E94" i="192" s="1"/>
  <c r="L207" i="152"/>
  <c r="L47" i="169"/>
  <c r="L79" i="169" s="1"/>
  <c r="M60" i="124"/>
  <c r="L47" i="167"/>
  <c r="L79" i="167" s="1"/>
  <c r="L47" i="166"/>
  <c r="L79" i="166" s="1"/>
  <c r="I29" i="198"/>
  <c r="H86" i="198"/>
  <c r="H87" i="198" s="1"/>
  <c r="F88" i="202"/>
  <c r="F90" i="202" s="1"/>
  <c r="F92" i="202" s="1"/>
  <c r="H86" i="186"/>
  <c r="H87" i="186" s="1"/>
  <c r="I29" i="186"/>
  <c r="E70" i="199"/>
  <c r="E94" i="199" s="1"/>
  <c r="C247" i="142"/>
  <c r="C257" i="142" s="1"/>
  <c r="C258" i="142" s="1"/>
  <c r="C223" i="142"/>
  <c r="F88" i="187"/>
  <c r="F90" i="187" s="1"/>
  <c r="F92" i="187" s="1"/>
  <c r="L221" i="152"/>
  <c r="L61" i="169"/>
  <c r="L93" i="169" s="1"/>
  <c r="L61" i="167"/>
  <c r="L93" i="167" s="1"/>
  <c r="L61" i="166"/>
  <c r="L93" i="166" s="1"/>
  <c r="M74" i="124"/>
  <c r="C282" i="147"/>
  <c r="C29" i="132" s="1"/>
  <c r="C122" i="147"/>
  <c r="G64" i="189"/>
  <c r="G65" i="189" s="1"/>
  <c r="H27" i="189"/>
  <c r="H27" i="201"/>
  <c r="G64" i="201"/>
  <c r="G65" i="201" s="1"/>
  <c r="H28" i="203"/>
  <c r="G75" i="203"/>
  <c r="G76" i="203" s="1"/>
  <c r="M172" i="152"/>
  <c r="N57" i="123"/>
  <c r="E66" i="191"/>
  <c r="E68" i="191" s="1"/>
  <c r="E70" i="191" s="1"/>
  <c r="E94" i="191" s="1"/>
  <c r="E66" i="195"/>
  <c r="E68" i="195" s="1"/>
  <c r="E70" i="195" s="1"/>
  <c r="E94" i="195" s="1"/>
  <c r="F78" i="197"/>
  <c r="F80" i="197" s="1"/>
  <c r="F88" i="193"/>
  <c r="F90" i="193" s="1"/>
  <c r="F92" i="193" s="1"/>
  <c r="G229" i="209"/>
  <c r="L212" i="152"/>
  <c r="L52" i="169"/>
  <c r="L84" i="169" s="1"/>
  <c r="L109" i="166" s="1"/>
  <c r="L52" i="167"/>
  <c r="L84" i="167" s="1"/>
  <c r="L107" i="166" s="1"/>
  <c r="L52" i="166"/>
  <c r="L84" i="166" s="1"/>
  <c r="L105" i="166" s="1"/>
  <c r="M65" i="124"/>
  <c r="F88" i="203"/>
  <c r="F90" i="203" s="1"/>
  <c r="F92" i="203" s="1"/>
  <c r="C263" i="143"/>
  <c r="C273" i="143" s="1"/>
  <c r="C274" i="143" s="1"/>
  <c r="C239" i="143"/>
  <c r="C240" i="143" s="1"/>
  <c r="L219" i="152"/>
  <c r="L59" i="169"/>
  <c r="L91" i="169" s="1"/>
  <c r="L59" i="167"/>
  <c r="L91" i="167" s="1"/>
  <c r="L59" i="166"/>
  <c r="L91" i="166" s="1"/>
  <c r="M72" i="124"/>
  <c r="G236" i="209"/>
  <c r="J131" i="209"/>
  <c r="I207" i="209"/>
  <c r="F88" i="197"/>
  <c r="F90" i="197" s="1"/>
  <c r="F92" i="197" s="1"/>
  <c r="E66" i="197"/>
  <c r="E68" i="197" s="1"/>
  <c r="E70" i="197" s="1"/>
  <c r="F66" i="194"/>
  <c r="F68" i="194" s="1"/>
  <c r="F67" i="194"/>
  <c r="F69" i="194" s="1"/>
  <c r="C263" i="151"/>
  <c r="C273" i="151" s="1"/>
  <c r="C274" i="151" s="1"/>
  <c r="C239" i="151"/>
  <c r="C240" i="151" s="1"/>
  <c r="C239" i="86"/>
  <c r="C240" i="86" s="1"/>
  <c r="C263" i="86"/>
  <c r="C273" i="86" s="1"/>
  <c r="C274" i="86" s="1"/>
  <c r="L204" i="152"/>
  <c r="L44" i="169"/>
  <c r="L76" i="169" s="1"/>
  <c r="L44" i="167"/>
  <c r="L76" i="167" s="1"/>
  <c r="L44" i="166"/>
  <c r="L76" i="166" s="1"/>
  <c r="M57" i="124"/>
  <c r="E77" i="193"/>
  <c r="E79" i="193" s="1"/>
  <c r="E81" i="193" s="1"/>
  <c r="E94" i="193" s="1"/>
  <c r="F92" i="189"/>
  <c r="H86" i="202"/>
  <c r="H87" i="202" s="1"/>
  <c r="I29" i="202"/>
  <c r="F92" i="199"/>
  <c r="C282" i="144"/>
  <c r="C26" i="132" s="1"/>
  <c r="C122" i="144"/>
  <c r="G89" i="187"/>
  <c r="G91" i="187" s="1"/>
  <c r="F67" i="188"/>
  <c r="F69" i="188" s="1"/>
  <c r="F66" i="188"/>
  <c r="F68" i="188" s="1"/>
  <c r="L208" i="152"/>
  <c r="L48" i="169"/>
  <c r="L80" i="169" s="1"/>
  <c r="L48" i="167"/>
  <c r="L80" i="167" s="1"/>
  <c r="L48" i="166"/>
  <c r="L80" i="166" s="1"/>
  <c r="M61" i="124"/>
  <c r="G64" i="190"/>
  <c r="G65" i="190" s="1"/>
  <c r="H27" i="190"/>
  <c r="C282" i="162"/>
  <c r="C24" i="132" s="1"/>
  <c r="C122" i="162"/>
  <c r="E66" i="189"/>
  <c r="E68" i="189" s="1"/>
  <c r="H86" i="196"/>
  <c r="H87" i="196" s="1"/>
  <c r="I29" i="196"/>
  <c r="F77" i="189"/>
  <c r="F79" i="189" s="1"/>
  <c r="F81" i="189" s="1"/>
  <c r="F78" i="189"/>
  <c r="F80" i="189" s="1"/>
  <c r="M180" i="152"/>
  <c r="N65" i="123"/>
  <c r="G225" i="209"/>
  <c r="F88" i="188"/>
  <c r="F90" i="188" s="1"/>
  <c r="C263" i="142"/>
  <c r="C273" i="142" s="1"/>
  <c r="C274" i="142" s="1"/>
  <c r="C239" i="142"/>
  <c r="C240" i="142" s="1"/>
  <c r="G89" i="201"/>
  <c r="G91" i="201" s="1"/>
  <c r="M189" i="152"/>
  <c r="N74" i="123"/>
  <c r="G238" i="209"/>
  <c r="I202" i="209"/>
  <c r="J126" i="209"/>
  <c r="M174" i="152"/>
  <c r="N59" i="123"/>
  <c r="E66" i="185"/>
  <c r="E77" i="188"/>
  <c r="E79" i="188" s="1"/>
  <c r="E81" i="188" s="1"/>
  <c r="E94" i="188" s="1"/>
  <c r="H27" i="197"/>
  <c r="G64" i="197"/>
  <c r="G65" i="197" s="1"/>
  <c r="C247" i="134"/>
  <c r="C257" i="134" s="1"/>
  <c r="C258" i="134" s="1"/>
  <c r="C223" i="134"/>
  <c r="E70" i="203"/>
  <c r="E94" i="203" s="1"/>
  <c r="I206" i="209"/>
  <c r="J130" i="209"/>
  <c r="L209" i="152"/>
  <c r="L49" i="169"/>
  <c r="L81" i="169" s="1"/>
  <c r="M62" i="124"/>
  <c r="L49" i="167"/>
  <c r="L81" i="167" s="1"/>
  <c r="L49" i="166"/>
  <c r="L81" i="166" s="1"/>
  <c r="C263" i="149"/>
  <c r="C273" i="149" s="1"/>
  <c r="C274" i="149" s="1"/>
  <c r="C239" i="149"/>
  <c r="C240" i="149" s="1"/>
  <c r="F78" i="193"/>
  <c r="F80" i="193" s="1"/>
  <c r="H86" i="199"/>
  <c r="H87" i="199" s="1"/>
  <c r="I29" i="199"/>
  <c r="G230" i="209"/>
  <c r="C282" i="146"/>
  <c r="C28" i="132" s="1"/>
  <c r="C122" i="146"/>
  <c r="H86" i="191"/>
  <c r="H87" i="191" s="1"/>
  <c r="I29" i="191"/>
  <c r="E66" i="190"/>
  <c r="E68" i="190" s="1"/>
  <c r="C282" i="151"/>
  <c r="C33" i="132" s="1"/>
  <c r="C122" i="151"/>
  <c r="C247" i="86"/>
  <c r="C257" i="86" s="1"/>
  <c r="C258" i="86" s="1"/>
  <c r="C223" i="86"/>
  <c r="H28" i="191"/>
  <c r="G75" i="191"/>
  <c r="G76" i="191" s="1"/>
  <c r="I198" i="209"/>
  <c r="J122" i="209"/>
  <c r="C263" i="138"/>
  <c r="C273" i="138" s="1"/>
  <c r="C274" i="138" s="1"/>
  <c r="C239" i="138"/>
  <c r="C240" i="138" s="1"/>
  <c r="E77" i="189"/>
  <c r="E79" i="189" s="1"/>
  <c r="E81" i="189" s="1"/>
  <c r="E94" i="189" s="1"/>
  <c r="G64" i="196"/>
  <c r="G65" i="196" s="1"/>
  <c r="H27" i="196"/>
  <c r="G223" i="209"/>
  <c r="G241" i="209" s="1"/>
  <c r="G242" i="209" s="1"/>
  <c r="F88" i="185"/>
  <c r="F90" i="185" s="1"/>
  <c r="F92" i="185" s="1"/>
  <c r="G75" i="192"/>
  <c r="G76" i="192" s="1"/>
  <c r="H28" i="192"/>
  <c r="F92" i="198"/>
  <c r="F78" i="186"/>
  <c r="F80" i="186" s="1"/>
  <c r="C247" i="144"/>
  <c r="C257" i="144" s="1"/>
  <c r="C258" i="144" s="1"/>
  <c r="C223" i="144"/>
  <c r="E94" i="194"/>
  <c r="H27" i="188"/>
  <c r="G64" i="188"/>
  <c r="G65" i="188" s="1"/>
  <c r="F66" i="190"/>
  <c r="F68" i="190" s="1"/>
  <c r="F67" i="190"/>
  <c r="F69" i="190" s="1"/>
  <c r="C247" i="162"/>
  <c r="C257" i="162" s="1"/>
  <c r="C258" i="162" s="1"/>
  <c r="C223" i="162"/>
  <c r="E70" i="189"/>
  <c r="G89" i="196"/>
  <c r="G91" i="196" s="1"/>
  <c r="M171" i="152"/>
  <c r="N56" i="123"/>
  <c r="E70" i="193"/>
  <c r="E94" i="186"/>
  <c r="C263" i="134"/>
  <c r="C273" i="134" s="1"/>
  <c r="C274" i="134" s="1"/>
  <c r="C239" i="134"/>
  <c r="C240" i="134" s="1"/>
  <c r="G75" i="189"/>
  <c r="G76" i="189" s="1"/>
  <c r="H28" i="189"/>
  <c r="E94" i="196"/>
  <c r="J127" i="209"/>
  <c r="I203" i="209"/>
  <c r="F92" i="188"/>
  <c r="H86" i="203"/>
  <c r="H87" i="203" s="1"/>
  <c r="I29" i="203"/>
  <c r="I196" i="209"/>
  <c r="J120" i="209"/>
  <c r="L222" i="152"/>
  <c r="L62" i="167"/>
  <c r="L94" i="167" s="1"/>
  <c r="L62" i="166"/>
  <c r="L94" i="166" s="1"/>
  <c r="M75" i="124"/>
  <c r="L62" i="169"/>
  <c r="L94" i="169" s="1"/>
  <c r="C263" i="144"/>
  <c r="C273" i="144" s="1"/>
  <c r="C274" i="144" s="1"/>
  <c r="C239" i="144"/>
  <c r="C240" i="144" s="1"/>
  <c r="F78" i="200"/>
  <c r="F80" i="200" s="1"/>
  <c r="F77" i="200"/>
  <c r="F79" i="200" s="1"/>
  <c r="F81" i="200" s="1"/>
  <c r="H236" i="209"/>
  <c r="M176" i="152"/>
  <c r="N61" i="123"/>
  <c r="C282" i="150"/>
  <c r="C32" i="132" s="1"/>
  <c r="C122" i="150"/>
  <c r="H86" i="192"/>
  <c r="H87" i="192" s="1"/>
  <c r="I29" i="192"/>
  <c r="H240" i="209"/>
  <c r="G75" i="193"/>
  <c r="G76" i="193" s="1"/>
  <c r="H28" i="193"/>
  <c r="L220" i="152"/>
  <c r="L60" i="169"/>
  <c r="L92" i="169" s="1"/>
  <c r="L60" i="167"/>
  <c r="L92" i="167" s="1"/>
  <c r="L60" i="166"/>
  <c r="L92" i="166" s="1"/>
  <c r="M73" i="124"/>
  <c r="G89" i="199"/>
  <c r="G91" i="199" s="1"/>
  <c r="C247" i="146"/>
  <c r="C257" i="146" s="1"/>
  <c r="C258" i="146" s="1"/>
  <c r="C223" i="146"/>
  <c r="G89" i="191"/>
  <c r="G91" i="191" s="1"/>
  <c r="E70" i="190"/>
  <c r="E94" i="190" s="1"/>
  <c r="C247" i="151"/>
  <c r="C257" i="151" s="1"/>
  <c r="C258" i="151" s="1"/>
  <c r="C223" i="151"/>
  <c r="C282" i="86"/>
  <c r="C122" i="86"/>
  <c r="F67" i="200"/>
  <c r="F69" i="200" s="1"/>
  <c r="F66" i="200"/>
  <c r="F68" i="200" s="1"/>
  <c r="F66" i="196"/>
  <c r="F68" i="196" s="1"/>
  <c r="F67" i="196"/>
  <c r="F69" i="196" s="1"/>
  <c r="F67" i="204"/>
  <c r="F69" i="204" s="1"/>
  <c r="F66" i="204"/>
  <c r="F68" i="204" s="1"/>
  <c r="H86" i="188"/>
  <c r="H87" i="188" s="1"/>
  <c r="I29" i="188"/>
  <c r="C16" i="88"/>
  <c r="C639" i="92"/>
  <c r="C640" i="92" s="1"/>
  <c r="C36" i="86"/>
  <c r="D295" i="108"/>
  <c r="F295" i="108" s="1"/>
  <c r="L295" i="108" s="1"/>
  <c r="C40" i="128" s="1"/>
  <c r="R15" i="92" l="1"/>
  <c r="S57" i="113"/>
  <c r="F94" i="197"/>
  <c r="E94" i="197"/>
  <c r="H89" i="188"/>
  <c r="H91" i="188" s="1"/>
  <c r="C15" i="132"/>
  <c r="C34" i="132" s="1"/>
  <c r="I90" i="217" s="1"/>
  <c r="I272" i="217" s="1"/>
  <c r="I624" i="217" s="1"/>
  <c r="G88" i="191"/>
  <c r="G90" i="191" s="1"/>
  <c r="G88" i="199"/>
  <c r="G90" i="199" s="1"/>
  <c r="G92" i="199" s="1"/>
  <c r="G78" i="193"/>
  <c r="G80" i="193" s="1"/>
  <c r="I86" i="203"/>
  <c r="I87" i="203" s="1"/>
  <c r="J29" i="203"/>
  <c r="J203" i="209"/>
  <c r="K127" i="209"/>
  <c r="N171" i="152"/>
  <c r="O56" i="123"/>
  <c r="C279" i="144"/>
  <c r="C224" i="144"/>
  <c r="G78" i="191"/>
  <c r="G80" i="191" s="1"/>
  <c r="H88" i="191"/>
  <c r="H90" i="191" s="1"/>
  <c r="H89" i="191"/>
  <c r="H91" i="191" s="1"/>
  <c r="I86" i="199"/>
  <c r="I87" i="199" s="1"/>
  <c r="J29" i="199"/>
  <c r="M209" i="152"/>
  <c r="M49" i="169"/>
  <c r="M81" i="169" s="1"/>
  <c r="M49" i="167"/>
  <c r="M81" i="167" s="1"/>
  <c r="M49" i="166"/>
  <c r="M81" i="166" s="1"/>
  <c r="N62" i="124"/>
  <c r="G67" i="197"/>
  <c r="G69" i="197" s="1"/>
  <c r="N174" i="152"/>
  <c r="O59" i="123"/>
  <c r="G66" i="190"/>
  <c r="G68" i="190" s="1"/>
  <c r="G67" i="190"/>
  <c r="G69" i="190" s="1"/>
  <c r="J207" i="209"/>
  <c r="K131" i="209"/>
  <c r="H75" i="203"/>
  <c r="H76" i="203" s="1"/>
  <c r="I28" i="203"/>
  <c r="G66" i="189"/>
  <c r="G68" i="189" s="1"/>
  <c r="G67" i="189"/>
  <c r="G69" i="189" s="1"/>
  <c r="I86" i="186"/>
  <c r="I87" i="186" s="1"/>
  <c r="J29" i="186"/>
  <c r="I86" i="198"/>
  <c r="I87" i="198" s="1"/>
  <c r="J29" i="198"/>
  <c r="I216" i="209"/>
  <c r="I221" i="209"/>
  <c r="I215" i="209"/>
  <c r="I232" i="209" s="1"/>
  <c r="D19" i="127"/>
  <c r="D27" i="287" s="1"/>
  <c r="I27" i="287" s="1"/>
  <c r="E44" i="88"/>
  <c r="E15" i="137" s="1"/>
  <c r="I261" i="152"/>
  <c r="L75" i="104"/>
  <c r="L76" i="104" s="1"/>
  <c r="Q204" i="95" s="1"/>
  <c r="U34" i="104"/>
  <c r="T37" i="104"/>
  <c r="AK213" i="95"/>
  <c r="I27" i="203"/>
  <c r="H64" i="203"/>
  <c r="H65" i="203" s="1"/>
  <c r="G67" i="185"/>
  <c r="G66" i="185"/>
  <c r="I28" i="197"/>
  <c r="H75" i="197"/>
  <c r="H76" i="197" s="1"/>
  <c r="H75" i="202"/>
  <c r="H76" i="202" s="1"/>
  <c r="I28" i="202"/>
  <c r="I28" i="188"/>
  <c r="H75" i="188"/>
  <c r="H76" i="188" s="1"/>
  <c r="I26" i="217"/>
  <c r="I119" i="217" s="1"/>
  <c r="C22" i="287"/>
  <c r="H22" i="287" s="1"/>
  <c r="N195" i="152"/>
  <c r="O80" i="123"/>
  <c r="H64" i="195"/>
  <c r="H65" i="195" s="1"/>
  <c r="I27" i="195"/>
  <c r="C279" i="137"/>
  <c r="C224" i="137"/>
  <c r="H64" i="194"/>
  <c r="H65" i="194" s="1"/>
  <c r="I27" i="194"/>
  <c r="G78" i="195"/>
  <c r="G80" i="195" s="1"/>
  <c r="F66" i="186"/>
  <c r="F68" i="186" s="1"/>
  <c r="E58" i="88"/>
  <c r="E15" i="151" s="1"/>
  <c r="D33" i="127"/>
  <c r="D41" i="287" s="1"/>
  <c r="I41" i="287" s="1"/>
  <c r="D20" i="127"/>
  <c r="D28" i="287" s="1"/>
  <c r="I28" i="287" s="1"/>
  <c r="E45" i="88"/>
  <c r="E15" i="138" s="1"/>
  <c r="I86" i="193"/>
  <c r="I87" i="193" s="1"/>
  <c r="J29" i="193"/>
  <c r="N173" i="152"/>
  <c r="O58" i="123"/>
  <c r="C279" i="147"/>
  <c r="C224" i="147"/>
  <c r="I86" i="195"/>
  <c r="I87" i="195" s="1"/>
  <c r="J29" i="195"/>
  <c r="G77" i="190"/>
  <c r="G79" i="190" s="1"/>
  <c r="G81" i="190" s="1"/>
  <c r="G78" i="190"/>
  <c r="G80" i="190" s="1"/>
  <c r="H64" i="204"/>
  <c r="H65" i="204" s="1"/>
  <c r="I27" i="204"/>
  <c r="H64" i="200"/>
  <c r="H65" i="200" s="1"/>
  <c r="I27" i="200"/>
  <c r="I86" i="204"/>
  <c r="I87" i="204" s="1"/>
  <c r="J29" i="204"/>
  <c r="I240" i="209"/>
  <c r="I28" i="185"/>
  <c r="H75" i="185"/>
  <c r="H76" i="185" s="1"/>
  <c r="G78" i="186"/>
  <c r="G80" i="186" s="1"/>
  <c r="E22" i="88"/>
  <c r="E36" i="139"/>
  <c r="E369" i="139" s="1"/>
  <c r="E28" i="88"/>
  <c r="E36" i="145"/>
  <c r="E369" i="145" s="1"/>
  <c r="E36" i="135"/>
  <c r="E369" i="135" s="1"/>
  <c r="E18" i="88"/>
  <c r="E36" i="151"/>
  <c r="E369" i="151" s="1"/>
  <c r="E34" i="88"/>
  <c r="I270" i="217"/>
  <c r="I92" i="217"/>
  <c r="J209" i="209"/>
  <c r="K133" i="209"/>
  <c r="D23" i="127"/>
  <c r="D31" i="287" s="1"/>
  <c r="I31" i="287" s="1"/>
  <c r="E48" i="88"/>
  <c r="E15" i="142" s="1"/>
  <c r="I86" i="185"/>
  <c r="I87" i="185" s="1"/>
  <c r="J29" i="185"/>
  <c r="Q63" i="104"/>
  <c r="Q54" i="104"/>
  <c r="G78" i="199"/>
  <c r="G80" i="199" s="1"/>
  <c r="F68" i="185"/>
  <c r="C224" i="151"/>
  <c r="C279" i="151"/>
  <c r="G92" i="191"/>
  <c r="H89" i="203"/>
  <c r="H91" i="203" s="1"/>
  <c r="C279" i="162"/>
  <c r="C224" i="162"/>
  <c r="G67" i="188"/>
  <c r="G69" i="188" s="1"/>
  <c r="I28" i="192"/>
  <c r="H75" i="192"/>
  <c r="H76" i="192" s="1"/>
  <c r="I27" i="196"/>
  <c r="H64" i="196"/>
  <c r="H65" i="196" s="1"/>
  <c r="I28" i="191"/>
  <c r="H75" i="191"/>
  <c r="H76" i="191" s="1"/>
  <c r="H89" i="199"/>
  <c r="H91" i="199" s="1"/>
  <c r="H64" i="197"/>
  <c r="H65" i="197" s="1"/>
  <c r="I27" i="197"/>
  <c r="N189" i="152"/>
  <c r="O74" i="123"/>
  <c r="N180" i="152"/>
  <c r="O65" i="123"/>
  <c r="M208" i="152"/>
  <c r="M48" i="169"/>
  <c r="M80" i="169" s="1"/>
  <c r="N61" i="124"/>
  <c r="M48" i="167"/>
  <c r="M80" i="167" s="1"/>
  <c r="M48" i="166"/>
  <c r="M80" i="166" s="1"/>
  <c r="G88" i="187"/>
  <c r="G90" i="187" s="1"/>
  <c r="G92" i="187" s="1"/>
  <c r="I86" i="202"/>
  <c r="I87" i="202" s="1"/>
  <c r="J29" i="202"/>
  <c r="M204" i="152"/>
  <c r="M44" i="169"/>
  <c r="M76" i="169" s="1"/>
  <c r="N57" i="124"/>
  <c r="M44" i="167"/>
  <c r="M76" i="167" s="1"/>
  <c r="M44" i="166"/>
  <c r="M76" i="166" s="1"/>
  <c r="N172" i="152"/>
  <c r="O57" i="123"/>
  <c r="G67" i="201"/>
  <c r="G69" i="201" s="1"/>
  <c r="C279" i="142"/>
  <c r="C224" i="142"/>
  <c r="H88" i="186"/>
  <c r="H90" i="186" s="1"/>
  <c r="H89" i="186"/>
  <c r="H91" i="186" s="1"/>
  <c r="J195" i="209"/>
  <c r="K119" i="209"/>
  <c r="G67" i="186"/>
  <c r="G69" i="186" s="1"/>
  <c r="D17" i="127"/>
  <c r="D25" i="287" s="1"/>
  <c r="I25" i="287" s="1"/>
  <c r="E42" i="88"/>
  <c r="E15" i="135" s="1"/>
  <c r="D21" i="127"/>
  <c r="D29" i="287" s="1"/>
  <c r="I29" i="287" s="1"/>
  <c r="E46" i="88"/>
  <c r="E15" i="139" s="1"/>
  <c r="K124" i="209"/>
  <c r="J200" i="209"/>
  <c r="N192" i="152"/>
  <c r="O77" i="123"/>
  <c r="G67" i="203"/>
  <c r="G69" i="203" s="1"/>
  <c r="G66" i="203"/>
  <c r="G68" i="203" s="1"/>
  <c r="I27" i="185"/>
  <c r="H64" i="185"/>
  <c r="H65" i="185" s="1"/>
  <c r="M223" i="152"/>
  <c r="M63" i="169"/>
  <c r="M95" i="169" s="1"/>
  <c r="M63" i="167"/>
  <c r="M95" i="167" s="1"/>
  <c r="M63" i="166"/>
  <c r="M95" i="166" s="1"/>
  <c r="N76" i="124"/>
  <c r="G78" i="197"/>
  <c r="G80" i="197" s="1"/>
  <c r="N193" i="152"/>
  <c r="O78" i="123"/>
  <c r="H75" i="201"/>
  <c r="H76" i="201" s="1"/>
  <c r="I28" i="201"/>
  <c r="H75" i="196"/>
  <c r="H76" i="196" s="1"/>
  <c r="I28" i="196"/>
  <c r="C279" i="143"/>
  <c r="C224" i="143"/>
  <c r="N179" i="152"/>
  <c r="O64" i="123"/>
  <c r="I28" i="187"/>
  <c r="H75" i="187"/>
  <c r="H76" i="187" s="1"/>
  <c r="N175" i="152"/>
  <c r="O60" i="123"/>
  <c r="F70" i="197"/>
  <c r="I28" i="198"/>
  <c r="H75" i="198"/>
  <c r="H76" i="198" s="1"/>
  <c r="G67" i="191"/>
  <c r="G69" i="191" s="1"/>
  <c r="G66" i="194"/>
  <c r="G68" i="194" s="1"/>
  <c r="G67" i="194"/>
  <c r="G69" i="194" s="1"/>
  <c r="M227" i="152"/>
  <c r="M67" i="169"/>
  <c r="M99" i="169" s="1"/>
  <c r="M110" i="166" s="1"/>
  <c r="M67" i="167"/>
  <c r="M99" i="167" s="1"/>
  <c r="M108" i="166" s="1"/>
  <c r="M67" i="166"/>
  <c r="M99" i="166" s="1"/>
  <c r="M106" i="166" s="1"/>
  <c r="N80" i="124"/>
  <c r="I28" i="194"/>
  <c r="H75" i="194"/>
  <c r="H76" i="194" s="1"/>
  <c r="F70" i="186"/>
  <c r="J197" i="209"/>
  <c r="K121" i="209"/>
  <c r="M203" i="152"/>
  <c r="N56" i="124"/>
  <c r="M43" i="169"/>
  <c r="M75" i="169" s="1"/>
  <c r="M43" i="167"/>
  <c r="M75" i="167" s="1"/>
  <c r="M43" i="166"/>
  <c r="M75" i="166" s="1"/>
  <c r="H89" i="195"/>
  <c r="H91" i="195" s="1"/>
  <c r="G92" i="194"/>
  <c r="G92" i="188"/>
  <c r="G66" i="204"/>
  <c r="G68" i="204" s="1"/>
  <c r="G67" i="204"/>
  <c r="G69" i="204" s="1"/>
  <c r="F77" i="187"/>
  <c r="F79" i="187" s="1"/>
  <c r="F81" i="187" s="1"/>
  <c r="G66" i="200"/>
  <c r="G68" i="200" s="1"/>
  <c r="G67" i="200"/>
  <c r="G69" i="200" s="1"/>
  <c r="H89" i="204"/>
  <c r="H91" i="204" s="1"/>
  <c r="I86" i="189"/>
  <c r="I87" i="189" s="1"/>
  <c r="J29" i="189"/>
  <c r="G92" i="192"/>
  <c r="C279" i="150"/>
  <c r="C224" i="150"/>
  <c r="G78" i="200"/>
  <c r="G80" i="200" s="1"/>
  <c r="G78" i="185"/>
  <c r="G80" i="185" s="1"/>
  <c r="N191" i="152"/>
  <c r="O76" i="123"/>
  <c r="G67" i="199"/>
  <c r="G69" i="199" s="1"/>
  <c r="I28" i="186"/>
  <c r="H75" i="186"/>
  <c r="H76" i="186" s="1"/>
  <c r="E36" i="137"/>
  <c r="E369" i="137" s="1"/>
  <c r="E20" i="88"/>
  <c r="E27" i="88"/>
  <c r="E36" i="144"/>
  <c r="E369" i="144" s="1"/>
  <c r="E36" i="150"/>
  <c r="E369" i="150" s="1"/>
  <c r="E33" i="88"/>
  <c r="E36" i="149"/>
  <c r="E369" i="149" s="1"/>
  <c r="E32" i="88"/>
  <c r="E36" i="141"/>
  <c r="E369" i="141" s="1"/>
  <c r="E23" i="88"/>
  <c r="F77" i="195"/>
  <c r="F79" i="195" s="1"/>
  <c r="F81" i="195" s="1"/>
  <c r="N187" i="152"/>
  <c r="O72" i="123"/>
  <c r="M226" i="152"/>
  <c r="M66" i="169"/>
  <c r="M98" i="169" s="1"/>
  <c r="M66" i="167"/>
  <c r="M98" i="167" s="1"/>
  <c r="M66" i="166"/>
  <c r="M98" i="166" s="1"/>
  <c r="N79" i="124"/>
  <c r="I235" i="209"/>
  <c r="J267" i="152"/>
  <c r="V34" i="113"/>
  <c r="M68" i="113"/>
  <c r="M69" i="113" s="1"/>
  <c r="R205" i="95" s="1"/>
  <c r="U37" i="113"/>
  <c r="AL215" i="95"/>
  <c r="I27" i="198"/>
  <c r="H64" i="198"/>
  <c r="H65" i="198" s="1"/>
  <c r="C279" i="136"/>
  <c r="C224" i="136"/>
  <c r="E49" i="88"/>
  <c r="E15" i="162" s="1"/>
  <c r="D24" i="127"/>
  <c r="D32" i="287" s="1"/>
  <c r="I32" i="287" s="1"/>
  <c r="H89" i="185"/>
  <c r="H91" i="185" s="1"/>
  <c r="J201" i="209"/>
  <c r="K125" i="209"/>
  <c r="I86" i="190"/>
  <c r="I87" i="190" s="1"/>
  <c r="J29" i="190"/>
  <c r="K132" i="209"/>
  <c r="J208" i="209"/>
  <c r="I27" i="192"/>
  <c r="H64" i="192"/>
  <c r="H65" i="192" s="1"/>
  <c r="I239" i="209"/>
  <c r="F70" i="204"/>
  <c r="F70" i="200"/>
  <c r="F94" i="200" s="1"/>
  <c r="C279" i="146"/>
  <c r="C224" i="146"/>
  <c r="M220" i="152"/>
  <c r="M60" i="169"/>
  <c r="M92" i="169" s="1"/>
  <c r="M60" i="167"/>
  <c r="M92" i="167" s="1"/>
  <c r="M60" i="166"/>
  <c r="M92" i="166" s="1"/>
  <c r="N73" i="124"/>
  <c r="I86" i="192"/>
  <c r="I87" i="192" s="1"/>
  <c r="J29" i="192"/>
  <c r="N176" i="152"/>
  <c r="O61" i="123"/>
  <c r="M222" i="152"/>
  <c r="M62" i="169"/>
  <c r="M94" i="169" s="1"/>
  <c r="M62" i="167"/>
  <c r="M94" i="167" s="1"/>
  <c r="M62" i="166"/>
  <c r="M94" i="166" s="1"/>
  <c r="N75" i="124"/>
  <c r="K120" i="209"/>
  <c r="J196" i="209"/>
  <c r="I28" i="189"/>
  <c r="H75" i="189"/>
  <c r="H76" i="189" s="1"/>
  <c r="G92" i="196"/>
  <c r="H64" i="188"/>
  <c r="H65" i="188" s="1"/>
  <c r="I27" i="188"/>
  <c r="F77" i="186"/>
  <c r="F79" i="186" s="1"/>
  <c r="F81" i="186" s="1"/>
  <c r="G77" i="192"/>
  <c r="G79" i="192" s="1"/>
  <c r="G81" i="192" s="1"/>
  <c r="G78" i="192"/>
  <c r="G80" i="192" s="1"/>
  <c r="G67" i="196"/>
  <c r="G69" i="196" s="1"/>
  <c r="J198" i="209"/>
  <c r="K122" i="209"/>
  <c r="C224" i="86"/>
  <c r="C279" i="86"/>
  <c r="C15" i="130" s="1"/>
  <c r="F77" i="193"/>
  <c r="F79" i="193" s="1"/>
  <c r="F81" i="193" s="1"/>
  <c r="F94" i="193" s="1"/>
  <c r="C224" i="134"/>
  <c r="C279" i="134"/>
  <c r="J202" i="209"/>
  <c r="K126" i="209"/>
  <c r="I86" i="196"/>
  <c r="I87" i="196" s="1"/>
  <c r="J29" i="196"/>
  <c r="H89" i="202"/>
  <c r="H91" i="202" s="1"/>
  <c r="M219" i="152"/>
  <c r="M59" i="169"/>
  <c r="M91" i="169" s="1"/>
  <c r="M59" i="167"/>
  <c r="M91" i="167" s="1"/>
  <c r="M59" i="166"/>
  <c r="M91" i="166" s="1"/>
  <c r="N72" i="124"/>
  <c r="M212" i="152"/>
  <c r="M52" i="169"/>
  <c r="M84" i="169" s="1"/>
  <c r="M109" i="166" s="1"/>
  <c r="N65" i="124"/>
  <c r="M52" i="167"/>
  <c r="M84" i="167" s="1"/>
  <c r="M107" i="166" s="1"/>
  <c r="M52" i="166"/>
  <c r="M84" i="166" s="1"/>
  <c r="M105" i="166" s="1"/>
  <c r="F77" i="197"/>
  <c r="F79" i="197" s="1"/>
  <c r="F81" i="197" s="1"/>
  <c r="I27" i="201"/>
  <c r="H64" i="201"/>
  <c r="H65" i="201" s="1"/>
  <c r="I86" i="200"/>
  <c r="I87" i="200" s="1"/>
  <c r="J29" i="200"/>
  <c r="H64" i="186"/>
  <c r="H65" i="186" s="1"/>
  <c r="I27" i="186"/>
  <c r="G88" i="193"/>
  <c r="G90" i="193" s="1"/>
  <c r="F77" i="196"/>
  <c r="F79" i="196" s="1"/>
  <c r="F81" i="196" s="1"/>
  <c r="I226" i="209"/>
  <c r="H89" i="194"/>
  <c r="H91" i="194" s="1"/>
  <c r="F77" i="188"/>
  <c r="F79" i="188" s="1"/>
  <c r="F81" i="188" s="1"/>
  <c r="H64" i="202"/>
  <c r="H65" i="202" s="1"/>
  <c r="I27" i="202"/>
  <c r="M218" i="152"/>
  <c r="M58" i="169"/>
  <c r="M90" i="169" s="1"/>
  <c r="M58" i="167"/>
  <c r="M90" i="167" s="1"/>
  <c r="M58" i="166"/>
  <c r="M90" i="166" s="1"/>
  <c r="N71" i="124"/>
  <c r="M206" i="152"/>
  <c r="M46" i="169"/>
  <c r="M78" i="169" s="1"/>
  <c r="N59" i="124"/>
  <c r="M46" i="167"/>
  <c r="M78" i="167" s="1"/>
  <c r="M46" i="166"/>
  <c r="M78" i="166" s="1"/>
  <c r="G78" i="201"/>
  <c r="G80" i="201" s="1"/>
  <c r="D22" i="127"/>
  <c r="D30" i="287" s="1"/>
  <c r="I30" i="287" s="1"/>
  <c r="E47" i="88"/>
  <c r="E15" i="141" s="1"/>
  <c r="G77" i="196"/>
  <c r="G79" i="196" s="1"/>
  <c r="G81" i="196" s="1"/>
  <c r="G78" i="196"/>
  <c r="G80" i="196" s="1"/>
  <c r="D15" i="88"/>
  <c r="P64" i="104"/>
  <c r="F66" i="187"/>
  <c r="F68" i="187" s="1"/>
  <c r="F70" i="187" s="1"/>
  <c r="G77" i="187"/>
  <c r="G79" i="187" s="1"/>
  <c r="G81" i="187" s="1"/>
  <c r="G78" i="187"/>
  <c r="G80" i="187" s="1"/>
  <c r="F66" i="193"/>
  <c r="F68" i="193" s="1"/>
  <c r="G92" i="204"/>
  <c r="E70" i="185"/>
  <c r="E94" i="185" s="1"/>
  <c r="I86" i="201"/>
  <c r="I87" i="201" s="1"/>
  <c r="J29" i="201"/>
  <c r="G77" i="198"/>
  <c r="G79" i="198" s="1"/>
  <c r="G81" i="198" s="1"/>
  <c r="G78" i="198"/>
  <c r="G80" i="198" s="1"/>
  <c r="H64" i="191"/>
  <c r="H65" i="191" s="1"/>
  <c r="I27" i="191"/>
  <c r="I86" i="187"/>
  <c r="I87" i="187" s="1"/>
  <c r="J29" i="187"/>
  <c r="G88" i="202"/>
  <c r="G90" i="202" s="1"/>
  <c r="G92" i="202" s="1"/>
  <c r="N170" i="152"/>
  <c r="O55" i="123"/>
  <c r="G77" i="194"/>
  <c r="G79" i="194" s="1"/>
  <c r="G81" i="194" s="1"/>
  <c r="G78" i="194"/>
  <c r="G80" i="194" s="1"/>
  <c r="K136" i="209"/>
  <c r="J212" i="209"/>
  <c r="E43" i="88"/>
  <c r="E15" i="136" s="1"/>
  <c r="D18" i="127"/>
  <c r="D26" i="287" s="1"/>
  <c r="I26" i="287" s="1"/>
  <c r="D28" i="127"/>
  <c r="E53" i="88"/>
  <c r="E15" i="146" s="1"/>
  <c r="G92" i="185"/>
  <c r="I223" i="209"/>
  <c r="M202" i="152"/>
  <c r="M42" i="169"/>
  <c r="M74" i="169" s="1"/>
  <c r="N55" i="124"/>
  <c r="M42" i="167"/>
  <c r="M74" i="167" s="1"/>
  <c r="M42" i="166"/>
  <c r="M74" i="166" s="1"/>
  <c r="I237" i="209"/>
  <c r="F94" i="186"/>
  <c r="G78" i="204"/>
  <c r="G80" i="204" s="1"/>
  <c r="G77" i="204"/>
  <c r="G79" i="204" s="1"/>
  <c r="G81" i="204" s="1"/>
  <c r="R51" i="104"/>
  <c r="R53" i="104" s="1"/>
  <c r="R49" i="104"/>
  <c r="F66" i="192"/>
  <c r="F68" i="192" s="1"/>
  <c r="F70" i="192" s="1"/>
  <c r="F94" i="192" s="1"/>
  <c r="G92" i="198"/>
  <c r="G88" i="194"/>
  <c r="G90" i="194" s="1"/>
  <c r="I27" i="187"/>
  <c r="H64" i="187"/>
  <c r="H65" i="187" s="1"/>
  <c r="I225" i="209"/>
  <c r="N177" i="152"/>
  <c r="O62" i="123"/>
  <c r="G67" i="193"/>
  <c r="G69" i="193" s="1"/>
  <c r="G66" i="193"/>
  <c r="G68" i="193" s="1"/>
  <c r="N190" i="152"/>
  <c r="O75" i="123"/>
  <c r="H89" i="189"/>
  <c r="H91" i="189" s="1"/>
  <c r="G88" i="192"/>
  <c r="G90" i="192" s="1"/>
  <c r="H75" i="200"/>
  <c r="H76" i="200" s="1"/>
  <c r="I28" i="200"/>
  <c r="F70" i="195"/>
  <c r="F94" i="195" s="1"/>
  <c r="H64" i="199"/>
  <c r="H65" i="199" s="1"/>
  <c r="I27" i="199"/>
  <c r="C279" i="145"/>
  <c r="C224" i="145"/>
  <c r="E31" i="88"/>
  <c r="E36" i="148"/>
  <c r="E369" i="148" s="1"/>
  <c r="E36" i="162"/>
  <c r="E369" i="162" s="1"/>
  <c r="E25" i="88"/>
  <c r="E36" i="143"/>
  <c r="E369" i="143" s="1"/>
  <c r="E26" i="88"/>
  <c r="E36" i="138"/>
  <c r="E369" i="138" s="1"/>
  <c r="E21" i="88"/>
  <c r="E17" i="88"/>
  <c r="E36" i="134"/>
  <c r="E369" i="134" s="1"/>
  <c r="F94" i="201"/>
  <c r="F77" i="199"/>
  <c r="F79" i="199" s="1"/>
  <c r="F81" i="199" s="1"/>
  <c r="F94" i="199" s="1"/>
  <c r="J205" i="209"/>
  <c r="K129" i="209"/>
  <c r="G66" i="198"/>
  <c r="G68" i="198" s="1"/>
  <c r="G67" i="198"/>
  <c r="G69" i="198" s="1"/>
  <c r="D32" i="127"/>
  <c r="D40" i="287" s="1"/>
  <c r="I40" i="287" s="1"/>
  <c r="E57" i="88"/>
  <c r="E15" i="150" s="1"/>
  <c r="D539" i="92"/>
  <c r="D540" i="92" s="1"/>
  <c r="D570" i="92"/>
  <c r="G88" i="195"/>
  <c r="G90" i="195" s="1"/>
  <c r="I227" i="209"/>
  <c r="K128" i="209"/>
  <c r="J204" i="209"/>
  <c r="H89" i="190"/>
  <c r="H91" i="190" s="1"/>
  <c r="I234" i="209"/>
  <c r="G66" i="192"/>
  <c r="G68" i="192" s="1"/>
  <c r="G67" i="192"/>
  <c r="G69" i="192" s="1"/>
  <c r="F77" i="203"/>
  <c r="F79" i="203" s="1"/>
  <c r="F81" i="203" s="1"/>
  <c r="G88" i="186"/>
  <c r="G90" i="186" s="1"/>
  <c r="G92" i="186" s="1"/>
  <c r="I86" i="197"/>
  <c r="I87" i="197" s="1"/>
  <c r="J29" i="197"/>
  <c r="H221" i="209"/>
  <c r="H241" i="209" s="1"/>
  <c r="H242" i="209" s="1"/>
  <c r="M224" i="152"/>
  <c r="M64" i="169"/>
  <c r="M96" i="169" s="1"/>
  <c r="M64" i="167"/>
  <c r="M96" i="167" s="1"/>
  <c r="M64" i="166"/>
  <c r="M96" i="166" s="1"/>
  <c r="N77" i="124"/>
  <c r="M205" i="152"/>
  <c r="M45" i="169"/>
  <c r="M77" i="169" s="1"/>
  <c r="M45" i="167"/>
  <c r="M77" i="167" s="1"/>
  <c r="M45" i="166"/>
  <c r="M77" i="166" s="1"/>
  <c r="N58" i="124"/>
  <c r="J213" i="209"/>
  <c r="K137" i="209"/>
  <c r="F66" i="203"/>
  <c r="F68" i="203" s="1"/>
  <c r="F70" i="203" s="1"/>
  <c r="F94" i="203" s="1"/>
  <c r="F487" i="92"/>
  <c r="F498" i="92"/>
  <c r="F531" i="92" s="1"/>
  <c r="F581" i="92" s="1"/>
  <c r="F631" i="92" s="1"/>
  <c r="F505" i="92"/>
  <c r="F538" i="92" s="1"/>
  <c r="F588" i="92" s="1"/>
  <c r="F638" i="92" s="1"/>
  <c r="F497" i="92"/>
  <c r="F530" i="92" s="1"/>
  <c r="F580" i="92" s="1"/>
  <c r="F630" i="92" s="1"/>
  <c r="F494" i="92"/>
  <c r="F527" i="92" s="1"/>
  <c r="F577" i="92" s="1"/>
  <c r="F627" i="92" s="1"/>
  <c r="F493" i="92"/>
  <c r="F526" i="92" s="1"/>
  <c r="F576" i="92" s="1"/>
  <c r="F626" i="92" s="1"/>
  <c r="F490" i="92"/>
  <c r="F523" i="92" s="1"/>
  <c r="F573" i="92" s="1"/>
  <c r="F623" i="92" s="1"/>
  <c r="F489" i="92"/>
  <c r="F522" i="92" s="1"/>
  <c r="F572" i="92" s="1"/>
  <c r="F622" i="92" s="1"/>
  <c r="F496" i="92"/>
  <c r="F529" i="92" s="1"/>
  <c r="F579" i="92" s="1"/>
  <c r="F629" i="92" s="1"/>
  <c r="F491" i="92"/>
  <c r="F524" i="92" s="1"/>
  <c r="F574" i="92" s="1"/>
  <c r="F624" i="92" s="1"/>
  <c r="F502" i="92"/>
  <c r="F535" i="92" s="1"/>
  <c r="F585" i="92" s="1"/>
  <c r="F635" i="92" s="1"/>
  <c r="F500" i="92"/>
  <c r="F533" i="92" s="1"/>
  <c r="F583" i="92" s="1"/>
  <c r="F633" i="92" s="1"/>
  <c r="F492" i="92"/>
  <c r="F525" i="92" s="1"/>
  <c r="F575" i="92" s="1"/>
  <c r="F625" i="92" s="1"/>
  <c r="F499" i="92"/>
  <c r="F532" i="92" s="1"/>
  <c r="F582" i="92" s="1"/>
  <c r="F632" i="92" s="1"/>
  <c r="F503" i="92"/>
  <c r="F536" i="92" s="1"/>
  <c r="F586" i="92" s="1"/>
  <c r="F636" i="92" s="1"/>
  <c r="F501" i="92"/>
  <c r="F534" i="92" s="1"/>
  <c r="F584" i="92" s="1"/>
  <c r="F634" i="92" s="1"/>
  <c r="F495" i="92"/>
  <c r="F528" i="92" s="1"/>
  <c r="F578" i="92" s="1"/>
  <c r="F628" i="92" s="1"/>
  <c r="F488" i="92"/>
  <c r="F521" i="92" s="1"/>
  <c r="F571" i="92" s="1"/>
  <c r="F621" i="92" s="1"/>
  <c r="F504" i="92"/>
  <c r="F537" i="92" s="1"/>
  <c r="F587" i="92" s="1"/>
  <c r="F637" i="92" s="1"/>
  <c r="I86" i="188"/>
  <c r="I87" i="188" s="1"/>
  <c r="J29" i="188"/>
  <c r="F70" i="196"/>
  <c r="F94" i="196" s="1"/>
  <c r="I28" i="193"/>
  <c r="H75" i="193"/>
  <c r="H76" i="193" s="1"/>
  <c r="H89" i="192"/>
  <c r="H91" i="192" s="1"/>
  <c r="I222" i="209"/>
  <c r="I229" i="209"/>
  <c r="G77" i="189"/>
  <c r="G79" i="189" s="1"/>
  <c r="G81" i="189" s="1"/>
  <c r="G78" i="189"/>
  <c r="G80" i="189" s="1"/>
  <c r="G88" i="196"/>
  <c r="G90" i="196" s="1"/>
  <c r="F70" i="190"/>
  <c r="F94" i="190" s="1"/>
  <c r="I224" i="209"/>
  <c r="I86" i="191"/>
  <c r="I87" i="191" s="1"/>
  <c r="J29" i="191"/>
  <c r="J206" i="209"/>
  <c r="K130" i="209"/>
  <c r="E68" i="185"/>
  <c r="I228" i="209"/>
  <c r="G88" i="201"/>
  <c r="G90" i="201" s="1"/>
  <c r="G92" i="201" s="1"/>
  <c r="H89" i="196"/>
  <c r="H91" i="196" s="1"/>
  <c r="I27" i="190"/>
  <c r="H64" i="190"/>
  <c r="H65" i="190" s="1"/>
  <c r="F70" i="188"/>
  <c r="F94" i="188" s="1"/>
  <c r="F70" i="194"/>
  <c r="I233" i="209"/>
  <c r="G77" i="203"/>
  <c r="G79" i="203" s="1"/>
  <c r="G81" i="203" s="1"/>
  <c r="G78" i="203"/>
  <c r="G80" i="203" s="1"/>
  <c r="I27" i="189"/>
  <c r="H64" i="189"/>
  <c r="H65" i="189" s="1"/>
  <c r="M221" i="152"/>
  <c r="M61" i="169"/>
  <c r="M93" i="169" s="1"/>
  <c r="M61" i="167"/>
  <c r="M93" i="167" s="1"/>
  <c r="M61" i="166"/>
  <c r="M93" i="166" s="1"/>
  <c r="N74" i="124"/>
  <c r="H89" i="198"/>
  <c r="H91" i="198" s="1"/>
  <c r="H88" i="198"/>
  <c r="H90" i="198" s="1"/>
  <c r="M207" i="152"/>
  <c r="M47" i="169"/>
  <c r="M79" i="169" s="1"/>
  <c r="N60" i="124"/>
  <c r="M47" i="167"/>
  <c r="M79" i="167" s="1"/>
  <c r="M47" i="166"/>
  <c r="M79" i="166" s="1"/>
  <c r="H88" i="200"/>
  <c r="H90" i="200" s="1"/>
  <c r="H89" i="200"/>
  <c r="H91" i="200" s="1"/>
  <c r="D25" i="127"/>
  <c r="E50" i="88"/>
  <c r="E15" i="143" s="1"/>
  <c r="E55" i="88"/>
  <c r="E15" i="148" s="1"/>
  <c r="D30" i="127"/>
  <c r="D38" i="287" s="1"/>
  <c r="I38" i="287" s="1"/>
  <c r="G92" i="193"/>
  <c r="C279" i="148"/>
  <c r="C224" i="148"/>
  <c r="I86" i="194"/>
  <c r="I87" i="194" s="1"/>
  <c r="J29" i="194"/>
  <c r="F77" i="204"/>
  <c r="F79" i="204" s="1"/>
  <c r="F81" i="204" s="1"/>
  <c r="F94" i="204" s="1"/>
  <c r="H260" i="152"/>
  <c r="S38" i="104"/>
  <c r="S41" i="104"/>
  <c r="S46" i="104" s="1"/>
  <c r="G67" i="202"/>
  <c r="G69" i="202" s="1"/>
  <c r="F70" i="201"/>
  <c r="G92" i="200"/>
  <c r="D16" i="127"/>
  <c r="E41" i="88"/>
  <c r="E15" i="134" s="1"/>
  <c r="G78" i="202"/>
  <c r="G80" i="202" s="1"/>
  <c r="G78" i="188"/>
  <c r="G80" i="188" s="1"/>
  <c r="G77" i="188"/>
  <c r="G79" i="188" s="1"/>
  <c r="G81" i="188" s="1"/>
  <c r="C294" i="140"/>
  <c r="C369" i="140"/>
  <c r="M225" i="152"/>
  <c r="M65" i="169"/>
  <c r="M97" i="169" s="1"/>
  <c r="M65" i="167"/>
  <c r="M97" i="167" s="1"/>
  <c r="M65" i="166"/>
  <c r="M97" i="166" s="1"/>
  <c r="N78" i="124"/>
  <c r="F70" i="193"/>
  <c r="C279" i="141"/>
  <c r="C224" i="141"/>
  <c r="G88" i="189"/>
  <c r="G90" i="189" s="1"/>
  <c r="G92" i="189" s="1"/>
  <c r="N178" i="152"/>
  <c r="O63" i="123"/>
  <c r="H89" i="201"/>
  <c r="H91" i="201" s="1"/>
  <c r="G67" i="195"/>
  <c r="G69" i="195" s="1"/>
  <c r="C279" i="135"/>
  <c r="C224" i="135"/>
  <c r="H89" i="187"/>
  <c r="H91" i="187" s="1"/>
  <c r="M217" i="152"/>
  <c r="M57" i="169"/>
  <c r="M89" i="169" s="1"/>
  <c r="M57" i="167"/>
  <c r="M89" i="167" s="1"/>
  <c r="M57" i="166"/>
  <c r="M89" i="166" s="1"/>
  <c r="N70" i="124"/>
  <c r="I28" i="195"/>
  <c r="H75" i="195"/>
  <c r="H76" i="195" s="1"/>
  <c r="C279" i="139"/>
  <c r="C224" i="139"/>
  <c r="F66" i="198"/>
  <c r="F68" i="198" s="1"/>
  <c r="F70" i="198" s="1"/>
  <c r="N194" i="152"/>
  <c r="O79" i="123"/>
  <c r="I238" i="209"/>
  <c r="E54" i="88"/>
  <c r="E15" i="147" s="1"/>
  <c r="D29" i="127"/>
  <c r="D37" i="287" s="1"/>
  <c r="I37" i="287" s="1"/>
  <c r="H88" i="193"/>
  <c r="H90" i="193" s="1"/>
  <c r="H89" i="193"/>
  <c r="H91" i="193" s="1"/>
  <c r="J211" i="209"/>
  <c r="K135" i="209"/>
  <c r="G92" i="190"/>
  <c r="H75" i="204"/>
  <c r="H76" i="204" s="1"/>
  <c r="I28" i="204"/>
  <c r="C279" i="138"/>
  <c r="C224" i="138"/>
  <c r="F66" i="202"/>
  <c r="F68" i="202" s="1"/>
  <c r="F70" i="202" s="1"/>
  <c r="G88" i="198"/>
  <c r="G90" i="198" s="1"/>
  <c r="E51" i="88"/>
  <c r="E15" i="144" s="1"/>
  <c r="D26" i="127"/>
  <c r="I28" i="190"/>
  <c r="H75" i="190"/>
  <c r="H76" i="190" s="1"/>
  <c r="G66" i="187"/>
  <c r="G68" i="187" s="1"/>
  <c r="G67" i="187"/>
  <c r="G69" i="187" s="1"/>
  <c r="J199" i="209"/>
  <c r="K123" i="209"/>
  <c r="H64" i="193"/>
  <c r="H65" i="193" s="1"/>
  <c r="I27" i="193"/>
  <c r="N186" i="152"/>
  <c r="O71" i="123"/>
  <c r="N185" i="152"/>
  <c r="O70" i="123"/>
  <c r="K138" i="209"/>
  <c r="J214" i="209"/>
  <c r="J210" i="209"/>
  <c r="K134" i="209"/>
  <c r="G88" i="203"/>
  <c r="G90" i="203" s="1"/>
  <c r="G92" i="203" s="1"/>
  <c r="M210" i="152"/>
  <c r="M50" i="169"/>
  <c r="M82" i="169" s="1"/>
  <c r="N63" i="124"/>
  <c r="M50" i="167"/>
  <c r="M82" i="167" s="1"/>
  <c r="M50" i="166"/>
  <c r="M82" i="166" s="1"/>
  <c r="F77" i="198"/>
  <c r="F79" i="198" s="1"/>
  <c r="F81" i="198" s="1"/>
  <c r="F94" i="198" s="1"/>
  <c r="F66" i="191"/>
  <c r="F68" i="191" s="1"/>
  <c r="F70" i="191" s="1"/>
  <c r="F94" i="191" s="1"/>
  <c r="E36" i="146"/>
  <c r="E369" i="146" s="1"/>
  <c r="E29" i="88"/>
  <c r="E36" i="136"/>
  <c r="E369" i="136" s="1"/>
  <c r="E19" i="88"/>
  <c r="E36" i="142"/>
  <c r="E369" i="142" s="1"/>
  <c r="E24" i="88"/>
  <c r="E36" i="147"/>
  <c r="E369" i="147" s="1"/>
  <c r="E30" i="88"/>
  <c r="E520" i="92"/>
  <c r="E506" i="92"/>
  <c r="E507" i="92" s="1"/>
  <c r="I231" i="209"/>
  <c r="I266" i="152"/>
  <c r="T38" i="113"/>
  <c r="T46" i="113"/>
  <c r="T56" i="113" s="1"/>
  <c r="T41" i="113"/>
  <c r="F77" i="194"/>
  <c r="F79" i="194" s="1"/>
  <c r="F81" i="194" s="1"/>
  <c r="F94" i="194" s="1"/>
  <c r="G88" i="197"/>
  <c r="G90" i="197" s="1"/>
  <c r="G92" i="197" s="1"/>
  <c r="D27" i="127"/>
  <c r="D35" i="287" s="1"/>
  <c r="I35" i="287" s="1"/>
  <c r="E52" i="88"/>
  <c r="E15" i="145" s="1"/>
  <c r="G92" i="195"/>
  <c r="C224" i="149"/>
  <c r="C279" i="149"/>
  <c r="I230" i="209"/>
  <c r="F77" i="202"/>
  <c r="F79" i="202" s="1"/>
  <c r="F81" i="202" s="1"/>
  <c r="I28" i="199"/>
  <c r="H75" i="199"/>
  <c r="H76" i="199" s="1"/>
  <c r="F70" i="189"/>
  <c r="F94" i="189" s="1"/>
  <c r="M211" i="152"/>
  <c r="N64" i="124"/>
  <c r="M51" i="169"/>
  <c r="M83" i="169" s="1"/>
  <c r="M51" i="167"/>
  <c r="M83" i="167" s="1"/>
  <c r="M51" i="166"/>
  <c r="M83" i="166" s="1"/>
  <c r="H89" i="197"/>
  <c r="H91" i="197" s="1"/>
  <c r="E56" i="88"/>
  <c r="E15" i="149" s="1"/>
  <c r="D31" i="127"/>
  <c r="D39" i="287" s="1"/>
  <c r="I39" i="287" s="1"/>
  <c r="N188" i="152"/>
  <c r="O73" i="123"/>
  <c r="F69" i="185"/>
  <c r="F70" i="185" s="1"/>
  <c r="F94" i="185" s="1"/>
  <c r="C294" i="86"/>
  <c r="C369" i="86"/>
  <c r="C15" i="127"/>
  <c r="D40" i="88"/>
  <c r="C60" i="128"/>
  <c r="F94" i="202" l="1"/>
  <c r="F94" i="187"/>
  <c r="S49" i="104"/>
  <c r="S51" i="104" s="1"/>
  <c r="S53" i="104" s="1"/>
  <c r="E539" i="92"/>
  <c r="E540" i="92" s="1"/>
  <c r="E570" i="92"/>
  <c r="K214" i="209"/>
  <c r="L138" i="209"/>
  <c r="L214" i="209" s="1"/>
  <c r="J28" i="190"/>
  <c r="I75" i="190"/>
  <c r="I76" i="190" s="1"/>
  <c r="J28" i="204"/>
  <c r="I75" i="204"/>
  <c r="I76" i="204" s="1"/>
  <c r="H78" i="195"/>
  <c r="H80" i="195" s="1"/>
  <c r="H77" i="195"/>
  <c r="H79" i="195" s="1"/>
  <c r="H81" i="195" s="1"/>
  <c r="K29" i="194"/>
  <c r="J86" i="194"/>
  <c r="J87" i="194" s="1"/>
  <c r="D77" i="287"/>
  <c r="D33" i="287"/>
  <c r="I33" i="287" s="1"/>
  <c r="J27" i="189"/>
  <c r="I64" i="189"/>
  <c r="I65" i="189" s="1"/>
  <c r="J27" i="190"/>
  <c r="I64" i="190"/>
  <c r="I65" i="190" s="1"/>
  <c r="H78" i="193"/>
  <c r="H80" i="193" s="1"/>
  <c r="I88" i="188"/>
  <c r="I90" i="188" s="1"/>
  <c r="I89" i="188"/>
  <c r="I91" i="188" s="1"/>
  <c r="F36" i="147"/>
  <c r="F369" i="147" s="1"/>
  <c r="F30" i="88"/>
  <c r="F29" i="88"/>
  <c r="F36" i="146"/>
  <c r="F369" i="146" s="1"/>
  <c r="F18" i="88"/>
  <c r="F36" i="135"/>
  <c r="F369" i="135" s="1"/>
  <c r="F36" i="143"/>
  <c r="F369" i="143" s="1"/>
  <c r="F26" i="88"/>
  <c r="N224" i="152"/>
  <c r="N64" i="169"/>
  <c r="N96" i="169" s="1"/>
  <c r="N64" i="167"/>
  <c r="N96" i="167" s="1"/>
  <c r="N64" i="166"/>
  <c r="N96" i="166" s="1"/>
  <c r="O77" i="124"/>
  <c r="K204" i="209"/>
  <c r="L128" i="209"/>
  <c r="L204" i="209" s="1"/>
  <c r="C27" i="130"/>
  <c r="C283" i="145"/>
  <c r="C294" i="145"/>
  <c r="D76" i="287"/>
  <c r="D36" i="287"/>
  <c r="I36" i="287" s="1"/>
  <c r="K212" i="209"/>
  <c r="L136" i="209"/>
  <c r="L212" i="209" s="1"/>
  <c r="O170" i="152"/>
  <c r="P55" i="123"/>
  <c r="P170" i="152" s="1"/>
  <c r="I89" i="187"/>
  <c r="I91" i="187" s="1"/>
  <c r="I88" i="187"/>
  <c r="I90" i="187" s="1"/>
  <c r="H66" i="202"/>
  <c r="H68" i="202" s="1"/>
  <c r="H67" i="202"/>
  <c r="H69" i="202" s="1"/>
  <c r="H66" i="186"/>
  <c r="H68" i="186" s="1"/>
  <c r="H67" i="186"/>
  <c r="H69" i="186" s="1"/>
  <c r="I64" i="201"/>
  <c r="I65" i="201" s="1"/>
  <c r="J27" i="201"/>
  <c r="N212" i="152"/>
  <c r="O65" i="124"/>
  <c r="N52" i="169"/>
  <c r="N84" i="169" s="1"/>
  <c r="N109" i="166" s="1"/>
  <c r="N52" i="167"/>
  <c r="N84" i="167" s="1"/>
  <c r="N107" i="166" s="1"/>
  <c r="N52" i="166"/>
  <c r="N84" i="166" s="1"/>
  <c r="N105" i="166" s="1"/>
  <c r="K202" i="209"/>
  <c r="L126" i="209"/>
  <c r="L202" i="209" s="1"/>
  <c r="L125" i="209"/>
  <c r="L201" i="209" s="1"/>
  <c r="K201" i="209"/>
  <c r="C18" i="130"/>
  <c r="C283" i="136"/>
  <c r="C294" i="136"/>
  <c r="J266" i="152"/>
  <c r="U41" i="113"/>
  <c r="U46" i="113" s="1"/>
  <c r="U56" i="113" s="1"/>
  <c r="U38" i="113"/>
  <c r="F51" i="88"/>
  <c r="F15" i="144" s="1"/>
  <c r="E26" i="127"/>
  <c r="I75" i="186"/>
  <c r="I76" i="186" s="1"/>
  <c r="J28" i="186"/>
  <c r="H78" i="194"/>
  <c r="H80" i="194" s="1"/>
  <c r="O175" i="152"/>
  <c r="P60" i="123"/>
  <c r="P175" i="152" s="1"/>
  <c r="C25" i="130"/>
  <c r="C283" i="143"/>
  <c r="C294" i="143"/>
  <c r="H78" i="201"/>
  <c r="H80" i="201" s="1"/>
  <c r="K195" i="209"/>
  <c r="L119" i="209"/>
  <c r="L195" i="209" s="1"/>
  <c r="O172" i="152"/>
  <c r="P57" i="123"/>
  <c r="P172" i="152" s="1"/>
  <c r="N204" i="152"/>
  <c r="O57" i="124"/>
  <c r="N44" i="169"/>
  <c r="N76" i="169" s="1"/>
  <c r="N44" i="167"/>
  <c r="N76" i="167" s="1"/>
  <c r="N44" i="166"/>
  <c r="N76" i="166" s="1"/>
  <c r="I89" i="202"/>
  <c r="I91" i="202" s="1"/>
  <c r="N208" i="152"/>
  <c r="N48" i="169"/>
  <c r="N80" i="169" s="1"/>
  <c r="O61" i="124"/>
  <c r="N48" i="167"/>
  <c r="N80" i="167" s="1"/>
  <c r="N48" i="166"/>
  <c r="N80" i="166" s="1"/>
  <c r="H66" i="197"/>
  <c r="H68" i="197" s="1"/>
  <c r="H67" i="197"/>
  <c r="H69" i="197" s="1"/>
  <c r="I75" i="191"/>
  <c r="I76" i="191" s="1"/>
  <c r="J28" i="191"/>
  <c r="J28" i="192"/>
  <c r="I75" i="192"/>
  <c r="I76" i="192" s="1"/>
  <c r="C24" i="130"/>
  <c r="C283" i="162"/>
  <c r="C294" i="162"/>
  <c r="Q64" i="104"/>
  <c r="E15" i="88"/>
  <c r="F52" i="88"/>
  <c r="F15" i="145" s="1"/>
  <c r="E27" i="127"/>
  <c r="E35" i="287" s="1"/>
  <c r="J35" i="287" s="1"/>
  <c r="J28" i="185"/>
  <c r="I75" i="185"/>
  <c r="I76" i="185" s="1"/>
  <c r="J86" i="204"/>
  <c r="J87" i="204" s="1"/>
  <c r="K29" i="204"/>
  <c r="I64" i="204"/>
  <c r="I65" i="204" s="1"/>
  <c r="J27" i="204"/>
  <c r="K29" i="195"/>
  <c r="J86" i="195"/>
  <c r="J87" i="195" s="1"/>
  <c r="I88" i="193"/>
  <c r="I90" i="193" s="1"/>
  <c r="I89" i="193"/>
  <c r="I91" i="193" s="1"/>
  <c r="C19" i="130"/>
  <c r="C283" i="137"/>
  <c r="C294" i="137"/>
  <c r="O195" i="152"/>
  <c r="P80" i="123"/>
  <c r="P195" i="152" s="1"/>
  <c r="H77" i="188"/>
  <c r="H79" i="188" s="1"/>
  <c r="H81" i="188" s="1"/>
  <c r="H78" i="188"/>
  <c r="H80" i="188" s="1"/>
  <c r="H78" i="197"/>
  <c r="H80" i="197" s="1"/>
  <c r="H77" i="197"/>
  <c r="H79" i="197" s="1"/>
  <c r="H81" i="197" s="1"/>
  <c r="J86" i="186"/>
  <c r="J87" i="186" s="1"/>
  <c r="K29" i="186"/>
  <c r="J28" i="203"/>
  <c r="I75" i="203"/>
  <c r="I76" i="203" s="1"/>
  <c r="I89" i="199"/>
  <c r="I91" i="199" s="1"/>
  <c r="O171" i="152"/>
  <c r="P56" i="123"/>
  <c r="P171" i="152" s="1"/>
  <c r="J86" i="203"/>
  <c r="J87" i="203" s="1"/>
  <c r="K29" i="203"/>
  <c r="O188" i="152"/>
  <c r="P73" i="123"/>
  <c r="P188" i="152" s="1"/>
  <c r="H88" i="197"/>
  <c r="H90" i="197" s="1"/>
  <c r="H92" i="197" s="1"/>
  <c r="E29" i="127"/>
  <c r="E37" i="287" s="1"/>
  <c r="J37" i="287" s="1"/>
  <c r="F54" i="88"/>
  <c r="F15" i="147" s="1"/>
  <c r="E18" i="127"/>
  <c r="E26" i="287" s="1"/>
  <c r="J26" i="287" s="1"/>
  <c r="F43" i="88"/>
  <c r="F15" i="136" s="1"/>
  <c r="N210" i="152"/>
  <c r="N50" i="169"/>
  <c r="N82" i="169" s="1"/>
  <c r="N50" i="167"/>
  <c r="N82" i="167" s="1"/>
  <c r="N50" i="166"/>
  <c r="N82" i="166" s="1"/>
  <c r="O63" i="124"/>
  <c r="K210" i="209"/>
  <c r="L134" i="209"/>
  <c r="L210" i="209" s="1"/>
  <c r="O185" i="152"/>
  <c r="P70" i="123"/>
  <c r="P185" i="152" s="1"/>
  <c r="I64" i="193"/>
  <c r="I65" i="193" s="1"/>
  <c r="J27" i="193"/>
  <c r="G70" i="187"/>
  <c r="G94" i="187" s="1"/>
  <c r="D78" i="287"/>
  <c r="D34" i="287"/>
  <c r="I34" i="287" s="1"/>
  <c r="H78" i="204"/>
  <c r="H80" i="204" s="1"/>
  <c r="H92" i="193"/>
  <c r="I75" i="195"/>
  <c r="I76" i="195" s="1"/>
  <c r="J28" i="195"/>
  <c r="H88" i="201"/>
  <c r="H90" i="201" s="1"/>
  <c r="H92" i="201" s="1"/>
  <c r="N225" i="152"/>
  <c r="N65" i="169"/>
  <c r="N97" i="169" s="1"/>
  <c r="N65" i="167"/>
  <c r="N97" i="167" s="1"/>
  <c r="N65" i="166"/>
  <c r="N97" i="166" s="1"/>
  <c r="O78" i="124"/>
  <c r="D62" i="127"/>
  <c r="D24" i="287"/>
  <c r="I24" i="287" s="1"/>
  <c r="G66" i="202"/>
  <c r="G68" i="202" s="1"/>
  <c r="G70" i="202" s="1"/>
  <c r="I89" i="194"/>
  <c r="I91" i="194" s="1"/>
  <c r="H92" i="200"/>
  <c r="N207" i="152"/>
  <c r="N47" i="169"/>
  <c r="N79" i="169" s="1"/>
  <c r="O60" i="124"/>
  <c r="N47" i="167"/>
  <c r="N79" i="167" s="1"/>
  <c r="N47" i="166"/>
  <c r="N79" i="166" s="1"/>
  <c r="H92" i="198"/>
  <c r="H88" i="196"/>
  <c r="H90" i="196" s="1"/>
  <c r="J86" i="191"/>
  <c r="J87" i="191" s="1"/>
  <c r="K29" i="191"/>
  <c r="I75" i="193"/>
  <c r="I76" i="193" s="1"/>
  <c r="J28" i="193"/>
  <c r="F36" i="150"/>
  <c r="F369" i="150" s="1"/>
  <c r="F33" i="88"/>
  <c r="F36" i="149"/>
  <c r="F369" i="149" s="1"/>
  <c r="F32" i="88"/>
  <c r="F31" i="88"/>
  <c r="F36" i="148"/>
  <c r="F369" i="148" s="1"/>
  <c r="F19" i="88"/>
  <c r="F36" i="136"/>
  <c r="F369" i="136" s="1"/>
  <c r="F36" i="151"/>
  <c r="F369" i="151" s="1"/>
  <c r="F34" i="88"/>
  <c r="L137" i="209"/>
  <c r="L213" i="209" s="1"/>
  <c r="K213" i="209"/>
  <c r="H88" i="190"/>
  <c r="H90" i="190" s="1"/>
  <c r="L129" i="209"/>
  <c r="L205" i="209" s="1"/>
  <c r="K205" i="209"/>
  <c r="F50" i="88"/>
  <c r="F15" i="143" s="1"/>
  <c r="E25" i="127"/>
  <c r="I64" i="199"/>
  <c r="I65" i="199" s="1"/>
  <c r="J27" i="199"/>
  <c r="J28" i="200"/>
  <c r="I75" i="200"/>
  <c r="I76" i="200" s="1"/>
  <c r="H88" i="189"/>
  <c r="H90" i="189" s="1"/>
  <c r="H92" i="189" s="1"/>
  <c r="G70" i="193"/>
  <c r="H67" i="187"/>
  <c r="H69" i="187" s="1"/>
  <c r="I64" i="191"/>
  <c r="I65" i="191" s="1"/>
  <c r="J27" i="191"/>
  <c r="J86" i="201"/>
  <c r="J87" i="201" s="1"/>
  <c r="K29" i="201"/>
  <c r="J86" i="200"/>
  <c r="J87" i="200" s="1"/>
  <c r="K29" i="200"/>
  <c r="H88" i="202"/>
  <c r="H90" i="202" s="1"/>
  <c r="H92" i="202" s="1"/>
  <c r="G66" i="196"/>
  <c r="G68" i="196" s="1"/>
  <c r="H78" i="189"/>
  <c r="H80" i="189" s="1"/>
  <c r="K196" i="209"/>
  <c r="L120" i="209"/>
  <c r="L196" i="209" s="1"/>
  <c r="J86" i="192"/>
  <c r="J87" i="192" s="1"/>
  <c r="K29" i="192"/>
  <c r="C28" i="130"/>
  <c r="C283" i="146"/>
  <c r="C294" i="146"/>
  <c r="K208" i="209"/>
  <c r="L132" i="209"/>
  <c r="L208" i="209" s="1"/>
  <c r="H67" i="198"/>
  <c r="H69" i="198" s="1"/>
  <c r="N226" i="152"/>
  <c r="N66" i="169"/>
  <c r="N98" i="169" s="1"/>
  <c r="N66" i="167"/>
  <c r="N98" i="167" s="1"/>
  <c r="N66" i="166"/>
  <c r="N98" i="166" s="1"/>
  <c r="O79" i="124"/>
  <c r="F47" i="88"/>
  <c r="F15" i="141" s="1"/>
  <c r="E22" i="127"/>
  <c r="E30" i="287" s="1"/>
  <c r="J30" i="287" s="1"/>
  <c r="E32" i="127"/>
  <c r="E40" i="287" s="1"/>
  <c r="J40" i="287" s="1"/>
  <c r="F57" i="88"/>
  <c r="F15" i="150" s="1"/>
  <c r="E19" i="127"/>
  <c r="E27" i="287" s="1"/>
  <c r="J27" i="287" s="1"/>
  <c r="F44" i="88"/>
  <c r="F15" i="137" s="1"/>
  <c r="G66" i="199"/>
  <c r="G68" i="199" s="1"/>
  <c r="G77" i="185"/>
  <c r="G79" i="185" s="1"/>
  <c r="G81" i="185" s="1"/>
  <c r="G77" i="200"/>
  <c r="G79" i="200" s="1"/>
  <c r="G81" i="200" s="1"/>
  <c r="J86" i="189"/>
  <c r="J87" i="189" s="1"/>
  <c r="K29" i="189"/>
  <c r="H88" i="204"/>
  <c r="H90" i="204" s="1"/>
  <c r="H92" i="204" s="1"/>
  <c r="G70" i="204"/>
  <c r="G94" i="204" s="1"/>
  <c r="H88" i="195"/>
  <c r="H90" i="195" s="1"/>
  <c r="L121" i="209"/>
  <c r="L197" i="209" s="1"/>
  <c r="K197" i="209"/>
  <c r="I75" i="194"/>
  <c r="I76" i="194" s="1"/>
  <c r="J28" i="194"/>
  <c r="H78" i="198"/>
  <c r="H80" i="198" s="1"/>
  <c r="O179" i="152"/>
  <c r="P64" i="123"/>
  <c r="P179" i="152" s="1"/>
  <c r="I75" i="196"/>
  <c r="I76" i="196" s="1"/>
  <c r="J28" i="196"/>
  <c r="O193" i="152"/>
  <c r="P78" i="123"/>
  <c r="P193" i="152" s="1"/>
  <c r="N223" i="152"/>
  <c r="N63" i="169"/>
  <c r="N95" i="169" s="1"/>
  <c r="N63" i="167"/>
  <c r="N95" i="167" s="1"/>
  <c r="N63" i="166"/>
  <c r="N95" i="166" s="1"/>
  <c r="O76" i="124"/>
  <c r="G70" i="203"/>
  <c r="G94" i="203" s="1"/>
  <c r="K200" i="209"/>
  <c r="L124" i="209"/>
  <c r="L200" i="209" s="1"/>
  <c r="J215" i="209"/>
  <c r="J227" i="209" s="1"/>
  <c r="J216" i="209"/>
  <c r="C23" i="130"/>
  <c r="C283" i="142"/>
  <c r="C294" i="142"/>
  <c r="O189" i="152"/>
  <c r="P74" i="123"/>
  <c r="P189" i="152" s="1"/>
  <c r="H88" i="199"/>
  <c r="H90" i="199" s="1"/>
  <c r="H67" i="196"/>
  <c r="H69" i="196" s="1"/>
  <c r="G66" i="188"/>
  <c r="G68" i="188" s="1"/>
  <c r="H88" i="203"/>
  <c r="H90" i="203" s="1"/>
  <c r="C33" i="130"/>
  <c r="C283" i="151"/>
  <c r="C294" i="151"/>
  <c r="G77" i="199"/>
  <c r="G79" i="199" s="1"/>
  <c r="G81" i="199" s="1"/>
  <c r="J86" i="185"/>
  <c r="J87" i="185" s="1"/>
  <c r="K29" i="185"/>
  <c r="F42" i="88"/>
  <c r="F15" i="135" s="1"/>
  <c r="E17" i="127"/>
  <c r="E25" i="287" s="1"/>
  <c r="J25" i="287" s="1"/>
  <c r="I236" i="209"/>
  <c r="I241" i="209" s="1"/>
  <c r="I242" i="209" s="1"/>
  <c r="I89" i="204"/>
  <c r="I91" i="204" s="1"/>
  <c r="H67" i="204"/>
  <c r="H69" i="204" s="1"/>
  <c r="I89" i="195"/>
  <c r="I91" i="195" s="1"/>
  <c r="O173" i="152"/>
  <c r="P58" i="123"/>
  <c r="P173" i="152" s="1"/>
  <c r="J27" i="194"/>
  <c r="I64" i="194"/>
  <c r="I65" i="194" s="1"/>
  <c r="I64" i="195"/>
  <c r="I65" i="195" s="1"/>
  <c r="J27" i="195"/>
  <c r="I75" i="188"/>
  <c r="I76" i="188" s="1"/>
  <c r="J28" i="188"/>
  <c r="I75" i="197"/>
  <c r="I76" i="197" s="1"/>
  <c r="J28" i="197"/>
  <c r="G69" i="185"/>
  <c r="I260" i="152"/>
  <c r="T46" i="104"/>
  <c r="T41" i="104"/>
  <c r="T38" i="104"/>
  <c r="I89" i="186"/>
  <c r="I91" i="186" s="1"/>
  <c r="H78" i="203"/>
  <c r="H80" i="203" s="1"/>
  <c r="H77" i="203"/>
  <c r="H79" i="203" s="1"/>
  <c r="H81" i="203" s="1"/>
  <c r="O174" i="152"/>
  <c r="P59" i="123"/>
  <c r="P174" i="152" s="1"/>
  <c r="H92" i="191"/>
  <c r="I89" i="203"/>
  <c r="I91" i="203" s="1"/>
  <c r="H88" i="188"/>
  <c r="H90" i="188" s="1"/>
  <c r="H92" i="188" s="1"/>
  <c r="H78" i="199"/>
  <c r="H80" i="199" s="1"/>
  <c r="C31" i="130"/>
  <c r="C283" i="149"/>
  <c r="C294" i="149"/>
  <c r="H67" i="193"/>
  <c r="H69" i="193" s="1"/>
  <c r="C20" i="130"/>
  <c r="C283" i="138"/>
  <c r="C294" i="138"/>
  <c r="O194" i="152"/>
  <c r="P79" i="123"/>
  <c r="P194" i="152" s="1"/>
  <c r="C21" i="130"/>
  <c r="C283" i="139"/>
  <c r="C294" i="139"/>
  <c r="N217" i="152"/>
  <c r="N57" i="169"/>
  <c r="N89" i="169" s="1"/>
  <c r="N57" i="167"/>
  <c r="N89" i="167" s="1"/>
  <c r="N57" i="166"/>
  <c r="N89" i="166" s="1"/>
  <c r="O70" i="124"/>
  <c r="C17" i="130"/>
  <c r="C283" i="135"/>
  <c r="C294" i="135"/>
  <c r="G77" i="202"/>
  <c r="G79" i="202" s="1"/>
  <c r="G81" i="202" s="1"/>
  <c r="N221" i="152"/>
  <c r="N61" i="169"/>
  <c r="N93" i="169" s="1"/>
  <c r="N61" i="167"/>
  <c r="N93" i="167" s="1"/>
  <c r="N61" i="166"/>
  <c r="N93" i="166" s="1"/>
  <c r="O74" i="124"/>
  <c r="H92" i="196"/>
  <c r="I88" i="191"/>
  <c r="I90" i="191" s="1"/>
  <c r="I89" i="191"/>
  <c r="I91" i="191" s="1"/>
  <c r="H88" i="192"/>
  <c r="H90" i="192" s="1"/>
  <c r="F17" i="88"/>
  <c r="F36" i="134"/>
  <c r="F369" i="134" s="1"/>
  <c r="F28" i="88"/>
  <c r="F36" i="145"/>
  <c r="F369" i="145" s="1"/>
  <c r="F20" i="88"/>
  <c r="F36" i="137"/>
  <c r="F369" i="137" s="1"/>
  <c r="F36" i="139"/>
  <c r="F369" i="139" s="1"/>
  <c r="F22" i="88"/>
  <c r="F27" i="88"/>
  <c r="F36" i="144"/>
  <c r="F369" i="144" s="1"/>
  <c r="K29" i="197"/>
  <c r="J86" i="197"/>
  <c r="J87" i="197" s="1"/>
  <c r="G70" i="192"/>
  <c r="G94" i="192" s="1"/>
  <c r="H92" i="190"/>
  <c r="E16" i="127"/>
  <c r="F41" i="88"/>
  <c r="F15" i="134" s="1"/>
  <c r="F55" i="88"/>
  <c r="F15" i="148" s="1"/>
  <c r="E30" i="127"/>
  <c r="E38" i="287" s="1"/>
  <c r="J38" i="287" s="1"/>
  <c r="H67" i="199"/>
  <c r="H69" i="199" s="1"/>
  <c r="H66" i="199"/>
  <c r="H68" i="199" s="1"/>
  <c r="H78" i="200"/>
  <c r="H80" i="200" s="1"/>
  <c r="O190" i="152"/>
  <c r="P75" i="123"/>
  <c r="P190" i="152" s="1"/>
  <c r="O177" i="152"/>
  <c r="P62" i="123"/>
  <c r="P177" i="152" s="1"/>
  <c r="J27" i="187"/>
  <c r="I64" i="187"/>
  <c r="I65" i="187" s="1"/>
  <c r="N202" i="152"/>
  <c r="N42" i="169"/>
  <c r="N74" i="169" s="1"/>
  <c r="N42" i="167"/>
  <c r="N74" i="167" s="1"/>
  <c r="N42" i="166"/>
  <c r="N74" i="166" s="1"/>
  <c r="O55" i="124"/>
  <c r="H67" i="191"/>
  <c r="H69" i="191" s="1"/>
  <c r="I89" i="201"/>
  <c r="I91" i="201" s="1"/>
  <c r="D14" i="127"/>
  <c r="D36" i="140"/>
  <c r="E39" i="88"/>
  <c r="E15" i="140" s="1"/>
  <c r="N218" i="152"/>
  <c r="N58" i="169"/>
  <c r="N90" i="169" s="1"/>
  <c r="N58" i="167"/>
  <c r="N90" i="167" s="1"/>
  <c r="N58" i="166"/>
  <c r="N90" i="166" s="1"/>
  <c r="O71" i="124"/>
  <c r="H88" i="194"/>
  <c r="H90" i="194" s="1"/>
  <c r="I89" i="200"/>
  <c r="I91" i="200" s="1"/>
  <c r="K29" i="196"/>
  <c r="J86" i="196"/>
  <c r="J87" i="196" s="1"/>
  <c r="C16" i="130"/>
  <c r="C34" i="130" s="1"/>
  <c r="C283" i="134"/>
  <c r="C294" i="134"/>
  <c r="G70" i="196"/>
  <c r="G94" i="196" s="1"/>
  <c r="I64" i="188"/>
  <c r="I65" i="188" s="1"/>
  <c r="J27" i="188"/>
  <c r="J28" i="189"/>
  <c r="I75" i="189"/>
  <c r="I76" i="189" s="1"/>
  <c r="N222" i="152"/>
  <c r="N62" i="169"/>
  <c r="N94" i="169" s="1"/>
  <c r="N62" i="167"/>
  <c r="N94" i="167" s="1"/>
  <c r="N62" i="166"/>
  <c r="N94" i="166" s="1"/>
  <c r="O75" i="124"/>
  <c r="I89" i="192"/>
  <c r="I91" i="192" s="1"/>
  <c r="I88" i="192"/>
  <c r="I90" i="192" s="1"/>
  <c r="H67" i="192"/>
  <c r="H69" i="192" s="1"/>
  <c r="H66" i="192"/>
  <c r="H68" i="192" s="1"/>
  <c r="J86" i="190"/>
  <c r="J87" i="190" s="1"/>
  <c r="K29" i="190"/>
  <c r="H88" i="185"/>
  <c r="H90" i="185" s="1"/>
  <c r="H92" i="185" s="1"/>
  <c r="J27" i="198"/>
  <c r="I64" i="198"/>
  <c r="I65" i="198" s="1"/>
  <c r="K267" i="152"/>
  <c r="W34" i="113"/>
  <c r="N68" i="113"/>
  <c r="N69" i="113" s="1"/>
  <c r="S205" i="95" s="1"/>
  <c r="V37" i="113"/>
  <c r="AM215" i="95"/>
  <c r="O187" i="152"/>
  <c r="P72" i="123"/>
  <c r="P187" i="152" s="1"/>
  <c r="G70" i="199"/>
  <c r="G94" i="199" s="1"/>
  <c r="I88" i="189"/>
  <c r="I90" i="189" s="1"/>
  <c r="I89" i="189"/>
  <c r="I91" i="189" s="1"/>
  <c r="G70" i="200"/>
  <c r="G94" i="200" s="1"/>
  <c r="H92" i="195"/>
  <c r="N227" i="152"/>
  <c r="N67" i="169"/>
  <c r="N99" i="169" s="1"/>
  <c r="N110" i="166" s="1"/>
  <c r="N67" i="167"/>
  <c r="N99" i="167" s="1"/>
  <c r="N108" i="166" s="1"/>
  <c r="N67" i="166"/>
  <c r="N99" i="166" s="1"/>
  <c r="N106" i="166" s="1"/>
  <c r="O80" i="124"/>
  <c r="I75" i="198"/>
  <c r="I76" i="198" s="1"/>
  <c r="J28" i="198"/>
  <c r="H78" i="187"/>
  <c r="H80" i="187" s="1"/>
  <c r="H78" i="196"/>
  <c r="H80" i="196" s="1"/>
  <c r="H67" i="185"/>
  <c r="H66" i="185"/>
  <c r="O192" i="152"/>
  <c r="P77" i="123"/>
  <c r="P192" i="152" s="1"/>
  <c r="G66" i="186"/>
  <c r="G68" i="186" s="1"/>
  <c r="H92" i="186"/>
  <c r="G66" i="201"/>
  <c r="G68" i="201" s="1"/>
  <c r="H92" i="199"/>
  <c r="J27" i="196"/>
  <c r="I64" i="196"/>
  <c r="I65" i="196" s="1"/>
  <c r="G70" i="188"/>
  <c r="H92" i="203"/>
  <c r="I88" i="185"/>
  <c r="I90" i="185" s="1"/>
  <c r="I89" i="185"/>
  <c r="I91" i="185" s="1"/>
  <c r="L133" i="209"/>
  <c r="L209" i="209" s="1"/>
  <c r="K209" i="209"/>
  <c r="I299" i="217"/>
  <c r="I618" i="217"/>
  <c r="E21" i="127"/>
  <c r="E29" i="287" s="1"/>
  <c r="J29" i="287" s="1"/>
  <c r="F46" i="88"/>
  <c r="F15" i="139" s="1"/>
  <c r="J27" i="200"/>
  <c r="I64" i="200"/>
  <c r="I65" i="200" s="1"/>
  <c r="H67" i="194"/>
  <c r="H69" i="194" s="1"/>
  <c r="H66" i="195"/>
  <c r="H68" i="195" s="1"/>
  <c r="H67" i="195"/>
  <c r="H69" i="195" s="1"/>
  <c r="I75" i="202"/>
  <c r="I76" i="202" s="1"/>
  <c r="J28" i="202"/>
  <c r="H67" i="203"/>
  <c r="H69" i="203" s="1"/>
  <c r="J261" i="152"/>
  <c r="U37" i="104"/>
  <c r="M75" i="104"/>
  <c r="M76" i="104" s="1"/>
  <c r="R204" i="95" s="1"/>
  <c r="V34" i="104"/>
  <c r="AL213" i="95"/>
  <c r="J86" i="198"/>
  <c r="J87" i="198" s="1"/>
  <c r="K29" i="198"/>
  <c r="G70" i="189"/>
  <c r="G94" i="189" s="1"/>
  <c r="K207" i="209"/>
  <c r="L131" i="209"/>
  <c r="L207" i="209" s="1"/>
  <c r="G70" i="190"/>
  <c r="G94" i="190" s="1"/>
  <c r="N209" i="152"/>
  <c r="N49" i="169"/>
  <c r="N81" i="169" s="1"/>
  <c r="O62" i="124"/>
  <c r="N49" i="167"/>
  <c r="N81" i="167" s="1"/>
  <c r="N49" i="166"/>
  <c r="N81" i="166" s="1"/>
  <c r="K203" i="209"/>
  <c r="L127" i="209"/>
  <c r="L203" i="209" s="1"/>
  <c r="G77" i="193"/>
  <c r="G79" i="193" s="1"/>
  <c r="G81" i="193" s="1"/>
  <c r="G94" i="193" s="1"/>
  <c r="C283" i="86"/>
  <c r="G487" i="92"/>
  <c r="G505" i="92"/>
  <c r="G538" i="92" s="1"/>
  <c r="G588" i="92" s="1"/>
  <c r="G638" i="92" s="1"/>
  <c r="G502" i="92"/>
  <c r="G535" i="92" s="1"/>
  <c r="G585" i="92" s="1"/>
  <c r="G635" i="92" s="1"/>
  <c r="G494" i="92"/>
  <c r="G527" i="92" s="1"/>
  <c r="G577" i="92" s="1"/>
  <c r="G627" i="92" s="1"/>
  <c r="G495" i="92"/>
  <c r="G528" i="92" s="1"/>
  <c r="G578" i="92" s="1"/>
  <c r="G628" i="92" s="1"/>
  <c r="G498" i="92"/>
  <c r="G531" i="92" s="1"/>
  <c r="G581" i="92" s="1"/>
  <c r="G631" i="92" s="1"/>
  <c r="G492" i="92"/>
  <c r="G525" i="92" s="1"/>
  <c r="G575" i="92" s="1"/>
  <c r="G625" i="92" s="1"/>
  <c r="G497" i="92"/>
  <c r="G530" i="92" s="1"/>
  <c r="G580" i="92" s="1"/>
  <c r="G630" i="92" s="1"/>
  <c r="G501" i="92"/>
  <c r="G534" i="92" s="1"/>
  <c r="G584" i="92" s="1"/>
  <c r="G634" i="92" s="1"/>
  <c r="G503" i="92"/>
  <c r="G536" i="92" s="1"/>
  <c r="G586" i="92" s="1"/>
  <c r="G636" i="92" s="1"/>
  <c r="G496" i="92"/>
  <c r="G529" i="92" s="1"/>
  <c r="G579" i="92" s="1"/>
  <c r="G629" i="92" s="1"/>
  <c r="G488" i="92"/>
  <c r="G521" i="92" s="1"/>
  <c r="G571" i="92" s="1"/>
  <c r="G621" i="92" s="1"/>
  <c r="G489" i="92"/>
  <c r="G522" i="92" s="1"/>
  <c r="G572" i="92" s="1"/>
  <c r="G622" i="92" s="1"/>
  <c r="G499" i="92"/>
  <c r="G532" i="92" s="1"/>
  <c r="G582" i="92" s="1"/>
  <c r="G632" i="92" s="1"/>
  <c r="G493" i="92"/>
  <c r="G526" i="92" s="1"/>
  <c r="G576" i="92" s="1"/>
  <c r="G626" i="92" s="1"/>
  <c r="G490" i="92"/>
  <c r="G523" i="92" s="1"/>
  <c r="G573" i="92" s="1"/>
  <c r="G623" i="92" s="1"/>
  <c r="G500" i="92"/>
  <c r="G533" i="92" s="1"/>
  <c r="G583" i="92" s="1"/>
  <c r="G633" i="92" s="1"/>
  <c r="G504" i="92"/>
  <c r="G537" i="92" s="1"/>
  <c r="G587" i="92" s="1"/>
  <c r="G637" i="92" s="1"/>
  <c r="G491" i="92"/>
  <c r="G524" i="92" s="1"/>
  <c r="G574" i="92" s="1"/>
  <c r="G624" i="92" s="1"/>
  <c r="N211" i="152"/>
  <c r="N51" i="169"/>
  <c r="N83" i="169" s="1"/>
  <c r="O64" i="124"/>
  <c r="N51" i="167"/>
  <c r="N83" i="167" s="1"/>
  <c r="N51" i="166"/>
  <c r="N83" i="166" s="1"/>
  <c r="I75" i="199"/>
  <c r="I76" i="199" s="1"/>
  <c r="J28" i="199"/>
  <c r="S15" i="92"/>
  <c r="T57" i="113"/>
  <c r="E23" i="127"/>
  <c r="E31" i="287" s="1"/>
  <c r="J31" i="287" s="1"/>
  <c r="F48" i="88"/>
  <c r="F15" i="142" s="1"/>
  <c r="E28" i="127"/>
  <c r="F53" i="88"/>
  <c r="F15" i="146" s="1"/>
  <c r="J240" i="209"/>
  <c r="O186" i="152"/>
  <c r="P71" i="123"/>
  <c r="P186" i="152" s="1"/>
  <c r="K199" i="209"/>
  <c r="L123" i="209"/>
  <c r="L199" i="209" s="1"/>
  <c r="H78" i="190"/>
  <c r="H80" i="190" s="1"/>
  <c r="H77" i="190"/>
  <c r="H79" i="190" s="1"/>
  <c r="H81" i="190" s="1"/>
  <c r="K211" i="209"/>
  <c r="L135" i="209"/>
  <c r="L211" i="209" s="1"/>
  <c r="H88" i="187"/>
  <c r="H90" i="187" s="1"/>
  <c r="H92" i="187" s="1"/>
  <c r="G66" i="195"/>
  <c r="G68" i="195" s="1"/>
  <c r="G70" i="195" s="1"/>
  <c r="O178" i="152"/>
  <c r="P63" i="123"/>
  <c r="P178" i="152" s="1"/>
  <c r="C22" i="130"/>
  <c r="C283" i="141"/>
  <c r="C294" i="141"/>
  <c r="C296" i="140"/>
  <c r="C371" i="140"/>
  <c r="C30" i="130"/>
  <c r="C283" i="148"/>
  <c r="C294" i="148"/>
  <c r="H67" i="189"/>
  <c r="H69" i="189" s="1"/>
  <c r="H66" i="189"/>
  <c r="H68" i="189" s="1"/>
  <c r="H67" i="190"/>
  <c r="H69" i="190" s="1"/>
  <c r="H66" i="190"/>
  <c r="H68" i="190" s="1"/>
  <c r="K206" i="209"/>
  <c r="L130" i="209"/>
  <c r="L206" i="209" s="1"/>
  <c r="H92" i="192"/>
  <c r="J86" i="188"/>
  <c r="J87" i="188" s="1"/>
  <c r="K29" i="188"/>
  <c r="F36" i="142"/>
  <c r="F369" i="142" s="1"/>
  <c r="F24" i="88"/>
  <c r="F21" i="88"/>
  <c r="F36" i="138"/>
  <c r="F369" i="138" s="1"/>
  <c r="F36" i="162"/>
  <c r="F369" i="162" s="1"/>
  <c r="F25" i="88"/>
  <c r="F36" i="141"/>
  <c r="F369" i="141" s="1"/>
  <c r="F23" i="88"/>
  <c r="F520" i="92"/>
  <c r="F506" i="92"/>
  <c r="F507" i="92" s="1"/>
  <c r="N205" i="152"/>
  <c r="N45" i="169"/>
  <c r="N77" i="169" s="1"/>
  <c r="O58" i="124"/>
  <c r="N45" i="167"/>
  <c r="N77" i="167" s="1"/>
  <c r="N45" i="166"/>
  <c r="N77" i="166" s="1"/>
  <c r="I89" i="197"/>
  <c r="I91" i="197" s="1"/>
  <c r="D589" i="92"/>
  <c r="D590" i="92" s="1"/>
  <c r="D620" i="92"/>
  <c r="G70" i="198"/>
  <c r="G94" i="198" s="1"/>
  <c r="E20" i="127"/>
  <c r="E28" i="287" s="1"/>
  <c r="J28" i="287" s="1"/>
  <c r="F45" i="88"/>
  <c r="F15" i="138" s="1"/>
  <c r="E24" i="127"/>
  <c r="E32" i="287" s="1"/>
  <c r="J32" i="287" s="1"/>
  <c r="F49" i="88"/>
  <c r="F15" i="162" s="1"/>
  <c r="R54" i="104"/>
  <c r="R63" i="104"/>
  <c r="J86" i="187"/>
  <c r="J87" i="187" s="1"/>
  <c r="K29" i="187"/>
  <c r="G77" i="201"/>
  <c r="G79" i="201" s="1"/>
  <c r="G81" i="201" s="1"/>
  <c r="G94" i="201" s="1"/>
  <c r="N206" i="152"/>
  <c r="N46" i="169"/>
  <c r="N78" i="169" s="1"/>
  <c r="N46" i="167"/>
  <c r="N78" i="167" s="1"/>
  <c r="N46" i="166"/>
  <c r="N78" i="166" s="1"/>
  <c r="O59" i="124"/>
  <c r="J27" i="202"/>
  <c r="I64" i="202"/>
  <c r="I65" i="202" s="1"/>
  <c r="H92" i="194"/>
  <c r="I64" i="186"/>
  <c r="I65" i="186" s="1"/>
  <c r="J27" i="186"/>
  <c r="H67" i="201"/>
  <c r="H69" i="201" s="1"/>
  <c r="H66" i="201"/>
  <c r="H68" i="201" s="1"/>
  <c r="N219" i="152"/>
  <c r="N59" i="169"/>
  <c r="N91" i="169" s="1"/>
  <c r="N59" i="167"/>
  <c r="N91" i="167" s="1"/>
  <c r="N59" i="166"/>
  <c r="N91" i="166" s="1"/>
  <c r="O72" i="124"/>
  <c r="I89" i="196"/>
  <c r="I91" i="196" s="1"/>
  <c r="K198" i="209"/>
  <c r="L122" i="209"/>
  <c r="L198" i="209" s="1"/>
  <c r="H66" i="188"/>
  <c r="H68" i="188" s="1"/>
  <c r="H67" i="188"/>
  <c r="H69" i="188" s="1"/>
  <c r="O176" i="152"/>
  <c r="P61" i="123"/>
  <c r="P176" i="152" s="1"/>
  <c r="N220" i="152"/>
  <c r="N60" i="169"/>
  <c r="N92" i="169" s="1"/>
  <c r="N60" i="167"/>
  <c r="N92" i="167" s="1"/>
  <c r="N60" i="166"/>
  <c r="N92" i="166" s="1"/>
  <c r="O73" i="124"/>
  <c r="J27" i="192"/>
  <c r="I64" i="192"/>
  <c r="I65" i="192" s="1"/>
  <c r="I89" i="190"/>
  <c r="I91" i="190" s="1"/>
  <c r="I88" i="190"/>
  <c r="I90" i="190" s="1"/>
  <c r="E31" i="127"/>
  <c r="E39" i="287" s="1"/>
  <c r="J39" i="287" s="1"/>
  <c r="F56" i="88"/>
  <c r="F15" i="149" s="1"/>
  <c r="H78" i="186"/>
  <c r="H80" i="186" s="1"/>
  <c r="O191" i="152"/>
  <c r="P76" i="123"/>
  <c r="P191" i="152" s="1"/>
  <c r="C32" i="130"/>
  <c r="C283" i="150"/>
  <c r="C294" i="150"/>
  <c r="G94" i="188"/>
  <c r="N203" i="152"/>
  <c r="N43" i="169"/>
  <c r="N75" i="169" s="1"/>
  <c r="O56" i="124"/>
  <c r="N43" i="167"/>
  <c r="N75" i="167" s="1"/>
  <c r="N43" i="166"/>
  <c r="N75" i="166" s="1"/>
  <c r="G70" i="194"/>
  <c r="G94" i="194" s="1"/>
  <c r="G66" i="191"/>
  <c r="G68" i="191" s="1"/>
  <c r="G70" i="191" s="1"/>
  <c r="J28" i="187"/>
  <c r="I75" i="187"/>
  <c r="I76" i="187" s="1"/>
  <c r="I75" i="201"/>
  <c r="I76" i="201" s="1"/>
  <c r="J28" i="201"/>
  <c r="G77" i="197"/>
  <c r="G79" i="197" s="1"/>
  <c r="G81" i="197" s="1"/>
  <c r="G94" i="197" s="1"/>
  <c r="I64" i="185"/>
  <c r="I65" i="185" s="1"/>
  <c r="J27" i="185"/>
  <c r="G70" i="186"/>
  <c r="G70" i="201"/>
  <c r="J86" i="202"/>
  <c r="J87" i="202" s="1"/>
  <c r="K29" i="202"/>
  <c r="O180" i="152"/>
  <c r="P65" i="123"/>
  <c r="P180" i="152" s="1"/>
  <c r="I64" i="197"/>
  <c r="I65" i="197" s="1"/>
  <c r="J27" i="197"/>
  <c r="H78" i="191"/>
  <c r="H80" i="191" s="1"/>
  <c r="H78" i="192"/>
  <c r="H80" i="192" s="1"/>
  <c r="H77" i="192"/>
  <c r="H79" i="192" s="1"/>
  <c r="H81" i="192" s="1"/>
  <c r="J235" i="209"/>
  <c r="E33" i="127"/>
  <c r="E41" i="287" s="1"/>
  <c r="J41" i="287" s="1"/>
  <c r="F58" i="88"/>
  <c r="F15" i="151" s="1"/>
  <c r="G77" i="186"/>
  <c r="G79" i="186" s="1"/>
  <c r="G81" i="186" s="1"/>
  <c r="G94" i="186" s="1"/>
  <c r="H78" i="185"/>
  <c r="H80" i="185" s="1"/>
  <c r="H66" i="200"/>
  <c r="H68" i="200" s="1"/>
  <c r="H67" i="200"/>
  <c r="H69" i="200" s="1"/>
  <c r="C29" i="130"/>
  <c r="C283" i="147"/>
  <c r="C294" i="147"/>
  <c r="K29" i="193"/>
  <c r="J86" i="193"/>
  <c r="J87" i="193" s="1"/>
  <c r="G77" i="195"/>
  <c r="G79" i="195" s="1"/>
  <c r="G81" i="195" s="1"/>
  <c r="G94" i="195" s="1"/>
  <c r="I240" i="217"/>
  <c r="I181" i="217"/>
  <c r="I54" i="217"/>
  <c r="H78" i="202"/>
  <c r="H80" i="202" s="1"/>
  <c r="G68" i="185"/>
  <c r="I64" i="203"/>
  <c r="I65" i="203" s="1"/>
  <c r="J27" i="203"/>
  <c r="I89" i="198"/>
  <c r="I91" i="198" s="1"/>
  <c r="I88" i="198"/>
  <c r="I90" i="198" s="1"/>
  <c r="G66" i="197"/>
  <c r="G68" i="197" s="1"/>
  <c r="G70" i="197" s="1"/>
  <c r="J86" i="199"/>
  <c r="J87" i="199" s="1"/>
  <c r="K29" i="199"/>
  <c r="G77" i="191"/>
  <c r="G79" i="191" s="1"/>
  <c r="G81" i="191" s="1"/>
  <c r="G94" i="191" s="1"/>
  <c r="C26" i="130"/>
  <c r="C283" i="144"/>
  <c r="C294" i="144"/>
  <c r="D15" i="86"/>
  <c r="D67" i="88"/>
  <c r="C63" i="127"/>
  <c r="C34" i="127"/>
  <c r="C23" i="287"/>
  <c r="H23" i="287" s="1"/>
  <c r="C296" i="86"/>
  <c r="C371" i="86"/>
  <c r="C331" i="86"/>
  <c r="S54" i="104" l="1"/>
  <c r="S63" i="104"/>
  <c r="G94" i="202"/>
  <c r="U57" i="113"/>
  <c r="T15" i="92"/>
  <c r="J64" i="203"/>
  <c r="J65" i="203" s="1"/>
  <c r="K27" i="203"/>
  <c r="C371" i="147"/>
  <c r="C296" i="147"/>
  <c r="J64" i="197"/>
  <c r="J65" i="197" s="1"/>
  <c r="K27" i="197"/>
  <c r="K86" i="202"/>
  <c r="K87" i="202" s="1"/>
  <c r="L29" i="202"/>
  <c r="L86" i="202" s="1"/>
  <c r="L87" i="202" s="1"/>
  <c r="J64" i="185"/>
  <c r="J65" i="185" s="1"/>
  <c r="K27" i="185"/>
  <c r="I78" i="201"/>
  <c r="I80" i="201" s="1"/>
  <c r="O220" i="152"/>
  <c r="O60" i="169"/>
  <c r="O92" i="169" s="1"/>
  <c r="O60" i="167"/>
  <c r="O92" i="167" s="1"/>
  <c r="O60" i="166"/>
  <c r="O92" i="166" s="1"/>
  <c r="P73" i="124"/>
  <c r="K27" i="186"/>
  <c r="J64" i="186"/>
  <c r="J65" i="186" s="1"/>
  <c r="K27" i="202"/>
  <c r="J64" i="202"/>
  <c r="J65" i="202" s="1"/>
  <c r="J89" i="187"/>
  <c r="J91" i="187" s="1"/>
  <c r="O205" i="152"/>
  <c r="O45" i="169"/>
  <c r="O77" i="169" s="1"/>
  <c r="P58" i="124"/>
  <c r="O45" i="167"/>
  <c r="O77" i="167" s="1"/>
  <c r="O45" i="166"/>
  <c r="O77" i="166" s="1"/>
  <c r="F570" i="92"/>
  <c r="F539" i="92"/>
  <c r="F540" i="92" s="1"/>
  <c r="E36" i="287"/>
  <c r="J36" i="287" s="1"/>
  <c r="E76" i="287"/>
  <c r="H487" i="92"/>
  <c r="H499" i="92"/>
  <c r="H532" i="92" s="1"/>
  <c r="H582" i="92" s="1"/>
  <c r="H632" i="92" s="1"/>
  <c r="H500" i="92"/>
  <c r="H533" i="92" s="1"/>
  <c r="H583" i="92" s="1"/>
  <c r="H633" i="92" s="1"/>
  <c r="H503" i="92"/>
  <c r="H536" i="92" s="1"/>
  <c r="H586" i="92" s="1"/>
  <c r="H636" i="92" s="1"/>
  <c r="H491" i="92"/>
  <c r="H524" i="92" s="1"/>
  <c r="H574" i="92" s="1"/>
  <c r="H624" i="92" s="1"/>
  <c r="H498" i="92"/>
  <c r="H531" i="92" s="1"/>
  <c r="H581" i="92" s="1"/>
  <c r="H631" i="92" s="1"/>
  <c r="H501" i="92"/>
  <c r="H534" i="92" s="1"/>
  <c r="H584" i="92" s="1"/>
  <c r="H634" i="92" s="1"/>
  <c r="H494" i="92"/>
  <c r="H527" i="92" s="1"/>
  <c r="H577" i="92" s="1"/>
  <c r="H627" i="92" s="1"/>
  <c r="H492" i="92"/>
  <c r="H525" i="92" s="1"/>
  <c r="H575" i="92" s="1"/>
  <c r="H625" i="92" s="1"/>
  <c r="H496" i="92"/>
  <c r="H529" i="92" s="1"/>
  <c r="H579" i="92" s="1"/>
  <c r="H629" i="92" s="1"/>
  <c r="H495" i="92"/>
  <c r="H528" i="92" s="1"/>
  <c r="H578" i="92" s="1"/>
  <c r="H628" i="92" s="1"/>
  <c r="H489" i="92"/>
  <c r="H522" i="92" s="1"/>
  <c r="H572" i="92" s="1"/>
  <c r="H622" i="92" s="1"/>
  <c r="H505" i="92"/>
  <c r="H538" i="92" s="1"/>
  <c r="H588" i="92" s="1"/>
  <c r="H638" i="92" s="1"/>
  <c r="H488" i="92"/>
  <c r="H521" i="92" s="1"/>
  <c r="H571" i="92" s="1"/>
  <c r="H621" i="92" s="1"/>
  <c r="H502" i="92"/>
  <c r="H535" i="92" s="1"/>
  <c r="H585" i="92" s="1"/>
  <c r="H635" i="92" s="1"/>
  <c r="H497" i="92"/>
  <c r="H530" i="92" s="1"/>
  <c r="H580" i="92" s="1"/>
  <c r="H630" i="92" s="1"/>
  <c r="H504" i="92"/>
  <c r="H537" i="92" s="1"/>
  <c r="H587" i="92" s="1"/>
  <c r="H637" i="92" s="1"/>
  <c r="H493" i="92"/>
  <c r="H526" i="92" s="1"/>
  <c r="H576" i="92" s="1"/>
  <c r="H626" i="92" s="1"/>
  <c r="H490" i="92"/>
  <c r="H523" i="92" s="1"/>
  <c r="H573" i="92" s="1"/>
  <c r="H623" i="92" s="1"/>
  <c r="G20" i="88"/>
  <c r="G36" i="137"/>
  <c r="G369" i="137" s="1"/>
  <c r="G22" i="88"/>
  <c r="G36" i="139"/>
  <c r="G369" i="139" s="1"/>
  <c r="G25" i="88"/>
  <c r="G36" i="162"/>
  <c r="G369" i="162" s="1"/>
  <c r="G21" i="88"/>
  <c r="G36" i="138"/>
  <c r="G369" i="138" s="1"/>
  <c r="G36" i="148"/>
  <c r="G369" i="148" s="1"/>
  <c r="G31" i="88"/>
  <c r="K86" i="198"/>
  <c r="K87" i="198" s="1"/>
  <c r="L29" i="198"/>
  <c r="L86" i="198" s="1"/>
  <c r="L87" i="198" s="1"/>
  <c r="K27" i="200"/>
  <c r="J64" i="200"/>
  <c r="J65" i="200" s="1"/>
  <c r="I67" i="196"/>
  <c r="I69" i="196" s="1"/>
  <c r="I66" i="196"/>
  <c r="I68" i="196" s="1"/>
  <c r="H68" i="185"/>
  <c r="I78" i="198"/>
  <c r="I80" i="198" s="1"/>
  <c r="I77" i="198"/>
  <c r="I79" i="198" s="1"/>
  <c r="I81" i="198" s="1"/>
  <c r="J64" i="198"/>
  <c r="J65" i="198" s="1"/>
  <c r="K27" i="198"/>
  <c r="O222" i="152"/>
  <c r="O62" i="169"/>
  <c r="O94" i="169" s="1"/>
  <c r="O62" i="167"/>
  <c r="O94" i="167" s="1"/>
  <c r="O62" i="166"/>
  <c r="O94" i="166" s="1"/>
  <c r="P75" i="124"/>
  <c r="I66" i="188"/>
  <c r="I68" i="188" s="1"/>
  <c r="I67" i="188"/>
  <c r="I69" i="188" s="1"/>
  <c r="D369" i="140"/>
  <c r="I67" i="187"/>
  <c r="I69" i="187" s="1"/>
  <c r="I66" i="187"/>
  <c r="I68" i="187" s="1"/>
  <c r="C331" i="138"/>
  <c r="C296" i="138"/>
  <c r="C371" i="138"/>
  <c r="T49" i="104"/>
  <c r="T51" i="104" s="1"/>
  <c r="T53" i="104" s="1"/>
  <c r="K28" i="197"/>
  <c r="J75" i="197"/>
  <c r="J76" i="197" s="1"/>
  <c r="J64" i="195"/>
  <c r="J65" i="195" s="1"/>
  <c r="K27" i="195"/>
  <c r="J88" i="185"/>
  <c r="J90" i="185" s="1"/>
  <c r="J89" i="185"/>
  <c r="J91" i="185" s="1"/>
  <c r="C371" i="142"/>
  <c r="C296" i="142"/>
  <c r="K28" i="196"/>
  <c r="J75" i="196"/>
  <c r="J76" i="196" s="1"/>
  <c r="O226" i="152"/>
  <c r="O66" i="169"/>
  <c r="O98" i="169" s="1"/>
  <c r="O66" i="167"/>
  <c r="O98" i="167" s="1"/>
  <c r="O66" i="166"/>
  <c r="O98" i="166" s="1"/>
  <c r="P79" i="124"/>
  <c r="J89" i="200"/>
  <c r="J91" i="200" s="1"/>
  <c r="I67" i="191"/>
  <c r="I69" i="191" s="1"/>
  <c r="I66" i="199"/>
  <c r="I68" i="199" s="1"/>
  <c r="I67" i="199"/>
  <c r="I69" i="199" s="1"/>
  <c r="G58" i="88"/>
  <c r="G15" i="151" s="1"/>
  <c r="F33" i="127"/>
  <c r="F41" i="287" s="1"/>
  <c r="K41" i="287" s="1"/>
  <c r="G57" i="88"/>
  <c r="G15" i="150" s="1"/>
  <c r="F32" i="127"/>
  <c r="F40" i="287" s="1"/>
  <c r="K40" i="287" s="1"/>
  <c r="K86" i="191"/>
  <c r="K87" i="191" s="1"/>
  <c r="L29" i="191"/>
  <c r="L86" i="191" s="1"/>
  <c r="L87" i="191" s="1"/>
  <c r="L29" i="203"/>
  <c r="L86" i="203" s="1"/>
  <c r="L87" i="203" s="1"/>
  <c r="K86" i="203"/>
  <c r="K87" i="203" s="1"/>
  <c r="J75" i="203"/>
  <c r="J76" i="203" s="1"/>
  <c r="K28" i="203"/>
  <c r="K86" i="195"/>
  <c r="K87" i="195" s="1"/>
  <c r="L29" i="195"/>
  <c r="L86" i="195" s="1"/>
  <c r="L87" i="195" s="1"/>
  <c r="J89" i="204"/>
  <c r="J91" i="204" s="1"/>
  <c r="C296" i="162"/>
  <c r="C371" i="162"/>
  <c r="K28" i="192"/>
  <c r="J75" i="192"/>
  <c r="J76" i="192" s="1"/>
  <c r="K216" i="209"/>
  <c r="K215" i="209"/>
  <c r="K222" i="209" s="1"/>
  <c r="C371" i="143"/>
  <c r="C296" i="143"/>
  <c r="I78" i="186"/>
  <c r="I80" i="186" s="1"/>
  <c r="J224" i="209"/>
  <c r="O224" i="152"/>
  <c r="O64" i="169"/>
  <c r="O96" i="169" s="1"/>
  <c r="O64" i="167"/>
  <c r="O96" i="167" s="1"/>
  <c r="O64" i="166"/>
  <c r="O96" i="166" s="1"/>
  <c r="P77" i="124"/>
  <c r="F17" i="127"/>
  <c r="F25" i="287" s="1"/>
  <c r="K25" i="287" s="1"/>
  <c r="G42" i="88"/>
  <c r="G15" i="135" s="1"/>
  <c r="I67" i="189"/>
  <c r="I69" i="189" s="1"/>
  <c r="I66" i="189"/>
  <c r="I68" i="189" s="1"/>
  <c r="J237" i="209"/>
  <c r="K28" i="190"/>
  <c r="J75" i="190"/>
  <c r="J76" i="190" s="1"/>
  <c r="E620" i="92"/>
  <c r="E589" i="92"/>
  <c r="E590" i="92" s="1"/>
  <c r="J229" i="209"/>
  <c r="J233" i="209"/>
  <c r="I67" i="203"/>
  <c r="I69" i="203" s="1"/>
  <c r="H77" i="202"/>
  <c r="H79" i="202" s="1"/>
  <c r="H81" i="202" s="1"/>
  <c r="H94" i="202" s="1"/>
  <c r="H77" i="185"/>
  <c r="H79" i="185" s="1"/>
  <c r="H81" i="185" s="1"/>
  <c r="H94" i="185" s="1"/>
  <c r="I67" i="197"/>
  <c r="I69" i="197" s="1"/>
  <c r="J89" i="202"/>
  <c r="J91" i="202" s="1"/>
  <c r="J88" i="202"/>
  <c r="J90" i="202" s="1"/>
  <c r="I66" i="185"/>
  <c r="I67" i="185"/>
  <c r="I78" i="187"/>
  <c r="I80" i="187" s="1"/>
  <c r="I77" i="187"/>
  <c r="I79" i="187" s="1"/>
  <c r="I81" i="187" s="1"/>
  <c r="H77" i="186"/>
  <c r="H79" i="186" s="1"/>
  <c r="H81" i="186" s="1"/>
  <c r="H94" i="186" s="1"/>
  <c r="I92" i="190"/>
  <c r="O219" i="152"/>
  <c r="O59" i="169"/>
  <c r="O91" i="169" s="1"/>
  <c r="O59" i="167"/>
  <c r="O91" i="167" s="1"/>
  <c r="O59" i="166"/>
  <c r="O91" i="166" s="1"/>
  <c r="P72" i="124"/>
  <c r="I66" i="186"/>
  <c r="I68" i="186" s="1"/>
  <c r="I67" i="186"/>
  <c r="I69" i="186" s="1"/>
  <c r="O206" i="152"/>
  <c r="O46" i="169"/>
  <c r="O78" i="169" s="1"/>
  <c r="P59" i="124"/>
  <c r="O46" i="167"/>
  <c r="O78" i="167" s="1"/>
  <c r="O46" i="166"/>
  <c r="O78" i="166" s="1"/>
  <c r="J238" i="209"/>
  <c r="D639" i="92"/>
  <c r="D640" i="92" s="1"/>
  <c r="D16" i="88"/>
  <c r="D36" i="86"/>
  <c r="D369" i="86" s="1"/>
  <c r="I88" i="197"/>
  <c r="I90" i="197" s="1"/>
  <c r="I92" i="197" s="1"/>
  <c r="F22" i="127"/>
  <c r="F30" i="287" s="1"/>
  <c r="K30" i="287" s="1"/>
  <c r="G47" i="88"/>
  <c r="G15" i="141" s="1"/>
  <c r="K86" i="188"/>
  <c r="K87" i="188" s="1"/>
  <c r="L29" i="188"/>
  <c r="L86" i="188" s="1"/>
  <c r="L87" i="188" s="1"/>
  <c r="K232" i="209"/>
  <c r="H70" i="189"/>
  <c r="J75" i="199"/>
  <c r="J76" i="199" s="1"/>
  <c r="K28" i="199"/>
  <c r="O211" i="152"/>
  <c r="O51" i="169"/>
  <c r="O83" i="169" s="1"/>
  <c r="O51" i="167"/>
  <c r="O83" i="167" s="1"/>
  <c r="O51" i="166"/>
  <c r="O83" i="166" s="1"/>
  <c r="P64" i="124"/>
  <c r="G36" i="150"/>
  <c r="G369" i="150" s="1"/>
  <c r="G33" i="88"/>
  <c r="G28" i="88"/>
  <c r="G36" i="145"/>
  <c r="G369" i="145" s="1"/>
  <c r="G36" i="149"/>
  <c r="G369" i="149" s="1"/>
  <c r="G32" i="88"/>
  <c r="G27" i="88"/>
  <c r="G36" i="144"/>
  <c r="G369" i="144" s="1"/>
  <c r="G36" i="151"/>
  <c r="G369" i="151" s="1"/>
  <c r="G34" i="88"/>
  <c r="O209" i="152"/>
  <c r="P62" i="124"/>
  <c r="O49" i="167"/>
  <c r="O81" i="167" s="1"/>
  <c r="O49" i="166"/>
  <c r="O81" i="166" s="1"/>
  <c r="O49" i="169"/>
  <c r="O81" i="169" s="1"/>
  <c r="J89" i="198"/>
  <c r="J91" i="198" s="1"/>
  <c r="J88" i="198"/>
  <c r="J90" i="198" s="1"/>
  <c r="J260" i="152"/>
  <c r="U41" i="104"/>
  <c r="U38" i="104"/>
  <c r="U46" i="104"/>
  <c r="J75" i="202"/>
  <c r="J76" i="202" s="1"/>
  <c r="K28" i="202"/>
  <c r="H66" i="194"/>
  <c r="H68" i="194" s="1"/>
  <c r="K235" i="209"/>
  <c r="J64" i="196"/>
  <c r="J65" i="196" s="1"/>
  <c r="K27" i="196"/>
  <c r="H77" i="187"/>
  <c r="H79" i="187" s="1"/>
  <c r="H81" i="187" s="1"/>
  <c r="H94" i="187" s="1"/>
  <c r="O227" i="152"/>
  <c r="O67" i="169"/>
  <c r="O99" i="169" s="1"/>
  <c r="O110" i="166" s="1"/>
  <c r="O67" i="167"/>
  <c r="O99" i="167" s="1"/>
  <c r="O108" i="166" s="1"/>
  <c r="O67" i="166"/>
  <c r="O99" i="166" s="1"/>
  <c r="O106" i="166" s="1"/>
  <c r="P80" i="124"/>
  <c r="I92" i="189"/>
  <c r="L267" i="152"/>
  <c r="O68" i="113"/>
  <c r="O69" i="113" s="1"/>
  <c r="T205" i="95" s="1"/>
  <c r="W37" i="113"/>
  <c r="X34" i="113"/>
  <c r="AN215" i="95"/>
  <c r="H70" i="192"/>
  <c r="I78" i="189"/>
  <c r="I80" i="189" s="1"/>
  <c r="J89" i="196"/>
  <c r="J91" i="196" s="1"/>
  <c r="J26" i="217"/>
  <c r="J54" i="217" s="1"/>
  <c r="D22" i="287"/>
  <c r="I22" i="287" s="1"/>
  <c r="H66" i="191"/>
  <c r="H68" i="191" s="1"/>
  <c r="H70" i="191" s="1"/>
  <c r="H94" i="191" s="1"/>
  <c r="J64" i="187"/>
  <c r="J65" i="187" s="1"/>
  <c r="K27" i="187"/>
  <c r="H70" i="199"/>
  <c r="E62" i="127"/>
  <c r="E24" i="287"/>
  <c r="J24" i="287" s="1"/>
  <c r="J89" i="197"/>
  <c r="J91" i="197" s="1"/>
  <c r="F26" i="127"/>
  <c r="G51" i="88"/>
  <c r="G15" i="144" s="1"/>
  <c r="F19" i="127"/>
  <c r="F27" i="287" s="1"/>
  <c r="K27" i="287" s="1"/>
  <c r="G44" i="88"/>
  <c r="G15" i="137" s="1"/>
  <c r="G41" i="88"/>
  <c r="G15" i="134" s="1"/>
  <c r="F16" i="127"/>
  <c r="O217" i="152"/>
  <c r="O57" i="169"/>
  <c r="O89" i="169" s="1"/>
  <c r="O57" i="167"/>
  <c r="O89" i="167" s="1"/>
  <c r="O57" i="166"/>
  <c r="O89" i="166" s="1"/>
  <c r="P70" i="124"/>
  <c r="J236" i="209"/>
  <c r="H77" i="199"/>
  <c r="H79" i="199" s="1"/>
  <c r="H81" i="199" s="1"/>
  <c r="I88" i="203"/>
  <c r="I90" i="203" s="1"/>
  <c r="I88" i="186"/>
  <c r="I90" i="186" s="1"/>
  <c r="I92" i="186" s="1"/>
  <c r="I78" i="197"/>
  <c r="I80" i="197" s="1"/>
  <c r="I66" i="195"/>
  <c r="I68" i="195" s="1"/>
  <c r="I67" i="195"/>
  <c r="I69" i="195" s="1"/>
  <c r="H66" i="204"/>
  <c r="H68" i="204" s="1"/>
  <c r="H70" i="204" s="1"/>
  <c r="J221" i="209"/>
  <c r="O223" i="152"/>
  <c r="O63" i="169"/>
  <c r="O95" i="169" s="1"/>
  <c r="O63" i="167"/>
  <c r="O95" i="167" s="1"/>
  <c r="O63" i="166"/>
  <c r="O95" i="166" s="1"/>
  <c r="P76" i="124"/>
  <c r="I78" i="196"/>
  <c r="I80" i="196" s="1"/>
  <c r="H77" i="198"/>
  <c r="H79" i="198" s="1"/>
  <c r="H81" i="198" s="1"/>
  <c r="K86" i="189"/>
  <c r="K87" i="189" s="1"/>
  <c r="L29" i="189"/>
  <c r="L86" i="189" s="1"/>
  <c r="L87" i="189" s="1"/>
  <c r="H66" i="198"/>
  <c r="H68" i="198" s="1"/>
  <c r="K234" i="209"/>
  <c r="K86" i="192"/>
  <c r="K87" i="192" s="1"/>
  <c r="L29" i="192"/>
  <c r="L86" i="192" s="1"/>
  <c r="L87" i="192" s="1"/>
  <c r="H77" i="189"/>
  <c r="H79" i="189" s="1"/>
  <c r="H81" i="189" s="1"/>
  <c r="H94" i="189" s="1"/>
  <c r="J228" i="209"/>
  <c r="K86" i="201"/>
  <c r="K87" i="201" s="1"/>
  <c r="L29" i="201"/>
  <c r="L86" i="201" s="1"/>
  <c r="L87" i="201" s="1"/>
  <c r="H66" i="187"/>
  <c r="H68" i="187" s="1"/>
  <c r="I78" i="200"/>
  <c r="I80" i="200" s="1"/>
  <c r="E33" i="287"/>
  <c r="J33" i="287" s="1"/>
  <c r="E77" i="287"/>
  <c r="F30" i="127"/>
  <c r="F38" i="287" s="1"/>
  <c r="K38" i="287" s="1"/>
  <c r="G55" i="88"/>
  <c r="G15" i="148" s="1"/>
  <c r="J89" i="191"/>
  <c r="J91" i="191" s="1"/>
  <c r="J88" i="191"/>
  <c r="J90" i="191" s="1"/>
  <c r="K28" i="195"/>
  <c r="J75" i="195"/>
  <c r="J76" i="195" s="1"/>
  <c r="H77" i="204"/>
  <c r="H79" i="204" s="1"/>
  <c r="H81" i="204" s="1"/>
  <c r="K27" i="193"/>
  <c r="J64" i="193"/>
  <c r="J65" i="193" s="1"/>
  <c r="J88" i="203"/>
  <c r="J90" i="203" s="1"/>
  <c r="J89" i="203"/>
  <c r="J91" i="203" s="1"/>
  <c r="I88" i="199"/>
  <c r="I90" i="199" s="1"/>
  <c r="I92" i="199" s="1"/>
  <c r="K86" i="186"/>
  <c r="K87" i="186" s="1"/>
  <c r="L29" i="186"/>
  <c r="L86" i="186" s="1"/>
  <c r="L87" i="186" s="1"/>
  <c r="I92" i="193"/>
  <c r="K27" i="204"/>
  <c r="J64" i="204"/>
  <c r="J65" i="204" s="1"/>
  <c r="I77" i="185"/>
  <c r="I79" i="185" s="1"/>
  <c r="I81" i="185" s="1"/>
  <c r="I78" i="185"/>
  <c r="I80" i="185" s="1"/>
  <c r="E14" i="127"/>
  <c r="E36" i="140"/>
  <c r="F39" i="88"/>
  <c r="F15" i="140" s="1"/>
  <c r="K28" i="191"/>
  <c r="J75" i="191"/>
  <c r="J76" i="191" s="1"/>
  <c r="J226" i="209"/>
  <c r="E34" i="287"/>
  <c r="J34" i="287" s="1"/>
  <c r="E78" i="287"/>
  <c r="J234" i="209"/>
  <c r="J64" i="201"/>
  <c r="J65" i="201" s="1"/>
  <c r="K27" i="201"/>
  <c r="H70" i="202"/>
  <c r="I92" i="187"/>
  <c r="K238" i="209"/>
  <c r="F25" i="127"/>
  <c r="G50" i="88"/>
  <c r="G15" i="143" s="1"/>
  <c r="I92" i="188"/>
  <c r="J232" i="209"/>
  <c r="J64" i="189"/>
  <c r="J65" i="189" s="1"/>
  <c r="K27" i="189"/>
  <c r="J88" i="194"/>
  <c r="J90" i="194" s="1"/>
  <c r="J89" i="194"/>
  <c r="J91" i="194" s="1"/>
  <c r="I78" i="204"/>
  <c r="I80" i="204" s="1"/>
  <c r="J225" i="209"/>
  <c r="C296" i="144"/>
  <c r="C371" i="144"/>
  <c r="K86" i="199"/>
  <c r="K87" i="199" s="1"/>
  <c r="L29" i="199"/>
  <c r="L86" i="199" s="1"/>
  <c r="L87" i="199" s="1"/>
  <c r="J89" i="193"/>
  <c r="J91" i="193" s="1"/>
  <c r="K28" i="187"/>
  <c r="J75" i="187"/>
  <c r="J76" i="187" s="1"/>
  <c r="I67" i="192"/>
  <c r="I69" i="192" s="1"/>
  <c r="K224" i="209"/>
  <c r="R64" i="104"/>
  <c r="F15" i="88"/>
  <c r="F20" i="127"/>
  <c r="F28" i="287" s="1"/>
  <c r="K28" i="287" s="1"/>
  <c r="G45" i="88"/>
  <c r="G15" i="138" s="1"/>
  <c r="J89" i="188"/>
  <c r="J91" i="188" s="1"/>
  <c r="C296" i="148"/>
  <c r="C371" i="148"/>
  <c r="C33" i="128"/>
  <c r="C83" i="128" s="1"/>
  <c r="C15" i="102" s="1"/>
  <c r="C331" i="140"/>
  <c r="C326" i="140"/>
  <c r="C363" i="140" s="1"/>
  <c r="D66" i="140" s="1"/>
  <c r="D100" i="140" s="1"/>
  <c r="C322" i="140"/>
  <c r="C359" i="140" s="1"/>
  <c r="D62" i="140" s="1"/>
  <c r="D96" i="140" s="1"/>
  <c r="C311" i="140"/>
  <c r="C348" i="140" s="1"/>
  <c r="C307" i="140"/>
  <c r="C344" i="140" s="1"/>
  <c r="C303" i="140"/>
  <c r="C328" i="140"/>
  <c r="C365" i="140" s="1"/>
  <c r="D68" i="140" s="1"/>
  <c r="D102" i="140" s="1"/>
  <c r="C324" i="140"/>
  <c r="C361" i="140" s="1"/>
  <c r="D64" i="140" s="1"/>
  <c r="C320" i="140"/>
  <c r="C357" i="140" s="1"/>
  <c r="D60" i="140" s="1"/>
  <c r="C309" i="140"/>
  <c r="C346" i="140" s="1"/>
  <c r="C305" i="140"/>
  <c r="C342" i="140" s="1"/>
  <c r="C325" i="140"/>
  <c r="C362" i="140" s="1"/>
  <c r="D65" i="140" s="1"/>
  <c r="D99" i="140" s="1"/>
  <c r="C321" i="140"/>
  <c r="C358" i="140" s="1"/>
  <c r="D61" i="140" s="1"/>
  <c r="D95" i="140" s="1"/>
  <c r="C310" i="140"/>
  <c r="C347" i="140" s="1"/>
  <c r="D50" i="140" s="1"/>
  <c r="C306" i="140"/>
  <c r="C343" i="140" s="1"/>
  <c r="D46" i="140" s="1"/>
  <c r="C327" i="140"/>
  <c r="C364" i="140" s="1"/>
  <c r="D67" i="140" s="1"/>
  <c r="C323" i="140"/>
  <c r="C360" i="140" s="1"/>
  <c r="D63" i="140" s="1"/>
  <c r="C319" i="140"/>
  <c r="C312" i="140"/>
  <c r="C349" i="140" s="1"/>
  <c r="D52" i="140" s="1"/>
  <c r="C308" i="140"/>
  <c r="C345" i="140" s="1"/>
  <c r="D48" i="140" s="1"/>
  <c r="C304" i="140"/>
  <c r="C341" i="140" s="1"/>
  <c r="D44" i="140" s="1"/>
  <c r="I77" i="199"/>
  <c r="I79" i="199" s="1"/>
  <c r="I81" i="199" s="1"/>
  <c r="I78" i="199"/>
  <c r="I80" i="199" s="1"/>
  <c r="G36" i="146"/>
  <c r="G369" i="146" s="1"/>
  <c r="G29" i="88"/>
  <c r="G36" i="135"/>
  <c r="G369" i="135" s="1"/>
  <c r="G18" i="88"/>
  <c r="G30" i="88"/>
  <c r="G36" i="147"/>
  <c r="G369" i="147" s="1"/>
  <c r="G36" i="142"/>
  <c r="G369" i="142" s="1"/>
  <c r="G24" i="88"/>
  <c r="G520" i="92"/>
  <c r="G506" i="92"/>
  <c r="G507" i="92" s="1"/>
  <c r="K229" i="209"/>
  <c r="K233" i="209"/>
  <c r="I77" i="202"/>
  <c r="I79" i="202" s="1"/>
  <c r="I81" i="202" s="1"/>
  <c r="I78" i="202"/>
  <c r="I80" i="202" s="1"/>
  <c r="H70" i="194"/>
  <c r="H94" i="199"/>
  <c r="H69" i="185"/>
  <c r="H70" i="185" s="1"/>
  <c r="J223" i="209"/>
  <c r="K86" i="190"/>
  <c r="K87" i="190" s="1"/>
  <c r="L29" i="190"/>
  <c r="L86" i="190" s="1"/>
  <c r="L87" i="190" s="1"/>
  <c r="K28" i="189"/>
  <c r="J75" i="189"/>
  <c r="J76" i="189" s="1"/>
  <c r="C296" i="134"/>
  <c r="C331" i="134"/>
  <c r="C371" i="134"/>
  <c r="K86" i="196"/>
  <c r="K87" i="196" s="1"/>
  <c r="L29" i="196"/>
  <c r="L86" i="196" s="1"/>
  <c r="L87" i="196" s="1"/>
  <c r="O218" i="152"/>
  <c r="O58" i="169"/>
  <c r="O90" i="169" s="1"/>
  <c r="O58" i="167"/>
  <c r="O90" i="167" s="1"/>
  <c r="O58" i="166"/>
  <c r="O90" i="166" s="1"/>
  <c r="P71" i="124"/>
  <c r="J231" i="209"/>
  <c r="K86" i="197"/>
  <c r="K87" i="197" s="1"/>
  <c r="L29" i="197"/>
  <c r="L86" i="197" s="1"/>
  <c r="L87" i="197" s="1"/>
  <c r="F21" i="127"/>
  <c r="F29" i="287" s="1"/>
  <c r="K29" i="287" s="1"/>
  <c r="G46" i="88"/>
  <c r="G15" i="139" s="1"/>
  <c r="O221" i="152"/>
  <c r="O61" i="167"/>
  <c r="O93" i="167" s="1"/>
  <c r="O61" i="166"/>
  <c r="O93" i="166" s="1"/>
  <c r="P74" i="124"/>
  <c r="O61" i="169"/>
  <c r="O93" i="169" s="1"/>
  <c r="C331" i="135"/>
  <c r="C296" i="135"/>
  <c r="C371" i="135"/>
  <c r="C331" i="139"/>
  <c r="C296" i="139"/>
  <c r="C371" i="139"/>
  <c r="C371" i="149"/>
  <c r="C296" i="149"/>
  <c r="I92" i="203"/>
  <c r="G70" i="185"/>
  <c r="G94" i="185" s="1"/>
  <c r="K28" i="188"/>
  <c r="J75" i="188"/>
  <c r="J76" i="188" s="1"/>
  <c r="I67" i="194"/>
  <c r="I69" i="194" s="1"/>
  <c r="C371" i="151"/>
  <c r="C296" i="151"/>
  <c r="K28" i="194"/>
  <c r="J75" i="194"/>
  <c r="J76" i="194" s="1"/>
  <c r="J89" i="189"/>
  <c r="J91" i="189" s="1"/>
  <c r="J88" i="189"/>
  <c r="J90" i="189" s="1"/>
  <c r="H70" i="198"/>
  <c r="C371" i="146"/>
  <c r="C296" i="146"/>
  <c r="J89" i="192"/>
  <c r="J91" i="192" s="1"/>
  <c r="J89" i="201"/>
  <c r="J91" i="201" s="1"/>
  <c r="H70" i="187"/>
  <c r="K28" i="200"/>
  <c r="J75" i="200"/>
  <c r="J76" i="200" s="1"/>
  <c r="K239" i="209"/>
  <c r="F31" i="127"/>
  <c r="F39" i="287" s="1"/>
  <c r="K39" i="287" s="1"/>
  <c r="G56" i="88"/>
  <c r="G15" i="149" s="1"/>
  <c r="K28" i="193"/>
  <c r="J75" i="193"/>
  <c r="J76" i="193" s="1"/>
  <c r="O207" i="152"/>
  <c r="O47" i="169"/>
  <c r="O79" i="169" s="1"/>
  <c r="O47" i="167"/>
  <c r="O79" i="167" s="1"/>
  <c r="O47" i="166"/>
  <c r="O79" i="166" s="1"/>
  <c r="P60" i="124"/>
  <c r="I88" i="194"/>
  <c r="I90" i="194" s="1"/>
  <c r="I78" i="195"/>
  <c r="I80" i="195" s="1"/>
  <c r="I67" i="193"/>
  <c r="I69" i="193" s="1"/>
  <c r="K236" i="209"/>
  <c r="J89" i="186"/>
  <c r="J91" i="186" s="1"/>
  <c r="J88" i="186"/>
  <c r="J90" i="186" s="1"/>
  <c r="C371" i="137"/>
  <c r="C296" i="137"/>
  <c r="C331" i="137"/>
  <c r="I67" i="204"/>
  <c r="I69" i="204" s="1"/>
  <c r="I66" i="204"/>
  <c r="I68" i="204" s="1"/>
  <c r="J75" i="185"/>
  <c r="J76" i="185" s="1"/>
  <c r="K28" i="185"/>
  <c r="I78" i="191"/>
  <c r="I80" i="191" s="1"/>
  <c r="I88" i="202"/>
  <c r="I90" i="202" s="1"/>
  <c r="H77" i="201"/>
  <c r="H79" i="201" s="1"/>
  <c r="H81" i="201" s="1"/>
  <c r="H94" i="201" s="1"/>
  <c r="H77" i="194"/>
  <c r="H79" i="194" s="1"/>
  <c r="H81" i="194" s="1"/>
  <c r="H94" i="194" s="1"/>
  <c r="J222" i="209"/>
  <c r="K228" i="209"/>
  <c r="I67" i="201"/>
  <c r="I69" i="201" s="1"/>
  <c r="I66" i="201"/>
  <c r="I68" i="201" s="1"/>
  <c r="C371" i="145"/>
  <c r="C296" i="145"/>
  <c r="G53" i="88"/>
  <c r="G15" i="146" s="1"/>
  <c r="F28" i="127"/>
  <c r="I67" i="190"/>
  <c r="I69" i="190" s="1"/>
  <c r="I66" i="190"/>
  <c r="I68" i="190" s="1"/>
  <c r="K86" i="194"/>
  <c r="K87" i="194" s="1"/>
  <c r="L29" i="194"/>
  <c r="L86" i="194" s="1"/>
  <c r="L87" i="194" s="1"/>
  <c r="J75" i="204"/>
  <c r="J76" i="204" s="1"/>
  <c r="K28" i="204"/>
  <c r="J88" i="199"/>
  <c r="J90" i="199" s="1"/>
  <c r="J89" i="199"/>
  <c r="J91" i="199" s="1"/>
  <c r="I92" i="198"/>
  <c r="K86" i="193"/>
  <c r="K87" i="193" s="1"/>
  <c r="L29" i="193"/>
  <c r="L86" i="193" s="1"/>
  <c r="L87" i="193" s="1"/>
  <c r="H70" i="200"/>
  <c r="H77" i="191"/>
  <c r="H79" i="191" s="1"/>
  <c r="H81" i="191" s="1"/>
  <c r="J75" i="201"/>
  <c r="J76" i="201" s="1"/>
  <c r="K28" i="201"/>
  <c r="O203" i="152"/>
  <c r="O43" i="169"/>
  <c r="O75" i="169" s="1"/>
  <c r="O43" i="167"/>
  <c r="O75" i="167" s="1"/>
  <c r="O43" i="166"/>
  <c r="O75" i="166" s="1"/>
  <c r="P56" i="124"/>
  <c r="C371" i="150"/>
  <c r="C296" i="150"/>
  <c r="J64" i="192"/>
  <c r="J65" i="192" s="1"/>
  <c r="K27" i="192"/>
  <c r="H70" i="188"/>
  <c r="H94" i="188" s="1"/>
  <c r="I88" i="196"/>
  <c r="I90" i="196" s="1"/>
  <c r="I92" i="196" s="1"/>
  <c r="H70" i="201"/>
  <c r="I67" i="202"/>
  <c r="I69" i="202" s="1"/>
  <c r="I66" i="202"/>
  <c r="I68" i="202" s="1"/>
  <c r="K86" i="187"/>
  <c r="K87" i="187" s="1"/>
  <c r="L29" i="187"/>
  <c r="L86" i="187" s="1"/>
  <c r="L87" i="187" s="1"/>
  <c r="J230" i="209"/>
  <c r="F24" i="127"/>
  <c r="F32" i="287" s="1"/>
  <c r="K32" i="287" s="1"/>
  <c r="G49" i="88"/>
  <c r="G15" i="162" s="1"/>
  <c r="G48" i="88"/>
  <c r="G15" i="142" s="1"/>
  <c r="F23" i="127"/>
  <c r="F31" i="287" s="1"/>
  <c r="K31" i="287" s="1"/>
  <c r="H94" i="192"/>
  <c r="H70" i="190"/>
  <c r="H94" i="190" s="1"/>
  <c r="C371" i="141"/>
  <c r="C296" i="141"/>
  <c r="K237" i="209"/>
  <c r="K225" i="209"/>
  <c r="G19" i="88"/>
  <c r="G36" i="136"/>
  <c r="G369" i="136" s="1"/>
  <c r="G36" i="134"/>
  <c r="G369" i="134" s="1"/>
  <c r="G17" i="88"/>
  <c r="G26" i="88"/>
  <c r="G36" i="143"/>
  <c r="G369" i="143" s="1"/>
  <c r="G23" i="88"/>
  <c r="G36" i="141"/>
  <c r="G369" i="141" s="1"/>
  <c r="K261" i="152"/>
  <c r="V37" i="104"/>
  <c r="AM213" i="95"/>
  <c r="W34" i="104"/>
  <c r="N75" i="104"/>
  <c r="N76" i="104" s="1"/>
  <c r="S204" i="95" s="1"/>
  <c r="H66" i="203"/>
  <c r="H68" i="203" s="1"/>
  <c r="H70" i="203" s="1"/>
  <c r="H94" i="203" s="1"/>
  <c r="H70" i="195"/>
  <c r="I67" i="200"/>
  <c r="I69" i="200" s="1"/>
  <c r="I92" i="185"/>
  <c r="H77" i="196"/>
  <c r="H79" i="196" s="1"/>
  <c r="H81" i="196" s="1"/>
  <c r="K28" i="198"/>
  <c r="J75" i="198"/>
  <c r="J76" i="198" s="1"/>
  <c r="H94" i="195"/>
  <c r="K266" i="152"/>
  <c r="V46" i="113"/>
  <c r="V56" i="113" s="1"/>
  <c r="V41" i="113"/>
  <c r="V38" i="113"/>
  <c r="I67" i="198"/>
  <c r="I69" i="198" s="1"/>
  <c r="I66" i="198"/>
  <c r="I68" i="198" s="1"/>
  <c r="J88" i="190"/>
  <c r="J90" i="190" s="1"/>
  <c r="J89" i="190"/>
  <c r="J91" i="190" s="1"/>
  <c r="I92" i="192"/>
  <c r="K27" i="188"/>
  <c r="J64" i="188"/>
  <c r="J65" i="188" s="1"/>
  <c r="I88" i="200"/>
  <c r="I90" i="200" s="1"/>
  <c r="I92" i="200" s="1"/>
  <c r="I88" i="201"/>
  <c r="I90" i="201" s="1"/>
  <c r="I92" i="201" s="1"/>
  <c r="O202" i="152"/>
  <c r="O42" i="169"/>
  <c r="O74" i="169" s="1"/>
  <c r="P55" i="124"/>
  <c r="O42" i="167"/>
  <c r="O74" i="167" s="1"/>
  <c r="O42" i="166"/>
  <c r="O74" i="166" s="1"/>
  <c r="H77" i="200"/>
  <c r="H79" i="200" s="1"/>
  <c r="H81" i="200" s="1"/>
  <c r="H94" i="200" s="1"/>
  <c r="J239" i="209"/>
  <c r="G52" i="88"/>
  <c r="G15" i="145" s="1"/>
  <c r="F27" i="127"/>
  <c r="F35" i="287" s="1"/>
  <c r="K35" i="287" s="1"/>
  <c r="I92" i="191"/>
  <c r="H66" i="193"/>
  <c r="H68" i="193" s="1"/>
  <c r="H70" i="193" s="1"/>
  <c r="I77" i="188"/>
  <c r="I79" i="188" s="1"/>
  <c r="I81" i="188" s="1"/>
  <c r="I78" i="188"/>
  <c r="I80" i="188" s="1"/>
  <c r="J64" i="194"/>
  <c r="J65" i="194" s="1"/>
  <c r="K27" i="194"/>
  <c r="I88" i="195"/>
  <c r="I90" i="195" s="1"/>
  <c r="I92" i="195" s="1"/>
  <c r="I88" i="204"/>
  <c r="I90" i="204" s="1"/>
  <c r="I92" i="204" s="1"/>
  <c r="K86" i="185"/>
  <c r="K87" i="185" s="1"/>
  <c r="L29" i="185"/>
  <c r="L86" i="185" s="1"/>
  <c r="L87" i="185" s="1"/>
  <c r="H66" i="196"/>
  <c r="H68" i="196" s="1"/>
  <c r="H70" i="196" s="1"/>
  <c r="K226" i="209"/>
  <c r="I78" i="194"/>
  <c r="I80" i="194" s="1"/>
  <c r="I77" i="194"/>
  <c r="I79" i="194" s="1"/>
  <c r="I81" i="194" s="1"/>
  <c r="K86" i="200"/>
  <c r="K87" i="200" s="1"/>
  <c r="L29" i="200"/>
  <c r="L86" i="200" s="1"/>
  <c r="L87" i="200" s="1"/>
  <c r="K27" i="191"/>
  <c r="J64" i="191"/>
  <c r="J65" i="191" s="1"/>
  <c r="J64" i="199"/>
  <c r="J65" i="199" s="1"/>
  <c r="K27" i="199"/>
  <c r="K231" i="209"/>
  <c r="F18" i="127"/>
  <c r="F26" i="287" s="1"/>
  <c r="K26" i="287" s="1"/>
  <c r="G43" i="88"/>
  <c r="G15" i="136" s="1"/>
  <c r="I78" i="193"/>
  <c r="I80" i="193" s="1"/>
  <c r="H94" i="198"/>
  <c r="I92" i="194"/>
  <c r="O225" i="152"/>
  <c r="O65" i="169"/>
  <c r="O97" i="169" s="1"/>
  <c r="O65" i="167"/>
  <c r="O97" i="167" s="1"/>
  <c r="O65" i="166"/>
  <c r="O97" i="166" s="1"/>
  <c r="P78" i="124"/>
  <c r="O210" i="152"/>
  <c r="O50" i="169"/>
  <c r="O82" i="169" s="1"/>
  <c r="P63" i="124"/>
  <c r="O50" i="167"/>
  <c r="O82" i="167" s="1"/>
  <c r="O50" i="166"/>
  <c r="O82" i="166" s="1"/>
  <c r="I78" i="203"/>
  <c r="I80" i="203" s="1"/>
  <c r="I77" i="203"/>
  <c r="I79" i="203" s="1"/>
  <c r="I81" i="203" s="1"/>
  <c r="J89" i="195"/>
  <c r="J91" i="195" s="1"/>
  <c r="L29" i="204"/>
  <c r="L86" i="204" s="1"/>
  <c r="L87" i="204" s="1"/>
  <c r="K86" i="204"/>
  <c r="K87" i="204" s="1"/>
  <c r="I78" i="192"/>
  <c r="I80" i="192" s="1"/>
  <c r="H70" i="197"/>
  <c r="H94" i="197" s="1"/>
  <c r="O208" i="152"/>
  <c r="O48" i="169"/>
  <c r="O80" i="169" s="1"/>
  <c r="P61" i="124"/>
  <c r="O48" i="167"/>
  <c r="O80" i="167" s="1"/>
  <c r="O48" i="166"/>
  <c r="O80" i="166" s="1"/>
  <c r="I92" i="202"/>
  <c r="O204" i="152"/>
  <c r="O44" i="169"/>
  <c r="O76" i="169" s="1"/>
  <c r="P57" i="124"/>
  <c r="O44" i="167"/>
  <c r="O76" i="167" s="1"/>
  <c r="O44" i="166"/>
  <c r="O76" i="166" s="1"/>
  <c r="L215" i="209"/>
  <c r="L234" i="209" s="1"/>
  <c r="L216" i="209"/>
  <c r="K28" i="186"/>
  <c r="J75" i="186"/>
  <c r="J76" i="186" s="1"/>
  <c r="C296" i="136"/>
  <c r="C371" i="136"/>
  <c r="C331" i="136"/>
  <c r="K227" i="209"/>
  <c r="O212" i="152"/>
  <c r="O52" i="169"/>
  <c r="O84" i="169" s="1"/>
  <c r="O109" i="166" s="1"/>
  <c r="P65" i="124"/>
  <c r="O52" i="167"/>
  <c r="O84" i="167" s="1"/>
  <c r="O107" i="166" s="1"/>
  <c r="O52" i="166"/>
  <c r="O84" i="166" s="1"/>
  <c r="O105" i="166" s="1"/>
  <c r="H70" i="186"/>
  <c r="K230" i="209"/>
  <c r="G54" i="88"/>
  <c r="G15" i="147" s="1"/>
  <c r="F29" i="127"/>
  <c r="F37" i="287" s="1"/>
  <c r="K37" i="287" s="1"/>
  <c r="H77" i="193"/>
  <c r="H79" i="193" s="1"/>
  <c r="H81" i="193" s="1"/>
  <c r="H94" i="193" s="1"/>
  <c r="J64" i="190"/>
  <c r="J65" i="190" s="1"/>
  <c r="K27" i="190"/>
  <c r="I78" i="190"/>
  <c r="I80" i="190" s="1"/>
  <c r="I77" i="190"/>
  <c r="I79" i="190" s="1"/>
  <c r="I81" i="190" s="1"/>
  <c r="K240" i="209"/>
  <c r="C15" i="128"/>
  <c r="C328" i="86"/>
  <c r="C365" i="86" s="1"/>
  <c r="D68" i="86" s="1"/>
  <c r="C324" i="86"/>
  <c r="C361" i="86" s="1"/>
  <c r="D64" i="86" s="1"/>
  <c r="C320" i="86"/>
  <c r="C357" i="86" s="1"/>
  <c r="D60" i="86" s="1"/>
  <c r="C309" i="86"/>
  <c r="C346" i="86" s="1"/>
  <c r="C305" i="86"/>
  <c r="C342" i="86" s="1"/>
  <c r="C327" i="86"/>
  <c r="C364" i="86" s="1"/>
  <c r="D67" i="86" s="1"/>
  <c r="C323" i="86"/>
  <c r="C360" i="86" s="1"/>
  <c r="D63" i="86" s="1"/>
  <c r="C319" i="86"/>
  <c r="C312" i="86"/>
  <c r="C349" i="86" s="1"/>
  <c r="C308" i="86"/>
  <c r="C345" i="86" s="1"/>
  <c r="C304" i="86"/>
  <c r="C341" i="86" s="1"/>
  <c r="C326" i="86"/>
  <c r="C363" i="86" s="1"/>
  <c r="D66" i="86" s="1"/>
  <c r="C322" i="86"/>
  <c r="C359" i="86" s="1"/>
  <c r="D62" i="86" s="1"/>
  <c r="C311" i="86"/>
  <c r="C348" i="86" s="1"/>
  <c r="C307" i="86"/>
  <c r="C344" i="86" s="1"/>
  <c r="C303" i="86"/>
  <c r="C325" i="86"/>
  <c r="C362" i="86" s="1"/>
  <c r="D65" i="86" s="1"/>
  <c r="C321" i="86"/>
  <c r="C358" i="86" s="1"/>
  <c r="D61" i="86" s="1"/>
  <c r="C310" i="86"/>
  <c r="C347" i="86" s="1"/>
  <c r="C306" i="86"/>
  <c r="C343" i="86" s="1"/>
  <c r="I28" i="217"/>
  <c r="C64" i="127"/>
  <c r="C42" i="287"/>
  <c r="H42" i="287" s="1"/>
  <c r="T63" i="104" l="1"/>
  <c r="T54" i="104"/>
  <c r="H94" i="196"/>
  <c r="H94" i="204"/>
  <c r="L239" i="209"/>
  <c r="J67" i="191"/>
  <c r="J69" i="191" s="1"/>
  <c r="L222" i="209"/>
  <c r="J67" i="188"/>
  <c r="J69" i="188" s="1"/>
  <c r="J66" i="188"/>
  <c r="J68" i="188" s="1"/>
  <c r="J78" i="198"/>
  <c r="J80" i="198" s="1"/>
  <c r="J77" i="198"/>
  <c r="J79" i="198" s="1"/>
  <c r="J81" i="198" s="1"/>
  <c r="I66" i="200"/>
  <c r="I68" i="200" s="1"/>
  <c r="H50" i="88"/>
  <c r="H15" i="143" s="1"/>
  <c r="G25" i="127"/>
  <c r="G18" i="127"/>
  <c r="G26" i="287" s="1"/>
  <c r="L26" i="287" s="1"/>
  <c r="H43" i="88"/>
  <c r="H15" i="136" s="1"/>
  <c r="L89" i="187"/>
  <c r="L91" i="187" s="1"/>
  <c r="J66" i="192"/>
  <c r="J68" i="192" s="1"/>
  <c r="J67" i="192"/>
  <c r="J69" i="192" s="1"/>
  <c r="K75" i="201"/>
  <c r="K76" i="201" s="1"/>
  <c r="L28" i="201"/>
  <c r="L75" i="201" s="1"/>
  <c r="L76" i="201" s="1"/>
  <c r="L89" i="193"/>
  <c r="L91" i="193" s="1"/>
  <c r="L89" i="194"/>
  <c r="L91" i="194" s="1"/>
  <c r="F36" i="287"/>
  <c r="K36" i="287" s="1"/>
  <c r="F76" i="287"/>
  <c r="L28" i="200"/>
  <c r="L75" i="200" s="1"/>
  <c r="L76" i="200" s="1"/>
  <c r="K75" i="200"/>
  <c r="K76" i="200" s="1"/>
  <c r="J88" i="192"/>
  <c r="J90" i="192" s="1"/>
  <c r="K75" i="194"/>
  <c r="K76" i="194" s="1"/>
  <c r="L28" i="194"/>
  <c r="L75" i="194" s="1"/>
  <c r="L76" i="194" s="1"/>
  <c r="J78" i="188"/>
  <c r="J80" i="188" s="1"/>
  <c r="C331" i="149"/>
  <c r="C307" i="149"/>
  <c r="C344" i="149" s="1"/>
  <c r="D47" i="149" s="1"/>
  <c r="C321" i="149"/>
  <c r="C358" i="149" s="1"/>
  <c r="D61" i="149" s="1"/>
  <c r="C324" i="149"/>
  <c r="C361" i="149" s="1"/>
  <c r="D64" i="149" s="1"/>
  <c r="C305" i="149"/>
  <c r="C342" i="149" s="1"/>
  <c r="D45" i="149" s="1"/>
  <c r="C312" i="149"/>
  <c r="C349" i="149" s="1"/>
  <c r="D52" i="149" s="1"/>
  <c r="C326" i="149"/>
  <c r="C363" i="149" s="1"/>
  <c r="D66" i="149" s="1"/>
  <c r="C303" i="149"/>
  <c r="C310" i="149"/>
  <c r="C347" i="149" s="1"/>
  <c r="D50" i="149" s="1"/>
  <c r="C320" i="149"/>
  <c r="C357" i="149" s="1"/>
  <c r="D60" i="149" s="1"/>
  <c r="C327" i="149"/>
  <c r="C364" i="149" s="1"/>
  <c r="D67" i="149" s="1"/>
  <c r="D101" i="149" s="1"/>
  <c r="C308" i="149"/>
  <c r="C345" i="149" s="1"/>
  <c r="D48" i="149" s="1"/>
  <c r="C322" i="149"/>
  <c r="C359" i="149" s="1"/>
  <c r="D62" i="149" s="1"/>
  <c r="D96" i="149" s="1"/>
  <c r="C329" i="149"/>
  <c r="C306" i="149"/>
  <c r="C343" i="149" s="1"/>
  <c r="D46" i="149" s="1"/>
  <c r="C313" i="149"/>
  <c r="C323" i="149"/>
  <c r="C360" i="149" s="1"/>
  <c r="D63" i="149" s="1"/>
  <c r="D97" i="149" s="1"/>
  <c r="C304" i="149"/>
  <c r="C341" i="149" s="1"/>
  <c r="D44" i="149" s="1"/>
  <c r="C31" i="128"/>
  <c r="C81" i="128" s="1"/>
  <c r="C32" i="102" s="1"/>
  <c r="C311" i="149"/>
  <c r="C348" i="149" s="1"/>
  <c r="D51" i="149" s="1"/>
  <c r="C325" i="149"/>
  <c r="C362" i="149" s="1"/>
  <c r="D65" i="149" s="1"/>
  <c r="D99" i="149" s="1"/>
  <c r="C328" i="149"/>
  <c r="C365" i="149" s="1"/>
  <c r="D68" i="149" s="1"/>
  <c r="C309" i="149"/>
  <c r="C346" i="149" s="1"/>
  <c r="D49" i="149" s="1"/>
  <c r="D83" i="149" s="1"/>
  <c r="C319" i="149"/>
  <c r="K89" i="197"/>
  <c r="K91" i="197" s="1"/>
  <c r="L89" i="196"/>
  <c r="L91" i="196" s="1"/>
  <c r="C16" i="128"/>
  <c r="C66" i="128" s="1"/>
  <c r="C17" i="102" s="1"/>
  <c r="C307" i="134"/>
  <c r="C344" i="134" s="1"/>
  <c r="D47" i="134" s="1"/>
  <c r="C310" i="134"/>
  <c r="C347" i="134" s="1"/>
  <c r="D50" i="134" s="1"/>
  <c r="C320" i="134"/>
  <c r="C357" i="134" s="1"/>
  <c r="D60" i="134" s="1"/>
  <c r="C323" i="134"/>
  <c r="C360" i="134" s="1"/>
  <c r="D63" i="134" s="1"/>
  <c r="C304" i="134"/>
  <c r="C341" i="134" s="1"/>
  <c r="D44" i="134" s="1"/>
  <c r="C326" i="134"/>
  <c r="C363" i="134" s="1"/>
  <c r="D66" i="134" s="1"/>
  <c r="C303" i="134"/>
  <c r="C306" i="134"/>
  <c r="C343" i="134" s="1"/>
  <c r="D46" i="134" s="1"/>
  <c r="C309" i="134"/>
  <c r="C346" i="134" s="1"/>
  <c r="D49" i="134" s="1"/>
  <c r="C319" i="134"/>
  <c r="C322" i="134"/>
  <c r="C359" i="134" s="1"/>
  <c r="D62" i="134" s="1"/>
  <c r="C325" i="134"/>
  <c r="C362" i="134" s="1"/>
  <c r="D65" i="134" s="1"/>
  <c r="C328" i="134"/>
  <c r="C365" i="134" s="1"/>
  <c r="D68" i="134" s="1"/>
  <c r="C305" i="134"/>
  <c r="C342" i="134" s="1"/>
  <c r="D45" i="134" s="1"/>
  <c r="D79" i="134" s="1"/>
  <c r="C312" i="134"/>
  <c r="C349" i="134" s="1"/>
  <c r="D52" i="134" s="1"/>
  <c r="C311" i="134"/>
  <c r="C348" i="134" s="1"/>
  <c r="D51" i="134" s="1"/>
  <c r="C321" i="134"/>
  <c r="C358" i="134" s="1"/>
  <c r="D61" i="134" s="1"/>
  <c r="C324" i="134"/>
  <c r="C361" i="134" s="1"/>
  <c r="D64" i="134" s="1"/>
  <c r="C327" i="134"/>
  <c r="C364" i="134" s="1"/>
  <c r="D67" i="134" s="1"/>
  <c r="C308" i="134"/>
  <c r="C345" i="134" s="1"/>
  <c r="D48" i="134" s="1"/>
  <c r="D82" i="134" s="1"/>
  <c r="K89" i="190"/>
  <c r="K91" i="190" s="1"/>
  <c r="H53" i="88"/>
  <c r="H15" i="146" s="1"/>
  <c r="G28" i="127"/>
  <c r="L225" i="209"/>
  <c r="I515" i="217"/>
  <c r="D45" i="140"/>
  <c r="D79" i="140" s="1"/>
  <c r="D204" i="140"/>
  <c r="D136" i="140"/>
  <c r="D170" i="140"/>
  <c r="D164" i="140"/>
  <c r="D198" i="140"/>
  <c r="D232" i="140" s="1"/>
  <c r="D266" i="140" s="1"/>
  <c r="D130" i="140"/>
  <c r="C323" i="144"/>
  <c r="C360" i="144" s="1"/>
  <c r="D63" i="144" s="1"/>
  <c r="C304" i="144"/>
  <c r="C341" i="144" s="1"/>
  <c r="D44" i="144" s="1"/>
  <c r="C307" i="144"/>
  <c r="C344" i="144" s="1"/>
  <c r="D47" i="144" s="1"/>
  <c r="C321" i="144"/>
  <c r="C358" i="144" s="1"/>
  <c r="D61" i="144" s="1"/>
  <c r="C324" i="144"/>
  <c r="C361" i="144" s="1"/>
  <c r="D64" i="144" s="1"/>
  <c r="D98" i="144" s="1"/>
  <c r="C305" i="144"/>
  <c r="C342" i="144" s="1"/>
  <c r="D45" i="144" s="1"/>
  <c r="D79" i="144" s="1"/>
  <c r="C26" i="128"/>
  <c r="C76" i="128" s="1"/>
  <c r="C27" i="102" s="1"/>
  <c r="C319" i="144"/>
  <c r="C326" i="144"/>
  <c r="C363" i="144" s="1"/>
  <c r="D66" i="144" s="1"/>
  <c r="C303" i="144"/>
  <c r="C310" i="144"/>
  <c r="C347" i="144" s="1"/>
  <c r="D50" i="144" s="1"/>
  <c r="C320" i="144"/>
  <c r="C357" i="144" s="1"/>
  <c r="D60" i="144" s="1"/>
  <c r="C331" i="144"/>
  <c r="C312" i="144"/>
  <c r="C349" i="144" s="1"/>
  <c r="D52" i="144" s="1"/>
  <c r="C322" i="144"/>
  <c r="C359" i="144" s="1"/>
  <c r="D62" i="144" s="1"/>
  <c r="D96" i="144" s="1"/>
  <c r="C329" i="144"/>
  <c r="C306" i="144"/>
  <c r="C343" i="144" s="1"/>
  <c r="D46" i="144" s="1"/>
  <c r="C313" i="144"/>
  <c r="C332" i="144" s="1"/>
  <c r="C327" i="144"/>
  <c r="C364" i="144" s="1"/>
  <c r="D67" i="144" s="1"/>
  <c r="C308" i="144"/>
  <c r="C345" i="144" s="1"/>
  <c r="D48" i="144" s="1"/>
  <c r="C311" i="144"/>
  <c r="C348" i="144" s="1"/>
  <c r="D51" i="144" s="1"/>
  <c r="D85" i="144" s="1"/>
  <c r="C325" i="144"/>
  <c r="C362" i="144" s="1"/>
  <c r="D65" i="144" s="1"/>
  <c r="C328" i="144"/>
  <c r="C365" i="144" s="1"/>
  <c r="D68" i="144" s="1"/>
  <c r="D102" i="144" s="1"/>
  <c r="C309" i="144"/>
  <c r="C346" i="144" s="1"/>
  <c r="D49" i="144" s="1"/>
  <c r="D83" i="144" s="1"/>
  <c r="J92" i="194"/>
  <c r="J67" i="201"/>
  <c r="J69" i="201" s="1"/>
  <c r="J66" i="201"/>
  <c r="J68" i="201" s="1"/>
  <c r="J92" i="203"/>
  <c r="L27" i="193"/>
  <c r="L64" i="193" s="1"/>
  <c r="L65" i="193" s="1"/>
  <c r="K64" i="193"/>
  <c r="K65" i="193" s="1"/>
  <c r="L223" i="209"/>
  <c r="P223" i="152"/>
  <c r="P63" i="169"/>
  <c r="P95" i="169" s="1"/>
  <c r="P63" i="167"/>
  <c r="P95" i="167" s="1"/>
  <c r="P63" i="166"/>
  <c r="P95" i="166" s="1"/>
  <c r="K64" i="187"/>
  <c r="K65" i="187" s="1"/>
  <c r="L27" i="187"/>
  <c r="L64" i="187" s="1"/>
  <c r="L65" i="187" s="1"/>
  <c r="L266" i="152"/>
  <c r="W41" i="113"/>
  <c r="W46" i="113" s="1"/>
  <c r="W56" i="113" s="1"/>
  <c r="W38" i="113"/>
  <c r="P227" i="152"/>
  <c r="P67" i="169"/>
  <c r="P99" i="169" s="1"/>
  <c r="P110" i="166" s="1"/>
  <c r="P67" i="167"/>
  <c r="P99" i="167" s="1"/>
  <c r="P108" i="166" s="1"/>
  <c r="P67" i="166"/>
  <c r="P99" i="166" s="1"/>
  <c r="P106" i="166" s="1"/>
  <c r="U49" i="104"/>
  <c r="U51" i="104" s="1"/>
  <c r="U53" i="104" s="1"/>
  <c r="L229" i="209"/>
  <c r="G26" i="127"/>
  <c r="H51" i="88"/>
  <c r="H15" i="144" s="1"/>
  <c r="H52" i="88"/>
  <c r="H15" i="145" s="1"/>
  <c r="G27" i="127"/>
  <c r="G35" i="287" s="1"/>
  <c r="L35" i="287" s="1"/>
  <c r="K75" i="199"/>
  <c r="K76" i="199" s="1"/>
  <c r="L28" i="199"/>
  <c r="L75" i="199" s="1"/>
  <c r="L76" i="199" s="1"/>
  <c r="P206" i="152"/>
  <c r="P46" i="169"/>
  <c r="P78" i="169" s="1"/>
  <c r="P46" i="167"/>
  <c r="P78" i="167" s="1"/>
  <c r="P46" i="166"/>
  <c r="P78" i="166" s="1"/>
  <c r="I68" i="185"/>
  <c r="L227" i="209"/>
  <c r="J77" i="192"/>
  <c r="J79" i="192" s="1"/>
  <c r="J81" i="192" s="1"/>
  <c r="J78" i="192"/>
  <c r="J80" i="192" s="1"/>
  <c r="J88" i="204"/>
  <c r="J90" i="204" s="1"/>
  <c r="L28" i="203"/>
  <c r="L75" i="203" s="1"/>
  <c r="L76" i="203" s="1"/>
  <c r="K75" i="203"/>
  <c r="K76" i="203" s="1"/>
  <c r="L89" i="203"/>
  <c r="L91" i="203" s="1"/>
  <c r="L88" i="203"/>
  <c r="L90" i="203" s="1"/>
  <c r="I70" i="199"/>
  <c r="I94" i="199" s="1"/>
  <c r="J88" i="200"/>
  <c r="J90" i="200" s="1"/>
  <c r="P226" i="152"/>
  <c r="P66" i="169"/>
  <c r="P98" i="169" s="1"/>
  <c r="P66" i="167"/>
  <c r="P98" i="167" s="1"/>
  <c r="P66" i="166"/>
  <c r="P98" i="166" s="1"/>
  <c r="C328" i="142"/>
  <c r="C365" i="142" s="1"/>
  <c r="D68" i="142" s="1"/>
  <c r="C309" i="142"/>
  <c r="C346" i="142" s="1"/>
  <c r="D49" i="142" s="1"/>
  <c r="C319" i="142"/>
  <c r="C331" i="142"/>
  <c r="C307" i="142"/>
  <c r="C344" i="142" s="1"/>
  <c r="D47" i="142" s="1"/>
  <c r="C321" i="142"/>
  <c r="C358" i="142" s="1"/>
  <c r="D61" i="142" s="1"/>
  <c r="C324" i="142"/>
  <c r="C361" i="142" s="1"/>
  <c r="D64" i="142" s="1"/>
  <c r="C305" i="142"/>
  <c r="C342" i="142" s="1"/>
  <c r="D45" i="142" s="1"/>
  <c r="C312" i="142"/>
  <c r="C349" i="142" s="1"/>
  <c r="D52" i="142" s="1"/>
  <c r="C326" i="142"/>
  <c r="C363" i="142" s="1"/>
  <c r="D66" i="142" s="1"/>
  <c r="C303" i="142"/>
  <c r="C310" i="142"/>
  <c r="C347" i="142" s="1"/>
  <c r="D50" i="142" s="1"/>
  <c r="C320" i="142"/>
  <c r="C357" i="142" s="1"/>
  <c r="D60" i="142" s="1"/>
  <c r="C327" i="142"/>
  <c r="C364" i="142" s="1"/>
  <c r="D67" i="142" s="1"/>
  <c r="D101" i="142" s="1"/>
  <c r="C308" i="142"/>
  <c r="C345" i="142" s="1"/>
  <c r="D48" i="142" s="1"/>
  <c r="D82" i="142" s="1"/>
  <c r="C322" i="142"/>
  <c r="C359" i="142" s="1"/>
  <c r="D62" i="142" s="1"/>
  <c r="C329" i="142"/>
  <c r="C306" i="142"/>
  <c r="C343" i="142" s="1"/>
  <c r="D46" i="142" s="1"/>
  <c r="D80" i="142" s="1"/>
  <c r="C23" i="128"/>
  <c r="C73" i="128" s="1"/>
  <c r="C24" i="102" s="1"/>
  <c r="C313" i="142"/>
  <c r="C323" i="142"/>
  <c r="C360" i="142" s="1"/>
  <c r="D63" i="142" s="1"/>
  <c r="C304" i="142"/>
  <c r="C341" i="142" s="1"/>
  <c r="D44" i="142" s="1"/>
  <c r="C311" i="142"/>
  <c r="C348" i="142" s="1"/>
  <c r="D51" i="142" s="1"/>
  <c r="C325" i="142"/>
  <c r="C362" i="142" s="1"/>
  <c r="D65" i="142" s="1"/>
  <c r="J67" i="195"/>
  <c r="J69" i="195" s="1"/>
  <c r="J66" i="195"/>
  <c r="J68" i="195" s="1"/>
  <c r="C328" i="138"/>
  <c r="C365" i="138" s="1"/>
  <c r="D68" i="138" s="1"/>
  <c r="C305" i="138"/>
  <c r="C342" i="138" s="1"/>
  <c r="D45" i="138" s="1"/>
  <c r="C312" i="138"/>
  <c r="C349" i="138" s="1"/>
  <c r="D52" i="138" s="1"/>
  <c r="C322" i="138"/>
  <c r="C359" i="138" s="1"/>
  <c r="D62" i="138" s="1"/>
  <c r="C325" i="138"/>
  <c r="C362" i="138" s="1"/>
  <c r="D65" i="138" s="1"/>
  <c r="C324" i="138"/>
  <c r="C361" i="138" s="1"/>
  <c r="D64" i="138" s="1"/>
  <c r="C327" i="138"/>
  <c r="C364" i="138" s="1"/>
  <c r="D67" i="138" s="1"/>
  <c r="C308" i="138"/>
  <c r="C345" i="138" s="1"/>
  <c r="D48" i="138" s="1"/>
  <c r="C311" i="138"/>
  <c r="C348" i="138" s="1"/>
  <c r="D51" i="138" s="1"/>
  <c r="C321" i="138"/>
  <c r="C358" i="138" s="1"/>
  <c r="D61" i="138" s="1"/>
  <c r="C320" i="138"/>
  <c r="C357" i="138" s="1"/>
  <c r="D60" i="138" s="1"/>
  <c r="C323" i="138"/>
  <c r="C360" i="138" s="1"/>
  <c r="D63" i="138" s="1"/>
  <c r="D97" i="138" s="1"/>
  <c r="C304" i="138"/>
  <c r="C341" i="138" s="1"/>
  <c r="D44" i="138" s="1"/>
  <c r="C307" i="138"/>
  <c r="C344" i="138" s="1"/>
  <c r="D47" i="138" s="1"/>
  <c r="C310" i="138"/>
  <c r="C347" i="138" s="1"/>
  <c r="D50" i="138" s="1"/>
  <c r="C20" i="128"/>
  <c r="C70" i="128" s="1"/>
  <c r="C21" i="102" s="1"/>
  <c r="C309" i="138"/>
  <c r="C346" i="138" s="1"/>
  <c r="D49" i="138" s="1"/>
  <c r="C319" i="138"/>
  <c r="C326" i="138"/>
  <c r="C363" i="138" s="1"/>
  <c r="D66" i="138" s="1"/>
  <c r="C303" i="138"/>
  <c r="C306" i="138"/>
  <c r="C343" i="138" s="1"/>
  <c r="D46" i="138" s="1"/>
  <c r="I70" i="188"/>
  <c r="J67" i="198"/>
  <c r="J69" i="198" s="1"/>
  <c r="J67" i="200"/>
  <c r="J69" i="200" s="1"/>
  <c r="J66" i="200"/>
  <c r="J68" i="200" s="1"/>
  <c r="K89" i="198"/>
  <c r="K91" i="198" s="1"/>
  <c r="H45" i="88"/>
  <c r="H15" i="138" s="1"/>
  <c r="G20" i="127"/>
  <c r="G28" i="287" s="1"/>
  <c r="L28" i="287" s="1"/>
  <c r="H46" i="88"/>
  <c r="H15" i="139" s="1"/>
  <c r="G21" i="127"/>
  <c r="G29" i="287" s="1"/>
  <c r="L29" i="287" s="1"/>
  <c r="H22" i="88"/>
  <c r="H36" i="139"/>
  <c r="H369" i="139" s="1"/>
  <c r="H36" i="134"/>
  <c r="H369" i="134" s="1"/>
  <c r="H17" i="88"/>
  <c r="H36" i="162"/>
  <c r="H369" i="162" s="1"/>
  <c r="H25" i="88"/>
  <c r="H36" i="144"/>
  <c r="H369" i="144" s="1"/>
  <c r="H27" i="88"/>
  <c r="H28" i="88"/>
  <c r="H36" i="145"/>
  <c r="H369" i="145" s="1"/>
  <c r="L232" i="209"/>
  <c r="K64" i="202"/>
  <c r="K65" i="202" s="1"/>
  <c r="L27" i="202"/>
  <c r="L64" i="202" s="1"/>
  <c r="L65" i="202" s="1"/>
  <c r="P220" i="152"/>
  <c r="P60" i="169"/>
  <c r="P92" i="169" s="1"/>
  <c r="P60" i="167"/>
  <c r="P92" i="167" s="1"/>
  <c r="P60" i="166"/>
  <c r="P92" i="166" s="1"/>
  <c r="J67" i="185"/>
  <c r="J67" i="197"/>
  <c r="J69" i="197" s="1"/>
  <c r="J66" i="197"/>
  <c r="J68" i="197" s="1"/>
  <c r="J67" i="203"/>
  <c r="J69" i="203" s="1"/>
  <c r="C328" i="136"/>
  <c r="C365" i="136" s="1"/>
  <c r="D68" i="136" s="1"/>
  <c r="C305" i="136"/>
  <c r="C342" i="136" s="1"/>
  <c r="D45" i="136" s="1"/>
  <c r="C312" i="136"/>
  <c r="C349" i="136" s="1"/>
  <c r="D52" i="136" s="1"/>
  <c r="C322" i="136"/>
  <c r="C359" i="136" s="1"/>
  <c r="D62" i="136" s="1"/>
  <c r="C325" i="136"/>
  <c r="C362" i="136" s="1"/>
  <c r="D65" i="136" s="1"/>
  <c r="C324" i="136"/>
  <c r="C361" i="136" s="1"/>
  <c r="D64" i="136" s="1"/>
  <c r="C327" i="136"/>
  <c r="C364" i="136" s="1"/>
  <c r="D67" i="136" s="1"/>
  <c r="C308" i="136"/>
  <c r="C345" i="136" s="1"/>
  <c r="D48" i="136" s="1"/>
  <c r="C311" i="136"/>
  <c r="C348" i="136" s="1"/>
  <c r="D51" i="136" s="1"/>
  <c r="C321" i="136"/>
  <c r="C358" i="136" s="1"/>
  <c r="D61" i="136" s="1"/>
  <c r="D95" i="136" s="1"/>
  <c r="C320" i="136"/>
  <c r="C357" i="136" s="1"/>
  <c r="D60" i="136" s="1"/>
  <c r="C323" i="136"/>
  <c r="C360" i="136" s="1"/>
  <c r="D63" i="136" s="1"/>
  <c r="D97" i="136" s="1"/>
  <c r="C304" i="136"/>
  <c r="C341" i="136" s="1"/>
  <c r="D44" i="136" s="1"/>
  <c r="C307" i="136"/>
  <c r="C344" i="136" s="1"/>
  <c r="D47" i="136" s="1"/>
  <c r="C310" i="136"/>
  <c r="C347" i="136" s="1"/>
  <c r="D50" i="136" s="1"/>
  <c r="C18" i="128"/>
  <c r="C68" i="128" s="1"/>
  <c r="C19" i="102" s="1"/>
  <c r="C309" i="136"/>
  <c r="C346" i="136" s="1"/>
  <c r="D49" i="136" s="1"/>
  <c r="C319" i="136"/>
  <c r="C326" i="136"/>
  <c r="C363" i="136" s="1"/>
  <c r="D66" i="136" s="1"/>
  <c r="D100" i="136" s="1"/>
  <c r="C303" i="136"/>
  <c r="C306" i="136"/>
  <c r="C343" i="136" s="1"/>
  <c r="D46" i="136" s="1"/>
  <c r="P204" i="152"/>
  <c r="P44" i="169"/>
  <c r="P76" i="169" s="1"/>
  <c r="P44" i="167"/>
  <c r="P76" i="167" s="1"/>
  <c r="P44" i="166"/>
  <c r="P76" i="166" s="1"/>
  <c r="K89" i="204"/>
  <c r="K91" i="204" s="1"/>
  <c r="P210" i="152"/>
  <c r="P50" i="169"/>
  <c r="P82" i="169" s="1"/>
  <c r="P50" i="167"/>
  <c r="P82" i="167" s="1"/>
  <c r="P50" i="166"/>
  <c r="P82" i="166" s="1"/>
  <c r="P225" i="152"/>
  <c r="P65" i="169"/>
  <c r="P97" i="169" s="1"/>
  <c r="P65" i="167"/>
  <c r="P97" i="167" s="1"/>
  <c r="P65" i="166"/>
  <c r="P97" i="166" s="1"/>
  <c r="I77" i="193"/>
  <c r="I79" i="193" s="1"/>
  <c r="I81" i="193" s="1"/>
  <c r="L27" i="191"/>
  <c r="L64" i="191" s="1"/>
  <c r="L65" i="191" s="1"/>
  <c r="K64" i="191"/>
  <c r="K65" i="191" s="1"/>
  <c r="L89" i="185"/>
  <c r="L91" i="185" s="1"/>
  <c r="L88" i="185"/>
  <c r="L90" i="185" s="1"/>
  <c r="K64" i="194"/>
  <c r="K65" i="194" s="1"/>
  <c r="L27" i="194"/>
  <c r="L64" i="194" s="1"/>
  <c r="L65" i="194" s="1"/>
  <c r="L27" i="188"/>
  <c r="L64" i="188" s="1"/>
  <c r="L65" i="188" s="1"/>
  <c r="K64" i="188"/>
  <c r="K65" i="188" s="1"/>
  <c r="U15" i="92"/>
  <c r="V57" i="113"/>
  <c r="K75" i="198"/>
  <c r="K76" i="198" s="1"/>
  <c r="L28" i="198"/>
  <c r="L75" i="198" s="1"/>
  <c r="L76" i="198" s="1"/>
  <c r="I70" i="200"/>
  <c r="L261" i="152"/>
  <c r="O75" i="104"/>
  <c r="O76" i="104" s="1"/>
  <c r="T204" i="95" s="1"/>
  <c r="X34" i="104"/>
  <c r="W37" i="104"/>
  <c r="AN213" i="95"/>
  <c r="H41" i="88"/>
  <c r="H15" i="134" s="1"/>
  <c r="G16" i="127"/>
  <c r="K88" i="187"/>
  <c r="K90" i="187" s="1"/>
  <c r="K89" i="187"/>
  <c r="K91" i="187" s="1"/>
  <c r="C323" i="150"/>
  <c r="C360" i="150" s="1"/>
  <c r="D63" i="150" s="1"/>
  <c r="C304" i="150"/>
  <c r="C341" i="150" s="1"/>
  <c r="D44" i="150" s="1"/>
  <c r="C311" i="150"/>
  <c r="C348" i="150" s="1"/>
  <c r="D51" i="150" s="1"/>
  <c r="C325" i="150"/>
  <c r="C362" i="150" s="1"/>
  <c r="D65" i="150" s="1"/>
  <c r="C328" i="150"/>
  <c r="C365" i="150" s="1"/>
  <c r="D68" i="150" s="1"/>
  <c r="C309" i="150"/>
  <c r="C346" i="150" s="1"/>
  <c r="D49" i="150" s="1"/>
  <c r="C319" i="150"/>
  <c r="C331" i="150"/>
  <c r="C307" i="150"/>
  <c r="C344" i="150" s="1"/>
  <c r="D47" i="150" s="1"/>
  <c r="C321" i="150"/>
  <c r="C358" i="150" s="1"/>
  <c r="D61" i="150" s="1"/>
  <c r="C324" i="150"/>
  <c r="C361" i="150" s="1"/>
  <c r="D64" i="150" s="1"/>
  <c r="C305" i="150"/>
  <c r="C342" i="150" s="1"/>
  <c r="D45" i="150" s="1"/>
  <c r="D79" i="150" s="1"/>
  <c r="C32" i="128"/>
  <c r="C82" i="128" s="1"/>
  <c r="C33" i="102" s="1"/>
  <c r="C312" i="150"/>
  <c r="C349" i="150" s="1"/>
  <c r="D52" i="150" s="1"/>
  <c r="C326" i="150"/>
  <c r="C363" i="150" s="1"/>
  <c r="D66" i="150" s="1"/>
  <c r="D100" i="150" s="1"/>
  <c r="C303" i="150"/>
  <c r="C310" i="150"/>
  <c r="C347" i="150" s="1"/>
  <c r="D50" i="150" s="1"/>
  <c r="D84" i="150" s="1"/>
  <c r="C320" i="150"/>
  <c r="C357" i="150" s="1"/>
  <c r="D60" i="150" s="1"/>
  <c r="C327" i="150"/>
  <c r="C364" i="150" s="1"/>
  <c r="D67" i="150" s="1"/>
  <c r="D101" i="150" s="1"/>
  <c r="C308" i="150"/>
  <c r="C345" i="150" s="1"/>
  <c r="D48" i="150" s="1"/>
  <c r="C322" i="150"/>
  <c r="C359" i="150" s="1"/>
  <c r="D62" i="150" s="1"/>
  <c r="D96" i="150" s="1"/>
  <c r="C329" i="150"/>
  <c r="C306" i="150"/>
  <c r="C343" i="150" s="1"/>
  <c r="D46" i="150" s="1"/>
  <c r="D80" i="150" s="1"/>
  <c r="C313" i="150"/>
  <c r="J77" i="201"/>
  <c r="J79" i="201" s="1"/>
  <c r="J81" i="201" s="1"/>
  <c r="J78" i="201"/>
  <c r="J80" i="201" s="1"/>
  <c r="K89" i="193"/>
  <c r="K91" i="193" s="1"/>
  <c r="L240" i="209"/>
  <c r="K89" i="194"/>
  <c r="K91" i="194" s="1"/>
  <c r="I77" i="191"/>
  <c r="I79" i="191" s="1"/>
  <c r="I81" i="191" s="1"/>
  <c r="I70" i="204"/>
  <c r="I66" i="193"/>
  <c r="I68" i="193" s="1"/>
  <c r="I70" i="193" s="1"/>
  <c r="P207" i="152"/>
  <c r="P47" i="169"/>
  <c r="P79" i="169" s="1"/>
  <c r="P47" i="167"/>
  <c r="P79" i="167" s="1"/>
  <c r="P47" i="166"/>
  <c r="P79" i="166" s="1"/>
  <c r="J92" i="192"/>
  <c r="L226" i="209"/>
  <c r="L28" i="188"/>
  <c r="L75" i="188" s="1"/>
  <c r="L76" i="188" s="1"/>
  <c r="K75" i="188"/>
  <c r="K76" i="188" s="1"/>
  <c r="P221" i="152"/>
  <c r="P61" i="169"/>
  <c r="P93" i="169" s="1"/>
  <c r="P61" i="167"/>
  <c r="P93" i="167" s="1"/>
  <c r="P61" i="166"/>
  <c r="P93" i="166" s="1"/>
  <c r="K88" i="196"/>
  <c r="K90" i="196" s="1"/>
  <c r="K89" i="196"/>
  <c r="K91" i="196" s="1"/>
  <c r="J77" i="189"/>
  <c r="J79" i="189" s="1"/>
  <c r="J81" i="189" s="1"/>
  <c r="J78" i="189"/>
  <c r="J80" i="189" s="1"/>
  <c r="G539" i="92"/>
  <c r="G540" i="92" s="1"/>
  <c r="G570" i="92"/>
  <c r="G29" i="127"/>
  <c r="G37" i="287" s="1"/>
  <c r="L37" i="287" s="1"/>
  <c r="H54" i="88"/>
  <c r="H15" i="147" s="1"/>
  <c r="L237" i="209"/>
  <c r="C356" i="140"/>
  <c r="C329" i="140"/>
  <c r="C330" i="140" s="1"/>
  <c r="D84" i="140"/>
  <c r="I517" i="217"/>
  <c r="D49" i="140"/>
  <c r="D83" i="140" s="1"/>
  <c r="C313" i="140"/>
  <c r="C340" i="140"/>
  <c r="D168" i="140"/>
  <c r="D202" i="140"/>
  <c r="D236" i="140" s="1"/>
  <c r="D270" i="140" s="1"/>
  <c r="D134" i="140"/>
  <c r="C331" i="148"/>
  <c r="C307" i="148"/>
  <c r="C344" i="148" s="1"/>
  <c r="D47" i="148" s="1"/>
  <c r="C321" i="148"/>
  <c r="C358" i="148" s="1"/>
  <c r="D61" i="148" s="1"/>
  <c r="C324" i="148"/>
  <c r="C361" i="148" s="1"/>
  <c r="D64" i="148" s="1"/>
  <c r="C305" i="148"/>
  <c r="C342" i="148" s="1"/>
  <c r="D45" i="148" s="1"/>
  <c r="C312" i="148"/>
  <c r="C349" i="148" s="1"/>
  <c r="D52" i="148" s="1"/>
  <c r="C326" i="148"/>
  <c r="C363" i="148" s="1"/>
  <c r="D66" i="148" s="1"/>
  <c r="C303" i="148"/>
  <c r="C310" i="148"/>
  <c r="C347" i="148" s="1"/>
  <c r="D50" i="148" s="1"/>
  <c r="C320" i="148"/>
  <c r="C357" i="148" s="1"/>
  <c r="D60" i="148" s="1"/>
  <c r="C327" i="148"/>
  <c r="C364" i="148" s="1"/>
  <c r="D67" i="148" s="1"/>
  <c r="D101" i="148" s="1"/>
  <c r="C308" i="148"/>
  <c r="C345" i="148" s="1"/>
  <c r="D48" i="148" s="1"/>
  <c r="C322" i="148"/>
  <c r="C359" i="148" s="1"/>
  <c r="D62" i="148" s="1"/>
  <c r="C329" i="148"/>
  <c r="C306" i="148"/>
  <c r="C343" i="148" s="1"/>
  <c r="D46" i="148" s="1"/>
  <c r="D80" i="148" s="1"/>
  <c r="C313" i="148"/>
  <c r="C323" i="148"/>
  <c r="C360" i="148" s="1"/>
  <c r="D63" i="148" s="1"/>
  <c r="D97" i="148" s="1"/>
  <c r="C304" i="148"/>
  <c r="C341" i="148" s="1"/>
  <c r="D44" i="148" s="1"/>
  <c r="C30" i="128"/>
  <c r="C80" i="128" s="1"/>
  <c r="C31" i="102" s="1"/>
  <c r="C311" i="148"/>
  <c r="C348" i="148" s="1"/>
  <c r="D51" i="148" s="1"/>
  <c r="C325" i="148"/>
  <c r="C362" i="148" s="1"/>
  <c r="D65" i="148" s="1"/>
  <c r="C328" i="148"/>
  <c r="C365" i="148" s="1"/>
  <c r="D68" i="148" s="1"/>
  <c r="C309" i="148"/>
  <c r="C346" i="148" s="1"/>
  <c r="D49" i="148" s="1"/>
  <c r="C319" i="148"/>
  <c r="J77" i="187"/>
  <c r="J79" i="187" s="1"/>
  <c r="J81" i="187" s="1"/>
  <c r="J78" i="187"/>
  <c r="J80" i="187" s="1"/>
  <c r="L89" i="199"/>
  <c r="L91" i="199" s="1"/>
  <c r="I94" i="188"/>
  <c r="L228" i="209"/>
  <c r="E369" i="140"/>
  <c r="L89" i="186"/>
  <c r="L91" i="186" s="1"/>
  <c r="J241" i="209"/>
  <c r="J242" i="209" s="1"/>
  <c r="F62" i="127"/>
  <c r="F24" i="287"/>
  <c r="K24" i="287" s="1"/>
  <c r="J66" i="187"/>
  <c r="J68" i="187" s="1"/>
  <c r="J67" i="187"/>
  <c r="J69" i="187" s="1"/>
  <c r="J92" i="198"/>
  <c r="G33" i="127"/>
  <c r="G41" i="287" s="1"/>
  <c r="L41" i="287" s="1"/>
  <c r="H58" i="88"/>
  <c r="H15" i="151" s="1"/>
  <c r="H56" i="88"/>
  <c r="H15" i="149" s="1"/>
  <c r="G31" i="127"/>
  <c r="G39" i="287" s="1"/>
  <c r="L39" i="287" s="1"/>
  <c r="H57" i="88"/>
  <c r="H15" i="150" s="1"/>
  <c r="G32" i="127"/>
  <c r="G40" i="287" s="1"/>
  <c r="L40" i="287" s="1"/>
  <c r="J77" i="199"/>
  <c r="J79" i="199" s="1"/>
  <c r="J81" i="199" s="1"/>
  <c r="J78" i="199"/>
  <c r="J80" i="199" s="1"/>
  <c r="L88" i="188"/>
  <c r="L90" i="188" s="1"/>
  <c r="L89" i="188"/>
  <c r="L91" i="188" s="1"/>
  <c r="P219" i="152"/>
  <c r="P59" i="169"/>
  <c r="P91" i="169" s="1"/>
  <c r="P59" i="167"/>
  <c r="P91" i="167" s="1"/>
  <c r="P59" i="166"/>
  <c r="P91" i="166" s="1"/>
  <c r="I66" i="197"/>
  <c r="I68" i="197" s="1"/>
  <c r="I70" i="197" s="1"/>
  <c r="I66" i="203"/>
  <c r="I68" i="203" s="1"/>
  <c r="I70" i="203" s="1"/>
  <c r="I94" i="203" s="1"/>
  <c r="E16" i="88"/>
  <c r="E639" i="92"/>
  <c r="E640" i="92" s="1"/>
  <c r="E36" i="86"/>
  <c r="E369" i="86" s="1"/>
  <c r="P224" i="152"/>
  <c r="P64" i="169"/>
  <c r="P96" i="169" s="1"/>
  <c r="P64" i="167"/>
  <c r="P96" i="167" s="1"/>
  <c r="P64" i="166"/>
  <c r="P96" i="166" s="1"/>
  <c r="K75" i="192"/>
  <c r="K76" i="192" s="1"/>
  <c r="L28" i="192"/>
  <c r="L75" i="192" s="1"/>
  <c r="L76" i="192" s="1"/>
  <c r="J92" i="204"/>
  <c r="J77" i="203"/>
  <c r="J79" i="203" s="1"/>
  <c r="J81" i="203" s="1"/>
  <c r="J78" i="203"/>
  <c r="J80" i="203" s="1"/>
  <c r="L88" i="191"/>
  <c r="L90" i="191" s="1"/>
  <c r="L89" i="191"/>
  <c r="L91" i="191" s="1"/>
  <c r="J92" i="200"/>
  <c r="K223" i="209"/>
  <c r="J78" i="197"/>
  <c r="J80" i="197" s="1"/>
  <c r="K64" i="200"/>
  <c r="K65" i="200" s="1"/>
  <c r="L27" i="200"/>
  <c r="L64" i="200" s="1"/>
  <c r="L65" i="200" s="1"/>
  <c r="G30" i="127"/>
  <c r="G38" i="287" s="1"/>
  <c r="L38" i="287" s="1"/>
  <c r="H55" i="88"/>
  <c r="H15" i="148" s="1"/>
  <c r="H33" i="88"/>
  <c r="H36" i="150"/>
  <c r="H369" i="150" s="1"/>
  <c r="H36" i="151"/>
  <c r="H369" i="151" s="1"/>
  <c r="H34" i="88"/>
  <c r="H21" i="88"/>
  <c r="H36" i="138"/>
  <c r="H369" i="138" s="1"/>
  <c r="H36" i="137"/>
  <c r="H369" i="137" s="1"/>
  <c r="H20" i="88"/>
  <c r="H506" i="92"/>
  <c r="H507" i="92" s="1"/>
  <c r="H520" i="92"/>
  <c r="P205" i="152"/>
  <c r="P45" i="169"/>
  <c r="P77" i="169" s="1"/>
  <c r="P45" i="167"/>
  <c r="P77" i="167" s="1"/>
  <c r="P45" i="166"/>
  <c r="P77" i="166" s="1"/>
  <c r="J67" i="186"/>
  <c r="J69" i="186" s="1"/>
  <c r="L88" i="202"/>
  <c r="L90" i="202" s="1"/>
  <c r="L89" i="202"/>
  <c r="L91" i="202" s="1"/>
  <c r="C324" i="147"/>
  <c r="C361" i="147" s="1"/>
  <c r="D64" i="147" s="1"/>
  <c r="C305" i="147"/>
  <c r="C342" i="147" s="1"/>
  <c r="D45" i="147" s="1"/>
  <c r="C312" i="147"/>
  <c r="C349" i="147" s="1"/>
  <c r="D52" i="147" s="1"/>
  <c r="C326" i="147"/>
  <c r="C363" i="147" s="1"/>
  <c r="D66" i="147" s="1"/>
  <c r="C303" i="147"/>
  <c r="C310" i="147"/>
  <c r="C347" i="147" s="1"/>
  <c r="D50" i="147" s="1"/>
  <c r="C320" i="147"/>
  <c r="C357" i="147" s="1"/>
  <c r="D60" i="147" s="1"/>
  <c r="C327" i="147"/>
  <c r="C364" i="147" s="1"/>
  <c r="D67" i="147" s="1"/>
  <c r="D101" i="147" s="1"/>
  <c r="C308" i="147"/>
  <c r="C345" i="147" s="1"/>
  <c r="D48" i="147" s="1"/>
  <c r="C322" i="147"/>
  <c r="C359" i="147" s="1"/>
  <c r="D62" i="147" s="1"/>
  <c r="C329" i="147"/>
  <c r="C306" i="147"/>
  <c r="C343" i="147" s="1"/>
  <c r="D46" i="147" s="1"/>
  <c r="D80" i="147" s="1"/>
  <c r="C29" i="128"/>
  <c r="C79" i="128" s="1"/>
  <c r="C30" i="102" s="1"/>
  <c r="C313" i="147"/>
  <c r="C323" i="147"/>
  <c r="C360" i="147" s="1"/>
  <c r="D63" i="147" s="1"/>
  <c r="D97" i="147" s="1"/>
  <c r="C304" i="147"/>
  <c r="C341" i="147" s="1"/>
  <c r="D44" i="147" s="1"/>
  <c r="C311" i="147"/>
  <c r="C348" i="147" s="1"/>
  <c r="D51" i="147" s="1"/>
  <c r="D85" i="147" s="1"/>
  <c r="C325" i="147"/>
  <c r="C362" i="147" s="1"/>
  <c r="D65" i="147" s="1"/>
  <c r="C328" i="147"/>
  <c r="C365" i="147" s="1"/>
  <c r="D68" i="147" s="1"/>
  <c r="D102" i="147" s="1"/>
  <c r="C309" i="147"/>
  <c r="C346" i="147" s="1"/>
  <c r="D49" i="147" s="1"/>
  <c r="C319" i="147"/>
  <c r="C331" i="147"/>
  <c r="C307" i="147"/>
  <c r="C344" i="147" s="1"/>
  <c r="D47" i="147" s="1"/>
  <c r="D81" i="147" s="1"/>
  <c r="C321" i="147"/>
  <c r="C358" i="147" s="1"/>
  <c r="D61" i="147" s="1"/>
  <c r="I487" i="92"/>
  <c r="I491" i="92"/>
  <c r="I524" i="92" s="1"/>
  <c r="I574" i="92" s="1"/>
  <c r="I624" i="92" s="1"/>
  <c r="I503" i="92"/>
  <c r="I536" i="92" s="1"/>
  <c r="I586" i="92" s="1"/>
  <c r="I636" i="92" s="1"/>
  <c r="I494" i="92"/>
  <c r="I527" i="92" s="1"/>
  <c r="I577" i="92" s="1"/>
  <c r="I627" i="92" s="1"/>
  <c r="I500" i="92"/>
  <c r="I533" i="92" s="1"/>
  <c r="I583" i="92" s="1"/>
  <c r="I633" i="92" s="1"/>
  <c r="I496" i="92"/>
  <c r="I529" i="92" s="1"/>
  <c r="I579" i="92" s="1"/>
  <c r="I629" i="92" s="1"/>
  <c r="I497" i="92"/>
  <c r="I530" i="92" s="1"/>
  <c r="I580" i="92" s="1"/>
  <c r="I630" i="92" s="1"/>
  <c r="I504" i="92"/>
  <c r="I537" i="92" s="1"/>
  <c r="I587" i="92" s="1"/>
  <c r="I637" i="92" s="1"/>
  <c r="I495" i="92"/>
  <c r="I528" i="92" s="1"/>
  <c r="I578" i="92" s="1"/>
  <c r="I628" i="92" s="1"/>
  <c r="I489" i="92"/>
  <c r="I522" i="92" s="1"/>
  <c r="I572" i="92" s="1"/>
  <c r="I622" i="92" s="1"/>
  <c r="I501" i="92"/>
  <c r="I534" i="92" s="1"/>
  <c r="I584" i="92" s="1"/>
  <c r="I634" i="92" s="1"/>
  <c r="I492" i="92"/>
  <c r="I525" i="92" s="1"/>
  <c r="I575" i="92" s="1"/>
  <c r="I625" i="92" s="1"/>
  <c r="I499" i="92"/>
  <c r="I532" i="92" s="1"/>
  <c r="I582" i="92" s="1"/>
  <c r="I632" i="92" s="1"/>
  <c r="I488" i="92"/>
  <c r="I521" i="92" s="1"/>
  <c r="I571" i="92" s="1"/>
  <c r="I621" i="92" s="1"/>
  <c r="I490" i="92"/>
  <c r="I523" i="92" s="1"/>
  <c r="I573" i="92" s="1"/>
  <c r="I623" i="92" s="1"/>
  <c r="I505" i="92"/>
  <c r="I538" i="92" s="1"/>
  <c r="I588" i="92" s="1"/>
  <c r="I638" i="92" s="1"/>
  <c r="I502" i="92"/>
  <c r="I535" i="92" s="1"/>
  <c r="I585" i="92" s="1"/>
  <c r="I635" i="92" s="1"/>
  <c r="I498" i="92"/>
  <c r="I531" i="92" s="1"/>
  <c r="I581" i="92" s="1"/>
  <c r="I631" i="92" s="1"/>
  <c r="I493" i="92"/>
  <c r="I526" i="92" s="1"/>
  <c r="I576" i="92" s="1"/>
  <c r="I626" i="92" s="1"/>
  <c r="K64" i="190"/>
  <c r="K65" i="190" s="1"/>
  <c r="L27" i="190"/>
  <c r="L64" i="190" s="1"/>
  <c r="L65" i="190" s="1"/>
  <c r="J78" i="186"/>
  <c r="J80" i="186" s="1"/>
  <c r="J77" i="186"/>
  <c r="J79" i="186" s="1"/>
  <c r="J81" i="186" s="1"/>
  <c r="L221" i="209"/>
  <c r="L88" i="204"/>
  <c r="L90" i="204" s="1"/>
  <c r="L89" i="204"/>
  <c r="L91" i="204" s="1"/>
  <c r="L27" i="199"/>
  <c r="L64" i="199" s="1"/>
  <c r="L65" i="199" s="1"/>
  <c r="K64" i="199"/>
  <c r="K65" i="199" s="1"/>
  <c r="L89" i="200"/>
  <c r="L91" i="200" s="1"/>
  <c r="K89" i="185"/>
  <c r="K91" i="185" s="1"/>
  <c r="K92" i="185" s="1"/>
  <c r="K88" i="185"/>
  <c r="K90" i="185" s="1"/>
  <c r="J67" i="194"/>
  <c r="J69" i="194" s="1"/>
  <c r="I70" i="198"/>
  <c r="G22" i="127"/>
  <c r="G30" i="287" s="1"/>
  <c r="L30" i="287" s="1"/>
  <c r="H47" i="88"/>
  <c r="H15" i="141" s="1"/>
  <c r="I94" i="198"/>
  <c r="L28" i="204"/>
  <c r="L75" i="204" s="1"/>
  <c r="L76" i="204" s="1"/>
  <c r="K75" i="204"/>
  <c r="K76" i="204" s="1"/>
  <c r="L230" i="209"/>
  <c r="I70" i="201"/>
  <c r="K75" i="185"/>
  <c r="K76" i="185" s="1"/>
  <c r="L28" i="185"/>
  <c r="L75" i="185" s="1"/>
  <c r="L76" i="185" s="1"/>
  <c r="J92" i="186"/>
  <c r="J77" i="193"/>
  <c r="J79" i="193" s="1"/>
  <c r="J81" i="193" s="1"/>
  <c r="J78" i="193"/>
  <c r="J80" i="193" s="1"/>
  <c r="C331" i="146"/>
  <c r="C310" i="146"/>
  <c r="C347" i="146" s="1"/>
  <c r="D50" i="146" s="1"/>
  <c r="C320" i="146"/>
  <c r="C357" i="146" s="1"/>
  <c r="D60" i="146" s="1"/>
  <c r="C327" i="146"/>
  <c r="C364" i="146" s="1"/>
  <c r="D67" i="146" s="1"/>
  <c r="C308" i="146"/>
  <c r="C345" i="146" s="1"/>
  <c r="D48" i="146" s="1"/>
  <c r="C311" i="146"/>
  <c r="C348" i="146" s="1"/>
  <c r="D51" i="146" s="1"/>
  <c r="D85" i="146" s="1"/>
  <c r="C329" i="146"/>
  <c r="C306" i="146"/>
  <c r="C343" i="146" s="1"/>
  <c r="D46" i="146" s="1"/>
  <c r="C313" i="146"/>
  <c r="C332" i="146" s="1"/>
  <c r="C333" i="146" s="1"/>
  <c r="C323" i="146"/>
  <c r="C360" i="146" s="1"/>
  <c r="D63" i="146" s="1"/>
  <c r="C304" i="146"/>
  <c r="C341" i="146" s="1"/>
  <c r="D44" i="146" s="1"/>
  <c r="C307" i="146"/>
  <c r="C344" i="146" s="1"/>
  <c r="D47" i="146" s="1"/>
  <c r="D81" i="146" s="1"/>
  <c r="C325" i="146"/>
  <c r="C362" i="146" s="1"/>
  <c r="D65" i="146" s="1"/>
  <c r="C328" i="146"/>
  <c r="C365" i="146" s="1"/>
  <c r="D68" i="146" s="1"/>
  <c r="C309" i="146"/>
  <c r="C346" i="146" s="1"/>
  <c r="D49" i="146" s="1"/>
  <c r="D83" i="146" s="1"/>
  <c r="C319" i="146"/>
  <c r="C326" i="146"/>
  <c r="C363" i="146" s="1"/>
  <c r="D66" i="146" s="1"/>
  <c r="D100" i="146" s="1"/>
  <c r="C303" i="146"/>
  <c r="C28" i="128"/>
  <c r="C78" i="128" s="1"/>
  <c r="C29" i="102" s="1"/>
  <c r="C321" i="146"/>
  <c r="C358" i="146" s="1"/>
  <c r="D61" i="146" s="1"/>
  <c r="D95" i="146" s="1"/>
  <c r="C324" i="146"/>
  <c r="C361" i="146" s="1"/>
  <c r="D64" i="146" s="1"/>
  <c r="C305" i="146"/>
  <c r="C342" i="146" s="1"/>
  <c r="D45" i="146" s="1"/>
  <c r="D79" i="146" s="1"/>
  <c r="C312" i="146"/>
  <c r="C349" i="146" s="1"/>
  <c r="D52" i="146" s="1"/>
  <c r="C322" i="146"/>
  <c r="C359" i="146" s="1"/>
  <c r="D62" i="146" s="1"/>
  <c r="D96" i="146" s="1"/>
  <c r="J92" i="189"/>
  <c r="C326" i="151"/>
  <c r="C363" i="151" s="1"/>
  <c r="D66" i="151" s="1"/>
  <c r="C303" i="151"/>
  <c r="C321" i="151"/>
  <c r="C358" i="151" s="1"/>
  <c r="D61" i="151" s="1"/>
  <c r="C324" i="151"/>
  <c r="C361" i="151" s="1"/>
  <c r="D64" i="151" s="1"/>
  <c r="C305" i="151"/>
  <c r="C342" i="151" s="1"/>
  <c r="D45" i="151" s="1"/>
  <c r="C312" i="151"/>
  <c r="C349" i="151" s="1"/>
  <c r="D52" i="151" s="1"/>
  <c r="C322" i="151"/>
  <c r="C359" i="151" s="1"/>
  <c r="D62" i="151" s="1"/>
  <c r="D96" i="151" s="1"/>
  <c r="C34" i="128"/>
  <c r="C84" i="128" s="1"/>
  <c r="C34" i="102" s="1"/>
  <c r="C310" i="151"/>
  <c r="C347" i="151" s="1"/>
  <c r="D50" i="151" s="1"/>
  <c r="C320" i="151"/>
  <c r="C357" i="151" s="1"/>
  <c r="D60" i="151" s="1"/>
  <c r="C327" i="151"/>
  <c r="C364" i="151" s="1"/>
  <c r="D67" i="151" s="1"/>
  <c r="C308" i="151"/>
  <c r="C345" i="151" s="1"/>
  <c r="D48" i="151" s="1"/>
  <c r="C311" i="151"/>
  <c r="C348" i="151" s="1"/>
  <c r="D51" i="151" s="1"/>
  <c r="D85" i="151" s="1"/>
  <c r="C329" i="151"/>
  <c r="C306" i="151"/>
  <c r="C343" i="151" s="1"/>
  <c r="D46" i="151" s="1"/>
  <c r="C313" i="151"/>
  <c r="C332" i="151" s="1"/>
  <c r="C323" i="151"/>
  <c r="C360" i="151" s="1"/>
  <c r="D63" i="151" s="1"/>
  <c r="C304" i="151"/>
  <c r="C341" i="151" s="1"/>
  <c r="D44" i="151" s="1"/>
  <c r="C331" i="151"/>
  <c r="C307" i="151"/>
  <c r="C344" i="151" s="1"/>
  <c r="D47" i="151" s="1"/>
  <c r="C325" i="151"/>
  <c r="C362" i="151" s="1"/>
  <c r="D65" i="151" s="1"/>
  <c r="D99" i="151" s="1"/>
  <c r="C328" i="151"/>
  <c r="C365" i="151" s="1"/>
  <c r="D68" i="151" s="1"/>
  <c r="C309" i="151"/>
  <c r="C346" i="151" s="1"/>
  <c r="D49" i="151" s="1"/>
  <c r="D83" i="151" s="1"/>
  <c r="C319" i="151"/>
  <c r="I66" i="194"/>
  <c r="I68" i="194" s="1"/>
  <c r="C328" i="135"/>
  <c r="C365" i="135" s="1"/>
  <c r="D68" i="135" s="1"/>
  <c r="C305" i="135"/>
  <c r="C342" i="135" s="1"/>
  <c r="D45" i="135" s="1"/>
  <c r="C312" i="135"/>
  <c r="C349" i="135" s="1"/>
  <c r="D52" i="135" s="1"/>
  <c r="C322" i="135"/>
  <c r="C359" i="135" s="1"/>
  <c r="D62" i="135" s="1"/>
  <c r="C325" i="135"/>
  <c r="C362" i="135" s="1"/>
  <c r="D65" i="135" s="1"/>
  <c r="C324" i="135"/>
  <c r="C361" i="135" s="1"/>
  <c r="D64" i="135" s="1"/>
  <c r="C327" i="135"/>
  <c r="C364" i="135" s="1"/>
  <c r="D67" i="135" s="1"/>
  <c r="C308" i="135"/>
  <c r="C345" i="135" s="1"/>
  <c r="D48" i="135" s="1"/>
  <c r="C311" i="135"/>
  <c r="C348" i="135" s="1"/>
  <c r="D51" i="135" s="1"/>
  <c r="C321" i="135"/>
  <c r="C358" i="135" s="1"/>
  <c r="D61" i="135" s="1"/>
  <c r="D95" i="135" s="1"/>
  <c r="C320" i="135"/>
  <c r="C357" i="135" s="1"/>
  <c r="D60" i="135" s="1"/>
  <c r="C323" i="135"/>
  <c r="C360" i="135" s="1"/>
  <c r="D63" i="135" s="1"/>
  <c r="D97" i="135" s="1"/>
  <c r="C304" i="135"/>
  <c r="C341" i="135" s="1"/>
  <c r="D44" i="135" s="1"/>
  <c r="C307" i="135"/>
  <c r="C344" i="135" s="1"/>
  <c r="D47" i="135" s="1"/>
  <c r="C310" i="135"/>
  <c r="C347" i="135" s="1"/>
  <c r="D50" i="135" s="1"/>
  <c r="C17" i="128"/>
  <c r="C67" i="128" s="1"/>
  <c r="C18" i="102" s="1"/>
  <c r="C309" i="135"/>
  <c r="C346" i="135" s="1"/>
  <c r="D49" i="135" s="1"/>
  <c r="C319" i="135"/>
  <c r="C326" i="135"/>
  <c r="C363" i="135" s="1"/>
  <c r="D66" i="135" s="1"/>
  <c r="D100" i="135" s="1"/>
  <c r="C303" i="135"/>
  <c r="C306" i="135"/>
  <c r="C343" i="135" s="1"/>
  <c r="D46" i="135" s="1"/>
  <c r="K75" i="189"/>
  <c r="K76" i="189" s="1"/>
  <c r="L28" i="189"/>
  <c r="L75" i="189" s="1"/>
  <c r="L76" i="189" s="1"/>
  <c r="L235" i="209"/>
  <c r="G23" i="127"/>
  <c r="G31" i="287" s="1"/>
  <c r="L31" i="287" s="1"/>
  <c r="H48" i="88"/>
  <c r="H15" i="142" s="1"/>
  <c r="G17" i="127"/>
  <c r="G25" i="287" s="1"/>
  <c r="L25" i="287" s="1"/>
  <c r="H42" i="88"/>
  <c r="H15" i="135" s="1"/>
  <c r="D97" i="140"/>
  <c r="D197" i="140"/>
  <c r="D163" i="140"/>
  <c r="D129" i="140"/>
  <c r="I516" i="217"/>
  <c r="D47" i="140"/>
  <c r="D81" i="140" s="1"/>
  <c r="J88" i="188"/>
  <c r="J90" i="188" s="1"/>
  <c r="K75" i="187"/>
  <c r="K76" i="187" s="1"/>
  <c r="L28" i="187"/>
  <c r="L75" i="187" s="1"/>
  <c r="L76" i="187" s="1"/>
  <c r="K89" i="199"/>
  <c r="K91" i="199" s="1"/>
  <c r="I77" i="204"/>
  <c r="I79" i="204" s="1"/>
  <c r="I81" i="204" s="1"/>
  <c r="I94" i="204" s="1"/>
  <c r="K64" i="189"/>
  <c r="K65" i="189" s="1"/>
  <c r="L27" i="189"/>
  <c r="L64" i="189" s="1"/>
  <c r="L65" i="189" s="1"/>
  <c r="J78" i="191"/>
  <c r="J80" i="191" s="1"/>
  <c r="J77" i="191"/>
  <c r="J79" i="191" s="1"/>
  <c r="J81" i="191" s="1"/>
  <c r="K26" i="217"/>
  <c r="K54" i="217" s="1"/>
  <c r="E22" i="287"/>
  <c r="J22" i="287" s="1"/>
  <c r="J67" i="204"/>
  <c r="J69" i="204" s="1"/>
  <c r="J66" i="204"/>
  <c r="J68" i="204" s="1"/>
  <c r="K89" i="186"/>
  <c r="K91" i="186" s="1"/>
  <c r="K88" i="186"/>
  <c r="K90" i="186" s="1"/>
  <c r="L236" i="209"/>
  <c r="J78" i="195"/>
  <c r="J80" i="195" s="1"/>
  <c r="J92" i="191"/>
  <c r="L89" i="201"/>
  <c r="L91" i="201" s="1"/>
  <c r="L88" i="201"/>
  <c r="L90" i="201" s="1"/>
  <c r="L89" i="192"/>
  <c r="L91" i="192" s="1"/>
  <c r="L88" i="192"/>
  <c r="L90" i="192" s="1"/>
  <c r="L89" i="189"/>
  <c r="L91" i="189" s="1"/>
  <c r="I77" i="196"/>
  <c r="I79" i="196" s="1"/>
  <c r="I81" i="196" s="1"/>
  <c r="I94" i="196" s="1"/>
  <c r="I77" i="197"/>
  <c r="I79" i="197" s="1"/>
  <c r="I81" i="197" s="1"/>
  <c r="I94" i="197" s="1"/>
  <c r="F34" i="287"/>
  <c r="K34" i="287" s="1"/>
  <c r="F78" i="287"/>
  <c r="J88" i="196"/>
  <c r="J90" i="196" s="1"/>
  <c r="J92" i="196" s="1"/>
  <c r="K64" i="196"/>
  <c r="K65" i="196" s="1"/>
  <c r="L27" i="196"/>
  <c r="L64" i="196" s="1"/>
  <c r="L65" i="196" s="1"/>
  <c r="L28" i="202"/>
  <c r="L75" i="202" s="1"/>
  <c r="L76" i="202" s="1"/>
  <c r="K75" i="202"/>
  <c r="K76" i="202" s="1"/>
  <c r="L233" i="209"/>
  <c r="P209" i="152"/>
  <c r="P49" i="169"/>
  <c r="P81" i="169" s="1"/>
  <c r="P49" i="167"/>
  <c r="P81" i="167" s="1"/>
  <c r="P49" i="166"/>
  <c r="P81" i="166" s="1"/>
  <c r="K89" i="188"/>
  <c r="K91" i="188" s="1"/>
  <c r="K88" i="188"/>
  <c r="K90" i="188" s="1"/>
  <c r="L224" i="209"/>
  <c r="J77" i="190"/>
  <c r="J79" i="190" s="1"/>
  <c r="J81" i="190" s="1"/>
  <c r="J78" i="190"/>
  <c r="J80" i="190" s="1"/>
  <c r="I70" i="189"/>
  <c r="L238" i="209"/>
  <c r="I77" i="186"/>
  <c r="I79" i="186" s="1"/>
  <c r="I81" i="186" s="1"/>
  <c r="I94" i="186" s="1"/>
  <c r="K221" i="209"/>
  <c r="K241" i="209" s="1"/>
  <c r="K242" i="209" s="1"/>
  <c r="L88" i="195"/>
  <c r="L90" i="195" s="1"/>
  <c r="L89" i="195"/>
  <c r="L91" i="195" s="1"/>
  <c r="K89" i="191"/>
  <c r="K91" i="191" s="1"/>
  <c r="J78" i="196"/>
  <c r="J80" i="196" s="1"/>
  <c r="J77" i="196"/>
  <c r="J79" i="196" s="1"/>
  <c r="J81" i="196" s="1"/>
  <c r="K75" i="197"/>
  <c r="K76" i="197" s="1"/>
  <c r="L28" i="197"/>
  <c r="L75" i="197" s="1"/>
  <c r="L76" i="197" s="1"/>
  <c r="P222" i="152"/>
  <c r="P62" i="169"/>
  <c r="P94" i="169" s="1"/>
  <c r="P62" i="167"/>
  <c r="P94" i="167" s="1"/>
  <c r="P62" i="166"/>
  <c r="P94" i="166" s="1"/>
  <c r="H49" i="88"/>
  <c r="H15" i="162" s="1"/>
  <c r="G24" i="127"/>
  <c r="G32" i="287" s="1"/>
  <c r="L32" i="287" s="1"/>
  <c r="H44" i="88"/>
  <c r="H15" i="137" s="1"/>
  <c r="G19" i="127"/>
  <c r="G27" i="287" s="1"/>
  <c r="L27" i="287" s="1"/>
  <c r="H26" i="88"/>
  <c r="H36" i="143"/>
  <c r="H369" i="143" s="1"/>
  <c r="H36" i="135"/>
  <c r="H369" i="135" s="1"/>
  <c r="H18" i="88"/>
  <c r="H36" i="141"/>
  <c r="H369" i="141" s="1"/>
  <c r="H23" i="88"/>
  <c r="H36" i="149"/>
  <c r="H369" i="149" s="1"/>
  <c r="H32" i="88"/>
  <c r="F589" i="92"/>
  <c r="F590" i="92" s="1"/>
  <c r="F620" i="92"/>
  <c r="J88" i="187"/>
  <c r="J90" i="187" s="1"/>
  <c r="J92" i="187" s="1"/>
  <c r="L27" i="186"/>
  <c r="L64" i="186" s="1"/>
  <c r="L65" i="186" s="1"/>
  <c r="K64" i="186"/>
  <c r="K65" i="186" s="1"/>
  <c r="I77" i="201"/>
  <c r="I79" i="201" s="1"/>
  <c r="I81" i="201" s="1"/>
  <c r="I94" i="201" s="1"/>
  <c r="K89" i="202"/>
  <c r="K91" i="202" s="1"/>
  <c r="K88" i="202"/>
  <c r="K90" i="202" s="1"/>
  <c r="G15" i="88"/>
  <c r="S64" i="104"/>
  <c r="J67" i="190"/>
  <c r="J69" i="190" s="1"/>
  <c r="P212" i="152"/>
  <c r="P52" i="169"/>
  <c r="P84" i="169" s="1"/>
  <c r="P109" i="166" s="1"/>
  <c r="P52" i="167"/>
  <c r="P84" i="167" s="1"/>
  <c r="P107" i="166" s="1"/>
  <c r="P52" i="166"/>
  <c r="P84" i="166" s="1"/>
  <c r="P105" i="166" s="1"/>
  <c r="L28" i="186"/>
  <c r="L75" i="186" s="1"/>
  <c r="L76" i="186" s="1"/>
  <c r="K75" i="186"/>
  <c r="K76" i="186" s="1"/>
  <c r="P208" i="152"/>
  <c r="P48" i="169"/>
  <c r="P80" i="169" s="1"/>
  <c r="P48" i="167"/>
  <c r="P80" i="167" s="1"/>
  <c r="P48" i="166"/>
  <c r="P80" i="166" s="1"/>
  <c r="I77" i="192"/>
  <c r="I79" i="192" s="1"/>
  <c r="I81" i="192" s="1"/>
  <c r="J88" i="195"/>
  <c r="J90" i="195" s="1"/>
  <c r="J92" i="195" s="1"/>
  <c r="J67" i="199"/>
  <c r="J69" i="199" s="1"/>
  <c r="K89" i="200"/>
  <c r="K91" i="200" s="1"/>
  <c r="P202" i="152"/>
  <c r="P42" i="169"/>
  <c r="P74" i="169" s="1"/>
  <c r="P42" i="167"/>
  <c r="P74" i="167" s="1"/>
  <c r="P42" i="166"/>
  <c r="P74" i="166" s="1"/>
  <c r="J92" i="190"/>
  <c r="K260" i="152"/>
  <c r="V38" i="104"/>
  <c r="V41" i="104"/>
  <c r="V46" i="104" s="1"/>
  <c r="C22" i="128"/>
  <c r="C72" i="128" s="1"/>
  <c r="C23" i="102" s="1"/>
  <c r="C329" i="141"/>
  <c r="C328" i="141"/>
  <c r="C365" i="141" s="1"/>
  <c r="D68" i="141" s="1"/>
  <c r="C327" i="141"/>
  <c r="C364" i="141" s="1"/>
  <c r="D67" i="141" s="1"/>
  <c r="C305" i="141"/>
  <c r="C342" i="141" s="1"/>
  <c r="D45" i="141" s="1"/>
  <c r="C309" i="141"/>
  <c r="C346" i="141" s="1"/>
  <c r="D49" i="141" s="1"/>
  <c r="C331" i="141"/>
  <c r="C325" i="141"/>
  <c r="C362" i="141" s="1"/>
  <c r="D65" i="141" s="1"/>
  <c r="C324" i="141"/>
  <c r="C361" i="141" s="1"/>
  <c r="D64" i="141" s="1"/>
  <c r="D98" i="141" s="1"/>
  <c r="C323" i="141"/>
  <c r="C360" i="141" s="1"/>
  <c r="D63" i="141" s="1"/>
  <c r="C311" i="141"/>
  <c r="C348" i="141" s="1"/>
  <c r="D51" i="141" s="1"/>
  <c r="C307" i="141"/>
  <c r="C344" i="141" s="1"/>
  <c r="D47" i="141" s="1"/>
  <c r="C326" i="141"/>
  <c r="C363" i="141" s="1"/>
  <c r="D66" i="141" s="1"/>
  <c r="C321" i="141"/>
  <c r="C358" i="141" s="1"/>
  <c r="D61" i="141" s="1"/>
  <c r="C320" i="141"/>
  <c r="C357" i="141" s="1"/>
  <c r="D60" i="141" s="1"/>
  <c r="C319" i="141"/>
  <c r="C308" i="141"/>
  <c r="C345" i="141" s="1"/>
  <c r="D48" i="141" s="1"/>
  <c r="C303" i="141"/>
  <c r="C322" i="141"/>
  <c r="C359" i="141" s="1"/>
  <c r="D62" i="141" s="1"/>
  <c r="D96" i="141" s="1"/>
  <c r="C310" i="141"/>
  <c r="C347" i="141" s="1"/>
  <c r="D50" i="141" s="1"/>
  <c r="D84" i="141" s="1"/>
  <c r="C313" i="141"/>
  <c r="C332" i="141" s="1"/>
  <c r="C312" i="141"/>
  <c r="C349" i="141" s="1"/>
  <c r="D52" i="141" s="1"/>
  <c r="C304" i="141"/>
  <c r="C341" i="141" s="1"/>
  <c r="D44" i="141" s="1"/>
  <c r="C306" i="141"/>
  <c r="C343" i="141" s="1"/>
  <c r="D46" i="141" s="1"/>
  <c r="I70" i="202"/>
  <c r="I94" i="202" s="1"/>
  <c r="K64" i="192"/>
  <c r="K65" i="192" s="1"/>
  <c r="L27" i="192"/>
  <c r="L64" i="192" s="1"/>
  <c r="L65" i="192" s="1"/>
  <c r="P203" i="152"/>
  <c r="P43" i="169"/>
  <c r="P75" i="169" s="1"/>
  <c r="P43" i="167"/>
  <c r="P75" i="167" s="1"/>
  <c r="P43" i="166"/>
  <c r="P75" i="166" s="1"/>
  <c r="J92" i="199"/>
  <c r="J78" i="204"/>
  <c r="J80" i="204" s="1"/>
  <c r="I70" i="190"/>
  <c r="I94" i="190" s="1"/>
  <c r="C27" i="128"/>
  <c r="C77" i="128" s="1"/>
  <c r="C28" i="102" s="1"/>
  <c r="C312" i="145"/>
  <c r="C349" i="145" s="1"/>
  <c r="D52" i="145" s="1"/>
  <c r="C326" i="145"/>
  <c r="C363" i="145" s="1"/>
  <c r="D66" i="145" s="1"/>
  <c r="C303" i="145"/>
  <c r="C310" i="145"/>
  <c r="C347" i="145" s="1"/>
  <c r="D50" i="145" s="1"/>
  <c r="C320" i="145"/>
  <c r="C357" i="145" s="1"/>
  <c r="D60" i="145" s="1"/>
  <c r="C327" i="145"/>
  <c r="C364" i="145" s="1"/>
  <c r="D67" i="145" s="1"/>
  <c r="D101" i="145" s="1"/>
  <c r="C308" i="145"/>
  <c r="C345" i="145" s="1"/>
  <c r="D48" i="145" s="1"/>
  <c r="C322" i="145"/>
  <c r="C359" i="145" s="1"/>
  <c r="D62" i="145" s="1"/>
  <c r="C329" i="145"/>
  <c r="C306" i="145"/>
  <c r="C343" i="145" s="1"/>
  <c r="D46" i="145" s="1"/>
  <c r="C313" i="145"/>
  <c r="C323" i="145"/>
  <c r="C360" i="145" s="1"/>
  <c r="D63" i="145" s="1"/>
  <c r="D97" i="145" s="1"/>
  <c r="C304" i="145"/>
  <c r="C341" i="145" s="1"/>
  <c r="D44" i="145" s="1"/>
  <c r="C311" i="145"/>
  <c r="C348" i="145" s="1"/>
  <c r="D51" i="145" s="1"/>
  <c r="D85" i="145" s="1"/>
  <c r="C325" i="145"/>
  <c r="C362" i="145" s="1"/>
  <c r="D65" i="145" s="1"/>
  <c r="C328" i="145"/>
  <c r="C365" i="145" s="1"/>
  <c r="D68" i="145" s="1"/>
  <c r="C309" i="145"/>
  <c r="C346" i="145" s="1"/>
  <c r="D49" i="145" s="1"/>
  <c r="C319" i="145"/>
  <c r="C331" i="145"/>
  <c r="C307" i="145"/>
  <c r="C344" i="145" s="1"/>
  <c r="D47" i="145" s="1"/>
  <c r="C321" i="145"/>
  <c r="C358" i="145" s="1"/>
  <c r="D61" i="145" s="1"/>
  <c r="D95" i="145" s="1"/>
  <c r="C324" i="145"/>
  <c r="C361" i="145" s="1"/>
  <c r="D64" i="145" s="1"/>
  <c r="D98" i="145" s="1"/>
  <c r="C305" i="145"/>
  <c r="C342" i="145" s="1"/>
  <c r="D45" i="145" s="1"/>
  <c r="J77" i="185"/>
  <c r="J79" i="185" s="1"/>
  <c r="J81" i="185" s="1"/>
  <c r="J78" i="185"/>
  <c r="J80" i="185" s="1"/>
  <c r="C322" i="137"/>
  <c r="C359" i="137" s="1"/>
  <c r="D62" i="137" s="1"/>
  <c r="C325" i="137"/>
  <c r="C362" i="137" s="1"/>
  <c r="D65" i="137" s="1"/>
  <c r="C328" i="137"/>
  <c r="C365" i="137" s="1"/>
  <c r="D68" i="137" s="1"/>
  <c r="C305" i="137"/>
  <c r="C342" i="137" s="1"/>
  <c r="D45" i="137" s="1"/>
  <c r="C312" i="137"/>
  <c r="C349" i="137" s="1"/>
  <c r="D52" i="137" s="1"/>
  <c r="D86" i="137" s="1"/>
  <c r="C311" i="137"/>
  <c r="C348" i="137" s="1"/>
  <c r="D51" i="137" s="1"/>
  <c r="C321" i="137"/>
  <c r="C358" i="137" s="1"/>
  <c r="D61" i="137" s="1"/>
  <c r="C324" i="137"/>
  <c r="C361" i="137" s="1"/>
  <c r="D64" i="137" s="1"/>
  <c r="C327" i="137"/>
  <c r="C364" i="137" s="1"/>
  <c r="D67" i="137" s="1"/>
  <c r="C308" i="137"/>
  <c r="C345" i="137" s="1"/>
  <c r="D48" i="137" s="1"/>
  <c r="C19" i="128"/>
  <c r="C69" i="128" s="1"/>
  <c r="C20" i="102" s="1"/>
  <c r="C307" i="137"/>
  <c r="C344" i="137" s="1"/>
  <c r="D47" i="137" s="1"/>
  <c r="C310" i="137"/>
  <c r="C347" i="137" s="1"/>
  <c r="D50" i="137" s="1"/>
  <c r="C320" i="137"/>
  <c r="C357" i="137" s="1"/>
  <c r="D60" i="137" s="1"/>
  <c r="C323" i="137"/>
  <c r="C360" i="137" s="1"/>
  <c r="D63" i="137" s="1"/>
  <c r="C304" i="137"/>
  <c r="C341" i="137" s="1"/>
  <c r="D44" i="137" s="1"/>
  <c r="C326" i="137"/>
  <c r="C363" i="137" s="1"/>
  <c r="D66" i="137" s="1"/>
  <c r="D100" i="137" s="1"/>
  <c r="C303" i="137"/>
  <c r="C306" i="137"/>
  <c r="C343" i="137" s="1"/>
  <c r="D46" i="137" s="1"/>
  <c r="C309" i="137"/>
  <c r="C346" i="137" s="1"/>
  <c r="D49" i="137" s="1"/>
  <c r="D83" i="137" s="1"/>
  <c r="C319" i="137"/>
  <c r="I77" i="195"/>
  <c r="I79" i="195" s="1"/>
  <c r="I81" i="195" s="1"/>
  <c r="I94" i="195" s="1"/>
  <c r="K75" i="193"/>
  <c r="K76" i="193" s="1"/>
  <c r="L28" i="193"/>
  <c r="L75" i="193" s="1"/>
  <c r="L76" i="193" s="1"/>
  <c r="J78" i="200"/>
  <c r="J80" i="200" s="1"/>
  <c r="J88" i="201"/>
  <c r="J90" i="201" s="1"/>
  <c r="J92" i="201" s="1"/>
  <c r="J78" i="194"/>
  <c r="J80" i="194" s="1"/>
  <c r="J77" i="194"/>
  <c r="J79" i="194" s="1"/>
  <c r="J81" i="194" s="1"/>
  <c r="I70" i="194"/>
  <c r="I94" i="194" s="1"/>
  <c r="C21" i="128"/>
  <c r="C71" i="128" s="1"/>
  <c r="C22" i="102" s="1"/>
  <c r="C307" i="139"/>
  <c r="C344" i="139" s="1"/>
  <c r="D47" i="139" s="1"/>
  <c r="C310" i="139"/>
  <c r="C347" i="139" s="1"/>
  <c r="D50" i="139" s="1"/>
  <c r="C320" i="139"/>
  <c r="C357" i="139" s="1"/>
  <c r="D60" i="139" s="1"/>
  <c r="C323" i="139"/>
  <c r="C360" i="139" s="1"/>
  <c r="D63" i="139" s="1"/>
  <c r="C304" i="139"/>
  <c r="C341" i="139" s="1"/>
  <c r="D44" i="139" s="1"/>
  <c r="C326" i="139"/>
  <c r="C363" i="139" s="1"/>
  <c r="D66" i="139" s="1"/>
  <c r="C303" i="139"/>
  <c r="C306" i="139"/>
  <c r="C343" i="139" s="1"/>
  <c r="D46" i="139" s="1"/>
  <c r="C309" i="139"/>
  <c r="C346" i="139" s="1"/>
  <c r="D49" i="139" s="1"/>
  <c r="C319" i="139"/>
  <c r="C322" i="139"/>
  <c r="C359" i="139" s="1"/>
  <c r="D62" i="139" s="1"/>
  <c r="C325" i="139"/>
  <c r="C362" i="139" s="1"/>
  <c r="D65" i="139" s="1"/>
  <c r="C328" i="139"/>
  <c r="C365" i="139" s="1"/>
  <c r="D68" i="139" s="1"/>
  <c r="C305" i="139"/>
  <c r="C342" i="139" s="1"/>
  <c r="D45" i="139" s="1"/>
  <c r="C312" i="139"/>
  <c r="C349" i="139" s="1"/>
  <c r="D52" i="139" s="1"/>
  <c r="C311" i="139"/>
  <c r="C348" i="139" s="1"/>
  <c r="D51" i="139" s="1"/>
  <c r="C321" i="139"/>
  <c r="C358" i="139" s="1"/>
  <c r="D61" i="139" s="1"/>
  <c r="D95" i="139" s="1"/>
  <c r="C324" i="139"/>
  <c r="C361" i="139" s="1"/>
  <c r="D64" i="139" s="1"/>
  <c r="D98" i="139" s="1"/>
  <c r="C327" i="139"/>
  <c r="C364" i="139" s="1"/>
  <c r="D67" i="139" s="1"/>
  <c r="C308" i="139"/>
  <c r="C345" i="139" s="1"/>
  <c r="D48" i="139" s="1"/>
  <c r="L88" i="197"/>
  <c r="L90" i="197" s="1"/>
  <c r="L89" i="197"/>
  <c r="L91" i="197" s="1"/>
  <c r="P218" i="152"/>
  <c r="P58" i="169"/>
  <c r="P90" i="169" s="1"/>
  <c r="P58" i="167"/>
  <c r="P90" i="167" s="1"/>
  <c r="P58" i="166"/>
  <c r="P90" i="166" s="1"/>
  <c r="L89" i="190"/>
  <c r="L91" i="190" s="1"/>
  <c r="D82" i="140"/>
  <c r="D101" i="140"/>
  <c r="D201" i="140"/>
  <c r="D133" i="140"/>
  <c r="D167" i="140"/>
  <c r="D98" i="140"/>
  <c r="I518" i="217"/>
  <c r="D51" i="140"/>
  <c r="D85" i="140" s="1"/>
  <c r="I328" i="217"/>
  <c r="C88" i="102"/>
  <c r="C32" i="95"/>
  <c r="J92" i="188"/>
  <c r="F14" i="127"/>
  <c r="F36" i="140"/>
  <c r="G39" i="88"/>
  <c r="G15" i="140" s="1"/>
  <c r="I66" i="192"/>
  <c r="I68" i="192" s="1"/>
  <c r="I70" i="192" s="1"/>
  <c r="J88" i="193"/>
  <c r="J90" i="193" s="1"/>
  <c r="J92" i="193" s="1"/>
  <c r="J66" i="189"/>
  <c r="J68" i="189" s="1"/>
  <c r="J67" i="189"/>
  <c r="J69" i="189" s="1"/>
  <c r="F33" i="287"/>
  <c r="K33" i="287" s="1"/>
  <c r="F77" i="287"/>
  <c r="L27" i="201"/>
  <c r="L64" i="201" s="1"/>
  <c r="L65" i="201" s="1"/>
  <c r="K64" i="201"/>
  <c r="K65" i="201" s="1"/>
  <c r="L28" i="191"/>
  <c r="L75" i="191" s="1"/>
  <c r="L76" i="191" s="1"/>
  <c r="K75" i="191"/>
  <c r="K76" i="191" s="1"/>
  <c r="K64" i="204"/>
  <c r="K65" i="204" s="1"/>
  <c r="L27" i="204"/>
  <c r="L64" i="204" s="1"/>
  <c r="L65" i="204" s="1"/>
  <c r="J67" i="193"/>
  <c r="J69" i="193" s="1"/>
  <c r="K75" i="195"/>
  <c r="K76" i="195" s="1"/>
  <c r="L28" i="195"/>
  <c r="L75" i="195" s="1"/>
  <c r="L76" i="195" s="1"/>
  <c r="I77" i="200"/>
  <c r="I79" i="200" s="1"/>
  <c r="I81" i="200" s="1"/>
  <c r="I94" i="200" s="1"/>
  <c r="K89" i="201"/>
  <c r="K91" i="201" s="1"/>
  <c r="K88" i="201"/>
  <c r="K90" i="201" s="1"/>
  <c r="K89" i="192"/>
  <c r="K91" i="192" s="1"/>
  <c r="K89" i="189"/>
  <c r="K91" i="189" s="1"/>
  <c r="K88" i="189"/>
  <c r="K90" i="189" s="1"/>
  <c r="I70" i="195"/>
  <c r="P217" i="152"/>
  <c r="P57" i="169"/>
  <c r="P89" i="169" s="1"/>
  <c r="P57" i="167"/>
  <c r="P89" i="167" s="1"/>
  <c r="P57" i="166"/>
  <c r="P89" i="166" s="1"/>
  <c r="J88" i="197"/>
  <c r="J90" i="197" s="1"/>
  <c r="J92" i="197" s="1"/>
  <c r="I77" i="189"/>
  <c r="I79" i="189" s="1"/>
  <c r="I81" i="189" s="1"/>
  <c r="M267" i="152"/>
  <c r="Y34" i="113"/>
  <c r="P68" i="113"/>
  <c r="P69" i="113" s="1"/>
  <c r="U205" i="95" s="1"/>
  <c r="X37" i="113"/>
  <c r="AO215" i="95"/>
  <c r="I94" i="189"/>
  <c r="J67" i="196"/>
  <c r="J69" i="196" s="1"/>
  <c r="J78" i="202"/>
  <c r="J80" i="202" s="1"/>
  <c r="P211" i="152"/>
  <c r="P51" i="169"/>
  <c r="P83" i="169" s="1"/>
  <c r="P51" i="167"/>
  <c r="P83" i="167" s="1"/>
  <c r="P51" i="166"/>
  <c r="P83" i="166" s="1"/>
  <c r="D15" i="127"/>
  <c r="E40" i="88"/>
  <c r="I70" i="186"/>
  <c r="I69" i="185"/>
  <c r="I70" i="185" s="1"/>
  <c r="I94" i="185" s="1"/>
  <c r="J92" i="202"/>
  <c r="K75" i="190"/>
  <c r="K76" i="190" s="1"/>
  <c r="L28" i="190"/>
  <c r="L75" i="190" s="1"/>
  <c r="L76" i="190" s="1"/>
  <c r="C329" i="143"/>
  <c r="C306" i="143"/>
  <c r="C343" i="143" s="1"/>
  <c r="D46" i="143" s="1"/>
  <c r="C313" i="143"/>
  <c r="C323" i="143"/>
  <c r="C360" i="143" s="1"/>
  <c r="D63" i="143" s="1"/>
  <c r="C304" i="143"/>
  <c r="C341" i="143" s="1"/>
  <c r="D44" i="143" s="1"/>
  <c r="C311" i="143"/>
  <c r="C348" i="143" s="1"/>
  <c r="D51" i="143" s="1"/>
  <c r="C325" i="143"/>
  <c r="C362" i="143" s="1"/>
  <c r="D65" i="143" s="1"/>
  <c r="C328" i="143"/>
  <c r="C365" i="143" s="1"/>
  <c r="D68" i="143" s="1"/>
  <c r="C309" i="143"/>
  <c r="C346" i="143" s="1"/>
  <c r="D49" i="143" s="1"/>
  <c r="C319" i="143"/>
  <c r="C331" i="143"/>
  <c r="C307" i="143"/>
  <c r="C344" i="143" s="1"/>
  <c r="D47" i="143" s="1"/>
  <c r="D81" i="143" s="1"/>
  <c r="C321" i="143"/>
  <c r="C358" i="143" s="1"/>
  <c r="D61" i="143" s="1"/>
  <c r="C324" i="143"/>
  <c r="C361" i="143" s="1"/>
  <c r="D64" i="143" s="1"/>
  <c r="C305" i="143"/>
  <c r="C342" i="143" s="1"/>
  <c r="D45" i="143" s="1"/>
  <c r="C312" i="143"/>
  <c r="C349" i="143" s="1"/>
  <c r="D52" i="143" s="1"/>
  <c r="D86" i="143" s="1"/>
  <c r="C326" i="143"/>
  <c r="C363" i="143" s="1"/>
  <c r="D66" i="143" s="1"/>
  <c r="C303" i="143"/>
  <c r="C25" i="128"/>
  <c r="C75" i="128" s="1"/>
  <c r="C26" i="102" s="1"/>
  <c r="C310" i="143"/>
  <c r="C347" i="143" s="1"/>
  <c r="D50" i="143" s="1"/>
  <c r="C320" i="143"/>
  <c r="C357" i="143" s="1"/>
  <c r="D60" i="143" s="1"/>
  <c r="C327" i="143"/>
  <c r="C364" i="143" s="1"/>
  <c r="D67" i="143" s="1"/>
  <c r="C308" i="143"/>
  <c r="C345" i="143" s="1"/>
  <c r="D48" i="143" s="1"/>
  <c r="C322" i="143"/>
  <c r="C359" i="143" s="1"/>
  <c r="D62" i="143" s="1"/>
  <c r="C24" i="128"/>
  <c r="C74" i="128" s="1"/>
  <c r="C25" i="102" s="1"/>
  <c r="C328" i="162"/>
  <c r="C365" i="162" s="1"/>
  <c r="D68" i="162" s="1"/>
  <c r="C307" i="162"/>
  <c r="C344" i="162" s="1"/>
  <c r="D47" i="162" s="1"/>
  <c r="C306" i="162"/>
  <c r="C343" i="162" s="1"/>
  <c r="D46" i="162" s="1"/>
  <c r="C313" i="162"/>
  <c r="C319" i="162"/>
  <c r="C329" i="162"/>
  <c r="C326" i="162"/>
  <c r="C363" i="162" s="1"/>
  <c r="D66" i="162" s="1"/>
  <c r="C303" i="162"/>
  <c r="C327" i="162"/>
  <c r="C364" i="162" s="1"/>
  <c r="D67" i="162" s="1"/>
  <c r="C309" i="162"/>
  <c r="C346" i="162" s="1"/>
  <c r="D49" i="162" s="1"/>
  <c r="C312" i="162"/>
  <c r="C349" i="162" s="1"/>
  <c r="D52" i="162" s="1"/>
  <c r="C325" i="162"/>
  <c r="C362" i="162" s="1"/>
  <c r="D65" i="162" s="1"/>
  <c r="C322" i="162"/>
  <c r="C359" i="162" s="1"/>
  <c r="D62" i="162" s="1"/>
  <c r="C321" i="162"/>
  <c r="C358" i="162" s="1"/>
  <c r="D61" i="162" s="1"/>
  <c r="C324" i="162"/>
  <c r="C361" i="162" s="1"/>
  <c r="D64" i="162" s="1"/>
  <c r="C305" i="162"/>
  <c r="C342" i="162" s="1"/>
  <c r="D45" i="162" s="1"/>
  <c r="C308" i="162"/>
  <c r="C345" i="162" s="1"/>
  <c r="D48" i="162" s="1"/>
  <c r="C331" i="162"/>
  <c r="C311" i="162"/>
  <c r="C348" i="162" s="1"/>
  <c r="D51" i="162" s="1"/>
  <c r="C310" i="162"/>
  <c r="C347" i="162" s="1"/>
  <c r="D50" i="162" s="1"/>
  <c r="D84" i="162" s="1"/>
  <c r="C320" i="162"/>
  <c r="C357" i="162" s="1"/>
  <c r="D60" i="162" s="1"/>
  <c r="C323" i="162"/>
  <c r="C360" i="162" s="1"/>
  <c r="D63" i="162" s="1"/>
  <c r="C304" i="162"/>
  <c r="C341" i="162" s="1"/>
  <c r="D44" i="162" s="1"/>
  <c r="K89" i="195"/>
  <c r="K91" i="195" s="1"/>
  <c r="K88" i="195"/>
  <c r="K90" i="195" s="1"/>
  <c r="K89" i="203"/>
  <c r="K91" i="203" s="1"/>
  <c r="K88" i="203"/>
  <c r="K90" i="203" s="1"/>
  <c r="L231" i="209"/>
  <c r="I66" i="191"/>
  <c r="I68" i="191" s="1"/>
  <c r="I70" i="191" s="1"/>
  <c r="I94" i="191" s="1"/>
  <c r="K75" i="196"/>
  <c r="K76" i="196" s="1"/>
  <c r="L28" i="196"/>
  <c r="L75" i="196" s="1"/>
  <c r="L76" i="196" s="1"/>
  <c r="J92" i="185"/>
  <c r="L27" i="195"/>
  <c r="L64" i="195" s="1"/>
  <c r="L65" i="195" s="1"/>
  <c r="K64" i="195"/>
  <c r="K65" i="195" s="1"/>
  <c r="I70" i="187"/>
  <c r="I94" i="187" s="1"/>
  <c r="K64" i="198"/>
  <c r="K65" i="198" s="1"/>
  <c r="L27" i="198"/>
  <c r="L64" i="198" s="1"/>
  <c r="L65" i="198" s="1"/>
  <c r="I70" i="196"/>
  <c r="L89" i="198"/>
  <c r="L91" i="198" s="1"/>
  <c r="H36" i="136"/>
  <c r="H369" i="136" s="1"/>
  <c r="H19" i="88"/>
  <c r="H36" i="148"/>
  <c r="H369" i="148" s="1"/>
  <c r="H31" i="88"/>
  <c r="H36" i="142"/>
  <c r="H369" i="142" s="1"/>
  <c r="H24" i="88"/>
  <c r="H36" i="147"/>
  <c r="H369" i="147" s="1"/>
  <c r="H30" i="88"/>
  <c r="H36" i="146"/>
  <c r="H369" i="146" s="1"/>
  <c r="H29" i="88"/>
  <c r="J67" i="202"/>
  <c r="J69" i="202" s="1"/>
  <c r="L27" i="185"/>
  <c r="L64" i="185" s="1"/>
  <c r="L65" i="185" s="1"/>
  <c r="K64" i="185"/>
  <c r="K65" i="185" s="1"/>
  <c r="L27" i="197"/>
  <c r="L64" i="197" s="1"/>
  <c r="L65" i="197" s="1"/>
  <c r="K64" i="197"/>
  <c r="K65" i="197" s="1"/>
  <c r="K64" i="203"/>
  <c r="K65" i="203" s="1"/>
  <c r="L27" i="203"/>
  <c r="L64" i="203" s="1"/>
  <c r="L65" i="203" s="1"/>
  <c r="D101" i="86"/>
  <c r="D97" i="86"/>
  <c r="D199" i="86" s="1"/>
  <c r="D47" i="86"/>
  <c r="D44" i="86"/>
  <c r="I183" i="217"/>
  <c r="I301" i="217"/>
  <c r="I242" i="217"/>
  <c r="I121" i="217"/>
  <c r="I123" i="217"/>
  <c r="I58" i="217"/>
  <c r="D169" i="86"/>
  <c r="D203" i="86"/>
  <c r="D135" i="86"/>
  <c r="D50" i="86"/>
  <c r="D95" i="86"/>
  <c r="D98" i="86"/>
  <c r="D99" i="86"/>
  <c r="D96" i="86"/>
  <c r="D52" i="86"/>
  <c r="D45" i="86"/>
  <c r="D102" i="86"/>
  <c r="D165" i="86"/>
  <c r="D51" i="86"/>
  <c r="D48" i="86"/>
  <c r="D46" i="86"/>
  <c r="C313" i="86"/>
  <c r="C340" i="86"/>
  <c r="D100" i="86"/>
  <c r="C356" i="86"/>
  <c r="C329" i="86"/>
  <c r="C330" i="86" s="1"/>
  <c r="D49" i="86"/>
  <c r="C65" i="128"/>
  <c r="D99" i="148" l="1"/>
  <c r="D95" i="134"/>
  <c r="D80" i="86"/>
  <c r="D148" i="86" s="1"/>
  <c r="D82" i="162"/>
  <c r="D83" i="148"/>
  <c r="D95" i="138"/>
  <c r="D100" i="143"/>
  <c r="D134" i="143" s="1"/>
  <c r="C35" i="128"/>
  <c r="H557" i="217"/>
  <c r="H558" i="217"/>
  <c r="D85" i="162"/>
  <c r="D187" i="162" s="1"/>
  <c r="D98" i="162"/>
  <c r="D100" i="162"/>
  <c r="D96" i="143"/>
  <c r="D84" i="143"/>
  <c r="D152" i="143" s="1"/>
  <c r="D102" i="139"/>
  <c r="D80" i="137"/>
  <c r="D81" i="145"/>
  <c r="D102" i="145"/>
  <c r="D136" i="145" s="1"/>
  <c r="D102" i="141"/>
  <c r="D80" i="144"/>
  <c r="C332" i="149"/>
  <c r="D82" i="149"/>
  <c r="D116" i="149" s="1"/>
  <c r="D82" i="86"/>
  <c r="D79" i="143"/>
  <c r="C332" i="143"/>
  <c r="D85" i="139"/>
  <c r="D153" i="139" s="1"/>
  <c r="D82" i="137"/>
  <c r="D79" i="145"/>
  <c r="C332" i="145"/>
  <c r="C333" i="145" s="1"/>
  <c r="D80" i="151"/>
  <c r="D148" i="151" s="1"/>
  <c r="D101" i="151"/>
  <c r="D82" i="148"/>
  <c r="D100" i="138"/>
  <c r="D202" i="138" s="1"/>
  <c r="D85" i="134"/>
  <c r="D153" i="134" s="1"/>
  <c r="D99" i="134"/>
  <c r="D80" i="134"/>
  <c r="D97" i="134"/>
  <c r="D165" i="134" s="1"/>
  <c r="H556" i="217"/>
  <c r="I525" i="217" s="1"/>
  <c r="D101" i="143"/>
  <c r="D101" i="139"/>
  <c r="D82" i="141"/>
  <c r="D184" i="141" s="1"/>
  <c r="D100" i="141"/>
  <c r="D134" i="141" s="1"/>
  <c r="D95" i="148"/>
  <c r="D99" i="142"/>
  <c r="D86" i="145"/>
  <c r="D188" i="145" s="1"/>
  <c r="D79" i="151"/>
  <c r="D147" i="151" s="1"/>
  <c r="D84" i="146"/>
  <c r="D86" i="147"/>
  <c r="D81" i="150"/>
  <c r="D115" i="150" s="1"/>
  <c r="D102" i="150"/>
  <c r="D204" i="150" s="1"/>
  <c r="D81" i="136"/>
  <c r="D79" i="136"/>
  <c r="D84" i="134"/>
  <c r="D186" i="134" s="1"/>
  <c r="D84" i="149"/>
  <c r="D118" i="149" s="1"/>
  <c r="D79" i="149"/>
  <c r="D86" i="162"/>
  <c r="D80" i="162"/>
  <c r="D114" i="162" s="1"/>
  <c r="D102" i="143"/>
  <c r="D204" i="143" s="1"/>
  <c r="D83" i="139"/>
  <c r="D81" i="139"/>
  <c r="D95" i="137"/>
  <c r="D163" i="137" s="1"/>
  <c r="D85" i="141"/>
  <c r="D187" i="141" s="1"/>
  <c r="D79" i="148"/>
  <c r="D102" i="136"/>
  <c r="D82" i="138"/>
  <c r="D150" i="138" s="1"/>
  <c r="D96" i="138"/>
  <c r="D198" i="138" s="1"/>
  <c r="D100" i="142"/>
  <c r="D95" i="142"/>
  <c r="D83" i="142"/>
  <c r="D151" i="142" s="1"/>
  <c r="D100" i="144"/>
  <c r="D168" i="144" s="1"/>
  <c r="D97" i="144"/>
  <c r="D99" i="145"/>
  <c r="D82" i="145"/>
  <c r="D116" i="145" s="1"/>
  <c r="D81" i="135"/>
  <c r="D115" i="135" s="1"/>
  <c r="D98" i="135"/>
  <c r="D79" i="135"/>
  <c r="D95" i="151"/>
  <c r="D163" i="151" s="1"/>
  <c r="D80" i="146"/>
  <c r="D182" i="146" s="1"/>
  <c r="D101" i="146"/>
  <c r="D82" i="136"/>
  <c r="D96" i="136"/>
  <c r="D130" i="136" s="1"/>
  <c r="D95" i="149"/>
  <c r="D163" i="149" s="1"/>
  <c r="D96" i="162"/>
  <c r="D102" i="162"/>
  <c r="D80" i="143"/>
  <c r="D148" i="143" s="1"/>
  <c r="D86" i="139"/>
  <c r="D120" i="139" s="1"/>
  <c r="D84" i="137"/>
  <c r="D96" i="137"/>
  <c r="D100" i="148"/>
  <c r="D168" i="148" s="1"/>
  <c r="D81" i="138"/>
  <c r="D115" i="138" s="1"/>
  <c r="D79" i="138"/>
  <c r="C332" i="142"/>
  <c r="C333" i="142" s="1"/>
  <c r="D84" i="144"/>
  <c r="D186" i="144" s="1"/>
  <c r="V49" i="104"/>
  <c r="V51" i="104" s="1"/>
  <c r="V53" i="104" s="1"/>
  <c r="U63" i="104"/>
  <c r="U54" i="104"/>
  <c r="I94" i="192"/>
  <c r="I94" i="193"/>
  <c r="V15" i="92"/>
  <c r="W57" i="113"/>
  <c r="D134" i="162"/>
  <c r="D168" i="162"/>
  <c r="D202" i="162"/>
  <c r="D198" i="143"/>
  <c r="D164" i="143"/>
  <c r="D130" i="143"/>
  <c r="D188" i="143"/>
  <c r="D120" i="143"/>
  <c r="D154" i="143"/>
  <c r="D136" i="143"/>
  <c r="L78" i="190"/>
  <c r="L80" i="190" s="1"/>
  <c r="L77" i="190"/>
  <c r="L79" i="190" s="1"/>
  <c r="L81" i="190" s="1"/>
  <c r="D136" i="139"/>
  <c r="D170" i="139"/>
  <c r="D204" i="139"/>
  <c r="D134" i="137"/>
  <c r="D168" i="137"/>
  <c r="D202" i="137"/>
  <c r="D101" i="137"/>
  <c r="D164" i="137"/>
  <c r="D198" i="137"/>
  <c r="D130" i="137"/>
  <c r="D167" i="145"/>
  <c r="D201" i="145"/>
  <c r="D133" i="145"/>
  <c r="C340" i="145"/>
  <c r="C314" i="145"/>
  <c r="L67" i="192"/>
  <c r="L69" i="192" s="1"/>
  <c r="L70" i="192" s="1"/>
  <c r="L66" i="192"/>
  <c r="L68" i="192" s="1"/>
  <c r="D130" i="141"/>
  <c r="D164" i="141"/>
  <c r="D198" i="141"/>
  <c r="K78" i="186"/>
  <c r="K80" i="186" s="1"/>
  <c r="F36" i="86"/>
  <c r="F369" i="86" s="1"/>
  <c r="F16" i="88"/>
  <c r="F639" i="92"/>
  <c r="F640" i="92" s="1"/>
  <c r="H22" i="127"/>
  <c r="I47" i="88"/>
  <c r="I15" i="141" s="1"/>
  <c r="K67" i="196"/>
  <c r="K69" i="196" s="1"/>
  <c r="K66" i="196"/>
  <c r="K68" i="196" s="1"/>
  <c r="L67" i="189"/>
  <c r="L69" i="189" s="1"/>
  <c r="D131" i="140"/>
  <c r="D199" i="140"/>
  <c r="D165" i="140"/>
  <c r="K78" i="189"/>
  <c r="K80" i="189" s="1"/>
  <c r="C356" i="135"/>
  <c r="C329" i="135"/>
  <c r="C330" i="135" s="1"/>
  <c r="D149" i="135"/>
  <c r="D129" i="135"/>
  <c r="D197" i="135"/>
  <c r="D163" i="135"/>
  <c r="D166" i="135"/>
  <c r="D200" i="135"/>
  <c r="D132" i="135"/>
  <c r="D113" i="135"/>
  <c r="D147" i="135"/>
  <c r="D181" i="135"/>
  <c r="D117" i="151"/>
  <c r="D151" i="151"/>
  <c r="D185" i="151"/>
  <c r="D114" i="151"/>
  <c r="D203" i="151"/>
  <c r="D135" i="151"/>
  <c r="D169" i="151"/>
  <c r="D198" i="151"/>
  <c r="D130" i="151"/>
  <c r="D164" i="151"/>
  <c r="D129" i="151"/>
  <c r="D164" i="146"/>
  <c r="D198" i="146"/>
  <c r="D130" i="146"/>
  <c r="D197" i="146"/>
  <c r="D129" i="146"/>
  <c r="D163" i="146"/>
  <c r="C356" i="146"/>
  <c r="C330" i="146"/>
  <c r="D183" i="146"/>
  <c r="D115" i="146"/>
  <c r="D149" i="146"/>
  <c r="D114" i="146"/>
  <c r="D135" i="146"/>
  <c r="D169" i="146"/>
  <c r="D203" i="146"/>
  <c r="L78" i="185"/>
  <c r="L80" i="185" s="1"/>
  <c r="K78" i="204"/>
  <c r="K80" i="204" s="1"/>
  <c r="I36" i="139"/>
  <c r="I369" i="139" s="1"/>
  <c r="I22" i="88"/>
  <c r="I19" i="88"/>
  <c r="I36" i="136"/>
  <c r="I369" i="136" s="1"/>
  <c r="I36" i="147"/>
  <c r="I369" i="147" s="1"/>
  <c r="I30" i="88"/>
  <c r="I36" i="143"/>
  <c r="I369" i="143" s="1"/>
  <c r="I26" i="88"/>
  <c r="I32" i="88"/>
  <c r="I36" i="149"/>
  <c r="I369" i="149" s="1"/>
  <c r="D149" i="147"/>
  <c r="D183" i="147"/>
  <c r="D115" i="147"/>
  <c r="D204" i="147"/>
  <c r="D136" i="147"/>
  <c r="D170" i="147"/>
  <c r="D165" i="147"/>
  <c r="D199" i="147"/>
  <c r="D131" i="147"/>
  <c r="D154" i="147"/>
  <c r="D188" i="147"/>
  <c r="D120" i="147"/>
  <c r="L78" i="192"/>
  <c r="L80" i="192" s="1"/>
  <c r="L77" i="192"/>
  <c r="L79" i="192" s="1"/>
  <c r="L81" i="192" s="1"/>
  <c r="E15" i="127"/>
  <c r="F40" i="88"/>
  <c r="D117" i="148"/>
  <c r="D151" i="148"/>
  <c r="D185" i="148"/>
  <c r="C48" i="95"/>
  <c r="C73" i="95" s="1"/>
  <c r="C104" i="102"/>
  <c r="D148" i="148"/>
  <c r="D182" i="148"/>
  <c r="D114" i="148"/>
  <c r="D169" i="148"/>
  <c r="D203" i="148"/>
  <c r="D135" i="148"/>
  <c r="D134" i="148"/>
  <c r="D197" i="148"/>
  <c r="D129" i="148"/>
  <c r="D163" i="148"/>
  <c r="C332" i="140"/>
  <c r="C333" i="140" s="1"/>
  <c r="C314" i="140"/>
  <c r="L78" i="188"/>
  <c r="L80" i="188" s="1"/>
  <c r="D130" i="150"/>
  <c r="D198" i="150"/>
  <c r="D164" i="150"/>
  <c r="D186" i="150"/>
  <c r="D118" i="150"/>
  <c r="D152" i="150"/>
  <c r="C106" i="102"/>
  <c r="C50" i="95"/>
  <c r="C75" i="95" s="1"/>
  <c r="D183" i="150"/>
  <c r="D136" i="150"/>
  <c r="D97" i="150"/>
  <c r="K77" i="198"/>
  <c r="K79" i="198" s="1"/>
  <c r="K81" i="198" s="1"/>
  <c r="K78" i="198"/>
  <c r="K80" i="198" s="1"/>
  <c r="L66" i="188"/>
  <c r="L68" i="188" s="1"/>
  <c r="L67" i="188"/>
  <c r="L69" i="188" s="1"/>
  <c r="C313" i="136"/>
  <c r="C314" i="136" s="1"/>
  <c r="C340" i="136"/>
  <c r="C36" i="95"/>
  <c r="C61" i="95" s="1"/>
  <c r="C92" i="102"/>
  <c r="D199" i="136"/>
  <c r="D131" i="136"/>
  <c r="D165" i="136"/>
  <c r="D184" i="136"/>
  <c r="D116" i="136"/>
  <c r="D150" i="136"/>
  <c r="J69" i="185"/>
  <c r="K67" i="202"/>
  <c r="K69" i="202" s="1"/>
  <c r="H26" i="127"/>
  <c r="H78" i="287" s="1"/>
  <c r="I51" i="88"/>
  <c r="I15" i="144" s="1"/>
  <c r="H16" i="127"/>
  <c r="I41" i="88"/>
  <c r="I15" i="134" s="1"/>
  <c r="C313" i="138"/>
  <c r="C314" i="138" s="1"/>
  <c r="C340" i="138"/>
  <c r="C94" i="102"/>
  <c r="C38" i="95"/>
  <c r="C63" i="95" s="1"/>
  <c r="D165" i="138"/>
  <c r="D199" i="138"/>
  <c r="D131" i="138"/>
  <c r="D130" i="138"/>
  <c r="D148" i="142"/>
  <c r="D182" i="142"/>
  <c r="D114" i="142"/>
  <c r="D169" i="142"/>
  <c r="D203" i="142"/>
  <c r="D135" i="142"/>
  <c r="D202" i="142"/>
  <c r="D134" i="142"/>
  <c r="D168" i="142"/>
  <c r="D129" i="142"/>
  <c r="D197" i="142"/>
  <c r="D163" i="142"/>
  <c r="D117" i="142"/>
  <c r="D119" i="144"/>
  <c r="D153" i="144"/>
  <c r="D187" i="144"/>
  <c r="D182" i="144"/>
  <c r="D114" i="144"/>
  <c r="D148" i="144"/>
  <c r="D132" i="144"/>
  <c r="D200" i="144"/>
  <c r="D166" i="144"/>
  <c r="D131" i="144"/>
  <c r="D165" i="144"/>
  <c r="D199" i="144"/>
  <c r="G36" i="287"/>
  <c r="L36" i="287" s="1"/>
  <c r="G76" i="287"/>
  <c r="D184" i="134"/>
  <c r="D116" i="134"/>
  <c r="D150" i="134"/>
  <c r="D187" i="134"/>
  <c r="D167" i="134"/>
  <c r="D201" i="134"/>
  <c r="D133" i="134"/>
  <c r="D148" i="134"/>
  <c r="D182" i="134"/>
  <c r="D114" i="134"/>
  <c r="D131" i="134"/>
  <c r="C66" i="102"/>
  <c r="C90" i="102"/>
  <c r="C34" i="95"/>
  <c r="C59" i="95" s="1"/>
  <c r="D167" i="149"/>
  <c r="D201" i="149"/>
  <c r="D133" i="149"/>
  <c r="D199" i="149"/>
  <c r="D131" i="149"/>
  <c r="D165" i="149"/>
  <c r="D198" i="149"/>
  <c r="D130" i="149"/>
  <c r="D164" i="149"/>
  <c r="D113" i="149"/>
  <c r="D147" i="149"/>
  <c r="D181" i="149"/>
  <c r="K78" i="194"/>
  <c r="K80" i="194" s="1"/>
  <c r="K78" i="201"/>
  <c r="K80" i="201" s="1"/>
  <c r="L67" i="197"/>
  <c r="L69" i="197" s="1"/>
  <c r="L78" i="196"/>
  <c r="L80" i="196" s="1"/>
  <c r="D182" i="162"/>
  <c r="D115" i="143"/>
  <c r="D149" i="143"/>
  <c r="D183" i="143"/>
  <c r="D97" i="143"/>
  <c r="D23" i="287"/>
  <c r="I23" i="287" s="1"/>
  <c r="D34" i="127"/>
  <c r="D63" i="127"/>
  <c r="L77" i="191"/>
  <c r="L79" i="191" s="1"/>
  <c r="L81" i="191" s="1"/>
  <c r="L78" i="191"/>
  <c r="L80" i="191" s="1"/>
  <c r="D153" i="140"/>
  <c r="D187" i="140"/>
  <c r="D119" i="140"/>
  <c r="D184" i="140"/>
  <c r="D150" i="140"/>
  <c r="D116" i="140"/>
  <c r="D163" i="139"/>
  <c r="D197" i="139"/>
  <c r="D129" i="139"/>
  <c r="D151" i="139"/>
  <c r="D185" i="139"/>
  <c r="D117" i="139"/>
  <c r="D183" i="139"/>
  <c r="D115" i="139"/>
  <c r="D149" i="139"/>
  <c r="C329" i="137"/>
  <c r="C330" i="137" s="1"/>
  <c r="C356" i="137"/>
  <c r="D186" i="137"/>
  <c r="D118" i="137"/>
  <c r="D152" i="137"/>
  <c r="D188" i="137"/>
  <c r="D154" i="137"/>
  <c r="D120" i="137"/>
  <c r="D147" i="145"/>
  <c r="D113" i="145"/>
  <c r="D181" i="145"/>
  <c r="D184" i="145"/>
  <c r="D170" i="141"/>
  <c r="D204" i="141"/>
  <c r="D136" i="141"/>
  <c r="H560" i="217"/>
  <c r="H559" i="217"/>
  <c r="L67" i="203"/>
  <c r="L69" i="203" s="1"/>
  <c r="L66" i="203"/>
  <c r="L68" i="203" s="1"/>
  <c r="K67" i="185"/>
  <c r="H28" i="127"/>
  <c r="H76" i="287" s="1"/>
  <c r="I53" i="88"/>
  <c r="I15" i="146" s="1"/>
  <c r="I48" i="88"/>
  <c r="I15" i="142" s="1"/>
  <c r="H23" i="127"/>
  <c r="H18" i="127"/>
  <c r="I43" i="88"/>
  <c r="I15" i="136" s="1"/>
  <c r="K67" i="195"/>
  <c r="K69" i="195" s="1"/>
  <c r="K78" i="196"/>
  <c r="K80" i="196" s="1"/>
  <c r="K92" i="203"/>
  <c r="D97" i="162"/>
  <c r="D95" i="162"/>
  <c r="D83" i="162"/>
  <c r="D81" i="162"/>
  <c r="D82" i="143"/>
  <c r="C43" i="95"/>
  <c r="C68" i="95" s="1"/>
  <c r="C99" i="102"/>
  <c r="D181" i="143"/>
  <c r="D113" i="143"/>
  <c r="D147" i="143"/>
  <c r="D99" i="143"/>
  <c r="C333" i="143"/>
  <c r="K78" i="190"/>
  <c r="K80" i="190" s="1"/>
  <c r="J77" i="202"/>
  <c r="J79" i="202" s="1"/>
  <c r="J81" i="202" s="1"/>
  <c r="N267" i="152"/>
  <c r="Z34" i="113"/>
  <c r="Q68" i="113"/>
  <c r="Q69" i="113" s="1"/>
  <c r="V205" i="95" s="1"/>
  <c r="Y37" i="113"/>
  <c r="AP215" i="95"/>
  <c r="K88" i="192"/>
  <c r="K90" i="192" s="1"/>
  <c r="K92" i="192" s="1"/>
  <c r="L78" i="195"/>
  <c r="L80" i="195" s="1"/>
  <c r="L66" i="204"/>
  <c r="L68" i="204" s="1"/>
  <c r="L67" i="204"/>
  <c r="L69" i="204" s="1"/>
  <c r="K67" i="201"/>
  <c r="K69" i="201" s="1"/>
  <c r="J70" i="189"/>
  <c r="AB34" i="95"/>
  <c r="C57" i="95"/>
  <c r="D235" i="140"/>
  <c r="D269" i="140" s="1"/>
  <c r="L88" i="190"/>
  <c r="L90" i="190" s="1"/>
  <c r="D82" i="139"/>
  <c r="D99" i="139"/>
  <c r="D80" i="139"/>
  <c r="D97" i="139"/>
  <c r="C39" i="95"/>
  <c r="C64" i="95" s="1"/>
  <c r="C95" i="102"/>
  <c r="L78" i="193"/>
  <c r="L80" i="193" s="1"/>
  <c r="L77" i="193"/>
  <c r="L79" i="193" s="1"/>
  <c r="L81" i="193" s="1"/>
  <c r="D185" i="137"/>
  <c r="D117" i="137"/>
  <c r="D151" i="137"/>
  <c r="D81" i="137"/>
  <c r="D98" i="137"/>
  <c r="D79" i="137"/>
  <c r="D132" i="145"/>
  <c r="D166" i="145"/>
  <c r="D200" i="145"/>
  <c r="C356" i="145"/>
  <c r="C330" i="145"/>
  <c r="D153" i="145"/>
  <c r="D187" i="145"/>
  <c r="D119" i="145"/>
  <c r="D80" i="145"/>
  <c r="D169" i="145"/>
  <c r="D203" i="145"/>
  <c r="D135" i="145"/>
  <c r="D100" i="145"/>
  <c r="J77" i="204"/>
  <c r="J79" i="204" s="1"/>
  <c r="J81" i="204" s="1"/>
  <c r="K66" i="192"/>
  <c r="K68" i="192" s="1"/>
  <c r="K67" i="192"/>
  <c r="K69" i="192" s="1"/>
  <c r="D86" i="141"/>
  <c r="C340" i="141"/>
  <c r="C314" i="141"/>
  <c r="D95" i="141"/>
  <c r="D97" i="141"/>
  <c r="D83" i="141"/>
  <c r="J66" i="199"/>
  <c r="J68" i="199" s="1"/>
  <c r="J70" i="199" s="1"/>
  <c r="J94" i="199" s="1"/>
  <c r="L78" i="186"/>
  <c r="L80" i="186" s="1"/>
  <c r="G14" i="127"/>
  <c r="G36" i="140"/>
  <c r="H39" i="88"/>
  <c r="H15" i="140" s="1"/>
  <c r="K67" i="186"/>
  <c r="K69" i="186" s="1"/>
  <c r="I50" i="88"/>
  <c r="I15" i="143" s="1"/>
  <c r="H25" i="127"/>
  <c r="H77" i="287" s="1"/>
  <c r="L92" i="195"/>
  <c r="K78" i="202"/>
  <c r="K80" i="202" s="1"/>
  <c r="L92" i="192"/>
  <c r="L94" i="192" s="1"/>
  <c r="J77" i="195"/>
  <c r="J79" i="195" s="1"/>
  <c r="J81" i="195" s="1"/>
  <c r="J94" i="195" s="1"/>
  <c r="K92" i="186"/>
  <c r="K67" i="189"/>
  <c r="K69" i="189" s="1"/>
  <c r="L78" i="187"/>
  <c r="L80" i="187" s="1"/>
  <c r="L77" i="187"/>
  <c r="L79" i="187" s="1"/>
  <c r="L81" i="187" s="1"/>
  <c r="D149" i="140"/>
  <c r="D251" i="140"/>
  <c r="D183" i="140"/>
  <c r="D115" i="140"/>
  <c r="D217" i="140" s="1"/>
  <c r="D80" i="135"/>
  <c r="D83" i="135"/>
  <c r="D85" i="135"/>
  <c r="D99" i="135"/>
  <c r="D102" i="135"/>
  <c r="D102" i="151"/>
  <c r="D86" i="151"/>
  <c r="C340" i="151"/>
  <c r="C314" i="151"/>
  <c r="D86" i="146"/>
  <c r="C102" i="102"/>
  <c r="C46" i="95"/>
  <c r="C71" i="95" s="1"/>
  <c r="D151" i="146"/>
  <c r="D185" i="146"/>
  <c r="D117" i="146"/>
  <c r="K78" i="185"/>
  <c r="K80" i="185" s="1"/>
  <c r="L77" i="204"/>
  <c r="L79" i="204" s="1"/>
  <c r="L81" i="204" s="1"/>
  <c r="L78" i="204"/>
  <c r="L80" i="204" s="1"/>
  <c r="L88" i="200"/>
  <c r="L90" i="200" s="1"/>
  <c r="L92" i="200" s="1"/>
  <c r="L92" i="204"/>
  <c r="I36" i="144"/>
  <c r="I369" i="144" s="1"/>
  <c r="I27" i="88"/>
  <c r="I36" i="134"/>
  <c r="I369" i="134" s="1"/>
  <c r="I17" i="88"/>
  <c r="I36" i="135"/>
  <c r="I369" i="135" s="1"/>
  <c r="I18" i="88"/>
  <c r="I36" i="162"/>
  <c r="I369" i="162" s="1"/>
  <c r="I25" i="88"/>
  <c r="I36" i="137"/>
  <c r="I369" i="137" s="1"/>
  <c r="I20" i="88"/>
  <c r="D99" i="147"/>
  <c r="C332" i="147"/>
  <c r="C333" i="147" s="1"/>
  <c r="D96" i="147"/>
  <c r="D84" i="147"/>
  <c r="D79" i="147"/>
  <c r="J66" i="186"/>
  <c r="J68" i="186" s="1"/>
  <c r="H539" i="92"/>
  <c r="H540" i="92" s="1"/>
  <c r="H570" i="92"/>
  <c r="L67" i="200"/>
  <c r="L69" i="200" s="1"/>
  <c r="K78" i="192"/>
  <c r="K80" i="192" s="1"/>
  <c r="L88" i="186"/>
  <c r="L90" i="186" s="1"/>
  <c r="L92" i="186" s="1"/>
  <c r="D102" i="148"/>
  <c r="D86" i="148"/>
  <c r="D81" i="148"/>
  <c r="D253" i="140"/>
  <c r="D185" i="140"/>
  <c r="D117" i="140"/>
  <c r="D219" i="140" s="1"/>
  <c r="D151" i="140"/>
  <c r="C366" i="140"/>
  <c r="D59" i="140"/>
  <c r="G620" i="92"/>
  <c r="G589" i="92"/>
  <c r="G590" i="92" s="1"/>
  <c r="K92" i="196"/>
  <c r="K88" i="193"/>
  <c r="K90" i="193" s="1"/>
  <c r="C332" i="150"/>
  <c r="C333" i="150" s="1"/>
  <c r="D82" i="150"/>
  <c r="C340" i="150"/>
  <c r="C314" i="150"/>
  <c r="D181" i="150"/>
  <c r="D113" i="150"/>
  <c r="D147" i="150"/>
  <c r="D99" i="150"/>
  <c r="K92" i="187"/>
  <c r="L67" i="194"/>
  <c r="L69" i="194" s="1"/>
  <c r="L66" i="194"/>
  <c r="L68" i="194" s="1"/>
  <c r="L92" i="185"/>
  <c r="K88" i="204"/>
  <c r="K90" i="204" s="1"/>
  <c r="D134" i="136"/>
  <c r="D168" i="136"/>
  <c r="D202" i="136"/>
  <c r="D84" i="136"/>
  <c r="D101" i="136"/>
  <c r="D86" i="136"/>
  <c r="J66" i="203"/>
  <c r="J68" i="203" s="1"/>
  <c r="J70" i="203" s="1"/>
  <c r="J94" i="203" s="1"/>
  <c r="J66" i="185"/>
  <c r="K88" i="198"/>
  <c r="K90" i="198" s="1"/>
  <c r="K92" i="198" s="1"/>
  <c r="J66" i="198"/>
  <c r="J68" i="198" s="1"/>
  <c r="J70" i="198" s="1"/>
  <c r="J94" i="198" s="1"/>
  <c r="D168" i="138"/>
  <c r="D84" i="138"/>
  <c r="D101" i="138"/>
  <c r="D86" i="138"/>
  <c r="J70" i="195"/>
  <c r="D97" i="142"/>
  <c r="D86" i="142"/>
  <c r="D81" i="142"/>
  <c r="D102" i="142"/>
  <c r="L92" i="203"/>
  <c r="L78" i="199"/>
  <c r="L80" i="199" s="1"/>
  <c r="D185" i="144"/>
  <c r="D117" i="144"/>
  <c r="D151" i="144"/>
  <c r="D82" i="144"/>
  <c r="C356" i="144"/>
  <c r="C330" i="144"/>
  <c r="D95" i="144"/>
  <c r="D238" i="140"/>
  <c r="D272" i="140" s="1"/>
  <c r="D80" i="140"/>
  <c r="D101" i="134"/>
  <c r="D86" i="134"/>
  <c r="D96" i="134"/>
  <c r="C340" i="134"/>
  <c r="C313" i="134"/>
  <c r="L88" i="196"/>
  <c r="L90" i="196" s="1"/>
  <c r="C356" i="149"/>
  <c r="C330" i="149"/>
  <c r="D85" i="149"/>
  <c r="C333" i="149"/>
  <c r="D184" i="149"/>
  <c r="C340" i="149"/>
  <c r="C314" i="149"/>
  <c r="D98" i="149"/>
  <c r="J77" i="188"/>
  <c r="J79" i="188" s="1"/>
  <c r="J81" i="188" s="1"/>
  <c r="J94" i="188" s="1"/>
  <c r="L88" i="193"/>
  <c r="L90" i="193" s="1"/>
  <c r="J70" i="192"/>
  <c r="J70" i="188"/>
  <c r="D166" i="162"/>
  <c r="D132" i="162"/>
  <c r="D200" i="162"/>
  <c r="D131" i="86"/>
  <c r="L67" i="185"/>
  <c r="L67" i="198"/>
  <c r="L69" i="198" s="1"/>
  <c r="D150" i="162"/>
  <c r="D116" i="162"/>
  <c r="D184" i="162"/>
  <c r="D170" i="162"/>
  <c r="D204" i="162"/>
  <c r="D136" i="162"/>
  <c r="D98" i="143"/>
  <c r="D85" i="143"/>
  <c r="K78" i="195"/>
  <c r="K80" i="195" s="1"/>
  <c r="K77" i="195"/>
  <c r="K79" i="195" s="1"/>
  <c r="K81" i="195" s="1"/>
  <c r="K67" i="204"/>
  <c r="K69" i="204" s="1"/>
  <c r="K66" i="204"/>
  <c r="K68" i="204" s="1"/>
  <c r="L67" i="201"/>
  <c r="L69" i="201" s="1"/>
  <c r="L66" i="201"/>
  <c r="L68" i="201" s="1"/>
  <c r="D200" i="140"/>
  <c r="D234" i="140" s="1"/>
  <c r="D268" i="140" s="1"/>
  <c r="D132" i="140"/>
  <c r="D166" i="140"/>
  <c r="L92" i="190"/>
  <c r="D169" i="139"/>
  <c r="D135" i="139"/>
  <c r="D203" i="139"/>
  <c r="D154" i="139"/>
  <c r="D96" i="139"/>
  <c r="C340" i="139"/>
  <c r="C313" i="139"/>
  <c r="K78" i="193"/>
  <c r="K80" i="193" s="1"/>
  <c r="K77" i="193"/>
  <c r="K79" i="193" s="1"/>
  <c r="K81" i="193" s="1"/>
  <c r="D114" i="137"/>
  <c r="D148" i="137"/>
  <c r="D182" i="137"/>
  <c r="D97" i="137"/>
  <c r="C93" i="102"/>
  <c r="C37" i="95"/>
  <c r="C62" i="95" s="1"/>
  <c r="D102" i="137"/>
  <c r="D163" i="145"/>
  <c r="D197" i="145"/>
  <c r="D129" i="145"/>
  <c r="D83" i="145"/>
  <c r="C333" i="141"/>
  <c r="D168" i="141"/>
  <c r="D166" i="141"/>
  <c r="D200" i="141"/>
  <c r="D132" i="141"/>
  <c r="D79" i="141"/>
  <c r="C96" i="102"/>
  <c r="C40" i="95"/>
  <c r="C65" i="95" s="1"/>
  <c r="L67" i="186"/>
  <c r="L69" i="186" s="1"/>
  <c r="H31" i="127"/>
  <c r="I56" i="88"/>
  <c r="I15" i="149" s="1"/>
  <c r="H17" i="127"/>
  <c r="I42" i="88"/>
  <c r="I15" i="135" s="1"/>
  <c r="L78" i="197"/>
  <c r="L80" i="197" s="1"/>
  <c r="L77" i="197"/>
  <c r="L79" i="197" s="1"/>
  <c r="L81" i="197" s="1"/>
  <c r="L78" i="202"/>
  <c r="L80" i="202" s="1"/>
  <c r="K77" i="187"/>
  <c r="K79" i="187" s="1"/>
  <c r="K81" i="187" s="1"/>
  <c r="K78" i="187"/>
  <c r="K80" i="187" s="1"/>
  <c r="C313" i="135"/>
  <c r="C332" i="135" s="1"/>
  <c r="C333" i="135" s="1"/>
  <c r="C340" i="135"/>
  <c r="C35" i="95"/>
  <c r="C60" i="95" s="1"/>
  <c r="C91" i="102"/>
  <c r="D131" i="135"/>
  <c r="D165" i="135"/>
  <c r="D199" i="135"/>
  <c r="D82" i="135"/>
  <c r="D96" i="135"/>
  <c r="D201" i="151"/>
  <c r="D133" i="151"/>
  <c r="D167" i="151"/>
  <c r="D97" i="151"/>
  <c r="D187" i="151"/>
  <c r="D119" i="151"/>
  <c r="D153" i="151"/>
  <c r="D84" i="151"/>
  <c r="D181" i="151"/>
  <c r="D100" i="151"/>
  <c r="D181" i="146"/>
  <c r="D113" i="146"/>
  <c r="D147" i="146"/>
  <c r="C340" i="146"/>
  <c r="C314" i="146"/>
  <c r="D102" i="146"/>
  <c r="D97" i="146"/>
  <c r="D187" i="146"/>
  <c r="D119" i="146"/>
  <c r="D153" i="146"/>
  <c r="D152" i="146"/>
  <c r="D186" i="146"/>
  <c r="D118" i="146"/>
  <c r="K67" i="199"/>
  <c r="K69" i="199" s="1"/>
  <c r="L67" i="190"/>
  <c r="L69" i="190" s="1"/>
  <c r="I36" i="148"/>
  <c r="I369" i="148" s="1"/>
  <c r="I31" i="88"/>
  <c r="I36" i="145"/>
  <c r="I369" i="145" s="1"/>
  <c r="I28" i="88"/>
  <c r="I24" i="88"/>
  <c r="I36" i="142"/>
  <c r="I369" i="142" s="1"/>
  <c r="I29" i="88"/>
  <c r="I36" i="146"/>
  <c r="I369" i="146" s="1"/>
  <c r="I506" i="92"/>
  <c r="I507" i="92" s="1"/>
  <c r="I520" i="92"/>
  <c r="C356" i="147"/>
  <c r="C330" i="147"/>
  <c r="D153" i="147"/>
  <c r="D187" i="147"/>
  <c r="D119" i="147"/>
  <c r="C103" i="102"/>
  <c r="C47" i="95"/>
  <c r="C72" i="95" s="1"/>
  <c r="D82" i="147"/>
  <c r="C340" i="147"/>
  <c r="C314" i="147"/>
  <c r="D98" i="147"/>
  <c r="J70" i="186"/>
  <c r="H20" i="127"/>
  <c r="I45" i="88"/>
  <c r="I15" i="138" s="1"/>
  <c r="I57" i="88"/>
  <c r="I15" i="150" s="1"/>
  <c r="H32" i="127"/>
  <c r="K66" i="200"/>
  <c r="K68" i="200" s="1"/>
  <c r="K67" i="200"/>
  <c r="K69" i="200" s="1"/>
  <c r="D167" i="148"/>
  <c r="D201" i="148"/>
  <c r="D133" i="148"/>
  <c r="D199" i="148"/>
  <c r="D131" i="148"/>
  <c r="D165" i="148"/>
  <c r="D96" i="148"/>
  <c r="D84" i="148"/>
  <c r="D113" i="148"/>
  <c r="D147" i="148"/>
  <c r="D181" i="148"/>
  <c r="J94" i="192"/>
  <c r="K92" i="193"/>
  <c r="D148" i="150"/>
  <c r="D182" i="150"/>
  <c r="D114" i="150"/>
  <c r="D135" i="150"/>
  <c r="D169" i="150"/>
  <c r="D203" i="150"/>
  <c r="D134" i="150"/>
  <c r="D168" i="150"/>
  <c r="D202" i="150"/>
  <c r="D98" i="150"/>
  <c r="C356" i="150"/>
  <c r="C330" i="150"/>
  <c r="D85" i="150"/>
  <c r="L260" i="152"/>
  <c r="W46" i="104"/>
  <c r="W38" i="104"/>
  <c r="W41" i="104"/>
  <c r="J487" i="92"/>
  <c r="J495" i="92"/>
  <c r="J528" i="92" s="1"/>
  <c r="J578" i="92" s="1"/>
  <c r="J628" i="92" s="1"/>
  <c r="J489" i="92"/>
  <c r="J522" i="92" s="1"/>
  <c r="J572" i="92" s="1"/>
  <c r="J622" i="92" s="1"/>
  <c r="J491" i="92"/>
  <c r="J524" i="92" s="1"/>
  <c r="J574" i="92" s="1"/>
  <c r="J624" i="92" s="1"/>
  <c r="J488" i="92"/>
  <c r="J521" i="92" s="1"/>
  <c r="J571" i="92" s="1"/>
  <c r="J621" i="92" s="1"/>
  <c r="J503" i="92"/>
  <c r="J536" i="92" s="1"/>
  <c r="J586" i="92" s="1"/>
  <c r="J636" i="92" s="1"/>
  <c r="J496" i="92"/>
  <c r="J529" i="92" s="1"/>
  <c r="J579" i="92" s="1"/>
  <c r="J629" i="92" s="1"/>
  <c r="J500" i="92"/>
  <c r="J533" i="92" s="1"/>
  <c r="J583" i="92" s="1"/>
  <c r="J633" i="92" s="1"/>
  <c r="J493" i="92"/>
  <c r="J526" i="92" s="1"/>
  <c r="J576" i="92" s="1"/>
  <c r="J626" i="92" s="1"/>
  <c r="J498" i="92"/>
  <c r="J531" i="92" s="1"/>
  <c r="J581" i="92" s="1"/>
  <c r="J631" i="92" s="1"/>
  <c r="J504" i="92"/>
  <c r="J537" i="92" s="1"/>
  <c r="J587" i="92" s="1"/>
  <c r="J637" i="92" s="1"/>
  <c r="J499" i="92"/>
  <c r="J532" i="92" s="1"/>
  <c r="J582" i="92" s="1"/>
  <c r="J632" i="92" s="1"/>
  <c r="J497" i="92"/>
  <c r="J530" i="92" s="1"/>
  <c r="J580" i="92" s="1"/>
  <c r="J630" i="92" s="1"/>
  <c r="J501" i="92"/>
  <c r="J534" i="92" s="1"/>
  <c r="J584" i="92" s="1"/>
  <c r="J634" i="92" s="1"/>
  <c r="J490" i="92"/>
  <c r="J523" i="92" s="1"/>
  <c r="J573" i="92" s="1"/>
  <c r="J623" i="92" s="1"/>
  <c r="J502" i="92"/>
  <c r="J535" i="92" s="1"/>
  <c r="J585" i="92" s="1"/>
  <c r="J635" i="92" s="1"/>
  <c r="J494" i="92"/>
  <c r="J527" i="92" s="1"/>
  <c r="J577" i="92" s="1"/>
  <c r="J627" i="92" s="1"/>
  <c r="J505" i="92"/>
  <c r="J538" i="92" s="1"/>
  <c r="J588" i="92" s="1"/>
  <c r="J638" i="92" s="1"/>
  <c r="J492" i="92"/>
  <c r="J525" i="92" s="1"/>
  <c r="J575" i="92" s="1"/>
  <c r="J625" i="92" s="1"/>
  <c r="K67" i="194"/>
  <c r="K69" i="194" s="1"/>
  <c r="K67" i="191"/>
  <c r="K69" i="191" s="1"/>
  <c r="K66" i="191"/>
  <c r="K68" i="191" s="1"/>
  <c r="K92" i="204"/>
  <c r="C329" i="136"/>
  <c r="C330" i="136" s="1"/>
  <c r="C356" i="136"/>
  <c r="D149" i="136"/>
  <c r="D183" i="136"/>
  <c r="D115" i="136"/>
  <c r="D197" i="136"/>
  <c r="D163" i="136"/>
  <c r="D129" i="136"/>
  <c r="D98" i="136"/>
  <c r="D181" i="136"/>
  <c r="D113" i="136"/>
  <c r="D147" i="136"/>
  <c r="I49" i="88"/>
  <c r="I15" i="162" s="1"/>
  <c r="H24" i="127"/>
  <c r="C356" i="138"/>
  <c r="C329" i="138"/>
  <c r="C330" i="138" s="1"/>
  <c r="D149" i="138"/>
  <c r="D197" i="138"/>
  <c r="D163" i="138"/>
  <c r="D129" i="138"/>
  <c r="D98" i="138"/>
  <c r="D181" i="138"/>
  <c r="D113" i="138"/>
  <c r="D147" i="138"/>
  <c r="D133" i="142"/>
  <c r="D201" i="142"/>
  <c r="D167" i="142"/>
  <c r="D96" i="142"/>
  <c r="D84" i="142"/>
  <c r="D79" i="142"/>
  <c r="K78" i="203"/>
  <c r="K80" i="203" s="1"/>
  <c r="K78" i="199"/>
  <c r="K80" i="199" s="1"/>
  <c r="G78" i="287"/>
  <c r="G34" i="287"/>
  <c r="L34" i="287" s="1"/>
  <c r="L67" i="187"/>
  <c r="L69" i="187" s="1"/>
  <c r="K67" i="193"/>
  <c r="K69" i="193" s="1"/>
  <c r="D136" i="144"/>
  <c r="D170" i="144"/>
  <c r="D204" i="144"/>
  <c r="D101" i="144"/>
  <c r="D164" i="144"/>
  <c r="D198" i="144"/>
  <c r="D130" i="144"/>
  <c r="C100" i="102"/>
  <c r="C44" i="95"/>
  <c r="C69" i="95" s="1"/>
  <c r="D81" i="144"/>
  <c r="D86" i="140"/>
  <c r="D98" i="134"/>
  <c r="D113" i="134"/>
  <c r="D147" i="134"/>
  <c r="D181" i="134"/>
  <c r="C356" i="134"/>
  <c r="C329" i="134"/>
  <c r="C330" i="134" s="1"/>
  <c r="D100" i="134"/>
  <c r="D118" i="134"/>
  <c r="L92" i="196"/>
  <c r="D185" i="149"/>
  <c r="D117" i="149"/>
  <c r="D151" i="149"/>
  <c r="C105" i="102"/>
  <c r="C49" i="95"/>
  <c r="C74" i="95" s="1"/>
  <c r="D80" i="149"/>
  <c r="D169" i="149"/>
  <c r="D203" i="149"/>
  <c r="D135" i="149"/>
  <c r="D100" i="149"/>
  <c r="D197" i="149"/>
  <c r="K78" i="200"/>
  <c r="K80" i="200" s="1"/>
  <c r="L92" i="193"/>
  <c r="H15" i="88"/>
  <c r="T64" i="104"/>
  <c r="D120" i="162"/>
  <c r="D188" i="162"/>
  <c r="D154" i="162"/>
  <c r="H563" i="217"/>
  <c r="H555" i="217"/>
  <c r="K67" i="203"/>
  <c r="K69" i="203" s="1"/>
  <c r="K66" i="203"/>
  <c r="K68" i="203" s="1"/>
  <c r="L67" i="195"/>
  <c r="L69" i="195" s="1"/>
  <c r="L66" i="195"/>
  <c r="L68" i="195" s="1"/>
  <c r="D164" i="162"/>
  <c r="D198" i="162"/>
  <c r="D130" i="162"/>
  <c r="D101" i="162"/>
  <c r="C356" i="162"/>
  <c r="C330" i="162"/>
  <c r="D169" i="143"/>
  <c r="D203" i="143"/>
  <c r="D135" i="143"/>
  <c r="C340" i="143"/>
  <c r="C314" i="143"/>
  <c r="C356" i="143"/>
  <c r="C330" i="143"/>
  <c r="D114" i="143"/>
  <c r="F369" i="140"/>
  <c r="H562" i="217"/>
  <c r="H561" i="217"/>
  <c r="K67" i="197"/>
  <c r="K69" i="197" s="1"/>
  <c r="K66" i="197"/>
  <c r="K68" i="197" s="1"/>
  <c r="J66" i="202"/>
  <c r="J68" i="202" s="1"/>
  <c r="J70" i="202" s="1"/>
  <c r="J94" i="202" s="1"/>
  <c r="I54" i="88"/>
  <c r="I15" i="147" s="1"/>
  <c r="H29" i="127"/>
  <c r="I55" i="88"/>
  <c r="I15" i="148" s="1"/>
  <c r="H30" i="127"/>
  <c r="L88" i="198"/>
  <c r="L90" i="198" s="1"/>
  <c r="L92" i="198" s="1"/>
  <c r="K67" i="198"/>
  <c r="K69" i="198" s="1"/>
  <c r="K92" i="195"/>
  <c r="D118" i="162"/>
  <c r="D152" i="162"/>
  <c r="D186" i="162"/>
  <c r="D79" i="162"/>
  <c r="D99" i="162"/>
  <c r="C340" i="162"/>
  <c r="C314" i="162"/>
  <c r="C332" i="162"/>
  <c r="C333" i="162" s="1"/>
  <c r="C98" i="102"/>
  <c r="C42" i="95"/>
  <c r="C67" i="95" s="1"/>
  <c r="D168" i="143"/>
  <c r="D95" i="143"/>
  <c r="D83" i="143"/>
  <c r="E15" i="86"/>
  <c r="E67" i="88"/>
  <c r="J66" i="196"/>
  <c r="J68" i="196" s="1"/>
  <c r="J70" i="196" s="1"/>
  <c r="J94" i="196" s="1"/>
  <c r="M266" i="152"/>
  <c r="X38" i="113"/>
  <c r="X46" i="113"/>
  <c r="X56" i="113" s="1"/>
  <c r="X41" i="113"/>
  <c r="K92" i="189"/>
  <c r="K92" i="201"/>
  <c r="J66" i="193"/>
  <c r="J68" i="193" s="1"/>
  <c r="J70" i="193" s="1"/>
  <c r="J94" i="193" s="1"/>
  <c r="K78" i="191"/>
  <c r="K80" i="191" s="1"/>
  <c r="L26" i="217"/>
  <c r="L54" i="217" s="1"/>
  <c r="F22" i="287"/>
  <c r="K22" i="287" s="1"/>
  <c r="I357" i="217"/>
  <c r="I616" i="217"/>
  <c r="I620" i="217" s="1"/>
  <c r="D169" i="140"/>
  <c r="D135" i="140"/>
  <c r="D203" i="140"/>
  <c r="L92" i="197"/>
  <c r="D166" i="139"/>
  <c r="D132" i="139"/>
  <c r="D200" i="139"/>
  <c r="D79" i="139"/>
  <c r="C356" i="139"/>
  <c r="C329" i="139"/>
  <c r="C330" i="139" s="1"/>
  <c r="D100" i="139"/>
  <c r="D84" i="139"/>
  <c r="J77" i="200"/>
  <c r="J79" i="200" s="1"/>
  <c r="J81" i="200" s="1"/>
  <c r="J94" i="200" s="1"/>
  <c r="C340" i="137"/>
  <c r="C313" i="137"/>
  <c r="C332" i="137" s="1"/>
  <c r="C333" i="137" s="1"/>
  <c r="D150" i="137"/>
  <c r="D116" i="137"/>
  <c r="D184" i="137"/>
  <c r="D85" i="137"/>
  <c r="D99" i="137"/>
  <c r="D149" i="145"/>
  <c r="D183" i="145"/>
  <c r="D115" i="145"/>
  <c r="D165" i="145"/>
  <c r="D199" i="145"/>
  <c r="D131" i="145"/>
  <c r="D96" i="145"/>
  <c r="D84" i="145"/>
  <c r="C101" i="102"/>
  <c r="C45" i="95"/>
  <c r="C70" i="95" s="1"/>
  <c r="D80" i="141"/>
  <c r="D152" i="141"/>
  <c r="D186" i="141"/>
  <c r="D118" i="141"/>
  <c r="C356" i="141"/>
  <c r="C330" i="141"/>
  <c r="D81" i="141"/>
  <c r="D99" i="141"/>
  <c r="D101" i="141"/>
  <c r="K88" i="200"/>
  <c r="K90" i="200" s="1"/>
  <c r="K92" i="200" s="1"/>
  <c r="J66" i="190"/>
  <c r="J68" i="190" s="1"/>
  <c r="J70" i="190" s="1"/>
  <c r="J94" i="190" s="1"/>
  <c r="K92" i="202"/>
  <c r="K78" i="197"/>
  <c r="K80" i="197" s="1"/>
  <c r="K88" i="191"/>
  <c r="K90" i="191" s="1"/>
  <c r="K92" i="191" s="1"/>
  <c r="K92" i="188"/>
  <c r="L67" i="196"/>
  <c r="L69" i="196" s="1"/>
  <c r="L88" i="189"/>
  <c r="L90" i="189" s="1"/>
  <c r="L92" i="189" s="1"/>
  <c r="L92" i="201"/>
  <c r="J70" i="204"/>
  <c r="K88" i="199"/>
  <c r="K90" i="199" s="1"/>
  <c r="K92" i="199" s="1"/>
  <c r="D231" i="140"/>
  <c r="D265" i="140" s="1"/>
  <c r="L78" i="189"/>
  <c r="L80" i="189" s="1"/>
  <c r="D168" i="135"/>
  <c r="D202" i="135"/>
  <c r="D134" i="135"/>
  <c r="D84" i="135"/>
  <c r="D101" i="135"/>
  <c r="D86" i="135"/>
  <c r="C356" i="151"/>
  <c r="C330" i="151"/>
  <c r="D81" i="151"/>
  <c r="C333" i="151"/>
  <c r="D82" i="151"/>
  <c r="C107" i="102"/>
  <c r="C51" i="95"/>
  <c r="C76" i="95" s="1"/>
  <c r="D98" i="151"/>
  <c r="J94" i="189"/>
  <c r="D98" i="146"/>
  <c r="D168" i="146"/>
  <c r="D134" i="146"/>
  <c r="D202" i="146"/>
  <c r="D99" i="146"/>
  <c r="D82" i="146"/>
  <c r="J94" i="186"/>
  <c r="J66" i="194"/>
  <c r="J68" i="194" s="1"/>
  <c r="J70" i="194" s="1"/>
  <c r="J94" i="194" s="1"/>
  <c r="L67" i="199"/>
  <c r="L69" i="199" s="1"/>
  <c r="L66" i="199"/>
  <c r="L68" i="199" s="1"/>
  <c r="L241" i="209"/>
  <c r="L242" i="209" s="1"/>
  <c r="A242" i="209" s="1"/>
  <c r="A10" i="209" s="1"/>
  <c r="M97" i="68" s="1"/>
  <c r="K67" i="190"/>
  <c r="K69" i="190" s="1"/>
  <c r="I36" i="151"/>
  <c r="I369" i="151" s="1"/>
  <c r="I34" i="88"/>
  <c r="I36" i="138"/>
  <c r="I369" i="138" s="1"/>
  <c r="I21" i="88"/>
  <c r="I36" i="150"/>
  <c r="I369" i="150" s="1"/>
  <c r="I33" i="88"/>
  <c r="I36" i="141"/>
  <c r="I369" i="141" s="1"/>
  <c r="I23" i="88"/>
  <c r="D95" i="147"/>
  <c r="D83" i="147"/>
  <c r="D182" i="147"/>
  <c r="D148" i="147"/>
  <c r="D114" i="147"/>
  <c r="D203" i="147"/>
  <c r="D135" i="147"/>
  <c r="D169" i="147"/>
  <c r="D100" i="147"/>
  <c r="L92" i="202"/>
  <c r="H19" i="127"/>
  <c r="I44" i="88"/>
  <c r="I15" i="137" s="1"/>
  <c r="I58" i="88"/>
  <c r="I15" i="151" s="1"/>
  <c r="H33" i="127"/>
  <c r="J77" i="197"/>
  <c r="J79" i="197" s="1"/>
  <c r="J81" i="197" s="1"/>
  <c r="J94" i="197" s="1"/>
  <c r="L92" i="191"/>
  <c r="J94" i="204"/>
  <c r="L92" i="188"/>
  <c r="J70" i="187"/>
  <c r="J94" i="187" s="1"/>
  <c r="L88" i="199"/>
  <c r="L90" i="199" s="1"/>
  <c r="L92" i="199" s="1"/>
  <c r="C356" i="148"/>
  <c r="C330" i="148"/>
  <c r="D85" i="148"/>
  <c r="C332" i="148"/>
  <c r="C333" i="148" s="1"/>
  <c r="D184" i="148"/>
  <c r="D150" i="148"/>
  <c r="D116" i="148"/>
  <c r="C340" i="148"/>
  <c r="C314" i="148"/>
  <c r="D98" i="148"/>
  <c r="I514" i="217"/>
  <c r="I577" i="217" s="1"/>
  <c r="C350" i="140"/>
  <c r="D43" i="140"/>
  <c r="D118" i="140"/>
  <c r="D186" i="140"/>
  <c r="D152" i="140"/>
  <c r="K78" i="188"/>
  <c r="K80" i="188" s="1"/>
  <c r="K88" i="194"/>
  <c r="K90" i="194" s="1"/>
  <c r="K92" i="194" s="1"/>
  <c r="D86" i="150"/>
  <c r="D95" i="150"/>
  <c r="D83" i="150"/>
  <c r="G24" i="287"/>
  <c r="L24" i="287" s="1"/>
  <c r="G62" i="127"/>
  <c r="M261" i="152"/>
  <c r="P75" i="104"/>
  <c r="P76" i="104" s="1"/>
  <c r="U204" i="95" s="1"/>
  <c r="Y34" i="104"/>
  <c r="X37" i="104"/>
  <c r="AO213" i="95"/>
  <c r="L78" i="198"/>
  <c r="L80" i="198" s="1"/>
  <c r="L77" i="198"/>
  <c r="L79" i="198" s="1"/>
  <c r="L81" i="198" s="1"/>
  <c r="K67" i="188"/>
  <c r="K69" i="188" s="1"/>
  <c r="K66" i="188"/>
  <c r="K68" i="188" s="1"/>
  <c r="L67" i="191"/>
  <c r="L69" i="191" s="1"/>
  <c r="D80" i="136"/>
  <c r="D83" i="136"/>
  <c r="D85" i="136"/>
  <c r="D99" i="136"/>
  <c r="D204" i="136"/>
  <c r="D136" i="136"/>
  <c r="D170" i="136"/>
  <c r="J70" i="197"/>
  <c r="L67" i="202"/>
  <c r="L69" i="202" s="1"/>
  <c r="H27" i="127"/>
  <c r="I52" i="88"/>
  <c r="I15" i="145" s="1"/>
  <c r="H21" i="127"/>
  <c r="I46" i="88"/>
  <c r="I15" i="139" s="1"/>
  <c r="J70" i="200"/>
  <c r="D80" i="138"/>
  <c r="D83" i="138"/>
  <c r="D85" i="138"/>
  <c r="D99" i="138"/>
  <c r="D102" i="138"/>
  <c r="D85" i="142"/>
  <c r="C97" i="102"/>
  <c r="C41" i="95"/>
  <c r="C66" i="95" s="1"/>
  <c r="D150" i="142"/>
  <c r="D184" i="142"/>
  <c r="D116" i="142"/>
  <c r="C340" i="142"/>
  <c r="C314" i="142"/>
  <c r="D98" i="142"/>
  <c r="C356" i="142"/>
  <c r="C330" i="142"/>
  <c r="L78" i="203"/>
  <c r="L80" i="203" s="1"/>
  <c r="K66" i="187"/>
  <c r="K68" i="187" s="1"/>
  <c r="K67" i="187"/>
  <c r="K69" i="187" s="1"/>
  <c r="L66" i="193"/>
  <c r="L68" i="193" s="1"/>
  <c r="L67" i="193"/>
  <c r="L69" i="193" s="1"/>
  <c r="J70" i="201"/>
  <c r="J94" i="201" s="1"/>
  <c r="D99" i="144"/>
  <c r="C333" i="144"/>
  <c r="D86" i="144"/>
  <c r="C340" i="144"/>
  <c r="C314" i="144"/>
  <c r="D181" i="144"/>
  <c r="D113" i="144"/>
  <c r="D147" i="144"/>
  <c r="D249" i="140"/>
  <c r="D181" i="140"/>
  <c r="D113" i="140"/>
  <c r="D215" i="140" s="1"/>
  <c r="D147" i="140"/>
  <c r="K88" i="190"/>
  <c r="K90" i="190" s="1"/>
  <c r="K92" i="190" s="1"/>
  <c r="D129" i="134"/>
  <c r="D163" i="134"/>
  <c r="D197" i="134"/>
  <c r="D102" i="134"/>
  <c r="D83" i="134"/>
  <c r="D81" i="134"/>
  <c r="K88" i="197"/>
  <c r="K90" i="197" s="1"/>
  <c r="K92" i="197" s="1"/>
  <c r="D102" i="149"/>
  <c r="D86" i="149"/>
  <c r="D81" i="149"/>
  <c r="L77" i="194"/>
  <c r="L79" i="194" s="1"/>
  <c r="L81" i="194" s="1"/>
  <c r="L78" i="194"/>
  <c r="L80" i="194" s="1"/>
  <c r="L77" i="200"/>
  <c r="L79" i="200" s="1"/>
  <c r="L81" i="200" s="1"/>
  <c r="L78" i="200"/>
  <c r="L80" i="200" s="1"/>
  <c r="L88" i="194"/>
  <c r="L90" i="194" s="1"/>
  <c r="L92" i="194" s="1"/>
  <c r="L78" i="201"/>
  <c r="L80" i="201" s="1"/>
  <c r="L77" i="201"/>
  <c r="L79" i="201" s="1"/>
  <c r="L81" i="201" s="1"/>
  <c r="L88" i="187"/>
  <c r="L90" i="187" s="1"/>
  <c r="L92" i="187" s="1"/>
  <c r="G77" i="287"/>
  <c r="G33" i="287"/>
  <c r="L33" i="287" s="1"/>
  <c r="J66" i="191"/>
  <c r="J68" i="191" s="1"/>
  <c r="J70" i="191" s="1"/>
  <c r="J94" i="191" s="1"/>
  <c r="D79" i="86"/>
  <c r="D113" i="86" s="1"/>
  <c r="D83" i="86"/>
  <c r="D151" i="86" s="1"/>
  <c r="D237" i="86"/>
  <c r="D271" i="86" s="1"/>
  <c r="D170" i="86"/>
  <c r="D204" i="86"/>
  <c r="D136" i="86"/>
  <c r="D84" i="86"/>
  <c r="C366" i="86"/>
  <c r="D59" i="86"/>
  <c r="D182" i="86"/>
  <c r="D85" i="86"/>
  <c r="D198" i="86"/>
  <c r="D130" i="86"/>
  <c r="D164" i="86"/>
  <c r="D166" i="86"/>
  <c r="D200" i="86"/>
  <c r="D132" i="86"/>
  <c r="D81" i="86"/>
  <c r="I528" i="217"/>
  <c r="D233" i="86"/>
  <c r="D267" i="86" s="1"/>
  <c r="D201" i="86"/>
  <c r="D133" i="86"/>
  <c r="D167" i="86"/>
  <c r="D197" i="86"/>
  <c r="D129" i="86"/>
  <c r="D163" i="86"/>
  <c r="I526" i="217"/>
  <c r="C16" i="102"/>
  <c r="C85" i="128"/>
  <c r="C332" i="86"/>
  <c r="C333" i="86" s="1"/>
  <c r="C314" i="86"/>
  <c r="D202" i="86"/>
  <c r="D134" i="86"/>
  <c r="D168" i="86"/>
  <c r="D43" i="86"/>
  <c r="D77" i="86" s="1"/>
  <c r="C350" i="86"/>
  <c r="D150" i="86"/>
  <c r="D184" i="86"/>
  <c r="D116" i="86"/>
  <c r="D86" i="86"/>
  <c r="D114" i="86" l="1"/>
  <c r="D202" i="143"/>
  <c r="D129" i="149"/>
  <c r="D183" i="138"/>
  <c r="D113" i="151"/>
  <c r="D202" i="141"/>
  <c r="D188" i="139"/>
  <c r="D119" i="139"/>
  <c r="D118" i="143"/>
  <c r="D186" i="149"/>
  <c r="D119" i="134"/>
  <c r="D134" i="144"/>
  <c r="D164" i="138"/>
  <c r="D170" i="150"/>
  <c r="D148" i="146"/>
  <c r="D183" i="135"/>
  <c r="D119" i="141"/>
  <c r="D170" i="143"/>
  <c r="D204" i="145"/>
  <c r="D153" i="162"/>
  <c r="D152" i="149"/>
  <c r="D202" i="144"/>
  <c r="D182" i="151"/>
  <c r="D153" i="141"/>
  <c r="D236" i="137"/>
  <c r="D270" i="137" s="1"/>
  <c r="D215" i="138"/>
  <c r="D249" i="138" s="1"/>
  <c r="D234" i="141"/>
  <c r="D268" i="141" s="1"/>
  <c r="D238" i="143"/>
  <c r="D272" i="143" s="1"/>
  <c r="D216" i="148"/>
  <c r="D250" i="148" s="1"/>
  <c r="D237" i="146"/>
  <c r="D271" i="146" s="1"/>
  <c r="C314" i="137"/>
  <c r="D238" i="136"/>
  <c r="D272" i="136" s="1"/>
  <c r="D182" i="143"/>
  <c r="D152" i="134"/>
  <c r="D220" i="134" s="1"/>
  <c r="D254" i="134" s="1"/>
  <c r="D152" i="144"/>
  <c r="D150" i="141"/>
  <c r="D154" i="145"/>
  <c r="D129" i="137"/>
  <c r="D150" i="149"/>
  <c r="D218" i="149" s="1"/>
  <c r="D252" i="149" s="1"/>
  <c r="D134" i="138"/>
  <c r="D236" i="138" s="1"/>
  <c r="D270" i="138" s="1"/>
  <c r="D187" i="139"/>
  <c r="D186" i="143"/>
  <c r="D148" i="162"/>
  <c r="D216" i="162" s="1"/>
  <c r="D250" i="162" s="1"/>
  <c r="D199" i="134"/>
  <c r="D233" i="134" s="1"/>
  <c r="D267" i="134" s="1"/>
  <c r="D185" i="142"/>
  <c r="D116" i="138"/>
  <c r="D198" i="136"/>
  <c r="D202" i="148"/>
  <c r="D236" i="148" s="1"/>
  <c r="D270" i="148" s="1"/>
  <c r="D216" i="146"/>
  <c r="D250" i="146" s="1"/>
  <c r="D234" i="135"/>
  <c r="D268" i="135" s="1"/>
  <c r="D222" i="143"/>
  <c r="D256" i="143" s="1"/>
  <c r="D170" i="145"/>
  <c r="D238" i="145" s="1"/>
  <c r="D272" i="145" s="1"/>
  <c r="D118" i="144"/>
  <c r="D220" i="144" s="1"/>
  <c r="D254" i="144" s="1"/>
  <c r="D215" i="136"/>
  <c r="D249" i="136" s="1"/>
  <c r="D116" i="141"/>
  <c r="D120" i="145"/>
  <c r="D222" i="145" s="1"/>
  <c r="D256" i="145" s="1"/>
  <c r="D231" i="145"/>
  <c r="D265" i="145" s="1"/>
  <c r="D197" i="137"/>
  <c r="D231" i="137" s="1"/>
  <c r="D265" i="137" s="1"/>
  <c r="D238" i="162"/>
  <c r="D272" i="162" s="1"/>
  <c r="D219" i="146"/>
  <c r="D253" i="146" s="1"/>
  <c r="D150" i="145"/>
  <c r="D119" i="162"/>
  <c r="D184" i="138"/>
  <c r="D164" i="136"/>
  <c r="D232" i="136" s="1"/>
  <c r="D266" i="136" s="1"/>
  <c r="D149" i="150"/>
  <c r="D217" i="150" s="1"/>
  <c r="D251" i="150" s="1"/>
  <c r="D217" i="147"/>
  <c r="D251" i="147" s="1"/>
  <c r="D197" i="151"/>
  <c r="D236" i="162"/>
  <c r="D270" i="162" s="1"/>
  <c r="D233" i="135"/>
  <c r="D267" i="135" s="1"/>
  <c r="D219" i="137"/>
  <c r="D253" i="137" s="1"/>
  <c r="D217" i="143"/>
  <c r="D251" i="143" s="1"/>
  <c r="D215" i="149"/>
  <c r="D249" i="149" s="1"/>
  <c r="D236" i="142"/>
  <c r="D270" i="142" s="1"/>
  <c r="D216" i="142"/>
  <c r="D250" i="142" s="1"/>
  <c r="D232" i="150"/>
  <c r="D266" i="150" s="1"/>
  <c r="D237" i="148"/>
  <c r="D271" i="148" s="1"/>
  <c r="D220" i="141"/>
  <c r="D254" i="141" s="1"/>
  <c r="D215" i="134"/>
  <c r="D249" i="134" s="1"/>
  <c r="D215" i="146"/>
  <c r="D249" i="146" s="1"/>
  <c r="D221" i="151"/>
  <c r="D255" i="151" s="1"/>
  <c r="D238" i="144"/>
  <c r="D272" i="144" s="1"/>
  <c r="D237" i="145"/>
  <c r="D271" i="145" s="1"/>
  <c r="D238" i="141"/>
  <c r="D272" i="141" s="1"/>
  <c r="D220" i="137"/>
  <c r="D254" i="137" s="1"/>
  <c r="D64" i="127"/>
  <c r="D220" i="149"/>
  <c r="D254" i="149" s="1"/>
  <c r="D238" i="150"/>
  <c r="D272" i="150" s="1"/>
  <c r="H554" i="217"/>
  <c r="D216" i="134"/>
  <c r="D250" i="134" s="1"/>
  <c r="D235" i="134"/>
  <c r="D269" i="134" s="1"/>
  <c r="D238" i="139"/>
  <c r="D272" i="139" s="1"/>
  <c r="V54" i="104"/>
  <c r="V63" i="104"/>
  <c r="D183" i="149"/>
  <c r="D115" i="149"/>
  <c r="D149" i="149"/>
  <c r="D136" i="149"/>
  <c r="D170" i="149"/>
  <c r="D204" i="149"/>
  <c r="D185" i="134"/>
  <c r="D117" i="134"/>
  <c r="D151" i="134"/>
  <c r="D215" i="144"/>
  <c r="D249" i="144" s="1"/>
  <c r="D188" i="144"/>
  <c r="D120" i="144"/>
  <c r="D154" i="144"/>
  <c r="L70" i="193"/>
  <c r="L77" i="203"/>
  <c r="L79" i="203" s="1"/>
  <c r="L81" i="203" s="1"/>
  <c r="D132" i="142"/>
  <c r="D166" i="142"/>
  <c r="D200" i="142"/>
  <c r="D153" i="142"/>
  <c r="D187" i="142"/>
  <c r="D119" i="142"/>
  <c r="L66" i="202"/>
  <c r="L68" i="202" s="1"/>
  <c r="L66" i="191"/>
  <c r="L68" i="191" s="1"/>
  <c r="D77" i="140"/>
  <c r="D78" i="140"/>
  <c r="C366" i="148"/>
  <c r="D69" i="148" s="1"/>
  <c r="D59" i="148"/>
  <c r="D134" i="147"/>
  <c r="D202" i="147"/>
  <c r="D168" i="147"/>
  <c r="D216" i="147"/>
  <c r="D250" i="147" s="1"/>
  <c r="D151" i="147"/>
  <c r="D185" i="147"/>
  <c r="D117" i="147"/>
  <c r="J57" i="88"/>
  <c r="J15" i="150" s="1"/>
  <c r="I32" i="127"/>
  <c r="I33" i="127"/>
  <c r="J58" i="88"/>
  <c r="J15" i="151" s="1"/>
  <c r="D236" i="146"/>
  <c r="D270" i="146" s="1"/>
  <c r="D150" i="151"/>
  <c r="D116" i="151"/>
  <c r="D184" i="151"/>
  <c r="D59" i="151"/>
  <c r="C366" i="151"/>
  <c r="D69" i="151" s="1"/>
  <c r="D186" i="135"/>
  <c r="D152" i="135"/>
  <c r="D118" i="135"/>
  <c r="L77" i="189"/>
  <c r="L79" i="189" s="1"/>
  <c r="L81" i="189" s="1"/>
  <c r="L94" i="189" s="1"/>
  <c r="D135" i="141"/>
  <c r="D169" i="141"/>
  <c r="D203" i="141"/>
  <c r="D59" i="141"/>
  <c r="C366" i="141"/>
  <c r="D69" i="141" s="1"/>
  <c r="D182" i="141"/>
  <c r="D114" i="141"/>
  <c r="D148" i="141"/>
  <c r="D152" i="145"/>
  <c r="D186" i="145"/>
  <c r="D118" i="145"/>
  <c r="D217" i="145"/>
  <c r="D251" i="145" s="1"/>
  <c r="D153" i="137"/>
  <c r="D187" i="137"/>
  <c r="D119" i="137"/>
  <c r="D59" i="139"/>
  <c r="C366" i="139"/>
  <c r="D69" i="139" s="1"/>
  <c r="W15" i="92"/>
  <c r="X57" i="113"/>
  <c r="D129" i="143"/>
  <c r="D163" i="143"/>
  <c r="D197" i="143"/>
  <c r="D115" i="144"/>
  <c r="D149" i="144"/>
  <c r="D183" i="144"/>
  <c r="D118" i="142"/>
  <c r="D186" i="142"/>
  <c r="D152" i="142"/>
  <c r="D200" i="138"/>
  <c r="D132" i="138"/>
  <c r="D166" i="138"/>
  <c r="D59" i="138"/>
  <c r="C366" i="138"/>
  <c r="D69" i="138" s="1"/>
  <c r="D70" i="138" s="1"/>
  <c r="J21" i="88"/>
  <c r="J36" i="138"/>
  <c r="J369" i="138" s="1"/>
  <c r="J19" i="88"/>
  <c r="J36" i="136"/>
  <c r="J369" i="136" s="1"/>
  <c r="J36" i="150"/>
  <c r="J369" i="150" s="1"/>
  <c r="J33" i="88"/>
  <c r="J25" i="88"/>
  <c r="J36" i="162"/>
  <c r="J369" i="162" s="1"/>
  <c r="J36" i="135"/>
  <c r="J369" i="135" s="1"/>
  <c r="J18" i="88"/>
  <c r="D198" i="148"/>
  <c r="D130" i="148"/>
  <c r="D164" i="148"/>
  <c r="D132" i="147"/>
  <c r="D166" i="147"/>
  <c r="D200" i="147"/>
  <c r="J48" i="88"/>
  <c r="J15" i="142" s="1"/>
  <c r="I23" i="127"/>
  <c r="D170" i="146"/>
  <c r="D204" i="146"/>
  <c r="D136" i="146"/>
  <c r="I575" i="217"/>
  <c r="D199" i="137"/>
  <c r="D131" i="137"/>
  <c r="D165" i="137"/>
  <c r="C332" i="139"/>
  <c r="C333" i="139" s="1"/>
  <c r="C366" i="149"/>
  <c r="D69" i="149" s="1"/>
  <c r="D59" i="149"/>
  <c r="C332" i="134"/>
  <c r="C333" i="134" s="1"/>
  <c r="D203" i="134"/>
  <c r="D135" i="134"/>
  <c r="D169" i="134"/>
  <c r="D154" i="142"/>
  <c r="D188" i="142"/>
  <c r="D120" i="142"/>
  <c r="D154" i="138"/>
  <c r="D188" i="138"/>
  <c r="D120" i="138"/>
  <c r="D203" i="136"/>
  <c r="D135" i="136"/>
  <c r="D169" i="136"/>
  <c r="C350" i="150"/>
  <c r="C351" i="150" s="1"/>
  <c r="D43" i="150"/>
  <c r="D69" i="140"/>
  <c r="D70" i="140" s="1"/>
  <c r="C367" i="140"/>
  <c r="H589" i="92"/>
  <c r="H590" i="92" s="1"/>
  <c r="H620" i="92"/>
  <c r="D152" i="147"/>
  <c r="D186" i="147"/>
  <c r="D118" i="147"/>
  <c r="D188" i="151"/>
  <c r="D120" i="151"/>
  <c r="D154" i="151"/>
  <c r="D204" i="135"/>
  <c r="D136" i="135"/>
  <c r="D170" i="135"/>
  <c r="D185" i="135"/>
  <c r="D117" i="135"/>
  <c r="D151" i="135"/>
  <c r="D199" i="141"/>
  <c r="D165" i="141"/>
  <c r="D131" i="141"/>
  <c r="D120" i="141"/>
  <c r="D154" i="141"/>
  <c r="D188" i="141"/>
  <c r="D202" i="145"/>
  <c r="D134" i="145"/>
  <c r="D168" i="145"/>
  <c r="D114" i="145"/>
  <c r="D148" i="145"/>
  <c r="D182" i="145"/>
  <c r="D165" i="139"/>
  <c r="D131" i="139"/>
  <c r="D199" i="139"/>
  <c r="D183" i="162"/>
  <c r="D115" i="162"/>
  <c r="D149" i="162"/>
  <c r="D59" i="137"/>
  <c r="C366" i="137"/>
  <c r="D69" i="137" s="1"/>
  <c r="D43" i="138"/>
  <c r="C350" i="138"/>
  <c r="C351" i="138" s="1"/>
  <c r="I31" i="127"/>
  <c r="J56" i="88"/>
  <c r="J15" i="149" s="1"/>
  <c r="C350" i="145"/>
  <c r="D43" i="145"/>
  <c r="U64" i="104"/>
  <c r="I15" i="88"/>
  <c r="D188" i="149"/>
  <c r="D120" i="149"/>
  <c r="D154" i="149"/>
  <c r="D204" i="134"/>
  <c r="D170" i="134"/>
  <c r="D136" i="134"/>
  <c r="D151" i="138"/>
  <c r="D185" i="138"/>
  <c r="D117" i="138"/>
  <c r="L70" i="202"/>
  <c r="D117" i="136"/>
  <c r="D151" i="136"/>
  <c r="D185" i="136"/>
  <c r="D185" i="150"/>
  <c r="D117" i="150"/>
  <c r="D151" i="150"/>
  <c r="C350" i="148"/>
  <c r="C351" i="148" s="1"/>
  <c r="D43" i="148"/>
  <c r="D163" i="147"/>
  <c r="D129" i="147"/>
  <c r="D197" i="147"/>
  <c r="D200" i="151"/>
  <c r="D132" i="151"/>
  <c r="D166" i="151"/>
  <c r="D188" i="135"/>
  <c r="D120" i="135"/>
  <c r="D154" i="135"/>
  <c r="D201" i="141"/>
  <c r="D133" i="141"/>
  <c r="D167" i="141"/>
  <c r="D130" i="145"/>
  <c r="D164" i="145"/>
  <c r="D198" i="145"/>
  <c r="D152" i="139"/>
  <c r="D186" i="139"/>
  <c r="D118" i="139"/>
  <c r="D181" i="139"/>
  <c r="D113" i="139"/>
  <c r="D147" i="139"/>
  <c r="C350" i="162"/>
  <c r="C351" i="162" s="1"/>
  <c r="D43" i="162"/>
  <c r="D43" i="143"/>
  <c r="C350" i="143"/>
  <c r="D232" i="162"/>
  <c r="D266" i="162" s="1"/>
  <c r="L70" i="195"/>
  <c r="K77" i="200"/>
  <c r="K79" i="200" s="1"/>
  <c r="K81" i="200" s="1"/>
  <c r="K94" i="200" s="1"/>
  <c r="D202" i="149"/>
  <c r="D134" i="149"/>
  <c r="D168" i="149"/>
  <c r="D114" i="149"/>
  <c r="D148" i="149"/>
  <c r="D182" i="149"/>
  <c r="D219" i="149"/>
  <c r="D253" i="149" s="1"/>
  <c r="C366" i="134"/>
  <c r="D69" i="134" s="1"/>
  <c r="D59" i="134"/>
  <c r="D200" i="134"/>
  <c r="D132" i="134"/>
  <c r="D166" i="134"/>
  <c r="D169" i="144"/>
  <c r="D203" i="144"/>
  <c r="D135" i="144"/>
  <c r="K66" i="193"/>
  <c r="K68" i="193" s="1"/>
  <c r="K77" i="203"/>
  <c r="K79" i="203" s="1"/>
  <c r="K81" i="203" s="1"/>
  <c r="K94" i="203" s="1"/>
  <c r="D130" i="142"/>
  <c r="D164" i="142"/>
  <c r="D198" i="142"/>
  <c r="D231" i="138"/>
  <c r="D265" i="138" s="1"/>
  <c r="D59" i="136"/>
  <c r="C366" i="136"/>
  <c r="D69" i="136" s="1"/>
  <c r="D70" i="136" s="1"/>
  <c r="K70" i="191"/>
  <c r="J36" i="151"/>
  <c r="J369" i="151" s="1"/>
  <c r="J34" i="88"/>
  <c r="J30" i="88"/>
  <c r="J36" i="147"/>
  <c r="J369" i="147" s="1"/>
  <c r="J36" i="144"/>
  <c r="J369" i="144" s="1"/>
  <c r="J27" i="88"/>
  <c r="J36" i="149"/>
  <c r="J369" i="149" s="1"/>
  <c r="J32" i="88"/>
  <c r="J24" i="88"/>
  <c r="J36" i="142"/>
  <c r="J369" i="142" s="1"/>
  <c r="W49" i="104"/>
  <c r="W51" i="104" s="1"/>
  <c r="W53" i="104" s="1"/>
  <c r="C366" i="150"/>
  <c r="D69" i="150" s="1"/>
  <c r="D59" i="150"/>
  <c r="D216" i="150"/>
  <c r="D250" i="150" s="1"/>
  <c r="D235" i="148"/>
  <c r="D269" i="148" s="1"/>
  <c r="K70" i="200"/>
  <c r="J52" i="88"/>
  <c r="J15" i="145" s="1"/>
  <c r="I27" i="127"/>
  <c r="L66" i="190"/>
  <c r="L68" i="190" s="1"/>
  <c r="D220" i="146"/>
  <c r="D254" i="146" s="1"/>
  <c r="D221" i="146"/>
  <c r="D255" i="146" s="1"/>
  <c r="D235" i="151"/>
  <c r="D269" i="151" s="1"/>
  <c r="C314" i="135"/>
  <c r="L77" i="202"/>
  <c r="L79" i="202" s="1"/>
  <c r="L81" i="202" s="1"/>
  <c r="L66" i="186"/>
  <c r="L68" i="186" s="1"/>
  <c r="L70" i="186" s="1"/>
  <c r="D43" i="139"/>
  <c r="C350" i="139"/>
  <c r="C351" i="139" s="1"/>
  <c r="D222" i="139"/>
  <c r="D256" i="139" s="1"/>
  <c r="K70" i="204"/>
  <c r="D187" i="143"/>
  <c r="D119" i="143"/>
  <c r="D153" i="143"/>
  <c r="L66" i="198"/>
  <c r="L68" i="198" s="1"/>
  <c r="L69" i="185"/>
  <c r="D43" i="149"/>
  <c r="C350" i="149"/>
  <c r="C351" i="149" s="1"/>
  <c r="C350" i="134"/>
  <c r="C351" i="134" s="1"/>
  <c r="D43" i="134"/>
  <c r="D250" i="140"/>
  <c r="D182" i="140"/>
  <c r="D114" i="140"/>
  <c r="D216" i="140" s="1"/>
  <c r="D148" i="140"/>
  <c r="D59" i="144"/>
  <c r="C366" i="144"/>
  <c r="D69" i="144" s="1"/>
  <c r="D219" i="144"/>
  <c r="D253" i="144" s="1"/>
  <c r="D135" i="138"/>
  <c r="D169" i="138"/>
  <c r="D203" i="138"/>
  <c r="J68" i="185"/>
  <c r="L70" i="194"/>
  <c r="L94" i="194" s="1"/>
  <c r="D215" i="150"/>
  <c r="D249" i="150" s="1"/>
  <c r="D150" i="150"/>
  <c r="D116" i="150"/>
  <c r="D184" i="150"/>
  <c r="D115" i="148"/>
  <c r="D149" i="148"/>
  <c r="D183" i="148"/>
  <c r="D204" i="148"/>
  <c r="D136" i="148"/>
  <c r="D170" i="148"/>
  <c r="K77" i="192"/>
  <c r="K79" i="192" s="1"/>
  <c r="K81" i="192" s="1"/>
  <c r="K94" i="192" s="1"/>
  <c r="D130" i="147"/>
  <c r="D164" i="147"/>
  <c r="D198" i="147"/>
  <c r="J44" i="88"/>
  <c r="J15" i="137" s="1"/>
  <c r="I19" i="127"/>
  <c r="I17" i="127"/>
  <c r="J42" i="88"/>
  <c r="J15" i="135" s="1"/>
  <c r="I26" i="127"/>
  <c r="I78" i="287" s="1"/>
  <c r="J51" i="88"/>
  <c r="J15" i="144" s="1"/>
  <c r="D120" i="146"/>
  <c r="D188" i="146"/>
  <c r="D154" i="146"/>
  <c r="D133" i="135"/>
  <c r="D167" i="135"/>
  <c r="D201" i="135"/>
  <c r="D114" i="135"/>
  <c r="D148" i="135"/>
  <c r="D182" i="135"/>
  <c r="K66" i="189"/>
  <c r="K68" i="189" s="1"/>
  <c r="K70" i="189" s="1"/>
  <c r="K77" i="202"/>
  <c r="K79" i="202" s="1"/>
  <c r="K81" i="202" s="1"/>
  <c r="K94" i="202" s="1"/>
  <c r="L77" i="186"/>
  <c r="L79" i="186" s="1"/>
  <c r="L81" i="186" s="1"/>
  <c r="D163" i="141"/>
  <c r="D197" i="141"/>
  <c r="D129" i="141"/>
  <c r="K70" i="192"/>
  <c r="D221" i="145"/>
  <c r="D255" i="145" s="1"/>
  <c r="D59" i="145"/>
  <c r="C366" i="145"/>
  <c r="D69" i="145" s="1"/>
  <c r="D181" i="137"/>
  <c r="D113" i="137"/>
  <c r="D147" i="137"/>
  <c r="D114" i="139"/>
  <c r="D148" i="139"/>
  <c r="D182" i="139"/>
  <c r="K66" i="201"/>
  <c r="K68" i="201" s="1"/>
  <c r="L77" i="195"/>
  <c r="L79" i="195" s="1"/>
  <c r="L81" i="195" s="1"/>
  <c r="N266" i="152"/>
  <c r="Y41" i="113"/>
  <c r="Y46" i="113" s="1"/>
  <c r="Y56" i="113" s="1"/>
  <c r="Y38" i="113"/>
  <c r="D133" i="143"/>
  <c r="D167" i="143"/>
  <c r="D201" i="143"/>
  <c r="D117" i="162"/>
  <c r="D151" i="162"/>
  <c r="D185" i="162"/>
  <c r="K69" i="185"/>
  <c r="I527" i="217"/>
  <c r="D218" i="145"/>
  <c r="D252" i="145" s="1"/>
  <c r="D219" i="139"/>
  <c r="D253" i="139" s="1"/>
  <c r="D231" i="139"/>
  <c r="D265" i="139" s="1"/>
  <c r="D131" i="143"/>
  <c r="D165" i="143"/>
  <c r="D199" i="143"/>
  <c r="D220" i="143"/>
  <c r="D254" i="143" s="1"/>
  <c r="L66" i="197"/>
  <c r="L68" i="197" s="1"/>
  <c r="K77" i="201"/>
  <c r="K79" i="201" s="1"/>
  <c r="K81" i="201" s="1"/>
  <c r="K94" i="201" s="1"/>
  <c r="K77" i="194"/>
  <c r="K79" i="194" s="1"/>
  <c r="K81" i="194" s="1"/>
  <c r="D233" i="149"/>
  <c r="D267" i="149" s="1"/>
  <c r="D236" i="144"/>
  <c r="D270" i="144" s="1"/>
  <c r="D216" i="144"/>
  <c r="D250" i="144" s="1"/>
  <c r="D221" i="144"/>
  <c r="D255" i="144" s="1"/>
  <c r="D219" i="142"/>
  <c r="D253" i="142" s="1"/>
  <c r="C332" i="138"/>
  <c r="C333" i="138" s="1"/>
  <c r="H62" i="127"/>
  <c r="K66" i="202"/>
  <c r="K68" i="202" s="1"/>
  <c r="K70" i="202" s="1"/>
  <c r="D218" i="136"/>
  <c r="D252" i="136" s="1"/>
  <c r="D233" i="136"/>
  <c r="D267" i="136" s="1"/>
  <c r="C350" i="136"/>
  <c r="C351" i="136" s="1"/>
  <c r="D43" i="136"/>
  <c r="D220" i="150"/>
  <c r="D254" i="150" s="1"/>
  <c r="D231" i="148"/>
  <c r="D265" i="148" s="1"/>
  <c r="I25" i="127"/>
  <c r="I77" i="287" s="1"/>
  <c r="J50" i="88"/>
  <c r="J15" i="143" s="1"/>
  <c r="L77" i="185"/>
  <c r="L79" i="185" s="1"/>
  <c r="L81" i="185" s="1"/>
  <c r="D231" i="146"/>
  <c r="D265" i="146" s="1"/>
  <c r="D231" i="151"/>
  <c r="D265" i="151" s="1"/>
  <c r="D237" i="151"/>
  <c r="D271" i="151" s="1"/>
  <c r="C366" i="135"/>
  <c r="D69" i="135" s="1"/>
  <c r="D59" i="135"/>
  <c r="D233" i="140"/>
  <c r="D267" i="140" s="1"/>
  <c r="L66" i="189"/>
  <c r="L68" i="189" s="1"/>
  <c r="K70" i="196"/>
  <c r="G40" i="88"/>
  <c r="F15" i="127"/>
  <c r="D221" i="141"/>
  <c r="D255" i="141" s="1"/>
  <c r="D232" i="137"/>
  <c r="D266" i="137" s="1"/>
  <c r="D136" i="138"/>
  <c r="D170" i="138"/>
  <c r="D204" i="138"/>
  <c r="C351" i="140"/>
  <c r="C368" i="140"/>
  <c r="C370" i="140" s="1"/>
  <c r="D53" i="140"/>
  <c r="D149" i="134"/>
  <c r="D183" i="134"/>
  <c r="D115" i="134"/>
  <c r="D231" i="134"/>
  <c r="D265" i="134" s="1"/>
  <c r="D133" i="144"/>
  <c r="D167" i="144"/>
  <c r="D201" i="144"/>
  <c r="K70" i="187"/>
  <c r="D43" i="142"/>
  <c r="C350" i="142"/>
  <c r="C351" i="142" s="1"/>
  <c r="D133" i="138"/>
  <c r="D201" i="138"/>
  <c r="D167" i="138"/>
  <c r="D182" i="138"/>
  <c r="D114" i="138"/>
  <c r="D148" i="138"/>
  <c r="D201" i="136"/>
  <c r="D133" i="136"/>
  <c r="D167" i="136"/>
  <c r="D114" i="136"/>
  <c r="D182" i="136"/>
  <c r="D148" i="136"/>
  <c r="K70" i="188"/>
  <c r="M260" i="152"/>
  <c r="X41" i="104"/>
  <c r="X46" i="104" s="1"/>
  <c r="X38" i="104"/>
  <c r="D129" i="150"/>
  <c r="D163" i="150"/>
  <c r="D197" i="150"/>
  <c r="K77" i="188"/>
  <c r="K79" i="188" s="1"/>
  <c r="K81" i="188" s="1"/>
  <c r="K94" i="188" s="1"/>
  <c r="D220" i="140"/>
  <c r="D254" i="140" s="1"/>
  <c r="I573" i="217"/>
  <c r="I529" i="217"/>
  <c r="D218" i="148"/>
  <c r="D252" i="148" s="1"/>
  <c r="D187" i="148"/>
  <c r="D153" i="148"/>
  <c r="D119" i="148"/>
  <c r="I22" i="127"/>
  <c r="J47" i="88"/>
  <c r="J15" i="141" s="1"/>
  <c r="J45" i="88"/>
  <c r="J15" i="138" s="1"/>
  <c r="I20" i="127"/>
  <c r="L70" i="199"/>
  <c r="D184" i="146"/>
  <c r="D116" i="146"/>
  <c r="D150" i="146"/>
  <c r="D149" i="151"/>
  <c r="D183" i="151"/>
  <c r="D115" i="151"/>
  <c r="D203" i="135"/>
  <c r="D135" i="135"/>
  <c r="D169" i="135"/>
  <c r="D236" i="135"/>
  <c r="D270" i="135" s="1"/>
  <c r="D183" i="141"/>
  <c r="D115" i="141"/>
  <c r="D149" i="141"/>
  <c r="D218" i="137"/>
  <c r="D252" i="137" s="1"/>
  <c r="D168" i="139"/>
  <c r="D202" i="139"/>
  <c r="D134" i="139"/>
  <c r="D234" i="139"/>
  <c r="D268" i="139" s="1"/>
  <c r="D237" i="140"/>
  <c r="D271" i="140" s="1"/>
  <c r="K77" i="191"/>
  <c r="K79" i="191" s="1"/>
  <c r="K81" i="191" s="1"/>
  <c r="K94" i="191" s="1"/>
  <c r="D236" i="143"/>
  <c r="D270" i="143" s="1"/>
  <c r="D201" i="162"/>
  <c r="D133" i="162"/>
  <c r="D167" i="162"/>
  <c r="D220" i="162"/>
  <c r="D254" i="162" s="1"/>
  <c r="K66" i="198"/>
  <c r="K68" i="198" s="1"/>
  <c r="K70" i="198" s="1"/>
  <c r="K94" i="198" s="1"/>
  <c r="K70" i="197"/>
  <c r="C366" i="162"/>
  <c r="D69" i="162" s="1"/>
  <c r="D59" i="162"/>
  <c r="D222" i="162"/>
  <c r="D256" i="162" s="1"/>
  <c r="H14" i="127"/>
  <c r="N26" i="217" s="1"/>
  <c r="N54" i="217" s="1"/>
  <c r="H36" i="140"/>
  <c r="I39" i="88"/>
  <c r="I15" i="140" s="1"/>
  <c r="K70" i="193"/>
  <c r="K94" i="193" s="1"/>
  <c r="D217" i="138"/>
  <c r="D251" i="138" s="1"/>
  <c r="D132" i="136"/>
  <c r="D200" i="136"/>
  <c r="D166" i="136"/>
  <c r="D217" i="136"/>
  <c r="D251" i="136" s="1"/>
  <c r="J36" i="141"/>
  <c r="J369" i="141" s="1"/>
  <c r="J23" i="88"/>
  <c r="J36" i="143"/>
  <c r="J369" i="143" s="1"/>
  <c r="J26" i="88"/>
  <c r="J22" i="88"/>
  <c r="J36" i="139"/>
  <c r="J369" i="139" s="1"/>
  <c r="J17" i="88"/>
  <c r="J36" i="134"/>
  <c r="J369" i="134" s="1"/>
  <c r="J506" i="92"/>
  <c r="J507" i="92" s="1"/>
  <c r="J520" i="92"/>
  <c r="D200" i="150"/>
  <c r="D234" i="150" s="1"/>
  <c r="D268" i="150" s="1"/>
  <c r="D132" i="150"/>
  <c r="D166" i="150"/>
  <c r="D237" i="150"/>
  <c r="D271" i="150" s="1"/>
  <c r="D215" i="148"/>
  <c r="D249" i="148" s="1"/>
  <c r="D43" i="147"/>
  <c r="C350" i="147"/>
  <c r="C351" i="147" s="1"/>
  <c r="D221" i="147"/>
  <c r="D255" i="147" s="1"/>
  <c r="C366" i="147"/>
  <c r="D69" i="147" s="1"/>
  <c r="D59" i="147"/>
  <c r="I28" i="127"/>
  <c r="I76" i="287" s="1"/>
  <c r="J53" i="88"/>
  <c r="J15" i="146" s="1"/>
  <c r="L70" i="190"/>
  <c r="L94" i="190" s="1"/>
  <c r="C350" i="146"/>
  <c r="D43" i="146"/>
  <c r="C351" i="146"/>
  <c r="D168" i="151"/>
  <c r="D202" i="151"/>
  <c r="D134" i="151"/>
  <c r="D118" i="151"/>
  <c r="D152" i="151"/>
  <c r="D186" i="151"/>
  <c r="D131" i="151"/>
  <c r="D199" i="151"/>
  <c r="D165" i="151"/>
  <c r="D198" i="135"/>
  <c r="D130" i="135"/>
  <c r="D164" i="135"/>
  <c r="D43" i="135"/>
  <c r="C350" i="135"/>
  <c r="C351" i="135"/>
  <c r="D181" i="141"/>
  <c r="D113" i="141"/>
  <c r="D147" i="141"/>
  <c r="D236" i="141"/>
  <c r="D270" i="141" s="1"/>
  <c r="D185" i="145"/>
  <c r="D117" i="145"/>
  <c r="D151" i="145"/>
  <c r="D204" i="137"/>
  <c r="D136" i="137"/>
  <c r="D170" i="137"/>
  <c r="D198" i="139"/>
  <c r="D130" i="139"/>
  <c r="D164" i="139"/>
  <c r="D237" i="139"/>
  <c r="D271" i="139" s="1"/>
  <c r="D132" i="143"/>
  <c r="D166" i="143"/>
  <c r="D200" i="143"/>
  <c r="D218" i="162"/>
  <c r="D252" i="162" s="1"/>
  <c r="L70" i="198"/>
  <c r="L94" i="198" s="1"/>
  <c r="D119" i="149"/>
  <c r="D153" i="149"/>
  <c r="D187" i="149"/>
  <c r="D164" i="134"/>
  <c r="D130" i="134"/>
  <c r="D198" i="134"/>
  <c r="D170" i="142"/>
  <c r="D204" i="142"/>
  <c r="D136" i="142"/>
  <c r="D131" i="142"/>
  <c r="D165" i="142"/>
  <c r="D199" i="142"/>
  <c r="D152" i="136"/>
  <c r="D118" i="136"/>
  <c r="D186" i="136"/>
  <c r="K94" i="187"/>
  <c r="G16" i="88"/>
  <c r="G639" i="92"/>
  <c r="G640" i="92" s="1"/>
  <c r="G36" i="86"/>
  <c r="G369" i="86" s="1"/>
  <c r="D154" i="148"/>
  <c r="D120" i="148"/>
  <c r="D188" i="148"/>
  <c r="D119" i="135"/>
  <c r="D187" i="135"/>
  <c r="D153" i="135"/>
  <c r="G369" i="140"/>
  <c r="D234" i="145"/>
  <c r="D268" i="145" s="1"/>
  <c r="D200" i="137"/>
  <c r="D132" i="137"/>
  <c r="D166" i="137"/>
  <c r="D201" i="139"/>
  <c r="D133" i="139"/>
  <c r="D167" i="139"/>
  <c r="D150" i="139"/>
  <c r="D116" i="139"/>
  <c r="D184" i="139"/>
  <c r="K70" i="201"/>
  <c r="D163" i="162"/>
  <c r="D197" i="162"/>
  <c r="D129" i="162"/>
  <c r="K77" i="196"/>
  <c r="K79" i="196" s="1"/>
  <c r="K81" i="196" s="1"/>
  <c r="K94" i="196" s="1"/>
  <c r="D222" i="137"/>
  <c r="D256" i="137" s="1"/>
  <c r="L70" i="197"/>
  <c r="L94" i="197" s="1"/>
  <c r="D232" i="149"/>
  <c r="D266" i="149" s="1"/>
  <c r="D221" i="134"/>
  <c r="D255" i="134" s="1"/>
  <c r="D218" i="134"/>
  <c r="D252" i="134" s="1"/>
  <c r="I574" i="217"/>
  <c r="D237" i="142"/>
  <c r="D271" i="142" s="1"/>
  <c r="D232" i="138"/>
  <c r="D266" i="138" s="1"/>
  <c r="J70" i="185"/>
  <c r="J94" i="185" s="1"/>
  <c r="C332" i="136"/>
  <c r="C333" i="136" s="1"/>
  <c r="F15" i="86"/>
  <c r="F67" i="88"/>
  <c r="D222" i="147"/>
  <c r="D256" i="147" s="1"/>
  <c r="J43" i="88"/>
  <c r="J15" i="136" s="1"/>
  <c r="I18" i="127"/>
  <c r="D59" i="146"/>
  <c r="C366" i="146"/>
  <c r="D69" i="146" s="1"/>
  <c r="D232" i="151"/>
  <c r="D266" i="151" s="1"/>
  <c r="D216" i="151"/>
  <c r="D250" i="151" s="1"/>
  <c r="D215" i="135"/>
  <c r="D249" i="135" s="1"/>
  <c r="L70" i="189"/>
  <c r="D232" i="141"/>
  <c r="D266" i="141" s="1"/>
  <c r="D235" i="145"/>
  <c r="D269" i="145" s="1"/>
  <c r="D232" i="143"/>
  <c r="D266" i="143" s="1"/>
  <c r="K487" i="92"/>
  <c r="K490" i="92"/>
  <c r="K523" i="92" s="1"/>
  <c r="K573" i="92" s="1"/>
  <c r="K623" i="92" s="1"/>
  <c r="K494" i="92"/>
  <c r="K527" i="92" s="1"/>
  <c r="K577" i="92" s="1"/>
  <c r="K627" i="92" s="1"/>
  <c r="K500" i="92"/>
  <c r="K533" i="92" s="1"/>
  <c r="K583" i="92" s="1"/>
  <c r="K633" i="92" s="1"/>
  <c r="K489" i="92"/>
  <c r="K522" i="92" s="1"/>
  <c r="K572" i="92" s="1"/>
  <c r="K622" i="92" s="1"/>
  <c r="K503" i="92"/>
  <c r="K536" i="92" s="1"/>
  <c r="K586" i="92" s="1"/>
  <c r="K636" i="92" s="1"/>
  <c r="K498" i="92"/>
  <c r="K531" i="92" s="1"/>
  <c r="K581" i="92" s="1"/>
  <c r="K631" i="92" s="1"/>
  <c r="K491" i="92"/>
  <c r="K524" i="92" s="1"/>
  <c r="K574" i="92" s="1"/>
  <c r="K624" i="92" s="1"/>
  <c r="K501" i="92"/>
  <c r="K534" i="92" s="1"/>
  <c r="K584" i="92" s="1"/>
  <c r="K634" i="92" s="1"/>
  <c r="K497" i="92"/>
  <c r="K530" i="92" s="1"/>
  <c r="K580" i="92" s="1"/>
  <c r="K630" i="92" s="1"/>
  <c r="K488" i="92"/>
  <c r="K521" i="92" s="1"/>
  <c r="K571" i="92" s="1"/>
  <c r="K621" i="92" s="1"/>
  <c r="K504" i="92"/>
  <c r="K537" i="92" s="1"/>
  <c r="K587" i="92" s="1"/>
  <c r="K637" i="92" s="1"/>
  <c r="K495" i="92"/>
  <c r="K528" i="92" s="1"/>
  <c r="K578" i="92" s="1"/>
  <c r="K628" i="92" s="1"/>
  <c r="K499" i="92"/>
  <c r="K532" i="92" s="1"/>
  <c r="K582" i="92" s="1"/>
  <c r="K632" i="92" s="1"/>
  <c r="K505" i="92"/>
  <c r="K538" i="92" s="1"/>
  <c r="K588" i="92" s="1"/>
  <c r="K638" i="92" s="1"/>
  <c r="K493" i="92"/>
  <c r="K526" i="92" s="1"/>
  <c r="K576" i="92" s="1"/>
  <c r="K626" i="92" s="1"/>
  <c r="K492" i="92"/>
  <c r="K525" i="92" s="1"/>
  <c r="K575" i="92" s="1"/>
  <c r="K625" i="92" s="1"/>
  <c r="K502" i="92"/>
  <c r="K535" i="92" s="1"/>
  <c r="K585" i="92" s="1"/>
  <c r="K635" i="92" s="1"/>
  <c r="K496" i="92"/>
  <c r="K529" i="92" s="1"/>
  <c r="K579" i="92" s="1"/>
  <c r="K629" i="92" s="1"/>
  <c r="C350" i="144"/>
  <c r="C351" i="144" s="1"/>
  <c r="D43" i="144"/>
  <c r="C366" i="142"/>
  <c r="D69" i="142" s="1"/>
  <c r="D59" i="142"/>
  <c r="D218" i="142"/>
  <c r="D252" i="142" s="1"/>
  <c r="D119" i="138"/>
  <c r="D153" i="138"/>
  <c r="D187" i="138"/>
  <c r="D153" i="136"/>
  <c r="D187" i="136"/>
  <c r="D119" i="136"/>
  <c r="L70" i="191"/>
  <c r="L94" i="191" s="1"/>
  <c r="N261" i="152"/>
  <c r="Y37" i="104"/>
  <c r="Q75" i="104"/>
  <c r="Q76" i="104" s="1"/>
  <c r="V204" i="95" s="1"/>
  <c r="Z34" i="104"/>
  <c r="AP213" i="95"/>
  <c r="D120" i="150"/>
  <c r="D154" i="150"/>
  <c r="D188" i="150"/>
  <c r="D200" i="148"/>
  <c r="D132" i="148"/>
  <c r="D166" i="148"/>
  <c r="L94" i="202"/>
  <c r="D237" i="147"/>
  <c r="D271" i="147" s="1"/>
  <c r="K66" i="190"/>
  <c r="K68" i="190" s="1"/>
  <c r="K70" i="190" s="1"/>
  <c r="D167" i="146"/>
  <c r="D201" i="146"/>
  <c r="D133" i="146"/>
  <c r="D166" i="146"/>
  <c r="D200" i="146"/>
  <c r="D132" i="146"/>
  <c r="L66" i="196"/>
  <c r="L68" i="196" s="1"/>
  <c r="L70" i="196" s="1"/>
  <c r="L94" i="196" s="1"/>
  <c r="K77" i="197"/>
  <c r="K79" i="197" s="1"/>
  <c r="K81" i="197" s="1"/>
  <c r="K94" i="197" s="1"/>
  <c r="D233" i="145"/>
  <c r="D267" i="145" s="1"/>
  <c r="D133" i="137"/>
  <c r="D167" i="137"/>
  <c r="D201" i="137"/>
  <c r="D43" i="137"/>
  <c r="C350" i="137"/>
  <c r="C351" i="137" s="1"/>
  <c r="D151" i="143"/>
  <c r="D185" i="143"/>
  <c r="D117" i="143"/>
  <c r="D181" i="162"/>
  <c r="D147" i="162"/>
  <c r="D113" i="162"/>
  <c r="D216" i="143"/>
  <c r="D250" i="143" s="1"/>
  <c r="D59" i="143"/>
  <c r="C366" i="143"/>
  <c r="D69" i="143" s="1"/>
  <c r="D237" i="143"/>
  <c r="D271" i="143" s="1"/>
  <c r="D169" i="162"/>
  <c r="D203" i="162"/>
  <c r="D135" i="162"/>
  <c r="K70" i="203"/>
  <c r="L94" i="193"/>
  <c r="D231" i="149"/>
  <c r="D265" i="149" s="1"/>
  <c r="D237" i="149"/>
  <c r="D271" i="149" s="1"/>
  <c r="D134" i="134"/>
  <c r="D168" i="134"/>
  <c r="D202" i="134"/>
  <c r="D154" i="140"/>
  <c r="D120" i="140"/>
  <c r="D222" i="140" s="1"/>
  <c r="D256" i="140" s="1"/>
  <c r="D188" i="140"/>
  <c r="D232" i="144"/>
  <c r="D266" i="144" s="1"/>
  <c r="L66" i="187"/>
  <c r="L68" i="187" s="1"/>
  <c r="L70" i="187" s="1"/>
  <c r="L94" i="187" s="1"/>
  <c r="K77" i="199"/>
  <c r="K79" i="199" s="1"/>
  <c r="K81" i="199" s="1"/>
  <c r="D147" i="142"/>
  <c r="D181" i="142"/>
  <c r="D113" i="142"/>
  <c r="D235" i="142"/>
  <c r="D269" i="142" s="1"/>
  <c r="D231" i="136"/>
  <c r="D265" i="136" s="1"/>
  <c r="K94" i="204"/>
  <c r="K66" i="194"/>
  <c r="K68" i="194" s="1"/>
  <c r="K70" i="194" s="1"/>
  <c r="J36" i="148"/>
  <c r="J369" i="148" s="1"/>
  <c r="J31" i="88"/>
  <c r="J28" i="88"/>
  <c r="J36" i="145"/>
  <c r="J369" i="145" s="1"/>
  <c r="J36" i="146"/>
  <c r="J369" i="146" s="1"/>
  <c r="J29" i="88"/>
  <c r="J36" i="137"/>
  <c r="J369" i="137" s="1"/>
  <c r="J20" i="88"/>
  <c r="D153" i="150"/>
  <c r="D187" i="150"/>
  <c r="D119" i="150"/>
  <c r="D236" i="150"/>
  <c r="D270" i="150" s="1"/>
  <c r="I576" i="217"/>
  <c r="D152" i="148"/>
  <c r="D186" i="148"/>
  <c r="D118" i="148"/>
  <c r="D233" i="148"/>
  <c r="D267" i="148" s="1"/>
  <c r="D150" i="147"/>
  <c r="D184" i="147"/>
  <c r="D116" i="147"/>
  <c r="I539" i="92"/>
  <c r="I540" i="92" s="1"/>
  <c r="I570" i="92"/>
  <c r="I30" i="127"/>
  <c r="J55" i="88"/>
  <c r="J15" i="148" s="1"/>
  <c r="K66" i="199"/>
  <c r="K68" i="199" s="1"/>
  <c r="K70" i="199" s="1"/>
  <c r="D165" i="146"/>
  <c r="D199" i="146"/>
  <c r="D131" i="146"/>
  <c r="D215" i="151"/>
  <c r="D249" i="151" s="1"/>
  <c r="D184" i="135"/>
  <c r="D150" i="135"/>
  <c r="D116" i="135"/>
  <c r="D216" i="137"/>
  <c r="D250" i="137" s="1"/>
  <c r="C314" i="139"/>
  <c r="L70" i="201"/>
  <c r="L94" i="201" s="1"/>
  <c r="L66" i="185"/>
  <c r="D234" i="162"/>
  <c r="D268" i="162" s="1"/>
  <c r="D200" i="149"/>
  <c r="D132" i="149"/>
  <c r="D166" i="149"/>
  <c r="C314" i="134"/>
  <c r="D188" i="134"/>
  <c r="D154" i="134"/>
  <c r="D120" i="134"/>
  <c r="D197" i="144"/>
  <c r="D163" i="144"/>
  <c r="D129" i="144"/>
  <c r="D150" i="144"/>
  <c r="D184" i="144"/>
  <c r="D116" i="144"/>
  <c r="L77" i="199"/>
  <c r="L79" i="199" s="1"/>
  <c r="L81" i="199" s="1"/>
  <c r="L94" i="199" s="1"/>
  <c r="D149" i="142"/>
  <c r="D183" i="142"/>
  <c r="D115" i="142"/>
  <c r="D152" i="138"/>
  <c r="D118" i="138"/>
  <c r="D186" i="138"/>
  <c r="D188" i="136"/>
  <c r="D120" i="136"/>
  <c r="D154" i="136"/>
  <c r="D236" i="136"/>
  <c r="D270" i="136" s="1"/>
  <c r="D133" i="150"/>
  <c r="D201" i="150"/>
  <c r="D167" i="150"/>
  <c r="D93" i="140"/>
  <c r="D94" i="140"/>
  <c r="L66" i="200"/>
  <c r="L68" i="200" s="1"/>
  <c r="L70" i="200" s="1"/>
  <c r="L94" i="200" s="1"/>
  <c r="D181" i="147"/>
  <c r="D147" i="147"/>
  <c r="D113" i="147"/>
  <c r="D133" i="147"/>
  <c r="D201" i="147"/>
  <c r="D167" i="147"/>
  <c r="J49" i="88"/>
  <c r="J15" i="162" s="1"/>
  <c r="I24" i="127"/>
  <c r="J41" i="88"/>
  <c r="J15" i="134" s="1"/>
  <c r="I16" i="127"/>
  <c r="K77" i="185"/>
  <c r="K79" i="185" s="1"/>
  <c r="K81" i="185" s="1"/>
  <c r="D43" i="151"/>
  <c r="C350" i="151"/>
  <c r="C351" i="151" s="1"/>
  <c r="D136" i="151"/>
  <c r="D170" i="151"/>
  <c r="D204" i="151"/>
  <c r="L94" i="195"/>
  <c r="K66" i="186"/>
  <c r="K68" i="186" s="1"/>
  <c r="K70" i="186" s="1"/>
  <c r="M26" i="217"/>
  <c r="M54" i="217" s="1"/>
  <c r="G22" i="287"/>
  <c r="L22" i="287" s="1"/>
  <c r="D151" i="141"/>
  <c r="D185" i="141"/>
  <c r="D117" i="141"/>
  <c r="C350" i="141"/>
  <c r="C351" i="141" s="1"/>
  <c r="D43" i="141"/>
  <c r="D183" i="137"/>
  <c r="D115" i="137"/>
  <c r="D149" i="137"/>
  <c r="D221" i="139"/>
  <c r="D255" i="139" s="1"/>
  <c r="L70" i="204"/>
  <c r="L94" i="204" s="1"/>
  <c r="O267" i="152"/>
  <c r="R68" i="113"/>
  <c r="R69" i="113" s="1"/>
  <c r="W205" i="95" s="1"/>
  <c r="Z37" i="113"/>
  <c r="AQ215" i="95"/>
  <c r="K77" i="190"/>
  <c r="K79" i="190" s="1"/>
  <c r="K81" i="190" s="1"/>
  <c r="K94" i="190" s="1"/>
  <c r="D215" i="143"/>
  <c r="D249" i="143" s="1"/>
  <c r="D184" i="143"/>
  <c r="D116" i="143"/>
  <c r="D150" i="143"/>
  <c r="D131" i="162"/>
  <c r="D199" i="162"/>
  <c r="D165" i="162"/>
  <c r="K66" i="195"/>
  <c r="K68" i="195" s="1"/>
  <c r="K70" i="195" s="1"/>
  <c r="K94" i="195" s="1"/>
  <c r="K66" i="185"/>
  <c r="L70" i="203"/>
  <c r="L94" i="203" s="1"/>
  <c r="D215" i="145"/>
  <c r="D249" i="145" s="1"/>
  <c r="D217" i="139"/>
  <c r="D251" i="139" s="1"/>
  <c r="D218" i="140"/>
  <c r="D252" i="140" s="1"/>
  <c r="D221" i="140"/>
  <c r="D255" i="140" s="1"/>
  <c r="D42" i="287"/>
  <c r="I42" i="287" s="1"/>
  <c r="J28" i="217"/>
  <c r="J58" i="217" s="1"/>
  <c r="D221" i="162"/>
  <c r="D255" i="162" s="1"/>
  <c r="L77" i="196"/>
  <c r="L79" i="196" s="1"/>
  <c r="L81" i="196" s="1"/>
  <c r="D235" i="149"/>
  <c r="D269" i="149" s="1"/>
  <c r="D233" i="144"/>
  <c r="D267" i="144" s="1"/>
  <c r="D234" i="144"/>
  <c r="D268" i="144" s="1"/>
  <c r="D231" i="142"/>
  <c r="D265" i="142" s="1"/>
  <c r="D218" i="138"/>
  <c r="D252" i="138" s="1"/>
  <c r="D233" i="138"/>
  <c r="D267" i="138" s="1"/>
  <c r="L70" i="188"/>
  <c r="D165" i="150"/>
  <c r="D199" i="150"/>
  <c r="D131" i="150"/>
  <c r="L77" i="188"/>
  <c r="L79" i="188" s="1"/>
  <c r="L81" i="188" s="1"/>
  <c r="L94" i="188" s="1"/>
  <c r="D219" i="148"/>
  <c r="D253" i="148" s="1"/>
  <c r="E63" i="127"/>
  <c r="E64" i="127" s="1"/>
  <c r="E23" i="287"/>
  <c r="J23" i="287" s="1"/>
  <c r="E34" i="127"/>
  <c r="D233" i="147"/>
  <c r="D267" i="147" s="1"/>
  <c r="D238" i="147"/>
  <c r="D272" i="147" s="1"/>
  <c r="J54" i="88"/>
  <c r="J15" i="147" s="1"/>
  <c r="I29" i="127"/>
  <c r="I21" i="127"/>
  <c r="J46" i="88"/>
  <c r="J15" i="139" s="1"/>
  <c r="K77" i="204"/>
  <c r="K79" i="204" s="1"/>
  <c r="K81" i="204" s="1"/>
  <c r="D217" i="146"/>
  <c r="D251" i="146" s="1"/>
  <c r="D232" i="146"/>
  <c r="D266" i="146" s="1"/>
  <c r="D219" i="151"/>
  <c r="D253" i="151" s="1"/>
  <c r="D231" i="135"/>
  <c r="D265" i="135" s="1"/>
  <c r="D217" i="135"/>
  <c r="D251" i="135" s="1"/>
  <c r="K77" i="189"/>
  <c r="K79" i="189" s="1"/>
  <c r="K81" i="189" s="1"/>
  <c r="K94" i="189" s="1"/>
  <c r="K77" i="186"/>
  <c r="K79" i="186" s="1"/>
  <c r="K81" i="186" s="1"/>
  <c r="K94" i="186" s="1"/>
  <c r="D203" i="137"/>
  <c r="D135" i="137"/>
  <c r="D169" i="137"/>
  <c r="D117" i="86"/>
  <c r="D181" i="86"/>
  <c r="D147" i="86"/>
  <c r="D185" i="86"/>
  <c r="D235" i="86"/>
  <c r="D269" i="86" s="1"/>
  <c r="D234" i="86"/>
  <c r="D268" i="86" s="1"/>
  <c r="D179" i="86"/>
  <c r="D111" i="86"/>
  <c r="D145" i="86"/>
  <c r="D183" i="86"/>
  <c r="D115" i="86"/>
  <c r="D149" i="86"/>
  <c r="D78" i="86"/>
  <c r="I524" i="217"/>
  <c r="I584" i="217" s="1"/>
  <c r="H564" i="217"/>
  <c r="D236" i="86"/>
  <c r="D270" i="86" s="1"/>
  <c r="C89" i="102"/>
  <c r="C67" i="102"/>
  <c r="C35" i="102"/>
  <c r="C33" i="95"/>
  <c r="C58" i="95" s="1"/>
  <c r="D231" i="86"/>
  <c r="D265" i="86" s="1"/>
  <c r="D232" i="86"/>
  <c r="D266" i="86" s="1"/>
  <c r="D216" i="86"/>
  <c r="D250" i="86" s="1"/>
  <c r="D69" i="86"/>
  <c r="D70" i="86" s="1"/>
  <c r="C367" i="86"/>
  <c r="D154" i="86"/>
  <c r="D188" i="86"/>
  <c r="D120" i="86"/>
  <c r="I587" i="217"/>
  <c r="D93" i="86"/>
  <c r="D94" i="86"/>
  <c r="D218" i="86"/>
  <c r="D252" i="86" s="1"/>
  <c r="C351" i="86"/>
  <c r="D53" i="86"/>
  <c r="C368" i="86"/>
  <c r="C370" i="86" s="1"/>
  <c r="D187" i="86"/>
  <c r="D119" i="86"/>
  <c r="D153" i="86"/>
  <c r="D186" i="86"/>
  <c r="D118" i="86"/>
  <c r="D152" i="86"/>
  <c r="D238" i="86"/>
  <c r="D272" i="86" s="1"/>
  <c r="D222" i="135" l="1"/>
  <c r="D256" i="135" s="1"/>
  <c r="D222" i="136"/>
  <c r="D256" i="136" s="1"/>
  <c r="C367" i="149"/>
  <c r="D70" i="146"/>
  <c r="D220" i="136"/>
  <c r="D254" i="136" s="1"/>
  <c r="I585" i="217"/>
  <c r="D233" i="150"/>
  <c r="D267" i="150" s="1"/>
  <c r="C367" i="162"/>
  <c r="D70" i="134"/>
  <c r="D70" i="137"/>
  <c r="D234" i="147"/>
  <c r="D268" i="147" s="1"/>
  <c r="D70" i="139"/>
  <c r="D218" i="141"/>
  <c r="D252" i="141" s="1"/>
  <c r="I62" i="127"/>
  <c r="D220" i="138"/>
  <c r="D254" i="138" s="1"/>
  <c r="D231" i="144"/>
  <c r="D265" i="144" s="1"/>
  <c r="D215" i="162"/>
  <c r="D249" i="162" s="1"/>
  <c r="D221" i="149"/>
  <c r="D255" i="149" s="1"/>
  <c r="D238" i="137"/>
  <c r="D272" i="137" s="1"/>
  <c r="C367" i="135"/>
  <c r="D234" i="151"/>
  <c r="D268" i="151" s="1"/>
  <c r="D215" i="86"/>
  <c r="D249" i="86" s="1"/>
  <c r="D70" i="143"/>
  <c r="D70" i="145"/>
  <c r="D220" i="135"/>
  <c r="D254" i="135" s="1"/>
  <c r="D219" i="141"/>
  <c r="D253" i="141" s="1"/>
  <c r="D233" i="146"/>
  <c r="D267" i="146" s="1"/>
  <c r="D237" i="162"/>
  <c r="D271" i="162" s="1"/>
  <c r="D231" i="162"/>
  <c r="D265" i="162" s="1"/>
  <c r="D218" i="139"/>
  <c r="D252" i="139" s="1"/>
  <c r="C367" i="147"/>
  <c r="D235" i="143"/>
  <c r="D269" i="143" s="1"/>
  <c r="C367" i="141"/>
  <c r="D70" i="148"/>
  <c r="D218" i="143"/>
  <c r="D252" i="143" s="1"/>
  <c r="D219" i="145"/>
  <c r="D253" i="145" s="1"/>
  <c r="D215" i="141"/>
  <c r="D249" i="141" s="1"/>
  <c r="D70" i="162"/>
  <c r="D235" i="144"/>
  <c r="D269" i="144" s="1"/>
  <c r="D217" i="134"/>
  <c r="D251" i="134" s="1"/>
  <c r="D233" i="143"/>
  <c r="D267" i="143" s="1"/>
  <c r="D222" i="149"/>
  <c r="D256" i="149" s="1"/>
  <c r="D221" i="142"/>
  <c r="D255" i="142" s="1"/>
  <c r="D222" i="144"/>
  <c r="D256" i="144" s="1"/>
  <c r="D235" i="146"/>
  <c r="D269" i="146" s="1"/>
  <c r="D216" i="145"/>
  <c r="D250" i="145" s="1"/>
  <c r="D216" i="141"/>
  <c r="D250" i="141" s="1"/>
  <c r="D70" i="151"/>
  <c r="D235" i="147"/>
  <c r="D269" i="147" s="1"/>
  <c r="D234" i="136"/>
  <c r="D268" i="136" s="1"/>
  <c r="D235" i="162"/>
  <c r="D269" i="162" s="1"/>
  <c r="D70" i="135"/>
  <c r="C367" i="144"/>
  <c r="D216" i="149"/>
  <c r="D250" i="149" s="1"/>
  <c r="D238" i="134"/>
  <c r="D272" i="134" s="1"/>
  <c r="Y57" i="113"/>
  <c r="X15" i="92"/>
  <c r="W54" i="104"/>
  <c r="W63" i="104"/>
  <c r="K94" i="194"/>
  <c r="L94" i="186"/>
  <c r="K94" i="199"/>
  <c r="X49" i="104"/>
  <c r="X51" i="104" s="1"/>
  <c r="X53" i="104" s="1"/>
  <c r="D77" i="151"/>
  <c r="D78" i="151"/>
  <c r="D77" i="137"/>
  <c r="D78" i="137"/>
  <c r="D234" i="148"/>
  <c r="D268" i="148" s="1"/>
  <c r="K36" i="148"/>
  <c r="K369" i="148" s="1"/>
  <c r="K31" i="88"/>
  <c r="K36" i="145"/>
  <c r="K369" i="145" s="1"/>
  <c r="K28" i="88"/>
  <c r="K36" i="143"/>
  <c r="K369" i="143" s="1"/>
  <c r="K26" i="88"/>
  <c r="K32" i="88"/>
  <c r="K36" i="149"/>
  <c r="K369" i="149" s="1"/>
  <c r="K19" i="88"/>
  <c r="K36" i="136"/>
  <c r="K369" i="136" s="1"/>
  <c r="D77" i="146"/>
  <c r="D78" i="146"/>
  <c r="J16" i="127"/>
  <c r="K41" i="88"/>
  <c r="K15" i="134" s="1"/>
  <c r="G67" i="88"/>
  <c r="G15" i="86"/>
  <c r="D222" i="146"/>
  <c r="D256" i="146" s="1"/>
  <c r="D93" i="144"/>
  <c r="D94" i="144"/>
  <c r="D93" i="150"/>
  <c r="D94" i="150"/>
  <c r="K51" i="88"/>
  <c r="K15" i="144" s="1"/>
  <c r="J26" i="127"/>
  <c r="J78" i="287" s="1"/>
  <c r="J33" i="127"/>
  <c r="K58" i="88"/>
  <c r="K15" i="151" s="1"/>
  <c r="C368" i="143"/>
  <c r="C370" i="143" s="1"/>
  <c r="D53" i="143"/>
  <c r="D290" i="143" s="1"/>
  <c r="D77" i="162"/>
  <c r="D78" i="162"/>
  <c r="I14" i="127"/>
  <c r="O26" i="217" s="1"/>
  <c r="O54" i="217" s="1"/>
  <c r="I36" i="140"/>
  <c r="J39" i="88"/>
  <c r="J15" i="140" s="1"/>
  <c r="C368" i="145"/>
  <c r="C370" i="145" s="1"/>
  <c r="D53" i="145"/>
  <c r="D290" i="145" s="1"/>
  <c r="H16" i="88"/>
  <c r="H36" i="86"/>
  <c r="H369" i="86" s="1"/>
  <c r="H639" i="92"/>
  <c r="H640" i="92" s="1"/>
  <c r="J20" i="127"/>
  <c r="K45" i="88"/>
  <c r="K15" i="138" s="1"/>
  <c r="D146" i="140"/>
  <c r="D112" i="140"/>
  <c r="D214" i="140" s="1"/>
  <c r="D248" i="140" s="1"/>
  <c r="D180" i="140"/>
  <c r="D233" i="162"/>
  <c r="D267" i="162" s="1"/>
  <c r="O266" i="152"/>
  <c r="Z46" i="113"/>
  <c r="Z56" i="113" s="1"/>
  <c r="Z41" i="113"/>
  <c r="Z38" i="113"/>
  <c r="D235" i="150"/>
  <c r="D269" i="150" s="1"/>
  <c r="D222" i="134"/>
  <c r="D256" i="134" s="1"/>
  <c r="L68" i="185"/>
  <c r="D218" i="135"/>
  <c r="D252" i="135" s="1"/>
  <c r="D218" i="147"/>
  <c r="D252" i="147" s="1"/>
  <c r="D220" i="148"/>
  <c r="D254" i="148" s="1"/>
  <c r="K44" i="88"/>
  <c r="K15" i="137" s="1"/>
  <c r="J19" i="127"/>
  <c r="D215" i="142"/>
  <c r="D249" i="142" s="1"/>
  <c r="D93" i="143"/>
  <c r="D94" i="143"/>
  <c r="D235" i="137"/>
  <c r="D269" i="137" s="1"/>
  <c r="D234" i="146"/>
  <c r="D268" i="146" s="1"/>
  <c r="O261" i="152"/>
  <c r="Z37" i="104"/>
  <c r="AQ213" i="95"/>
  <c r="R75" i="104"/>
  <c r="R76" i="104" s="1"/>
  <c r="W204" i="95" s="1"/>
  <c r="C367" i="142"/>
  <c r="D77" i="144"/>
  <c r="D78" i="144"/>
  <c r="K36" i="138"/>
  <c r="K369" i="138" s="1"/>
  <c r="K21" i="88"/>
  <c r="K36" i="142"/>
  <c r="K369" i="142" s="1"/>
  <c r="K24" i="88"/>
  <c r="K30" i="88"/>
  <c r="K36" i="147"/>
  <c r="K369" i="147" s="1"/>
  <c r="K36" i="135"/>
  <c r="K369" i="135" s="1"/>
  <c r="K18" i="88"/>
  <c r="K520" i="92"/>
  <c r="K506" i="92"/>
  <c r="K507" i="92" s="1"/>
  <c r="C367" i="146"/>
  <c r="D234" i="137"/>
  <c r="D268" i="137" s="1"/>
  <c r="D233" i="142"/>
  <c r="D267" i="142" s="1"/>
  <c r="D238" i="142"/>
  <c r="D272" i="142" s="1"/>
  <c r="D232" i="139"/>
  <c r="D266" i="139" s="1"/>
  <c r="D53" i="135"/>
  <c r="D290" i="135" s="1"/>
  <c r="C368" i="135"/>
  <c r="C370" i="135" s="1"/>
  <c r="D232" i="135"/>
  <c r="D266" i="135" s="1"/>
  <c r="D236" i="151"/>
  <c r="D270" i="151" s="1"/>
  <c r="C368" i="146"/>
  <c r="C370" i="146" s="1"/>
  <c r="D53" i="146"/>
  <c r="D290" i="146" s="1"/>
  <c r="J539" i="92"/>
  <c r="J540" i="92" s="1"/>
  <c r="J570" i="92"/>
  <c r="K47" i="88"/>
  <c r="K15" i="141" s="1"/>
  <c r="J22" i="127"/>
  <c r="D236" i="139"/>
  <c r="D270" i="139" s="1"/>
  <c r="D217" i="141"/>
  <c r="D251" i="141" s="1"/>
  <c r="D235" i="136"/>
  <c r="D269" i="136" s="1"/>
  <c r="D235" i="138"/>
  <c r="D269" i="138" s="1"/>
  <c r="D53" i="142"/>
  <c r="D290" i="142" s="1"/>
  <c r="C368" i="142"/>
  <c r="C370" i="142" s="1"/>
  <c r="D93" i="135"/>
  <c r="D94" i="135"/>
  <c r="D77" i="136"/>
  <c r="D78" i="136"/>
  <c r="D219" i="162"/>
  <c r="D253" i="162" s="1"/>
  <c r="D216" i="139"/>
  <c r="D250" i="139" s="1"/>
  <c r="C367" i="145"/>
  <c r="D216" i="135"/>
  <c r="D250" i="135" s="1"/>
  <c r="D217" i="148"/>
  <c r="D251" i="148" s="1"/>
  <c r="D237" i="138"/>
  <c r="D271" i="138" s="1"/>
  <c r="C368" i="149"/>
  <c r="C370" i="149" s="1"/>
  <c r="D53" i="149"/>
  <c r="D290" i="149" s="1"/>
  <c r="C368" i="139"/>
  <c r="C370" i="139" s="1"/>
  <c r="D53" i="139"/>
  <c r="D290" i="139" s="1"/>
  <c r="D70" i="150"/>
  <c r="J23" i="127"/>
  <c r="K48" i="88"/>
  <c r="K15" i="142" s="1"/>
  <c r="D93" i="136"/>
  <c r="D94" i="136"/>
  <c r="D237" i="144"/>
  <c r="D271" i="144" s="1"/>
  <c r="D234" i="134"/>
  <c r="D268" i="134" s="1"/>
  <c r="D77" i="143"/>
  <c r="D54" i="143"/>
  <c r="D78" i="143"/>
  <c r="C368" i="162"/>
  <c r="C370" i="162" s="1"/>
  <c r="D53" i="162"/>
  <c r="D290" i="162" s="1"/>
  <c r="D215" i="139"/>
  <c r="D249" i="139" s="1"/>
  <c r="D231" i="147"/>
  <c r="D265" i="147" s="1"/>
  <c r="D219" i="150"/>
  <c r="D253" i="150" s="1"/>
  <c r="D219" i="136"/>
  <c r="D253" i="136" s="1"/>
  <c r="D53" i="138"/>
  <c r="D290" i="138" s="1"/>
  <c r="C368" i="138"/>
  <c r="C370" i="138" s="1"/>
  <c r="D93" i="137"/>
  <c r="D94" i="137"/>
  <c r="D217" i="162"/>
  <c r="D251" i="162" s="1"/>
  <c r="D233" i="141"/>
  <c r="D267" i="141" s="1"/>
  <c r="D219" i="135"/>
  <c r="D253" i="135" s="1"/>
  <c r="D238" i="135"/>
  <c r="D272" i="135" s="1"/>
  <c r="D220" i="147"/>
  <c r="D254" i="147" s="1"/>
  <c r="D232" i="148"/>
  <c r="D266" i="148" s="1"/>
  <c r="C367" i="138"/>
  <c r="D220" i="142"/>
  <c r="D254" i="142" s="1"/>
  <c r="D217" i="144"/>
  <c r="D251" i="144" s="1"/>
  <c r="D93" i="139"/>
  <c r="D94" i="139"/>
  <c r="D70" i="141"/>
  <c r="D93" i="151"/>
  <c r="D94" i="151"/>
  <c r="C367" i="148"/>
  <c r="D145" i="140"/>
  <c r="D179" i="140"/>
  <c r="D189" i="140" s="1"/>
  <c r="D111" i="140"/>
  <c r="D87" i="140"/>
  <c r="D88" i="140" s="1"/>
  <c r="D219" i="134"/>
  <c r="D253" i="134" s="1"/>
  <c r="V64" i="104"/>
  <c r="J15" i="88"/>
  <c r="E42" i="287"/>
  <c r="J42" i="287" s="1"/>
  <c r="K28" i="217"/>
  <c r="K58" i="217" s="1"/>
  <c r="K68" i="185"/>
  <c r="K70" i="185" s="1"/>
  <c r="K94" i="185" s="1"/>
  <c r="D77" i="141"/>
  <c r="D78" i="141"/>
  <c r="D215" i="147"/>
  <c r="D249" i="147" s="1"/>
  <c r="D196" i="140"/>
  <c r="D128" i="140"/>
  <c r="D162" i="140"/>
  <c r="D221" i="150"/>
  <c r="D255" i="150" s="1"/>
  <c r="K52" i="88"/>
  <c r="K15" i="145" s="1"/>
  <c r="J27" i="127"/>
  <c r="D221" i="136"/>
  <c r="D255" i="136" s="1"/>
  <c r="D93" i="142"/>
  <c r="D94" i="142"/>
  <c r="D53" i="144"/>
  <c r="D290" i="144" s="1"/>
  <c r="C368" i="144"/>
  <c r="C370" i="144" s="1"/>
  <c r="K36" i="139"/>
  <c r="K369" i="139" s="1"/>
  <c r="K22" i="88"/>
  <c r="K36" i="150"/>
  <c r="K369" i="150" s="1"/>
  <c r="K33" i="88"/>
  <c r="K20" i="88"/>
  <c r="K36" i="137"/>
  <c r="K369" i="137" s="1"/>
  <c r="K36" i="146"/>
  <c r="K369" i="146" s="1"/>
  <c r="K29" i="88"/>
  <c r="D235" i="139"/>
  <c r="D269" i="139" s="1"/>
  <c r="D221" i="135"/>
  <c r="D255" i="135" s="1"/>
  <c r="D77" i="135"/>
  <c r="D54" i="135"/>
  <c r="D78" i="135"/>
  <c r="D93" i="147"/>
  <c r="D94" i="147"/>
  <c r="D53" i="147"/>
  <c r="D290" i="147" s="1"/>
  <c r="C368" i="147"/>
  <c r="C370" i="147" s="1"/>
  <c r="J21" i="127"/>
  <c r="K46" i="88"/>
  <c r="K15" i="139" s="1"/>
  <c r="D237" i="135"/>
  <c r="D271" i="135" s="1"/>
  <c r="D216" i="136"/>
  <c r="D250" i="136" s="1"/>
  <c r="D77" i="142"/>
  <c r="D78" i="142"/>
  <c r="D238" i="138"/>
  <c r="D272" i="138" s="1"/>
  <c r="C368" i="136"/>
  <c r="C370" i="136" s="1"/>
  <c r="D53" i="136"/>
  <c r="D290" i="136" s="1"/>
  <c r="D238" i="148"/>
  <c r="D272" i="148" s="1"/>
  <c r="D218" i="150"/>
  <c r="D252" i="150" s="1"/>
  <c r="D77" i="134"/>
  <c r="D78" i="134"/>
  <c r="D77" i="149"/>
  <c r="D54" i="149"/>
  <c r="D78" i="149"/>
  <c r="D77" i="139"/>
  <c r="D78" i="139"/>
  <c r="K56" i="88"/>
  <c r="K15" i="149" s="1"/>
  <c r="J31" i="127"/>
  <c r="C367" i="134"/>
  <c r="D232" i="145"/>
  <c r="D266" i="145" s="1"/>
  <c r="D77" i="148"/>
  <c r="D78" i="148"/>
  <c r="C351" i="145"/>
  <c r="D77" i="138"/>
  <c r="D54" i="138"/>
  <c r="D78" i="138"/>
  <c r="D222" i="141"/>
  <c r="D256" i="141" s="1"/>
  <c r="D77" i="150"/>
  <c r="D78" i="150"/>
  <c r="D237" i="136"/>
  <c r="D271" i="136" s="1"/>
  <c r="D222" i="142"/>
  <c r="D256" i="142" s="1"/>
  <c r="D93" i="149"/>
  <c r="D94" i="149"/>
  <c r="K49" i="88"/>
  <c r="K15" i="162" s="1"/>
  <c r="J24" i="127"/>
  <c r="J18" i="127"/>
  <c r="K43" i="88"/>
  <c r="K15" i="136" s="1"/>
  <c r="D234" i="138"/>
  <c r="D268" i="138" s="1"/>
  <c r="D231" i="143"/>
  <c r="D265" i="143" s="1"/>
  <c r="L487" i="92"/>
  <c r="L500" i="92"/>
  <c r="L533" i="92" s="1"/>
  <c r="L583" i="92" s="1"/>
  <c r="L633" i="92" s="1"/>
  <c r="L499" i="92"/>
  <c r="L532" i="92" s="1"/>
  <c r="L582" i="92" s="1"/>
  <c r="L632" i="92" s="1"/>
  <c r="L495" i="92"/>
  <c r="L528" i="92" s="1"/>
  <c r="L578" i="92" s="1"/>
  <c r="L628" i="92" s="1"/>
  <c r="L492" i="92"/>
  <c r="L525" i="92" s="1"/>
  <c r="L575" i="92" s="1"/>
  <c r="L625" i="92" s="1"/>
  <c r="L489" i="92"/>
  <c r="L522" i="92" s="1"/>
  <c r="L572" i="92" s="1"/>
  <c r="L622" i="92" s="1"/>
  <c r="L502" i="92"/>
  <c r="L535" i="92" s="1"/>
  <c r="L585" i="92" s="1"/>
  <c r="L635" i="92" s="1"/>
  <c r="L501" i="92"/>
  <c r="L534" i="92" s="1"/>
  <c r="L584" i="92" s="1"/>
  <c r="L634" i="92" s="1"/>
  <c r="L491" i="92"/>
  <c r="L524" i="92" s="1"/>
  <c r="L574" i="92" s="1"/>
  <c r="L624" i="92" s="1"/>
  <c r="L497" i="92"/>
  <c r="L530" i="92" s="1"/>
  <c r="L580" i="92" s="1"/>
  <c r="L630" i="92" s="1"/>
  <c r="L498" i="92"/>
  <c r="L531" i="92" s="1"/>
  <c r="L581" i="92" s="1"/>
  <c r="L631" i="92" s="1"/>
  <c r="L504" i="92"/>
  <c r="L537" i="92" s="1"/>
  <c r="L587" i="92" s="1"/>
  <c r="L637" i="92" s="1"/>
  <c r="L490" i="92"/>
  <c r="L523" i="92" s="1"/>
  <c r="L573" i="92" s="1"/>
  <c r="L623" i="92" s="1"/>
  <c r="L496" i="92"/>
  <c r="L529" i="92" s="1"/>
  <c r="L579" i="92" s="1"/>
  <c r="L629" i="92" s="1"/>
  <c r="L493" i="92"/>
  <c r="L526" i="92" s="1"/>
  <c r="L576" i="92" s="1"/>
  <c r="L626" i="92" s="1"/>
  <c r="L505" i="92"/>
  <c r="L538" i="92" s="1"/>
  <c r="L588" i="92" s="1"/>
  <c r="L638" i="92" s="1"/>
  <c r="L488" i="92"/>
  <c r="L521" i="92" s="1"/>
  <c r="L571" i="92" s="1"/>
  <c r="L621" i="92" s="1"/>
  <c r="L503" i="92"/>
  <c r="L536" i="92" s="1"/>
  <c r="L586" i="92" s="1"/>
  <c r="L636" i="92" s="1"/>
  <c r="L494" i="92"/>
  <c r="L527" i="92" s="1"/>
  <c r="L577" i="92" s="1"/>
  <c r="L627" i="92" s="1"/>
  <c r="D221" i="137"/>
  <c r="D255" i="137" s="1"/>
  <c r="D220" i="145"/>
  <c r="D254" i="145" s="1"/>
  <c r="D93" i="141"/>
  <c r="D94" i="141"/>
  <c r="D218" i="151"/>
  <c r="D252" i="151" s="1"/>
  <c r="D219" i="147"/>
  <c r="D253" i="147" s="1"/>
  <c r="D93" i="148"/>
  <c r="D94" i="148"/>
  <c r="D219" i="86"/>
  <c r="D253" i="86" s="1"/>
  <c r="D237" i="137"/>
  <c r="D271" i="137" s="1"/>
  <c r="D217" i="137"/>
  <c r="D251" i="137" s="1"/>
  <c r="C368" i="141"/>
  <c r="C370" i="141" s="1"/>
  <c r="D53" i="141"/>
  <c r="D290" i="141" s="1"/>
  <c r="D238" i="151"/>
  <c r="D272" i="151" s="1"/>
  <c r="D53" i="151"/>
  <c r="D290" i="151" s="1"/>
  <c r="C368" i="151"/>
  <c r="C370" i="151" s="1"/>
  <c r="D161" i="140"/>
  <c r="D171" i="140" s="1"/>
  <c r="D172" i="140" s="1"/>
  <c r="D127" i="140"/>
  <c r="D137" i="140" s="1"/>
  <c r="D138" i="140" s="1"/>
  <c r="D195" i="140"/>
  <c r="D103" i="140"/>
  <c r="D104" i="140" s="1"/>
  <c r="D217" i="142"/>
  <c r="D251" i="142" s="1"/>
  <c r="D218" i="144"/>
  <c r="D252" i="144" s="1"/>
  <c r="D234" i="149"/>
  <c r="D268" i="149" s="1"/>
  <c r="I620" i="92"/>
  <c r="I589" i="92"/>
  <c r="I590" i="92" s="1"/>
  <c r="K53" i="88"/>
  <c r="K15" i="146" s="1"/>
  <c r="J28" i="127"/>
  <c r="J76" i="287" s="1"/>
  <c r="J30" i="127"/>
  <c r="K55" i="88"/>
  <c r="K15" i="148" s="1"/>
  <c r="D236" i="134"/>
  <c r="D270" i="134" s="1"/>
  <c r="C367" i="143"/>
  <c r="D219" i="143"/>
  <c r="D253" i="143" s="1"/>
  <c r="D53" i="137"/>
  <c r="D290" i="137" s="1"/>
  <c r="C368" i="137"/>
  <c r="C370" i="137" s="1"/>
  <c r="D222" i="150"/>
  <c r="D256" i="150" s="1"/>
  <c r="N260" i="152"/>
  <c r="Y41" i="104"/>
  <c r="Y38" i="104"/>
  <c r="Y46" i="104"/>
  <c r="D221" i="138"/>
  <c r="D255" i="138" s="1"/>
  <c r="D70" i="142"/>
  <c r="K36" i="162"/>
  <c r="K369" i="162" s="1"/>
  <c r="K25" i="88"/>
  <c r="K36" i="151"/>
  <c r="K369" i="151" s="1"/>
  <c r="K34" i="88"/>
  <c r="K36" i="134"/>
  <c r="K369" i="134" s="1"/>
  <c r="K17" i="88"/>
  <c r="K36" i="144"/>
  <c r="K369" i="144" s="1"/>
  <c r="K27" i="88"/>
  <c r="K23" i="88"/>
  <c r="K36" i="141"/>
  <c r="K369" i="141" s="1"/>
  <c r="D93" i="146"/>
  <c r="D94" i="146"/>
  <c r="D222" i="148"/>
  <c r="D256" i="148" s="1"/>
  <c r="G15" i="127"/>
  <c r="H40" i="88"/>
  <c r="D232" i="134"/>
  <c r="D266" i="134" s="1"/>
  <c r="D234" i="143"/>
  <c r="D268" i="143" s="1"/>
  <c r="D233" i="151"/>
  <c r="D267" i="151" s="1"/>
  <c r="D220" i="151"/>
  <c r="D254" i="151" s="1"/>
  <c r="D70" i="147"/>
  <c r="D77" i="147"/>
  <c r="D54" i="147"/>
  <c r="D78" i="147"/>
  <c r="K50" i="88"/>
  <c r="K15" i="143" s="1"/>
  <c r="J25" i="127"/>
  <c r="J77" i="287" s="1"/>
  <c r="H369" i="140"/>
  <c r="D93" i="162"/>
  <c r="D94" i="162"/>
  <c r="D217" i="151"/>
  <c r="D251" i="151" s="1"/>
  <c r="D218" i="146"/>
  <c r="D252" i="146" s="1"/>
  <c r="D221" i="148"/>
  <c r="D255" i="148" s="1"/>
  <c r="D231" i="150"/>
  <c r="D265" i="150" s="1"/>
  <c r="D216" i="138"/>
  <c r="D250" i="138" s="1"/>
  <c r="D54" i="140"/>
  <c r="D290" i="140"/>
  <c r="F23" i="287"/>
  <c r="K23" i="287" s="1"/>
  <c r="F63" i="127"/>
  <c r="F34" i="127"/>
  <c r="D215" i="137"/>
  <c r="D249" i="137" s="1"/>
  <c r="D93" i="145"/>
  <c r="D94" i="145"/>
  <c r="D231" i="141"/>
  <c r="D265" i="141" s="1"/>
  <c r="D235" i="135"/>
  <c r="D269" i="135" s="1"/>
  <c r="D232" i="147"/>
  <c r="D266" i="147" s="1"/>
  <c r="D70" i="144"/>
  <c r="D53" i="134"/>
  <c r="D290" i="134" s="1"/>
  <c r="C368" i="134"/>
  <c r="C370" i="134" s="1"/>
  <c r="L70" i="185"/>
  <c r="L94" i="185" s="1"/>
  <c r="D221" i="143"/>
  <c r="D255" i="143" s="1"/>
  <c r="C367" i="150"/>
  <c r="J29" i="127"/>
  <c r="K54" i="88"/>
  <c r="K15" i="147" s="1"/>
  <c r="C367" i="136"/>
  <c r="D232" i="142"/>
  <c r="D266" i="142" s="1"/>
  <c r="D93" i="134"/>
  <c r="D94" i="134"/>
  <c r="D236" i="149"/>
  <c r="D270" i="149" s="1"/>
  <c r="C351" i="143"/>
  <c r="D220" i="139"/>
  <c r="D254" i="139" s="1"/>
  <c r="D235" i="141"/>
  <c r="D269" i="141" s="1"/>
  <c r="C368" i="148"/>
  <c r="C370" i="148" s="1"/>
  <c r="D53" i="148"/>
  <c r="D290" i="148" s="1"/>
  <c r="D219" i="138"/>
  <c r="D253" i="138" s="1"/>
  <c r="D77" i="145"/>
  <c r="D78" i="145"/>
  <c r="C367" i="137"/>
  <c r="D233" i="139"/>
  <c r="D267" i="139" s="1"/>
  <c r="D236" i="145"/>
  <c r="D270" i="145" s="1"/>
  <c r="D222" i="151"/>
  <c r="D256" i="151" s="1"/>
  <c r="D53" i="150"/>
  <c r="D290" i="150" s="1"/>
  <c r="C368" i="150"/>
  <c r="C370" i="150" s="1"/>
  <c r="D222" i="138"/>
  <c r="D256" i="138" s="1"/>
  <c r="D237" i="134"/>
  <c r="D271" i="134" s="1"/>
  <c r="D70" i="149"/>
  <c r="D233" i="137"/>
  <c r="D267" i="137" s="1"/>
  <c r="D238" i="146"/>
  <c r="D272" i="146" s="1"/>
  <c r="J17" i="127"/>
  <c r="K42" i="88"/>
  <c r="K15" i="135" s="1"/>
  <c r="J32" i="127"/>
  <c r="K57" i="88"/>
  <c r="K15" i="150" s="1"/>
  <c r="D93" i="138"/>
  <c r="D94" i="138"/>
  <c r="C367" i="139"/>
  <c r="D237" i="141"/>
  <c r="D271" i="141" s="1"/>
  <c r="C367" i="151"/>
  <c r="D236" i="147"/>
  <c r="D270" i="147" s="1"/>
  <c r="D234" i="142"/>
  <c r="D268" i="142" s="1"/>
  <c r="D238" i="149"/>
  <c r="D272" i="149" s="1"/>
  <c r="D217" i="149"/>
  <c r="D251" i="149" s="1"/>
  <c r="D220" i="86"/>
  <c r="D254" i="86" s="1"/>
  <c r="D222" i="86"/>
  <c r="D256" i="86" s="1"/>
  <c r="D161" i="86"/>
  <c r="D195" i="86"/>
  <c r="D127" i="86"/>
  <c r="D103" i="86"/>
  <c r="D104" i="86" s="1"/>
  <c r="D54" i="86"/>
  <c r="D290" i="86"/>
  <c r="I330" i="217"/>
  <c r="C108" i="102"/>
  <c r="C68" i="102"/>
  <c r="C38" i="102"/>
  <c r="C52" i="95"/>
  <c r="I583" i="217"/>
  <c r="I530" i="217"/>
  <c r="I586" i="217"/>
  <c r="D146" i="86"/>
  <c r="D155" i="86" s="1"/>
  <c r="D180" i="86"/>
  <c r="D189" i="86" s="1"/>
  <c r="D112" i="86"/>
  <c r="D121" i="86" s="1"/>
  <c r="D217" i="86"/>
  <c r="D251" i="86" s="1"/>
  <c r="D87" i="86"/>
  <c r="D88" i="86" s="1"/>
  <c r="D221" i="86"/>
  <c r="D255" i="86" s="1"/>
  <c r="D162" i="86"/>
  <c r="D196" i="86"/>
  <c r="D128" i="86"/>
  <c r="D213" i="86"/>
  <c r="D54" i="139" l="1"/>
  <c r="F64" i="127"/>
  <c r="D54" i="142"/>
  <c r="D54" i="162"/>
  <c r="D54" i="144"/>
  <c r="X63" i="104"/>
  <c r="X54" i="104"/>
  <c r="D162" i="138"/>
  <c r="D196" i="138"/>
  <c r="D128" i="138"/>
  <c r="D179" i="145"/>
  <c r="D111" i="145"/>
  <c r="D87" i="145"/>
  <c r="D88" i="145" s="1"/>
  <c r="D145" i="145"/>
  <c r="D196" i="134"/>
  <c r="D162" i="134"/>
  <c r="D128" i="134"/>
  <c r="D161" i="145"/>
  <c r="D195" i="145"/>
  <c r="D127" i="145"/>
  <c r="D205" i="140"/>
  <c r="D206" i="140" s="1"/>
  <c r="D229" i="140"/>
  <c r="L36" i="151"/>
  <c r="L369" i="151" s="1"/>
  <c r="L34" i="88"/>
  <c r="L36" i="147"/>
  <c r="L369" i="147" s="1"/>
  <c r="L30" i="88"/>
  <c r="D145" i="150"/>
  <c r="D179" i="150"/>
  <c r="D111" i="150"/>
  <c r="D54" i="148"/>
  <c r="J14" i="127"/>
  <c r="P26" i="217" s="1"/>
  <c r="P54" i="217" s="1"/>
  <c r="J36" i="140"/>
  <c r="K39" i="88"/>
  <c r="K15" i="140" s="1"/>
  <c r="D213" i="140"/>
  <c r="D121" i="140"/>
  <c r="D103" i="138"/>
  <c r="D104" i="138" s="1"/>
  <c r="D161" i="138"/>
  <c r="D127" i="138"/>
  <c r="D137" i="138" s="1"/>
  <c r="D138" i="138" s="1"/>
  <c r="D195" i="138"/>
  <c r="D103" i="134"/>
  <c r="D104" i="134" s="1"/>
  <c r="D161" i="134"/>
  <c r="D195" i="134"/>
  <c r="D127" i="134"/>
  <c r="D128" i="162"/>
  <c r="D162" i="162"/>
  <c r="D196" i="162"/>
  <c r="D111" i="147"/>
  <c r="D145" i="147"/>
  <c r="D179" i="147"/>
  <c r="K22" i="127"/>
  <c r="L47" i="88"/>
  <c r="L15" i="141" s="1"/>
  <c r="D103" i="148"/>
  <c r="D104" i="148" s="1"/>
  <c r="D196" i="148"/>
  <c r="D128" i="148"/>
  <c r="D162" i="148"/>
  <c r="D103" i="141"/>
  <c r="D104" i="141" s="1"/>
  <c r="D196" i="141"/>
  <c r="D128" i="141"/>
  <c r="D162" i="141"/>
  <c r="L23" i="88"/>
  <c r="L36" i="141"/>
  <c r="L369" i="141" s="1"/>
  <c r="L36" i="139"/>
  <c r="L369" i="139" s="1"/>
  <c r="L22" i="88"/>
  <c r="L36" i="144"/>
  <c r="L369" i="144" s="1"/>
  <c r="L27" i="88"/>
  <c r="L31" i="88"/>
  <c r="L36" i="148"/>
  <c r="L369" i="148" s="1"/>
  <c r="L36" i="145"/>
  <c r="L369" i="145" s="1"/>
  <c r="L28" i="88"/>
  <c r="D111" i="138"/>
  <c r="D87" i="138"/>
  <c r="D88" i="138" s="1"/>
  <c r="D179" i="138"/>
  <c r="D145" i="138"/>
  <c r="D145" i="148"/>
  <c r="D179" i="148"/>
  <c r="D111" i="148"/>
  <c r="D87" i="149"/>
  <c r="D88" i="149" s="1"/>
  <c r="D180" i="149"/>
  <c r="D112" i="149"/>
  <c r="D146" i="149"/>
  <c r="D54" i="134"/>
  <c r="D162" i="147"/>
  <c r="D196" i="147"/>
  <c r="D128" i="147"/>
  <c r="D145" i="135"/>
  <c r="D179" i="135"/>
  <c r="D111" i="135"/>
  <c r="D87" i="135"/>
  <c r="D88" i="135" s="1"/>
  <c r="D87" i="141"/>
  <c r="D88" i="141" s="1"/>
  <c r="D112" i="141"/>
  <c r="D146" i="141"/>
  <c r="D180" i="141"/>
  <c r="D281" i="140"/>
  <c r="D14" i="133" s="1"/>
  <c r="J211" i="217" s="1"/>
  <c r="D190" i="140"/>
  <c r="D103" i="151"/>
  <c r="D104" i="151" s="1"/>
  <c r="D162" i="151"/>
  <c r="D196" i="151"/>
  <c r="D128" i="151"/>
  <c r="D127" i="139"/>
  <c r="D103" i="139"/>
  <c r="D104" i="139" s="1"/>
  <c r="D161" i="139"/>
  <c r="D195" i="139"/>
  <c r="D180" i="143"/>
  <c r="D112" i="143"/>
  <c r="D146" i="143"/>
  <c r="D162" i="135"/>
  <c r="D196" i="135"/>
  <c r="D128" i="135"/>
  <c r="K20" i="127"/>
  <c r="L45" i="88"/>
  <c r="L15" i="138" s="1"/>
  <c r="D179" i="144"/>
  <c r="D111" i="144"/>
  <c r="D87" i="144"/>
  <c r="D88" i="144" s="1"/>
  <c r="D145" i="144"/>
  <c r="O260" i="152"/>
  <c r="Z38" i="104"/>
  <c r="Z41" i="104"/>
  <c r="Z46" i="104" s="1"/>
  <c r="D103" i="143"/>
  <c r="D104" i="143" s="1"/>
  <c r="D162" i="143"/>
  <c r="D196" i="143"/>
  <c r="D128" i="143"/>
  <c r="D180" i="162"/>
  <c r="D112" i="162"/>
  <c r="D146" i="162"/>
  <c r="D161" i="144"/>
  <c r="D195" i="144"/>
  <c r="D127" i="144"/>
  <c r="D103" i="144"/>
  <c r="D104" i="144" s="1"/>
  <c r="D54" i="146"/>
  <c r="L52" i="88"/>
  <c r="L15" i="145" s="1"/>
  <c r="K27" i="127"/>
  <c r="D180" i="151"/>
  <c r="D112" i="151"/>
  <c r="D146" i="151"/>
  <c r="K15" i="88"/>
  <c r="W64" i="104"/>
  <c r="D195" i="162"/>
  <c r="D127" i="162"/>
  <c r="D161" i="162"/>
  <c r="D103" i="162"/>
  <c r="D104" i="162" s="1"/>
  <c r="L36" i="149"/>
  <c r="L369" i="149" s="1"/>
  <c r="L32" i="88"/>
  <c r="L36" i="143"/>
  <c r="L369" i="143" s="1"/>
  <c r="L26" i="88"/>
  <c r="L36" i="146"/>
  <c r="L369" i="146" s="1"/>
  <c r="L29" i="88"/>
  <c r="D87" i="150"/>
  <c r="D88" i="150" s="1"/>
  <c r="D146" i="150"/>
  <c r="D180" i="150"/>
  <c r="D112" i="150"/>
  <c r="D87" i="134"/>
  <c r="D88" i="134" s="1"/>
  <c r="D145" i="134"/>
  <c r="D179" i="134"/>
  <c r="D111" i="134"/>
  <c r="D111" i="142"/>
  <c r="D87" i="142"/>
  <c r="D88" i="142" s="1"/>
  <c r="D145" i="142"/>
  <c r="D179" i="142"/>
  <c r="D161" i="147"/>
  <c r="D195" i="147"/>
  <c r="D127" i="147"/>
  <c r="D103" i="147"/>
  <c r="D104" i="147" s="1"/>
  <c r="D103" i="142"/>
  <c r="D104" i="142" s="1"/>
  <c r="D196" i="142"/>
  <c r="D128" i="142"/>
  <c r="D162" i="142"/>
  <c r="D230" i="140"/>
  <c r="D264" i="140" s="1"/>
  <c r="D54" i="141"/>
  <c r="D161" i="151"/>
  <c r="D195" i="151"/>
  <c r="D127" i="151"/>
  <c r="D196" i="136"/>
  <c r="D128" i="136"/>
  <c r="D162" i="136"/>
  <c r="D180" i="136"/>
  <c r="D146" i="136"/>
  <c r="D112" i="136"/>
  <c r="D195" i="135"/>
  <c r="D127" i="135"/>
  <c r="D103" i="135"/>
  <c r="D104" i="135" s="1"/>
  <c r="D161" i="135"/>
  <c r="K539" i="92"/>
  <c r="K540" i="92" s="1"/>
  <c r="K570" i="92"/>
  <c r="L54" i="88"/>
  <c r="L15" i="147" s="1"/>
  <c r="K29" i="127"/>
  <c r="D195" i="143"/>
  <c r="D127" i="143"/>
  <c r="D161" i="143"/>
  <c r="D103" i="150"/>
  <c r="D104" i="150" s="1"/>
  <c r="D162" i="150"/>
  <c r="D128" i="150"/>
  <c r="D196" i="150"/>
  <c r="D111" i="146"/>
  <c r="D145" i="146"/>
  <c r="D179" i="146"/>
  <c r="K31" i="127"/>
  <c r="L56" i="88"/>
  <c r="L15" i="149" s="1"/>
  <c r="D146" i="137"/>
  <c r="D180" i="137"/>
  <c r="D112" i="137"/>
  <c r="D54" i="151"/>
  <c r="D146" i="145"/>
  <c r="D112" i="145"/>
  <c r="D180" i="145"/>
  <c r="D128" i="146"/>
  <c r="D162" i="146"/>
  <c r="D196" i="146"/>
  <c r="K26" i="127"/>
  <c r="K78" i="287" s="1"/>
  <c r="L51" i="88"/>
  <c r="L15" i="144" s="1"/>
  <c r="L58" i="88"/>
  <c r="L15" i="151" s="1"/>
  <c r="K33" i="127"/>
  <c r="D195" i="148"/>
  <c r="D127" i="148"/>
  <c r="D161" i="148"/>
  <c r="D161" i="141"/>
  <c r="D195" i="141"/>
  <c r="D127" i="141"/>
  <c r="L36" i="162"/>
  <c r="L369" i="162" s="1"/>
  <c r="L25" i="88"/>
  <c r="L36" i="135"/>
  <c r="L369" i="135" s="1"/>
  <c r="L18" i="88"/>
  <c r="D196" i="149"/>
  <c r="D128" i="149"/>
  <c r="D162" i="149"/>
  <c r="D146" i="139"/>
  <c r="D180" i="139"/>
  <c r="D112" i="139"/>
  <c r="L46" i="88"/>
  <c r="L15" i="139" s="1"/>
  <c r="K21" i="127"/>
  <c r="D54" i="145"/>
  <c r="D103" i="145"/>
  <c r="D104" i="145" s="1"/>
  <c r="D128" i="145"/>
  <c r="D137" i="145" s="1"/>
  <c r="D138" i="145" s="1"/>
  <c r="D162" i="145"/>
  <c r="D171" i="145" s="1"/>
  <c r="D172" i="145" s="1"/>
  <c r="D196" i="145"/>
  <c r="F42" i="287"/>
  <c r="K42" i="287" s="1"/>
  <c r="L28" i="217"/>
  <c r="L58" i="217" s="1"/>
  <c r="D87" i="147"/>
  <c r="D88" i="147" s="1"/>
  <c r="D180" i="147"/>
  <c r="D112" i="147"/>
  <c r="D146" i="147"/>
  <c r="H15" i="86"/>
  <c r="H67" i="88"/>
  <c r="D195" i="146"/>
  <c r="D127" i="146"/>
  <c r="D161" i="146"/>
  <c r="D103" i="146"/>
  <c r="D104" i="146" s="1"/>
  <c r="I639" i="92"/>
  <c r="I640" i="92" s="1"/>
  <c r="I36" i="86"/>
  <c r="I369" i="86" s="1"/>
  <c r="I16" i="88"/>
  <c r="L36" i="134"/>
  <c r="L369" i="134" s="1"/>
  <c r="L17" i="88"/>
  <c r="L19" i="88"/>
  <c r="L36" i="136"/>
  <c r="L369" i="136" s="1"/>
  <c r="L36" i="137"/>
  <c r="L369" i="137" s="1"/>
  <c r="L20" i="88"/>
  <c r="L36" i="138"/>
  <c r="L369" i="138" s="1"/>
  <c r="L21" i="88"/>
  <c r="L506" i="92"/>
  <c r="L507" i="92" s="1"/>
  <c r="L520" i="92"/>
  <c r="D127" i="149"/>
  <c r="D137" i="149" s="1"/>
  <c r="D138" i="149" s="1"/>
  <c r="D161" i="149"/>
  <c r="D195" i="149"/>
  <c r="D103" i="149"/>
  <c r="D104" i="149" s="1"/>
  <c r="D54" i="150"/>
  <c r="D180" i="138"/>
  <c r="D112" i="138"/>
  <c r="D146" i="138"/>
  <c r="D87" i="148"/>
  <c r="D88" i="148" s="1"/>
  <c r="D180" i="148"/>
  <c r="D189" i="148" s="1"/>
  <c r="D112" i="148"/>
  <c r="D146" i="148"/>
  <c r="D155" i="148" s="1"/>
  <c r="D145" i="149"/>
  <c r="D179" i="149"/>
  <c r="D111" i="149"/>
  <c r="D146" i="135"/>
  <c r="D180" i="135"/>
  <c r="D112" i="135"/>
  <c r="K19" i="127"/>
  <c r="L44" i="88"/>
  <c r="L15" i="137" s="1"/>
  <c r="D161" i="142"/>
  <c r="D195" i="142"/>
  <c r="D127" i="142"/>
  <c r="D179" i="141"/>
  <c r="D111" i="141"/>
  <c r="D145" i="141"/>
  <c r="D155" i="140"/>
  <c r="D128" i="137"/>
  <c r="D162" i="137"/>
  <c r="D196" i="137"/>
  <c r="D145" i="143"/>
  <c r="D179" i="143"/>
  <c r="D111" i="143"/>
  <c r="D87" i="143"/>
  <c r="D88" i="143" s="1"/>
  <c r="D127" i="136"/>
  <c r="D103" i="136"/>
  <c r="D104" i="136" s="1"/>
  <c r="D161" i="136"/>
  <c r="D195" i="136"/>
  <c r="D54" i="136"/>
  <c r="K17" i="127"/>
  <c r="L42" i="88"/>
  <c r="L15" i="135" s="1"/>
  <c r="L48" i="88"/>
  <c r="L15" i="142" s="1"/>
  <c r="K23" i="127"/>
  <c r="D146" i="144"/>
  <c r="D180" i="144"/>
  <c r="D112" i="144"/>
  <c r="H15" i="127"/>
  <c r="I40" i="88"/>
  <c r="I369" i="140"/>
  <c r="D87" i="162"/>
  <c r="D88" i="162" s="1"/>
  <c r="D145" i="162"/>
  <c r="D179" i="162"/>
  <c r="D111" i="162"/>
  <c r="D161" i="150"/>
  <c r="D171" i="150" s="1"/>
  <c r="D172" i="150" s="1"/>
  <c r="D195" i="150"/>
  <c r="D127" i="150"/>
  <c r="J62" i="127"/>
  <c r="K25" i="127"/>
  <c r="K77" i="287" s="1"/>
  <c r="L50" i="88"/>
  <c r="L15" i="143" s="1"/>
  <c r="K30" i="127"/>
  <c r="L55" i="88"/>
  <c r="L15" i="148" s="1"/>
  <c r="D54" i="137"/>
  <c r="D111" i="151"/>
  <c r="D87" i="151"/>
  <c r="D88" i="151" s="1"/>
  <c r="D145" i="151"/>
  <c r="D155" i="151" s="1"/>
  <c r="D179" i="151"/>
  <c r="M487" i="92"/>
  <c r="M498" i="92"/>
  <c r="M531" i="92" s="1"/>
  <c r="M581" i="92" s="1"/>
  <c r="M631" i="92" s="1"/>
  <c r="M499" i="92"/>
  <c r="M532" i="92" s="1"/>
  <c r="M582" i="92" s="1"/>
  <c r="M632" i="92" s="1"/>
  <c r="M494" i="92"/>
  <c r="M527" i="92" s="1"/>
  <c r="M577" i="92" s="1"/>
  <c r="M627" i="92" s="1"/>
  <c r="M492" i="92"/>
  <c r="M525" i="92" s="1"/>
  <c r="M575" i="92" s="1"/>
  <c r="M625" i="92" s="1"/>
  <c r="M502" i="92"/>
  <c r="M535" i="92" s="1"/>
  <c r="M585" i="92" s="1"/>
  <c r="M635" i="92" s="1"/>
  <c r="M500" i="92"/>
  <c r="M533" i="92" s="1"/>
  <c r="M583" i="92" s="1"/>
  <c r="M633" i="92" s="1"/>
  <c r="M495" i="92"/>
  <c r="M528" i="92" s="1"/>
  <c r="M578" i="92" s="1"/>
  <c r="M628" i="92" s="1"/>
  <c r="M503" i="92"/>
  <c r="M536" i="92" s="1"/>
  <c r="M586" i="92" s="1"/>
  <c r="M636" i="92" s="1"/>
  <c r="M504" i="92"/>
  <c r="M537" i="92" s="1"/>
  <c r="M587" i="92" s="1"/>
  <c r="M637" i="92" s="1"/>
  <c r="M496" i="92"/>
  <c r="M529" i="92" s="1"/>
  <c r="M579" i="92" s="1"/>
  <c r="M629" i="92" s="1"/>
  <c r="M489" i="92"/>
  <c r="M522" i="92" s="1"/>
  <c r="M572" i="92" s="1"/>
  <c r="M622" i="92" s="1"/>
  <c r="M505" i="92"/>
  <c r="M538" i="92" s="1"/>
  <c r="M588" i="92" s="1"/>
  <c r="M638" i="92" s="1"/>
  <c r="M497" i="92"/>
  <c r="M530" i="92" s="1"/>
  <c r="M580" i="92" s="1"/>
  <c r="M630" i="92" s="1"/>
  <c r="M493" i="92"/>
  <c r="M526" i="92" s="1"/>
  <c r="M576" i="92" s="1"/>
  <c r="M626" i="92" s="1"/>
  <c r="M491" i="92"/>
  <c r="M524" i="92" s="1"/>
  <c r="M574" i="92" s="1"/>
  <c r="M624" i="92" s="1"/>
  <c r="M490" i="92"/>
  <c r="M523" i="92" s="1"/>
  <c r="M573" i="92" s="1"/>
  <c r="M623" i="92" s="1"/>
  <c r="M501" i="92"/>
  <c r="M534" i="92" s="1"/>
  <c r="M584" i="92" s="1"/>
  <c r="M634" i="92" s="1"/>
  <c r="M488" i="92"/>
  <c r="M521" i="92" s="1"/>
  <c r="M571" i="92" s="1"/>
  <c r="M621" i="92" s="1"/>
  <c r="G63" i="127"/>
  <c r="G34" i="127"/>
  <c r="G23" i="287"/>
  <c r="L23" i="287" s="1"/>
  <c r="L41" i="88"/>
  <c r="L15" i="134" s="1"/>
  <c r="K16" i="127"/>
  <c r="K24" i="127"/>
  <c r="L49" i="88"/>
  <c r="L15" i="162" s="1"/>
  <c r="Y51" i="104"/>
  <c r="Y53" i="104" s="1"/>
  <c r="Y49" i="104"/>
  <c r="L33" i="88"/>
  <c r="L36" i="150"/>
  <c r="L369" i="150" s="1"/>
  <c r="L24" i="88"/>
  <c r="L36" i="142"/>
  <c r="L369" i="142" s="1"/>
  <c r="D111" i="139"/>
  <c r="D87" i="139"/>
  <c r="D88" i="139" s="1"/>
  <c r="D145" i="139"/>
  <c r="D179" i="139"/>
  <c r="D189" i="139" s="1"/>
  <c r="D180" i="134"/>
  <c r="D112" i="134"/>
  <c r="D146" i="134"/>
  <c r="D180" i="142"/>
  <c r="D112" i="142"/>
  <c r="D146" i="142"/>
  <c r="K28" i="127"/>
  <c r="K76" i="287" s="1"/>
  <c r="L53" i="88"/>
  <c r="L15" i="146" s="1"/>
  <c r="L57" i="88"/>
  <c r="L15" i="150" s="1"/>
  <c r="K32" i="127"/>
  <c r="D196" i="139"/>
  <c r="D128" i="139"/>
  <c r="D162" i="139"/>
  <c r="D161" i="137"/>
  <c r="D195" i="137"/>
  <c r="D127" i="137"/>
  <c r="D137" i="137" s="1"/>
  <c r="D138" i="137" s="1"/>
  <c r="D103" i="137"/>
  <c r="D104" i="137" s="1"/>
  <c r="D145" i="136"/>
  <c r="D87" i="136"/>
  <c r="D88" i="136" s="1"/>
  <c r="D179" i="136"/>
  <c r="D111" i="136"/>
  <c r="J620" i="92"/>
  <c r="J589" i="92"/>
  <c r="J590" i="92" s="1"/>
  <c r="Y15" i="92"/>
  <c r="Z57" i="113"/>
  <c r="D162" i="144"/>
  <c r="D196" i="144"/>
  <c r="D128" i="144"/>
  <c r="D87" i="146"/>
  <c r="D88" i="146" s="1"/>
  <c r="D180" i="146"/>
  <c r="D189" i="146" s="1"/>
  <c r="D112" i="146"/>
  <c r="D146" i="146"/>
  <c r="D155" i="146" s="1"/>
  <c r="L43" i="88"/>
  <c r="L15" i="136" s="1"/>
  <c r="K18" i="127"/>
  <c r="D111" i="137"/>
  <c r="D87" i="137"/>
  <c r="D88" i="137" s="1"/>
  <c r="D145" i="137"/>
  <c r="D179" i="137"/>
  <c r="D189" i="137" s="1"/>
  <c r="D230" i="86"/>
  <c r="D264" i="86" s="1"/>
  <c r="D137" i="86"/>
  <c r="D138" i="86" s="1"/>
  <c r="D190" i="86"/>
  <c r="D247" i="86"/>
  <c r="D156" i="86"/>
  <c r="I588" i="217"/>
  <c r="D229" i="86"/>
  <c r="D205" i="86"/>
  <c r="D206" i="86" s="1"/>
  <c r="AB35" i="95"/>
  <c r="C77" i="95"/>
  <c r="I622" i="217"/>
  <c r="I626" i="217" s="1"/>
  <c r="I359" i="217"/>
  <c r="D282" i="86"/>
  <c r="D15" i="132" s="1"/>
  <c r="D122" i="86"/>
  <c r="D214" i="86"/>
  <c r="D248" i="86" s="1"/>
  <c r="D171" i="86"/>
  <c r="D172" i="86" s="1"/>
  <c r="D189" i="150" l="1"/>
  <c r="D214" i="151"/>
  <c r="D248" i="151" s="1"/>
  <c r="D230" i="151"/>
  <c r="D264" i="151" s="1"/>
  <c r="D171" i="134"/>
  <c r="D172" i="134" s="1"/>
  <c r="D171" i="138"/>
  <c r="D172" i="138" s="1"/>
  <c r="D214" i="145"/>
  <c r="D248" i="145" s="1"/>
  <c r="D230" i="138"/>
  <c r="D264" i="138" s="1"/>
  <c r="D171" i="144"/>
  <c r="D172" i="144" s="1"/>
  <c r="D214" i="134"/>
  <c r="D248" i="134" s="1"/>
  <c r="D214" i="143"/>
  <c r="D248" i="143" s="1"/>
  <c r="D137" i="134"/>
  <c r="D138" i="134" s="1"/>
  <c r="D229" i="150"/>
  <c r="D263" i="150" s="1"/>
  <c r="D137" i="136"/>
  <c r="D138" i="136" s="1"/>
  <c r="D155" i="143"/>
  <c r="D214" i="148"/>
  <c r="D248" i="148" s="1"/>
  <c r="D214" i="138"/>
  <c r="D248" i="138" s="1"/>
  <c r="D189" i="147"/>
  <c r="D229" i="144"/>
  <c r="D214" i="147"/>
  <c r="D248" i="147" s="1"/>
  <c r="D230" i="146"/>
  <c r="D264" i="146" s="1"/>
  <c r="D155" i="141"/>
  <c r="D214" i="150"/>
  <c r="D248" i="150" s="1"/>
  <c r="D137" i="148"/>
  <c r="D138" i="148" s="1"/>
  <c r="D137" i="146"/>
  <c r="D138" i="146" s="1"/>
  <c r="D137" i="147"/>
  <c r="D138" i="147" s="1"/>
  <c r="D137" i="162"/>
  <c r="D138" i="162" s="1"/>
  <c r="Z51" i="104"/>
  <c r="Z53" i="104" s="1"/>
  <c r="Z49" i="104"/>
  <c r="D190" i="137"/>
  <c r="M28" i="217"/>
  <c r="M58" i="217" s="1"/>
  <c r="G42" i="287"/>
  <c r="L42" i="287" s="1"/>
  <c r="M36" i="149"/>
  <c r="M369" i="149" s="1"/>
  <c r="M32" i="88"/>
  <c r="M520" i="92"/>
  <c r="M506" i="92"/>
  <c r="M507" i="92" s="1"/>
  <c r="D171" i="149"/>
  <c r="D172" i="149" s="1"/>
  <c r="D205" i="150"/>
  <c r="D206" i="150" s="1"/>
  <c r="D230" i="150"/>
  <c r="D264" i="150" s="1"/>
  <c r="D229" i="135"/>
  <c r="D205" i="135"/>
  <c r="D206" i="135" s="1"/>
  <c r="D155" i="142"/>
  <c r="D223" i="140"/>
  <c r="D247" i="140"/>
  <c r="D257" i="140" s="1"/>
  <c r="D258" i="140" s="1"/>
  <c r="D155" i="137"/>
  <c r="D156" i="137" s="1"/>
  <c r="D155" i="136"/>
  <c r="D156" i="136" s="1"/>
  <c r="D229" i="137"/>
  <c r="D205" i="137"/>
  <c r="D206" i="137" s="1"/>
  <c r="D230" i="139"/>
  <c r="D264" i="139" s="1"/>
  <c r="D190" i="139"/>
  <c r="K62" i="127"/>
  <c r="G64" i="127"/>
  <c r="M20" i="88"/>
  <c r="M36" i="137"/>
  <c r="M369" i="137" s="1"/>
  <c r="M36" i="135"/>
  <c r="M369" i="135" s="1"/>
  <c r="M18" i="88"/>
  <c r="M36" i="142"/>
  <c r="M369" i="142" s="1"/>
  <c r="M24" i="88"/>
  <c r="M36" i="141"/>
  <c r="M369" i="141" s="1"/>
  <c r="M23" i="88"/>
  <c r="D213" i="151"/>
  <c r="D121" i="151"/>
  <c r="D122" i="151" s="1"/>
  <c r="D121" i="162"/>
  <c r="D282" i="162" s="1"/>
  <c r="D24" i="132" s="1"/>
  <c r="D213" i="162"/>
  <c r="D214" i="144"/>
  <c r="D248" i="144" s="1"/>
  <c r="D189" i="143"/>
  <c r="D190" i="143" s="1"/>
  <c r="D156" i="141"/>
  <c r="M43" i="88"/>
  <c r="M15" i="136" s="1"/>
  <c r="L18" i="127"/>
  <c r="J40" i="88"/>
  <c r="I15" i="127"/>
  <c r="D214" i="139"/>
  <c r="D248" i="139" s="1"/>
  <c r="M49" i="88"/>
  <c r="M15" i="162" s="1"/>
  <c r="L24" i="127"/>
  <c r="D229" i="141"/>
  <c r="D205" i="141"/>
  <c r="D206" i="141" s="1"/>
  <c r="D171" i="146"/>
  <c r="D172" i="146" s="1"/>
  <c r="D190" i="146"/>
  <c r="D137" i="150"/>
  <c r="D138" i="150" s="1"/>
  <c r="D171" i="135"/>
  <c r="D172" i="135" s="1"/>
  <c r="D214" i="136"/>
  <c r="D248" i="136" s="1"/>
  <c r="D229" i="151"/>
  <c r="D205" i="151"/>
  <c r="D206" i="151" s="1"/>
  <c r="D171" i="142"/>
  <c r="D172" i="142" s="1"/>
  <c r="D189" i="134"/>
  <c r="D190" i="134" s="1"/>
  <c r="D281" i="150"/>
  <c r="D32" i="133" s="1"/>
  <c r="D137" i="144"/>
  <c r="D138" i="144" s="1"/>
  <c r="D214" i="162"/>
  <c r="D248" i="162" s="1"/>
  <c r="D171" i="143"/>
  <c r="D172" i="143" s="1"/>
  <c r="D205" i="139"/>
  <c r="D206" i="139" s="1"/>
  <c r="D229" i="139"/>
  <c r="D137" i="151"/>
  <c r="D138" i="151" s="1"/>
  <c r="D121" i="141"/>
  <c r="D214" i="141"/>
  <c r="D248" i="141" s="1"/>
  <c r="D213" i="135"/>
  <c r="D121" i="135"/>
  <c r="D122" i="135" s="1"/>
  <c r="D230" i="147"/>
  <c r="D264" i="147" s="1"/>
  <c r="D214" i="149"/>
  <c r="D248" i="149" s="1"/>
  <c r="D213" i="148"/>
  <c r="D121" i="148"/>
  <c r="D155" i="138"/>
  <c r="D280" i="138" s="1"/>
  <c r="D20" i="131" s="1"/>
  <c r="L27" i="127"/>
  <c r="M52" i="88"/>
  <c r="M15" i="145" s="1"/>
  <c r="L26" i="127"/>
  <c r="L78" i="287" s="1"/>
  <c r="M51" i="88"/>
  <c r="M15" i="144" s="1"/>
  <c r="D230" i="141"/>
  <c r="D264" i="141" s="1"/>
  <c r="D230" i="148"/>
  <c r="D264" i="148" s="1"/>
  <c r="D213" i="147"/>
  <c r="D121" i="147"/>
  <c r="D282" i="147" s="1"/>
  <c r="D29" i="132" s="1"/>
  <c r="L29" i="127"/>
  <c r="M54" i="88"/>
  <c r="M15" i="147" s="1"/>
  <c r="D239" i="140"/>
  <c r="D240" i="140" s="1"/>
  <c r="D263" i="140"/>
  <c r="D273" i="140" s="1"/>
  <c r="D274" i="140" s="1"/>
  <c r="D205" i="145"/>
  <c r="D206" i="145" s="1"/>
  <c r="D229" i="145"/>
  <c r="D230" i="134"/>
  <c r="D264" i="134" s="1"/>
  <c r="D213" i="145"/>
  <c r="D121" i="145"/>
  <c r="D282" i="145" s="1"/>
  <c r="D27" i="132" s="1"/>
  <c r="J36" i="86"/>
  <c r="J369" i="86" s="1"/>
  <c r="J16" i="88"/>
  <c r="J639" i="92"/>
  <c r="J640" i="92" s="1"/>
  <c r="D121" i="139"/>
  <c r="D122" i="139" s="1"/>
  <c r="D213" i="139"/>
  <c r="M34" i="88"/>
  <c r="M36" i="151"/>
  <c r="M369" i="151" s="1"/>
  <c r="H63" i="127"/>
  <c r="H34" i="127"/>
  <c r="N28" i="217" s="1"/>
  <c r="N58" i="217" s="1"/>
  <c r="D213" i="143"/>
  <c r="D121" i="143"/>
  <c r="D122" i="143" s="1"/>
  <c r="L20" i="127"/>
  <c r="M45" i="88"/>
  <c r="M15" i="138" s="1"/>
  <c r="D229" i="146"/>
  <c r="D205" i="146"/>
  <c r="D206" i="146" s="1"/>
  <c r="D229" i="147"/>
  <c r="D205" i="147"/>
  <c r="D206" i="147" s="1"/>
  <c r="D121" i="134"/>
  <c r="D282" i="134" s="1"/>
  <c r="D16" i="132" s="1"/>
  <c r="D213" i="134"/>
  <c r="L28" i="127"/>
  <c r="L76" i="287" s="1"/>
  <c r="M53" i="88"/>
  <c r="M15" i="146" s="1"/>
  <c r="D155" i="144"/>
  <c r="D280" i="146"/>
  <c r="D28" i="131" s="1"/>
  <c r="N487" i="92"/>
  <c r="N496" i="92"/>
  <c r="N529" i="92" s="1"/>
  <c r="N579" i="92" s="1"/>
  <c r="N629" i="92" s="1"/>
  <c r="N499" i="92"/>
  <c r="N532" i="92" s="1"/>
  <c r="N582" i="92" s="1"/>
  <c r="N632" i="92" s="1"/>
  <c r="N502" i="92"/>
  <c r="N535" i="92" s="1"/>
  <c r="N585" i="92" s="1"/>
  <c r="N635" i="92" s="1"/>
  <c r="N493" i="92"/>
  <c r="N526" i="92" s="1"/>
  <c r="N576" i="92" s="1"/>
  <c r="N626" i="92" s="1"/>
  <c r="N503" i="92"/>
  <c r="N536" i="92" s="1"/>
  <c r="N586" i="92" s="1"/>
  <c r="N636" i="92" s="1"/>
  <c r="N497" i="92"/>
  <c r="N530" i="92" s="1"/>
  <c r="N580" i="92" s="1"/>
  <c r="N630" i="92" s="1"/>
  <c r="N498" i="92"/>
  <c r="N531" i="92" s="1"/>
  <c r="N581" i="92" s="1"/>
  <c r="N631" i="92" s="1"/>
  <c r="N505" i="92"/>
  <c r="N538" i="92" s="1"/>
  <c r="N588" i="92" s="1"/>
  <c r="N638" i="92" s="1"/>
  <c r="N494" i="92"/>
  <c r="N527" i="92" s="1"/>
  <c r="N577" i="92" s="1"/>
  <c r="N627" i="92" s="1"/>
  <c r="N488" i="92"/>
  <c r="N521" i="92" s="1"/>
  <c r="N571" i="92" s="1"/>
  <c r="N621" i="92" s="1"/>
  <c r="N495" i="92"/>
  <c r="N528" i="92" s="1"/>
  <c r="N578" i="92" s="1"/>
  <c r="N628" i="92" s="1"/>
  <c r="N504" i="92"/>
  <c r="N537" i="92" s="1"/>
  <c r="N587" i="92" s="1"/>
  <c r="N637" i="92" s="1"/>
  <c r="N492" i="92"/>
  <c r="N525" i="92" s="1"/>
  <c r="N575" i="92" s="1"/>
  <c r="N625" i="92" s="1"/>
  <c r="N490" i="92"/>
  <c r="N523" i="92" s="1"/>
  <c r="N573" i="92" s="1"/>
  <c r="N623" i="92" s="1"/>
  <c r="N489" i="92"/>
  <c r="N522" i="92" s="1"/>
  <c r="N572" i="92" s="1"/>
  <c r="N622" i="92" s="1"/>
  <c r="N491" i="92"/>
  <c r="N524" i="92" s="1"/>
  <c r="N574" i="92" s="1"/>
  <c r="N624" i="92" s="1"/>
  <c r="N500" i="92"/>
  <c r="N533" i="92" s="1"/>
  <c r="N583" i="92" s="1"/>
  <c r="N633" i="92" s="1"/>
  <c r="N501" i="92"/>
  <c r="N534" i="92" s="1"/>
  <c r="N584" i="92" s="1"/>
  <c r="N634" i="92" s="1"/>
  <c r="D213" i="136"/>
  <c r="D121" i="136"/>
  <c r="D282" i="136" s="1"/>
  <c r="D18" i="132" s="1"/>
  <c r="D171" i="137"/>
  <c r="D172" i="137" s="1"/>
  <c r="D155" i="139"/>
  <c r="D156" i="139" s="1"/>
  <c r="M48" i="88"/>
  <c r="M15" i="142" s="1"/>
  <c r="L23" i="127"/>
  <c r="Y63" i="104"/>
  <c r="Y54" i="104"/>
  <c r="M36" i="134"/>
  <c r="M369" i="134" s="1"/>
  <c r="M17" i="88"/>
  <c r="M36" i="139"/>
  <c r="M369" i="139" s="1"/>
  <c r="M22" i="88"/>
  <c r="M36" i="162"/>
  <c r="M369" i="162" s="1"/>
  <c r="M25" i="88"/>
  <c r="M36" i="146"/>
  <c r="M369" i="146" s="1"/>
  <c r="M29" i="88"/>
  <c r="M28" i="88"/>
  <c r="M36" i="145"/>
  <c r="M369" i="145" s="1"/>
  <c r="D189" i="151"/>
  <c r="D190" i="151" s="1"/>
  <c r="D189" i="162"/>
  <c r="D190" i="162" s="1"/>
  <c r="D205" i="136"/>
  <c r="D206" i="136" s="1"/>
  <c r="D229" i="136"/>
  <c r="D156" i="143"/>
  <c r="D280" i="143"/>
  <c r="D25" i="131" s="1"/>
  <c r="D280" i="140"/>
  <c r="D14" i="131" s="1"/>
  <c r="J152" i="217" s="1"/>
  <c r="J181" i="217" s="1"/>
  <c r="D156" i="140"/>
  <c r="D213" i="141"/>
  <c r="D229" i="142"/>
  <c r="D205" i="142"/>
  <c r="D206" i="142" s="1"/>
  <c r="D214" i="135"/>
  <c r="D248" i="135" s="1"/>
  <c r="D213" i="149"/>
  <c r="D121" i="149"/>
  <c r="D282" i="149" s="1"/>
  <c r="D31" i="132" s="1"/>
  <c r="L570" i="92"/>
  <c r="L539" i="92"/>
  <c r="L540" i="92" s="1"/>
  <c r="L19" i="127"/>
  <c r="M44" i="88"/>
  <c r="M15" i="137" s="1"/>
  <c r="L16" i="127"/>
  <c r="M41" i="88"/>
  <c r="M15" i="134" s="1"/>
  <c r="D230" i="145"/>
  <c r="D264" i="145" s="1"/>
  <c r="D230" i="149"/>
  <c r="D264" i="149" s="1"/>
  <c r="D229" i="148"/>
  <c r="D205" i="148"/>
  <c r="D206" i="148" s="1"/>
  <c r="D156" i="146"/>
  <c r="K620" i="92"/>
  <c r="K589" i="92"/>
  <c r="K590" i="92" s="1"/>
  <c r="D230" i="136"/>
  <c r="D264" i="136" s="1"/>
  <c r="D137" i="142"/>
  <c r="D138" i="142" s="1"/>
  <c r="D213" i="142"/>
  <c r="D121" i="142"/>
  <c r="D155" i="134"/>
  <c r="D155" i="150"/>
  <c r="D280" i="150" s="1"/>
  <c r="D32" i="131" s="1"/>
  <c r="M50" i="88"/>
  <c r="M15" i="143" s="1"/>
  <c r="L25" i="127"/>
  <c r="L77" i="287" s="1"/>
  <c r="D229" i="162"/>
  <c r="D205" i="162"/>
  <c r="D206" i="162" s="1"/>
  <c r="D213" i="144"/>
  <c r="D121" i="144"/>
  <c r="D282" i="144" s="1"/>
  <c r="D26" i="132" s="1"/>
  <c r="D171" i="139"/>
  <c r="D172" i="139" s="1"/>
  <c r="J240" i="217"/>
  <c r="D189" i="135"/>
  <c r="D281" i="135" s="1"/>
  <c r="D17" i="133" s="1"/>
  <c r="D171" i="147"/>
  <c r="D172" i="147" s="1"/>
  <c r="D189" i="149"/>
  <c r="D190" i="148"/>
  <c r="D189" i="138"/>
  <c r="D190" i="138" s="1"/>
  <c r="M47" i="88"/>
  <c r="M15" i="141" s="1"/>
  <c r="L22" i="127"/>
  <c r="D230" i="162"/>
  <c r="D264" i="162" s="1"/>
  <c r="J369" i="140"/>
  <c r="D213" i="150"/>
  <c r="D121" i="150"/>
  <c r="D189" i="145"/>
  <c r="D281" i="145" s="1"/>
  <c r="D27" i="133" s="1"/>
  <c r="D281" i="146"/>
  <c r="D28" i="133" s="1"/>
  <c r="L32" i="127"/>
  <c r="M57" i="88"/>
  <c r="M15" i="150" s="1"/>
  <c r="M19" i="88"/>
  <c r="M36" i="136"/>
  <c r="M369" i="136" s="1"/>
  <c r="M36" i="138"/>
  <c r="M369" i="138" s="1"/>
  <c r="M21" i="88"/>
  <c r="D155" i="149"/>
  <c r="D280" i="149" s="1"/>
  <c r="D31" i="131" s="1"/>
  <c r="M56" i="88"/>
  <c r="M15" i="149" s="1"/>
  <c r="L31" i="127"/>
  <c r="K14" i="127"/>
  <c r="Q26" i="217" s="1"/>
  <c r="Q54" i="217" s="1"/>
  <c r="K36" i="140"/>
  <c r="L39" i="88"/>
  <c r="L15" i="140" s="1"/>
  <c r="D205" i="143"/>
  <c r="D206" i="143" s="1"/>
  <c r="D230" i="143"/>
  <c r="D264" i="143" s="1"/>
  <c r="D137" i="139"/>
  <c r="D138" i="139" s="1"/>
  <c r="D213" i="138"/>
  <c r="D121" i="138"/>
  <c r="D282" i="138" s="1"/>
  <c r="D20" i="132" s="1"/>
  <c r="M55" i="88"/>
  <c r="M15" i="148" s="1"/>
  <c r="L30" i="127"/>
  <c r="D137" i="141"/>
  <c r="D138" i="141" s="1"/>
  <c r="D213" i="137"/>
  <c r="D121" i="137"/>
  <c r="D282" i="137" s="1"/>
  <c r="D19" i="132" s="1"/>
  <c r="D121" i="146"/>
  <c r="D282" i="146" s="1"/>
  <c r="D28" i="132" s="1"/>
  <c r="D214" i="146"/>
  <c r="D248" i="146" s="1"/>
  <c r="D205" i="144"/>
  <c r="D206" i="144" s="1"/>
  <c r="D230" i="144"/>
  <c r="D264" i="144" s="1"/>
  <c r="D189" i="136"/>
  <c r="D190" i="136" s="1"/>
  <c r="D214" i="142"/>
  <c r="D248" i="142" s="1"/>
  <c r="M36" i="147"/>
  <c r="M369" i="147" s="1"/>
  <c r="M30" i="88"/>
  <c r="M36" i="143"/>
  <c r="M369" i="143" s="1"/>
  <c r="M26" i="88"/>
  <c r="M36" i="150"/>
  <c r="M369" i="150" s="1"/>
  <c r="M33" i="88"/>
  <c r="M36" i="148"/>
  <c r="M369" i="148" s="1"/>
  <c r="M31" i="88"/>
  <c r="M27" i="88"/>
  <c r="M36" i="144"/>
  <c r="M369" i="144" s="1"/>
  <c r="D156" i="151"/>
  <c r="D155" i="162"/>
  <c r="D156" i="162" s="1"/>
  <c r="I15" i="86"/>
  <c r="I67" i="88"/>
  <c r="D171" i="136"/>
  <c r="D172" i="136" s="1"/>
  <c r="D230" i="137"/>
  <c r="D264" i="137" s="1"/>
  <c r="D190" i="149"/>
  <c r="D281" i="148"/>
  <c r="D30" i="133" s="1"/>
  <c r="D229" i="149"/>
  <c r="D205" i="149"/>
  <c r="D206" i="149" s="1"/>
  <c r="D155" i="147"/>
  <c r="L17" i="127"/>
  <c r="M42" i="88"/>
  <c r="M15" i="135" s="1"/>
  <c r="D214" i="137"/>
  <c r="D248" i="137" s="1"/>
  <c r="D213" i="146"/>
  <c r="D122" i="146"/>
  <c r="D229" i="143"/>
  <c r="D137" i="135"/>
  <c r="D138" i="135" s="1"/>
  <c r="D230" i="142"/>
  <c r="D264" i="142" s="1"/>
  <c r="D189" i="142"/>
  <c r="D190" i="142" s="1"/>
  <c r="D263" i="144"/>
  <c r="D273" i="144" s="1"/>
  <c r="D274" i="144" s="1"/>
  <c r="D137" i="143"/>
  <c r="D138" i="143" s="1"/>
  <c r="D189" i="144"/>
  <c r="D281" i="144" s="1"/>
  <c r="D26" i="133" s="1"/>
  <c r="D230" i="135"/>
  <c r="D264" i="135" s="1"/>
  <c r="D171" i="151"/>
  <c r="D172" i="151" s="1"/>
  <c r="D189" i="141"/>
  <c r="D155" i="135"/>
  <c r="D280" i="135" s="1"/>
  <c r="D17" i="131" s="1"/>
  <c r="D156" i="148"/>
  <c r="L21" i="127"/>
  <c r="M46" i="88"/>
  <c r="M15" i="139" s="1"/>
  <c r="D171" i="141"/>
  <c r="D172" i="141" s="1"/>
  <c r="D171" i="148"/>
  <c r="D172" i="148" s="1"/>
  <c r="D190" i="147"/>
  <c r="D171" i="162"/>
  <c r="D172" i="162" s="1"/>
  <c r="D205" i="134"/>
  <c r="D206" i="134" s="1"/>
  <c r="D229" i="134"/>
  <c r="D205" i="138"/>
  <c r="D206" i="138" s="1"/>
  <c r="D229" i="138"/>
  <c r="D282" i="140"/>
  <c r="D122" i="140"/>
  <c r="D190" i="150"/>
  <c r="L33" i="127"/>
  <c r="M58" i="88"/>
  <c r="M15" i="151" s="1"/>
  <c r="D155" i="145"/>
  <c r="D280" i="145" s="1"/>
  <c r="D27" i="131" s="1"/>
  <c r="L15" i="88"/>
  <c r="X64" i="104"/>
  <c r="D257" i="86"/>
  <c r="D258" i="86" s="1"/>
  <c r="D223" i="86"/>
  <c r="D239" i="86"/>
  <c r="D240" i="86" s="1"/>
  <c r="D263" i="86"/>
  <c r="D273" i="86" s="1"/>
  <c r="D274" i="86" s="1"/>
  <c r="D280" i="86"/>
  <c r="D281" i="86"/>
  <c r="D15" i="133" s="1"/>
  <c r="D273" i="150" l="1"/>
  <c r="D274" i="150" s="1"/>
  <c r="D239" i="150"/>
  <c r="D240" i="150" s="1"/>
  <c r="D280" i="144"/>
  <c r="D26" i="131" s="1"/>
  <c r="D122" i="136"/>
  <c r="D190" i="144"/>
  <c r="D122" i="145"/>
  <c r="D281" i="136"/>
  <c r="D18" i="133" s="1"/>
  <c r="D282" i="148"/>
  <c r="D30" i="132" s="1"/>
  <c r="D280" i="147"/>
  <c r="D29" i="131" s="1"/>
  <c r="D282" i="150"/>
  <c r="D32" i="132" s="1"/>
  <c r="D156" i="149"/>
  <c r="D122" i="144"/>
  <c r="D282" i="141"/>
  <c r="D22" i="132" s="1"/>
  <c r="D280" i="142"/>
  <c r="D23" i="131" s="1"/>
  <c r="D281" i="137"/>
  <c r="D19" i="133" s="1"/>
  <c r="D282" i="142"/>
  <c r="D23" i="132" s="1"/>
  <c r="D122" i="147"/>
  <c r="D122" i="149"/>
  <c r="D156" i="144"/>
  <c r="D122" i="134"/>
  <c r="D156" i="138"/>
  <c r="L14" i="127"/>
  <c r="R26" i="217" s="1"/>
  <c r="R54" i="217" s="1"/>
  <c r="L36" i="140"/>
  <c r="M39" i="88"/>
  <c r="M15" i="140" s="1"/>
  <c r="D239" i="138"/>
  <c r="D240" i="138" s="1"/>
  <c r="D263" i="138"/>
  <c r="D273" i="138" s="1"/>
  <c r="D274" i="138" s="1"/>
  <c r="K369" i="140"/>
  <c r="D223" i="150"/>
  <c r="D279" i="150" s="1"/>
  <c r="D247" i="150"/>
  <c r="D257" i="150" s="1"/>
  <c r="D258" i="150" s="1"/>
  <c r="K639" i="92"/>
  <c r="K640" i="92" s="1"/>
  <c r="K36" i="86"/>
  <c r="K369" i="86" s="1"/>
  <c r="K16" i="88"/>
  <c r="D239" i="136"/>
  <c r="D240" i="136" s="1"/>
  <c r="D263" i="136"/>
  <c r="D273" i="136" s="1"/>
  <c r="D274" i="136" s="1"/>
  <c r="N52" i="88"/>
  <c r="N15" i="145" s="1"/>
  <c r="M27" i="127"/>
  <c r="N36" i="138"/>
  <c r="N369" i="138" s="1"/>
  <c r="N21" i="88"/>
  <c r="N20" i="127" s="1"/>
  <c r="N36" i="162"/>
  <c r="N369" i="162" s="1"/>
  <c r="N25" i="88"/>
  <c r="N24" i="127" s="1"/>
  <c r="D239" i="147"/>
  <c r="D240" i="147" s="1"/>
  <c r="D263" i="147"/>
  <c r="D273" i="147" s="1"/>
  <c r="D274" i="147" s="1"/>
  <c r="J15" i="127"/>
  <c r="K40" i="88"/>
  <c r="D156" i="145"/>
  <c r="D281" i="141"/>
  <c r="D22" i="133" s="1"/>
  <c r="D281" i="142"/>
  <c r="D23" i="133" s="1"/>
  <c r="D280" i="162"/>
  <c r="D24" i="131" s="1"/>
  <c r="N57" i="88"/>
  <c r="N15" i="150" s="1"/>
  <c r="M32" i="127"/>
  <c r="M29" i="127"/>
  <c r="N54" i="88"/>
  <c r="N15" i="147" s="1"/>
  <c r="D156" i="147"/>
  <c r="D122" i="138"/>
  <c r="D281" i="149"/>
  <c r="D31" i="133" s="1"/>
  <c r="D239" i="162"/>
  <c r="D240" i="162" s="1"/>
  <c r="D263" i="162"/>
  <c r="D273" i="162" s="1"/>
  <c r="D274" i="162" s="1"/>
  <c r="D156" i="134"/>
  <c r="D280" i="134"/>
  <c r="D16" i="131" s="1"/>
  <c r="D239" i="142"/>
  <c r="D240" i="142" s="1"/>
  <c r="D263" i="142"/>
  <c r="D273" i="142" s="1"/>
  <c r="D274" i="142" s="1"/>
  <c r="M28" i="127"/>
  <c r="M76" i="287" s="1"/>
  <c r="N53" i="88"/>
  <c r="N15" i="146" s="1"/>
  <c r="N46" i="88"/>
  <c r="N15" i="139" s="1"/>
  <c r="M21" i="127"/>
  <c r="N36" i="137"/>
  <c r="N369" i="137" s="1"/>
  <c r="N20" i="88"/>
  <c r="N19" i="127" s="1"/>
  <c r="N36" i="150"/>
  <c r="N369" i="150" s="1"/>
  <c r="N33" i="88"/>
  <c r="N32" i="127" s="1"/>
  <c r="N34" i="88"/>
  <c r="N33" i="127" s="1"/>
  <c r="N36" i="151"/>
  <c r="N369" i="151" s="1"/>
  <c r="N36" i="139"/>
  <c r="N369" i="139" s="1"/>
  <c r="N22" i="88"/>
  <c r="N21" i="127" s="1"/>
  <c r="N506" i="92"/>
  <c r="N507" i="92" s="1"/>
  <c r="O507" i="92" s="1"/>
  <c r="A507" i="92" s="1"/>
  <c r="N520" i="92"/>
  <c r="D223" i="134"/>
  <c r="D224" i="134" s="1"/>
  <c r="D247" i="134"/>
  <c r="D257" i="134" s="1"/>
  <c r="D258" i="134" s="1"/>
  <c r="H64" i="127"/>
  <c r="D223" i="139"/>
  <c r="D224" i="139" s="1"/>
  <c r="D247" i="139"/>
  <c r="D257" i="139" s="1"/>
  <c r="D258" i="139" s="1"/>
  <c r="D223" i="148"/>
  <c r="D224" i="148" s="1"/>
  <c r="D247" i="148"/>
  <c r="D257" i="148" s="1"/>
  <c r="D258" i="148" s="1"/>
  <c r="D282" i="135"/>
  <c r="D17" i="132" s="1"/>
  <c r="D239" i="151"/>
  <c r="D240" i="151" s="1"/>
  <c r="D263" i="151"/>
  <c r="D273" i="151" s="1"/>
  <c r="D274" i="151" s="1"/>
  <c r="D239" i="141"/>
  <c r="D240" i="141" s="1"/>
  <c r="D263" i="141"/>
  <c r="D273" i="141" s="1"/>
  <c r="D274" i="141" s="1"/>
  <c r="D281" i="147"/>
  <c r="D29" i="133" s="1"/>
  <c r="D281" i="143"/>
  <c r="D25" i="133" s="1"/>
  <c r="M22" i="127"/>
  <c r="N47" i="88"/>
  <c r="N15" i="141" s="1"/>
  <c r="N42" i="88"/>
  <c r="N15" i="135" s="1"/>
  <c r="M17" i="127"/>
  <c r="D280" i="136"/>
  <c r="D18" i="131" s="1"/>
  <c r="D223" i="137"/>
  <c r="D224" i="137" s="1"/>
  <c r="D247" i="137"/>
  <c r="D257" i="137" s="1"/>
  <c r="D258" i="137" s="1"/>
  <c r="N29" i="88"/>
  <c r="N28" i="127" s="1"/>
  <c r="N76" i="287" s="1"/>
  <c r="N36" i="146"/>
  <c r="N369" i="146" s="1"/>
  <c r="N36" i="149"/>
  <c r="N369" i="149" s="1"/>
  <c r="N32" i="88"/>
  <c r="N31" i="127" s="1"/>
  <c r="D223" i="145"/>
  <c r="D224" i="145" s="1"/>
  <c r="D247" i="145"/>
  <c r="D257" i="145" s="1"/>
  <c r="D258" i="145" s="1"/>
  <c r="D223" i="151"/>
  <c r="D224" i="151" s="1"/>
  <c r="D247" i="151"/>
  <c r="D257" i="151" s="1"/>
  <c r="D258" i="151" s="1"/>
  <c r="D156" i="150"/>
  <c r="N56" i="88"/>
  <c r="N15" i="149" s="1"/>
  <c r="M31" i="127"/>
  <c r="D239" i="134"/>
  <c r="D240" i="134" s="1"/>
  <c r="D263" i="134"/>
  <c r="D273" i="134" s="1"/>
  <c r="D274" i="134" s="1"/>
  <c r="D223" i="146"/>
  <c r="D224" i="146" s="1"/>
  <c r="D247" i="146"/>
  <c r="D257" i="146" s="1"/>
  <c r="D258" i="146" s="1"/>
  <c r="N51" i="88"/>
  <c r="N15" i="144" s="1"/>
  <c r="M26" i="127"/>
  <c r="M78" i="287" s="1"/>
  <c r="D122" i="137"/>
  <c r="N43" i="88"/>
  <c r="N15" i="136" s="1"/>
  <c r="M18" i="127"/>
  <c r="D122" i="150"/>
  <c r="D223" i="144"/>
  <c r="D224" i="144" s="1"/>
  <c r="D247" i="144"/>
  <c r="D257" i="144" s="1"/>
  <c r="D258" i="144" s="1"/>
  <c r="D122" i="142"/>
  <c r="D223" i="149"/>
  <c r="D224" i="149" s="1"/>
  <c r="D247" i="149"/>
  <c r="D257" i="149" s="1"/>
  <c r="D258" i="149" s="1"/>
  <c r="D122" i="141"/>
  <c r="D281" i="151"/>
  <c r="D33" i="133" s="1"/>
  <c r="Y64" i="104"/>
  <c r="M15" i="88"/>
  <c r="D280" i="139"/>
  <c r="D21" i="131" s="1"/>
  <c r="D223" i="136"/>
  <c r="D279" i="136" s="1"/>
  <c r="D247" i="136"/>
  <c r="D257" i="136" s="1"/>
  <c r="D258" i="136" s="1"/>
  <c r="N18" i="88"/>
  <c r="N17" i="127" s="1"/>
  <c r="N36" i="135"/>
  <c r="N369" i="135" s="1"/>
  <c r="N36" i="142"/>
  <c r="N369" i="142" s="1"/>
  <c r="N24" i="88"/>
  <c r="N23" i="127" s="1"/>
  <c r="N36" i="144"/>
  <c r="N369" i="144" s="1"/>
  <c r="N27" i="88"/>
  <c r="N26" i="127" s="1"/>
  <c r="N78" i="287" s="1"/>
  <c r="N31" i="88"/>
  <c r="N30" i="127" s="1"/>
  <c r="N36" i="148"/>
  <c r="N369" i="148" s="1"/>
  <c r="D239" i="146"/>
  <c r="D240" i="146" s="1"/>
  <c r="D263" i="146"/>
  <c r="D273" i="146" s="1"/>
  <c r="D274" i="146" s="1"/>
  <c r="D282" i="143"/>
  <c r="D25" i="132" s="1"/>
  <c r="D282" i="139"/>
  <c r="D21" i="132" s="1"/>
  <c r="D239" i="145"/>
  <c r="D240" i="145" s="1"/>
  <c r="D263" i="145"/>
  <c r="D273" i="145" s="1"/>
  <c r="D274" i="145" s="1"/>
  <c r="D223" i="147"/>
  <c r="D279" i="147" s="1"/>
  <c r="D247" i="147"/>
  <c r="D257" i="147" s="1"/>
  <c r="D258" i="147" s="1"/>
  <c r="D223" i="135"/>
  <c r="D224" i="135" s="1"/>
  <c r="D247" i="135"/>
  <c r="D257" i="135" s="1"/>
  <c r="D258" i="135" s="1"/>
  <c r="D281" i="134"/>
  <c r="D16" i="133" s="1"/>
  <c r="I34" i="127"/>
  <c r="O28" i="217" s="1"/>
  <c r="O58" i="217" s="1"/>
  <c r="I63" i="127"/>
  <c r="D280" i="148"/>
  <c r="D30" i="131" s="1"/>
  <c r="D279" i="140"/>
  <c r="D224" i="140"/>
  <c r="D239" i="135"/>
  <c r="D240" i="135" s="1"/>
  <c r="D263" i="135"/>
  <c r="D273" i="135" s="1"/>
  <c r="D274" i="135" s="1"/>
  <c r="D239" i="143"/>
  <c r="D240" i="143" s="1"/>
  <c r="D263" i="143"/>
  <c r="D273" i="143" s="1"/>
  <c r="D274" i="143" s="1"/>
  <c r="D239" i="149"/>
  <c r="D240" i="149" s="1"/>
  <c r="D263" i="149"/>
  <c r="D273" i="149" s="1"/>
  <c r="D274" i="149" s="1"/>
  <c r="D223" i="142"/>
  <c r="D279" i="142" s="1"/>
  <c r="D247" i="142"/>
  <c r="D257" i="142" s="1"/>
  <c r="D258" i="142" s="1"/>
  <c r="N36" i="141"/>
  <c r="N369" i="141" s="1"/>
  <c r="N23" i="88"/>
  <c r="N22" i="127" s="1"/>
  <c r="D223" i="162"/>
  <c r="D279" i="162" s="1"/>
  <c r="D247" i="162"/>
  <c r="D257" i="162" s="1"/>
  <c r="D258" i="162" s="1"/>
  <c r="M19" i="127"/>
  <c r="N44" i="88"/>
  <c r="N15" i="137" s="1"/>
  <c r="D14" i="132"/>
  <c r="D283" i="140"/>
  <c r="D156" i="135"/>
  <c r="D190" i="141"/>
  <c r="D280" i="151"/>
  <c r="D33" i="131" s="1"/>
  <c r="M30" i="127"/>
  <c r="N55" i="88"/>
  <c r="N15" i="148" s="1"/>
  <c r="M25" i="127"/>
  <c r="M77" i="287" s="1"/>
  <c r="N50" i="88"/>
  <c r="N15" i="143" s="1"/>
  <c r="D223" i="138"/>
  <c r="D279" i="138" s="1"/>
  <c r="D247" i="138"/>
  <c r="D257" i="138" s="1"/>
  <c r="D258" i="138" s="1"/>
  <c r="N45" i="88"/>
  <c r="N15" i="138" s="1"/>
  <c r="M20" i="127"/>
  <c r="D190" i="145"/>
  <c r="D281" i="138"/>
  <c r="D20" i="133" s="1"/>
  <c r="D190" i="135"/>
  <c r="D239" i="144"/>
  <c r="D240" i="144" s="1"/>
  <c r="D239" i="148"/>
  <c r="D240" i="148" s="1"/>
  <c r="D263" i="148"/>
  <c r="D273" i="148" s="1"/>
  <c r="D274" i="148" s="1"/>
  <c r="L62" i="127"/>
  <c r="L620" i="92"/>
  <c r="L589" i="92"/>
  <c r="L590" i="92" s="1"/>
  <c r="D223" i="141"/>
  <c r="D224" i="141" s="1"/>
  <c r="D247" i="141"/>
  <c r="D257" i="141" s="1"/>
  <c r="D258" i="141" s="1"/>
  <c r="D281" i="162"/>
  <c r="D24" i="133" s="1"/>
  <c r="N49" i="88"/>
  <c r="N15" i="162" s="1"/>
  <c r="M24" i="127"/>
  <c r="M16" i="127"/>
  <c r="N41" i="88"/>
  <c r="N15" i="134" s="1"/>
  <c r="N36" i="147"/>
  <c r="N369" i="147" s="1"/>
  <c r="N30" i="88"/>
  <c r="N29" i="127" s="1"/>
  <c r="N19" i="88"/>
  <c r="N18" i="127" s="1"/>
  <c r="N36" i="136"/>
  <c r="N369" i="136" s="1"/>
  <c r="N17" i="88"/>
  <c r="N16" i="127" s="1"/>
  <c r="N36" i="134"/>
  <c r="N369" i="134" s="1"/>
  <c r="N26" i="88"/>
  <c r="N25" i="127" s="1"/>
  <c r="N77" i="287" s="1"/>
  <c r="N36" i="143"/>
  <c r="N369" i="143" s="1"/>
  <c r="N28" i="88"/>
  <c r="N27" i="127" s="1"/>
  <c r="N36" i="145"/>
  <c r="N369" i="145" s="1"/>
  <c r="D280" i="141"/>
  <c r="D22" i="131" s="1"/>
  <c r="D223" i="143"/>
  <c r="D247" i="143"/>
  <c r="D257" i="143" s="1"/>
  <c r="D258" i="143" s="1"/>
  <c r="M33" i="127"/>
  <c r="N58" i="88"/>
  <c r="N15" i="151" s="1"/>
  <c r="D122" i="148"/>
  <c r="D239" i="139"/>
  <c r="D240" i="139" s="1"/>
  <c r="D263" i="139"/>
  <c r="D273" i="139" s="1"/>
  <c r="D274" i="139" s="1"/>
  <c r="J67" i="88"/>
  <c r="J15" i="86"/>
  <c r="D122" i="162"/>
  <c r="D282" i="151"/>
  <c r="D33" i="132" s="1"/>
  <c r="M23" i="127"/>
  <c r="N48" i="88"/>
  <c r="N15" i="142" s="1"/>
  <c r="D281" i="139"/>
  <c r="D21" i="133" s="1"/>
  <c r="D239" i="137"/>
  <c r="D240" i="137" s="1"/>
  <c r="D263" i="137"/>
  <c r="D273" i="137" s="1"/>
  <c r="D274" i="137" s="1"/>
  <c r="D280" i="137"/>
  <c r="D19" i="131" s="1"/>
  <c r="D156" i="142"/>
  <c r="M539" i="92"/>
  <c r="M540" i="92" s="1"/>
  <c r="M570" i="92"/>
  <c r="Z54" i="104"/>
  <c r="Z63" i="104"/>
  <c r="D279" i="86"/>
  <c r="D283" i="86" s="1"/>
  <c r="D224" i="86"/>
  <c r="D15" i="131"/>
  <c r="D224" i="162" l="1"/>
  <c r="D224" i="138"/>
  <c r="D224" i="136"/>
  <c r="I64" i="127"/>
  <c r="D34" i="133"/>
  <c r="J213" i="217" s="1"/>
  <c r="J242" i="217" s="1"/>
  <c r="D224" i="142"/>
  <c r="D279" i="135"/>
  <c r="D294" i="135" s="1"/>
  <c r="D279" i="151"/>
  <c r="D283" i="151" s="1"/>
  <c r="D224" i="150"/>
  <c r="D279" i="143"/>
  <c r="D29" i="130"/>
  <c r="D283" i="147"/>
  <c r="D294" i="147"/>
  <c r="M62" i="127"/>
  <c r="L16" i="88"/>
  <c r="L36" i="86"/>
  <c r="L369" i="86" s="1"/>
  <c r="L639" i="92"/>
  <c r="L640" i="92" s="1"/>
  <c r="D294" i="138"/>
  <c r="D20" i="130"/>
  <c r="D283" i="138"/>
  <c r="D294" i="142"/>
  <c r="D23" i="130"/>
  <c r="D283" i="142"/>
  <c r="D14" i="130"/>
  <c r="D12" i="130" s="1"/>
  <c r="D294" i="140"/>
  <c r="D17" i="130"/>
  <c r="D283" i="135"/>
  <c r="D18" i="130"/>
  <c r="D283" i="136"/>
  <c r="D294" i="136"/>
  <c r="D279" i="149"/>
  <c r="D279" i="144"/>
  <c r="L369" i="140"/>
  <c r="M589" i="92"/>
  <c r="M590" i="92" s="1"/>
  <c r="M620" i="92"/>
  <c r="D34" i="131"/>
  <c r="J154" i="217" s="1"/>
  <c r="J183" i="217" s="1"/>
  <c r="Z64" i="104"/>
  <c r="N15" i="88"/>
  <c r="J88" i="217"/>
  <c r="D34" i="132"/>
  <c r="J90" i="217" s="1"/>
  <c r="J121" i="217" s="1"/>
  <c r="D279" i="146"/>
  <c r="D279" i="145"/>
  <c r="D279" i="137"/>
  <c r="D279" i="148"/>
  <c r="D279" i="139"/>
  <c r="D279" i="134"/>
  <c r="K67" i="88"/>
  <c r="K15" i="86"/>
  <c r="K15" i="127"/>
  <c r="L40" i="88"/>
  <c r="D25" i="130"/>
  <c r="D283" i="143"/>
  <c r="D294" i="143"/>
  <c r="D224" i="143"/>
  <c r="N62" i="127"/>
  <c r="D279" i="141"/>
  <c r="D24" i="130"/>
  <c r="D283" i="162"/>
  <c r="D294" i="162"/>
  <c r="D224" i="147"/>
  <c r="M14" i="127"/>
  <c r="S26" i="217" s="1"/>
  <c r="S54" i="217" s="1"/>
  <c r="M36" i="140"/>
  <c r="N39" i="88"/>
  <c r="N15" i="140" s="1"/>
  <c r="N539" i="92"/>
  <c r="N540" i="92" s="1"/>
  <c r="A540" i="92" s="1"/>
  <c r="N570" i="92"/>
  <c r="J63" i="127"/>
  <c r="J34" i="127"/>
  <c r="P28" i="217" s="1"/>
  <c r="P58" i="217" s="1"/>
  <c r="D294" i="150"/>
  <c r="D32" i="130"/>
  <c r="D283" i="150"/>
  <c r="D15" i="130"/>
  <c r="D294" i="86"/>
  <c r="J272" i="217" l="1"/>
  <c r="J64" i="127"/>
  <c r="D294" i="151"/>
  <c r="D33" i="130"/>
  <c r="D371" i="140"/>
  <c r="D296" i="140"/>
  <c r="N589" i="92"/>
  <c r="N590" i="92" s="1"/>
  <c r="A590" i="92" s="1"/>
  <c r="N620" i="92"/>
  <c r="D283" i="141"/>
  <c r="D294" i="141"/>
  <c r="D22" i="130"/>
  <c r="D371" i="143"/>
  <c r="D296" i="143"/>
  <c r="K63" i="127"/>
  <c r="K34" i="127"/>
  <c r="Q28" i="217" s="1"/>
  <c r="Q58" i="217" s="1"/>
  <c r="D21" i="130"/>
  <c r="D294" i="139"/>
  <c r="D283" i="139"/>
  <c r="D294" i="146"/>
  <c r="D283" i="146"/>
  <c r="D28" i="130"/>
  <c r="N14" i="127"/>
  <c r="T26" i="217" s="1"/>
  <c r="T54" i="217" s="1"/>
  <c r="U54" i="217" s="1"/>
  <c r="V54" i="217" s="1"/>
  <c r="N36" i="140"/>
  <c r="D31" i="130"/>
  <c r="D283" i="149"/>
  <c r="D294" i="149"/>
  <c r="D296" i="147"/>
  <c r="D371" i="147"/>
  <c r="D294" i="134"/>
  <c r="D16" i="130"/>
  <c r="D283" i="134"/>
  <c r="D294" i="144"/>
  <c r="D26" i="130"/>
  <c r="D283" i="144"/>
  <c r="D296" i="138"/>
  <c r="D331" i="138"/>
  <c r="D371" i="138"/>
  <c r="D296" i="150"/>
  <c r="D371" i="150"/>
  <c r="D371" i="162"/>
  <c r="D296" i="162"/>
  <c r="D294" i="148"/>
  <c r="D283" i="148"/>
  <c r="D30" i="130"/>
  <c r="D371" i="136"/>
  <c r="D296" i="136"/>
  <c r="D331" i="136"/>
  <c r="D371" i="151"/>
  <c r="D296" i="151"/>
  <c r="L15" i="86"/>
  <c r="L67" i="88"/>
  <c r="D294" i="145"/>
  <c r="D283" i="145"/>
  <c r="D27" i="130"/>
  <c r="M16" i="88"/>
  <c r="M639" i="92"/>
  <c r="M640" i="92" s="1"/>
  <c r="M36" i="86"/>
  <c r="M369" i="86" s="1"/>
  <c r="D371" i="142"/>
  <c r="D296" i="142"/>
  <c r="M369" i="140"/>
  <c r="D19" i="130"/>
  <c r="D34" i="130" s="1"/>
  <c r="D294" i="137"/>
  <c r="D283" i="137"/>
  <c r="J119" i="217"/>
  <c r="J270" i="217"/>
  <c r="J92" i="217"/>
  <c r="J123" i="217" s="1"/>
  <c r="D296" i="135"/>
  <c r="D371" i="135"/>
  <c r="D331" i="135"/>
  <c r="L15" i="127"/>
  <c r="M40" i="88"/>
  <c r="D371" i="86"/>
  <c r="D331" i="86"/>
  <c r="D296" i="86"/>
  <c r="J624" i="217"/>
  <c r="J301" i="217"/>
  <c r="D296" i="145" l="1"/>
  <c r="D371" i="145"/>
  <c r="L34" i="127"/>
  <c r="R28" i="217" s="1"/>
  <c r="R58" i="217" s="1"/>
  <c r="L63" i="127"/>
  <c r="L64" i="127" s="1"/>
  <c r="D331" i="137"/>
  <c r="D296" i="137"/>
  <c r="D371" i="137"/>
  <c r="D327" i="142"/>
  <c r="D364" i="142" s="1"/>
  <c r="E67" i="142" s="1"/>
  <c r="D308" i="142"/>
  <c r="D345" i="142" s="1"/>
  <c r="E48" i="142" s="1"/>
  <c r="D322" i="142"/>
  <c r="D359" i="142" s="1"/>
  <c r="E62" i="142" s="1"/>
  <c r="D329" i="142"/>
  <c r="D306" i="142"/>
  <c r="D343" i="142" s="1"/>
  <c r="E46" i="142" s="1"/>
  <c r="D313" i="142"/>
  <c r="D332" i="142" s="1"/>
  <c r="D323" i="142"/>
  <c r="D360" i="142" s="1"/>
  <c r="E63" i="142" s="1"/>
  <c r="E97" i="142" s="1"/>
  <c r="D304" i="142"/>
  <c r="D341" i="142" s="1"/>
  <c r="E44" i="142" s="1"/>
  <c r="D311" i="142"/>
  <c r="D348" i="142" s="1"/>
  <c r="E51" i="142" s="1"/>
  <c r="D325" i="142"/>
  <c r="D362" i="142" s="1"/>
  <c r="E65" i="142" s="1"/>
  <c r="D328" i="142"/>
  <c r="D365" i="142" s="1"/>
  <c r="E68" i="142" s="1"/>
  <c r="D309" i="142"/>
  <c r="D346" i="142" s="1"/>
  <c r="E49" i="142" s="1"/>
  <c r="E83" i="142" s="1"/>
  <c r="D23" i="128"/>
  <c r="D73" i="128" s="1"/>
  <c r="D24" i="102" s="1"/>
  <c r="D312" i="142"/>
  <c r="D349" i="142" s="1"/>
  <c r="E52" i="142" s="1"/>
  <c r="D310" i="142"/>
  <c r="D347" i="142" s="1"/>
  <c r="E50" i="142" s="1"/>
  <c r="E84" i="142" s="1"/>
  <c r="D326" i="142"/>
  <c r="D363" i="142" s="1"/>
  <c r="E66" i="142" s="1"/>
  <c r="E100" i="142" s="1"/>
  <c r="D320" i="142"/>
  <c r="D357" i="142" s="1"/>
  <c r="E60" i="142" s="1"/>
  <c r="D319" i="142"/>
  <c r="D331" i="142"/>
  <c r="D307" i="142"/>
  <c r="D344" i="142" s="1"/>
  <c r="E47" i="142" s="1"/>
  <c r="D321" i="142"/>
  <c r="D358" i="142" s="1"/>
  <c r="E61" i="142" s="1"/>
  <c r="E95" i="142" s="1"/>
  <c r="D324" i="142"/>
  <c r="D361" i="142" s="1"/>
  <c r="E64" i="142" s="1"/>
  <c r="D305" i="142"/>
  <c r="D342" i="142" s="1"/>
  <c r="E45" i="142" s="1"/>
  <c r="E79" i="142" s="1"/>
  <c r="D303" i="142"/>
  <c r="M15" i="127"/>
  <c r="N40" i="88"/>
  <c r="D331" i="134"/>
  <c r="D296" i="134"/>
  <c r="D371" i="134"/>
  <c r="D296" i="149"/>
  <c r="D371" i="149"/>
  <c r="K64" i="127"/>
  <c r="D371" i="141"/>
  <c r="D296" i="141"/>
  <c r="D327" i="135"/>
  <c r="D364" i="135" s="1"/>
  <c r="E67" i="135" s="1"/>
  <c r="D308" i="135"/>
  <c r="D345" i="135" s="1"/>
  <c r="E48" i="135" s="1"/>
  <c r="D311" i="135"/>
  <c r="D348" i="135" s="1"/>
  <c r="E51" i="135" s="1"/>
  <c r="D321" i="135"/>
  <c r="D358" i="135" s="1"/>
  <c r="E61" i="135" s="1"/>
  <c r="D324" i="135"/>
  <c r="D361" i="135" s="1"/>
  <c r="E64" i="135" s="1"/>
  <c r="E98" i="135" s="1"/>
  <c r="D312" i="135"/>
  <c r="D349" i="135" s="1"/>
  <c r="E52" i="135" s="1"/>
  <c r="D328" i="135"/>
  <c r="D365" i="135" s="1"/>
  <c r="E68" i="135" s="1"/>
  <c r="E102" i="135" s="1"/>
  <c r="D323" i="135"/>
  <c r="D360" i="135" s="1"/>
  <c r="E63" i="135" s="1"/>
  <c r="D304" i="135"/>
  <c r="D341" i="135" s="1"/>
  <c r="E44" i="135" s="1"/>
  <c r="D307" i="135"/>
  <c r="D344" i="135" s="1"/>
  <c r="E47" i="135" s="1"/>
  <c r="D310" i="135"/>
  <c r="D347" i="135" s="1"/>
  <c r="E50" i="135" s="1"/>
  <c r="D320" i="135"/>
  <c r="D357" i="135" s="1"/>
  <c r="E60" i="135" s="1"/>
  <c r="D17" i="128"/>
  <c r="D67" i="128" s="1"/>
  <c r="D18" i="102" s="1"/>
  <c r="D325" i="135"/>
  <c r="D362" i="135" s="1"/>
  <c r="E65" i="135" s="1"/>
  <c r="D319" i="135"/>
  <c r="D326" i="135"/>
  <c r="D363" i="135" s="1"/>
  <c r="E66" i="135" s="1"/>
  <c r="D303" i="135"/>
  <c r="D306" i="135"/>
  <c r="D343" i="135" s="1"/>
  <c r="E46" i="135" s="1"/>
  <c r="D309" i="135"/>
  <c r="D346" i="135" s="1"/>
  <c r="E49" i="135" s="1"/>
  <c r="E83" i="135" s="1"/>
  <c r="D322" i="135"/>
  <c r="D359" i="135" s="1"/>
  <c r="E62" i="135" s="1"/>
  <c r="E96" i="135" s="1"/>
  <c r="D305" i="135"/>
  <c r="D342" i="135" s="1"/>
  <c r="E45" i="135" s="1"/>
  <c r="E79" i="135" s="1"/>
  <c r="D331" i="162"/>
  <c r="D306" i="162"/>
  <c r="D343" i="162" s="1"/>
  <c r="E46" i="162" s="1"/>
  <c r="D313" i="162"/>
  <c r="D325" i="162"/>
  <c r="D362" i="162" s="1"/>
  <c r="E65" i="162" s="1"/>
  <c r="D308" i="162"/>
  <c r="D345" i="162" s="1"/>
  <c r="E48" i="162" s="1"/>
  <c r="D311" i="162"/>
  <c r="D348" i="162" s="1"/>
  <c r="E51" i="162" s="1"/>
  <c r="D328" i="162"/>
  <c r="D365" i="162" s="1"/>
  <c r="E68" i="162" s="1"/>
  <c r="D309" i="162"/>
  <c r="D346" i="162" s="1"/>
  <c r="E49" i="162" s="1"/>
  <c r="D323" i="162"/>
  <c r="D360" i="162" s="1"/>
  <c r="E63" i="162" s="1"/>
  <c r="D304" i="162"/>
  <c r="D341" i="162" s="1"/>
  <c r="E44" i="162" s="1"/>
  <c r="D307" i="162"/>
  <c r="D344" i="162" s="1"/>
  <c r="E47" i="162" s="1"/>
  <c r="D24" i="128"/>
  <c r="D74" i="128" s="1"/>
  <c r="D25" i="102" s="1"/>
  <c r="D329" i="162"/>
  <c r="D327" i="162"/>
  <c r="D364" i="162" s="1"/>
  <c r="E67" i="162" s="1"/>
  <c r="D320" i="162"/>
  <c r="D357" i="162" s="1"/>
  <c r="E60" i="162" s="1"/>
  <c r="D322" i="162"/>
  <c r="D359" i="162" s="1"/>
  <c r="E62" i="162" s="1"/>
  <c r="D321" i="162"/>
  <c r="D358" i="162" s="1"/>
  <c r="E61" i="162" s="1"/>
  <c r="E95" i="162" s="1"/>
  <c r="D324" i="162"/>
  <c r="D361" i="162" s="1"/>
  <c r="E64" i="162" s="1"/>
  <c r="E98" i="162" s="1"/>
  <c r="D305" i="162"/>
  <c r="D342" i="162" s="1"/>
  <c r="E45" i="162" s="1"/>
  <c r="D319" i="162"/>
  <c r="D326" i="162"/>
  <c r="D363" i="162" s="1"/>
  <c r="E66" i="162" s="1"/>
  <c r="E100" i="162" s="1"/>
  <c r="D303" i="162"/>
  <c r="D310" i="162"/>
  <c r="D347" i="162" s="1"/>
  <c r="E50" i="162" s="1"/>
  <c r="E84" i="162" s="1"/>
  <c r="D312" i="162"/>
  <c r="D349" i="162" s="1"/>
  <c r="E52" i="162" s="1"/>
  <c r="N369" i="140"/>
  <c r="D371" i="146"/>
  <c r="D296" i="146"/>
  <c r="J299" i="217"/>
  <c r="J618" i="217"/>
  <c r="D319" i="136"/>
  <c r="D326" i="136"/>
  <c r="D363" i="136" s="1"/>
  <c r="E66" i="136" s="1"/>
  <c r="D303" i="136"/>
  <c r="D306" i="136"/>
  <c r="D343" i="136" s="1"/>
  <c r="E46" i="136" s="1"/>
  <c r="D309" i="136"/>
  <c r="D346" i="136" s="1"/>
  <c r="E49" i="136" s="1"/>
  <c r="D323" i="136"/>
  <c r="D360" i="136" s="1"/>
  <c r="E63" i="136" s="1"/>
  <c r="D307" i="136"/>
  <c r="D344" i="136" s="1"/>
  <c r="E47" i="136" s="1"/>
  <c r="D18" i="128"/>
  <c r="D68" i="128" s="1"/>
  <c r="D19" i="102" s="1"/>
  <c r="D312" i="136"/>
  <c r="D349" i="136" s="1"/>
  <c r="E52" i="136" s="1"/>
  <c r="D322" i="136"/>
  <c r="D359" i="136" s="1"/>
  <c r="E62" i="136" s="1"/>
  <c r="D325" i="136"/>
  <c r="D362" i="136" s="1"/>
  <c r="E65" i="136" s="1"/>
  <c r="D328" i="136"/>
  <c r="D365" i="136" s="1"/>
  <c r="E68" i="136" s="1"/>
  <c r="D305" i="136"/>
  <c r="D342" i="136" s="1"/>
  <c r="E45" i="136" s="1"/>
  <c r="D304" i="136"/>
  <c r="D341" i="136" s="1"/>
  <c r="E44" i="136" s="1"/>
  <c r="D320" i="136"/>
  <c r="D357" i="136" s="1"/>
  <c r="E60" i="136" s="1"/>
  <c r="D327" i="136"/>
  <c r="D364" i="136" s="1"/>
  <c r="E67" i="136" s="1"/>
  <c r="E101" i="136" s="1"/>
  <c r="D308" i="136"/>
  <c r="D345" i="136" s="1"/>
  <c r="E48" i="136" s="1"/>
  <c r="E82" i="136" s="1"/>
  <c r="D311" i="136"/>
  <c r="D348" i="136" s="1"/>
  <c r="E51" i="136" s="1"/>
  <c r="D321" i="136"/>
  <c r="D358" i="136" s="1"/>
  <c r="E61" i="136" s="1"/>
  <c r="E95" i="136" s="1"/>
  <c r="D324" i="136"/>
  <c r="D361" i="136" s="1"/>
  <c r="E64" i="136" s="1"/>
  <c r="E98" i="136" s="1"/>
  <c r="D310" i="136"/>
  <c r="D347" i="136" s="1"/>
  <c r="E50" i="136" s="1"/>
  <c r="E84" i="136" s="1"/>
  <c r="D371" i="148"/>
  <c r="D296" i="148"/>
  <c r="D371" i="144"/>
  <c r="D296" i="144"/>
  <c r="D371" i="139"/>
  <c r="D331" i="139"/>
  <c r="D296" i="139"/>
  <c r="D25" i="128"/>
  <c r="D75" i="128" s="1"/>
  <c r="D26" i="102" s="1"/>
  <c r="D313" i="143"/>
  <c r="D323" i="143"/>
  <c r="D360" i="143" s="1"/>
  <c r="E63" i="143" s="1"/>
  <c r="D304" i="143"/>
  <c r="D341" i="143" s="1"/>
  <c r="E44" i="143" s="1"/>
  <c r="D311" i="143"/>
  <c r="D348" i="143" s="1"/>
  <c r="E51" i="143" s="1"/>
  <c r="D325" i="143"/>
  <c r="D362" i="143" s="1"/>
  <c r="E65" i="143" s="1"/>
  <c r="D328" i="143"/>
  <c r="D365" i="143" s="1"/>
  <c r="E68" i="143" s="1"/>
  <c r="D319" i="143"/>
  <c r="D331" i="143"/>
  <c r="D321" i="143"/>
  <c r="D358" i="143" s="1"/>
  <c r="E61" i="143" s="1"/>
  <c r="D320" i="143"/>
  <c r="D357" i="143" s="1"/>
  <c r="E60" i="143" s="1"/>
  <c r="D308" i="143"/>
  <c r="D345" i="143" s="1"/>
  <c r="E48" i="143" s="1"/>
  <c r="D322" i="143"/>
  <c r="D359" i="143" s="1"/>
  <c r="E62" i="143" s="1"/>
  <c r="D306" i="143"/>
  <c r="D343" i="143" s="1"/>
  <c r="E46" i="143" s="1"/>
  <c r="D309" i="143"/>
  <c r="D346" i="143" s="1"/>
  <c r="E49" i="143" s="1"/>
  <c r="D307" i="143"/>
  <c r="D344" i="143" s="1"/>
  <c r="E47" i="143" s="1"/>
  <c r="E81" i="143" s="1"/>
  <c r="D327" i="143"/>
  <c r="D364" i="143" s="1"/>
  <c r="E67" i="143" s="1"/>
  <c r="D329" i="143"/>
  <c r="D324" i="143"/>
  <c r="D361" i="143" s="1"/>
  <c r="E64" i="143" s="1"/>
  <c r="E98" i="143" s="1"/>
  <c r="D305" i="143"/>
  <c r="D342" i="143" s="1"/>
  <c r="E45" i="143" s="1"/>
  <c r="E79" i="143" s="1"/>
  <c r="D312" i="143"/>
  <c r="D349" i="143" s="1"/>
  <c r="E52" i="143" s="1"/>
  <c r="E86" i="143" s="1"/>
  <c r="D326" i="143"/>
  <c r="D363" i="143" s="1"/>
  <c r="E66" i="143" s="1"/>
  <c r="E100" i="143" s="1"/>
  <c r="D303" i="143"/>
  <c r="D310" i="143"/>
  <c r="D347" i="143" s="1"/>
  <c r="E50" i="143" s="1"/>
  <c r="E84" i="143" s="1"/>
  <c r="D33" i="128"/>
  <c r="D83" i="128" s="1"/>
  <c r="D15" i="102" s="1"/>
  <c r="D325" i="140"/>
  <c r="D362" i="140" s="1"/>
  <c r="E65" i="140" s="1"/>
  <c r="D321" i="140"/>
  <c r="D358" i="140" s="1"/>
  <c r="E61" i="140" s="1"/>
  <c r="E95" i="140" s="1"/>
  <c r="D310" i="140"/>
  <c r="D347" i="140" s="1"/>
  <c r="E50" i="140" s="1"/>
  <c r="D306" i="140"/>
  <c r="D343" i="140" s="1"/>
  <c r="E46" i="140" s="1"/>
  <c r="D327" i="140"/>
  <c r="D364" i="140" s="1"/>
  <c r="E67" i="140" s="1"/>
  <c r="D323" i="140"/>
  <c r="D360" i="140" s="1"/>
  <c r="E63" i="140" s="1"/>
  <c r="D319" i="140"/>
  <c r="D312" i="140"/>
  <c r="D349" i="140" s="1"/>
  <c r="E52" i="140" s="1"/>
  <c r="D308" i="140"/>
  <c r="D345" i="140" s="1"/>
  <c r="E48" i="140" s="1"/>
  <c r="D304" i="140"/>
  <c r="D341" i="140" s="1"/>
  <c r="E44" i="140" s="1"/>
  <c r="D309" i="140"/>
  <c r="D346" i="140" s="1"/>
  <c r="D305" i="140"/>
  <c r="D342" i="140" s="1"/>
  <c r="D326" i="140"/>
  <c r="D363" i="140" s="1"/>
  <c r="E66" i="140" s="1"/>
  <c r="E100" i="140" s="1"/>
  <c r="D322" i="140"/>
  <c r="D359" i="140" s="1"/>
  <c r="E62" i="140" s="1"/>
  <c r="E96" i="140" s="1"/>
  <c r="D311" i="140"/>
  <c r="D348" i="140" s="1"/>
  <c r="D307" i="140"/>
  <c r="D344" i="140" s="1"/>
  <c r="D303" i="140"/>
  <c r="D331" i="140"/>
  <c r="D328" i="140"/>
  <c r="D365" i="140" s="1"/>
  <c r="E68" i="140" s="1"/>
  <c r="E102" i="140" s="1"/>
  <c r="D324" i="140"/>
  <c r="D361" i="140" s="1"/>
  <c r="E64" i="140" s="1"/>
  <c r="D320" i="140"/>
  <c r="D357" i="140" s="1"/>
  <c r="E60" i="140" s="1"/>
  <c r="M67" i="88"/>
  <c r="M15" i="86"/>
  <c r="D325" i="151"/>
  <c r="D362" i="151" s="1"/>
  <c r="E65" i="151" s="1"/>
  <c r="D328" i="151"/>
  <c r="D365" i="151" s="1"/>
  <c r="E68" i="151" s="1"/>
  <c r="D309" i="151"/>
  <c r="D346" i="151" s="1"/>
  <c r="E49" i="151" s="1"/>
  <c r="D319" i="151"/>
  <c r="D331" i="151"/>
  <c r="D307" i="151"/>
  <c r="D344" i="151" s="1"/>
  <c r="E47" i="151" s="1"/>
  <c r="D321" i="151"/>
  <c r="D358" i="151" s="1"/>
  <c r="E61" i="151" s="1"/>
  <c r="D305" i="151"/>
  <c r="D342" i="151" s="1"/>
  <c r="E45" i="151" s="1"/>
  <c r="D312" i="151"/>
  <c r="D349" i="151" s="1"/>
  <c r="E52" i="151" s="1"/>
  <c r="D326" i="151"/>
  <c r="D363" i="151" s="1"/>
  <c r="E66" i="151" s="1"/>
  <c r="D303" i="151"/>
  <c r="D329" i="151"/>
  <c r="D323" i="151"/>
  <c r="D360" i="151" s="1"/>
  <c r="E63" i="151" s="1"/>
  <c r="D311" i="151"/>
  <c r="D348" i="151" s="1"/>
  <c r="E51" i="151" s="1"/>
  <c r="D324" i="151"/>
  <c r="D361" i="151" s="1"/>
  <c r="E64" i="151" s="1"/>
  <c r="D313" i="151"/>
  <c r="D332" i="151" s="1"/>
  <c r="D34" i="128"/>
  <c r="D84" i="128" s="1"/>
  <c r="D34" i="102" s="1"/>
  <c r="D310" i="151"/>
  <c r="D347" i="151" s="1"/>
  <c r="E50" i="151" s="1"/>
  <c r="D320" i="151"/>
  <c r="D357" i="151" s="1"/>
  <c r="E60" i="151" s="1"/>
  <c r="D327" i="151"/>
  <c r="D364" i="151" s="1"/>
  <c r="E67" i="151" s="1"/>
  <c r="E101" i="151" s="1"/>
  <c r="D308" i="151"/>
  <c r="D345" i="151" s="1"/>
  <c r="E48" i="151" s="1"/>
  <c r="E82" i="151" s="1"/>
  <c r="D322" i="151"/>
  <c r="D359" i="151" s="1"/>
  <c r="E62" i="151" s="1"/>
  <c r="D306" i="151"/>
  <c r="D343" i="151" s="1"/>
  <c r="E46" i="151" s="1"/>
  <c r="D304" i="151"/>
  <c r="D341" i="151" s="1"/>
  <c r="E44" i="151" s="1"/>
  <c r="D322" i="150"/>
  <c r="D359" i="150" s="1"/>
  <c r="E62" i="150" s="1"/>
  <c r="D329" i="150"/>
  <c r="D306" i="150"/>
  <c r="D343" i="150" s="1"/>
  <c r="E46" i="150" s="1"/>
  <c r="D313" i="150"/>
  <c r="D332" i="150" s="1"/>
  <c r="D323" i="150"/>
  <c r="D360" i="150" s="1"/>
  <c r="E63" i="150" s="1"/>
  <c r="E97" i="150" s="1"/>
  <c r="D304" i="150"/>
  <c r="D341" i="150" s="1"/>
  <c r="E44" i="150" s="1"/>
  <c r="D32" i="128"/>
  <c r="D82" i="128" s="1"/>
  <c r="D33" i="102" s="1"/>
  <c r="D311" i="150"/>
  <c r="D348" i="150" s="1"/>
  <c r="E51" i="150" s="1"/>
  <c r="D328" i="150"/>
  <c r="D365" i="150" s="1"/>
  <c r="E68" i="150" s="1"/>
  <c r="D309" i="150"/>
  <c r="D346" i="150" s="1"/>
  <c r="E49" i="150" s="1"/>
  <c r="D325" i="150"/>
  <c r="D362" i="150" s="1"/>
  <c r="E65" i="150" s="1"/>
  <c r="D319" i="150"/>
  <c r="D303" i="150"/>
  <c r="D320" i="150"/>
  <c r="D357" i="150" s="1"/>
  <c r="E60" i="150" s="1"/>
  <c r="D327" i="150"/>
  <c r="D364" i="150" s="1"/>
  <c r="E67" i="150" s="1"/>
  <c r="D331" i="150"/>
  <c r="D307" i="150"/>
  <c r="D344" i="150" s="1"/>
  <c r="E47" i="150" s="1"/>
  <c r="D321" i="150"/>
  <c r="D358" i="150" s="1"/>
  <c r="E61" i="150" s="1"/>
  <c r="E95" i="150" s="1"/>
  <c r="D324" i="150"/>
  <c r="D361" i="150" s="1"/>
  <c r="E64" i="150" s="1"/>
  <c r="D305" i="150"/>
  <c r="D342" i="150" s="1"/>
  <c r="E45" i="150" s="1"/>
  <c r="E79" i="150" s="1"/>
  <c r="D312" i="150"/>
  <c r="D349" i="150" s="1"/>
  <c r="E52" i="150" s="1"/>
  <c r="D326" i="150"/>
  <c r="D363" i="150" s="1"/>
  <c r="E66" i="150" s="1"/>
  <c r="D310" i="150"/>
  <c r="D347" i="150" s="1"/>
  <c r="E50" i="150" s="1"/>
  <c r="E84" i="150" s="1"/>
  <c r="D308" i="150"/>
  <c r="D345" i="150" s="1"/>
  <c r="E48" i="150" s="1"/>
  <c r="D20" i="128"/>
  <c r="D70" i="128" s="1"/>
  <c r="D21" i="102" s="1"/>
  <c r="D312" i="138"/>
  <c r="D349" i="138" s="1"/>
  <c r="E52" i="138" s="1"/>
  <c r="D322" i="138"/>
  <c r="D359" i="138" s="1"/>
  <c r="E62" i="138" s="1"/>
  <c r="D325" i="138"/>
  <c r="D362" i="138" s="1"/>
  <c r="E65" i="138" s="1"/>
  <c r="D328" i="138"/>
  <c r="D365" i="138" s="1"/>
  <c r="E68" i="138" s="1"/>
  <c r="D305" i="138"/>
  <c r="D342" i="138" s="1"/>
  <c r="E45" i="138" s="1"/>
  <c r="D326" i="138"/>
  <c r="D363" i="138" s="1"/>
  <c r="E66" i="138" s="1"/>
  <c r="D309" i="138"/>
  <c r="D346" i="138" s="1"/>
  <c r="E49" i="138" s="1"/>
  <c r="D327" i="138"/>
  <c r="D364" i="138" s="1"/>
  <c r="E67" i="138" s="1"/>
  <c r="D308" i="138"/>
  <c r="D345" i="138" s="1"/>
  <c r="E48" i="138" s="1"/>
  <c r="D311" i="138"/>
  <c r="D348" i="138" s="1"/>
  <c r="E51" i="138" s="1"/>
  <c r="D321" i="138"/>
  <c r="D358" i="138" s="1"/>
  <c r="E61" i="138" s="1"/>
  <c r="D324" i="138"/>
  <c r="D361" i="138" s="1"/>
  <c r="E64" i="138" s="1"/>
  <c r="D303" i="138"/>
  <c r="D323" i="138"/>
  <c r="D360" i="138" s="1"/>
  <c r="E63" i="138" s="1"/>
  <c r="E97" i="138" s="1"/>
  <c r="D304" i="138"/>
  <c r="D341" i="138" s="1"/>
  <c r="E44" i="138" s="1"/>
  <c r="D307" i="138"/>
  <c r="D344" i="138" s="1"/>
  <c r="E47" i="138" s="1"/>
  <c r="D310" i="138"/>
  <c r="D347" i="138" s="1"/>
  <c r="E50" i="138" s="1"/>
  <c r="D320" i="138"/>
  <c r="D357" i="138" s="1"/>
  <c r="E60" i="138" s="1"/>
  <c r="D319" i="138"/>
  <c r="D306" i="138"/>
  <c r="D343" i="138" s="1"/>
  <c r="E46" i="138" s="1"/>
  <c r="E80" i="138" s="1"/>
  <c r="D327" i="147"/>
  <c r="D364" i="147" s="1"/>
  <c r="E67" i="147" s="1"/>
  <c r="D308" i="147"/>
  <c r="D345" i="147" s="1"/>
  <c r="E48" i="147" s="1"/>
  <c r="D322" i="147"/>
  <c r="D359" i="147" s="1"/>
  <c r="E62" i="147" s="1"/>
  <c r="D329" i="147"/>
  <c r="D306" i="147"/>
  <c r="D343" i="147" s="1"/>
  <c r="E46" i="147" s="1"/>
  <c r="D313" i="147"/>
  <c r="D29" i="128"/>
  <c r="D79" i="128" s="1"/>
  <c r="D30" i="102" s="1"/>
  <c r="D320" i="147"/>
  <c r="D357" i="147" s="1"/>
  <c r="E60" i="147" s="1"/>
  <c r="D323" i="147"/>
  <c r="D360" i="147" s="1"/>
  <c r="E63" i="147" s="1"/>
  <c r="D304" i="147"/>
  <c r="D341" i="147" s="1"/>
  <c r="E44" i="147" s="1"/>
  <c r="D311" i="147"/>
  <c r="D348" i="147" s="1"/>
  <c r="E51" i="147" s="1"/>
  <c r="D325" i="147"/>
  <c r="D362" i="147" s="1"/>
  <c r="E65" i="147" s="1"/>
  <c r="D328" i="147"/>
  <c r="D365" i="147" s="1"/>
  <c r="E68" i="147" s="1"/>
  <c r="E102" i="147" s="1"/>
  <c r="D309" i="147"/>
  <c r="D346" i="147" s="1"/>
  <c r="E49" i="147" s="1"/>
  <c r="E83" i="147" s="1"/>
  <c r="D326" i="147"/>
  <c r="D363" i="147" s="1"/>
  <c r="E66" i="147" s="1"/>
  <c r="D310" i="147"/>
  <c r="D347" i="147" s="1"/>
  <c r="E50" i="147" s="1"/>
  <c r="D319" i="147"/>
  <c r="D331" i="147"/>
  <c r="D307" i="147"/>
  <c r="D344" i="147" s="1"/>
  <c r="E47" i="147" s="1"/>
  <c r="E81" i="147" s="1"/>
  <c r="D321" i="147"/>
  <c r="D358" i="147" s="1"/>
  <c r="E61" i="147" s="1"/>
  <c r="E95" i="147" s="1"/>
  <c r="D324" i="147"/>
  <c r="D361" i="147" s="1"/>
  <c r="E64" i="147" s="1"/>
  <c r="E98" i="147" s="1"/>
  <c r="D305" i="147"/>
  <c r="D342" i="147" s="1"/>
  <c r="E45" i="147" s="1"/>
  <c r="E79" i="147" s="1"/>
  <c r="D312" i="147"/>
  <c r="D349" i="147" s="1"/>
  <c r="E52" i="147" s="1"/>
  <c r="E86" i="147" s="1"/>
  <c r="D303" i="147"/>
  <c r="N36" i="86"/>
  <c r="N369" i="86" s="1"/>
  <c r="N16" i="88"/>
  <c r="N15" i="127" s="1"/>
  <c r="N639" i="92"/>
  <c r="N640" i="92" s="1"/>
  <c r="A640" i="92" s="1"/>
  <c r="A10" i="92" s="1"/>
  <c r="M50" i="68" s="1"/>
  <c r="D15" i="128"/>
  <c r="D327" i="86"/>
  <c r="D364" i="86" s="1"/>
  <c r="E67" i="86" s="1"/>
  <c r="D323" i="86"/>
  <c r="D360" i="86" s="1"/>
  <c r="E63" i="86" s="1"/>
  <c r="D319" i="86"/>
  <c r="D312" i="86"/>
  <c r="D349" i="86" s="1"/>
  <c r="D308" i="86"/>
  <c r="D345" i="86" s="1"/>
  <c r="D304" i="86"/>
  <c r="D341" i="86" s="1"/>
  <c r="D326" i="86"/>
  <c r="D363" i="86" s="1"/>
  <c r="E66" i="86" s="1"/>
  <c r="D322" i="86"/>
  <c r="D359" i="86" s="1"/>
  <c r="E62" i="86" s="1"/>
  <c r="D311" i="86"/>
  <c r="D348" i="86" s="1"/>
  <c r="D307" i="86"/>
  <c r="D344" i="86" s="1"/>
  <c r="D303" i="86"/>
  <c r="D325" i="86"/>
  <c r="D362" i="86" s="1"/>
  <c r="E65" i="86" s="1"/>
  <c r="D321" i="86"/>
  <c r="D358" i="86" s="1"/>
  <c r="E61" i="86" s="1"/>
  <c r="D310" i="86"/>
  <c r="D347" i="86" s="1"/>
  <c r="D306" i="86"/>
  <c r="D343" i="86" s="1"/>
  <c r="D328" i="86"/>
  <c r="D365" i="86" s="1"/>
  <c r="E68" i="86" s="1"/>
  <c r="D324" i="86"/>
  <c r="D361" i="86" s="1"/>
  <c r="E64" i="86" s="1"/>
  <c r="D320" i="86"/>
  <c r="D357" i="86" s="1"/>
  <c r="E60" i="86" s="1"/>
  <c r="D309" i="86"/>
  <c r="D346" i="86" s="1"/>
  <c r="D305" i="86"/>
  <c r="D342" i="86" s="1"/>
  <c r="E101" i="162" l="1"/>
  <c r="E169" i="162" s="1"/>
  <c r="E85" i="142"/>
  <c r="E85" i="162"/>
  <c r="E80" i="162"/>
  <c r="E80" i="142"/>
  <c r="E182" i="142" s="1"/>
  <c r="E101" i="142"/>
  <c r="E100" i="147"/>
  <c r="E85" i="147"/>
  <c r="E96" i="147"/>
  <c r="E164" i="147" s="1"/>
  <c r="E95" i="138"/>
  <c r="E197" i="138" s="1"/>
  <c r="E83" i="138"/>
  <c r="E99" i="138"/>
  <c r="E82" i="150"/>
  <c r="E150" i="150" s="1"/>
  <c r="E85" i="150"/>
  <c r="E153" i="150" s="1"/>
  <c r="D333" i="151"/>
  <c r="E80" i="136"/>
  <c r="E97" i="162"/>
  <c r="E131" i="162" s="1"/>
  <c r="E82" i="162"/>
  <c r="E116" i="162" s="1"/>
  <c r="E80" i="135"/>
  <c r="E99" i="135"/>
  <c r="D332" i="147"/>
  <c r="E85" i="138"/>
  <c r="E153" i="138" s="1"/>
  <c r="E98" i="150"/>
  <c r="E101" i="150"/>
  <c r="E98" i="151"/>
  <c r="E200" i="151" s="1"/>
  <c r="E83" i="151"/>
  <c r="E151" i="151" s="1"/>
  <c r="E102" i="143"/>
  <c r="E100" i="151"/>
  <c r="E85" i="136"/>
  <c r="E187" i="136" s="1"/>
  <c r="E98" i="142"/>
  <c r="E132" i="142" s="1"/>
  <c r="E115" i="147"/>
  <c r="E183" i="147"/>
  <c r="E149" i="147"/>
  <c r="D47" i="95"/>
  <c r="D72" i="95" s="1"/>
  <c r="D103" i="102"/>
  <c r="D356" i="138"/>
  <c r="D329" i="138"/>
  <c r="D330" i="138" s="1"/>
  <c r="E201" i="138"/>
  <c r="E235" i="138" s="1"/>
  <c r="E269" i="138" s="1"/>
  <c r="E133" i="138"/>
  <c r="E167" i="138"/>
  <c r="D333" i="150"/>
  <c r="E135" i="151"/>
  <c r="E203" i="151"/>
  <c r="E169" i="151"/>
  <c r="E79" i="151"/>
  <c r="D356" i="151"/>
  <c r="D330" i="151"/>
  <c r="E170" i="140"/>
  <c r="E136" i="140"/>
  <c r="E204" i="140"/>
  <c r="J518" i="217"/>
  <c r="E51" i="140"/>
  <c r="E85" i="140" s="1"/>
  <c r="J517" i="217"/>
  <c r="E49" i="140"/>
  <c r="E83" i="140" s="1"/>
  <c r="D329" i="140"/>
  <c r="D330" i="140" s="1"/>
  <c r="D356" i="140"/>
  <c r="E84" i="140"/>
  <c r="E118" i="143"/>
  <c r="E186" i="143"/>
  <c r="E152" i="143"/>
  <c r="E113" i="143"/>
  <c r="E147" i="143"/>
  <c r="E181" i="143"/>
  <c r="E183" i="143"/>
  <c r="E115" i="143"/>
  <c r="E149" i="143"/>
  <c r="E82" i="143"/>
  <c r="D356" i="143"/>
  <c r="D330" i="143"/>
  <c r="D310" i="139"/>
  <c r="D347" i="139" s="1"/>
  <c r="E50" i="139" s="1"/>
  <c r="D320" i="139"/>
  <c r="D357" i="139" s="1"/>
  <c r="E60" i="139" s="1"/>
  <c r="D323" i="139"/>
  <c r="D360" i="139" s="1"/>
  <c r="E63" i="139" s="1"/>
  <c r="D304" i="139"/>
  <c r="D341" i="139" s="1"/>
  <c r="E44" i="139" s="1"/>
  <c r="D307" i="139"/>
  <c r="D344" i="139" s="1"/>
  <c r="E47" i="139" s="1"/>
  <c r="D327" i="139"/>
  <c r="D364" i="139" s="1"/>
  <c r="E67" i="139" s="1"/>
  <c r="D311" i="139"/>
  <c r="D348" i="139" s="1"/>
  <c r="E51" i="139" s="1"/>
  <c r="D21" i="128"/>
  <c r="D71" i="128" s="1"/>
  <c r="D22" i="102" s="1"/>
  <c r="D306" i="139"/>
  <c r="D343" i="139" s="1"/>
  <c r="E46" i="139" s="1"/>
  <c r="D309" i="139"/>
  <c r="D346" i="139" s="1"/>
  <c r="E49" i="139" s="1"/>
  <c r="D319" i="139"/>
  <c r="D326" i="139"/>
  <c r="D363" i="139" s="1"/>
  <c r="E66" i="139" s="1"/>
  <c r="D303" i="139"/>
  <c r="D322" i="139"/>
  <c r="D359" i="139" s="1"/>
  <c r="E62" i="139" s="1"/>
  <c r="D324" i="139"/>
  <c r="D361" i="139" s="1"/>
  <c r="E64" i="139" s="1"/>
  <c r="E98" i="139" s="1"/>
  <c r="D325" i="139"/>
  <c r="D362" i="139" s="1"/>
  <c r="E65" i="139" s="1"/>
  <c r="D328" i="139"/>
  <c r="D365" i="139" s="1"/>
  <c r="E68" i="139" s="1"/>
  <c r="E102" i="139" s="1"/>
  <c r="D305" i="139"/>
  <c r="D342" i="139" s="1"/>
  <c r="E45" i="139" s="1"/>
  <c r="D312" i="139"/>
  <c r="D349" i="139" s="1"/>
  <c r="E52" i="139" s="1"/>
  <c r="E86" i="139" s="1"/>
  <c r="D321" i="139"/>
  <c r="D358" i="139" s="1"/>
  <c r="E61" i="139" s="1"/>
  <c r="E95" i="139" s="1"/>
  <c r="D308" i="139"/>
  <c r="D345" i="139" s="1"/>
  <c r="E48" i="139" s="1"/>
  <c r="E82" i="139" s="1"/>
  <c r="E132" i="136"/>
  <c r="E200" i="136"/>
  <c r="E166" i="136"/>
  <c r="E203" i="136"/>
  <c r="E135" i="136"/>
  <c r="E169" i="136"/>
  <c r="E102" i="136"/>
  <c r="D36" i="95"/>
  <c r="D61" i="95" s="1"/>
  <c r="D92" i="102"/>
  <c r="E182" i="136"/>
  <c r="E148" i="136"/>
  <c r="E114" i="136"/>
  <c r="D340" i="162"/>
  <c r="D314" i="162"/>
  <c r="E132" i="162"/>
  <c r="E166" i="162"/>
  <c r="E200" i="162"/>
  <c r="E135" i="162"/>
  <c r="E119" i="162"/>
  <c r="E187" i="162"/>
  <c r="E153" i="162"/>
  <c r="E148" i="162"/>
  <c r="E182" i="162"/>
  <c r="E114" i="162"/>
  <c r="E185" i="135"/>
  <c r="E117" i="135"/>
  <c r="E151" i="135"/>
  <c r="D329" i="135"/>
  <c r="D330" i="135" s="1"/>
  <c r="D356" i="135"/>
  <c r="E84" i="135"/>
  <c r="E204" i="135"/>
  <c r="E170" i="135"/>
  <c r="E136" i="135"/>
  <c r="E85" i="135"/>
  <c r="M34" i="127"/>
  <c r="S28" i="217" s="1"/>
  <c r="S58" i="217" s="1"/>
  <c r="M63" i="127"/>
  <c r="E197" i="142"/>
  <c r="E129" i="142"/>
  <c r="E163" i="142"/>
  <c r="D41" i="95"/>
  <c r="D66" i="95" s="1"/>
  <c r="D97" i="102"/>
  <c r="E153" i="142"/>
  <c r="E187" i="142"/>
  <c r="E119" i="142"/>
  <c r="E148" i="142"/>
  <c r="E203" i="142"/>
  <c r="E135" i="142"/>
  <c r="E169" i="142"/>
  <c r="E168" i="147"/>
  <c r="E202" i="147"/>
  <c r="E134" i="147"/>
  <c r="E163" i="138"/>
  <c r="E116" i="150"/>
  <c r="D356" i="150"/>
  <c r="D330" i="150"/>
  <c r="N63" i="127"/>
  <c r="N34" i="127"/>
  <c r="T28" i="217" s="1"/>
  <c r="T58" i="217" s="1"/>
  <c r="U58" i="217" s="1"/>
  <c r="V58" i="217" s="1"/>
  <c r="E185" i="147"/>
  <c r="E117" i="147"/>
  <c r="E151" i="147"/>
  <c r="D333" i="147"/>
  <c r="E82" i="147"/>
  <c r="E131" i="138"/>
  <c r="E199" i="138"/>
  <c r="E165" i="138"/>
  <c r="E119" i="138"/>
  <c r="E100" i="138"/>
  <c r="E96" i="138"/>
  <c r="E152" i="150"/>
  <c r="E118" i="150"/>
  <c r="E186" i="150"/>
  <c r="E200" i="150"/>
  <c r="E166" i="150"/>
  <c r="E132" i="150"/>
  <c r="E135" i="150"/>
  <c r="E203" i="150"/>
  <c r="E169" i="150"/>
  <c r="E99" i="150"/>
  <c r="D50" i="95"/>
  <c r="D75" i="95" s="1"/>
  <c r="D106" i="102"/>
  <c r="E80" i="150"/>
  <c r="E80" i="151"/>
  <c r="E132" i="151"/>
  <c r="D340" i="151"/>
  <c r="D314" i="151"/>
  <c r="E95" i="151"/>
  <c r="E198" i="140"/>
  <c r="E164" i="140"/>
  <c r="E130" i="140"/>
  <c r="E97" i="140"/>
  <c r="E163" i="140"/>
  <c r="E197" i="140"/>
  <c r="E129" i="140"/>
  <c r="D340" i="143"/>
  <c r="D314" i="143"/>
  <c r="E166" i="143"/>
  <c r="E132" i="143"/>
  <c r="E200" i="143"/>
  <c r="E83" i="143"/>
  <c r="E204" i="143"/>
  <c r="E170" i="143"/>
  <c r="E136" i="143"/>
  <c r="E97" i="143"/>
  <c r="D325" i="148"/>
  <c r="D362" i="148" s="1"/>
  <c r="E65" i="148" s="1"/>
  <c r="D328" i="148"/>
  <c r="D365" i="148" s="1"/>
  <c r="E68" i="148" s="1"/>
  <c r="D309" i="148"/>
  <c r="D346" i="148" s="1"/>
  <c r="E49" i="148" s="1"/>
  <c r="D319" i="148"/>
  <c r="D326" i="148"/>
  <c r="D363" i="148" s="1"/>
  <c r="E66" i="148" s="1"/>
  <c r="E100" i="148" s="1"/>
  <c r="D303" i="148"/>
  <c r="D304" i="148"/>
  <c r="D341" i="148" s="1"/>
  <c r="E44" i="148" s="1"/>
  <c r="D30" i="128"/>
  <c r="D80" i="128" s="1"/>
  <c r="D31" i="102" s="1"/>
  <c r="D321" i="148"/>
  <c r="D358" i="148" s="1"/>
  <c r="E61" i="148" s="1"/>
  <c r="D324" i="148"/>
  <c r="D361" i="148" s="1"/>
  <c r="E64" i="148" s="1"/>
  <c r="D305" i="148"/>
  <c r="D342" i="148" s="1"/>
  <c r="E45" i="148" s="1"/>
  <c r="E79" i="148" s="1"/>
  <c r="D312" i="148"/>
  <c r="D349" i="148" s="1"/>
  <c r="E52" i="148" s="1"/>
  <c r="D322" i="148"/>
  <c r="D359" i="148" s="1"/>
  <c r="E62" i="148" s="1"/>
  <c r="E96" i="148" s="1"/>
  <c r="D329" i="148"/>
  <c r="D313" i="148"/>
  <c r="D331" i="148"/>
  <c r="D310" i="148"/>
  <c r="D347" i="148" s="1"/>
  <c r="E50" i="148" s="1"/>
  <c r="E84" i="148" s="1"/>
  <c r="D320" i="148"/>
  <c r="D357" i="148" s="1"/>
  <c r="E60" i="148" s="1"/>
  <c r="D327" i="148"/>
  <c r="D364" i="148" s="1"/>
  <c r="E67" i="148" s="1"/>
  <c r="D308" i="148"/>
  <c r="D345" i="148" s="1"/>
  <c r="E48" i="148" s="1"/>
  <c r="D311" i="148"/>
  <c r="D348" i="148" s="1"/>
  <c r="E51" i="148" s="1"/>
  <c r="E85" i="148" s="1"/>
  <c r="D306" i="148"/>
  <c r="D343" i="148" s="1"/>
  <c r="E46" i="148" s="1"/>
  <c r="E80" i="148" s="1"/>
  <c r="D323" i="148"/>
  <c r="D360" i="148" s="1"/>
  <c r="E63" i="148" s="1"/>
  <c r="D307" i="148"/>
  <c r="D344" i="148" s="1"/>
  <c r="E47" i="148" s="1"/>
  <c r="E197" i="136"/>
  <c r="E129" i="136"/>
  <c r="E163" i="136"/>
  <c r="E99" i="136"/>
  <c r="E81" i="136"/>
  <c r="D340" i="136"/>
  <c r="D313" i="136"/>
  <c r="E202" i="162"/>
  <c r="E168" i="162"/>
  <c r="E134" i="162"/>
  <c r="E129" i="162"/>
  <c r="E197" i="162"/>
  <c r="E163" i="162"/>
  <c r="E199" i="162"/>
  <c r="E148" i="135"/>
  <c r="E182" i="135"/>
  <c r="E114" i="135"/>
  <c r="E201" i="135"/>
  <c r="E167" i="135"/>
  <c r="E133" i="135"/>
  <c r="E81" i="135"/>
  <c r="E86" i="135"/>
  <c r="E82" i="135"/>
  <c r="D325" i="134"/>
  <c r="D362" i="134" s="1"/>
  <c r="E65" i="134" s="1"/>
  <c r="D328" i="134"/>
  <c r="D365" i="134" s="1"/>
  <c r="E68" i="134" s="1"/>
  <c r="D305" i="134"/>
  <c r="D342" i="134" s="1"/>
  <c r="E45" i="134" s="1"/>
  <c r="D312" i="134"/>
  <c r="D349" i="134" s="1"/>
  <c r="E52" i="134" s="1"/>
  <c r="D322" i="134"/>
  <c r="D359" i="134" s="1"/>
  <c r="E62" i="134" s="1"/>
  <c r="E96" i="134" s="1"/>
  <c r="D16" i="128"/>
  <c r="D66" i="128" s="1"/>
  <c r="D17" i="102" s="1"/>
  <c r="D319" i="134"/>
  <c r="D321" i="134"/>
  <c r="D358" i="134" s="1"/>
  <c r="E61" i="134" s="1"/>
  <c r="D324" i="134"/>
  <c r="D361" i="134" s="1"/>
  <c r="E64" i="134" s="1"/>
  <c r="D327" i="134"/>
  <c r="D364" i="134" s="1"/>
  <c r="E67" i="134" s="1"/>
  <c r="D308" i="134"/>
  <c r="D345" i="134" s="1"/>
  <c r="E48" i="134" s="1"/>
  <c r="D311" i="134"/>
  <c r="D348" i="134" s="1"/>
  <c r="E51" i="134" s="1"/>
  <c r="D309" i="134"/>
  <c r="D346" i="134" s="1"/>
  <c r="E49" i="134" s="1"/>
  <c r="D326" i="134"/>
  <c r="D363" i="134" s="1"/>
  <c r="E66" i="134" s="1"/>
  <c r="D310" i="134"/>
  <c r="D347" i="134" s="1"/>
  <c r="E50" i="134" s="1"/>
  <c r="D320" i="134"/>
  <c r="D357" i="134" s="1"/>
  <c r="E60" i="134" s="1"/>
  <c r="D323" i="134"/>
  <c r="D360" i="134" s="1"/>
  <c r="E63" i="134" s="1"/>
  <c r="E97" i="134" s="1"/>
  <c r="D304" i="134"/>
  <c r="D341" i="134" s="1"/>
  <c r="E44" i="134" s="1"/>
  <c r="D307" i="134"/>
  <c r="D344" i="134" s="1"/>
  <c r="E47" i="134" s="1"/>
  <c r="D306" i="134"/>
  <c r="D343" i="134" s="1"/>
  <c r="E46" i="134" s="1"/>
  <c r="D303" i="134"/>
  <c r="D340" i="142"/>
  <c r="D314" i="142"/>
  <c r="E81" i="142"/>
  <c r="E202" i="142"/>
  <c r="E134" i="142"/>
  <c r="E168" i="142"/>
  <c r="E185" i="142"/>
  <c r="E117" i="142"/>
  <c r="E151" i="142"/>
  <c r="E119" i="147"/>
  <c r="E187" i="147"/>
  <c r="E153" i="147"/>
  <c r="E181" i="150"/>
  <c r="E113" i="150"/>
  <c r="E147" i="150"/>
  <c r="E200" i="147"/>
  <c r="E132" i="147"/>
  <c r="E166" i="147"/>
  <c r="D356" i="147"/>
  <c r="D330" i="147"/>
  <c r="E136" i="147"/>
  <c r="E204" i="147"/>
  <c r="E170" i="147"/>
  <c r="E97" i="147"/>
  <c r="E80" i="147"/>
  <c r="E101" i="147"/>
  <c r="E84" i="138"/>
  <c r="D313" i="138"/>
  <c r="D340" i="138"/>
  <c r="E82" i="138"/>
  <c r="E79" i="138"/>
  <c r="E86" i="138"/>
  <c r="E100" i="150"/>
  <c r="E197" i="150"/>
  <c r="E129" i="150"/>
  <c r="E163" i="150"/>
  <c r="E83" i="150"/>
  <c r="E96" i="151"/>
  <c r="E84" i="151"/>
  <c r="E85" i="151"/>
  <c r="E168" i="151"/>
  <c r="E202" i="151"/>
  <c r="E134" i="151"/>
  <c r="E81" i="151"/>
  <c r="E102" i="151"/>
  <c r="D340" i="140"/>
  <c r="D313" i="140"/>
  <c r="E202" i="140"/>
  <c r="E236" i="140" s="1"/>
  <c r="E270" i="140" s="1"/>
  <c r="E134" i="140"/>
  <c r="E168" i="140"/>
  <c r="E101" i="140"/>
  <c r="E99" i="140"/>
  <c r="E168" i="143"/>
  <c r="E134" i="143"/>
  <c r="E202" i="143"/>
  <c r="E80" i="143"/>
  <c r="E95" i="143"/>
  <c r="E99" i="143"/>
  <c r="D332" i="143"/>
  <c r="D333" i="143" s="1"/>
  <c r="E153" i="136"/>
  <c r="E96" i="136"/>
  <c r="E97" i="136"/>
  <c r="E100" i="136"/>
  <c r="D28" i="128"/>
  <c r="D78" i="128" s="1"/>
  <c r="D29" i="102" s="1"/>
  <c r="D320" i="146"/>
  <c r="D357" i="146" s="1"/>
  <c r="E60" i="146" s="1"/>
  <c r="D327" i="146"/>
  <c r="D364" i="146" s="1"/>
  <c r="E67" i="146" s="1"/>
  <c r="D308" i="146"/>
  <c r="D345" i="146" s="1"/>
  <c r="E48" i="146" s="1"/>
  <c r="D311" i="146"/>
  <c r="D348" i="146" s="1"/>
  <c r="E51" i="146" s="1"/>
  <c r="D325" i="146"/>
  <c r="D362" i="146" s="1"/>
  <c r="E65" i="146" s="1"/>
  <c r="D312" i="146"/>
  <c r="D349" i="146" s="1"/>
  <c r="E52" i="146" s="1"/>
  <c r="D306" i="146"/>
  <c r="D343" i="146" s="1"/>
  <c r="E46" i="146" s="1"/>
  <c r="D331" i="146"/>
  <c r="D313" i="146"/>
  <c r="D323" i="146"/>
  <c r="D360" i="146" s="1"/>
  <c r="E63" i="146" s="1"/>
  <c r="D304" i="146"/>
  <c r="D341" i="146" s="1"/>
  <c r="E44" i="146" s="1"/>
  <c r="D307" i="146"/>
  <c r="D344" i="146" s="1"/>
  <c r="E47" i="146" s="1"/>
  <c r="E81" i="146" s="1"/>
  <c r="D321" i="146"/>
  <c r="D358" i="146" s="1"/>
  <c r="E61" i="146" s="1"/>
  <c r="E95" i="146" s="1"/>
  <c r="D305" i="146"/>
  <c r="D342" i="146" s="1"/>
  <c r="E45" i="146" s="1"/>
  <c r="E79" i="146" s="1"/>
  <c r="D329" i="146"/>
  <c r="D328" i="146"/>
  <c r="D365" i="146" s="1"/>
  <c r="E68" i="146" s="1"/>
  <c r="D309" i="146"/>
  <c r="D346" i="146" s="1"/>
  <c r="E49" i="146" s="1"/>
  <c r="E83" i="146" s="1"/>
  <c r="D319" i="146"/>
  <c r="D326" i="146"/>
  <c r="D363" i="146" s="1"/>
  <c r="E66" i="146" s="1"/>
  <c r="D303" i="146"/>
  <c r="D310" i="146"/>
  <c r="D347" i="146" s="1"/>
  <c r="E50" i="146" s="1"/>
  <c r="D324" i="146"/>
  <c r="D361" i="146" s="1"/>
  <c r="E64" i="146" s="1"/>
  <c r="E98" i="146" s="1"/>
  <c r="D322" i="146"/>
  <c r="D359" i="146" s="1"/>
  <c r="E62" i="146" s="1"/>
  <c r="E86" i="162"/>
  <c r="D356" i="162"/>
  <c r="D330" i="162"/>
  <c r="E96" i="162"/>
  <c r="D42" i="95"/>
  <c r="D67" i="95" s="1"/>
  <c r="D98" i="102"/>
  <c r="E83" i="162"/>
  <c r="E99" i="162"/>
  <c r="E113" i="135"/>
  <c r="E181" i="135"/>
  <c r="E147" i="135"/>
  <c r="D340" i="135"/>
  <c r="D313" i="135"/>
  <c r="D332" i="135" s="1"/>
  <c r="D333" i="135" s="1"/>
  <c r="D35" i="95"/>
  <c r="D60" i="95" s="1"/>
  <c r="D91" i="102"/>
  <c r="E200" i="135"/>
  <c r="E166" i="135"/>
  <c r="E132" i="135"/>
  <c r="E101" i="135"/>
  <c r="E147" i="142"/>
  <c r="E113" i="142"/>
  <c r="E181" i="142"/>
  <c r="E186" i="142"/>
  <c r="E118" i="142"/>
  <c r="E152" i="142"/>
  <c r="E102" i="142"/>
  <c r="E199" i="142"/>
  <c r="E131" i="142"/>
  <c r="E165" i="142"/>
  <c r="E96" i="142"/>
  <c r="D321" i="137"/>
  <c r="D358" i="137" s="1"/>
  <c r="E61" i="137" s="1"/>
  <c r="D324" i="137"/>
  <c r="D361" i="137" s="1"/>
  <c r="E64" i="137" s="1"/>
  <c r="D327" i="137"/>
  <c r="D364" i="137" s="1"/>
  <c r="E67" i="137" s="1"/>
  <c r="D308" i="137"/>
  <c r="D345" i="137" s="1"/>
  <c r="E48" i="137" s="1"/>
  <c r="D311" i="137"/>
  <c r="D348" i="137" s="1"/>
  <c r="E51" i="137" s="1"/>
  <c r="D306" i="137"/>
  <c r="D343" i="137" s="1"/>
  <c r="E46" i="137" s="1"/>
  <c r="D319" i="137"/>
  <c r="D303" i="137"/>
  <c r="D325" i="137"/>
  <c r="D362" i="137" s="1"/>
  <c r="E65" i="137" s="1"/>
  <c r="E99" i="137" s="1"/>
  <c r="D312" i="137"/>
  <c r="D349" i="137" s="1"/>
  <c r="E52" i="137" s="1"/>
  <c r="D310" i="137"/>
  <c r="D347" i="137" s="1"/>
  <c r="E50" i="137" s="1"/>
  <c r="D320" i="137"/>
  <c r="D357" i="137" s="1"/>
  <c r="E60" i="137" s="1"/>
  <c r="D323" i="137"/>
  <c r="D360" i="137" s="1"/>
  <c r="E63" i="137" s="1"/>
  <c r="D304" i="137"/>
  <c r="D341" i="137" s="1"/>
  <c r="E44" i="137" s="1"/>
  <c r="D307" i="137"/>
  <c r="D344" i="137" s="1"/>
  <c r="E47" i="137" s="1"/>
  <c r="E81" i="137" s="1"/>
  <c r="D19" i="128"/>
  <c r="D69" i="128" s="1"/>
  <c r="D20" i="102" s="1"/>
  <c r="D309" i="137"/>
  <c r="D346" i="137" s="1"/>
  <c r="E49" i="137" s="1"/>
  <c r="D326" i="137"/>
  <c r="D363" i="137" s="1"/>
  <c r="E66" i="137" s="1"/>
  <c r="D305" i="137"/>
  <c r="D342" i="137" s="1"/>
  <c r="E45" i="137" s="1"/>
  <c r="E79" i="137" s="1"/>
  <c r="D322" i="137"/>
  <c r="D359" i="137" s="1"/>
  <c r="E62" i="137" s="1"/>
  <c r="D328" i="137"/>
  <c r="D365" i="137" s="1"/>
  <c r="E68" i="137" s="1"/>
  <c r="E120" i="147"/>
  <c r="E188" i="147"/>
  <c r="E154" i="147"/>
  <c r="E130" i="147"/>
  <c r="E185" i="138"/>
  <c r="E117" i="138"/>
  <c r="E151" i="138"/>
  <c r="E181" i="147"/>
  <c r="E113" i="147"/>
  <c r="E147" i="147"/>
  <c r="D340" i="147"/>
  <c r="D314" i="147"/>
  <c r="E163" i="147"/>
  <c r="E197" i="147"/>
  <c r="E129" i="147"/>
  <c r="E84" i="147"/>
  <c r="E99" i="147"/>
  <c r="E148" i="138"/>
  <c r="E182" i="138"/>
  <c r="E114" i="138"/>
  <c r="E81" i="138"/>
  <c r="E98" i="138"/>
  <c r="E101" i="138"/>
  <c r="E102" i="138"/>
  <c r="D38" i="95"/>
  <c r="D63" i="95" s="1"/>
  <c r="D94" i="102"/>
  <c r="E86" i="150"/>
  <c r="E81" i="150"/>
  <c r="D340" i="150"/>
  <c r="D314" i="150"/>
  <c r="E102" i="150"/>
  <c r="E131" i="150"/>
  <c r="E165" i="150"/>
  <c r="E199" i="150"/>
  <c r="E96" i="150"/>
  <c r="E184" i="151"/>
  <c r="E116" i="151"/>
  <c r="E150" i="151"/>
  <c r="D107" i="102"/>
  <c r="D51" i="95"/>
  <c r="D76" i="95" s="1"/>
  <c r="E97" i="151"/>
  <c r="E86" i="151"/>
  <c r="E99" i="151"/>
  <c r="E98" i="140"/>
  <c r="J516" i="217"/>
  <c r="E47" i="140"/>
  <c r="E81" i="140" s="1"/>
  <c r="J515" i="217"/>
  <c r="E45" i="140"/>
  <c r="E79" i="140" s="1"/>
  <c r="E86" i="140"/>
  <c r="J328" i="217"/>
  <c r="D88" i="102"/>
  <c r="D32" i="95"/>
  <c r="E154" i="143"/>
  <c r="E188" i="143"/>
  <c r="E120" i="143"/>
  <c r="E101" i="143"/>
  <c r="E96" i="143"/>
  <c r="E85" i="143"/>
  <c r="D43" i="95"/>
  <c r="D68" i="95" s="1"/>
  <c r="D99" i="102"/>
  <c r="D322" i="144"/>
  <c r="D359" i="144" s="1"/>
  <c r="E62" i="144" s="1"/>
  <c r="D331" i="144"/>
  <c r="D310" i="144"/>
  <c r="D347" i="144" s="1"/>
  <c r="E50" i="144" s="1"/>
  <c r="D320" i="144"/>
  <c r="D357" i="144" s="1"/>
  <c r="E60" i="144" s="1"/>
  <c r="D327" i="144"/>
  <c r="D364" i="144" s="1"/>
  <c r="E67" i="144" s="1"/>
  <c r="D308" i="144"/>
  <c r="D345" i="144" s="1"/>
  <c r="E48" i="144" s="1"/>
  <c r="D311" i="144"/>
  <c r="D348" i="144" s="1"/>
  <c r="E51" i="144" s="1"/>
  <c r="E85" i="144" s="1"/>
  <c r="D329" i="144"/>
  <c r="D306" i="144"/>
  <c r="D343" i="144" s="1"/>
  <c r="E46" i="144" s="1"/>
  <c r="D313" i="144"/>
  <c r="D323" i="144"/>
  <c r="D360" i="144" s="1"/>
  <c r="E63" i="144" s="1"/>
  <c r="D304" i="144"/>
  <c r="D341" i="144" s="1"/>
  <c r="E44" i="144" s="1"/>
  <c r="D326" i="144"/>
  <c r="D363" i="144" s="1"/>
  <c r="E66" i="144" s="1"/>
  <c r="D321" i="144"/>
  <c r="D358" i="144" s="1"/>
  <c r="E61" i="144" s="1"/>
  <c r="D305" i="144"/>
  <c r="D342" i="144" s="1"/>
  <c r="E45" i="144" s="1"/>
  <c r="D26" i="128"/>
  <c r="D76" i="128" s="1"/>
  <c r="D27" i="102" s="1"/>
  <c r="D307" i="144"/>
  <c r="D344" i="144" s="1"/>
  <c r="E47" i="144" s="1"/>
  <c r="E81" i="144" s="1"/>
  <c r="D325" i="144"/>
  <c r="D362" i="144" s="1"/>
  <c r="E65" i="144" s="1"/>
  <c r="D328" i="144"/>
  <c r="D365" i="144" s="1"/>
  <c r="E68" i="144" s="1"/>
  <c r="D309" i="144"/>
  <c r="D346" i="144" s="1"/>
  <c r="E49" i="144" s="1"/>
  <c r="D319" i="144"/>
  <c r="D303" i="144"/>
  <c r="D324" i="144"/>
  <c r="D361" i="144" s="1"/>
  <c r="E64" i="144" s="1"/>
  <c r="E98" i="144" s="1"/>
  <c r="D312" i="144"/>
  <c r="D349" i="144" s="1"/>
  <c r="E52" i="144" s="1"/>
  <c r="E152" i="136"/>
  <c r="E118" i="136"/>
  <c r="E186" i="136"/>
  <c r="E184" i="136"/>
  <c r="E116" i="136"/>
  <c r="E150" i="136"/>
  <c r="E79" i="136"/>
  <c r="E86" i="136"/>
  <c r="E83" i="136"/>
  <c r="D356" i="136"/>
  <c r="D329" i="136"/>
  <c r="D330" i="136" s="1"/>
  <c r="E152" i="162"/>
  <c r="E186" i="162"/>
  <c r="E118" i="162"/>
  <c r="E79" i="162"/>
  <c r="E81" i="162"/>
  <c r="E102" i="162"/>
  <c r="D332" i="162"/>
  <c r="D333" i="162" s="1"/>
  <c r="E164" i="135"/>
  <c r="E198" i="135"/>
  <c r="E130" i="135"/>
  <c r="E100" i="135"/>
  <c r="E97" i="135"/>
  <c r="E95" i="135"/>
  <c r="D325" i="141"/>
  <c r="D362" i="141" s="1"/>
  <c r="E65" i="141" s="1"/>
  <c r="D320" i="141"/>
  <c r="D357" i="141" s="1"/>
  <c r="E60" i="141" s="1"/>
  <c r="D323" i="141"/>
  <c r="D360" i="141" s="1"/>
  <c r="E63" i="141" s="1"/>
  <c r="D326" i="141"/>
  <c r="D363" i="141" s="1"/>
  <c r="E66" i="141" s="1"/>
  <c r="D304" i="141"/>
  <c r="D341" i="141" s="1"/>
  <c r="E44" i="141" s="1"/>
  <c r="D306" i="141"/>
  <c r="D343" i="141" s="1"/>
  <c r="E46" i="141" s="1"/>
  <c r="D327" i="141"/>
  <c r="D364" i="141" s="1"/>
  <c r="E67" i="141" s="1"/>
  <c r="D303" i="141"/>
  <c r="D321" i="141"/>
  <c r="D358" i="141" s="1"/>
  <c r="E61" i="141" s="1"/>
  <c r="D313" i="141"/>
  <c r="D319" i="141"/>
  <c r="D322" i="141"/>
  <c r="D359" i="141" s="1"/>
  <c r="E62" i="141" s="1"/>
  <c r="D310" i="141"/>
  <c r="D347" i="141" s="1"/>
  <c r="E50" i="141" s="1"/>
  <c r="D305" i="141"/>
  <c r="D342" i="141" s="1"/>
  <c r="E45" i="141" s="1"/>
  <c r="D329" i="141"/>
  <c r="D308" i="141"/>
  <c r="D345" i="141" s="1"/>
  <c r="E48" i="141" s="1"/>
  <c r="D22" i="128"/>
  <c r="D72" i="128" s="1"/>
  <c r="D23" i="102" s="1"/>
  <c r="D328" i="141"/>
  <c r="D365" i="141" s="1"/>
  <c r="E68" i="141" s="1"/>
  <c r="E102" i="141" s="1"/>
  <c r="D309" i="141"/>
  <c r="D346" i="141" s="1"/>
  <c r="E49" i="141" s="1"/>
  <c r="D312" i="141"/>
  <c r="D349" i="141" s="1"/>
  <c r="E52" i="141" s="1"/>
  <c r="D311" i="141"/>
  <c r="D348" i="141" s="1"/>
  <c r="E51" i="141" s="1"/>
  <c r="E85" i="141" s="1"/>
  <c r="D307" i="141"/>
  <c r="D344" i="141" s="1"/>
  <c r="E47" i="141" s="1"/>
  <c r="E81" i="141" s="1"/>
  <c r="D324" i="141"/>
  <c r="D361" i="141" s="1"/>
  <c r="E64" i="141" s="1"/>
  <c r="E98" i="141" s="1"/>
  <c r="D331" i="141"/>
  <c r="D325" i="149"/>
  <c r="D362" i="149" s="1"/>
  <c r="E65" i="149" s="1"/>
  <c r="D328" i="149"/>
  <c r="D365" i="149" s="1"/>
  <c r="E68" i="149" s="1"/>
  <c r="D309" i="149"/>
  <c r="D346" i="149" s="1"/>
  <c r="E49" i="149" s="1"/>
  <c r="D319" i="149"/>
  <c r="D331" i="149"/>
  <c r="D307" i="149"/>
  <c r="D344" i="149" s="1"/>
  <c r="E47" i="149" s="1"/>
  <c r="D321" i="149"/>
  <c r="D358" i="149" s="1"/>
  <c r="E61" i="149" s="1"/>
  <c r="D306" i="149"/>
  <c r="D343" i="149" s="1"/>
  <c r="E46" i="149" s="1"/>
  <c r="D304" i="149"/>
  <c r="D341" i="149" s="1"/>
  <c r="E44" i="149" s="1"/>
  <c r="D324" i="149"/>
  <c r="D361" i="149" s="1"/>
  <c r="E64" i="149" s="1"/>
  <c r="D305" i="149"/>
  <c r="D342" i="149" s="1"/>
  <c r="E45" i="149" s="1"/>
  <c r="D312" i="149"/>
  <c r="D349" i="149" s="1"/>
  <c r="E52" i="149" s="1"/>
  <c r="D326" i="149"/>
  <c r="D363" i="149" s="1"/>
  <c r="E66" i="149" s="1"/>
  <c r="E100" i="149" s="1"/>
  <c r="D303" i="149"/>
  <c r="D31" i="128"/>
  <c r="D81" i="128" s="1"/>
  <c r="D32" i="102" s="1"/>
  <c r="D310" i="149"/>
  <c r="D347" i="149" s="1"/>
  <c r="E50" i="149" s="1"/>
  <c r="D320" i="149"/>
  <c r="D357" i="149" s="1"/>
  <c r="E60" i="149" s="1"/>
  <c r="D327" i="149"/>
  <c r="D364" i="149" s="1"/>
  <c r="E67" i="149" s="1"/>
  <c r="D308" i="149"/>
  <c r="D345" i="149" s="1"/>
  <c r="E48" i="149" s="1"/>
  <c r="D322" i="149"/>
  <c r="D359" i="149" s="1"/>
  <c r="E62" i="149" s="1"/>
  <c r="D329" i="149"/>
  <c r="D313" i="149"/>
  <c r="D323" i="149"/>
  <c r="D360" i="149" s="1"/>
  <c r="E63" i="149" s="1"/>
  <c r="D311" i="149"/>
  <c r="D348" i="149" s="1"/>
  <c r="E51" i="149" s="1"/>
  <c r="E85" i="149" s="1"/>
  <c r="N15" i="86"/>
  <c r="N67" i="88"/>
  <c r="D356" i="142"/>
  <c r="D330" i="142"/>
  <c r="E86" i="142"/>
  <c r="E99" i="142"/>
  <c r="D333" i="142"/>
  <c r="E82" i="142"/>
  <c r="D331" i="145"/>
  <c r="D307" i="145"/>
  <c r="D344" i="145" s="1"/>
  <c r="E47" i="145" s="1"/>
  <c r="D321" i="145"/>
  <c r="D358" i="145" s="1"/>
  <c r="E61" i="145" s="1"/>
  <c r="D324" i="145"/>
  <c r="D361" i="145" s="1"/>
  <c r="E64" i="145" s="1"/>
  <c r="D305" i="145"/>
  <c r="D342" i="145" s="1"/>
  <c r="E45" i="145" s="1"/>
  <c r="D312" i="145"/>
  <c r="D349" i="145" s="1"/>
  <c r="E52" i="145" s="1"/>
  <c r="D303" i="145"/>
  <c r="D310" i="145"/>
  <c r="D347" i="145" s="1"/>
  <c r="E50" i="145" s="1"/>
  <c r="D320" i="145"/>
  <c r="D357" i="145" s="1"/>
  <c r="E60" i="145" s="1"/>
  <c r="D327" i="145"/>
  <c r="D364" i="145" s="1"/>
  <c r="E67" i="145" s="1"/>
  <c r="D27" i="128"/>
  <c r="D77" i="128" s="1"/>
  <c r="D28" i="102" s="1"/>
  <c r="D328" i="145"/>
  <c r="D365" i="145" s="1"/>
  <c r="E68" i="145" s="1"/>
  <c r="E102" i="145" s="1"/>
  <c r="D326" i="145"/>
  <c r="D363" i="145" s="1"/>
  <c r="E66" i="145" s="1"/>
  <c r="D308" i="145"/>
  <c r="D345" i="145" s="1"/>
  <c r="E48" i="145" s="1"/>
  <c r="E82" i="145" s="1"/>
  <c r="D325" i="145"/>
  <c r="D362" i="145" s="1"/>
  <c r="E65" i="145" s="1"/>
  <c r="D319" i="145"/>
  <c r="D322" i="145"/>
  <c r="D359" i="145" s="1"/>
  <c r="E62" i="145" s="1"/>
  <c r="D329" i="145"/>
  <c r="D306" i="145"/>
  <c r="D343" i="145" s="1"/>
  <c r="E46" i="145" s="1"/>
  <c r="D313" i="145"/>
  <c r="D323" i="145"/>
  <c r="D360" i="145" s="1"/>
  <c r="E63" i="145" s="1"/>
  <c r="E97" i="145" s="1"/>
  <c r="D304" i="145"/>
  <c r="D341" i="145" s="1"/>
  <c r="E44" i="145" s="1"/>
  <c r="D311" i="145"/>
  <c r="D348" i="145" s="1"/>
  <c r="E51" i="145" s="1"/>
  <c r="D309" i="145"/>
  <c r="D346" i="145" s="1"/>
  <c r="E49" i="145" s="1"/>
  <c r="E83" i="145" s="1"/>
  <c r="E102" i="86"/>
  <c r="E204" i="86" s="1"/>
  <c r="E99" i="86"/>
  <c r="E201" i="86" s="1"/>
  <c r="E96" i="86"/>
  <c r="E198" i="86" s="1"/>
  <c r="E98" i="86"/>
  <c r="E166" i="86" s="1"/>
  <c r="E95" i="86"/>
  <c r="E129" i="86" s="1"/>
  <c r="E52" i="86"/>
  <c r="E49" i="86"/>
  <c r="E46" i="86"/>
  <c r="D340" i="86"/>
  <c r="D313" i="86"/>
  <c r="E100" i="86"/>
  <c r="D356" i="86"/>
  <c r="D329" i="86"/>
  <c r="D330" i="86" s="1"/>
  <c r="E50" i="86"/>
  <c r="E47" i="86"/>
  <c r="E44" i="86"/>
  <c r="E97" i="86"/>
  <c r="E45" i="86"/>
  <c r="D65" i="128"/>
  <c r="E200" i="86"/>
  <c r="E51" i="86"/>
  <c r="E48" i="86"/>
  <c r="E101" i="86"/>
  <c r="E85" i="145" l="1"/>
  <c r="E99" i="145"/>
  <c r="E97" i="149"/>
  <c r="E83" i="141"/>
  <c r="E101" i="141"/>
  <c r="E79" i="144"/>
  <c r="E198" i="147"/>
  <c r="E119" i="136"/>
  <c r="E165" i="162"/>
  <c r="E166" i="151"/>
  <c r="E184" i="150"/>
  <c r="E203" i="162"/>
  <c r="E81" i="149"/>
  <c r="E86" i="146"/>
  <c r="D332" i="138"/>
  <c r="D333" i="138" s="1"/>
  <c r="E83" i="134"/>
  <c r="E114" i="142"/>
  <c r="E79" i="139"/>
  <c r="E132" i="86"/>
  <c r="E236" i="143"/>
  <c r="E270" i="143" s="1"/>
  <c r="E80" i="134"/>
  <c r="E234" i="162"/>
  <c r="E268" i="162" s="1"/>
  <c r="E216" i="136"/>
  <c r="E250" i="136" s="1"/>
  <c r="E217" i="147"/>
  <c r="E251" i="147" s="1"/>
  <c r="E97" i="146"/>
  <c r="E101" i="146"/>
  <c r="D332" i="145"/>
  <c r="D333" i="145" s="1"/>
  <c r="E98" i="145"/>
  <c r="E100" i="141"/>
  <c r="E96" i="137"/>
  <c r="E198" i="137" s="1"/>
  <c r="E117" i="151"/>
  <c r="E80" i="145"/>
  <c r="E95" i="145"/>
  <c r="E79" i="149"/>
  <c r="E181" i="149" s="1"/>
  <c r="E102" i="144"/>
  <c r="E97" i="144"/>
  <c r="E119" i="150"/>
  <c r="E236" i="151"/>
  <c r="E270" i="151" s="1"/>
  <c r="E98" i="148"/>
  <c r="E102" i="148"/>
  <c r="E236" i="147"/>
  <c r="E270" i="147" s="1"/>
  <c r="E101" i="145"/>
  <c r="E135" i="145" s="1"/>
  <c r="D332" i="149"/>
  <c r="D333" i="149" s="1"/>
  <c r="E101" i="149"/>
  <c r="E98" i="149"/>
  <c r="E79" i="141"/>
  <c r="E181" i="141" s="1"/>
  <c r="D332" i="141"/>
  <c r="D333" i="141" s="1"/>
  <c r="E100" i="137"/>
  <c r="E86" i="137"/>
  <c r="D314" i="138"/>
  <c r="E221" i="147"/>
  <c r="E255" i="147" s="1"/>
  <c r="E150" i="162"/>
  <c r="E231" i="162"/>
  <c r="E265" i="162" s="1"/>
  <c r="I559" i="217"/>
  <c r="I563" i="217"/>
  <c r="E200" i="142"/>
  <c r="E100" i="144"/>
  <c r="E215" i="147"/>
  <c r="E249" i="147" s="1"/>
  <c r="E187" i="150"/>
  <c r="E84" i="137"/>
  <c r="E101" i="137"/>
  <c r="E233" i="142"/>
  <c r="E267" i="142" s="1"/>
  <c r="E215" i="142"/>
  <c r="E249" i="142" s="1"/>
  <c r="D314" i="135"/>
  <c r="D332" i="146"/>
  <c r="D333" i="146" s="1"/>
  <c r="E99" i="146"/>
  <c r="E133" i="146" s="1"/>
  <c r="E236" i="142"/>
  <c r="E270" i="142" s="1"/>
  <c r="E184" i="162"/>
  <c r="E185" i="151"/>
  <c r="E187" i="138"/>
  <c r="E221" i="138" s="1"/>
  <c r="E255" i="138" s="1"/>
  <c r="E231" i="142"/>
  <c r="E265" i="142" s="1"/>
  <c r="E238" i="135"/>
  <c r="E272" i="135" s="1"/>
  <c r="E217" i="143"/>
  <c r="E251" i="143" s="1"/>
  <c r="I558" i="217"/>
  <c r="J526" i="217" s="1"/>
  <c r="E166" i="142"/>
  <c r="E83" i="144"/>
  <c r="E216" i="138"/>
  <c r="E250" i="138" s="1"/>
  <c r="E85" i="134"/>
  <c r="E153" i="134" s="1"/>
  <c r="E233" i="162"/>
  <c r="E267" i="162" s="1"/>
  <c r="E234" i="150"/>
  <c r="E268" i="150" s="1"/>
  <c r="E129" i="138"/>
  <c r="E237" i="142"/>
  <c r="E271" i="142" s="1"/>
  <c r="E221" i="142"/>
  <c r="E255" i="142" s="1"/>
  <c r="M64" i="127"/>
  <c r="E85" i="139"/>
  <c r="I560" i="217"/>
  <c r="J527" i="217" s="1"/>
  <c r="E95" i="149"/>
  <c r="E97" i="141"/>
  <c r="E84" i="144"/>
  <c r="E222" i="143"/>
  <c r="E256" i="143" s="1"/>
  <c r="E215" i="150"/>
  <c r="E249" i="150" s="1"/>
  <c r="E234" i="143"/>
  <c r="E268" i="143" s="1"/>
  <c r="E234" i="151"/>
  <c r="E268" i="151" s="1"/>
  <c r="E220" i="150"/>
  <c r="E254" i="150" s="1"/>
  <c r="E153" i="145"/>
  <c r="E119" i="145"/>
  <c r="E187" i="145"/>
  <c r="E197" i="145"/>
  <c r="E129" i="145"/>
  <c r="E163" i="145"/>
  <c r="D340" i="149"/>
  <c r="D314" i="149"/>
  <c r="E149" i="149"/>
  <c r="E115" i="149"/>
  <c r="E183" i="149"/>
  <c r="E149" i="141"/>
  <c r="E183" i="141"/>
  <c r="E115" i="141"/>
  <c r="E170" i="144"/>
  <c r="E136" i="144"/>
  <c r="E204" i="144"/>
  <c r="E153" i="144"/>
  <c r="E119" i="144"/>
  <c r="E187" i="144"/>
  <c r="E183" i="150"/>
  <c r="E115" i="150"/>
  <c r="E149" i="150"/>
  <c r="E152" i="137"/>
  <c r="E186" i="137"/>
  <c r="E118" i="137"/>
  <c r="D329" i="137"/>
  <c r="D330" i="137" s="1"/>
  <c r="D356" i="137"/>
  <c r="E59" i="162"/>
  <c r="D366" i="162"/>
  <c r="E69" i="162" s="1"/>
  <c r="D367" i="162"/>
  <c r="E84" i="146"/>
  <c r="D35" i="128"/>
  <c r="I555" i="217"/>
  <c r="I561" i="217"/>
  <c r="I557" i="217"/>
  <c r="E131" i="145"/>
  <c r="E165" i="145"/>
  <c r="E199" i="145"/>
  <c r="E96" i="145"/>
  <c r="E100" i="145"/>
  <c r="E79" i="145"/>
  <c r="E120" i="142"/>
  <c r="E188" i="142"/>
  <c r="E154" i="142"/>
  <c r="E187" i="149"/>
  <c r="E153" i="149"/>
  <c r="E119" i="149"/>
  <c r="E96" i="149"/>
  <c r="E84" i="149"/>
  <c r="E86" i="149"/>
  <c r="E80" i="149"/>
  <c r="D356" i="149"/>
  <c r="D330" i="149"/>
  <c r="E86" i="141"/>
  <c r="E82" i="141"/>
  <c r="E96" i="141"/>
  <c r="D340" i="141"/>
  <c r="D314" i="141"/>
  <c r="E134" i="141"/>
  <c r="E202" i="141"/>
  <c r="E168" i="141"/>
  <c r="E163" i="135"/>
  <c r="E129" i="135"/>
  <c r="E197" i="135"/>
  <c r="E232" i="135"/>
  <c r="E266" i="135" s="1"/>
  <c r="E115" i="162"/>
  <c r="E183" i="162"/>
  <c r="E149" i="162"/>
  <c r="E185" i="136"/>
  <c r="E151" i="136"/>
  <c r="E117" i="136"/>
  <c r="E218" i="136"/>
  <c r="E252" i="136" s="1"/>
  <c r="D356" i="144"/>
  <c r="D330" i="144"/>
  <c r="E149" i="144"/>
  <c r="E183" i="144"/>
  <c r="E115" i="144"/>
  <c r="E134" i="144"/>
  <c r="E168" i="144"/>
  <c r="E202" i="144"/>
  <c r="E80" i="144"/>
  <c r="E101" i="144"/>
  <c r="E96" i="144"/>
  <c r="E198" i="143"/>
  <c r="E130" i="143"/>
  <c r="E164" i="143"/>
  <c r="E80" i="140"/>
  <c r="E183" i="140"/>
  <c r="E115" i="140"/>
  <c r="E217" i="140" s="1"/>
  <c r="E251" i="140" s="1"/>
  <c r="E149" i="140"/>
  <c r="E120" i="151"/>
  <c r="E154" i="151"/>
  <c r="E188" i="151"/>
  <c r="E233" i="150"/>
  <c r="E267" i="150" s="1"/>
  <c r="E132" i="138"/>
  <c r="E166" i="138"/>
  <c r="E200" i="138"/>
  <c r="E43" i="147"/>
  <c r="D350" i="147"/>
  <c r="D351" i="147" s="1"/>
  <c r="E219" i="138"/>
  <c r="E253" i="138" s="1"/>
  <c r="E102" i="137"/>
  <c r="E83" i="137"/>
  <c r="E97" i="137"/>
  <c r="E133" i="137"/>
  <c r="E201" i="137"/>
  <c r="E167" i="137"/>
  <c r="E85" i="137"/>
  <c r="E95" i="137"/>
  <c r="E203" i="135"/>
  <c r="E135" i="135"/>
  <c r="E169" i="135"/>
  <c r="E43" i="135"/>
  <c r="D350" i="135"/>
  <c r="D351" i="135" s="1"/>
  <c r="E133" i="162"/>
  <c r="E167" i="162"/>
  <c r="E201" i="162"/>
  <c r="E198" i="162"/>
  <c r="E130" i="162"/>
  <c r="E164" i="162"/>
  <c r="E96" i="146"/>
  <c r="E100" i="146"/>
  <c r="E80" i="146"/>
  <c r="E82" i="146"/>
  <c r="E134" i="136"/>
  <c r="E202" i="136"/>
  <c r="E168" i="136"/>
  <c r="E221" i="136"/>
  <c r="E255" i="136" s="1"/>
  <c r="E163" i="143"/>
  <c r="E129" i="143"/>
  <c r="E197" i="143"/>
  <c r="D314" i="140"/>
  <c r="D332" i="140"/>
  <c r="D333" i="140" s="1"/>
  <c r="E183" i="151"/>
  <c r="E115" i="151"/>
  <c r="E149" i="151"/>
  <c r="E119" i="151"/>
  <c r="E153" i="151"/>
  <c r="E187" i="151"/>
  <c r="E185" i="150"/>
  <c r="E117" i="150"/>
  <c r="E151" i="150"/>
  <c r="E231" i="150"/>
  <c r="E265" i="150" s="1"/>
  <c r="E116" i="138"/>
  <c r="E184" i="138"/>
  <c r="E150" i="138"/>
  <c r="E152" i="138"/>
  <c r="E186" i="138"/>
  <c r="E118" i="138"/>
  <c r="E59" i="147"/>
  <c r="D366" i="147"/>
  <c r="E69" i="147" s="1"/>
  <c r="D350" i="142"/>
  <c r="D351" i="142" s="1"/>
  <c r="E43" i="142"/>
  <c r="E100" i="134"/>
  <c r="E101" i="134"/>
  <c r="D90" i="102"/>
  <c r="D66" i="102"/>
  <c r="D34" i="95"/>
  <c r="D59" i="95" s="1"/>
  <c r="E102" i="134"/>
  <c r="E183" i="135"/>
  <c r="E149" i="135"/>
  <c r="E115" i="135"/>
  <c r="E216" i="135"/>
  <c r="E250" i="135" s="1"/>
  <c r="D332" i="136"/>
  <c r="D333" i="136" s="1"/>
  <c r="E97" i="148"/>
  <c r="E101" i="148"/>
  <c r="D332" i="148"/>
  <c r="E147" i="148"/>
  <c r="E181" i="148"/>
  <c r="E113" i="148"/>
  <c r="E83" i="148"/>
  <c r="E151" i="143"/>
  <c r="E185" i="143"/>
  <c r="E117" i="143"/>
  <c r="E129" i="151"/>
  <c r="E163" i="151"/>
  <c r="E197" i="151"/>
  <c r="E148" i="150"/>
  <c r="E182" i="150"/>
  <c r="E114" i="150"/>
  <c r="E237" i="150"/>
  <c r="E271" i="150" s="1"/>
  <c r="N64" i="127"/>
  <c r="E218" i="150"/>
  <c r="E252" i="150" s="1"/>
  <c r="E221" i="162"/>
  <c r="E255" i="162" s="1"/>
  <c r="E237" i="162"/>
  <c r="E271" i="162" s="1"/>
  <c r="E234" i="136"/>
  <c r="E268" i="136" s="1"/>
  <c r="E188" i="139"/>
  <c r="E120" i="139"/>
  <c r="E154" i="139"/>
  <c r="E166" i="139"/>
  <c r="E200" i="139"/>
  <c r="E132" i="139"/>
  <c r="D356" i="139"/>
  <c r="D329" i="139"/>
  <c r="D330" i="139" s="1"/>
  <c r="E187" i="139"/>
  <c r="E119" i="139"/>
  <c r="E153" i="139"/>
  <c r="E97" i="139"/>
  <c r="E215" i="143"/>
  <c r="E249" i="143" s="1"/>
  <c r="E152" i="140"/>
  <c r="E186" i="140"/>
  <c r="E118" i="140"/>
  <c r="D366" i="151"/>
  <c r="E69" i="151" s="1"/>
  <c r="E59" i="151"/>
  <c r="E185" i="145"/>
  <c r="E151" i="145"/>
  <c r="E117" i="145"/>
  <c r="D356" i="145"/>
  <c r="D330" i="145"/>
  <c r="E170" i="145"/>
  <c r="E136" i="145"/>
  <c r="E204" i="145"/>
  <c r="E84" i="145"/>
  <c r="E200" i="145"/>
  <c r="E132" i="145"/>
  <c r="E166" i="145"/>
  <c r="E116" i="142"/>
  <c r="E184" i="142"/>
  <c r="E150" i="142"/>
  <c r="E199" i="149"/>
  <c r="E165" i="149"/>
  <c r="E131" i="149"/>
  <c r="E82" i="149"/>
  <c r="D105" i="102"/>
  <c r="D49" i="95"/>
  <c r="D74" i="95" s="1"/>
  <c r="E129" i="149"/>
  <c r="E197" i="149"/>
  <c r="E163" i="149"/>
  <c r="E83" i="149"/>
  <c r="E166" i="141"/>
  <c r="E132" i="141"/>
  <c r="E200" i="141"/>
  <c r="E185" i="141"/>
  <c r="E117" i="141"/>
  <c r="E151" i="141"/>
  <c r="D356" i="141"/>
  <c r="D330" i="141"/>
  <c r="E203" i="141"/>
  <c r="E169" i="141"/>
  <c r="E135" i="141"/>
  <c r="E199" i="141"/>
  <c r="E131" i="141"/>
  <c r="E165" i="141"/>
  <c r="E199" i="135"/>
  <c r="E165" i="135"/>
  <c r="E131" i="135"/>
  <c r="E188" i="136"/>
  <c r="E120" i="136"/>
  <c r="E154" i="136"/>
  <c r="E86" i="144"/>
  <c r="E117" i="144"/>
  <c r="E185" i="144"/>
  <c r="E151" i="144"/>
  <c r="D100" i="102"/>
  <c r="D44" i="95"/>
  <c r="D69" i="95" s="1"/>
  <c r="E203" i="143"/>
  <c r="E169" i="143"/>
  <c r="E135" i="143"/>
  <c r="AC34" i="95"/>
  <c r="D57" i="95"/>
  <c r="E188" i="140"/>
  <c r="E120" i="140"/>
  <c r="E154" i="140"/>
  <c r="J575" i="217"/>
  <c r="E199" i="151"/>
  <c r="E165" i="151"/>
  <c r="E131" i="151"/>
  <c r="E218" i="151"/>
  <c r="E252" i="151" s="1"/>
  <c r="D350" i="150"/>
  <c r="E43" i="150"/>
  <c r="E183" i="138"/>
  <c r="E149" i="138"/>
  <c r="E115" i="138"/>
  <c r="E231" i="147"/>
  <c r="E265" i="147" s="1"/>
  <c r="E221" i="150"/>
  <c r="E255" i="150" s="1"/>
  <c r="E164" i="137"/>
  <c r="D93" i="102"/>
  <c r="D37" i="95"/>
  <c r="D62" i="95" s="1"/>
  <c r="D313" i="137"/>
  <c r="D332" i="137" s="1"/>
  <c r="D333" i="137" s="1"/>
  <c r="D340" i="137"/>
  <c r="E82" i="137"/>
  <c r="E198" i="142"/>
  <c r="E164" i="142"/>
  <c r="E130" i="142"/>
  <c r="E170" i="142"/>
  <c r="E136" i="142"/>
  <c r="E204" i="142"/>
  <c r="E238" i="142" s="1"/>
  <c r="E272" i="142" s="1"/>
  <c r="E151" i="162"/>
  <c r="E117" i="162"/>
  <c r="E185" i="162"/>
  <c r="E166" i="146"/>
  <c r="E200" i="146"/>
  <c r="E132" i="146"/>
  <c r="D356" i="146"/>
  <c r="D330" i="146"/>
  <c r="E181" i="146"/>
  <c r="E147" i="146"/>
  <c r="E113" i="146"/>
  <c r="E165" i="146"/>
  <c r="E199" i="146"/>
  <c r="E131" i="146"/>
  <c r="E188" i="146"/>
  <c r="E154" i="146"/>
  <c r="E120" i="146"/>
  <c r="E169" i="146"/>
  <c r="E203" i="146"/>
  <c r="E135" i="146"/>
  <c r="E199" i="136"/>
  <c r="E233" i="136" s="1"/>
  <c r="E267" i="136" s="1"/>
  <c r="E165" i="136"/>
  <c r="E131" i="136"/>
  <c r="E182" i="143"/>
  <c r="E148" i="143"/>
  <c r="E114" i="143"/>
  <c r="E167" i="140"/>
  <c r="E269" i="140"/>
  <c r="E201" i="140"/>
  <c r="E235" i="140" s="1"/>
  <c r="E133" i="140"/>
  <c r="J514" i="217"/>
  <c r="D350" i="140"/>
  <c r="E43" i="140"/>
  <c r="E118" i="151"/>
  <c r="E186" i="151"/>
  <c r="E152" i="151"/>
  <c r="E134" i="150"/>
  <c r="E202" i="150"/>
  <c r="E168" i="150"/>
  <c r="E169" i="147"/>
  <c r="E203" i="147"/>
  <c r="E135" i="147"/>
  <c r="E238" i="147"/>
  <c r="E272" i="147" s="1"/>
  <c r="E219" i="142"/>
  <c r="E253" i="142" s="1"/>
  <c r="D313" i="134"/>
  <c r="D340" i="134"/>
  <c r="E199" i="134"/>
  <c r="E131" i="134"/>
  <c r="E165" i="134"/>
  <c r="E151" i="134"/>
  <c r="E117" i="134"/>
  <c r="E185" i="134"/>
  <c r="E98" i="134"/>
  <c r="E164" i="134"/>
  <c r="E198" i="134"/>
  <c r="E130" i="134"/>
  <c r="E99" i="134"/>
  <c r="D350" i="136"/>
  <c r="D351" i="136" s="1"/>
  <c r="E43" i="136"/>
  <c r="E182" i="148"/>
  <c r="E148" i="148"/>
  <c r="E114" i="148"/>
  <c r="E132" i="148"/>
  <c r="E200" i="148"/>
  <c r="E166" i="148"/>
  <c r="D340" i="148"/>
  <c r="D314" i="148"/>
  <c r="E136" i="148"/>
  <c r="E204" i="148"/>
  <c r="E170" i="148"/>
  <c r="E43" i="143"/>
  <c r="D350" i="143"/>
  <c r="D351" i="143" s="1"/>
  <c r="E198" i="138"/>
  <c r="E232" i="138" s="1"/>
  <c r="E266" i="138" s="1"/>
  <c r="E130" i="138"/>
  <c r="E164" i="138"/>
  <c r="E150" i="147"/>
  <c r="E184" i="147"/>
  <c r="E116" i="147"/>
  <c r="E219" i="147"/>
  <c r="E253" i="147" s="1"/>
  <c r="E153" i="135"/>
  <c r="E119" i="135"/>
  <c r="E187" i="135"/>
  <c r="E186" i="135"/>
  <c r="E118" i="135"/>
  <c r="E152" i="135"/>
  <c r="E219" i="135"/>
  <c r="E253" i="135" s="1"/>
  <c r="E43" i="162"/>
  <c r="D350" i="162"/>
  <c r="D351" i="162" s="1"/>
  <c r="E181" i="139"/>
  <c r="E147" i="139"/>
  <c r="E113" i="139"/>
  <c r="E96" i="139"/>
  <c r="E83" i="139"/>
  <c r="E101" i="139"/>
  <c r="D366" i="143"/>
  <c r="E69" i="143" s="1"/>
  <c r="E59" i="143"/>
  <c r="D366" i="140"/>
  <c r="E59" i="140"/>
  <c r="E119" i="140"/>
  <c r="E187" i="140"/>
  <c r="E153" i="140"/>
  <c r="E147" i="151"/>
  <c r="E181" i="151"/>
  <c r="E113" i="151"/>
  <c r="E201" i="145"/>
  <c r="E167" i="145"/>
  <c r="E133" i="145"/>
  <c r="D340" i="145"/>
  <c r="D314" i="145"/>
  <c r="D366" i="142"/>
  <c r="E69" i="142" s="1"/>
  <c r="E59" i="142"/>
  <c r="E169" i="149"/>
  <c r="E203" i="149"/>
  <c r="E135" i="149"/>
  <c r="E200" i="149"/>
  <c r="E166" i="149"/>
  <c r="E132" i="149"/>
  <c r="E204" i="141"/>
  <c r="E170" i="141"/>
  <c r="E136" i="141"/>
  <c r="E80" i="141"/>
  <c r="E202" i="135"/>
  <c r="E134" i="135"/>
  <c r="E168" i="135"/>
  <c r="E147" i="162"/>
  <c r="E113" i="162"/>
  <c r="E181" i="162"/>
  <c r="E147" i="136"/>
  <c r="E113" i="136"/>
  <c r="E181" i="136"/>
  <c r="E165" i="144"/>
  <c r="E131" i="144"/>
  <c r="E199" i="144"/>
  <c r="E132" i="140"/>
  <c r="E200" i="140"/>
  <c r="E166" i="140"/>
  <c r="E204" i="138"/>
  <c r="E170" i="138"/>
  <c r="E136" i="138"/>
  <c r="E201" i="147"/>
  <c r="E133" i="147"/>
  <c r="E167" i="147"/>
  <c r="E147" i="137"/>
  <c r="E181" i="137"/>
  <c r="E113" i="137"/>
  <c r="E151" i="146"/>
  <c r="E117" i="146"/>
  <c r="E185" i="146"/>
  <c r="E271" i="140"/>
  <c r="E203" i="140"/>
  <c r="E237" i="140" s="1"/>
  <c r="E135" i="140"/>
  <c r="E169" i="140"/>
  <c r="E198" i="151"/>
  <c r="E130" i="151"/>
  <c r="E164" i="151"/>
  <c r="E154" i="138"/>
  <c r="E120" i="138"/>
  <c r="E188" i="138"/>
  <c r="E43" i="138"/>
  <c r="D350" i="138"/>
  <c r="D351" i="138" s="1"/>
  <c r="E114" i="147"/>
  <c r="E148" i="147"/>
  <c r="E182" i="147"/>
  <c r="E149" i="142"/>
  <c r="E183" i="142"/>
  <c r="E115" i="142"/>
  <c r="E148" i="134"/>
  <c r="E182" i="134"/>
  <c r="E114" i="134"/>
  <c r="E119" i="134"/>
  <c r="E95" i="134"/>
  <c r="E86" i="134"/>
  <c r="E150" i="135"/>
  <c r="E184" i="135"/>
  <c r="E116" i="135"/>
  <c r="E236" i="162"/>
  <c r="E270" i="162" s="1"/>
  <c r="E183" i="136"/>
  <c r="E149" i="136"/>
  <c r="E115" i="136"/>
  <c r="E231" i="136"/>
  <c r="E265" i="136" s="1"/>
  <c r="E187" i="148"/>
  <c r="E119" i="148"/>
  <c r="E153" i="148"/>
  <c r="E152" i="148"/>
  <c r="E186" i="148"/>
  <c r="E118" i="148"/>
  <c r="E164" i="148"/>
  <c r="E130" i="148"/>
  <c r="E198" i="148"/>
  <c r="E95" i="148"/>
  <c r="E134" i="148"/>
  <c r="E168" i="148"/>
  <c r="E202" i="148"/>
  <c r="E99" i="148"/>
  <c r="E238" i="143"/>
  <c r="E272" i="143" s="1"/>
  <c r="E199" i="140"/>
  <c r="E233" i="140" s="1"/>
  <c r="E267" i="140" s="1"/>
  <c r="E131" i="140"/>
  <c r="E165" i="140"/>
  <c r="E219" i="151"/>
  <c r="E253" i="151" s="1"/>
  <c r="D350" i="151"/>
  <c r="D351" i="151" s="1"/>
  <c r="E43" i="151"/>
  <c r="E134" i="138"/>
  <c r="E168" i="138"/>
  <c r="E202" i="138"/>
  <c r="D366" i="150"/>
  <c r="E69" i="150" s="1"/>
  <c r="E70" i="150" s="1"/>
  <c r="E59" i="150"/>
  <c r="E59" i="135"/>
  <c r="D366" i="135"/>
  <c r="E69" i="135" s="1"/>
  <c r="E237" i="136"/>
  <c r="E271" i="136" s="1"/>
  <c r="E150" i="139"/>
  <c r="E116" i="139"/>
  <c r="E184" i="139"/>
  <c r="E136" i="139"/>
  <c r="E204" i="139"/>
  <c r="E170" i="139"/>
  <c r="D340" i="139"/>
  <c r="D313" i="139"/>
  <c r="D332" i="139" s="1"/>
  <c r="D333" i="139" s="1"/>
  <c r="E80" i="139"/>
  <c r="E81" i="139"/>
  <c r="E84" i="139"/>
  <c r="E150" i="143"/>
  <c r="E116" i="143"/>
  <c r="E184" i="143"/>
  <c r="J577" i="217"/>
  <c r="E59" i="138"/>
  <c r="D366" i="138"/>
  <c r="E69" i="138" s="1"/>
  <c r="E182" i="145"/>
  <c r="E114" i="145"/>
  <c r="E148" i="145"/>
  <c r="D101" i="102"/>
  <c r="D45" i="95"/>
  <c r="D70" i="95" s="1"/>
  <c r="E102" i="149"/>
  <c r="E200" i="144"/>
  <c r="E132" i="144"/>
  <c r="E166" i="144"/>
  <c r="E147" i="144"/>
  <c r="E181" i="144"/>
  <c r="E113" i="144"/>
  <c r="E152" i="144"/>
  <c r="E118" i="144"/>
  <c r="E186" i="144"/>
  <c r="E147" i="140"/>
  <c r="E249" i="140"/>
  <c r="E113" i="140"/>
  <c r="E215" i="140" s="1"/>
  <c r="E181" i="140"/>
  <c r="E115" i="137"/>
  <c r="E149" i="137"/>
  <c r="E183" i="137"/>
  <c r="E169" i="137"/>
  <c r="E135" i="137"/>
  <c r="E203" i="137"/>
  <c r="E197" i="146"/>
  <c r="E129" i="146"/>
  <c r="E163" i="146"/>
  <c r="E198" i="136"/>
  <c r="E130" i="136"/>
  <c r="E164" i="136"/>
  <c r="I562" i="217"/>
  <c r="I556" i="217"/>
  <c r="E184" i="145"/>
  <c r="E116" i="145"/>
  <c r="E150" i="145"/>
  <c r="E203" i="145"/>
  <c r="E86" i="145"/>
  <c r="E81" i="145"/>
  <c r="E167" i="142"/>
  <c r="E133" i="142"/>
  <c r="E201" i="142"/>
  <c r="E234" i="142"/>
  <c r="E268" i="142" s="1"/>
  <c r="E134" i="149"/>
  <c r="E202" i="149"/>
  <c r="E168" i="149"/>
  <c r="E99" i="149"/>
  <c r="E153" i="141"/>
  <c r="E119" i="141"/>
  <c r="E187" i="141"/>
  <c r="D96" i="102"/>
  <c r="D40" i="95"/>
  <c r="D65" i="95" s="1"/>
  <c r="E84" i="141"/>
  <c r="E95" i="141"/>
  <c r="E99" i="141"/>
  <c r="E170" i="162"/>
  <c r="E136" i="162"/>
  <c r="E204" i="162"/>
  <c r="E220" i="162"/>
  <c r="E254" i="162" s="1"/>
  <c r="D366" i="136"/>
  <c r="E69" i="136" s="1"/>
  <c r="E59" i="136"/>
  <c r="E220" i="136"/>
  <c r="E254" i="136" s="1"/>
  <c r="D340" i="144"/>
  <c r="D314" i="144"/>
  <c r="E99" i="144"/>
  <c r="E95" i="144"/>
  <c r="D332" i="144"/>
  <c r="D333" i="144" s="1"/>
  <c r="E82" i="144"/>
  <c r="E187" i="143"/>
  <c r="E119" i="143"/>
  <c r="E153" i="143"/>
  <c r="J357" i="217"/>
  <c r="J616" i="217"/>
  <c r="J620" i="217" s="1"/>
  <c r="J574" i="217"/>
  <c r="E201" i="151"/>
  <c r="E167" i="151"/>
  <c r="E133" i="151"/>
  <c r="E164" i="150"/>
  <c r="E198" i="150"/>
  <c r="E130" i="150"/>
  <c r="E204" i="150"/>
  <c r="E136" i="150"/>
  <c r="E170" i="150"/>
  <c r="E154" i="150"/>
  <c r="E120" i="150"/>
  <c r="E188" i="150"/>
  <c r="E135" i="138"/>
  <c r="E203" i="138"/>
  <c r="E169" i="138"/>
  <c r="E186" i="147"/>
  <c r="E118" i="147"/>
  <c r="E152" i="147"/>
  <c r="E232" i="147"/>
  <c r="E266" i="147" s="1"/>
  <c r="E222" i="147"/>
  <c r="E256" i="147" s="1"/>
  <c r="E168" i="137"/>
  <c r="E134" i="137"/>
  <c r="E202" i="137"/>
  <c r="E120" i="137"/>
  <c r="E188" i="137"/>
  <c r="E154" i="137"/>
  <c r="E80" i="137"/>
  <c r="E98" i="137"/>
  <c r="E220" i="142"/>
  <c r="E254" i="142" s="1"/>
  <c r="E234" i="135"/>
  <c r="E268" i="135" s="1"/>
  <c r="E215" i="135"/>
  <c r="E249" i="135" s="1"/>
  <c r="E188" i="162"/>
  <c r="E154" i="162"/>
  <c r="E120" i="162"/>
  <c r="D340" i="146"/>
  <c r="D314" i="146"/>
  <c r="E102" i="146"/>
  <c r="E183" i="146"/>
  <c r="E115" i="146"/>
  <c r="E149" i="146"/>
  <c r="E85" i="146"/>
  <c r="D102" i="102"/>
  <c r="D46" i="95"/>
  <c r="D71" i="95" s="1"/>
  <c r="E201" i="143"/>
  <c r="E133" i="143"/>
  <c r="E167" i="143"/>
  <c r="E82" i="140"/>
  <c r="E170" i="151"/>
  <c r="E204" i="151"/>
  <c r="E136" i="151"/>
  <c r="E181" i="138"/>
  <c r="E147" i="138"/>
  <c r="E113" i="138"/>
  <c r="E199" i="147"/>
  <c r="E131" i="147"/>
  <c r="E165" i="147"/>
  <c r="E234" i="147"/>
  <c r="E268" i="147" s="1"/>
  <c r="E81" i="134"/>
  <c r="E84" i="134"/>
  <c r="E82" i="134"/>
  <c r="D329" i="134"/>
  <c r="D330" i="134" s="1"/>
  <c r="D356" i="134"/>
  <c r="E79" i="134"/>
  <c r="E188" i="135"/>
  <c r="E120" i="135"/>
  <c r="E154" i="135"/>
  <c r="E235" i="135"/>
  <c r="E269" i="135" s="1"/>
  <c r="E218" i="162"/>
  <c r="E252" i="162" s="1"/>
  <c r="D314" i="136"/>
  <c r="E133" i="136"/>
  <c r="E201" i="136"/>
  <c r="E167" i="136"/>
  <c r="E81" i="148"/>
  <c r="E82" i="148"/>
  <c r="D333" i="148"/>
  <c r="E86" i="148"/>
  <c r="D104" i="102"/>
  <c r="D48" i="95"/>
  <c r="D73" i="95" s="1"/>
  <c r="D356" i="148"/>
  <c r="D330" i="148"/>
  <c r="E131" i="143"/>
  <c r="E199" i="143"/>
  <c r="E165" i="143"/>
  <c r="E231" i="140"/>
  <c r="E265" i="140" s="1"/>
  <c r="E232" i="140"/>
  <c r="E266" i="140" s="1"/>
  <c r="E114" i="151"/>
  <c r="E182" i="151"/>
  <c r="E148" i="151"/>
  <c r="E133" i="150"/>
  <c r="E201" i="150"/>
  <c r="E167" i="150"/>
  <c r="E233" i="138"/>
  <c r="E267" i="138" s="1"/>
  <c r="E231" i="138"/>
  <c r="E265" i="138" s="1"/>
  <c r="E216" i="142"/>
  <c r="E250" i="142" s="1"/>
  <c r="E216" i="162"/>
  <c r="E250" i="162" s="1"/>
  <c r="E170" i="136"/>
  <c r="E204" i="136"/>
  <c r="E136" i="136"/>
  <c r="E197" i="139"/>
  <c r="E129" i="139"/>
  <c r="E163" i="139"/>
  <c r="E99" i="139"/>
  <c r="E100" i="139"/>
  <c r="D95" i="102"/>
  <c r="D39" i="95"/>
  <c r="D64" i="95" s="1"/>
  <c r="E220" i="143"/>
  <c r="E254" i="143" s="1"/>
  <c r="E185" i="140"/>
  <c r="E151" i="140"/>
  <c r="E117" i="140"/>
  <c r="E219" i="140" s="1"/>
  <c r="E253" i="140" s="1"/>
  <c r="E238" i="140"/>
  <c r="E272" i="140" s="1"/>
  <c r="E237" i="151"/>
  <c r="E271" i="151" s="1"/>
  <c r="E85" i="86"/>
  <c r="E119" i="86" s="1"/>
  <c r="E79" i="86"/>
  <c r="E147" i="86" s="1"/>
  <c r="E197" i="86"/>
  <c r="J525" i="217"/>
  <c r="E130" i="86"/>
  <c r="E170" i="86"/>
  <c r="E136" i="86"/>
  <c r="E82" i="86"/>
  <c r="E184" i="86" s="1"/>
  <c r="E164" i="86"/>
  <c r="E163" i="86"/>
  <c r="E167" i="86"/>
  <c r="E133" i="86"/>
  <c r="J528" i="217"/>
  <c r="E84" i="86"/>
  <c r="E186" i="86" s="1"/>
  <c r="E80" i="86"/>
  <c r="E114" i="86" s="1"/>
  <c r="E86" i="86"/>
  <c r="E120" i="86" s="1"/>
  <c r="E165" i="86"/>
  <c r="E199" i="86"/>
  <c r="E131" i="86"/>
  <c r="E59" i="86"/>
  <c r="D366" i="86"/>
  <c r="E153" i="86"/>
  <c r="E234" i="86"/>
  <c r="E268" i="86" s="1"/>
  <c r="E168" i="86"/>
  <c r="E202" i="86"/>
  <c r="E134" i="86"/>
  <c r="E169" i="86"/>
  <c r="E203" i="86"/>
  <c r="E135" i="86"/>
  <c r="D16" i="102"/>
  <c r="D85" i="128"/>
  <c r="D332" i="86"/>
  <c r="D333" i="86" s="1"/>
  <c r="D314" i="86"/>
  <c r="E83" i="86"/>
  <c r="E81" i="86"/>
  <c r="D350" i="86"/>
  <c r="E43" i="86"/>
  <c r="E77" i="86" s="1"/>
  <c r="E215" i="162" l="1"/>
  <c r="E249" i="162" s="1"/>
  <c r="E232" i="143"/>
  <c r="E266" i="143" s="1"/>
  <c r="E235" i="143"/>
  <c r="E269" i="143" s="1"/>
  <c r="D367" i="142"/>
  <c r="E236" i="144"/>
  <c r="E270" i="144" s="1"/>
  <c r="I554" i="217"/>
  <c r="E70" i="136"/>
  <c r="E169" i="145"/>
  <c r="E231" i="146"/>
  <c r="E265" i="146" s="1"/>
  <c r="E147" i="141"/>
  <c r="E215" i="141" s="1"/>
  <c r="E249" i="141" s="1"/>
  <c r="E187" i="134"/>
  <c r="E236" i="135"/>
  <c r="E270" i="135" s="1"/>
  <c r="E130" i="137"/>
  <c r="E147" i="149"/>
  <c r="E215" i="149" s="1"/>
  <c r="E249" i="149" s="1"/>
  <c r="E201" i="146"/>
  <c r="E237" i="137"/>
  <c r="E271" i="137" s="1"/>
  <c r="E113" i="141"/>
  <c r="D367" i="150"/>
  <c r="E70" i="143"/>
  <c r="E232" i="134"/>
  <c r="E266" i="134" s="1"/>
  <c r="E219" i="134"/>
  <c r="E253" i="134" s="1"/>
  <c r="E233" i="134"/>
  <c r="E267" i="134" s="1"/>
  <c r="E233" i="135"/>
  <c r="E267" i="135" s="1"/>
  <c r="E113" i="149"/>
  <c r="E167" i="146"/>
  <c r="E222" i="137"/>
  <c r="E256" i="137" s="1"/>
  <c r="E222" i="150"/>
  <c r="E256" i="150" s="1"/>
  <c r="E235" i="142"/>
  <c r="E269" i="142" s="1"/>
  <c r="E222" i="138"/>
  <c r="E256" i="138" s="1"/>
  <c r="E216" i="148"/>
  <c r="E250" i="148" s="1"/>
  <c r="E231" i="149"/>
  <c r="E265" i="149" s="1"/>
  <c r="E232" i="136"/>
  <c r="E266" i="136" s="1"/>
  <c r="D367" i="138"/>
  <c r="E215" i="151"/>
  <c r="E249" i="151" s="1"/>
  <c r="E70" i="151"/>
  <c r="E217" i="151"/>
  <c r="E251" i="151" s="1"/>
  <c r="E222" i="151"/>
  <c r="E256" i="151" s="1"/>
  <c r="E221" i="144"/>
  <c r="E255" i="144" s="1"/>
  <c r="E231" i="139"/>
  <c r="E265" i="139" s="1"/>
  <c r="E221" i="143"/>
  <c r="E255" i="143" s="1"/>
  <c r="E216" i="147"/>
  <c r="E250" i="147" s="1"/>
  <c r="E215" i="139"/>
  <c r="E249" i="139" s="1"/>
  <c r="D314" i="137"/>
  <c r="E219" i="144"/>
  <c r="E253" i="144" s="1"/>
  <c r="E234" i="145"/>
  <c r="E268" i="145" s="1"/>
  <c r="E219" i="143"/>
  <c r="E253" i="143" s="1"/>
  <c r="E215" i="148"/>
  <c r="E249" i="148" s="1"/>
  <c r="E217" i="135"/>
  <c r="E251" i="135" s="1"/>
  <c r="E222" i="142"/>
  <c r="E256" i="142" s="1"/>
  <c r="E233" i="145"/>
  <c r="E267" i="145" s="1"/>
  <c r="E217" i="141"/>
  <c r="E251" i="141" s="1"/>
  <c r="E217" i="149"/>
  <c r="E251" i="149" s="1"/>
  <c r="E221" i="145"/>
  <c r="E255" i="145" s="1"/>
  <c r="E217" i="146"/>
  <c r="E251" i="146" s="1"/>
  <c r="E236" i="149"/>
  <c r="E270" i="149" s="1"/>
  <c r="E232" i="151"/>
  <c r="E266" i="151" s="1"/>
  <c r="E70" i="142"/>
  <c r="E231" i="151"/>
  <c r="E265" i="151" s="1"/>
  <c r="E220" i="138"/>
  <c r="E254" i="138" s="1"/>
  <c r="E219" i="150"/>
  <c r="E253" i="150" s="1"/>
  <c r="E221" i="151"/>
  <c r="E255" i="151" s="1"/>
  <c r="E234" i="138"/>
  <c r="E268" i="138" s="1"/>
  <c r="E217" i="144"/>
  <c r="E251" i="144" s="1"/>
  <c r="E238" i="144"/>
  <c r="E272" i="144" s="1"/>
  <c r="E236" i="148"/>
  <c r="E270" i="148" s="1"/>
  <c r="E232" i="148"/>
  <c r="E266" i="148" s="1"/>
  <c r="E221" i="134"/>
  <c r="E255" i="134" s="1"/>
  <c r="E235" i="145"/>
  <c r="E269" i="145" s="1"/>
  <c r="E233" i="151"/>
  <c r="E267" i="151" s="1"/>
  <c r="D366" i="148"/>
  <c r="E69" i="148" s="1"/>
  <c r="E59" i="148"/>
  <c r="E113" i="134"/>
  <c r="E181" i="134"/>
  <c r="E147" i="134"/>
  <c r="E184" i="140"/>
  <c r="E116" i="140"/>
  <c r="E218" i="140" s="1"/>
  <c r="E252" i="140" s="1"/>
  <c r="E150" i="140"/>
  <c r="D350" i="146"/>
  <c r="D351" i="146" s="1"/>
  <c r="E43" i="146"/>
  <c r="E43" i="145"/>
  <c r="D350" i="145"/>
  <c r="D351" i="145" s="1"/>
  <c r="E78" i="136"/>
  <c r="E77" i="136"/>
  <c r="E150" i="86"/>
  <c r="E187" i="86"/>
  <c r="E115" i="148"/>
  <c r="E149" i="148"/>
  <c r="E183" i="148"/>
  <c r="E222" i="135"/>
  <c r="E256" i="135" s="1"/>
  <c r="E215" i="138"/>
  <c r="E249" i="138" s="1"/>
  <c r="E238" i="151"/>
  <c r="E272" i="151" s="1"/>
  <c r="E187" i="146"/>
  <c r="E119" i="146"/>
  <c r="E153" i="146"/>
  <c r="E170" i="146"/>
  <c r="E204" i="146"/>
  <c r="E136" i="146"/>
  <c r="E235" i="151"/>
  <c r="E269" i="151" s="1"/>
  <c r="E150" i="144"/>
  <c r="E184" i="144"/>
  <c r="E116" i="144"/>
  <c r="E93" i="136"/>
  <c r="E94" i="136"/>
  <c r="E197" i="141"/>
  <c r="E129" i="141"/>
  <c r="E163" i="141"/>
  <c r="E234" i="144"/>
  <c r="E268" i="144" s="1"/>
  <c r="E204" i="149"/>
  <c r="E136" i="149"/>
  <c r="E170" i="149"/>
  <c r="E216" i="145"/>
  <c r="E250" i="145" s="1"/>
  <c r="E94" i="138"/>
  <c r="E93" i="138"/>
  <c r="E218" i="143"/>
  <c r="E252" i="143" s="1"/>
  <c r="E114" i="139"/>
  <c r="E148" i="139"/>
  <c r="E182" i="139"/>
  <c r="E218" i="139"/>
  <c r="E252" i="139" s="1"/>
  <c r="E70" i="135"/>
  <c r="E217" i="136"/>
  <c r="E251" i="136" s="1"/>
  <c r="E218" i="135"/>
  <c r="E252" i="135" s="1"/>
  <c r="E129" i="134"/>
  <c r="E197" i="134"/>
  <c r="E163" i="134"/>
  <c r="E217" i="142"/>
  <c r="E251" i="142" s="1"/>
  <c r="E77" i="138"/>
  <c r="E78" i="138"/>
  <c r="E235" i="147"/>
  <c r="E269" i="147" s="1"/>
  <c r="E233" i="144"/>
  <c r="E267" i="144" s="1"/>
  <c r="E215" i="136"/>
  <c r="E249" i="136" s="1"/>
  <c r="E148" i="141"/>
  <c r="E114" i="141"/>
  <c r="E182" i="141"/>
  <c r="E234" i="149"/>
  <c r="E268" i="149" s="1"/>
  <c r="E237" i="149"/>
  <c r="E271" i="149" s="1"/>
  <c r="E93" i="143"/>
  <c r="E94" i="143"/>
  <c r="E151" i="139"/>
  <c r="E185" i="139"/>
  <c r="E117" i="139"/>
  <c r="E218" i="147"/>
  <c r="E252" i="147" s="1"/>
  <c r="E77" i="143"/>
  <c r="E78" i="143"/>
  <c r="E201" i="134"/>
  <c r="E133" i="134"/>
  <c r="E167" i="134"/>
  <c r="E166" i="134"/>
  <c r="E200" i="134"/>
  <c r="E132" i="134"/>
  <c r="E43" i="134"/>
  <c r="D350" i="134"/>
  <c r="D351" i="134" s="1"/>
  <c r="E220" i="151"/>
  <c r="E254" i="151" s="1"/>
  <c r="E216" i="143"/>
  <c r="E250" i="143" s="1"/>
  <c r="E219" i="162"/>
  <c r="E253" i="162" s="1"/>
  <c r="E116" i="137"/>
  <c r="E150" i="137"/>
  <c r="E184" i="137"/>
  <c r="E217" i="138"/>
  <c r="E251" i="138" s="1"/>
  <c r="E77" i="150"/>
  <c r="E78" i="150"/>
  <c r="E222" i="140"/>
  <c r="E256" i="140" s="1"/>
  <c r="E233" i="141"/>
  <c r="E267" i="141" s="1"/>
  <c r="E117" i="149"/>
  <c r="E185" i="149"/>
  <c r="E151" i="149"/>
  <c r="E233" i="149"/>
  <c r="E267" i="149" s="1"/>
  <c r="E238" i="145"/>
  <c r="E272" i="145" s="1"/>
  <c r="D366" i="145"/>
  <c r="E69" i="145" s="1"/>
  <c r="E59" i="145"/>
  <c r="D367" i="151"/>
  <c r="E220" i="140"/>
  <c r="E254" i="140" s="1"/>
  <c r="E234" i="139"/>
  <c r="E268" i="139" s="1"/>
  <c r="E117" i="148"/>
  <c r="E185" i="148"/>
  <c r="E151" i="148"/>
  <c r="E70" i="147"/>
  <c r="E231" i="143"/>
  <c r="E265" i="143" s="1"/>
  <c r="E114" i="146"/>
  <c r="E148" i="146"/>
  <c r="E182" i="146"/>
  <c r="E77" i="135"/>
  <c r="E78" i="135"/>
  <c r="E163" i="137"/>
  <c r="E197" i="137"/>
  <c r="E129" i="137"/>
  <c r="E169" i="144"/>
  <c r="E135" i="144"/>
  <c r="E203" i="144"/>
  <c r="E188" i="141"/>
  <c r="E120" i="141"/>
  <c r="E154" i="141"/>
  <c r="E120" i="149"/>
  <c r="E188" i="149"/>
  <c r="E154" i="149"/>
  <c r="E164" i="145"/>
  <c r="E130" i="145"/>
  <c r="E198" i="145"/>
  <c r="E235" i="146"/>
  <c r="E269" i="146" s="1"/>
  <c r="E231" i="145"/>
  <c r="E265" i="145" s="1"/>
  <c r="E202" i="139"/>
  <c r="E168" i="139"/>
  <c r="E134" i="139"/>
  <c r="E188" i="148"/>
  <c r="E120" i="148"/>
  <c r="E154" i="148"/>
  <c r="E116" i="134"/>
  <c r="E184" i="134"/>
  <c r="E150" i="134"/>
  <c r="E166" i="137"/>
  <c r="E200" i="137"/>
  <c r="E132" i="137"/>
  <c r="E220" i="147"/>
  <c r="E254" i="147" s="1"/>
  <c r="E232" i="150"/>
  <c r="E266" i="150" s="1"/>
  <c r="D350" i="144"/>
  <c r="D351" i="144" s="1"/>
  <c r="E43" i="144"/>
  <c r="E118" i="141"/>
  <c r="E152" i="141"/>
  <c r="E186" i="141"/>
  <c r="E221" i="141"/>
  <c r="E255" i="141" s="1"/>
  <c r="E183" i="145"/>
  <c r="E149" i="145"/>
  <c r="E115" i="145"/>
  <c r="E217" i="145" s="1"/>
  <c r="E251" i="145" s="1"/>
  <c r="E220" i="144"/>
  <c r="E254" i="144" s="1"/>
  <c r="D314" i="139"/>
  <c r="E238" i="139"/>
  <c r="E272" i="139" s="1"/>
  <c r="E94" i="135"/>
  <c r="E93" i="135"/>
  <c r="E236" i="138"/>
  <c r="E270" i="138" s="1"/>
  <c r="E77" i="151"/>
  <c r="E78" i="151"/>
  <c r="E167" i="148"/>
  <c r="E133" i="148"/>
  <c r="E201" i="148"/>
  <c r="E235" i="148" s="1"/>
  <c r="E269" i="148" s="1"/>
  <c r="E163" i="148"/>
  <c r="E197" i="148"/>
  <c r="E129" i="148"/>
  <c r="E220" i="148"/>
  <c r="E254" i="148" s="1"/>
  <c r="E221" i="148"/>
  <c r="E255" i="148" s="1"/>
  <c r="E216" i="134"/>
  <c r="E250" i="134" s="1"/>
  <c r="E219" i="146"/>
  <c r="E253" i="146" s="1"/>
  <c r="E238" i="138"/>
  <c r="E272" i="138" s="1"/>
  <c r="E234" i="140"/>
  <c r="E268" i="140" s="1"/>
  <c r="E93" i="140"/>
  <c r="E94" i="140"/>
  <c r="E130" i="139"/>
  <c r="E198" i="139"/>
  <c r="E164" i="139"/>
  <c r="E220" i="135"/>
  <c r="E254" i="135" s="1"/>
  <c r="E221" i="135"/>
  <c r="E255" i="135" s="1"/>
  <c r="E238" i="148"/>
  <c r="E272" i="148" s="1"/>
  <c r="D350" i="148"/>
  <c r="E43" i="148"/>
  <c r="D351" i="148"/>
  <c r="D332" i="134"/>
  <c r="D333" i="134" s="1"/>
  <c r="E237" i="147"/>
  <c r="E271" i="147" s="1"/>
  <c r="E77" i="140"/>
  <c r="E78" i="140"/>
  <c r="E222" i="146"/>
  <c r="E256" i="146" s="1"/>
  <c r="E233" i="146"/>
  <c r="E267" i="146" s="1"/>
  <c r="E234" i="146"/>
  <c r="E268" i="146" s="1"/>
  <c r="E232" i="142"/>
  <c r="E266" i="142" s="1"/>
  <c r="E53" i="150"/>
  <c r="E290" i="150" s="1"/>
  <c r="D368" i="150"/>
  <c r="D370" i="150" s="1"/>
  <c r="E222" i="136"/>
  <c r="E256" i="136" s="1"/>
  <c r="E59" i="141"/>
  <c r="D366" i="141"/>
  <c r="E69" i="141" s="1"/>
  <c r="E234" i="141"/>
  <c r="E268" i="141" s="1"/>
  <c r="E150" i="149"/>
  <c r="E116" i="149"/>
  <c r="E184" i="149"/>
  <c r="E218" i="142"/>
  <c r="E252" i="142" s="1"/>
  <c r="E219" i="145"/>
  <c r="E253" i="145" s="1"/>
  <c r="E93" i="151"/>
  <c r="E94" i="151"/>
  <c r="E199" i="139"/>
  <c r="E131" i="139"/>
  <c r="E165" i="139"/>
  <c r="E136" i="134"/>
  <c r="E204" i="134"/>
  <c r="E170" i="134"/>
  <c r="E135" i="134"/>
  <c r="E203" i="134"/>
  <c r="E169" i="134"/>
  <c r="E77" i="142"/>
  <c r="E78" i="142"/>
  <c r="E93" i="147"/>
  <c r="E94" i="147"/>
  <c r="E236" i="136"/>
  <c r="E270" i="136" s="1"/>
  <c r="E153" i="137"/>
  <c r="E187" i="137"/>
  <c r="E119" i="137"/>
  <c r="E131" i="137"/>
  <c r="E199" i="137"/>
  <c r="E165" i="137"/>
  <c r="E148" i="144"/>
  <c r="E114" i="144"/>
  <c r="E182" i="144"/>
  <c r="E59" i="144"/>
  <c r="D366" i="144"/>
  <c r="E69" i="144" s="1"/>
  <c r="E43" i="141"/>
  <c r="D350" i="141"/>
  <c r="D351" i="141"/>
  <c r="E118" i="149"/>
  <c r="E152" i="149"/>
  <c r="E186" i="149"/>
  <c r="E113" i="145"/>
  <c r="E147" i="145"/>
  <c r="E181" i="145"/>
  <c r="E70" i="162"/>
  <c r="E220" i="137"/>
  <c r="E254" i="137" s="1"/>
  <c r="E217" i="150"/>
  <c r="E251" i="150" s="1"/>
  <c r="E43" i="149"/>
  <c r="D350" i="149"/>
  <c r="D351" i="149" s="1"/>
  <c r="E114" i="137"/>
  <c r="E182" i="137"/>
  <c r="E148" i="137"/>
  <c r="E197" i="144"/>
  <c r="E129" i="144"/>
  <c r="E163" i="144"/>
  <c r="E167" i="141"/>
  <c r="E133" i="141"/>
  <c r="E201" i="141"/>
  <c r="D368" i="151"/>
  <c r="D370" i="151" s="1"/>
  <c r="E53" i="151"/>
  <c r="E290" i="151" s="1"/>
  <c r="D367" i="140"/>
  <c r="E69" i="140"/>
  <c r="E70" i="140" s="1"/>
  <c r="E53" i="162"/>
  <c r="E290" i="162" s="1"/>
  <c r="D368" i="162"/>
  <c r="D370" i="162" s="1"/>
  <c r="D368" i="140"/>
  <c r="D370" i="140" s="1"/>
  <c r="E53" i="140"/>
  <c r="D351" i="140"/>
  <c r="D350" i="137"/>
  <c r="E43" i="137"/>
  <c r="D366" i="139"/>
  <c r="E69" i="139" s="1"/>
  <c r="E59" i="139"/>
  <c r="E135" i="148"/>
  <c r="E203" i="148"/>
  <c r="E169" i="148"/>
  <c r="E134" i="134"/>
  <c r="E202" i="134"/>
  <c r="E168" i="134"/>
  <c r="D368" i="142"/>
  <c r="D370" i="142" s="1"/>
  <c r="E53" i="142"/>
  <c r="E290" i="142" s="1"/>
  <c r="E134" i="146"/>
  <c r="E168" i="146"/>
  <c r="E202" i="146"/>
  <c r="E232" i="162"/>
  <c r="E266" i="162" s="1"/>
  <c r="E185" i="137"/>
  <c r="E117" i="137"/>
  <c r="E151" i="137"/>
  <c r="D368" i="147"/>
  <c r="D370" i="147" s="1"/>
  <c r="E53" i="147"/>
  <c r="E290" i="147" s="1"/>
  <c r="E217" i="162"/>
  <c r="E251" i="162" s="1"/>
  <c r="E231" i="135"/>
  <c r="E265" i="135" s="1"/>
  <c r="E236" i="141"/>
  <c r="E270" i="141" s="1"/>
  <c r="E130" i="141"/>
  <c r="E198" i="141"/>
  <c r="E164" i="141"/>
  <c r="D366" i="149"/>
  <c r="E69" i="149" s="1"/>
  <c r="E59" i="149"/>
  <c r="E198" i="149"/>
  <c r="E130" i="149"/>
  <c r="E164" i="149"/>
  <c r="E93" i="162"/>
  <c r="E94" i="162"/>
  <c r="E201" i="139"/>
  <c r="E133" i="139"/>
  <c r="E167" i="139"/>
  <c r="E235" i="136"/>
  <c r="E269" i="136" s="1"/>
  <c r="E118" i="134"/>
  <c r="E152" i="134"/>
  <c r="E186" i="134"/>
  <c r="E154" i="145"/>
  <c r="E120" i="145"/>
  <c r="E188" i="145"/>
  <c r="E186" i="139"/>
  <c r="E118" i="139"/>
  <c r="E152" i="139"/>
  <c r="E113" i="86"/>
  <c r="E238" i="136"/>
  <c r="E272" i="136" s="1"/>
  <c r="E235" i="150"/>
  <c r="E269" i="150" s="1"/>
  <c r="E216" i="151"/>
  <c r="E250" i="151" s="1"/>
  <c r="E233" i="143"/>
  <c r="E267" i="143" s="1"/>
  <c r="E184" i="148"/>
  <c r="E116" i="148"/>
  <c r="E150" i="148"/>
  <c r="E59" i="134"/>
  <c r="D366" i="134"/>
  <c r="E69" i="134" s="1"/>
  <c r="E115" i="134"/>
  <c r="E183" i="134"/>
  <c r="E149" i="134"/>
  <c r="E233" i="147"/>
  <c r="E267" i="147" s="1"/>
  <c r="E222" i="162"/>
  <c r="E256" i="162" s="1"/>
  <c r="E236" i="137"/>
  <c r="E270" i="137" s="1"/>
  <c r="E237" i="138"/>
  <c r="E271" i="138" s="1"/>
  <c r="E238" i="150"/>
  <c r="E272" i="150" s="1"/>
  <c r="E167" i="144"/>
  <c r="E133" i="144"/>
  <c r="E201" i="144"/>
  <c r="D367" i="136"/>
  <c r="E238" i="162"/>
  <c r="E272" i="162" s="1"/>
  <c r="E167" i="149"/>
  <c r="E201" i="149"/>
  <c r="E133" i="149"/>
  <c r="E237" i="145"/>
  <c r="E271" i="145" s="1"/>
  <c r="E218" i="145"/>
  <c r="E252" i="145" s="1"/>
  <c r="E217" i="137"/>
  <c r="E251" i="137" s="1"/>
  <c r="E215" i="144"/>
  <c r="E249" i="144" s="1"/>
  <c r="E70" i="138"/>
  <c r="E115" i="139"/>
  <c r="E183" i="139"/>
  <c r="E149" i="139"/>
  <c r="D350" i="139"/>
  <c r="D351" i="139" s="1"/>
  <c r="E43" i="139"/>
  <c r="D367" i="135"/>
  <c r="E93" i="150"/>
  <c r="E94" i="150"/>
  <c r="E154" i="134"/>
  <c r="E120" i="134"/>
  <c r="E188" i="134"/>
  <c r="E53" i="138"/>
  <c r="E290" i="138" s="1"/>
  <c r="D368" i="138"/>
  <c r="D370" i="138" s="1"/>
  <c r="E215" i="137"/>
  <c r="E249" i="137" s="1"/>
  <c r="E238" i="141"/>
  <c r="E272" i="141" s="1"/>
  <c r="E93" i="142"/>
  <c r="E94" i="142"/>
  <c r="E221" i="140"/>
  <c r="E255" i="140" s="1"/>
  <c r="D367" i="143"/>
  <c r="E203" i="139"/>
  <c r="E135" i="139"/>
  <c r="E169" i="139"/>
  <c r="E77" i="162"/>
  <c r="E54" i="162"/>
  <c r="E78" i="162"/>
  <c r="D368" i="143"/>
  <c r="D370" i="143" s="1"/>
  <c r="E53" i="143"/>
  <c r="E290" i="143" s="1"/>
  <c r="E234" i="148"/>
  <c r="E268" i="148" s="1"/>
  <c r="E53" i="136"/>
  <c r="E290" i="136" s="1"/>
  <c r="D368" i="136"/>
  <c r="D370" i="136" s="1"/>
  <c r="D314" i="134"/>
  <c r="E236" i="150"/>
  <c r="E270" i="150" s="1"/>
  <c r="J573" i="217"/>
  <c r="J529" i="217"/>
  <c r="E237" i="146"/>
  <c r="E271" i="146" s="1"/>
  <c r="E215" i="146"/>
  <c r="E249" i="146" s="1"/>
  <c r="E59" i="146"/>
  <c r="D366" i="146"/>
  <c r="E69" i="146" s="1"/>
  <c r="E70" i="146" s="1"/>
  <c r="E232" i="137"/>
  <c r="E266" i="137" s="1"/>
  <c r="D351" i="150"/>
  <c r="E237" i="143"/>
  <c r="E271" i="143" s="1"/>
  <c r="E188" i="144"/>
  <c r="E120" i="144"/>
  <c r="E154" i="144"/>
  <c r="E237" i="141"/>
  <c r="E271" i="141" s="1"/>
  <c r="E219" i="141"/>
  <c r="E253" i="141" s="1"/>
  <c r="E118" i="145"/>
  <c r="E152" i="145"/>
  <c r="E186" i="145"/>
  <c r="J576" i="217"/>
  <c r="E221" i="139"/>
  <c r="E255" i="139" s="1"/>
  <c r="E222" i="139"/>
  <c r="E256" i="139" s="1"/>
  <c r="E216" i="150"/>
  <c r="E250" i="150" s="1"/>
  <c r="E165" i="148"/>
  <c r="E131" i="148"/>
  <c r="E199" i="148"/>
  <c r="D367" i="147"/>
  <c r="E218" i="138"/>
  <c r="E252" i="138" s="1"/>
  <c r="E116" i="146"/>
  <c r="E184" i="146"/>
  <c r="E150" i="146"/>
  <c r="E198" i="146"/>
  <c r="E130" i="146"/>
  <c r="E164" i="146"/>
  <c r="E235" i="162"/>
  <c r="E269" i="162" s="1"/>
  <c r="E53" i="135"/>
  <c r="E290" i="135" s="1"/>
  <c r="D368" i="135"/>
  <c r="D370" i="135" s="1"/>
  <c r="E237" i="135"/>
  <c r="E271" i="135" s="1"/>
  <c r="E235" i="137"/>
  <c r="E269" i="137" s="1"/>
  <c r="E204" i="137"/>
  <c r="E170" i="137"/>
  <c r="E136" i="137"/>
  <c r="E77" i="147"/>
  <c r="E54" i="147"/>
  <c r="E78" i="147"/>
  <c r="E148" i="140"/>
  <c r="E182" i="140"/>
  <c r="E114" i="140"/>
  <c r="E164" i="144"/>
  <c r="E130" i="144"/>
  <c r="E198" i="144"/>
  <c r="E219" i="136"/>
  <c r="E253" i="136" s="1"/>
  <c r="E150" i="141"/>
  <c r="E184" i="141"/>
  <c r="E116" i="141"/>
  <c r="E114" i="149"/>
  <c r="E148" i="149"/>
  <c r="E182" i="149"/>
  <c r="E221" i="149"/>
  <c r="E255" i="149" s="1"/>
  <c r="E202" i="145"/>
  <c r="E168" i="145"/>
  <c r="E134" i="145"/>
  <c r="E186" i="146"/>
  <c r="E118" i="146"/>
  <c r="E152" i="146"/>
  <c r="D366" i="137"/>
  <c r="E69" i="137" s="1"/>
  <c r="E70" i="137" s="1"/>
  <c r="E59" i="137"/>
  <c r="D367" i="137"/>
  <c r="E181" i="86"/>
  <c r="E215" i="86" s="1"/>
  <c r="E249" i="86" s="1"/>
  <c r="E116" i="86"/>
  <c r="E232" i="86"/>
  <c r="E266" i="86" s="1"/>
  <c r="E231" i="86"/>
  <c r="E265" i="86" s="1"/>
  <c r="E188" i="86"/>
  <c r="E238" i="86"/>
  <c r="E272" i="86" s="1"/>
  <c r="E152" i="86"/>
  <c r="E235" i="86"/>
  <c r="E269" i="86" s="1"/>
  <c r="E118" i="86"/>
  <c r="E148" i="86"/>
  <c r="E182" i="86"/>
  <c r="E233" i="86"/>
  <c r="E267" i="86" s="1"/>
  <c r="E237" i="86"/>
  <c r="E271" i="86" s="1"/>
  <c r="E154" i="86"/>
  <c r="E78" i="86"/>
  <c r="E112" i="86" s="1"/>
  <c r="E218" i="86"/>
  <c r="E252" i="86" s="1"/>
  <c r="E53" i="86"/>
  <c r="D368" i="86"/>
  <c r="D370" i="86" s="1"/>
  <c r="D351" i="86"/>
  <c r="E69" i="86"/>
  <c r="E70" i="86" s="1"/>
  <c r="D367" i="86"/>
  <c r="J524" i="217"/>
  <c r="J585" i="217" s="1"/>
  <c r="I564" i="217"/>
  <c r="E185" i="86"/>
  <c r="E117" i="86"/>
  <c r="E151" i="86"/>
  <c r="E221" i="86"/>
  <c r="E255" i="86" s="1"/>
  <c r="E93" i="86"/>
  <c r="E94" i="86"/>
  <c r="E145" i="86"/>
  <c r="E179" i="86"/>
  <c r="E111" i="86"/>
  <c r="E149" i="86"/>
  <c r="E183" i="86"/>
  <c r="E115" i="86"/>
  <c r="D89" i="102"/>
  <c r="D67" i="102"/>
  <c r="D35" i="102"/>
  <c r="D33" i="95"/>
  <c r="D58" i="95" s="1"/>
  <c r="E236" i="86"/>
  <c r="E270" i="86" s="1"/>
  <c r="E70" i="134" l="1"/>
  <c r="E235" i="144"/>
  <c r="E269" i="144" s="1"/>
  <c r="E234" i="134"/>
  <c r="E268" i="134" s="1"/>
  <c r="D367" i="134"/>
  <c r="E218" i="137"/>
  <c r="E252" i="137" s="1"/>
  <c r="E219" i="139"/>
  <c r="E253" i="139" s="1"/>
  <c r="E222" i="134"/>
  <c r="E256" i="134" s="1"/>
  <c r="E70" i="149"/>
  <c r="D367" i="139"/>
  <c r="E233" i="148"/>
  <c r="E267" i="148" s="1"/>
  <c r="E236" i="146"/>
  <c r="E270" i="146" s="1"/>
  <c r="E217" i="148"/>
  <c r="E251" i="148" s="1"/>
  <c r="E218" i="148"/>
  <c r="E252" i="148" s="1"/>
  <c r="E70" i="144"/>
  <c r="E221" i="137"/>
  <c r="E255" i="137" s="1"/>
  <c r="E218" i="144"/>
  <c r="E252" i="144" s="1"/>
  <c r="E231" i="144"/>
  <c r="E265" i="144" s="1"/>
  <c r="E215" i="145"/>
  <c r="E249" i="145" s="1"/>
  <c r="E219" i="148"/>
  <c r="E253" i="148" s="1"/>
  <c r="E221" i="146"/>
  <c r="E255" i="146" s="1"/>
  <c r="E70" i="148"/>
  <c r="E54" i="151"/>
  <c r="E235" i="134"/>
  <c r="E269" i="134" s="1"/>
  <c r="E220" i="139"/>
  <c r="E254" i="139" s="1"/>
  <c r="E232" i="149"/>
  <c r="E266" i="149" s="1"/>
  <c r="D367" i="149"/>
  <c r="E93" i="141"/>
  <c r="E94" i="141"/>
  <c r="E196" i="135"/>
  <c r="E162" i="135"/>
  <c r="E128" i="135"/>
  <c r="E179" i="150"/>
  <c r="E145" i="150"/>
  <c r="E111" i="150"/>
  <c r="E87" i="150"/>
  <c r="E88" i="150" s="1"/>
  <c r="E220" i="146"/>
  <c r="E254" i="146" s="1"/>
  <c r="E216" i="149"/>
  <c r="E250" i="149" s="1"/>
  <c r="E87" i="147"/>
  <c r="E88" i="147" s="1"/>
  <c r="E146" i="147"/>
  <c r="E180" i="147"/>
  <c r="E112" i="147"/>
  <c r="E93" i="146"/>
  <c r="E94" i="146"/>
  <c r="E128" i="142"/>
  <c r="E162" i="142"/>
  <c r="E196" i="142"/>
  <c r="E235" i="149"/>
  <c r="E269" i="149" s="1"/>
  <c r="E195" i="162"/>
  <c r="E161" i="162"/>
  <c r="E127" i="162"/>
  <c r="E103" i="162"/>
  <c r="E104" i="162" s="1"/>
  <c r="E232" i="141"/>
  <c r="E266" i="141" s="1"/>
  <c r="E219" i="137"/>
  <c r="E253" i="137" s="1"/>
  <c r="D368" i="137"/>
  <c r="D370" i="137" s="1"/>
  <c r="E53" i="137"/>
  <c r="E290" i="137" s="1"/>
  <c r="E93" i="144"/>
  <c r="E94" i="144"/>
  <c r="E93" i="137"/>
  <c r="E94" i="137"/>
  <c r="E218" i="141"/>
  <c r="E252" i="141" s="1"/>
  <c r="E232" i="144"/>
  <c r="E266" i="144" s="1"/>
  <c r="E238" i="137"/>
  <c r="E272" i="137" s="1"/>
  <c r="E232" i="146"/>
  <c r="E266" i="146" s="1"/>
  <c r="E220" i="145"/>
  <c r="E254" i="145" s="1"/>
  <c r="E222" i="144"/>
  <c r="E256" i="144" s="1"/>
  <c r="E237" i="139"/>
  <c r="E271" i="139" s="1"/>
  <c r="E127" i="142"/>
  <c r="E137" i="142" s="1"/>
  <c r="E138" i="142" s="1"/>
  <c r="E195" i="142"/>
  <c r="E161" i="142"/>
  <c r="E103" i="142"/>
  <c r="E104" i="142" s="1"/>
  <c r="E103" i="150"/>
  <c r="E104" i="150" s="1"/>
  <c r="E196" i="150"/>
  <c r="E128" i="150"/>
  <c r="E162" i="150"/>
  <c r="E77" i="139"/>
  <c r="E78" i="139"/>
  <c r="E217" i="139"/>
  <c r="E251" i="139" s="1"/>
  <c r="E93" i="134"/>
  <c r="E94" i="134"/>
  <c r="E93" i="149"/>
  <c r="E94" i="149"/>
  <c r="E236" i="134"/>
  <c r="E270" i="134" s="1"/>
  <c r="E237" i="148"/>
  <c r="E271" i="148" s="1"/>
  <c r="E70" i="139"/>
  <c r="E77" i="149"/>
  <c r="E78" i="149"/>
  <c r="E77" i="141"/>
  <c r="E78" i="141"/>
  <c r="E233" i="137"/>
  <c r="E267" i="137" s="1"/>
  <c r="E87" i="142"/>
  <c r="E88" i="142" s="1"/>
  <c r="E180" i="142"/>
  <c r="E146" i="142"/>
  <c r="E112" i="142"/>
  <c r="E237" i="134"/>
  <c r="E271" i="134" s="1"/>
  <c r="E103" i="151"/>
  <c r="E104" i="151" s="1"/>
  <c r="E196" i="151"/>
  <c r="E128" i="151"/>
  <c r="E162" i="151"/>
  <c r="D367" i="141"/>
  <c r="D368" i="148"/>
  <c r="D370" i="148" s="1"/>
  <c r="E53" i="148"/>
  <c r="E290" i="148" s="1"/>
  <c r="E195" i="140"/>
  <c r="E127" i="140"/>
  <c r="E103" i="140"/>
  <c r="E104" i="140" s="1"/>
  <c r="E161" i="140"/>
  <c r="E231" i="148"/>
  <c r="E265" i="148" s="1"/>
  <c r="E220" i="141"/>
  <c r="E254" i="141" s="1"/>
  <c r="E232" i="145"/>
  <c r="E266" i="145" s="1"/>
  <c r="E146" i="135"/>
  <c r="E180" i="135"/>
  <c r="E112" i="135"/>
  <c r="E216" i="146"/>
  <c r="E250" i="146" s="1"/>
  <c r="E146" i="150"/>
  <c r="E112" i="150"/>
  <c r="E180" i="150"/>
  <c r="E189" i="150" s="1"/>
  <c r="E77" i="134"/>
  <c r="E78" i="134"/>
  <c r="E54" i="143"/>
  <c r="E54" i="138"/>
  <c r="E162" i="138"/>
  <c r="E196" i="138"/>
  <c r="E128" i="138"/>
  <c r="E238" i="149"/>
  <c r="E272" i="149" s="1"/>
  <c r="E231" i="141"/>
  <c r="E265" i="141" s="1"/>
  <c r="E238" i="146"/>
  <c r="E272" i="146" s="1"/>
  <c r="E77" i="146"/>
  <c r="E78" i="146"/>
  <c r="E215" i="134"/>
  <c r="E249" i="134" s="1"/>
  <c r="E77" i="137"/>
  <c r="E78" i="137"/>
  <c r="E103" i="147"/>
  <c r="E104" i="147" s="1"/>
  <c r="E162" i="147"/>
  <c r="E128" i="147"/>
  <c r="E196" i="147"/>
  <c r="E236" i="145"/>
  <c r="E270" i="145" s="1"/>
  <c r="E216" i="140"/>
  <c r="E250" i="140" s="1"/>
  <c r="E218" i="146"/>
  <c r="E252" i="146" s="1"/>
  <c r="E180" i="162"/>
  <c r="E146" i="162"/>
  <c r="E112" i="162"/>
  <c r="E93" i="139"/>
  <c r="E94" i="139"/>
  <c r="D368" i="149"/>
  <c r="D370" i="149" s="1"/>
  <c r="E53" i="149"/>
  <c r="E290" i="149" s="1"/>
  <c r="E53" i="141"/>
  <c r="E290" i="141" s="1"/>
  <c r="D368" i="141"/>
  <c r="D370" i="141" s="1"/>
  <c r="E111" i="147"/>
  <c r="E145" i="147"/>
  <c r="E179" i="147"/>
  <c r="D367" i="146"/>
  <c r="E179" i="162"/>
  <c r="E111" i="162"/>
  <c r="E145" i="162"/>
  <c r="E87" i="162"/>
  <c r="E88" i="162" s="1"/>
  <c r="E161" i="150"/>
  <c r="E127" i="150"/>
  <c r="E195" i="150"/>
  <c r="E53" i="139"/>
  <c r="E290" i="139" s="1"/>
  <c r="D368" i="139"/>
  <c r="D370" i="139" s="1"/>
  <c r="E217" i="134"/>
  <c r="E251" i="134" s="1"/>
  <c r="E222" i="145"/>
  <c r="E256" i="145" s="1"/>
  <c r="E220" i="134"/>
  <c r="E254" i="134" s="1"/>
  <c r="E235" i="139"/>
  <c r="E269" i="139" s="1"/>
  <c r="D351" i="137"/>
  <c r="E290" i="140"/>
  <c r="E54" i="140"/>
  <c r="E235" i="141"/>
  <c r="E269" i="141" s="1"/>
  <c r="E216" i="137"/>
  <c r="E250" i="137" s="1"/>
  <c r="E220" i="149"/>
  <c r="E254" i="149" s="1"/>
  <c r="D367" i="144"/>
  <c r="E216" i="144"/>
  <c r="E250" i="144" s="1"/>
  <c r="E54" i="142"/>
  <c r="E195" i="151"/>
  <c r="E127" i="151"/>
  <c r="E161" i="151"/>
  <c r="E218" i="149"/>
  <c r="E252" i="149" s="1"/>
  <c r="E70" i="141"/>
  <c r="E232" i="139"/>
  <c r="E266" i="139" s="1"/>
  <c r="E87" i="151"/>
  <c r="E88" i="151" s="1"/>
  <c r="E112" i="151"/>
  <c r="E180" i="151"/>
  <c r="E146" i="151"/>
  <c r="E127" i="135"/>
  <c r="E137" i="135" s="1"/>
  <c r="E138" i="135" s="1"/>
  <c r="E161" i="135"/>
  <c r="E195" i="135"/>
  <c r="E103" i="135"/>
  <c r="E104" i="135" s="1"/>
  <c r="E222" i="148"/>
  <c r="E256" i="148" s="1"/>
  <c r="E236" i="139"/>
  <c r="E270" i="139" s="1"/>
  <c r="E222" i="149"/>
  <c r="E256" i="149" s="1"/>
  <c r="E237" i="144"/>
  <c r="E271" i="144" s="1"/>
  <c r="E231" i="137"/>
  <c r="E265" i="137" s="1"/>
  <c r="E111" i="135"/>
  <c r="E87" i="135"/>
  <c r="E88" i="135" s="1"/>
  <c r="E145" i="135"/>
  <c r="E179" i="135"/>
  <c r="D367" i="145"/>
  <c r="E219" i="149"/>
  <c r="E253" i="149" s="1"/>
  <c r="E54" i="150"/>
  <c r="E145" i="143"/>
  <c r="E179" i="143"/>
  <c r="E111" i="143"/>
  <c r="E87" i="143"/>
  <c r="E88" i="143" s="1"/>
  <c r="E146" i="138"/>
  <c r="E180" i="138"/>
  <c r="E112" i="138"/>
  <c r="E231" i="134"/>
  <c r="E265" i="134" s="1"/>
  <c r="E216" i="139"/>
  <c r="E250" i="139" s="1"/>
  <c r="E162" i="136"/>
  <c r="E196" i="136"/>
  <c r="E128" i="136"/>
  <c r="E54" i="136"/>
  <c r="D368" i="145"/>
  <c r="D370" i="145" s="1"/>
  <c r="E53" i="145"/>
  <c r="E290" i="145" s="1"/>
  <c r="D368" i="146"/>
  <c r="D370" i="146" s="1"/>
  <c r="E53" i="146"/>
  <c r="E290" i="146" s="1"/>
  <c r="D367" i="148"/>
  <c r="E180" i="140"/>
  <c r="E112" i="140"/>
  <c r="E146" i="140"/>
  <c r="E77" i="144"/>
  <c r="E78" i="144"/>
  <c r="E93" i="145"/>
  <c r="E94" i="145"/>
  <c r="E196" i="143"/>
  <c r="E162" i="143"/>
  <c r="E128" i="143"/>
  <c r="E179" i="138"/>
  <c r="E111" i="138"/>
  <c r="E87" i="138"/>
  <c r="E88" i="138" s="1"/>
  <c r="E145" i="138"/>
  <c r="E103" i="136"/>
  <c r="E104" i="136" s="1"/>
  <c r="E161" i="136"/>
  <c r="E171" i="136" s="1"/>
  <c r="E172" i="136" s="1"/>
  <c r="E195" i="136"/>
  <c r="E127" i="136"/>
  <c r="E179" i="136"/>
  <c r="E111" i="136"/>
  <c r="E87" i="136"/>
  <c r="E88" i="136" s="1"/>
  <c r="E145" i="136"/>
  <c r="E77" i="145"/>
  <c r="E78" i="145"/>
  <c r="E93" i="148"/>
  <c r="E94" i="148"/>
  <c r="E196" i="162"/>
  <c r="E162" i="162"/>
  <c r="E128" i="162"/>
  <c r="E111" i="142"/>
  <c r="E145" i="142"/>
  <c r="E179" i="142"/>
  <c r="E127" i="147"/>
  <c r="E195" i="147"/>
  <c r="E161" i="147"/>
  <c r="E171" i="147" s="1"/>
  <c r="E172" i="147" s="1"/>
  <c r="E238" i="134"/>
  <c r="E272" i="134" s="1"/>
  <c r="E233" i="139"/>
  <c r="E267" i="139" s="1"/>
  <c r="E111" i="140"/>
  <c r="E179" i="140"/>
  <c r="E189" i="140" s="1"/>
  <c r="E87" i="140"/>
  <c r="E88" i="140" s="1"/>
  <c r="E145" i="140"/>
  <c r="E155" i="140" s="1"/>
  <c r="E77" i="148"/>
  <c r="E54" i="148"/>
  <c r="E78" i="148"/>
  <c r="E162" i="140"/>
  <c r="E128" i="140"/>
  <c r="E196" i="140"/>
  <c r="E145" i="151"/>
  <c r="E111" i="151"/>
  <c r="E179" i="151"/>
  <c r="D368" i="144"/>
  <c r="D370" i="144" s="1"/>
  <c r="E53" i="144"/>
  <c r="E290" i="144" s="1"/>
  <c r="E234" i="137"/>
  <c r="E268" i="137" s="1"/>
  <c r="E218" i="134"/>
  <c r="E252" i="134" s="1"/>
  <c r="E222" i="141"/>
  <c r="E256" i="141" s="1"/>
  <c r="E54" i="135"/>
  <c r="E70" i="145"/>
  <c r="E53" i="134"/>
  <c r="E290" i="134" s="1"/>
  <c r="D368" i="134"/>
  <c r="D370" i="134" s="1"/>
  <c r="E180" i="143"/>
  <c r="E189" i="143" s="1"/>
  <c r="E146" i="143"/>
  <c r="E112" i="143"/>
  <c r="E127" i="143"/>
  <c r="E137" i="143" s="1"/>
  <c r="E138" i="143" s="1"/>
  <c r="E103" i="143"/>
  <c r="E104" i="143" s="1"/>
  <c r="E161" i="143"/>
  <c r="E195" i="143"/>
  <c r="E216" i="141"/>
  <c r="E250" i="141" s="1"/>
  <c r="E103" i="138"/>
  <c r="E104" i="138" s="1"/>
  <c r="E161" i="138"/>
  <c r="E171" i="138" s="1"/>
  <c r="E172" i="138" s="1"/>
  <c r="E195" i="138"/>
  <c r="E127" i="138"/>
  <c r="E180" i="136"/>
  <c r="E112" i="136"/>
  <c r="E146" i="136"/>
  <c r="E222" i="86"/>
  <c r="E256" i="86" s="1"/>
  <c r="E220" i="86"/>
  <c r="E254" i="86" s="1"/>
  <c r="E216" i="86"/>
  <c r="E250" i="86" s="1"/>
  <c r="E180" i="86"/>
  <c r="E189" i="86" s="1"/>
  <c r="E87" i="86"/>
  <c r="E88" i="86" s="1"/>
  <c r="E217" i="86"/>
  <c r="E251" i="86" s="1"/>
  <c r="E146" i="86"/>
  <c r="E155" i="86" s="1"/>
  <c r="E156" i="86" s="1"/>
  <c r="J330" i="217"/>
  <c r="D108" i="102"/>
  <c r="D68" i="102"/>
  <c r="D38" i="102"/>
  <c r="D52" i="95"/>
  <c r="E213" i="86"/>
  <c r="E121" i="86"/>
  <c r="E196" i="86"/>
  <c r="E128" i="86"/>
  <c r="E162" i="86"/>
  <c r="E54" i="86"/>
  <c r="E290" i="86"/>
  <c r="E161" i="86"/>
  <c r="E195" i="86"/>
  <c r="E127" i="86"/>
  <c r="E103" i="86"/>
  <c r="E104" i="86" s="1"/>
  <c r="E219" i="86"/>
  <c r="E253" i="86" s="1"/>
  <c r="J583" i="217"/>
  <c r="J530" i="217"/>
  <c r="J584" i="217"/>
  <c r="J587" i="217"/>
  <c r="J586" i="217"/>
  <c r="E155" i="143" l="1"/>
  <c r="E54" i="137"/>
  <c r="E230" i="142"/>
  <c r="E264" i="142" s="1"/>
  <c r="E214" i="142"/>
  <c r="E248" i="142" s="1"/>
  <c r="E137" i="138"/>
  <c r="E138" i="138" s="1"/>
  <c r="E171" i="135"/>
  <c r="E172" i="135" s="1"/>
  <c r="E189" i="135"/>
  <c r="E190" i="135" s="1"/>
  <c r="E171" i="150"/>
  <c r="E172" i="150" s="1"/>
  <c r="E54" i="145"/>
  <c r="E171" i="143"/>
  <c r="E172" i="143" s="1"/>
  <c r="E137" i="147"/>
  <c r="E138" i="147" s="1"/>
  <c r="E137" i="162"/>
  <c r="E138" i="162" s="1"/>
  <c r="E214" i="135"/>
  <c r="E248" i="135" s="1"/>
  <c r="E230" i="151"/>
  <c r="E264" i="151" s="1"/>
  <c r="E230" i="162"/>
  <c r="E264" i="162" s="1"/>
  <c r="E229" i="138"/>
  <c r="E205" i="138"/>
  <c r="E206" i="138" s="1"/>
  <c r="E156" i="140"/>
  <c r="E195" i="148"/>
  <c r="E127" i="148"/>
  <c r="E161" i="148"/>
  <c r="E155" i="136"/>
  <c r="E280" i="136" s="1"/>
  <c r="E18" i="131" s="1"/>
  <c r="E137" i="136"/>
  <c r="E138" i="136" s="1"/>
  <c r="E155" i="138"/>
  <c r="E230" i="143"/>
  <c r="E264" i="143" s="1"/>
  <c r="E127" i="145"/>
  <c r="E195" i="145"/>
  <c r="E161" i="145"/>
  <c r="E230" i="136"/>
  <c r="E264" i="136" s="1"/>
  <c r="E214" i="138"/>
  <c r="E248" i="138" s="1"/>
  <c r="E155" i="135"/>
  <c r="E280" i="135" s="1"/>
  <c r="E17" i="131" s="1"/>
  <c r="E155" i="151"/>
  <c r="E156" i="151" s="1"/>
  <c r="E229" i="150"/>
  <c r="E213" i="147"/>
  <c r="E121" i="147"/>
  <c r="E155" i="162"/>
  <c r="E230" i="138"/>
  <c r="E264" i="138" s="1"/>
  <c r="E180" i="134"/>
  <c r="E112" i="134"/>
  <c r="E146" i="134"/>
  <c r="E214" i="150"/>
  <c r="E248" i="150" s="1"/>
  <c r="E229" i="140"/>
  <c r="E205" i="140"/>
  <c r="E206" i="140" s="1"/>
  <c r="E189" i="142"/>
  <c r="E190" i="142" s="1"/>
  <c r="E54" i="141"/>
  <c r="E179" i="149"/>
  <c r="E145" i="149"/>
  <c r="E111" i="149"/>
  <c r="E103" i="134"/>
  <c r="E104" i="134" s="1"/>
  <c r="E161" i="134"/>
  <c r="E127" i="134"/>
  <c r="E195" i="134"/>
  <c r="E87" i="139"/>
  <c r="E88" i="139" s="1"/>
  <c r="E179" i="139"/>
  <c r="E145" i="139"/>
  <c r="E111" i="139"/>
  <c r="E205" i="142"/>
  <c r="E206" i="142" s="1"/>
  <c r="E229" i="142"/>
  <c r="E127" i="144"/>
  <c r="E195" i="144"/>
  <c r="E161" i="144"/>
  <c r="E171" i="162"/>
  <c r="E172" i="162" s="1"/>
  <c r="E171" i="142"/>
  <c r="E172" i="142" s="1"/>
  <c r="E214" i="147"/>
  <c r="E248" i="147" s="1"/>
  <c r="E121" i="150"/>
  <c r="E122" i="150" s="1"/>
  <c r="E213" i="150"/>
  <c r="E280" i="143"/>
  <c r="E25" i="131" s="1"/>
  <c r="E190" i="140"/>
  <c r="E281" i="140"/>
  <c r="E14" i="133" s="1"/>
  <c r="K211" i="217" s="1"/>
  <c r="E213" i="142"/>
  <c r="E121" i="142"/>
  <c r="E282" i="142" s="1"/>
  <c r="E23" i="132" s="1"/>
  <c r="E121" i="136"/>
  <c r="E282" i="136" s="1"/>
  <c r="E18" i="132" s="1"/>
  <c r="E213" i="136"/>
  <c r="E214" i="136"/>
  <c r="E248" i="136" s="1"/>
  <c r="E205" i="143"/>
  <c r="E206" i="143" s="1"/>
  <c r="E229" i="143"/>
  <c r="E121" i="143"/>
  <c r="E282" i="143" s="1"/>
  <c r="E25" i="132" s="1"/>
  <c r="E214" i="143"/>
  <c r="E248" i="143" s="1"/>
  <c r="E230" i="140"/>
  <c r="E264" i="140" s="1"/>
  <c r="E87" i="148"/>
  <c r="E88" i="148" s="1"/>
  <c r="E146" i="148"/>
  <c r="E112" i="148"/>
  <c r="E180" i="148"/>
  <c r="E229" i="147"/>
  <c r="E205" i="147"/>
  <c r="E206" i="147" s="1"/>
  <c r="E87" i="145"/>
  <c r="E88" i="145" s="1"/>
  <c r="E180" i="145"/>
  <c r="E112" i="145"/>
  <c r="E146" i="145"/>
  <c r="E229" i="136"/>
  <c r="E205" i="136"/>
  <c r="E206" i="136" s="1"/>
  <c r="E180" i="144"/>
  <c r="E112" i="144"/>
  <c r="E146" i="144"/>
  <c r="E214" i="140"/>
  <c r="E248" i="140" s="1"/>
  <c r="E213" i="143"/>
  <c r="E122" i="143"/>
  <c r="E229" i="135"/>
  <c r="E205" i="135"/>
  <c r="E206" i="135" s="1"/>
  <c r="E189" i="151"/>
  <c r="E156" i="162"/>
  <c r="E196" i="139"/>
  <c r="E128" i="139"/>
  <c r="E162" i="139"/>
  <c r="E189" i="162"/>
  <c r="E230" i="147"/>
  <c r="E264" i="147" s="1"/>
  <c r="E180" i="137"/>
  <c r="E112" i="137"/>
  <c r="E146" i="137"/>
  <c r="E180" i="146"/>
  <c r="E146" i="146"/>
  <c r="E112" i="146"/>
  <c r="E54" i="134"/>
  <c r="E171" i="140"/>
  <c r="E172" i="140" s="1"/>
  <c r="E171" i="151"/>
  <c r="E172" i="151" s="1"/>
  <c r="E145" i="141"/>
  <c r="E111" i="141"/>
  <c r="E179" i="141"/>
  <c r="E103" i="149"/>
  <c r="E104" i="149" s="1"/>
  <c r="E196" i="149"/>
  <c r="E128" i="149"/>
  <c r="E162" i="149"/>
  <c r="E196" i="137"/>
  <c r="E128" i="137"/>
  <c r="E162" i="137"/>
  <c r="E229" i="162"/>
  <c r="E205" i="162"/>
  <c r="E206" i="162" s="1"/>
  <c r="E189" i="147"/>
  <c r="E281" i="147" s="1"/>
  <c r="E29" i="133" s="1"/>
  <c r="E155" i="150"/>
  <c r="E230" i="135"/>
  <c r="E264" i="135" s="1"/>
  <c r="E121" i="138"/>
  <c r="E282" i="138" s="1"/>
  <c r="E20" i="132" s="1"/>
  <c r="E213" i="138"/>
  <c r="E54" i="144"/>
  <c r="E190" i="143"/>
  <c r="E213" i="135"/>
  <c r="E121" i="135"/>
  <c r="E282" i="135" s="1"/>
  <c r="E17" i="132" s="1"/>
  <c r="E121" i="151"/>
  <c r="E214" i="151"/>
  <c r="E248" i="151" s="1"/>
  <c r="E229" i="151"/>
  <c r="E205" i="151"/>
  <c r="E206" i="151" s="1"/>
  <c r="E213" i="162"/>
  <c r="E103" i="139"/>
  <c r="E104" i="139" s="1"/>
  <c r="E161" i="139"/>
  <c r="E127" i="139"/>
  <c r="E195" i="139"/>
  <c r="E54" i="146"/>
  <c r="E179" i="134"/>
  <c r="E111" i="134"/>
  <c r="E87" i="134"/>
  <c r="E88" i="134" s="1"/>
  <c r="E145" i="134"/>
  <c r="E137" i="151"/>
  <c r="E138" i="151" s="1"/>
  <c r="E87" i="149"/>
  <c r="E88" i="149" s="1"/>
  <c r="E180" i="149"/>
  <c r="E146" i="149"/>
  <c r="E155" i="149" s="1"/>
  <c r="E112" i="149"/>
  <c r="E195" i="149"/>
  <c r="E127" i="149"/>
  <c r="E161" i="149"/>
  <c r="E146" i="139"/>
  <c r="E180" i="139"/>
  <c r="E112" i="139"/>
  <c r="E137" i="150"/>
  <c r="E138" i="150" s="1"/>
  <c r="E195" i="137"/>
  <c r="E127" i="137"/>
  <c r="E103" i="137"/>
  <c r="E104" i="137" s="1"/>
  <c r="E161" i="137"/>
  <c r="E171" i="137" s="1"/>
  <c r="E172" i="137" s="1"/>
  <c r="E196" i="146"/>
  <c r="E162" i="146"/>
  <c r="E128" i="146"/>
  <c r="E155" i="147"/>
  <c r="E280" i="147" s="1"/>
  <c r="E29" i="131" s="1"/>
  <c r="E128" i="141"/>
  <c r="E196" i="141"/>
  <c r="E162" i="141"/>
  <c r="E281" i="143"/>
  <c r="E25" i="133" s="1"/>
  <c r="E213" i="151"/>
  <c r="E122" i="151"/>
  <c r="E145" i="148"/>
  <c r="E179" i="148"/>
  <c r="E111" i="148"/>
  <c r="E213" i="140"/>
  <c r="E121" i="140"/>
  <c r="E103" i="148"/>
  <c r="E104" i="148" s="1"/>
  <c r="E128" i="148"/>
  <c r="E196" i="148"/>
  <c r="E162" i="148"/>
  <c r="E171" i="148" s="1"/>
  <c r="E172" i="148" s="1"/>
  <c r="E145" i="145"/>
  <c r="E179" i="145"/>
  <c r="E111" i="145"/>
  <c r="E189" i="136"/>
  <c r="E281" i="136" s="1"/>
  <c r="E18" i="133" s="1"/>
  <c r="E189" i="138"/>
  <c r="E281" i="138" s="1"/>
  <c r="E20" i="133" s="1"/>
  <c r="E103" i="145"/>
  <c r="E104" i="145" s="1"/>
  <c r="E196" i="145"/>
  <c r="E162" i="145"/>
  <c r="E171" i="145" s="1"/>
  <c r="E172" i="145" s="1"/>
  <c r="E128" i="145"/>
  <c r="E137" i="145" s="1"/>
  <c r="E138" i="145" s="1"/>
  <c r="E111" i="144"/>
  <c r="E87" i="144"/>
  <c r="E88" i="144" s="1"/>
  <c r="E179" i="144"/>
  <c r="E145" i="144"/>
  <c r="E156" i="143"/>
  <c r="E281" i="135"/>
  <c r="E17" i="133" s="1"/>
  <c r="E190" i="162"/>
  <c r="E121" i="162"/>
  <c r="E214" i="162"/>
  <c r="E248" i="162" s="1"/>
  <c r="E87" i="137"/>
  <c r="E88" i="137" s="1"/>
  <c r="E145" i="137"/>
  <c r="E155" i="137" s="1"/>
  <c r="E111" i="137"/>
  <c r="E179" i="137"/>
  <c r="E189" i="137" s="1"/>
  <c r="E145" i="146"/>
  <c r="E111" i="146"/>
  <c r="E179" i="146"/>
  <c r="E87" i="146"/>
  <c r="E88" i="146" s="1"/>
  <c r="E190" i="150"/>
  <c r="E137" i="140"/>
  <c r="E138" i="140" s="1"/>
  <c r="E155" i="142"/>
  <c r="E280" i="142" s="1"/>
  <c r="E23" i="131" s="1"/>
  <c r="E87" i="141"/>
  <c r="E88" i="141" s="1"/>
  <c r="E146" i="141"/>
  <c r="E155" i="141" s="1"/>
  <c r="E180" i="141"/>
  <c r="E189" i="141" s="1"/>
  <c r="E112" i="141"/>
  <c r="E54" i="149"/>
  <c r="E162" i="134"/>
  <c r="E196" i="134"/>
  <c r="E128" i="134"/>
  <c r="E54" i="139"/>
  <c r="E205" i="150"/>
  <c r="E206" i="150" s="1"/>
  <c r="E230" i="150"/>
  <c r="E264" i="150" s="1"/>
  <c r="E103" i="144"/>
  <c r="E104" i="144" s="1"/>
  <c r="E196" i="144"/>
  <c r="E128" i="144"/>
  <c r="E137" i="144" s="1"/>
  <c r="E138" i="144" s="1"/>
  <c r="E162" i="144"/>
  <c r="E195" i="146"/>
  <c r="E127" i="146"/>
  <c r="E137" i="146" s="1"/>
  <c r="E138" i="146" s="1"/>
  <c r="E161" i="146"/>
  <c r="E171" i="146" s="1"/>
  <c r="E172" i="146" s="1"/>
  <c r="E103" i="146"/>
  <c r="E104" i="146" s="1"/>
  <c r="E127" i="141"/>
  <c r="E137" i="141" s="1"/>
  <c r="E138" i="141" s="1"/>
  <c r="E195" i="141"/>
  <c r="E161" i="141"/>
  <c r="E103" i="141"/>
  <c r="E104" i="141" s="1"/>
  <c r="E137" i="86"/>
  <c r="E138" i="86" s="1"/>
  <c r="E214" i="86"/>
  <c r="E248" i="86" s="1"/>
  <c r="E190" i="86"/>
  <c r="E122" i="86"/>
  <c r="D77" i="95"/>
  <c r="AC35" i="95"/>
  <c r="J622" i="217"/>
  <c r="J626" i="217" s="1"/>
  <c r="J359" i="217"/>
  <c r="E229" i="86"/>
  <c r="E205" i="86"/>
  <c r="E206" i="86" s="1"/>
  <c r="E247" i="86"/>
  <c r="E257" i="86" s="1"/>
  <c r="E258" i="86" s="1"/>
  <c r="E230" i="86"/>
  <c r="E264" i="86" s="1"/>
  <c r="J588" i="217"/>
  <c r="E171" i="86"/>
  <c r="E156" i="136" l="1"/>
  <c r="E122" i="142"/>
  <c r="E189" i="149"/>
  <c r="E190" i="147"/>
  <c r="E282" i="162"/>
  <c r="E24" i="132" s="1"/>
  <c r="E137" i="137"/>
  <c r="E138" i="137" s="1"/>
  <c r="E137" i="139"/>
  <c r="E138" i="139" s="1"/>
  <c r="E230" i="139"/>
  <c r="E264" i="139" s="1"/>
  <c r="E171" i="144"/>
  <c r="E172" i="144" s="1"/>
  <c r="E156" i="147"/>
  <c r="E171" i="139"/>
  <c r="E172" i="139" s="1"/>
  <c r="E122" i="138"/>
  <c r="E214" i="144"/>
  <c r="E248" i="144" s="1"/>
  <c r="E282" i="147"/>
  <c r="E29" i="132" s="1"/>
  <c r="E156" i="135"/>
  <c r="E190" i="138"/>
  <c r="E230" i="146"/>
  <c r="E264" i="146" s="1"/>
  <c r="E230" i="134"/>
  <c r="E264" i="134" s="1"/>
  <c r="E229" i="144"/>
  <c r="E263" i="144" s="1"/>
  <c r="E229" i="141"/>
  <c r="E205" i="141"/>
  <c r="E206" i="141" s="1"/>
  <c r="E281" i="150"/>
  <c r="E32" i="133" s="1"/>
  <c r="E189" i="146"/>
  <c r="E190" i="146" s="1"/>
  <c r="E190" i="137"/>
  <c r="E155" i="144"/>
  <c r="E280" i="144" s="1"/>
  <c r="E26" i="131" s="1"/>
  <c r="E122" i="140"/>
  <c r="E282" i="140"/>
  <c r="E229" i="137"/>
  <c r="E205" i="137"/>
  <c r="E206" i="137" s="1"/>
  <c r="E229" i="149"/>
  <c r="E205" i="149"/>
  <c r="E206" i="149" s="1"/>
  <c r="E155" i="134"/>
  <c r="E156" i="134"/>
  <c r="E223" i="162"/>
  <c r="E224" i="162" s="1"/>
  <c r="E247" i="162"/>
  <c r="E257" i="162" s="1"/>
  <c r="E258" i="162" s="1"/>
  <c r="E247" i="135"/>
  <c r="E257" i="135" s="1"/>
  <c r="E258" i="135" s="1"/>
  <c r="E223" i="135"/>
  <c r="E224" i="135" s="1"/>
  <c r="E223" i="138"/>
  <c r="E224" i="138" s="1"/>
  <c r="E247" i="138"/>
  <c r="E257" i="138" s="1"/>
  <c r="E258" i="138" s="1"/>
  <c r="E230" i="149"/>
  <c r="E264" i="149" s="1"/>
  <c r="E213" i="141"/>
  <c r="E121" i="141"/>
  <c r="E282" i="141" s="1"/>
  <c r="E22" i="132" s="1"/>
  <c r="E281" i="162"/>
  <c r="E24" i="133" s="1"/>
  <c r="E155" i="145"/>
  <c r="E280" i="145" s="1"/>
  <c r="E27" i="131" s="1"/>
  <c r="E156" i="142"/>
  <c r="E189" i="148"/>
  <c r="E190" i="148" s="1"/>
  <c r="K240" i="217"/>
  <c r="E223" i="150"/>
  <c r="E224" i="150" s="1"/>
  <c r="E247" i="150"/>
  <c r="E257" i="150" s="1"/>
  <c r="E258" i="150" s="1"/>
  <c r="E213" i="139"/>
  <c r="E121" i="139"/>
  <c r="E282" i="139" s="1"/>
  <c r="E21" i="132" s="1"/>
  <c r="E190" i="149"/>
  <c r="E239" i="140"/>
  <c r="E240" i="140" s="1"/>
  <c r="E263" i="140"/>
  <c r="E273" i="140" s="1"/>
  <c r="E274" i="140" s="1"/>
  <c r="E229" i="148"/>
  <c r="E205" i="148"/>
  <c r="E206" i="148" s="1"/>
  <c r="E205" i="144"/>
  <c r="E206" i="144" s="1"/>
  <c r="E230" i="144"/>
  <c r="E264" i="144" s="1"/>
  <c r="E273" i="144" s="1"/>
  <c r="E274" i="144" s="1"/>
  <c r="E213" i="146"/>
  <c r="E121" i="137"/>
  <c r="E213" i="137"/>
  <c r="E189" i="144"/>
  <c r="E213" i="145"/>
  <c r="E230" i="148"/>
  <c r="E264" i="148" s="1"/>
  <c r="E223" i="140"/>
  <c r="E247" i="140"/>
  <c r="E257" i="140" s="1"/>
  <c r="E258" i="140" s="1"/>
  <c r="E171" i="141"/>
  <c r="E172" i="141" s="1"/>
  <c r="E214" i="149"/>
  <c r="E248" i="149" s="1"/>
  <c r="E282" i="151"/>
  <c r="E33" i="132" s="1"/>
  <c r="E230" i="137"/>
  <c r="E264" i="137" s="1"/>
  <c r="E156" i="141"/>
  <c r="E121" i="146"/>
  <c r="E282" i="146" s="1"/>
  <c r="E28" i="132" s="1"/>
  <c r="E214" i="146"/>
  <c r="E248" i="146" s="1"/>
  <c r="E214" i="137"/>
  <c r="E248" i="137" s="1"/>
  <c r="E281" i="151"/>
  <c r="E33" i="133" s="1"/>
  <c r="E223" i="143"/>
  <c r="E224" i="143" s="1"/>
  <c r="E247" i="143"/>
  <c r="E257" i="143" s="1"/>
  <c r="E258" i="143" s="1"/>
  <c r="E121" i="145"/>
  <c r="E282" i="145" s="1"/>
  <c r="E27" i="132" s="1"/>
  <c r="E214" i="145"/>
  <c r="E248" i="145" s="1"/>
  <c r="E214" i="148"/>
  <c r="E248" i="148" s="1"/>
  <c r="E282" i="150"/>
  <c r="E32" i="132" s="1"/>
  <c r="E239" i="142"/>
  <c r="E240" i="142" s="1"/>
  <c r="E263" i="142"/>
  <c r="E273" i="142" s="1"/>
  <c r="E274" i="142" s="1"/>
  <c r="E155" i="139"/>
  <c r="E280" i="139" s="1"/>
  <c r="E21" i="131" s="1"/>
  <c r="E229" i="134"/>
  <c r="E205" i="134"/>
  <c r="E206" i="134" s="1"/>
  <c r="E223" i="147"/>
  <c r="E247" i="147"/>
  <c r="E257" i="147" s="1"/>
  <c r="E258" i="147" s="1"/>
  <c r="E156" i="138"/>
  <c r="E280" i="138"/>
  <c r="E20" i="131" s="1"/>
  <c r="E205" i="146"/>
  <c r="E206" i="146" s="1"/>
  <c r="E229" i="146"/>
  <c r="E214" i="141"/>
  <c r="E248" i="141" s="1"/>
  <c r="E155" i="146"/>
  <c r="E280" i="146" s="1"/>
  <c r="E28" i="131" s="1"/>
  <c r="E156" i="137"/>
  <c r="E280" i="137"/>
  <c r="E19" i="131" s="1"/>
  <c r="E205" i="145"/>
  <c r="E206" i="145" s="1"/>
  <c r="E230" i="145"/>
  <c r="E264" i="145" s="1"/>
  <c r="E190" i="136"/>
  <c r="E230" i="141"/>
  <c r="E264" i="141" s="1"/>
  <c r="E214" i="139"/>
  <c r="E248" i="139" s="1"/>
  <c r="E121" i="134"/>
  <c r="E213" i="134"/>
  <c r="E205" i="139"/>
  <c r="E206" i="139" s="1"/>
  <c r="E229" i="139"/>
  <c r="E122" i="135"/>
  <c r="E239" i="162"/>
  <c r="E240" i="162" s="1"/>
  <c r="E263" i="162"/>
  <c r="E273" i="162" s="1"/>
  <c r="E274" i="162" s="1"/>
  <c r="E171" i="149"/>
  <c r="E172" i="149" s="1"/>
  <c r="E189" i="145"/>
  <c r="E239" i="147"/>
  <c r="E240" i="147" s="1"/>
  <c r="E263" i="147"/>
  <c r="E273" i="147" s="1"/>
  <c r="E274" i="147" s="1"/>
  <c r="E155" i="148"/>
  <c r="E280" i="148" s="1"/>
  <c r="E30" i="131" s="1"/>
  <c r="E122" i="136"/>
  <c r="E189" i="139"/>
  <c r="E137" i="134"/>
  <c r="E138" i="134" s="1"/>
  <c r="E213" i="149"/>
  <c r="E121" i="149"/>
  <c r="E281" i="142"/>
  <c r="E23" i="133" s="1"/>
  <c r="E280" i="162"/>
  <c r="E24" i="131" s="1"/>
  <c r="E239" i="150"/>
  <c r="E240" i="150" s="1"/>
  <c r="E263" i="150"/>
  <c r="E273" i="150" s="1"/>
  <c r="E274" i="150" s="1"/>
  <c r="E229" i="145"/>
  <c r="E280" i="140"/>
  <c r="E14" i="131" s="1"/>
  <c r="K152" i="217" s="1"/>
  <c r="K181" i="217" s="1"/>
  <c r="E239" i="138"/>
  <c r="E240" i="138" s="1"/>
  <c r="E263" i="138"/>
  <c r="E273" i="138" s="1"/>
  <c r="E274" i="138" s="1"/>
  <c r="E281" i="141"/>
  <c r="E22" i="133" s="1"/>
  <c r="E213" i="144"/>
  <c r="E121" i="144"/>
  <c r="E282" i="144" s="1"/>
  <c r="E26" i="132" s="1"/>
  <c r="E156" i="145"/>
  <c r="E213" i="148"/>
  <c r="E121" i="148"/>
  <c r="E223" i="151"/>
  <c r="E224" i="151" s="1"/>
  <c r="E247" i="151"/>
  <c r="E257" i="151" s="1"/>
  <c r="E258" i="151" s="1"/>
  <c r="E281" i="149"/>
  <c r="E31" i="133" s="1"/>
  <c r="E189" i="134"/>
  <c r="E281" i="134" s="1"/>
  <c r="E16" i="133" s="1"/>
  <c r="E122" i="162"/>
  <c r="E239" i="151"/>
  <c r="E240" i="151" s="1"/>
  <c r="E263" i="151"/>
  <c r="E273" i="151" s="1"/>
  <c r="E274" i="151" s="1"/>
  <c r="E156" i="150"/>
  <c r="E280" i="150"/>
  <c r="E32" i="131" s="1"/>
  <c r="E137" i="149"/>
  <c r="E138" i="149" s="1"/>
  <c r="E190" i="141"/>
  <c r="E239" i="135"/>
  <c r="E240" i="135" s="1"/>
  <c r="E263" i="135"/>
  <c r="E273" i="135" s="1"/>
  <c r="E274" i="135" s="1"/>
  <c r="E239" i="136"/>
  <c r="E240" i="136" s="1"/>
  <c r="E263" i="136"/>
  <c r="E273" i="136" s="1"/>
  <c r="E274" i="136" s="1"/>
  <c r="E239" i="143"/>
  <c r="E240" i="143" s="1"/>
  <c r="E263" i="143"/>
  <c r="E273" i="143" s="1"/>
  <c r="E274" i="143" s="1"/>
  <c r="E223" i="136"/>
  <c r="E279" i="136" s="1"/>
  <c r="E247" i="136"/>
  <c r="E257" i="136" s="1"/>
  <c r="E258" i="136" s="1"/>
  <c r="E223" i="142"/>
  <c r="E247" i="142"/>
  <c r="E257" i="142" s="1"/>
  <c r="E258" i="142" s="1"/>
  <c r="E171" i="134"/>
  <c r="E172" i="134" s="1"/>
  <c r="E156" i="149"/>
  <c r="E214" i="134"/>
  <c r="E248" i="134" s="1"/>
  <c r="E122" i="147"/>
  <c r="E280" i="151"/>
  <c r="E33" i="131" s="1"/>
  <c r="E137" i="148"/>
  <c r="E138" i="148" s="1"/>
  <c r="E190" i="151"/>
  <c r="E223" i="86"/>
  <c r="E282" i="86"/>
  <c r="E15" i="132" s="1"/>
  <c r="E239" i="86"/>
  <c r="E240" i="86" s="1"/>
  <c r="E263" i="86"/>
  <c r="E273" i="86" s="1"/>
  <c r="E274" i="86" s="1"/>
  <c r="E224" i="86"/>
  <c r="E172" i="86"/>
  <c r="E280" i="86"/>
  <c r="E281" i="86"/>
  <c r="E15" i="133" s="1"/>
  <c r="E190" i="134" l="1"/>
  <c r="E122" i="144"/>
  <c r="E281" i="145"/>
  <c r="E27" i="133" s="1"/>
  <c r="E281" i="144"/>
  <c r="E26" i="133" s="1"/>
  <c r="E239" i="144"/>
  <c r="E240" i="144" s="1"/>
  <c r="E282" i="137"/>
  <c r="E19" i="132" s="1"/>
  <c r="E122" i="141"/>
  <c r="E122" i="139"/>
  <c r="E281" i="137"/>
  <c r="E19" i="133" s="1"/>
  <c r="E156" i="139"/>
  <c r="E224" i="136"/>
  <c r="E223" i="148"/>
  <c r="E224" i="148" s="1"/>
  <c r="E247" i="148"/>
  <c r="E257" i="148" s="1"/>
  <c r="E258" i="148" s="1"/>
  <c r="E223" i="144"/>
  <c r="E279" i="144" s="1"/>
  <c r="E247" i="144"/>
  <c r="E257" i="144" s="1"/>
  <c r="E258" i="144" s="1"/>
  <c r="E282" i="149"/>
  <c r="E31" i="132" s="1"/>
  <c r="E223" i="134"/>
  <c r="E224" i="134" s="1"/>
  <c r="E247" i="134"/>
  <c r="E257" i="134" s="1"/>
  <c r="E258" i="134" s="1"/>
  <c r="E223" i="145"/>
  <c r="E224" i="145" s="1"/>
  <c r="E247" i="145"/>
  <c r="E257" i="145" s="1"/>
  <c r="E258" i="145" s="1"/>
  <c r="E223" i="137"/>
  <c r="E224" i="137" s="1"/>
  <c r="E247" i="137"/>
  <c r="E257" i="137" s="1"/>
  <c r="E258" i="137" s="1"/>
  <c r="E279" i="150"/>
  <c r="E280" i="141"/>
  <c r="E22" i="131" s="1"/>
  <c r="E223" i="149"/>
  <c r="E224" i="149" s="1"/>
  <c r="E247" i="149"/>
  <c r="E257" i="149" s="1"/>
  <c r="E258" i="149" s="1"/>
  <c r="E239" i="139"/>
  <c r="E240" i="139" s="1"/>
  <c r="E263" i="139"/>
  <c r="E273" i="139" s="1"/>
  <c r="E274" i="139" s="1"/>
  <c r="E282" i="134"/>
  <c r="E16" i="132" s="1"/>
  <c r="E190" i="145"/>
  <c r="E239" i="134"/>
  <c r="E240" i="134" s="1"/>
  <c r="E263" i="134"/>
  <c r="E273" i="134" s="1"/>
  <c r="E274" i="134" s="1"/>
  <c r="E279" i="143"/>
  <c r="E224" i="140"/>
  <c r="E279" i="140"/>
  <c r="E190" i="144"/>
  <c r="E223" i="139"/>
  <c r="E224" i="139" s="1"/>
  <c r="E247" i="139"/>
  <c r="E257" i="139" s="1"/>
  <c r="E258" i="139" s="1"/>
  <c r="E223" i="141"/>
  <c r="E224" i="141" s="1"/>
  <c r="E247" i="141"/>
  <c r="E257" i="141" s="1"/>
  <c r="E258" i="141" s="1"/>
  <c r="E279" i="138"/>
  <c r="E280" i="134"/>
  <c r="E16" i="131" s="1"/>
  <c r="E239" i="137"/>
  <c r="E240" i="137" s="1"/>
  <c r="E263" i="137"/>
  <c r="E273" i="137" s="1"/>
  <c r="E274" i="137" s="1"/>
  <c r="E156" i="144"/>
  <c r="E18" i="130"/>
  <c r="E283" i="136"/>
  <c r="E294" i="136"/>
  <c r="E279" i="151"/>
  <c r="E239" i="145"/>
  <c r="E240" i="145" s="1"/>
  <c r="E263" i="145"/>
  <c r="E273" i="145" s="1"/>
  <c r="E274" i="145" s="1"/>
  <c r="E280" i="149"/>
  <c r="E31" i="131" s="1"/>
  <c r="E239" i="146"/>
  <c r="E240" i="146" s="1"/>
  <c r="E263" i="146"/>
  <c r="E273" i="146" s="1"/>
  <c r="E274" i="146" s="1"/>
  <c r="E122" i="146"/>
  <c r="E281" i="146"/>
  <c r="E28" i="133" s="1"/>
  <c r="E239" i="141"/>
  <c r="E240" i="141" s="1"/>
  <c r="E263" i="141"/>
  <c r="E273" i="141" s="1"/>
  <c r="E274" i="141" s="1"/>
  <c r="E224" i="142"/>
  <c r="E279" i="142"/>
  <c r="E122" i="148"/>
  <c r="E282" i="148"/>
  <c r="E30" i="132" s="1"/>
  <c r="E122" i="149"/>
  <c r="E190" i="139"/>
  <c r="E281" i="139"/>
  <c r="E21" i="133" s="1"/>
  <c r="E122" i="134"/>
  <c r="E156" i="146"/>
  <c r="E224" i="147"/>
  <c r="E279" i="147"/>
  <c r="E156" i="148"/>
  <c r="E122" i="145"/>
  <c r="E122" i="137"/>
  <c r="E223" i="146"/>
  <c r="E279" i="146" s="1"/>
  <c r="E247" i="146"/>
  <c r="E257" i="146" s="1"/>
  <c r="E258" i="146" s="1"/>
  <c r="E239" i="148"/>
  <c r="E240" i="148" s="1"/>
  <c r="E263" i="148"/>
  <c r="E273" i="148" s="1"/>
  <c r="E274" i="148" s="1"/>
  <c r="E281" i="148"/>
  <c r="E30" i="133" s="1"/>
  <c r="E279" i="135"/>
  <c r="E279" i="162"/>
  <c r="E239" i="149"/>
  <c r="E240" i="149" s="1"/>
  <c r="E263" i="149"/>
  <c r="E273" i="149" s="1"/>
  <c r="E274" i="149" s="1"/>
  <c r="E14" i="132"/>
  <c r="K88" i="217" s="1"/>
  <c r="K119" i="217" s="1"/>
  <c r="E283" i="140"/>
  <c r="E15" i="131"/>
  <c r="E279" i="86"/>
  <c r="E34" i="131" l="1"/>
  <c r="K154" i="217" s="1"/>
  <c r="K183" i="217" s="1"/>
  <c r="E224" i="146"/>
  <c r="E34" i="133"/>
  <c r="K213" i="217" s="1"/>
  <c r="K242" i="217" s="1"/>
  <c r="E224" i="144"/>
  <c r="E331" i="136"/>
  <c r="E296" i="136"/>
  <c r="E371" i="136"/>
  <c r="E34" i="132"/>
  <c r="K90" i="217" s="1"/>
  <c r="K121" i="217" s="1"/>
  <c r="E14" i="130"/>
  <c r="E12" i="130" s="1"/>
  <c r="E294" i="140"/>
  <c r="E279" i="148"/>
  <c r="E294" i="135"/>
  <c r="E17" i="130"/>
  <c r="E283" i="135"/>
  <c r="E294" i="146"/>
  <c r="E28" i="130"/>
  <c r="E283" i="146"/>
  <c r="E294" i="147"/>
  <c r="E29" i="130"/>
  <c r="E283" i="147"/>
  <c r="E279" i="141"/>
  <c r="E279" i="139"/>
  <c r="E279" i="145"/>
  <c r="E279" i="134"/>
  <c r="E283" i="144"/>
  <c r="E294" i="144"/>
  <c r="E26" i="130"/>
  <c r="E294" i="162"/>
  <c r="E24" i="130"/>
  <c r="E283" i="162"/>
  <c r="E23" i="130"/>
  <c r="E283" i="142"/>
  <c r="E294" i="142"/>
  <c r="E294" i="151"/>
  <c r="E33" i="130"/>
  <c r="E283" i="151"/>
  <c r="E283" i="138"/>
  <c r="E294" i="138"/>
  <c r="E20" i="130"/>
  <c r="K270" i="217"/>
  <c r="E25" i="130"/>
  <c r="E283" i="143"/>
  <c r="E294" i="143"/>
  <c r="E279" i="149"/>
  <c r="E283" i="150"/>
  <c r="E32" i="130"/>
  <c r="E294" i="150"/>
  <c r="E279" i="137"/>
  <c r="E15" i="130"/>
  <c r="E294" i="86"/>
  <c r="E283" i="86"/>
  <c r="K92" i="217" l="1"/>
  <c r="K123" i="217" s="1"/>
  <c r="K272" i="217"/>
  <c r="E296" i="142"/>
  <c r="E371" i="142"/>
  <c r="E296" i="144"/>
  <c r="E371" i="144"/>
  <c r="E371" i="146"/>
  <c r="E296" i="146"/>
  <c r="E19" i="130"/>
  <c r="E283" i="137"/>
  <c r="E294" i="137"/>
  <c r="E31" i="130"/>
  <c r="E294" i="149"/>
  <c r="E283" i="149"/>
  <c r="K299" i="217"/>
  <c r="K618" i="217"/>
  <c r="E371" i="162"/>
  <c r="E296" i="162"/>
  <c r="E21" i="130"/>
  <c r="E283" i="139"/>
  <c r="E294" i="139"/>
  <c r="E296" i="147"/>
  <c r="E371" i="147"/>
  <c r="E294" i="148"/>
  <c r="E283" i="148"/>
  <c r="E30" i="130"/>
  <c r="E296" i="150"/>
  <c r="E371" i="150"/>
  <c r="E296" i="143"/>
  <c r="E371" i="143"/>
  <c r="E283" i="134"/>
  <c r="E294" i="134"/>
  <c r="E16" i="130"/>
  <c r="E283" i="141"/>
  <c r="E294" i="141"/>
  <c r="E22" i="130"/>
  <c r="E296" i="140"/>
  <c r="E371" i="140"/>
  <c r="E18" i="128"/>
  <c r="E307" i="136"/>
  <c r="E344" i="136" s="1"/>
  <c r="F47" i="136" s="1"/>
  <c r="E310" i="136"/>
  <c r="E347" i="136" s="1"/>
  <c r="F50" i="136" s="1"/>
  <c r="E320" i="136"/>
  <c r="E357" i="136" s="1"/>
  <c r="F60" i="136" s="1"/>
  <c r="E323" i="136"/>
  <c r="E360" i="136" s="1"/>
  <c r="F63" i="136" s="1"/>
  <c r="E304" i="136"/>
  <c r="E341" i="136" s="1"/>
  <c r="F44" i="136" s="1"/>
  <c r="E326" i="136"/>
  <c r="E363" i="136" s="1"/>
  <c r="F66" i="136" s="1"/>
  <c r="E303" i="136"/>
  <c r="E309" i="136"/>
  <c r="E346" i="136" s="1"/>
  <c r="F49" i="136" s="1"/>
  <c r="E319" i="136"/>
  <c r="E306" i="136"/>
  <c r="E343" i="136" s="1"/>
  <c r="F46" i="136" s="1"/>
  <c r="E321" i="136"/>
  <c r="E358" i="136" s="1"/>
  <c r="F61" i="136" s="1"/>
  <c r="F95" i="136" s="1"/>
  <c r="E308" i="136"/>
  <c r="E345" i="136" s="1"/>
  <c r="F48" i="136" s="1"/>
  <c r="E322" i="136"/>
  <c r="E359" i="136" s="1"/>
  <c r="F62" i="136" s="1"/>
  <c r="E325" i="136"/>
  <c r="E362" i="136" s="1"/>
  <c r="F65" i="136" s="1"/>
  <c r="E328" i="136"/>
  <c r="E365" i="136" s="1"/>
  <c r="F68" i="136" s="1"/>
  <c r="E305" i="136"/>
  <c r="E342" i="136" s="1"/>
  <c r="F45" i="136" s="1"/>
  <c r="E312" i="136"/>
  <c r="E349" i="136" s="1"/>
  <c r="F52" i="136" s="1"/>
  <c r="E324" i="136"/>
  <c r="E361" i="136" s="1"/>
  <c r="F64" i="136" s="1"/>
  <c r="E327" i="136"/>
  <c r="E364" i="136" s="1"/>
  <c r="F67" i="136" s="1"/>
  <c r="F101" i="136" s="1"/>
  <c r="E311" i="136"/>
  <c r="E348" i="136" s="1"/>
  <c r="F51" i="136" s="1"/>
  <c r="F85" i="136" s="1"/>
  <c r="F119" i="136" s="1"/>
  <c r="E331" i="138"/>
  <c r="E296" i="138"/>
  <c r="E371" i="138"/>
  <c r="E296" i="151"/>
  <c r="E371" i="151"/>
  <c r="E294" i="145"/>
  <c r="E27" i="130"/>
  <c r="E283" i="145"/>
  <c r="E296" i="135"/>
  <c r="E371" i="135"/>
  <c r="E331" i="135"/>
  <c r="K624" i="217"/>
  <c r="K301" i="217"/>
  <c r="F169" i="136"/>
  <c r="F203" i="136"/>
  <c r="F135" i="136"/>
  <c r="E331" i="86"/>
  <c r="E296" i="86"/>
  <c r="E371" i="86"/>
  <c r="F82" i="136" l="1"/>
  <c r="F79" i="136"/>
  <c r="F147" i="136" s="1"/>
  <c r="E34" i="130"/>
  <c r="F97" i="136"/>
  <c r="E320" i="151"/>
  <c r="E357" i="151" s="1"/>
  <c r="F60" i="151" s="1"/>
  <c r="E310" i="151"/>
  <c r="E347" i="151" s="1"/>
  <c r="F50" i="151" s="1"/>
  <c r="E328" i="151"/>
  <c r="E365" i="151" s="1"/>
  <c r="F68" i="151" s="1"/>
  <c r="E309" i="151"/>
  <c r="E346" i="151" s="1"/>
  <c r="F49" i="151" s="1"/>
  <c r="E319" i="151"/>
  <c r="E331" i="151"/>
  <c r="E307" i="151"/>
  <c r="E344" i="151" s="1"/>
  <c r="F47" i="151" s="1"/>
  <c r="E325" i="151"/>
  <c r="E362" i="151" s="1"/>
  <c r="F65" i="151" s="1"/>
  <c r="E327" i="151"/>
  <c r="E364" i="151" s="1"/>
  <c r="F67" i="151" s="1"/>
  <c r="E308" i="151"/>
  <c r="E345" i="151" s="1"/>
  <c r="F48" i="151" s="1"/>
  <c r="E322" i="151"/>
  <c r="E359" i="151" s="1"/>
  <c r="F62" i="151" s="1"/>
  <c r="E34" i="128"/>
  <c r="E304" i="151"/>
  <c r="E341" i="151" s="1"/>
  <c r="F44" i="151" s="1"/>
  <c r="E329" i="151"/>
  <c r="E324" i="151"/>
  <c r="E361" i="151" s="1"/>
  <c r="F64" i="151" s="1"/>
  <c r="E305" i="151"/>
  <c r="E342" i="151" s="1"/>
  <c r="F45" i="151" s="1"/>
  <c r="F79" i="151" s="1"/>
  <c r="E312" i="151"/>
  <c r="E349" i="151" s="1"/>
  <c r="F52" i="151" s="1"/>
  <c r="E326" i="151"/>
  <c r="E363" i="151" s="1"/>
  <c r="F66" i="151" s="1"/>
  <c r="E303" i="151"/>
  <c r="E321" i="151"/>
  <c r="E358" i="151" s="1"/>
  <c r="F61" i="151" s="1"/>
  <c r="F95" i="151" s="1"/>
  <c r="E313" i="151"/>
  <c r="E332" i="151" s="1"/>
  <c r="E333" i="151" s="1"/>
  <c r="E323" i="151"/>
  <c r="E360" i="151" s="1"/>
  <c r="F63" i="151" s="1"/>
  <c r="E311" i="151"/>
  <c r="E348" i="151" s="1"/>
  <c r="F51" i="151" s="1"/>
  <c r="F85" i="151" s="1"/>
  <c r="E306" i="151"/>
  <c r="E343" i="151" s="1"/>
  <c r="F46" i="151" s="1"/>
  <c r="F80" i="151" s="1"/>
  <c r="E371" i="145"/>
  <c r="E296" i="145"/>
  <c r="E322" i="138"/>
  <c r="E359" i="138" s="1"/>
  <c r="F62" i="138" s="1"/>
  <c r="E325" i="138"/>
  <c r="E362" i="138" s="1"/>
  <c r="F65" i="138" s="1"/>
  <c r="E328" i="138"/>
  <c r="E365" i="138" s="1"/>
  <c r="F68" i="138" s="1"/>
  <c r="E305" i="138"/>
  <c r="E342" i="138" s="1"/>
  <c r="F45" i="138" s="1"/>
  <c r="E312" i="138"/>
  <c r="E349" i="138" s="1"/>
  <c r="F52" i="138" s="1"/>
  <c r="E326" i="138"/>
  <c r="E363" i="138" s="1"/>
  <c r="F66" i="138" s="1"/>
  <c r="F100" i="138" s="1"/>
  <c r="E319" i="138"/>
  <c r="E311" i="138"/>
  <c r="E348" i="138" s="1"/>
  <c r="F51" i="138" s="1"/>
  <c r="E321" i="138"/>
  <c r="E358" i="138" s="1"/>
  <c r="F61" i="138" s="1"/>
  <c r="E324" i="138"/>
  <c r="E361" i="138" s="1"/>
  <c r="F64" i="138" s="1"/>
  <c r="E327" i="138"/>
  <c r="E364" i="138" s="1"/>
  <c r="F67" i="138" s="1"/>
  <c r="E308" i="138"/>
  <c r="E345" i="138" s="1"/>
  <c r="F48" i="138" s="1"/>
  <c r="E303" i="138"/>
  <c r="E20" i="128"/>
  <c r="E307" i="138"/>
  <c r="E344" i="138" s="1"/>
  <c r="F47" i="138" s="1"/>
  <c r="E310" i="138"/>
  <c r="E347" i="138" s="1"/>
  <c r="F50" i="138" s="1"/>
  <c r="E320" i="138"/>
  <c r="E357" i="138" s="1"/>
  <c r="F60" i="138" s="1"/>
  <c r="E323" i="138"/>
  <c r="E360" i="138" s="1"/>
  <c r="F63" i="138" s="1"/>
  <c r="F97" i="138" s="1"/>
  <c r="E304" i="138"/>
  <c r="E341" i="138" s="1"/>
  <c r="F44" i="138" s="1"/>
  <c r="E306" i="138"/>
  <c r="E343" i="138" s="1"/>
  <c r="F46" i="138" s="1"/>
  <c r="F80" i="138" s="1"/>
  <c r="E309" i="138"/>
  <c r="E346" i="138" s="1"/>
  <c r="F49" i="138" s="1"/>
  <c r="F83" i="138" s="1"/>
  <c r="F98" i="136"/>
  <c r="F99" i="136"/>
  <c r="F80" i="136"/>
  <c r="F100" i="136"/>
  <c r="F84" i="136"/>
  <c r="E328" i="140"/>
  <c r="E365" i="140" s="1"/>
  <c r="F68" i="140" s="1"/>
  <c r="E324" i="140"/>
  <c r="E361" i="140" s="1"/>
  <c r="F64" i="140" s="1"/>
  <c r="E320" i="140"/>
  <c r="E357" i="140" s="1"/>
  <c r="F60" i="140" s="1"/>
  <c r="E309" i="140"/>
  <c r="E346" i="140" s="1"/>
  <c r="E305" i="140"/>
  <c r="E342" i="140" s="1"/>
  <c r="E33" i="128"/>
  <c r="E331" i="140"/>
  <c r="E326" i="140"/>
  <c r="E363" i="140" s="1"/>
  <c r="F66" i="140" s="1"/>
  <c r="F100" i="140" s="1"/>
  <c r="E322" i="140"/>
  <c r="E359" i="140" s="1"/>
  <c r="F62" i="140" s="1"/>
  <c r="E311" i="140"/>
  <c r="E348" i="140" s="1"/>
  <c r="E307" i="140"/>
  <c r="E344" i="140" s="1"/>
  <c r="E303" i="140"/>
  <c r="E310" i="140"/>
  <c r="E347" i="140" s="1"/>
  <c r="F50" i="140" s="1"/>
  <c r="E306" i="140"/>
  <c r="E343" i="140" s="1"/>
  <c r="F46" i="140" s="1"/>
  <c r="E327" i="140"/>
  <c r="E364" i="140" s="1"/>
  <c r="F67" i="140" s="1"/>
  <c r="E323" i="140"/>
  <c r="E360" i="140" s="1"/>
  <c r="F63" i="140" s="1"/>
  <c r="F97" i="140" s="1"/>
  <c r="E319" i="140"/>
  <c r="E312" i="140"/>
  <c r="E349" i="140" s="1"/>
  <c r="F52" i="140" s="1"/>
  <c r="E308" i="140"/>
  <c r="E345" i="140" s="1"/>
  <c r="F48" i="140" s="1"/>
  <c r="E304" i="140"/>
  <c r="E341" i="140" s="1"/>
  <c r="F44" i="140" s="1"/>
  <c r="E325" i="140"/>
  <c r="E362" i="140" s="1"/>
  <c r="F65" i="140" s="1"/>
  <c r="F99" i="140" s="1"/>
  <c r="E321" i="140"/>
  <c r="E358" i="140" s="1"/>
  <c r="F61" i="140" s="1"/>
  <c r="F95" i="140" s="1"/>
  <c r="E309" i="143"/>
  <c r="E346" i="143" s="1"/>
  <c r="F49" i="143" s="1"/>
  <c r="E25" i="128"/>
  <c r="E312" i="143"/>
  <c r="E349" i="143" s="1"/>
  <c r="F52" i="143" s="1"/>
  <c r="E326" i="143"/>
  <c r="E363" i="143" s="1"/>
  <c r="F66" i="143" s="1"/>
  <c r="E303" i="143"/>
  <c r="E310" i="143"/>
  <c r="E347" i="143" s="1"/>
  <c r="F50" i="143" s="1"/>
  <c r="F84" i="143" s="1"/>
  <c r="E320" i="143"/>
  <c r="E357" i="143" s="1"/>
  <c r="F60" i="143" s="1"/>
  <c r="E323" i="143"/>
  <c r="E360" i="143" s="1"/>
  <c r="F63" i="143" s="1"/>
  <c r="E304" i="143"/>
  <c r="E341" i="143" s="1"/>
  <c r="F44" i="143" s="1"/>
  <c r="E325" i="143"/>
  <c r="E362" i="143" s="1"/>
  <c r="F65" i="143" s="1"/>
  <c r="E319" i="143"/>
  <c r="E307" i="143"/>
  <c r="E344" i="143" s="1"/>
  <c r="F47" i="143" s="1"/>
  <c r="E321" i="143"/>
  <c r="E358" i="143" s="1"/>
  <c r="F61" i="143" s="1"/>
  <c r="E305" i="143"/>
  <c r="E342" i="143" s="1"/>
  <c r="F45" i="143" s="1"/>
  <c r="F79" i="143" s="1"/>
  <c r="E327" i="143"/>
  <c r="E364" i="143" s="1"/>
  <c r="F67" i="143" s="1"/>
  <c r="F101" i="143" s="1"/>
  <c r="E308" i="143"/>
  <c r="E345" i="143" s="1"/>
  <c r="F48" i="143" s="1"/>
  <c r="F82" i="143" s="1"/>
  <c r="E322" i="143"/>
  <c r="E359" i="143" s="1"/>
  <c r="F62" i="143" s="1"/>
  <c r="F96" i="143" s="1"/>
  <c r="E329" i="143"/>
  <c r="E306" i="143"/>
  <c r="E343" i="143" s="1"/>
  <c r="F46" i="143" s="1"/>
  <c r="E313" i="143"/>
  <c r="E311" i="143"/>
  <c r="E348" i="143" s="1"/>
  <c r="F51" i="143" s="1"/>
  <c r="E328" i="143"/>
  <c r="E365" i="143" s="1"/>
  <c r="F68" i="143" s="1"/>
  <c r="F102" i="143" s="1"/>
  <c r="E331" i="143"/>
  <c r="E324" i="143"/>
  <c r="E361" i="143" s="1"/>
  <c r="F64" i="143" s="1"/>
  <c r="F98" i="143" s="1"/>
  <c r="E371" i="139"/>
  <c r="E331" i="139"/>
  <c r="E296" i="139"/>
  <c r="E296" i="149"/>
  <c r="E371" i="149"/>
  <c r="E326" i="135"/>
  <c r="E363" i="135" s="1"/>
  <c r="F66" i="135" s="1"/>
  <c r="E303" i="135"/>
  <c r="E306" i="135"/>
  <c r="E343" i="135" s="1"/>
  <c r="F46" i="135" s="1"/>
  <c r="E309" i="135"/>
  <c r="E346" i="135" s="1"/>
  <c r="F49" i="135" s="1"/>
  <c r="E319" i="135"/>
  <c r="E307" i="135"/>
  <c r="E344" i="135" s="1"/>
  <c r="F47" i="135" s="1"/>
  <c r="F81" i="135" s="1"/>
  <c r="E323" i="135"/>
  <c r="E360" i="135" s="1"/>
  <c r="F63" i="135" s="1"/>
  <c r="E322" i="135"/>
  <c r="E359" i="135" s="1"/>
  <c r="F62" i="135" s="1"/>
  <c r="E325" i="135"/>
  <c r="E362" i="135" s="1"/>
  <c r="F65" i="135" s="1"/>
  <c r="E328" i="135"/>
  <c r="E365" i="135" s="1"/>
  <c r="F68" i="135" s="1"/>
  <c r="E305" i="135"/>
  <c r="E342" i="135" s="1"/>
  <c r="F45" i="135" s="1"/>
  <c r="E312" i="135"/>
  <c r="E349" i="135" s="1"/>
  <c r="F52" i="135" s="1"/>
  <c r="F86" i="135" s="1"/>
  <c r="E17" i="128"/>
  <c r="E311" i="135"/>
  <c r="E348" i="135" s="1"/>
  <c r="F51" i="135" s="1"/>
  <c r="E321" i="135"/>
  <c r="E358" i="135" s="1"/>
  <c r="F61" i="135" s="1"/>
  <c r="E324" i="135"/>
  <c r="E361" i="135" s="1"/>
  <c r="F64" i="135" s="1"/>
  <c r="F98" i="135" s="1"/>
  <c r="E327" i="135"/>
  <c r="E364" i="135" s="1"/>
  <c r="F67" i="135" s="1"/>
  <c r="F101" i="135" s="1"/>
  <c r="E308" i="135"/>
  <c r="E345" i="135" s="1"/>
  <c r="F48" i="135" s="1"/>
  <c r="F82" i="135" s="1"/>
  <c r="E304" i="135"/>
  <c r="E341" i="135" s="1"/>
  <c r="F44" i="135" s="1"/>
  <c r="E310" i="135"/>
  <c r="E347" i="135" s="1"/>
  <c r="F50" i="135" s="1"/>
  <c r="F84" i="135" s="1"/>
  <c r="E320" i="135"/>
  <c r="E357" i="135" s="1"/>
  <c r="F60" i="135" s="1"/>
  <c r="F86" i="136"/>
  <c r="F96" i="136"/>
  <c r="E356" i="136"/>
  <c r="E329" i="136"/>
  <c r="E330" i="136" s="1"/>
  <c r="F81" i="136"/>
  <c r="E331" i="134"/>
  <c r="E296" i="134"/>
  <c r="E371" i="134"/>
  <c r="E296" i="148"/>
  <c r="E371" i="148"/>
  <c r="E304" i="144"/>
  <c r="E341" i="144" s="1"/>
  <c r="F44" i="144" s="1"/>
  <c r="E328" i="144"/>
  <c r="E365" i="144" s="1"/>
  <c r="F68" i="144" s="1"/>
  <c r="E303" i="144"/>
  <c r="E326" i="144"/>
  <c r="E363" i="144" s="1"/>
  <c r="F66" i="144" s="1"/>
  <c r="E26" i="128"/>
  <c r="E321" i="144"/>
  <c r="E358" i="144" s="1"/>
  <c r="F61" i="144" s="1"/>
  <c r="E324" i="144"/>
  <c r="E361" i="144" s="1"/>
  <c r="F64" i="144" s="1"/>
  <c r="E305" i="144"/>
  <c r="E342" i="144" s="1"/>
  <c r="F45" i="144" s="1"/>
  <c r="E312" i="144"/>
  <c r="E349" i="144" s="1"/>
  <c r="F52" i="144" s="1"/>
  <c r="E322" i="144"/>
  <c r="E359" i="144" s="1"/>
  <c r="F62" i="144" s="1"/>
  <c r="F96" i="144" s="1"/>
  <c r="E329" i="144"/>
  <c r="E313" i="144"/>
  <c r="E332" i="144" s="1"/>
  <c r="E309" i="144"/>
  <c r="E346" i="144" s="1"/>
  <c r="F49" i="144" s="1"/>
  <c r="E331" i="144"/>
  <c r="E310" i="144"/>
  <c r="E347" i="144" s="1"/>
  <c r="F50" i="144" s="1"/>
  <c r="E320" i="144"/>
  <c r="E357" i="144" s="1"/>
  <c r="F60" i="144" s="1"/>
  <c r="E327" i="144"/>
  <c r="E364" i="144" s="1"/>
  <c r="F67" i="144" s="1"/>
  <c r="F101" i="144" s="1"/>
  <c r="E308" i="144"/>
  <c r="E345" i="144" s="1"/>
  <c r="F48" i="144" s="1"/>
  <c r="E311" i="144"/>
  <c r="E348" i="144" s="1"/>
  <c r="F51" i="144" s="1"/>
  <c r="F85" i="144" s="1"/>
  <c r="E306" i="144"/>
  <c r="E343" i="144" s="1"/>
  <c r="F46" i="144" s="1"/>
  <c r="F80" i="144" s="1"/>
  <c r="E323" i="144"/>
  <c r="E360" i="144" s="1"/>
  <c r="F63" i="144" s="1"/>
  <c r="E307" i="144"/>
  <c r="E344" i="144" s="1"/>
  <c r="F47" i="144" s="1"/>
  <c r="F81" i="144" s="1"/>
  <c r="E325" i="144"/>
  <c r="E362" i="144" s="1"/>
  <c r="F65" i="144" s="1"/>
  <c r="F99" i="144" s="1"/>
  <c r="E319" i="144"/>
  <c r="F83" i="136"/>
  <c r="E68" i="128"/>
  <c r="D43" i="128"/>
  <c r="E371" i="141"/>
  <c r="E296" i="141"/>
  <c r="E325" i="150"/>
  <c r="E362" i="150" s="1"/>
  <c r="F65" i="150" s="1"/>
  <c r="E331" i="150"/>
  <c r="E328" i="150"/>
  <c r="E365" i="150" s="1"/>
  <c r="F68" i="150" s="1"/>
  <c r="E321" i="150"/>
  <c r="E358" i="150" s="1"/>
  <c r="F61" i="150" s="1"/>
  <c r="E324" i="150"/>
  <c r="E361" i="150" s="1"/>
  <c r="F64" i="150" s="1"/>
  <c r="E305" i="150"/>
  <c r="E342" i="150" s="1"/>
  <c r="F45" i="150" s="1"/>
  <c r="E312" i="150"/>
  <c r="E349" i="150" s="1"/>
  <c r="F52" i="150" s="1"/>
  <c r="E326" i="150"/>
  <c r="E363" i="150" s="1"/>
  <c r="F66" i="150" s="1"/>
  <c r="E303" i="150"/>
  <c r="E306" i="150"/>
  <c r="E343" i="150" s="1"/>
  <c r="F46" i="150" s="1"/>
  <c r="F80" i="150" s="1"/>
  <c r="E323" i="150"/>
  <c r="E360" i="150" s="1"/>
  <c r="F63" i="150" s="1"/>
  <c r="E311" i="150"/>
  <c r="E348" i="150" s="1"/>
  <c r="F51" i="150" s="1"/>
  <c r="E319" i="150"/>
  <c r="E32" i="128"/>
  <c r="E310" i="150"/>
  <c r="E347" i="150" s="1"/>
  <c r="F50" i="150" s="1"/>
  <c r="E320" i="150"/>
  <c r="E357" i="150" s="1"/>
  <c r="F60" i="150" s="1"/>
  <c r="E327" i="150"/>
  <c r="E364" i="150" s="1"/>
  <c r="F67" i="150" s="1"/>
  <c r="E308" i="150"/>
  <c r="E345" i="150" s="1"/>
  <c r="F48" i="150" s="1"/>
  <c r="E322" i="150"/>
  <c r="E359" i="150" s="1"/>
  <c r="F62" i="150" s="1"/>
  <c r="E329" i="150"/>
  <c r="E313" i="150"/>
  <c r="E304" i="150"/>
  <c r="E341" i="150" s="1"/>
  <c r="F44" i="150" s="1"/>
  <c r="E309" i="150"/>
  <c r="E346" i="150" s="1"/>
  <c r="F49" i="150" s="1"/>
  <c r="F83" i="150" s="1"/>
  <c r="E307" i="150"/>
  <c r="E344" i="150" s="1"/>
  <c r="F47" i="150" s="1"/>
  <c r="F81" i="150" s="1"/>
  <c r="E371" i="137"/>
  <c r="E331" i="137"/>
  <c r="E296" i="137"/>
  <c r="E319" i="146"/>
  <c r="E326" i="146"/>
  <c r="E363" i="146" s="1"/>
  <c r="F66" i="146" s="1"/>
  <c r="E303" i="146"/>
  <c r="E310" i="146"/>
  <c r="E347" i="146" s="1"/>
  <c r="F50" i="146" s="1"/>
  <c r="E324" i="146"/>
  <c r="E361" i="146" s="1"/>
  <c r="F64" i="146" s="1"/>
  <c r="E305" i="146"/>
  <c r="E342" i="146" s="1"/>
  <c r="F45" i="146" s="1"/>
  <c r="E327" i="146"/>
  <c r="E364" i="146" s="1"/>
  <c r="F67" i="146" s="1"/>
  <c r="E308" i="146"/>
  <c r="E345" i="146" s="1"/>
  <c r="F48" i="146" s="1"/>
  <c r="E325" i="146"/>
  <c r="E362" i="146" s="1"/>
  <c r="F65" i="146" s="1"/>
  <c r="F99" i="146" s="1"/>
  <c r="E331" i="146"/>
  <c r="E307" i="146"/>
  <c r="E344" i="146" s="1"/>
  <c r="F47" i="146" s="1"/>
  <c r="E328" i="146"/>
  <c r="E365" i="146" s="1"/>
  <c r="F68" i="146" s="1"/>
  <c r="F102" i="146" s="1"/>
  <c r="E28" i="128"/>
  <c r="E312" i="146"/>
  <c r="E349" i="146" s="1"/>
  <c r="F52" i="146" s="1"/>
  <c r="E322" i="146"/>
  <c r="E359" i="146" s="1"/>
  <c r="F62" i="146" s="1"/>
  <c r="E329" i="146"/>
  <c r="E306" i="146"/>
  <c r="E343" i="146" s="1"/>
  <c r="F46" i="146" s="1"/>
  <c r="E320" i="146"/>
  <c r="E357" i="146" s="1"/>
  <c r="F60" i="146" s="1"/>
  <c r="E311" i="146"/>
  <c r="E348" i="146" s="1"/>
  <c r="F51" i="146" s="1"/>
  <c r="F85" i="146" s="1"/>
  <c r="E313" i="146"/>
  <c r="E332" i="146" s="1"/>
  <c r="E323" i="146"/>
  <c r="E360" i="146" s="1"/>
  <c r="F63" i="146" s="1"/>
  <c r="F97" i="146" s="1"/>
  <c r="E304" i="146"/>
  <c r="E341" i="146" s="1"/>
  <c r="F44" i="146" s="1"/>
  <c r="E321" i="146"/>
  <c r="E358" i="146" s="1"/>
  <c r="F61" i="146" s="1"/>
  <c r="E309" i="146"/>
  <c r="E346" i="146" s="1"/>
  <c r="F49" i="146" s="1"/>
  <c r="F83" i="146" s="1"/>
  <c r="F181" i="136"/>
  <c r="F113" i="136"/>
  <c r="F153" i="136"/>
  <c r="F221" i="136" s="1"/>
  <c r="F255" i="136" s="1"/>
  <c r="F187" i="136"/>
  <c r="F102" i="136"/>
  <c r="F197" i="136"/>
  <c r="F163" i="136"/>
  <c r="F129" i="136"/>
  <c r="E340" i="136"/>
  <c r="E313" i="136"/>
  <c r="E332" i="136" s="1"/>
  <c r="E333" i="136" s="1"/>
  <c r="E311" i="147"/>
  <c r="E348" i="147" s="1"/>
  <c r="F51" i="147" s="1"/>
  <c r="E326" i="147"/>
  <c r="E363" i="147" s="1"/>
  <c r="F66" i="147" s="1"/>
  <c r="E303" i="147"/>
  <c r="E310" i="147"/>
  <c r="E347" i="147" s="1"/>
  <c r="F50" i="147" s="1"/>
  <c r="E320" i="147"/>
  <c r="E357" i="147" s="1"/>
  <c r="F60" i="147" s="1"/>
  <c r="E327" i="147"/>
  <c r="E364" i="147" s="1"/>
  <c r="F67" i="147" s="1"/>
  <c r="F101" i="147" s="1"/>
  <c r="E308" i="147"/>
  <c r="E345" i="147" s="1"/>
  <c r="F48" i="147" s="1"/>
  <c r="E29" i="128"/>
  <c r="E328" i="147"/>
  <c r="E365" i="147" s="1"/>
  <c r="F68" i="147" s="1"/>
  <c r="E309" i="147"/>
  <c r="E346" i="147" s="1"/>
  <c r="F49" i="147" s="1"/>
  <c r="E307" i="147"/>
  <c r="E344" i="147" s="1"/>
  <c r="F47" i="147" s="1"/>
  <c r="E321" i="147"/>
  <c r="E358" i="147" s="1"/>
  <c r="F61" i="147" s="1"/>
  <c r="F95" i="147" s="1"/>
  <c r="E305" i="147"/>
  <c r="E342" i="147" s="1"/>
  <c r="F45" i="147" s="1"/>
  <c r="E322" i="147"/>
  <c r="E359" i="147" s="1"/>
  <c r="F62" i="147" s="1"/>
  <c r="E329" i="147"/>
  <c r="E306" i="147"/>
  <c r="E343" i="147" s="1"/>
  <c r="F46" i="147" s="1"/>
  <c r="E313" i="147"/>
  <c r="E323" i="147"/>
  <c r="E360" i="147" s="1"/>
  <c r="F63" i="147" s="1"/>
  <c r="F97" i="147" s="1"/>
  <c r="E304" i="147"/>
  <c r="E341" i="147" s="1"/>
  <c r="F44" i="147" s="1"/>
  <c r="E325" i="147"/>
  <c r="E362" i="147" s="1"/>
  <c r="F65" i="147" s="1"/>
  <c r="E319" i="147"/>
  <c r="E331" i="147"/>
  <c r="E324" i="147"/>
  <c r="E361" i="147" s="1"/>
  <c r="F64" i="147" s="1"/>
  <c r="E312" i="147"/>
  <c r="E349" i="147" s="1"/>
  <c r="F52" i="147" s="1"/>
  <c r="F86" i="147" s="1"/>
  <c r="E313" i="162"/>
  <c r="E311" i="162"/>
  <c r="E348" i="162" s="1"/>
  <c r="F51" i="162" s="1"/>
  <c r="E325" i="162"/>
  <c r="E362" i="162" s="1"/>
  <c r="F65" i="162" s="1"/>
  <c r="E328" i="162"/>
  <c r="E365" i="162" s="1"/>
  <c r="F68" i="162" s="1"/>
  <c r="F102" i="162" s="1"/>
  <c r="E327" i="162"/>
  <c r="E364" i="162" s="1"/>
  <c r="F67" i="162" s="1"/>
  <c r="E309" i="162"/>
  <c r="E346" i="162" s="1"/>
  <c r="F49" i="162" s="1"/>
  <c r="E323" i="162"/>
  <c r="E360" i="162" s="1"/>
  <c r="F63" i="162" s="1"/>
  <c r="E304" i="162"/>
  <c r="E341" i="162" s="1"/>
  <c r="F44" i="162" s="1"/>
  <c r="E307" i="162"/>
  <c r="E344" i="162" s="1"/>
  <c r="F47" i="162" s="1"/>
  <c r="E321" i="162"/>
  <c r="E358" i="162" s="1"/>
  <c r="F61" i="162" s="1"/>
  <c r="E320" i="162"/>
  <c r="E357" i="162" s="1"/>
  <c r="F60" i="162" s="1"/>
  <c r="E329" i="162"/>
  <c r="E312" i="162"/>
  <c r="E349" i="162" s="1"/>
  <c r="F52" i="162" s="1"/>
  <c r="E322" i="162"/>
  <c r="E359" i="162" s="1"/>
  <c r="F62" i="162" s="1"/>
  <c r="F96" i="162" s="1"/>
  <c r="E306" i="162"/>
  <c r="E343" i="162" s="1"/>
  <c r="F46" i="162" s="1"/>
  <c r="F80" i="162" s="1"/>
  <c r="E324" i="162"/>
  <c r="E361" i="162" s="1"/>
  <c r="F64" i="162" s="1"/>
  <c r="E305" i="162"/>
  <c r="E342" i="162" s="1"/>
  <c r="F45" i="162" s="1"/>
  <c r="E319" i="162"/>
  <c r="E326" i="162"/>
  <c r="E363" i="162" s="1"/>
  <c r="F66" i="162" s="1"/>
  <c r="F100" i="162" s="1"/>
  <c r="E303" i="162"/>
  <c r="E310" i="162"/>
  <c r="E347" i="162" s="1"/>
  <c r="F50" i="162" s="1"/>
  <c r="E331" i="162"/>
  <c r="E24" i="128"/>
  <c r="E308" i="162"/>
  <c r="E345" i="162" s="1"/>
  <c r="F48" i="162" s="1"/>
  <c r="F82" i="162" s="1"/>
  <c r="E321" i="142"/>
  <c r="E358" i="142" s="1"/>
  <c r="F61" i="142" s="1"/>
  <c r="E324" i="142"/>
  <c r="E361" i="142" s="1"/>
  <c r="F64" i="142" s="1"/>
  <c r="E326" i="142"/>
  <c r="E363" i="142" s="1"/>
  <c r="F66" i="142" s="1"/>
  <c r="E303" i="142"/>
  <c r="E310" i="142"/>
  <c r="E347" i="142" s="1"/>
  <c r="F50" i="142" s="1"/>
  <c r="E320" i="142"/>
  <c r="E357" i="142" s="1"/>
  <c r="F60" i="142" s="1"/>
  <c r="E327" i="142"/>
  <c r="E364" i="142" s="1"/>
  <c r="F67" i="142" s="1"/>
  <c r="F101" i="142" s="1"/>
  <c r="E308" i="142"/>
  <c r="E345" i="142" s="1"/>
  <c r="F48" i="142" s="1"/>
  <c r="E23" i="128"/>
  <c r="E325" i="142"/>
  <c r="E362" i="142" s="1"/>
  <c r="F65" i="142" s="1"/>
  <c r="F99" i="142" s="1"/>
  <c r="E319" i="142"/>
  <c r="E307" i="142"/>
  <c r="E344" i="142" s="1"/>
  <c r="F47" i="142" s="1"/>
  <c r="E305" i="142"/>
  <c r="E342" i="142" s="1"/>
  <c r="F45" i="142" s="1"/>
  <c r="E322" i="142"/>
  <c r="E359" i="142" s="1"/>
  <c r="F62" i="142" s="1"/>
  <c r="F96" i="142" s="1"/>
  <c r="E329" i="142"/>
  <c r="E306" i="142"/>
  <c r="E343" i="142" s="1"/>
  <c r="F46" i="142" s="1"/>
  <c r="E313" i="142"/>
  <c r="E323" i="142"/>
  <c r="E360" i="142" s="1"/>
  <c r="F63" i="142" s="1"/>
  <c r="F97" i="142" s="1"/>
  <c r="E304" i="142"/>
  <c r="E341" i="142" s="1"/>
  <c r="F44" i="142" s="1"/>
  <c r="E311" i="142"/>
  <c r="E348" i="142" s="1"/>
  <c r="F51" i="142" s="1"/>
  <c r="F85" i="142" s="1"/>
  <c r="E328" i="142"/>
  <c r="E365" i="142" s="1"/>
  <c r="F68" i="142" s="1"/>
  <c r="E309" i="142"/>
  <c r="E346" i="142" s="1"/>
  <c r="F49" i="142" s="1"/>
  <c r="E331" i="142"/>
  <c r="E312" i="142"/>
  <c r="E349" i="142" s="1"/>
  <c r="F52" i="142" s="1"/>
  <c r="F86" i="142" s="1"/>
  <c r="F237" i="136"/>
  <c r="F271" i="136" s="1"/>
  <c r="E15" i="128"/>
  <c r="E326" i="86"/>
  <c r="E363" i="86" s="1"/>
  <c r="F66" i="86" s="1"/>
  <c r="E322" i="86"/>
  <c r="E359" i="86" s="1"/>
  <c r="F62" i="86" s="1"/>
  <c r="E311" i="86"/>
  <c r="E348" i="86" s="1"/>
  <c r="E307" i="86"/>
  <c r="E344" i="86" s="1"/>
  <c r="E303" i="86"/>
  <c r="E325" i="86"/>
  <c r="E362" i="86" s="1"/>
  <c r="F65" i="86" s="1"/>
  <c r="E321" i="86"/>
  <c r="E358" i="86" s="1"/>
  <c r="F61" i="86" s="1"/>
  <c r="E310" i="86"/>
  <c r="E347" i="86" s="1"/>
  <c r="E306" i="86"/>
  <c r="E343" i="86" s="1"/>
  <c r="E328" i="86"/>
  <c r="E365" i="86" s="1"/>
  <c r="F68" i="86" s="1"/>
  <c r="E324" i="86"/>
  <c r="E361" i="86" s="1"/>
  <c r="F64" i="86" s="1"/>
  <c r="E320" i="86"/>
  <c r="E357" i="86" s="1"/>
  <c r="F60" i="86" s="1"/>
  <c r="E309" i="86"/>
  <c r="E346" i="86" s="1"/>
  <c r="E305" i="86"/>
  <c r="E342" i="86" s="1"/>
  <c r="E327" i="86"/>
  <c r="E364" i="86" s="1"/>
  <c r="F67" i="86" s="1"/>
  <c r="E323" i="86"/>
  <c r="E360" i="86" s="1"/>
  <c r="F63" i="86" s="1"/>
  <c r="E319" i="86"/>
  <c r="E312" i="86"/>
  <c r="E349" i="86" s="1"/>
  <c r="E308" i="86"/>
  <c r="E345" i="86" s="1"/>
  <c r="E304" i="86"/>
  <c r="E341" i="86" s="1"/>
  <c r="F83" i="151" l="1"/>
  <c r="F80" i="146"/>
  <c r="F83" i="142"/>
  <c r="F151" i="142" s="1"/>
  <c r="F95" i="162"/>
  <c r="F163" i="162" s="1"/>
  <c r="F96" i="147"/>
  <c r="F198" i="147" s="1"/>
  <c r="F83" i="147"/>
  <c r="F82" i="146"/>
  <c r="F184" i="146" s="1"/>
  <c r="F97" i="151"/>
  <c r="F131" i="151" s="1"/>
  <c r="F100" i="150"/>
  <c r="F134" i="150" s="1"/>
  <c r="F97" i="144"/>
  <c r="F79" i="162"/>
  <c r="F147" i="162" s="1"/>
  <c r="F116" i="136"/>
  <c r="F150" i="136"/>
  <c r="F184" i="136"/>
  <c r="F82" i="151"/>
  <c r="F150" i="151" s="1"/>
  <c r="F231" i="136"/>
  <c r="F265" i="136" s="1"/>
  <c r="F86" i="146"/>
  <c r="F188" i="146" s="1"/>
  <c r="F98" i="150"/>
  <c r="F95" i="144"/>
  <c r="F163" i="144" s="1"/>
  <c r="F99" i="162"/>
  <c r="F201" i="162" s="1"/>
  <c r="F81" i="147"/>
  <c r="F149" i="147" s="1"/>
  <c r="F85" i="150"/>
  <c r="F83" i="144"/>
  <c r="F151" i="144" s="1"/>
  <c r="F86" i="144"/>
  <c r="F154" i="144" s="1"/>
  <c r="F96" i="135"/>
  <c r="F164" i="135" s="1"/>
  <c r="F83" i="135"/>
  <c r="E314" i="136"/>
  <c r="F99" i="143"/>
  <c r="F167" i="143" s="1"/>
  <c r="F99" i="151"/>
  <c r="F133" i="151" s="1"/>
  <c r="F131" i="136"/>
  <c r="F199" i="136"/>
  <c r="F165" i="136"/>
  <c r="F83" i="162"/>
  <c r="F185" i="162" s="1"/>
  <c r="F85" i="162"/>
  <c r="F100" i="147"/>
  <c r="F202" i="147" s="1"/>
  <c r="F164" i="142"/>
  <c r="F198" i="142"/>
  <c r="F232" i="142" s="1"/>
  <c r="F266" i="142" s="1"/>
  <c r="F130" i="142"/>
  <c r="F98" i="142"/>
  <c r="F197" i="162"/>
  <c r="F129" i="162"/>
  <c r="F117" i="162"/>
  <c r="F187" i="162"/>
  <c r="F119" i="162"/>
  <c r="F153" i="162"/>
  <c r="F131" i="147"/>
  <c r="F165" i="147"/>
  <c r="F199" i="147"/>
  <c r="F164" i="147"/>
  <c r="F151" i="147"/>
  <c r="F117" i="147"/>
  <c r="F185" i="147"/>
  <c r="F203" i="147"/>
  <c r="F169" i="147"/>
  <c r="F135" i="147"/>
  <c r="E350" i="136"/>
  <c r="F43" i="136"/>
  <c r="F170" i="136"/>
  <c r="F136" i="136"/>
  <c r="F204" i="136"/>
  <c r="F165" i="146"/>
  <c r="F199" i="146"/>
  <c r="F131" i="146"/>
  <c r="F114" i="146"/>
  <c r="F182" i="146"/>
  <c r="F148" i="146"/>
  <c r="E78" i="128"/>
  <c r="D53" i="128"/>
  <c r="F201" i="146"/>
  <c r="F133" i="146"/>
  <c r="F167" i="146"/>
  <c r="F98" i="146"/>
  <c r="E356" i="146"/>
  <c r="E330" i="146"/>
  <c r="F149" i="150"/>
  <c r="F183" i="150"/>
  <c r="F115" i="150"/>
  <c r="F153" i="150"/>
  <c r="F187" i="150"/>
  <c r="F119" i="150"/>
  <c r="F202" i="150"/>
  <c r="F95" i="150"/>
  <c r="E22" i="128"/>
  <c r="E327" i="141"/>
  <c r="E364" i="141" s="1"/>
  <c r="F67" i="141" s="1"/>
  <c r="E331" i="141"/>
  <c r="E329" i="141"/>
  <c r="E307" i="141"/>
  <c r="E344" i="141" s="1"/>
  <c r="F47" i="141" s="1"/>
  <c r="E306" i="141"/>
  <c r="E343" i="141" s="1"/>
  <c r="F46" i="141" s="1"/>
  <c r="E328" i="141"/>
  <c r="E365" i="141" s="1"/>
  <c r="F68" i="141" s="1"/>
  <c r="E326" i="141"/>
  <c r="E363" i="141" s="1"/>
  <c r="F66" i="141" s="1"/>
  <c r="E305" i="141"/>
  <c r="E342" i="141" s="1"/>
  <c r="F45" i="141" s="1"/>
  <c r="E319" i="141"/>
  <c r="E321" i="141"/>
  <c r="E358" i="141" s="1"/>
  <c r="F61" i="141" s="1"/>
  <c r="E303" i="141"/>
  <c r="E322" i="141"/>
  <c r="E359" i="141" s="1"/>
  <c r="F62" i="141" s="1"/>
  <c r="E308" i="141"/>
  <c r="E345" i="141" s="1"/>
  <c r="F48" i="141" s="1"/>
  <c r="E320" i="141"/>
  <c r="E357" i="141" s="1"/>
  <c r="F60" i="141" s="1"/>
  <c r="E312" i="141"/>
  <c r="E349" i="141" s="1"/>
  <c r="F52" i="141" s="1"/>
  <c r="E311" i="141"/>
  <c r="E348" i="141" s="1"/>
  <c r="F51" i="141" s="1"/>
  <c r="F85" i="141" s="1"/>
  <c r="E310" i="141"/>
  <c r="E347" i="141" s="1"/>
  <c r="F50" i="141" s="1"/>
  <c r="E309" i="141"/>
  <c r="E346" i="141" s="1"/>
  <c r="F49" i="141" s="1"/>
  <c r="E304" i="141"/>
  <c r="E341" i="141" s="1"/>
  <c r="F44" i="141" s="1"/>
  <c r="E323" i="141"/>
  <c r="E360" i="141" s="1"/>
  <c r="F63" i="141" s="1"/>
  <c r="F97" i="141" s="1"/>
  <c r="E325" i="141"/>
  <c r="E362" i="141" s="1"/>
  <c r="F65" i="141" s="1"/>
  <c r="E324" i="141"/>
  <c r="E361" i="141" s="1"/>
  <c r="F64" i="141" s="1"/>
  <c r="E313" i="141"/>
  <c r="E332" i="141" s="1"/>
  <c r="F185" i="136"/>
  <c r="F151" i="136"/>
  <c r="F117" i="136"/>
  <c r="F165" i="144"/>
  <c r="F131" i="144"/>
  <c r="F199" i="144"/>
  <c r="F203" i="144"/>
  <c r="F169" i="144"/>
  <c r="F135" i="144"/>
  <c r="F117" i="144"/>
  <c r="F188" i="144"/>
  <c r="E76" i="128"/>
  <c r="D51" i="128"/>
  <c r="E320" i="134"/>
  <c r="E357" i="134" s="1"/>
  <c r="F60" i="134" s="1"/>
  <c r="E323" i="134"/>
  <c r="E360" i="134" s="1"/>
  <c r="F63" i="134" s="1"/>
  <c r="E304" i="134"/>
  <c r="E341" i="134" s="1"/>
  <c r="F44" i="134" s="1"/>
  <c r="E307" i="134"/>
  <c r="E344" i="134" s="1"/>
  <c r="F47" i="134" s="1"/>
  <c r="E310" i="134"/>
  <c r="E347" i="134" s="1"/>
  <c r="F50" i="134" s="1"/>
  <c r="E327" i="134"/>
  <c r="E364" i="134" s="1"/>
  <c r="F67" i="134" s="1"/>
  <c r="E321" i="134"/>
  <c r="E358" i="134" s="1"/>
  <c r="F61" i="134" s="1"/>
  <c r="E16" i="128"/>
  <c r="E309" i="134"/>
  <c r="E346" i="134" s="1"/>
  <c r="F49" i="134" s="1"/>
  <c r="E319" i="134"/>
  <c r="E326" i="134"/>
  <c r="E363" i="134" s="1"/>
  <c r="F66" i="134" s="1"/>
  <c r="E303" i="134"/>
  <c r="E306" i="134"/>
  <c r="E343" i="134" s="1"/>
  <c r="F46" i="134" s="1"/>
  <c r="E308" i="134"/>
  <c r="E345" i="134" s="1"/>
  <c r="F48" i="134" s="1"/>
  <c r="E328" i="134"/>
  <c r="E365" i="134" s="1"/>
  <c r="F68" i="134" s="1"/>
  <c r="E305" i="134"/>
  <c r="E342" i="134" s="1"/>
  <c r="F45" i="134" s="1"/>
  <c r="F79" i="134" s="1"/>
  <c r="E312" i="134"/>
  <c r="E349" i="134" s="1"/>
  <c r="F52" i="134" s="1"/>
  <c r="E322" i="134"/>
  <c r="E359" i="134" s="1"/>
  <c r="F62" i="134" s="1"/>
  <c r="E325" i="134"/>
  <c r="E362" i="134" s="1"/>
  <c r="F65" i="134" s="1"/>
  <c r="E311" i="134"/>
  <c r="E348" i="134" s="1"/>
  <c r="F51" i="134" s="1"/>
  <c r="E324" i="134"/>
  <c r="E361" i="134" s="1"/>
  <c r="F64" i="134" s="1"/>
  <c r="E366" i="136"/>
  <c r="F59" i="136"/>
  <c r="F118" i="135"/>
  <c r="F152" i="135"/>
  <c r="F186" i="135"/>
  <c r="F166" i="135"/>
  <c r="F132" i="135"/>
  <c r="F200" i="135"/>
  <c r="F188" i="135"/>
  <c r="F120" i="135"/>
  <c r="F154" i="135"/>
  <c r="F151" i="135"/>
  <c r="F185" i="135"/>
  <c r="F117" i="135"/>
  <c r="F204" i="143"/>
  <c r="F170" i="143"/>
  <c r="F136" i="143"/>
  <c r="F113" i="143"/>
  <c r="F147" i="143"/>
  <c r="F181" i="143"/>
  <c r="F201" i="143"/>
  <c r="F152" i="143"/>
  <c r="F118" i="143"/>
  <c r="F186" i="143"/>
  <c r="E75" i="128"/>
  <c r="D50" i="128"/>
  <c r="F199" i="140"/>
  <c r="F165" i="140"/>
  <c r="F131" i="140"/>
  <c r="E313" i="140"/>
  <c r="E340" i="140"/>
  <c r="F202" i="140"/>
  <c r="F134" i="140"/>
  <c r="F168" i="140"/>
  <c r="K517" i="217"/>
  <c r="F49" i="140"/>
  <c r="F83" i="140" s="1"/>
  <c r="F186" i="136"/>
  <c r="F118" i="136"/>
  <c r="F220" i="136" s="1"/>
  <c r="F254" i="136" s="1"/>
  <c r="F152" i="136"/>
  <c r="F132" i="136"/>
  <c r="F200" i="136"/>
  <c r="F166" i="136"/>
  <c r="F199" i="138"/>
  <c r="F131" i="138"/>
  <c r="F165" i="138"/>
  <c r="D45" i="128"/>
  <c r="E70" i="128"/>
  <c r="F98" i="138"/>
  <c r="F202" i="138"/>
  <c r="F134" i="138"/>
  <c r="F168" i="138"/>
  <c r="F99" i="138"/>
  <c r="F182" i="151"/>
  <c r="F114" i="151"/>
  <c r="F216" i="151" s="1"/>
  <c r="F250" i="151" s="1"/>
  <c r="F148" i="151"/>
  <c r="F129" i="151"/>
  <c r="F197" i="151"/>
  <c r="F163" i="151"/>
  <c r="F113" i="151"/>
  <c r="F181" i="151"/>
  <c r="F147" i="151"/>
  <c r="D59" i="128"/>
  <c r="E84" i="128"/>
  <c r="F167" i="151"/>
  <c r="F151" i="151"/>
  <c r="F185" i="151"/>
  <c r="F117" i="151"/>
  <c r="F199" i="142"/>
  <c r="F131" i="142"/>
  <c r="F165" i="142"/>
  <c r="F164" i="162"/>
  <c r="F130" i="162"/>
  <c r="F198" i="162"/>
  <c r="F102" i="142"/>
  <c r="E332" i="142"/>
  <c r="E333" i="142" s="1"/>
  <c r="F79" i="142"/>
  <c r="E73" i="128"/>
  <c r="D48" i="128"/>
  <c r="F84" i="142"/>
  <c r="F95" i="142"/>
  <c r="F84" i="162"/>
  <c r="F181" i="162"/>
  <c r="F86" i="162"/>
  <c r="F81" i="162"/>
  <c r="F101" i="162"/>
  <c r="E332" i="162"/>
  <c r="E333" i="162" s="1"/>
  <c r="E356" i="147"/>
  <c r="E330" i="147"/>
  <c r="E332" i="147"/>
  <c r="E333" i="147" s="1"/>
  <c r="F79" i="147"/>
  <c r="F102" i="147"/>
  <c r="F85" i="147"/>
  <c r="F185" i="146"/>
  <c r="F151" i="146"/>
  <c r="F117" i="146"/>
  <c r="E333" i="146"/>
  <c r="F170" i="146"/>
  <c r="F136" i="146"/>
  <c r="F204" i="146"/>
  <c r="F150" i="146"/>
  <c r="F84" i="146"/>
  <c r="E324" i="137"/>
  <c r="E361" i="137" s="1"/>
  <c r="F64" i="137" s="1"/>
  <c r="E327" i="137"/>
  <c r="E364" i="137" s="1"/>
  <c r="F67" i="137" s="1"/>
  <c r="E308" i="137"/>
  <c r="E345" i="137" s="1"/>
  <c r="F48" i="137" s="1"/>
  <c r="E311" i="137"/>
  <c r="E348" i="137" s="1"/>
  <c r="F51" i="137" s="1"/>
  <c r="E321" i="137"/>
  <c r="E358" i="137" s="1"/>
  <c r="F61" i="137" s="1"/>
  <c r="E320" i="137"/>
  <c r="E357" i="137" s="1"/>
  <c r="F60" i="137" s="1"/>
  <c r="E323" i="137"/>
  <c r="E360" i="137" s="1"/>
  <c r="F63" i="137" s="1"/>
  <c r="E304" i="137"/>
  <c r="E341" i="137" s="1"/>
  <c r="F44" i="137" s="1"/>
  <c r="E307" i="137"/>
  <c r="E344" i="137" s="1"/>
  <c r="F47" i="137" s="1"/>
  <c r="E310" i="137"/>
  <c r="E347" i="137" s="1"/>
  <c r="F50" i="137" s="1"/>
  <c r="E328" i="137"/>
  <c r="E365" i="137" s="1"/>
  <c r="F68" i="137" s="1"/>
  <c r="E322" i="137"/>
  <c r="E359" i="137" s="1"/>
  <c r="F62" i="137" s="1"/>
  <c r="E19" i="128"/>
  <c r="E309" i="137"/>
  <c r="E346" i="137" s="1"/>
  <c r="F49" i="137" s="1"/>
  <c r="E319" i="137"/>
  <c r="E326" i="137"/>
  <c r="E363" i="137" s="1"/>
  <c r="F66" i="137" s="1"/>
  <c r="E303" i="137"/>
  <c r="E306" i="137"/>
  <c r="E343" i="137" s="1"/>
  <c r="F46" i="137" s="1"/>
  <c r="E305" i="137"/>
  <c r="E342" i="137" s="1"/>
  <c r="F45" i="137" s="1"/>
  <c r="F79" i="137" s="1"/>
  <c r="E325" i="137"/>
  <c r="E362" i="137" s="1"/>
  <c r="F65" i="137" s="1"/>
  <c r="E312" i="137"/>
  <c r="E349" i="137" s="1"/>
  <c r="F52" i="137" s="1"/>
  <c r="F86" i="137" s="1"/>
  <c r="F185" i="150"/>
  <c r="F151" i="150"/>
  <c r="F117" i="150"/>
  <c r="F96" i="150"/>
  <c r="F84" i="150"/>
  <c r="F97" i="150"/>
  <c r="F86" i="150"/>
  <c r="F102" i="150"/>
  <c r="E356" i="144"/>
  <c r="E330" i="144"/>
  <c r="F182" i="144"/>
  <c r="F114" i="144"/>
  <c r="F148" i="144"/>
  <c r="E333" i="144"/>
  <c r="F79" i="144"/>
  <c r="F100" i="144"/>
  <c r="F130" i="136"/>
  <c r="F164" i="136"/>
  <c r="F198" i="136"/>
  <c r="F95" i="135"/>
  <c r="F79" i="135"/>
  <c r="F97" i="135"/>
  <c r="F80" i="135"/>
  <c r="F85" i="143"/>
  <c r="F198" i="143"/>
  <c r="F130" i="143"/>
  <c r="F164" i="143"/>
  <c r="F95" i="143"/>
  <c r="E340" i="143"/>
  <c r="E314" i="143"/>
  <c r="F83" i="143"/>
  <c r="F101" i="140"/>
  <c r="K516" i="217"/>
  <c r="F47" i="140"/>
  <c r="F81" i="140" s="1"/>
  <c r="F202" i="136"/>
  <c r="F168" i="136"/>
  <c r="F134" i="136"/>
  <c r="F117" i="138"/>
  <c r="F185" i="138"/>
  <c r="F151" i="138"/>
  <c r="E340" i="138"/>
  <c r="E313" i="138"/>
  <c r="E314" i="138" s="1"/>
  <c r="F95" i="138"/>
  <c r="F86" i="138"/>
  <c r="F96" i="138"/>
  <c r="F187" i="151"/>
  <c r="F119" i="151"/>
  <c r="F153" i="151"/>
  <c r="E340" i="151"/>
  <c r="E314" i="151"/>
  <c r="F98" i="151"/>
  <c r="F96" i="151"/>
  <c r="F81" i="151"/>
  <c r="F102" i="151"/>
  <c r="F167" i="142"/>
  <c r="F133" i="142"/>
  <c r="F201" i="142"/>
  <c r="E356" i="162"/>
  <c r="E330" i="162"/>
  <c r="F154" i="142"/>
  <c r="F120" i="142"/>
  <c r="F188" i="142"/>
  <c r="F187" i="142"/>
  <c r="F119" i="142"/>
  <c r="F153" i="142"/>
  <c r="F80" i="142"/>
  <c r="F81" i="142"/>
  <c r="F82" i="142"/>
  <c r="E340" i="142"/>
  <c r="E314" i="142"/>
  <c r="F116" i="162"/>
  <c r="F150" i="162"/>
  <c r="F184" i="162"/>
  <c r="E340" i="162"/>
  <c r="E314" i="162"/>
  <c r="F98" i="162"/>
  <c r="F204" i="162"/>
  <c r="F136" i="162"/>
  <c r="F170" i="162"/>
  <c r="F120" i="147"/>
  <c r="F154" i="147"/>
  <c r="F188" i="147"/>
  <c r="F99" i="147"/>
  <c r="F80" i="147"/>
  <c r="F129" i="147"/>
  <c r="F163" i="147"/>
  <c r="F197" i="147"/>
  <c r="E79" i="128"/>
  <c r="D54" i="128"/>
  <c r="F84" i="147"/>
  <c r="F95" i="146"/>
  <c r="F153" i="146"/>
  <c r="F187" i="146"/>
  <c r="F119" i="146"/>
  <c r="F96" i="146"/>
  <c r="F81" i="146"/>
  <c r="F101" i="146"/>
  <c r="E340" i="146"/>
  <c r="E314" i="146"/>
  <c r="F82" i="150"/>
  <c r="D57" i="128"/>
  <c r="E82" i="128"/>
  <c r="F182" i="150"/>
  <c r="F114" i="150"/>
  <c r="F148" i="150"/>
  <c r="F79" i="150"/>
  <c r="F201" i="144"/>
  <c r="F167" i="144"/>
  <c r="F133" i="144"/>
  <c r="F153" i="144"/>
  <c r="F187" i="144"/>
  <c r="F119" i="144"/>
  <c r="F84" i="144"/>
  <c r="F98" i="144"/>
  <c r="E340" i="144"/>
  <c r="E314" i="144"/>
  <c r="E311" i="148"/>
  <c r="E348" i="148" s="1"/>
  <c r="F51" i="148" s="1"/>
  <c r="E328" i="148"/>
  <c r="E365" i="148" s="1"/>
  <c r="F68" i="148" s="1"/>
  <c r="E309" i="148"/>
  <c r="E346" i="148" s="1"/>
  <c r="F49" i="148" s="1"/>
  <c r="E319" i="148"/>
  <c r="E326" i="148"/>
  <c r="E363" i="148" s="1"/>
  <c r="F66" i="148" s="1"/>
  <c r="E303" i="148"/>
  <c r="E321" i="148"/>
  <c r="E358" i="148" s="1"/>
  <c r="F61" i="148" s="1"/>
  <c r="E327" i="148"/>
  <c r="E364" i="148" s="1"/>
  <c r="F67" i="148" s="1"/>
  <c r="E329" i="148"/>
  <c r="E323" i="148"/>
  <c r="E360" i="148" s="1"/>
  <c r="F63" i="148" s="1"/>
  <c r="E307" i="148"/>
  <c r="E344" i="148" s="1"/>
  <c r="F47" i="148" s="1"/>
  <c r="E324" i="148"/>
  <c r="E361" i="148" s="1"/>
  <c r="F64" i="148" s="1"/>
  <c r="E305" i="148"/>
  <c r="E342" i="148" s="1"/>
  <c r="F45" i="148" s="1"/>
  <c r="E312" i="148"/>
  <c r="E349" i="148" s="1"/>
  <c r="F52" i="148" s="1"/>
  <c r="F86" i="148" s="1"/>
  <c r="E322" i="148"/>
  <c r="E359" i="148" s="1"/>
  <c r="F62" i="148" s="1"/>
  <c r="F96" i="148" s="1"/>
  <c r="E331" i="148"/>
  <c r="E310" i="148"/>
  <c r="E347" i="148" s="1"/>
  <c r="F50" i="148" s="1"/>
  <c r="E320" i="148"/>
  <c r="E357" i="148" s="1"/>
  <c r="F60" i="148" s="1"/>
  <c r="E308" i="148"/>
  <c r="E345" i="148" s="1"/>
  <c r="F48" i="148" s="1"/>
  <c r="F82" i="148" s="1"/>
  <c r="E306" i="148"/>
  <c r="E343" i="148" s="1"/>
  <c r="F46" i="148" s="1"/>
  <c r="E30" i="128"/>
  <c r="E313" i="148"/>
  <c r="E332" i="148" s="1"/>
  <c r="E304" i="148"/>
  <c r="E341" i="148" s="1"/>
  <c r="F44" i="148" s="1"/>
  <c r="E325" i="148"/>
  <c r="E362" i="148" s="1"/>
  <c r="F65" i="148" s="1"/>
  <c r="F99" i="148" s="1"/>
  <c r="F183" i="136"/>
  <c r="F115" i="136"/>
  <c r="F149" i="136"/>
  <c r="F120" i="136"/>
  <c r="F154" i="136"/>
  <c r="F188" i="136"/>
  <c r="F184" i="135"/>
  <c r="F116" i="135"/>
  <c r="F150" i="135"/>
  <c r="F85" i="135"/>
  <c r="F102" i="135"/>
  <c r="F115" i="135"/>
  <c r="F149" i="135"/>
  <c r="F183" i="135"/>
  <c r="E340" i="135"/>
  <c r="E313" i="135"/>
  <c r="E314" i="135" s="1"/>
  <c r="E326" i="149"/>
  <c r="E363" i="149" s="1"/>
  <c r="F66" i="149" s="1"/>
  <c r="E308" i="149"/>
  <c r="E345" i="149" s="1"/>
  <c r="F48" i="149" s="1"/>
  <c r="E306" i="149"/>
  <c r="E343" i="149" s="1"/>
  <c r="F46" i="149" s="1"/>
  <c r="E320" i="149"/>
  <c r="E357" i="149" s="1"/>
  <c r="F60" i="149" s="1"/>
  <c r="E322" i="149"/>
  <c r="E359" i="149" s="1"/>
  <c r="F62" i="149" s="1"/>
  <c r="E31" i="128"/>
  <c r="E313" i="149"/>
  <c r="E323" i="149"/>
  <c r="E360" i="149" s="1"/>
  <c r="F63" i="149" s="1"/>
  <c r="E304" i="149"/>
  <c r="E341" i="149" s="1"/>
  <c r="F44" i="149" s="1"/>
  <c r="E311" i="149"/>
  <c r="E348" i="149" s="1"/>
  <c r="F51" i="149" s="1"/>
  <c r="E325" i="149"/>
  <c r="E362" i="149" s="1"/>
  <c r="F65" i="149" s="1"/>
  <c r="E324" i="149"/>
  <c r="E361" i="149" s="1"/>
  <c r="F64" i="149" s="1"/>
  <c r="F98" i="149" s="1"/>
  <c r="E305" i="149"/>
  <c r="E342" i="149" s="1"/>
  <c r="F45" i="149" s="1"/>
  <c r="F79" i="149" s="1"/>
  <c r="E303" i="149"/>
  <c r="E327" i="149"/>
  <c r="E364" i="149" s="1"/>
  <c r="F67" i="149" s="1"/>
  <c r="E329" i="149"/>
  <c r="E328" i="149"/>
  <c r="E365" i="149" s="1"/>
  <c r="F68" i="149" s="1"/>
  <c r="E309" i="149"/>
  <c r="E346" i="149" s="1"/>
  <c r="F49" i="149" s="1"/>
  <c r="F83" i="149" s="1"/>
  <c r="E319" i="149"/>
  <c r="E331" i="149"/>
  <c r="E307" i="149"/>
  <c r="E344" i="149" s="1"/>
  <c r="F47" i="149" s="1"/>
  <c r="E321" i="149"/>
  <c r="E358" i="149" s="1"/>
  <c r="F61" i="149" s="1"/>
  <c r="E312" i="149"/>
  <c r="E349" i="149" s="1"/>
  <c r="F52" i="149" s="1"/>
  <c r="E310" i="149"/>
  <c r="E347" i="149" s="1"/>
  <c r="F50" i="149" s="1"/>
  <c r="F166" i="143"/>
  <c r="F200" i="143"/>
  <c r="F132" i="143"/>
  <c r="E332" i="143"/>
  <c r="E333" i="143" s="1"/>
  <c r="F184" i="143"/>
  <c r="F116" i="143"/>
  <c r="F150" i="143"/>
  <c r="F81" i="143"/>
  <c r="F97" i="143"/>
  <c r="F100" i="143"/>
  <c r="F163" i="140"/>
  <c r="F129" i="140"/>
  <c r="F197" i="140"/>
  <c r="F231" i="140" s="1"/>
  <c r="F265" i="140" s="1"/>
  <c r="K518" i="217"/>
  <c r="F51" i="140"/>
  <c r="F85" i="140" s="1"/>
  <c r="E83" i="128"/>
  <c r="D58" i="128"/>
  <c r="F98" i="140"/>
  <c r="F148" i="136"/>
  <c r="F182" i="136"/>
  <c r="F114" i="136"/>
  <c r="F114" i="138"/>
  <c r="F148" i="138"/>
  <c r="F182" i="138"/>
  <c r="F84" i="138"/>
  <c r="F82" i="138"/>
  <c r="F85" i="138"/>
  <c r="F79" i="138"/>
  <c r="E324" i="145"/>
  <c r="E361" i="145" s="1"/>
  <c r="F64" i="145" s="1"/>
  <c r="E329" i="145"/>
  <c r="E306" i="145"/>
  <c r="E343" i="145" s="1"/>
  <c r="F46" i="145" s="1"/>
  <c r="E313" i="145"/>
  <c r="E323" i="145"/>
  <c r="E360" i="145" s="1"/>
  <c r="F63" i="145" s="1"/>
  <c r="E304" i="145"/>
  <c r="E341" i="145" s="1"/>
  <c r="F44" i="145" s="1"/>
  <c r="E311" i="145"/>
  <c r="E348" i="145" s="1"/>
  <c r="F51" i="145" s="1"/>
  <c r="E321" i="145"/>
  <c r="E358" i="145" s="1"/>
  <c r="F61" i="145" s="1"/>
  <c r="E305" i="145"/>
  <c r="E342" i="145" s="1"/>
  <c r="F45" i="145" s="1"/>
  <c r="E312" i="145"/>
  <c r="E349" i="145" s="1"/>
  <c r="F52" i="145" s="1"/>
  <c r="E326" i="145"/>
  <c r="E363" i="145" s="1"/>
  <c r="F66" i="145" s="1"/>
  <c r="E27" i="128"/>
  <c r="E320" i="145"/>
  <c r="E357" i="145" s="1"/>
  <c r="F60" i="145" s="1"/>
  <c r="E308" i="145"/>
  <c r="E345" i="145" s="1"/>
  <c r="F48" i="145" s="1"/>
  <c r="E325" i="145"/>
  <c r="E362" i="145" s="1"/>
  <c r="F65" i="145" s="1"/>
  <c r="E328" i="145"/>
  <c r="E365" i="145" s="1"/>
  <c r="F68" i="145" s="1"/>
  <c r="E309" i="145"/>
  <c r="E346" i="145" s="1"/>
  <c r="F49" i="145" s="1"/>
  <c r="E319" i="145"/>
  <c r="E331" i="145"/>
  <c r="E307" i="145"/>
  <c r="E344" i="145" s="1"/>
  <c r="F47" i="145" s="1"/>
  <c r="E303" i="145"/>
  <c r="E310" i="145"/>
  <c r="E347" i="145" s="1"/>
  <c r="F50" i="145" s="1"/>
  <c r="E327" i="145"/>
  <c r="E364" i="145" s="1"/>
  <c r="F67" i="145" s="1"/>
  <c r="F101" i="145" s="1"/>
  <c r="E322" i="145"/>
  <c r="E359" i="145" s="1"/>
  <c r="F62" i="145" s="1"/>
  <c r="F96" i="145" s="1"/>
  <c r="F165" i="151"/>
  <c r="F199" i="151"/>
  <c r="F100" i="151"/>
  <c r="F84" i="151"/>
  <c r="E356" i="142"/>
  <c r="E330" i="142"/>
  <c r="F169" i="142"/>
  <c r="F203" i="142"/>
  <c r="F135" i="142"/>
  <c r="F100" i="142"/>
  <c r="D49" i="128"/>
  <c r="E74" i="128"/>
  <c r="F134" i="162"/>
  <c r="F168" i="162"/>
  <c r="F202" i="162"/>
  <c r="F182" i="162"/>
  <c r="F114" i="162"/>
  <c r="F148" i="162"/>
  <c r="F97" i="162"/>
  <c r="F133" i="162"/>
  <c r="F167" i="162"/>
  <c r="F98" i="147"/>
  <c r="F115" i="147"/>
  <c r="F82" i="147"/>
  <c r="E340" i="147"/>
  <c r="E314" i="147"/>
  <c r="F215" i="136"/>
  <c r="F249" i="136" s="1"/>
  <c r="F79" i="146"/>
  <c r="F100" i="146"/>
  <c r="E332" i="150"/>
  <c r="E333" i="150" s="1"/>
  <c r="F101" i="150"/>
  <c r="E356" i="150"/>
  <c r="E330" i="150"/>
  <c r="E340" i="150"/>
  <c r="E314" i="150"/>
  <c r="F200" i="150"/>
  <c r="F132" i="150"/>
  <c r="F166" i="150"/>
  <c r="F99" i="150"/>
  <c r="E19" i="102"/>
  <c r="C15" i="189"/>
  <c r="C44" i="189" s="1"/>
  <c r="C57" i="189" s="1"/>
  <c r="C98" i="189" s="1"/>
  <c r="F183" i="144"/>
  <c r="F115" i="144"/>
  <c r="F149" i="144"/>
  <c r="F82" i="144"/>
  <c r="F130" i="144"/>
  <c r="F164" i="144"/>
  <c r="F198" i="144"/>
  <c r="F232" i="144" s="1"/>
  <c r="F266" i="144" s="1"/>
  <c r="F197" i="144"/>
  <c r="F102" i="144"/>
  <c r="F135" i="135"/>
  <c r="F169" i="135"/>
  <c r="F203" i="135"/>
  <c r="E67" i="128"/>
  <c r="D42" i="128"/>
  <c r="F99" i="135"/>
  <c r="E356" i="135"/>
  <c r="E329" i="135"/>
  <c r="E330" i="135" s="1"/>
  <c r="F100" i="135"/>
  <c r="E328" i="139"/>
  <c r="E365" i="139" s="1"/>
  <c r="F68" i="139" s="1"/>
  <c r="E305" i="139"/>
  <c r="E342" i="139" s="1"/>
  <c r="F45" i="139" s="1"/>
  <c r="E312" i="139"/>
  <c r="E349" i="139" s="1"/>
  <c r="F52" i="139" s="1"/>
  <c r="E322" i="139"/>
  <c r="E359" i="139" s="1"/>
  <c r="F62" i="139" s="1"/>
  <c r="E325" i="139"/>
  <c r="E362" i="139" s="1"/>
  <c r="F65" i="139" s="1"/>
  <c r="E311" i="139"/>
  <c r="E348" i="139" s="1"/>
  <c r="F51" i="139" s="1"/>
  <c r="E321" i="139"/>
  <c r="E358" i="139" s="1"/>
  <c r="F61" i="139" s="1"/>
  <c r="E324" i="139"/>
  <c r="E361" i="139" s="1"/>
  <c r="F64" i="139" s="1"/>
  <c r="E327" i="139"/>
  <c r="E364" i="139" s="1"/>
  <c r="F67" i="139" s="1"/>
  <c r="E308" i="139"/>
  <c r="E345" i="139" s="1"/>
  <c r="F48" i="139" s="1"/>
  <c r="E309" i="139"/>
  <c r="E346" i="139" s="1"/>
  <c r="F49" i="139" s="1"/>
  <c r="F83" i="139" s="1"/>
  <c r="E303" i="139"/>
  <c r="E320" i="139"/>
  <c r="E357" i="139" s="1"/>
  <c r="F60" i="139" s="1"/>
  <c r="E323" i="139"/>
  <c r="E360" i="139" s="1"/>
  <c r="F63" i="139" s="1"/>
  <c r="E304" i="139"/>
  <c r="E341" i="139" s="1"/>
  <c r="F44" i="139" s="1"/>
  <c r="E307" i="139"/>
  <c r="E344" i="139" s="1"/>
  <c r="F47" i="139" s="1"/>
  <c r="E310" i="139"/>
  <c r="E347" i="139" s="1"/>
  <c r="F50" i="139" s="1"/>
  <c r="E319" i="139"/>
  <c r="E306" i="139"/>
  <c r="E343" i="139" s="1"/>
  <c r="F46" i="139" s="1"/>
  <c r="F80" i="139" s="1"/>
  <c r="E21" i="128"/>
  <c r="E326" i="139"/>
  <c r="E363" i="139" s="1"/>
  <c r="F66" i="139" s="1"/>
  <c r="F100" i="139" s="1"/>
  <c r="F80" i="143"/>
  <c r="F169" i="143"/>
  <c r="F203" i="143"/>
  <c r="F135" i="143"/>
  <c r="E356" i="143"/>
  <c r="E330" i="143"/>
  <c r="F86" i="143"/>
  <c r="F201" i="140"/>
  <c r="F235" i="140" s="1"/>
  <c r="F269" i="140" s="1"/>
  <c r="F133" i="140"/>
  <c r="F167" i="140"/>
  <c r="E356" i="140"/>
  <c r="E329" i="140"/>
  <c r="E330" i="140" s="1"/>
  <c r="F84" i="140"/>
  <c r="F96" i="140"/>
  <c r="K515" i="217"/>
  <c r="F45" i="140"/>
  <c r="F79" i="140" s="1"/>
  <c r="F102" i="140"/>
  <c r="F133" i="136"/>
  <c r="F167" i="136"/>
  <c r="F201" i="136"/>
  <c r="F81" i="138"/>
  <c r="F101" i="138"/>
  <c r="E356" i="138"/>
  <c r="E329" i="138"/>
  <c r="E330" i="138" s="1"/>
  <c r="F102" i="138"/>
  <c r="F86" i="151"/>
  <c r="F101" i="151"/>
  <c r="E356" i="151"/>
  <c r="E330" i="151"/>
  <c r="F97" i="86"/>
  <c r="F165" i="86" s="1"/>
  <c r="F101" i="86"/>
  <c r="F98" i="86"/>
  <c r="F132" i="86" s="1"/>
  <c r="F95" i="86"/>
  <c r="F129" i="86" s="1"/>
  <c r="F44" i="86"/>
  <c r="F50" i="86"/>
  <c r="F47" i="86"/>
  <c r="E65" i="128"/>
  <c r="D40" i="128"/>
  <c r="F48" i="86"/>
  <c r="F203" i="86"/>
  <c r="F135" i="86"/>
  <c r="F169" i="86"/>
  <c r="J562" i="217"/>
  <c r="F51" i="86"/>
  <c r="F52" i="86"/>
  <c r="F45" i="86"/>
  <c r="F102" i="86"/>
  <c r="F99" i="86"/>
  <c r="F96" i="86"/>
  <c r="E356" i="86"/>
  <c r="E329" i="86"/>
  <c r="E330" i="86" s="1"/>
  <c r="F49" i="86"/>
  <c r="F46" i="86"/>
  <c r="E340" i="86"/>
  <c r="E313" i="86"/>
  <c r="F100" i="86"/>
  <c r="F84" i="145" l="1"/>
  <c r="F95" i="149"/>
  <c r="E333" i="148"/>
  <c r="F102" i="134"/>
  <c r="F97" i="139"/>
  <c r="F129" i="144"/>
  <c r="F184" i="151"/>
  <c r="F117" i="142"/>
  <c r="E333" i="141"/>
  <c r="F168" i="147"/>
  <c r="F200" i="86"/>
  <c r="F218" i="143"/>
  <c r="F252" i="143" s="1"/>
  <c r="F234" i="143"/>
  <c r="F268" i="143" s="1"/>
  <c r="F185" i="142"/>
  <c r="F116" i="146"/>
  <c r="F113" i="162"/>
  <c r="F215" i="162" s="1"/>
  <c r="F249" i="162" s="1"/>
  <c r="F85" i="134"/>
  <c r="F185" i="144"/>
  <c r="F116" i="151"/>
  <c r="F81" i="149"/>
  <c r="F149" i="149" s="1"/>
  <c r="F102" i="149"/>
  <c r="F99" i="134"/>
  <c r="F95" i="134"/>
  <c r="F96" i="141"/>
  <c r="F164" i="141" s="1"/>
  <c r="F134" i="147"/>
  <c r="F97" i="137"/>
  <c r="F233" i="142"/>
  <c r="F267" i="142" s="1"/>
  <c r="F236" i="147"/>
  <c r="F270" i="147" s="1"/>
  <c r="F86" i="139"/>
  <c r="F235" i="142"/>
  <c r="F269" i="142" s="1"/>
  <c r="J558" i="217"/>
  <c r="F120" i="146"/>
  <c r="F222" i="142"/>
  <c r="F256" i="142" s="1"/>
  <c r="F232" i="143"/>
  <c r="F266" i="143" s="1"/>
  <c r="F83" i="137"/>
  <c r="F222" i="135"/>
  <c r="F256" i="135" s="1"/>
  <c r="F80" i="137"/>
  <c r="F130" i="135"/>
  <c r="J563" i="217"/>
  <c r="K528" i="217" s="1"/>
  <c r="F235" i="136"/>
  <c r="F269" i="136" s="1"/>
  <c r="F221" i="151"/>
  <c r="F255" i="151" s="1"/>
  <c r="F219" i="138"/>
  <c r="F253" i="138" s="1"/>
  <c r="F201" i="151"/>
  <c r="F198" i="135"/>
  <c r="F232" i="135" s="1"/>
  <c r="F266" i="135" s="1"/>
  <c r="F238" i="136"/>
  <c r="F272" i="136" s="1"/>
  <c r="F151" i="162"/>
  <c r="F233" i="136"/>
  <c r="F267" i="136" s="1"/>
  <c r="F82" i="86"/>
  <c r="F116" i="86" s="1"/>
  <c r="F183" i="147"/>
  <c r="F218" i="146"/>
  <c r="F252" i="146" s="1"/>
  <c r="F238" i="143"/>
  <c r="F272" i="143" s="1"/>
  <c r="F130" i="147"/>
  <c r="F232" i="147" s="1"/>
  <c r="F266" i="147" s="1"/>
  <c r="F218" i="136"/>
  <c r="F252" i="136" s="1"/>
  <c r="F154" i="146"/>
  <c r="F80" i="148"/>
  <c r="F182" i="148" s="1"/>
  <c r="F222" i="147"/>
  <c r="F256" i="147" s="1"/>
  <c r="F133" i="143"/>
  <c r="F235" i="143" s="1"/>
  <c r="F269" i="143" s="1"/>
  <c r="F120" i="144"/>
  <c r="F168" i="150"/>
  <c r="F236" i="150" s="1"/>
  <c r="F270" i="150" s="1"/>
  <c r="F233" i="147"/>
  <c r="F267" i="147" s="1"/>
  <c r="F131" i="86"/>
  <c r="F99" i="145"/>
  <c r="F99" i="149"/>
  <c r="F167" i="149" s="1"/>
  <c r="F81" i="148"/>
  <c r="F183" i="148" s="1"/>
  <c r="F235" i="144"/>
  <c r="F269" i="144" s="1"/>
  <c r="F231" i="147"/>
  <c r="F265" i="147" s="1"/>
  <c r="F238" i="162"/>
  <c r="F272" i="162" s="1"/>
  <c r="F99" i="137"/>
  <c r="F201" i="137" s="1"/>
  <c r="F96" i="137"/>
  <c r="F215" i="151"/>
  <c r="F249" i="151" s="1"/>
  <c r="F233" i="138"/>
  <c r="F267" i="138" s="1"/>
  <c r="F98" i="134"/>
  <c r="F132" i="134" s="1"/>
  <c r="F233" i="144"/>
  <c r="F267" i="144" s="1"/>
  <c r="F99" i="141"/>
  <c r="F84" i="141"/>
  <c r="F118" i="141" s="1"/>
  <c r="F82" i="141"/>
  <c r="F184" i="141" s="1"/>
  <c r="F101" i="141"/>
  <c r="F85" i="145"/>
  <c r="F80" i="145"/>
  <c r="F182" i="145" s="1"/>
  <c r="F95" i="148"/>
  <c r="F129" i="148" s="1"/>
  <c r="F95" i="139"/>
  <c r="F234" i="150"/>
  <c r="F268" i="150" s="1"/>
  <c r="F82" i="145"/>
  <c r="F184" i="145" s="1"/>
  <c r="F85" i="149"/>
  <c r="F187" i="149" s="1"/>
  <c r="E35" i="128"/>
  <c r="D60" i="128" s="1"/>
  <c r="F82" i="149"/>
  <c r="F102" i="148"/>
  <c r="F170" i="148" s="1"/>
  <c r="F82" i="137"/>
  <c r="F150" i="137" s="1"/>
  <c r="F220" i="135"/>
  <c r="F254" i="135" s="1"/>
  <c r="F79" i="141"/>
  <c r="F81" i="141"/>
  <c r="F149" i="141" s="1"/>
  <c r="F82" i="139"/>
  <c r="F150" i="139" s="1"/>
  <c r="F85" i="139"/>
  <c r="F119" i="139" s="1"/>
  <c r="F237" i="135"/>
  <c r="F271" i="135" s="1"/>
  <c r="F100" i="149"/>
  <c r="F134" i="149" s="1"/>
  <c r="F101" i="137"/>
  <c r="F169" i="137" s="1"/>
  <c r="F231" i="162"/>
  <c r="F265" i="162" s="1"/>
  <c r="F147" i="140"/>
  <c r="F181" i="140"/>
  <c r="F113" i="140"/>
  <c r="F154" i="139"/>
  <c r="F188" i="139"/>
  <c r="F120" i="139"/>
  <c r="E366" i="140"/>
  <c r="F59" i="140"/>
  <c r="F131" i="139"/>
  <c r="F165" i="139"/>
  <c r="F199" i="139"/>
  <c r="F153" i="139"/>
  <c r="F187" i="139"/>
  <c r="F59" i="135"/>
  <c r="E366" i="135"/>
  <c r="F69" i="135" s="1"/>
  <c r="F116" i="147"/>
  <c r="F184" i="147"/>
  <c r="F150" i="147"/>
  <c r="F118" i="145"/>
  <c r="F152" i="145"/>
  <c r="F186" i="145"/>
  <c r="F166" i="140"/>
  <c r="F200" i="140"/>
  <c r="F234" i="140" s="1"/>
  <c r="F268" i="140" s="1"/>
  <c r="F132" i="140"/>
  <c r="J556" i="217"/>
  <c r="J559" i="217"/>
  <c r="J561" i="217"/>
  <c r="F188" i="151"/>
  <c r="F120" i="151"/>
  <c r="F154" i="151"/>
  <c r="F169" i="138"/>
  <c r="F135" i="138"/>
  <c r="F203" i="138"/>
  <c r="F198" i="140"/>
  <c r="F232" i="140" s="1"/>
  <c r="F266" i="140" s="1"/>
  <c r="F130" i="140"/>
  <c r="F164" i="140"/>
  <c r="F154" i="143"/>
  <c r="F120" i="143"/>
  <c r="F188" i="143"/>
  <c r="F168" i="139"/>
  <c r="F202" i="139"/>
  <c r="F134" i="139"/>
  <c r="F84" i="139"/>
  <c r="F101" i="139"/>
  <c r="F99" i="139"/>
  <c r="F102" i="139"/>
  <c r="F133" i="135"/>
  <c r="F167" i="135"/>
  <c r="F201" i="135"/>
  <c r="F231" i="144"/>
  <c r="F265" i="144" s="1"/>
  <c r="F43" i="150"/>
  <c r="E350" i="150"/>
  <c r="E351" i="150"/>
  <c r="F217" i="147"/>
  <c r="F251" i="147" s="1"/>
  <c r="F200" i="147"/>
  <c r="F132" i="147"/>
  <c r="F166" i="147"/>
  <c r="F199" i="162"/>
  <c r="F165" i="162"/>
  <c r="F131" i="162"/>
  <c r="E25" i="102"/>
  <c r="C15" i="195"/>
  <c r="C44" i="195" s="1"/>
  <c r="C57" i="195" s="1"/>
  <c r="C98" i="195" s="1"/>
  <c r="F237" i="142"/>
  <c r="F271" i="142" s="1"/>
  <c r="E340" i="145"/>
  <c r="E314" i="145"/>
  <c r="F83" i="145"/>
  <c r="F79" i="145"/>
  <c r="F97" i="145"/>
  <c r="F98" i="145"/>
  <c r="F118" i="138"/>
  <c r="F152" i="138"/>
  <c r="F186" i="138"/>
  <c r="F216" i="136"/>
  <c r="F250" i="136" s="1"/>
  <c r="F80" i="140"/>
  <c r="F183" i="143"/>
  <c r="F115" i="143"/>
  <c r="F149" i="143"/>
  <c r="F84" i="149"/>
  <c r="F200" i="149"/>
  <c r="F132" i="149"/>
  <c r="F166" i="149"/>
  <c r="F97" i="149"/>
  <c r="D55" i="128"/>
  <c r="E80" i="128"/>
  <c r="F84" i="148"/>
  <c r="F79" i="148"/>
  <c r="F100" i="148"/>
  <c r="F85" i="148"/>
  <c r="F118" i="144"/>
  <c r="F186" i="144"/>
  <c r="F152" i="144"/>
  <c r="F216" i="150"/>
  <c r="F250" i="150" s="1"/>
  <c r="E350" i="146"/>
  <c r="E351" i="146" s="1"/>
  <c r="F43" i="146"/>
  <c r="F221" i="146"/>
  <c r="F255" i="146" s="1"/>
  <c r="F118" i="147"/>
  <c r="F152" i="147"/>
  <c r="F186" i="147"/>
  <c r="F218" i="162"/>
  <c r="F252" i="162" s="1"/>
  <c r="F183" i="142"/>
  <c r="F115" i="142"/>
  <c r="F149" i="142"/>
  <c r="F204" i="151"/>
  <c r="F136" i="151"/>
  <c r="F170" i="151"/>
  <c r="F236" i="136"/>
  <c r="F270" i="136" s="1"/>
  <c r="F148" i="135"/>
  <c r="F182" i="135"/>
  <c r="F114" i="135"/>
  <c r="F232" i="136"/>
  <c r="F266" i="136" s="1"/>
  <c r="F113" i="144"/>
  <c r="F181" i="144"/>
  <c r="F147" i="144"/>
  <c r="F216" i="144"/>
  <c r="F250" i="144" s="1"/>
  <c r="F170" i="150"/>
  <c r="F204" i="150"/>
  <c r="F136" i="150"/>
  <c r="F130" i="150"/>
  <c r="F198" i="150"/>
  <c r="F164" i="150"/>
  <c r="F154" i="137"/>
  <c r="F188" i="137"/>
  <c r="F120" i="137"/>
  <c r="E313" i="137"/>
  <c r="E314" i="137" s="1"/>
  <c r="E340" i="137"/>
  <c r="E69" i="128"/>
  <c r="D44" i="128"/>
  <c r="F81" i="137"/>
  <c r="F95" i="137"/>
  <c r="F98" i="137"/>
  <c r="F187" i="147"/>
  <c r="F153" i="147"/>
  <c r="F119" i="147"/>
  <c r="F135" i="162"/>
  <c r="F169" i="162"/>
  <c r="F203" i="162"/>
  <c r="F186" i="142"/>
  <c r="F118" i="142"/>
  <c r="F152" i="142"/>
  <c r="F219" i="151"/>
  <c r="F253" i="151" s="1"/>
  <c r="F231" i="151"/>
  <c r="F265" i="151" s="1"/>
  <c r="F236" i="138"/>
  <c r="F270" i="138" s="1"/>
  <c r="F234" i="136"/>
  <c r="F268" i="136" s="1"/>
  <c r="E332" i="140"/>
  <c r="E333" i="140" s="1"/>
  <c r="E314" i="140"/>
  <c r="F233" i="140"/>
  <c r="F267" i="140" s="1"/>
  <c r="F215" i="143"/>
  <c r="F249" i="143" s="1"/>
  <c r="F219" i="135"/>
  <c r="F253" i="135" s="1"/>
  <c r="F69" i="136"/>
  <c r="F70" i="136" s="1"/>
  <c r="E367" i="136"/>
  <c r="F96" i="134"/>
  <c r="F82" i="134"/>
  <c r="E356" i="134"/>
  <c r="E329" i="134"/>
  <c r="E330" i="134" s="1"/>
  <c r="F101" i="134"/>
  <c r="F97" i="134"/>
  <c r="C15" i="197"/>
  <c r="C44" i="197" s="1"/>
  <c r="C57" i="197" s="1"/>
  <c r="C98" i="197" s="1"/>
  <c r="E27" i="102"/>
  <c r="F219" i="144"/>
  <c r="F253" i="144" s="1"/>
  <c r="F86" i="141"/>
  <c r="E340" i="141"/>
  <c r="E314" i="141"/>
  <c r="F100" i="141"/>
  <c r="F163" i="150"/>
  <c r="F129" i="150"/>
  <c r="F197" i="150"/>
  <c r="F221" i="150"/>
  <c r="F255" i="150" s="1"/>
  <c r="F217" i="150"/>
  <c r="F251" i="150" s="1"/>
  <c r="F59" i="146"/>
  <c r="E366" i="146"/>
  <c r="F69" i="146" s="1"/>
  <c r="F235" i="146"/>
  <c r="F269" i="146" s="1"/>
  <c r="F77" i="136"/>
  <c r="F78" i="136"/>
  <c r="F219" i="147"/>
  <c r="F253" i="147" s="1"/>
  <c r="F182" i="139"/>
  <c r="F148" i="139"/>
  <c r="F114" i="139"/>
  <c r="F163" i="139"/>
  <c r="F129" i="139"/>
  <c r="F197" i="139"/>
  <c r="E18" i="102"/>
  <c r="C15" i="188"/>
  <c r="C44" i="188" s="1"/>
  <c r="C57" i="188" s="1"/>
  <c r="C98" i="188" s="1"/>
  <c r="E366" i="150"/>
  <c r="F69" i="150" s="1"/>
  <c r="F59" i="150"/>
  <c r="F133" i="145"/>
  <c r="F167" i="145"/>
  <c r="F201" i="145"/>
  <c r="F199" i="86"/>
  <c r="F59" i="143"/>
  <c r="E366" i="143"/>
  <c r="F69" i="143" s="1"/>
  <c r="F114" i="143"/>
  <c r="F182" i="143"/>
  <c r="F148" i="143"/>
  <c r="F167" i="150"/>
  <c r="F201" i="150"/>
  <c r="F133" i="150"/>
  <c r="F235" i="162"/>
  <c r="F269" i="162" s="1"/>
  <c r="F59" i="142"/>
  <c r="E366" i="142"/>
  <c r="F69" i="142" s="1"/>
  <c r="F233" i="151"/>
  <c r="F267" i="151" s="1"/>
  <c r="E356" i="145"/>
  <c r="E330" i="145"/>
  <c r="F150" i="138"/>
  <c r="F184" i="138"/>
  <c r="F116" i="138"/>
  <c r="J560" i="217"/>
  <c r="K527" i="217" s="1"/>
  <c r="J555" i="217"/>
  <c r="E366" i="151"/>
  <c r="F69" i="151" s="1"/>
  <c r="F59" i="151"/>
  <c r="F136" i="138"/>
  <c r="F204" i="138"/>
  <c r="F170" i="138"/>
  <c r="F183" i="138"/>
  <c r="F149" i="138"/>
  <c r="F115" i="138"/>
  <c r="F170" i="140"/>
  <c r="F204" i="140"/>
  <c r="F136" i="140"/>
  <c r="F186" i="140"/>
  <c r="F152" i="140"/>
  <c r="F118" i="140"/>
  <c r="F220" i="140" s="1"/>
  <c r="F254" i="140" s="1"/>
  <c r="F237" i="143"/>
  <c r="F271" i="143" s="1"/>
  <c r="E71" i="128"/>
  <c r="D46" i="128"/>
  <c r="F81" i="139"/>
  <c r="E313" i="139"/>
  <c r="E314" i="139" s="1"/>
  <c r="E340" i="139"/>
  <c r="F98" i="139"/>
  <c r="F96" i="139"/>
  <c r="F134" i="135"/>
  <c r="F168" i="135"/>
  <c r="F202" i="135"/>
  <c r="F184" i="144"/>
  <c r="F150" i="144"/>
  <c r="F116" i="144"/>
  <c r="C105" i="189"/>
  <c r="C18" i="207" s="1"/>
  <c r="C103" i="189"/>
  <c r="C104" i="189"/>
  <c r="C18" i="205" s="1"/>
  <c r="E23" i="208" s="1"/>
  <c r="F202" i="146"/>
  <c r="F168" i="146"/>
  <c r="F134" i="146"/>
  <c r="F236" i="162"/>
  <c r="F270" i="162" s="1"/>
  <c r="F118" i="151"/>
  <c r="F152" i="151"/>
  <c r="F186" i="151"/>
  <c r="F134" i="151"/>
  <c r="F202" i="151"/>
  <c r="F168" i="151"/>
  <c r="F198" i="145"/>
  <c r="F130" i="145"/>
  <c r="F164" i="145"/>
  <c r="F81" i="145"/>
  <c r="F102" i="145"/>
  <c r="D52" i="128"/>
  <c r="E77" i="128"/>
  <c r="F95" i="145"/>
  <c r="E332" i="145"/>
  <c r="E333" i="145" s="1"/>
  <c r="F113" i="138"/>
  <c r="F181" i="138"/>
  <c r="F147" i="138"/>
  <c r="E15" i="102"/>
  <c r="C15" i="185"/>
  <c r="C44" i="185" s="1"/>
  <c r="C57" i="185" s="1"/>
  <c r="C98" i="185" s="1"/>
  <c r="F86" i="140"/>
  <c r="F86" i="149"/>
  <c r="E356" i="149"/>
  <c r="E330" i="149"/>
  <c r="F101" i="149"/>
  <c r="F133" i="149"/>
  <c r="E332" i="149"/>
  <c r="E333" i="149" s="1"/>
  <c r="F80" i="149"/>
  <c r="E332" i="135"/>
  <c r="E333" i="135" s="1"/>
  <c r="F217" i="135"/>
  <c r="F251" i="135" s="1"/>
  <c r="F218" i="135"/>
  <c r="F252" i="135" s="1"/>
  <c r="F222" i="136"/>
  <c r="F256" i="136" s="1"/>
  <c r="F201" i="148"/>
  <c r="F133" i="148"/>
  <c r="F167" i="148"/>
  <c r="F148" i="148"/>
  <c r="F98" i="148"/>
  <c r="F101" i="148"/>
  <c r="E356" i="148"/>
  <c r="E330" i="148"/>
  <c r="F221" i="144"/>
  <c r="F255" i="144" s="1"/>
  <c r="F116" i="150"/>
  <c r="F150" i="150"/>
  <c r="F184" i="150"/>
  <c r="F169" i="146"/>
  <c r="F203" i="146"/>
  <c r="F135" i="146"/>
  <c r="E350" i="162"/>
  <c r="E351" i="162" s="1"/>
  <c r="F43" i="162"/>
  <c r="F148" i="142"/>
  <c r="F114" i="142"/>
  <c r="F182" i="142"/>
  <c r="F59" i="162"/>
  <c r="E366" i="162"/>
  <c r="F69" i="162" s="1"/>
  <c r="F115" i="151"/>
  <c r="F149" i="151"/>
  <c r="F183" i="151"/>
  <c r="E350" i="151"/>
  <c r="E351" i="151" s="1"/>
  <c r="F43" i="151"/>
  <c r="F130" i="138"/>
  <c r="F198" i="138"/>
  <c r="F164" i="138"/>
  <c r="E332" i="138"/>
  <c r="E333" i="138" s="1"/>
  <c r="F203" i="140"/>
  <c r="F169" i="140"/>
  <c r="F135" i="140"/>
  <c r="E350" i="143"/>
  <c r="E351" i="143" s="1"/>
  <c r="F43" i="143"/>
  <c r="F199" i="135"/>
  <c r="F165" i="135"/>
  <c r="F131" i="135"/>
  <c r="F154" i="150"/>
  <c r="F120" i="150"/>
  <c r="F188" i="150"/>
  <c r="F219" i="150"/>
  <c r="F253" i="150" s="1"/>
  <c r="F133" i="137"/>
  <c r="F100" i="137"/>
  <c r="F130" i="137"/>
  <c r="F164" i="137"/>
  <c r="F198" i="137"/>
  <c r="F85" i="137"/>
  <c r="F186" i="146"/>
  <c r="F118" i="146"/>
  <c r="F152" i="146"/>
  <c r="F238" i="146"/>
  <c r="F272" i="146" s="1"/>
  <c r="F149" i="162"/>
  <c r="F183" i="162"/>
  <c r="F115" i="162"/>
  <c r="F136" i="142"/>
  <c r="F204" i="142"/>
  <c r="F170" i="142"/>
  <c r="F235" i="151"/>
  <c r="F269" i="151" s="1"/>
  <c r="F167" i="138"/>
  <c r="F133" i="138"/>
  <c r="F201" i="138"/>
  <c r="F200" i="138"/>
  <c r="F132" i="138"/>
  <c r="F166" i="138"/>
  <c r="F151" i="140"/>
  <c r="F185" i="140"/>
  <c r="F117" i="140"/>
  <c r="F219" i="140" s="1"/>
  <c r="F253" i="140" s="1"/>
  <c r="F236" i="140"/>
  <c r="F270" i="140" s="1"/>
  <c r="F220" i="143"/>
  <c r="F254" i="143" s="1"/>
  <c r="F234" i="135"/>
  <c r="F268" i="135" s="1"/>
  <c r="F200" i="134"/>
  <c r="F86" i="134"/>
  <c r="F80" i="134"/>
  <c r="F83" i="134"/>
  <c r="F84" i="134"/>
  <c r="F222" i="144"/>
  <c r="F256" i="144" s="1"/>
  <c r="F237" i="144"/>
  <c r="F271" i="144" s="1"/>
  <c r="F219" i="136"/>
  <c r="F253" i="136" s="1"/>
  <c r="F98" i="141"/>
  <c r="F83" i="141"/>
  <c r="F95" i="141"/>
  <c r="F102" i="141"/>
  <c r="F200" i="146"/>
  <c r="F132" i="146"/>
  <c r="F166" i="146"/>
  <c r="F216" i="146"/>
  <c r="F250" i="146" s="1"/>
  <c r="F53" i="136"/>
  <c r="E368" i="136"/>
  <c r="E370" i="136" s="1"/>
  <c r="E351" i="136"/>
  <c r="F219" i="162"/>
  <c r="F253" i="162" s="1"/>
  <c r="F136" i="144"/>
  <c r="F170" i="144"/>
  <c r="F204" i="144"/>
  <c r="E92" i="102"/>
  <c r="E36" i="95"/>
  <c r="E61" i="95" s="1"/>
  <c r="F113" i="146"/>
  <c r="F147" i="146"/>
  <c r="F181" i="146"/>
  <c r="F43" i="147"/>
  <c r="E350" i="147"/>
  <c r="E351" i="147" s="1"/>
  <c r="F203" i="145"/>
  <c r="F135" i="145"/>
  <c r="F169" i="145"/>
  <c r="F100" i="145"/>
  <c r="F153" i="145"/>
  <c r="F119" i="145"/>
  <c r="F187" i="145"/>
  <c r="F187" i="138"/>
  <c r="F153" i="138"/>
  <c r="F119" i="138"/>
  <c r="F187" i="140"/>
  <c r="F119" i="140"/>
  <c r="F153" i="140"/>
  <c r="F168" i="143"/>
  <c r="F202" i="143"/>
  <c r="F134" i="143"/>
  <c r="F197" i="149"/>
  <c r="F129" i="149"/>
  <c r="F163" i="149"/>
  <c r="F117" i="149"/>
  <c r="F151" i="149"/>
  <c r="F185" i="149"/>
  <c r="E340" i="149"/>
  <c r="E314" i="149"/>
  <c r="F153" i="149"/>
  <c r="E81" i="128"/>
  <c r="D56" i="128"/>
  <c r="F150" i="149"/>
  <c r="F116" i="149"/>
  <c r="F184" i="149"/>
  <c r="E350" i="135"/>
  <c r="F43" i="135"/>
  <c r="F204" i="135"/>
  <c r="F136" i="135"/>
  <c r="F170" i="135"/>
  <c r="F116" i="148"/>
  <c r="F150" i="148"/>
  <c r="F184" i="148"/>
  <c r="F198" i="148"/>
  <c r="F130" i="148"/>
  <c r="F164" i="148"/>
  <c r="F115" i="148"/>
  <c r="F83" i="148"/>
  <c r="F43" i="144"/>
  <c r="E350" i="144"/>
  <c r="E351" i="144" s="1"/>
  <c r="F115" i="146"/>
  <c r="F149" i="146"/>
  <c r="F183" i="146"/>
  <c r="E30" i="102"/>
  <c r="C15" i="200"/>
  <c r="C44" i="200" s="1"/>
  <c r="C57" i="200" s="1"/>
  <c r="C98" i="200" s="1"/>
  <c r="F182" i="147"/>
  <c r="F114" i="147"/>
  <c r="F148" i="147"/>
  <c r="F43" i="142"/>
  <c r="E350" i="142"/>
  <c r="E351" i="142" s="1"/>
  <c r="F164" i="151"/>
  <c r="F198" i="151"/>
  <c r="F130" i="151"/>
  <c r="F120" i="138"/>
  <c r="F154" i="138"/>
  <c r="F188" i="138"/>
  <c r="F43" i="138"/>
  <c r="E350" i="138"/>
  <c r="F82" i="140"/>
  <c r="F113" i="135"/>
  <c r="F181" i="135"/>
  <c r="F147" i="135"/>
  <c r="F199" i="150"/>
  <c r="F165" i="150"/>
  <c r="F131" i="150"/>
  <c r="F181" i="137"/>
  <c r="F147" i="137"/>
  <c r="F113" i="137"/>
  <c r="E329" i="137"/>
  <c r="E330" i="137" s="1"/>
  <c r="E356" i="137"/>
  <c r="F102" i="137"/>
  <c r="F199" i="137"/>
  <c r="F131" i="137"/>
  <c r="F165" i="137"/>
  <c r="F219" i="146"/>
  <c r="F253" i="146" s="1"/>
  <c r="F170" i="147"/>
  <c r="F136" i="147"/>
  <c r="F204" i="147"/>
  <c r="E366" i="147"/>
  <c r="F69" i="147" s="1"/>
  <c r="F59" i="147"/>
  <c r="F188" i="162"/>
  <c r="F154" i="162"/>
  <c r="F120" i="162"/>
  <c r="F118" i="162"/>
  <c r="F186" i="162"/>
  <c r="F152" i="162"/>
  <c r="C15" i="194"/>
  <c r="C44" i="194" s="1"/>
  <c r="C57" i="194" s="1"/>
  <c r="C98" i="194" s="1"/>
  <c r="E24" i="102"/>
  <c r="F232" i="162"/>
  <c r="F266" i="162" s="1"/>
  <c r="C15" i="204"/>
  <c r="C44" i="204" s="1"/>
  <c r="C57" i="204" s="1"/>
  <c r="C98" i="204" s="1"/>
  <c r="E34" i="102"/>
  <c r="C15" i="191"/>
  <c r="C44" i="191" s="1"/>
  <c r="C57" i="191" s="1"/>
  <c r="C98" i="191" s="1"/>
  <c r="E21" i="102"/>
  <c r="F153" i="134"/>
  <c r="F187" i="134"/>
  <c r="F119" i="134"/>
  <c r="F147" i="134"/>
  <c r="F181" i="134"/>
  <c r="F113" i="134"/>
  <c r="E313" i="134"/>
  <c r="E314" i="134" s="1"/>
  <c r="E340" i="134"/>
  <c r="E66" i="128"/>
  <c r="D41" i="128"/>
  <c r="F81" i="134"/>
  <c r="F201" i="141"/>
  <c r="F133" i="141"/>
  <c r="F167" i="141"/>
  <c r="F150" i="141"/>
  <c r="E356" i="141"/>
  <c r="E330" i="141"/>
  <c r="F80" i="141"/>
  <c r="F169" i="141"/>
  <c r="F203" i="141"/>
  <c r="F135" i="141"/>
  <c r="E29" i="102"/>
  <c r="C15" i="199"/>
  <c r="C44" i="199" s="1"/>
  <c r="C57" i="199" s="1"/>
  <c r="C98" i="199" s="1"/>
  <c r="F169" i="151"/>
  <c r="F203" i="151"/>
  <c r="F135" i="151"/>
  <c r="F151" i="139"/>
  <c r="F185" i="139"/>
  <c r="F117" i="139"/>
  <c r="F168" i="142"/>
  <c r="F202" i="142"/>
  <c r="F134" i="142"/>
  <c r="J557" i="217"/>
  <c r="E366" i="138"/>
  <c r="F69" i="138" s="1"/>
  <c r="F59" i="138"/>
  <c r="E356" i="139"/>
  <c r="E329" i="139"/>
  <c r="E330" i="139" s="1"/>
  <c r="F79" i="139"/>
  <c r="F217" i="144"/>
  <c r="F251" i="144" s="1"/>
  <c r="F135" i="150"/>
  <c r="F169" i="150"/>
  <c r="F203" i="150"/>
  <c r="F216" i="162"/>
  <c r="F250" i="162" s="1"/>
  <c r="F218" i="151"/>
  <c r="F252" i="151" s="1"/>
  <c r="F86" i="145"/>
  <c r="F216" i="138"/>
  <c r="F250" i="138" s="1"/>
  <c r="F165" i="143"/>
  <c r="F131" i="143"/>
  <c r="F199" i="143"/>
  <c r="F115" i="149"/>
  <c r="F204" i="149"/>
  <c r="F170" i="149"/>
  <c r="F136" i="149"/>
  <c r="F113" i="149"/>
  <c r="F147" i="149"/>
  <c r="F181" i="149"/>
  <c r="F96" i="149"/>
  <c r="F168" i="149"/>
  <c r="F153" i="135"/>
  <c r="F119" i="135"/>
  <c r="F187" i="135"/>
  <c r="F217" i="136"/>
  <c r="F251" i="136" s="1"/>
  <c r="F120" i="148"/>
  <c r="F154" i="148"/>
  <c r="F188" i="148"/>
  <c r="F97" i="148"/>
  <c r="E340" i="148"/>
  <c r="E314" i="148"/>
  <c r="F136" i="148"/>
  <c r="F132" i="144"/>
  <c r="F200" i="144"/>
  <c r="F166" i="144"/>
  <c r="F181" i="150"/>
  <c r="F147" i="150"/>
  <c r="F113" i="150"/>
  <c r="E33" i="102"/>
  <c r="C15" i="203"/>
  <c r="C44" i="203" s="1"/>
  <c r="C57" i="203" s="1"/>
  <c r="C98" i="203" s="1"/>
  <c r="F164" i="146"/>
  <c r="F198" i="146"/>
  <c r="F130" i="146"/>
  <c r="F129" i="146"/>
  <c r="F197" i="146"/>
  <c r="F163" i="146"/>
  <c r="F167" i="147"/>
  <c r="F133" i="147"/>
  <c r="F201" i="147"/>
  <c r="F166" i="162"/>
  <c r="F132" i="162"/>
  <c r="F200" i="162"/>
  <c r="F150" i="142"/>
  <c r="F116" i="142"/>
  <c r="F184" i="142"/>
  <c r="F221" i="142"/>
  <c r="F255" i="142" s="1"/>
  <c r="F200" i="151"/>
  <c r="F166" i="151"/>
  <c r="F132" i="151"/>
  <c r="F197" i="138"/>
  <c r="F129" i="138"/>
  <c r="F163" i="138"/>
  <c r="F183" i="140"/>
  <c r="F115" i="140"/>
  <c r="F149" i="140"/>
  <c r="F151" i="143"/>
  <c r="F117" i="143"/>
  <c r="F185" i="143"/>
  <c r="F197" i="143"/>
  <c r="F129" i="143"/>
  <c r="F163" i="143"/>
  <c r="F153" i="143"/>
  <c r="F187" i="143"/>
  <c r="F119" i="143"/>
  <c r="F163" i="135"/>
  <c r="F129" i="135"/>
  <c r="F197" i="135"/>
  <c r="F134" i="144"/>
  <c r="F168" i="144"/>
  <c r="F202" i="144"/>
  <c r="F59" i="144"/>
  <c r="E366" i="144"/>
  <c r="F69" i="144" s="1"/>
  <c r="F118" i="150"/>
  <c r="F186" i="150"/>
  <c r="F152" i="150"/>
  <c r="F114" i="137"/>
  <c r="F182" i="137"/>
  <c r="F148" i="137"/>
  <c r="F185" i="137"/>
  <c r="F151" i="137"/>
  <c r="F117" i="137"/>
  <c r="F84" i="137"/>
  <c r="F203" i="137"/>
  <c r="F181" i="147"/>
  <c r="F113" i="147"/>
  <c r="F147" i="147"/>
  <c r="F129" i="142"/>
  <c r="F163" i="142"/>
  <c r="F197" i="142"/>
  <c r="F181" i="142"/>
  <c r="F113" i="142"/>
  <c r="F147" i="142"/>
  <c r="K514" i="217"/>
  <c r="K575" i="217" s="1"/>
  <c r="E350" i="140"/>
  <c r="F43" i="140"/>
  <c r="C15" i="196"/>
  <c r="C44" i="196" s="1"/>
  <c r="C57" i="196" s="1"/>
  <c r="C98" i="196" s="1"/>
  <c r="E26" i="102"/>
  <c r="F93" i="136"/>
  <c r="F94" i="136"/>
  <c r="F201" i="134"/>
  <c r="F167" i="134"/>
  <c r="F133" i="134"/>
  <c r="F204" i="134"/>
  <c r="F136" i="134"/>
  <c r="F170" i="134"/>
  <c r="F100" i="134"/>
  <c r="F129" i="134"/>
  <c r="F197" i="134"/>
  <c r="F163" i="134"/>
  <c r="F131" i="141"/>
  <c r="F165" i="141"/>
  <c r="F199" i="141"/>
  <c r="F153" i="141"/>
  <c r="F187" i="141"/>
  <c r="F119" i="141"/>
  <c r="F147" i="141"/>
  <c r="F181" i="141"/>
  <c r="F113" i="141"/>
  <c r="E72" i="128"/>
  <c r="D47" i="128"/>
  <c r="F233" i="146"/>
  <c r="F267" i="146" s="1"/>
  <c r="F237" i="147"/>
  <c r="F271" i="147" s="1"/>
  <c r="F221" i="162"/>
  <c r="F255" i="162" s="1"/>
  <c r="F166" i="142"/>
  <c r="F200" i="142"/>
  <c r="F132" i="142"/>
  <c r="F197" i="86"/>
  <c r="F83" i="86"/>
  <c r="F185" i="86" s="1"/>
  <c r="F79" i="86"/>
  <c r="F147" i="86" s="1"/>
  <c r="F166" i="86"/>
  <c r="F234" i="86" s="1"/>
  <c r="F268" i="86" s="1"/>
  <c r="F85" i="86"/>
  <c r="F153" i="86" s="1"/>
  <c r="F163" i="86"/>
  <c r="F80" i="86"/>
  <c r="F182" i="86" s="1"/>
  <c r="F86" i="86"/>
  <c r="F188" i="86" s="1"/>
  <c r="F184" i="86"/>
  <c r="K526" i="217"/>
  <c r="F168" i="86"/>
  <c r="F202" i="86"/>
  <c r="F134" i="86"/>
  <c r="F59" i="86"/>
  <c r="E366" i="86"/>
  <c r="F164" i="86"/>
  <c r="F198" i="86"/>
  <c r="F130" i="86"/>
  <c r="E16" i="102"/>
  <c r="C15" i="186"/>
  <c r="C44" i="186" s="1"/>
  <c r="C57" i="186" s="1"/>
  <c r="C98" i="186" s="1"/>
  <c r="F84" i="86"/>
  <c r="E332" i="86"/>
  <c r="E333" i="86" s="1"/>
  <c r="E314" i="86"/>
  <c r="F167" i="86"/>
  <c r="F201" i="86"/>
  <c r="F133" i="86"/>
  <c r="F237" i="86"/>
  <c r="F271" i="86" s="1"/>
  <c r="F233" i="86"/>
  <c r="F267" i="86" s="1"/>
  <c r="F43" i="86"/>
  <c r="F77" i="86" s="1"/>
  <c r="E350" i="86"/>
  <c r="F204" i="86"/>
  <c r="F136" i="86"/>
  <c r="F170" i="86"/>
  <c r="F81" i="86"/>
  <c r="F219" i="142" l="1"/>
  <c r="F253" i="142" s="1"/>
  <c r="F113" i="86"/>
  <c r="F231" i="86"/>
  <c r="F265" i="86" s="1"/>
  <c r="E85" i="128"/>
  <c r="F198" i="141"/>
  <c r="F135" i="137"/>
  <c r="F216" i="137"/>
  <c r="F250" i="137" s="1"/>
  <c r="F183" i="149"/>
  <c r="F116" i="141"/>
  <c r="F116" i="137"/>
  <c r="F197" i="148"/>
  <c r="F149" i="148"/>
  <c r="F119" i="149"/>
  <c r="F166" i="134"/>
  <c r="F116" i="139"/>
  <c r="F150" i="86"/>
  <c r="F130" i="141"/>
  <c r="F231" i="134"/>
  <c r="F265" i="134" s="1"/>
  <c r="F231" i="142"/>
  <c r="F265" i="142" s="1"/>
  <c r="F215" i="147"/>
  <c r="F249" i="147" s="1"/>
  <c r="F233" i="143"/>
  <c r="F267" i="143" s="1"/>
  <c r="F220" i="162"/>
  <c r="F254" i="162" s="1"/>
  <c r="E367" i="147"/>
  <c r="F184" i="137"/>
  <c r="F163" i="148"/>
  <c r="F167" i="137"/>
  <c r="F184" i="139"/>
  <c r="F235" i="135"/>
  <c r="F269" i="135" s="1"/>
  <c r="F233" i="141"/>
  <c r="F267" i="141" s="1"/>
  <c r="F215" i="134"/>
  <c r="F249" i="134" s="1"/>
  <c r="F222" i="162"/>
  <c r="F256" i="162" s="1"/>
  <c r="F70" i="135"/>
  <c r="F233" i="137"/>
  <c r="F267" i="137" s="1"/>
  <c r="F70" i="151"/>
  <c r="K525" i="217"/>
  <c r="F115" i="141"/>
  <c r="F202" i="149"/>
  <c r="F150" i="145"/>
  <c r="E367" i="138"/>
  <c r="F237" i="141"/>
  <c r="F271" i="141" s="1"/>
  <c r="F152" i="141"/>
  <c r="F114" i="145"/>
  <c r="F235" i="137"/>
  <c r="F269" i="137" s="1"/>
  <c r="F222" i="150"/>
  <c r="F256" i="150" s="1"/>
  <c r="E367" i="162"/>
  <c r="F114" i="148"/>
  <c r="F201" i="149"/>
  <c r="F235" i="149" s="1"/>
  <c r="F269" i="149" s="1"/>
  <c r="F222" i="146"/>
  <c r="F256" i="146" s="1"/>
  <c r="F183" i="141"/>
  <c r="F204" i="148"/>
  <c r="F116" i="145"/>
  <c r="F218" i="145" s="1"/>
  <c r="F252" i="145" s="1"/>
  <c r="F186" i="141"/>
  <c r="F217" i="148"/>
  <c r="F251" i="148" s="1"/>
  <c r="F221" i="138"/>
  <c r="F255" i="138" s="1"/>
  <c r="F148" i="145"/>
  <c r="F237" i="145"/>
  <c r="F271" i="145" s="1"/>
  <c r="F234" i="149"/>
  <c r="F268" i="149" s="1"/>
  <c r="F70" i="144"/>
  <c r="F221" i="143"/>
  <c r="F255" i="143" s="1"/>
  <c r="F215" i="137"/>
  <c r="F249" i="137" s="1"/>
  <c r="F217" i="138"/>
  <c r="F251" i="138" s="1"/>
  <c r="F70" i="142"/>
  <c r="E367" i="143"/>
  <c r="F70" i="150"/>
  <c r="F217" i="142"/>
  <c r="F251" i="142" s="1"/>
  <c r="F215" i="135"/>
  <c r="F249" i="135" s="1"/>
  <c r="F221" i="149"/>
  <c r="F255" i="149" s="1"/>
  <c r="F231" i="149"/>
  <c r="F265" i="149" s="1"/>
  <c r="F238" i="144"/>
  <c r="F272" i="144" s="1"/>
  <c r="F221" i="141"/>
  <c r="F255" i="141" s="1"/>
  <c r="F231" i="138"/>
  <c r="F265" i="138" s="1"/>
  <c r="F235" i="147"/>
  <c r="F269" i="147" s="1"/>
  <c r="F231" i="146"/>
  <c r="F265" i="146" s="1"/>
  <c r="J554" i="217"/>
  <c r="F218" i="149"/>
  <c r="F252" i="149" s="1"/>
  <c r="F236" i="143"/>
  <c r="F270" i="143" s="1"/>
  <c r="F237" i="146"/>
  <c r="F271" i="146" s="1"/>
  <c r="F218" i="150"/>
  <c r="F252" i="150" s="1"/>
  <c r="F215" i="138"/>
  <c r="F249" i="138" s="1"/>
  <c r="F236" i="135"/>
  <c r="F270" i="135" s="1"/>
  <c r="F220" i="142"/>
  <c r="F254" i="142" s="1"/>
  <c r="F237" i="162"/>
  <c r="F271" i="162" s="1"/>
  <c r="F232" i="150"/>
  <c r="F266" i="150" s="1"/>
  <c r="F238" i="150"/>
  <c r="F272" i="150" s="1"/>
  <c r="E367" i="144"/>
  <c r="F234" i="162"/>
  <c r="F268" i="162" s="1"/>
  <c r="F238" i="148"/>
  <c r="F272" i="148" s="1"/>
  <c r="F237" i="150"/>
  <c r="F271" i="150" s="1"/>
  <c r="F234" i="146"/>
  <c r="F268" i="146" s="1"/>
  <c r="F233" i="135"/>
  <c r="F267" i="135" s="1"/>
  <c r="F216" i="142"/>
  <c r="F250" i="142" s="1"/>
  <c r="F218" i="144"/>
  <c r="F252" i="144" s="1"/>
  <c r="F218" i="139"/>
  <c r="F252" i="139" s="1"/>
  <c r="F222" i="139"/>
  <c r="F256" i="139" s="1"/>
  <c r="F238" i="142"/>
  <c r="F272" i="142" s="1"/>
  <c r="E367" i="142"/>
  <c r="E367" i="135"/>
  <c r="F234" i="142"/>
  <c r="F268" i="142" s="1"/>
  <c r="F235" i="134"/>
  <c r="F269" i="134" s="1"/>
  <c r="F221" i="135"/>
  <c r="F255" i="135" s="1"/>
  <c r="F236" i="149"/>
  <c r="F270" i="149" s="1"/>
  <c r="C104" i="199"/>
  <c r="C105" i="199"/>
  <c r="C149" i="199" s="1"/>
  <c r="C103" i="199"/>
  <c r="F235" i="141"/>
  <c r="F269" i="141" s="1"/>
  <c r="F232" i="151"/>
  <c r="F266" i="151" s="1"/>
  <c r="E23" i="102"/>
  <c r="C15" i="193"/>
  <c r="C44" i="193" s="1"/>
  <c r="C57" i="193" s="1"/>
  <c r="C98" i="193" s="1"/>
  <c r="F215" i="141"/>
  <c r="F249" i="141" s="1"/>
  <c r="F134" i="134"/>
  <c r="F202" i="134"/>
  <c r="F168" i="134"/>
  <c r="F161" i="136"/>
  <c r="F195" i="136"/>
  <c r="F127" i="136"/>
  <c r="F103" i="136"/>
  <c r="F104" i="136" s="1"/>
  <c r="E351" i="140"/>
  <c r="E368" i="140"/>
  <c r="E370" i="140" s="1"/>
  <c r="F53" i="140"/>
  <c r="F219" i="137"/>
  <c r="F253" i="137" s="1"/>
  <c r="F220" i="150"/>
  <c r="F254" i="150" s="1"/>
  <c r="F236" i="144"/>
  <c r="F270" i="144" s="1"/>
  <c r="F219" i="143"/>
  <c r="F253" i="143" s="1"/>
  <c r="F217" i="140"/>
  <c r="F251" i="140" s="1"/>
  <c r="F234" i="151"/>
  <c r="F268" i="151" s="1"/>
  <c r="F232" i="146"/>
  <c r="F266" i="146" s="1"/>
  <c r="F215" i="150"/>
  <c r="F249" i="150" s="1"/>
  <c r="F234" i="144"/>
  <c r="F268" i="144" s="1"/>
  <c r="F217" i="149"/>
  <c r="F251" i="149" s="1"/>
  <c r="F154" i="145"/>
  <c r="F188" i="145"/>
  <c r="F120" i="145"/>
  <c r="F59" i="139"/>
  <c r="E366" i="139"/>
  <c r="F69" i="139" s="1"/>
  <c r="F219" i="139"/>
  <c r="F253" i="139" s="1"/>
  <c r="F237" i="151"/>
  <c r="F271" i="151" s="1"/>
  <c r="E332" i="134"/>
  <c r="E333" i="134" s="1"/>
  <c r="F221" i="134"/>
  <c r="F255" i="134" s="1"/>
  <c r="E94" i="102"/>
  <c r="E38" i="95"/>
  <c r="E63" i="95" s="1"/>
  <c r="F238" i="147"/>
  <c r="F272" i="147" s="1"/>
  <c r="F218" i="137"/>
  <c r="F252" i="137" s="1"/>
  <c r="F53" i="138"/>
  <c r="F290" i="138" s="1"/>
  <c r="E368" i="138"/>
  <c r="E370" i="138" s="1"/>
  <c r="F222" i="138"/>
  <c r="F256" i="138" s="1"/>
  <c r="F216" i="147"/>
  <c r="F250" i="147" s="1"/>
  <c r="E368" i="144"/>
  <c r="E370" i="144" s="1"/>
  <c r="F53" i="144"/>
  <c r="F290" i="144" s="1"/>
  <c r="F78" i="135"/>
  <c r="F77" i="135"/>
  <c r="F216" i="145"/>
  <c r="F250" i="145" s="1"/>
  <c r="F77" i="147"/>
  <c r="F78" i="147"/>
  <c r="F185" i="134"/>
  <c r="F117" i="134"/>
  <c r="F151" i="134"/>
  <c r="F234" i="134"/>
  <c r="F268" i="134" s="1"/>
  <c r="F235" i="138"/>
  <c r="F269" i="138" s="1"/>
  <c r="F220" i="146"/>
  <c r="F254" i="146" s="1"/>
  <c r="F232" i="137"/>
  <c r="F266" i="137" s="1"/>
  <c r="F53" i="143"/>
  <c r="F290" i="143" s="1"/>
  <c r="E368" i="143"/>
  <c r="E370" i="143" s="1"/>
  <c r="F237" i="140"/>
  <c r="F271" i="140" s="1"/>
  <c r="F70" i="162"/>
  <c r="E366" i="148"/>
  <c r="F69" i="148" s="1"/>
  <c r="F59" i="148"/>
  <c r="F216" i="148"/>
  <c r="F250" i="148" s="1"/>
  <c r="F235" i="148"/>
  <c r="F269" i="148" s="1"/>
  <c r="F59" i="149"/>
  <c r="E366" i="149"/>
  <c r="F69" i="149" s="1"/>
  <c r="K328" i="217"/>
  <c r="E88" i="102"/>
  <c r="E32" i="95"/>
  <c r="F136" i="145"/>
  <c r="F170" i="145"/>
  <c r="F204" i="145"/>
  <c r="F232" i="145"/>
  <c r="F266" i="145" s="1"/>
  <c r="F236" i="146"/>
  <c r="F270" i="146" s="1"/>
  <c r="C18" i="206"/>
  <c r="F23" i="208" s="1"/>
  <c r="C106" i="189"/>
  <c r="F198" i="139"/>
  <c r="F130" i="139"/>
  <c r="F164" i="139"/>
  <c r="E332" i="139"/>
  <c r="E333" i="139" s="1"/>
  <c r="F238" i="138"/>
  <c r="F272" i="138" s="1"/>
  <c r="F93" i="151"/>
  <c r="F94" i="151"/>
  <c r="F218" i="138"/>
  <c r="F252" i="138" s="1"/>
  <c r="E366" i="145"/>
  <c r="F69" i="145" s="1"/>
  <c r="F59" i="145"/>
  <c r="F93" i="142"/>
  <c r="F94" i="142"/>
  <c r="F70" i="143"/>
  <c r="F235" i="145"/>
  <c r="F269" i="145" s="1"/>
  <c r="F93" i="150"/>
  <c r="F94" i="150"/>
  <c r="F231" i="139"/>
  <c r="F265" i="139" s="1"/>
  <c r="F180" i="136"/>
  <c r="F146" i="136"/>
  <c r="F112" i="136"/>
  <c r="F70" i="146"/>
  <c r="F231" i="150"/>
  <c r="F265" i="150" s="1"/>
  <c r="F203" i="134"/>
  <c r="F135" i="134"/>
  <c r="F169" i="134"/>
  <c r="F164" i="134"/>
  <c r="F198" i="134"/>
  <c r="F130" i="134"/>
  <c r="F221" i="147"/>
  <c r="F255" i="147" s="1"/>
  <c r="F197" i="137"/>
  <c r="F163" i="137"/>
  <c r="F129" i="137"/>
  <c r="F238" i="151"/>
  <c r="F272" i="151" s="1"/>
  <c r="F187" i="148"/>
  <c r="F119" i="148"/>
  <c r="F153" i="148"/>
  <c r="E31" i="102"/>
  <c r="C15" i="201"/>
  <c r="C44" i="201" s="1"/>
  <c r="C57" i="201" s="1"/>
  <c r="C98" i="201" s="1"/>
  <c r="F132" i="145"/>
  <c r="F166" i="145"/>
  <c r="F200" i="145"/>
  <c r="F185" i="145"/>
  <c r="F151" i="145"/>
  <c r="F117" i="145"/>
  <c r="C103" i="195"/>
  <c r="C104" i="195"/>
  <c r="C24" i="205" s="1"/>
  <c r="E29" i="208" s="1"/>
  <c r="C105" i="195"/>
  <c r="C24" i="207" s="1"/>
  <c r="F233" i="162"/>
  <c r="F267" i="162" s="1"/>
  <c r="F170" i="139"/>
  <c r="F136" i="139"/>
  <c r="F204" i="139"/>
  <c r="F186" i="139"/>
  <c r="F152" i="139"/>
  <c r="F118" i="139"/>
  <c r="F222" i="143"/>
  <c r="F256" i="143" s="1"/>
  <c r="F93" i="135"/>
  <c r="F94" i="135"/>
  <c r="F233" i="139"/>
  <c r="F267" i="139" s="1"/>
  <c r="E367" i="140"/>
  <c r="F69" i="140"/>
  <c r="F70" i="140" s="1"/>
  <c r="F215" i="140"/>
  <c r="F249" i="140" s="1"/>
  <c r="K529" i="217"/>
  <c r="K573" i="217"/>
  <c r="K577" i="217"/>
  <c r="E366" i="141"/>
  <c r="F69" i="141" s="1"/>
  <c r="F59" i="141"/>
  <c r="C15" i="187"/>
  <c r="C44" i="187" s="1"/>
  <c r="C57" i="187" s="1"/>
  <c r="C98" i="187" s="1"/>
  <c r="E17" i="102"/>
  <c r="C104" i="191"/>
  <c r="C20" i="205" s="1"/>
  <c r="E25" i="208" s="1"/>
  <c r="C105" i="191"/>
  <c r="C20" i="207" s="1"/>
  <c r="C103" i="191"/>
  <c r="E97" i="102"/>
  <c r="E41" i="95"/>
  <c r="E66" i="95" s="1"/>
  <c r="F77" i="138"/>
  <c r="F78" i="138"/>
  <c r="F54" i="138"/>
  <c r="F53" i="142"/>
  <c r="F290" i="142" s="1"/>
  <c r="E368" i="142"/>
  <c r="E370" i="142" s="1"/>
  <c r="F77" i="144"/>
  <c r="F54" i="144"/>
  <c r="F78" i="144"/>
  <c r="F53" i="135"/>
  <c r="F290" i="135" s="1"/>
  <c r="E368" i="135"/>
  <c r="E370" i="135" s="1"/>
  <c r="F290" i="136"/>
  <c r="F54" i="136"/>
  <c r="F117" i="141"/>
  <c r="F185" i="141"/>
  <c r="F151" i="141"/>
  <c r="F114" i="134"/>
  <c r="F182" i="134"/>
  <c r="F148" i="134"/>
  <c r="F93" i="162"/>
  <c r="F94" i="162"/>
  <c r="F169" i="148"/>
  <c r="F203" i="148"/>
  <c r="F135" i="148"/>
  <c r="F182" i="149"/>
  <c r="F114" i="149"/>
  <c r="F148" i="149"/>
  <c r="F154" i="149"/>
  <c r="F188" i="149"/>
  <c r="F120" i="149"/>
  <c r="F163" i="145"/>
  <c r="F129" i="145"/>
  <c r="F197" i="145"/>
  <c r="F183" i="145"/>
  <c r="F115" i="145"/>
  <c r="F149" i="145"/>
  <c r="G23" i="208"/>
  <c r="C19" i="209"/>
  <c r="C251" i="209" s="1"/>
  <c r="C20" i="210" s="1"/>
  <c r="C59" i="211" s="1"/>
  <c r="F166" i="139"/>
  <c r="F200" i="139"/>
  <c r="F132" i="139"/>
  <c r="F183" i="139"/>
  <c r="F115" i="139"/>
  <c r="F149" i="139"/>
  <c r="F93" i="143"/>
  <c r="F94" i="143"/>
  <c r="F87" i="136"/>
  <c r="F88" i="136" s="1"/>
  <c r="F179" i="136"/>
  <c r="F111" i="136"/>
  <c r="F145" i="136"/>
  <c r="F93" i="146"/>
  <c r="F94" i="146"/>
  <c r="E350" i="141"/>
  <c r="E351" i="141" s="1"/>
  <c r="F43" i="141"/>
  <c r="E100" i="102"/>
  <c r="E44" i="95"/>
  <c r="E69" i="95" s="1"/>
  <c r="F183" i="137"/>
  <c r="F149" i="137"/>
  <c r="F115" i="137"/>
  <c r="F43" i="137"/>
  <c r="E350" i="137"/>
  <c r="E351" i="137" s="1"/>
  <c r="F215" i="144"/>
  <c r="F249" i="144" s="1"/>
  <c r="F216" i="135"/>
  <c r="F250" i="135" s="1"/>
  <c r="F220" i="144"/>
  <c r="F254" i="144" s="1"/>
  <c r="F202" i="148"/>
  <c r="F134" i="148"/>
  <c r="F168" i="148"/>
  <c r="F217" i="143"/>
  <c r="F251" i="143" s="1"/>
  <c r="F199" i="145"/>
  <c r="F165" i="145"/>
  <c r="F131" i="145"/>
  <c r="E98" i="102"/>
  <c r="E42" i="95"/>
  <c r="E67" i="95" s="1"/>
  <c r="F201" i="139"/>
  <c r="F133" i="139"/>
  <c r="F167" i="139"/>
  <c r="C104" i="196"/>
  <c r="C105" i="196"/>
  <c r="C149" i="196" s="1"/>
  <c r="C103" i="196"/>
  <c r="C105" i="203"/>
  <c r="C32" i="207" s="1"/>
  <c r="C103" i="203"/>
  <c r="C104" i="203"/>
  <c r="C32" i="205" s="1"/>
  <c r="E37" i="208" s="1"/>
  <c r="F222" i="148"/>
  <c r="F256" i="148" s="1"/>
  <c r="F238" i="149"/>
  <c r="F272" i="149" s="1"/>
  <c r="F93" i="138"/>
  <c r="F94" i="138"/>
  <c r="C105" i="194"/>
  <c r="C23" i="207" s="1"/>
  <c r="C103" i="194"/>
  <c r="C104" i="194"/>
  <c r="C23" i="205" s="1"/>
  <c r="E28" i="208" s="1"/>
  <c r="F93" i="147"/>
  <c r="F94" i="147"/>
  <c r="F136" i="137"/>
  <c r="F170" i="137"/>
  <c r="F204" i="137"/>
  <c r="F233" i="150"/>
  <c r="F267" i="150" s="1"/>
  <c r="F184" i="140"/>
  <c r="F150" i="140"/>
  <c r="F116" i="140"/>
  <c r="C103" i="200"/>
  <c r="C105" i="200"/>
  <c r="C29" i="207" s="1"/>
  <c r="C104" i="200"/>
  <c r="C29" i="205" s="1"/>
  <c r="E34" i="208" s="1"/>
  <c r="F217" i="146"/>
  <c r="F251" i="146" s="1"/>
  <c r="F117" i="148"/>
  <c r="F151" i="148"/>
  <c r="F185" i="148"/>
  <c r="F218" i="148"/>
  <c r="F252" i="148" s="1"/>
  <c r="F238" i="135"/>
  <c r="F272" i="135" s="1"/>
  <c r="E32" i="102"/>
  <c r="C15" i="202"/>
  <c r="C44" i="202" s="1"/>
  <c r="C57" i="202" s="1"/>
  <c r="C98" i="202" s="1"/>
  <c r="F219" i="149"/>
  <c r="F253" i="149" s="1"/>
  <c r="F221" i="140"/>
  <c r="F255" i="140" s="1"/>
  <c r="F134" i="145"/>
  <c r="F202" i="145"/>
  <c r="F168" i="145"/>
  <c r="F136" i="141"/>
  <c r="F170" i="141"/>
  <c r="F204" i="141"/>
  <c r="F200" i="141"/>
  <c r="F132" i="141"/>
  <c r="F166" i="141"/>
  <c r="F188" i="134"/>
  <c r="F120" i="134"/>
  <c r="F154" i="134"/>
  <c r="F119" i="137"/>
  <c r="F187" i="137"/>
  <c r="F153" i="137"/>
  <c r="F77" i="151"/>
  <c r="F78" i="151"/>
  <c r="F217" i="151"/>
  <c r="F251" i="151" s="1"/>
  <c r="F77" i="162"/>
  <c r="F78" i="162"/>
  <c r="F132" i="148"/>
  <c r="F166" i="148"/>
  <c r="F200" i="148"/>
  <c r="F135" i="149"/>
  <c r="F203" i="149"/>
  <c r="F169" i="149"/>
  <c r="F120" i="140"/>
  <c r="F222" i="140" s="1"/>
  <c r="F256" i="140" s="1"/>
  <c r="F188" i="140"/>
  <c r="F154" i="140"/>
  <c r="E28" i="102"/>
  <c r="C15" i="198"/>
  <c r="C44" i="198" s="1"/>
  <c r="C57" i="198" s="1"/>
  <c r="C98" i="198" s="1"/>
  <c r="F236" i="151"/>
  <c r="F270" i="151" s="1"/>
  <c r="F220" i="151"/>
  <c r="F254" i="151" s="1"/>
  <c r="F238" i="140"/>
  <c r="F272" i="140" s="1"/>
  <c r="F216" i="143"/>
  <c r="F250" i="143" s="1"/>
  <c r="K574" i="217"/>
  <c r="C105" i="188"/>
  <c r="C17" i="207" s="1"/>
  <c r="C104" i="188"/>
  <c r="C17" i="205" s="1"/>
  <c r="E22" i="208" s="1"/>
  <c r="C103" i="188"/>
  <c r="F188" i="141"/>
  <c r="F120" i="141"/>
  <c r="F154" i="141"/>
  <c r="C105" i="197"/>
  <c r="C149" i="197" s="1"/>
  <c r="C103" i="197"/>
  <c r="C104" i="197"/>
  <c r="E366" i="134"/>
  <c r="F69" i="134" s="1"/>
  <c r="F59" i="134"/>
  <c r="E332" i="137"/>
  <c r="E333" i="137" s="1"/>
  <c r="F77" i="146"/>
  <c r="F78" i="146"/>
  <c r="F181" i="148"/>
  <c r="F147" i="148"/>
  <c r="F113" i="148"/>
  <c r="F181" i="145"/>
  <c r="F113" i="145"/>
  <c r="F147" i="145"/>
  <c r="F43" i="145"/>
  <c r="E350" i="145"/>
  <c r="E351" i="145" s="1"/>
  <c r="F53" i="150"/>
  <c r="F290" i="150" s="1"/>
  <c r="E368" i="150"/>
  <c r="E370" i="150" s="1"/>
  <c r="F203" i="139"/>
  <c r="F135" i="139"/>
  <c r="F169" i="139"/>
  <c r="F236" i="139"/>
  <c r="F270" i="139" s="1"/>
  <c r="F220" i="145"/>
  <c r="F254" i="145" s="1"/>
  <c r="F221" i="139"/>
  <c r="F255" i="139" s="1"/>
  <c r="E99" i="102"/>
  <c r="E43" i="95"/>
  <c r="E68" i="95" s="1"/>
  <c r="E350" i="148"/>
  <c r="E351" i="148" s="1"/>
  <c r="F43" i="148"/>
  <c r="F147" i="139"/>
  <c r="F181" i="139"/>
  <c r="F113" i="139"/>
  <c r="F236" i="142"/>
  <c r="F270" i="142" s="1"/>
  <c r="E107" i="102"/>
  <c r="E51" i="95"/>
  <c r="E76" i="95" s="1"/>
  <c r="F77" i="142"/>
  <c r="F54" i="142"/>
  <c r="F78" i="142"/>
  <c r="D77" i="208"/>
  <c r="F232" i="141"/>
  <c r="F266" i="141" s="1"/>
  <c r="F238" i="134"/>
  <c r="F272" i="134" s="1"/>
  <c r="F162" i="136"/>
  <c r="F196" i="136"/>
  <c r="F128" i="136"/>
  <c r="F77" i="140"/>
  <c r="F78" i="140"/>
  <c r="F215" i="142"/>
  <c r="F249" i="142" s="1"/>
  <c r="F237" i="137"/>
  <c r="F271" i="137" s="1"/>
  <c r="F118" i="137"/>
  <c r="F186" i="137"/>
  <c r="F152" i="137"/>
  <c r="F93" i="144"/>
  <c r="F94" i="144"/>
  <c r="F231" i="135"/>
  <c r="F265" i="135" s="1"/>
  <c r="F231" i="143"/>
  <c r="F265" i="143" s="1"/>
  <c r="F218" i="142"/>
  <c r="F252" i="142" s="1"/>
  <c r="E50" i="95"/>
  <c r="E75" i="95" s="1"/>
  <c r="E106" i="102"/>
  <c r="F131" i="148"/>
  <c r="F165" i="148"/>
  <c r="F199" i="148"/>
  <c r="F164" i="149"/>
  <c r="F130" i="149"/>
  <c r="F198" i="149"/>
  <c r="F215" i="149"/>
  <c r="F249" i="149" s="1"/>
  <c r="F70" i="138"/>
  <c r="E46" i="95"/>
  <c r="E71" i="95" s="1"/>
  <c r="E102" i="102"/>
  <c r="F182" i="141"/>
  <c r="F114" i="141"/>
  <c r="F148" i="141"/>
  <c r="F218" i="141"/>
  <c r="F252" i="141" s="1"/>
  <c r="F220" i="141"/>
  <c r="F254" i="141" s="1"/>
  <c r="F149" i="134"/>
  <c r="F183" i="134"/>
  <c r="F115" i="134"/>
  <c r="F43" i="134"/>
  <c r="E350" i="134"/>
  <c r="E351" i="134" s="1"/>
  <c r="K576" i="217"/>
  <c r="C104" i="204"/>
  <c r="C33" i="205" s="1"/>
  <c r="E38" i="208" s="1"/>
  <c r="C105" i="204"/>
  <c r="C33" i="207" s="1"/>
  <c r="C103" i="204"/>
  <c r="F70" i="147"/>
  <c r="F59" i="137"/>
  <c r="E366" i="137"/>
  <c r="F69" i="137" s="1"/>
  <c r="E351" i="138"/>
  <c r="E47" i="95"/>
  <c r="E72" i="95" s="1"/>
  <c r="E103" i="102"/>
  <c r="F231" i="148"/>
  <c r="F265" i="148" s="1"/>
  <c r="F232" i="148"/>
  <c r="F266" i="148" s="1"/>
  <c r="E351" i="135"/>
  <c r="F43" i="149"/>
  <c r="E350" i="149"/>
  <c r="E351" i="149" s="1"/>
  <c r="F221" i="145"/>
  <c r="F255" i="145" s="1"/>
  <c r="F53" i="147"/>
  <c r="F290" i="147" s="1"/>
  <c r="E368" i="147"/>
  <c r="E370" i="147" s="1"/>
  <c r="F215" i="146"/>
  <c r="F249" i="146" s="1"/>
  <c r="F197" i="141"/>
  <c r="F129" i="141"/>
  <c r="F163" i="141"/>
  <c r="F152" i="134"/>
  <c r="F186" i="134"/>
  <c r="F118" i="134"/>
  <c r="F234" i="138"/>
  <c r="F268" i="138" s="1"/>
  <c r="F217" i="162"/>
  <c r="F251" i="162" s="1"/>
  <c r="F202" i="137"/>
  <c r="F168" i="137"/>
  <c r="F134" i="137"/>
  <c r="F77" i="143"/>
  <c r="F54" i="143"/>
  <c r="F78" i="143"/>
  <c r="F232" i="138"/>
  <c r="F266" i="138" s="1"/>
  <c r="F53" i="151"/>
  <c r="F290" i="151" s="1"/>
  <c r="E368" i="151"/>
  <c r="E370" i="151" s="1"/>
  <c r="F53" i="162"/>
  <c r="F290" i="162" s="1"/>
  <c r="E368" i="162"/>
  <c r="E370" i="162" s="1"/>
  <c r="C105" i="185"/>
  <c r="C14" i="207" s="1"/>
  <c r="C104" i="185"/>
  <c r="C14" i="205" s="1"/>
  <c r="C103" i="185"/>
  <c r="F43" i="139"/>
  <c r="E350" i="139"/>
  <c r="E351" i="139" s="1"/>
  <c r="E22" i="102"/>
  <c r="C15" i="192"/>
  <c r="C44" i="192" s="1"/>
  <c r="C57" i="192" s="1"/>
  <c r="C98" i="192" s="1"/>
  <c r="E367" i="151"/>
  <c r="F235" i="150"/>
  <c r="F269" i="150" s="1"/>
  <c r="E367" i="150"/>
  <c r="E91" i="102"/>
  <c r="E35" i="95"/>
  <c r="E60" i="95" s="1"/>
  <c r="F216" i="139"/>
  <c r="F250" i="139" s="1"/>
  <c r="E367" i="146"/>
  <c r="F134" i="141"/>
  <c r="F202" i="141"/>
  <c r="F168" i="141"/>
  <c r="F199" i="134"/>
  <c r="F131" i="134"/>
  <c r="F165" i="134"/>
  <c r="F116" i="134"/>
  <c r="F184" i="134"/>
  <c r="F150" i="134"/>
  <c r="F166" i="137"/>
  <c r="F200" i="137"/>
  <c r="F132" i="137"/>
  <c r="E20" i="102"/>
  <c r="C15" i="190"/>
  <c r="C44" i="190" s="1"/>
  <c r="C57" i="190" s="1"/>
  <c r="C98" i="190" s="1"/>
  <c r="F222" i="137"/>
  <c r="F256" i="137" s="1"/>
  <c r="F220" i="147"/>
  <c r="F254" i="147" s="1"/>
  <c r="E368" i="146"/>
  <c r="E370" i="146" s="1"/>
  <c r="F53" i="146"/>
  <c r="F290" i="146" s="1"/>
  <c r="F186" i="148"/>
  <c r="F152" i="148"/>
  <c r="F118" i="148"/>
  <c r="F199" i="149"/>
  <c r="F131" i="149"/>
  <c r="F165" i="149"/>
  <c r="F152" i="149"/>
  <c r="F118" i="149"/>
  <c r="F186" i="149"/>
  <c r="F148" i="140"/>
  <c r="F182" i="140"/>
  <c r="F114" i="140"/>
  <c r="F220" i="138"/>
  <c r="F254" i="138" s="1"/>
  <c r="F234" i="147"/>
  <c r="F268" i="147" s="1"/>
  <c r="F77" i="150"/>
  <c r="F78" i="150"/>
  <c r="F237" i="138"/>
  <c r="F271" i="138" s="1"/>
  <c r="F222" i="151"/>
  <c r="F256" i="151" s="1"/>
  <c r="F218" i="147"/>
  <c r="F252" i="147" s="1"/>
  <c r="F93" i="140"/>
  <c r="F94" i="140"/>
  <c r="F154" i="86"/>
  <c r="F151" i="86"/>
  <c r="F119" i="86"/>
  <c r="F120" i="86"/>
  <c r="F117" i="86"/>
  <c r="F187" i="86"/>
  <c r="F181" i="86"/>
  <c r="F215" i="86" s="1"/>
  <c r="F249" i="86" s="1"/>
  <c r="F114" i="86"/>
  <c r="F148" i="86"/>
  <c r="F218" i="86"/>
  <c r="F252" i="86" s="1"/>
  <c r="F236" i="86"/>
  <c r="F270" i="86" s="1"/>
  <c r="F232" i="86"/>
  <c r="F266" i="86" s="1"/>
  <c r="K524" i="217"/>
  <c r="K587" i="217" s="1"/>
  <c r="J564" i="217"/>
  <c r="C105" i="186"/>
  <c r="C15" i="207" s="1"/>
  <c r="C103" i="186"/>
  <c r="C104" i="186"/>
  <c r="C15" i="205" s="1"/>
  <c r="F93" i="86"/>
  <c r="F94" i="86"/>
  <c r="F78" i="86"/>
  <c r="F87" i="86" s="1"/>
  <c r="F88" i="86" s="1"/>
  <c r="F238" i="86"/>
  <c r="F272" i="86" s="1"/>
  <c r="E89" i="102"/>
  <c r="E33" i="95"/>
  <c r="E58" i="95" s="1"/>
  <c r="F53" i="86"/>
  <c r="E368" i="86"/>
  <c r="E370" i="86" s="1"/>
  <c r="E351" i="86"/>
  <c r="F235" i="86"/>
  <c r="F269" i="86" s="1"/>
  <c r="F152" i="86"/>
  <c r="F186" i="86"/>
  <c r="F118" i="86"/>
  <c r="F149" i="86"/>
  <c r="F183" i="86"/>
  <c r="F115" i="86"/>
  <c r="F145" i="86"/>
  <c r="F179" i="86"/>
  <c r="F111" i="86"/>
  <c r="E367" i="86"/>
  <c r="F69" i="86"/>
  <c r="F70" i="86" s="1"/>
  <c r="F222" i="86" l="1"/>
  <c r="F256" i="86" s="1"/>
  <c r="F219" i="86"/>
  <c r="F253" i="86" s="1"/>
  <c r="F233" i="148"/>
  <c r="F267" i="148" s="1"/>
  <c r="F70" i="141"/>
  <c r="F217" i="137"/>
  <c r="F251" i="137" s="1"/>
  <c r="F238" i="137"/>
  <c r="F272" i="137" s="1"/>
  <c r="E67" i="102"/>
  <c r="F220" i="149"/>
  <c r="F254" i="149" s="1"/>
  <c r="F233" i="149"/>
  <c r="F267" i="149" s="1"/>
  <c r="F220" i="137"/>
  <c r="F254" i="137" s="1"/>
  <c r="F220" i="148"/>
  <c r="F254" i="148" s="1"/>
  <c r="F217" i="134"/>
  <c r="F251" i="134" s="1"/>
  <c r="F232" i="149"/>
  <c r="F266" i="149" s="1"/>
  <c r="F238" i="141"/>
  <c r="F272" i="141" s="1"/>
  <c r="E367" i="145"/>
  <c r="F231" i="141"/>
  <c r="F265" i="141" s="1"/>
  <c r="F215" i="148"/>
  <c r="F249" i="148" s="1"/>
  <c r="E367" i="149"/>
  <c r="F217" i="141"/>
  <c r="F251" i="141" s="1"/>
  <c r="F218" i="134"/>
  <c r="F252" i="134" s="1"/>
  <c r="F236" i="137"/>
  <c r="F270" i="137" s="1"/>
  <c r="F54" i="162"/>
  <c r="F234" i="145"/>
  <c r="F268" i="145" s="1"/>
  <c r="F222" i="145"/>
  <c r="F256" i="145" s="1"/>
  <c r="F236" i="134"/>
  <c r="F270" i="134" s="1"/>
  <c r="F235" i="139"/>
  <c r="F269" i="139" s="1"/>
  <c r="F234" i="139"/>
  <c r="F268" i="139" s="1"/>
  <c r="F219" i="145"/>
  <c r="F253" i="145" s="1"/>
  <c r="F70" i="149"/>
  <c r="F236" i="145"/>
  <c r="F270" i="145" s="1"/>
  <c r="F216" i="134"/>
  <c r="F250" i="134" s="1"/>
  <c r="F145" i="150"/>
  <c r="F179" i="150"/>
  <c r="F111" i="150"/>
  <c r="F87" i="150"/>
  <c r="F88" i="150" s="1"/>
  <c r="C105" i="190"/>
  <c r="C19" i="207" s="1"/>
  <c r="C103" i="190"/>
  <c r="C104" i="190"/>
  <c r="C19" i="205" s="1"/>
  <c r="E24" i="208" s="1"/>
  <c r="K415" i="217"/>
  <c r="E19" i="208"/>
  <c r="C35" i="205"/>
  <c r="E13" i="208"/>
  <c r="F93" i="137"/>
  <c r="F94" i="137"/>
  <c r="F77" i="134"/>
  <c r="F78" i="134"/>
  <c r="F103" i="144"/>
  <c r="F104" i="144" s="1"/>
  <c r="F128" i="144"/>
  <c r="F162" i="144"/>
  <c r="F196" i="144"/>
  <c r="F179" i="140"/>
  <c r="F111" i="140"/>
  <c r="F87" i="140"/>
  <c r="F88" i="140" s="1"/>
  <c r="F145" i="140"/>
  <c r="F77" i="145"/>
  <c r="F78" i="145"/>
  <c r="F54" i="146"/>
  <c r="F93" i="134"/>
  <c r="F94" i="134"/>
  <c r="C17" i="206"/>
  <c r="F22" i="208" s="1"/>
  <c r="C106" i="188"/>
  <c r="C104" i="198"/>
  <c r="C27" i="205" s="1"/>
  <c r="E32" i="208" s="1"/>
  <c r="C105" i="198"/>
  <c r="C27" i="207" s="1"/>
  <c r="C103" i="198"/>
  <c r="F87" i="162"/>
  <c r="F88" i="162" s="1"/>
  <c r="F180" i="162"/>
  <c r="F112" i="162"/>
  <c r="F146" i="162"/>
  <c r="F146" i="151"/>
  <c r="F180" i="151"/>
  <c r="F112" i="151"/>
  <c r="C105" i="202"/>
  <c r="C31" i="207" s="1"/>
  <c r="C103" i="202"/>
  <c r="C104" i="202"/>
  <c r="C31" i="205" s="1"/>
  <c r="E36" i="208" s="1"/>
  <c r="F103" i="147"/>
  <c r="F104" i="147" s="1"/>
  <c r="F161" i="147"/>
  <c r="F195" i="147"/>
  <c r="F127" i="147"/>
  <c r="F128" i="138"/>
  <c r="F162" i="138"/>
  <c r="F196" i="138"/>
  <c r="F162" i="146"/>
  <c r="F128" i="146"/>
  <c r="F196" i="146"/>
  <c r="F189" i="136"/>
  <c r="F190" i="136" s="1"/>
  <c r="F195" i="162"/>
  <c r="F127" i="162"/>
  <c r="F161" i="162"/>
  <c r="E34" i="95"/>
  <c r="E59" i="95" s="1"/>
  <c r="E66" i="102"/>
  <c r="E90" i="102"/>
  <c r="F162" i="135"/>
  <c r="F128" i="135"/>
  <c r="F196" i="135"/>
  <c r="C24" i="206"/>
  <c r="F29" i="208" s="1"/>
  <c r="C106" i="195"/>
  <c r="E48" i="95"/>
  <c r="E73" i="95" s="1"/>
  <c r="E104" i="102"/>
  <c r="F162" i="151"/>
  <c r="F196" i="151"/>
  <c r="F128" i="151"/>
  <c r="K616" i="217"/>
  <c r="K620" i="217" s="1"/>
  <c r="K357" i="217"/>
  <c r="F93" i="148"/>
  <c r="F94" i="148"/>
  <c r="F93" i="139"/>
  <c r="F94" i="139"/>
  <c r="F171" i="136"/>
  <c r="F172" i="136" s="1"/>
  <c r="F162" i="140"/>
  <c r="F196" i="140"/>
  <c r="F128" i="140"/>
  <c r="E93" i="102"/>
  <c r="E37" i="95"/>
  <c r="E62" i="95" s="1"/>
  <c r="F236" i="141"/>
  <c r="F270" i="141" s="1"/>
  <c r="F53" i="139"/>
  <c r="F290" i="139" s="1"/>
  <c r="E368" i="139"/>
  <c r="E370" i="139" s="1"/>
  <c r="K386" i="217"/>
  <c r="G13" i="208"/>
  <c r="C35" i="207"/>
  <c r="C15" i="209"/>
  <c r="C247" i="209" s="1"/>
  <c r="C16" i="210" s="1"/>
  <c r="C55" i="211" s="1"/>
  <c r="G19" i="208"/>
  <c r="F145" i="143"/>
  <c r="F179" i="143"/>
  <c r="F111" i="143"/>
  <c r="F87" i="143"/>
  <c r="F88" i="143" s="1"/>
  <c r="F161" i="144"/>
  <c r="F195" i="144"/>
  <c r="F127" i="144"/>
  <c r="F145" i="142"/>
  <c r="F111" i="142"/>
  <c r="F179" i="142"/>
  <c r="F87" i="142"/>
  <c r="F88" i="142" s="1"/>
  <c r="F145" i="146"/>
  <c r="F179" i="146"/>
  <c r="F111" i="146"/>
  <c r="F70" i="134"/>
  <c r="E45" i="95"/>
  <c r="E70" i="95" s="1"/>
  <c r="E101" i="102"/>
  <c r="F54" i="151"/>
  <c r="F221" i="137"/>
  <c r="F255" i="137" s="1"/>
  <c r="E105" i="102"/>
  <c r="E49" i="95"/>
  <c r="E74" i="95" s="1"/>
  <c r="G34" i="208"/>
  <c r="C30" i="209"/>
  <c r="C262" i="209" s="1"/>
  <c r="C31" i="210" s="1"/>
  <c r="C70" i="211" s="1"/>
  <c r="F103" i="138"/>
  <c r="F104" i="138" s="1"/>
  <c r="F161" i="138"/>
  <c r="F171" i="138" s="1"/>
  <c r="F172" i="138" s="1"/>
  <c r="F127" i="138"/>
  <c r="F137" i="138" s="1"/>
  <c r="F138" i="138" s="1"/>
  <c r="F195" i="138"/>
  <c r="C32" i="206"/>
  <c r="F37" i="208" s="1"/>
  <c r="C106" i="203"/>
  <c r="C148" i="196"/>
  <c r="C141" i="196"/>
  <c r="C153" i="196" s="1"/>
  <c r="C25" i="205" s="1"/>
  <c r="E30" i="208" s="1"/>
  <c r="F233" i="145"/>
  <c r="F267" i="145" s="1"/>
  <c r="F236" i="148"/>
  <c r="F270" i="148" s="1"/>
  <c r="F127" i="146"/>
  <c r="F161" i="146"/>
  <c r="F171" i="146" s="1"/>
  <c r="F172" i="146" s="1"/>
  <c r="F195" i="146"/>
  <c r="F103" i="146"/>
  <c r="F104" i="146" s="1"/>
  <c r="F217" i="139"/>
  <c r="F251" i="139" s="1"/>
  <c r="F217" i="145"/>
  <c r="F251" i="145" s="1"/>
  <c r="F237" i="148"/>
  <c r="F271" i="148" s="1"/>
  <c r="F179" i="144"/>
  <c r="F111" i="144"/>
  <c r="F145" i="144"/>
  <c r="F180" i="138"/>
  <c r="F112" i="138"/>
  <c r="F146" i="138"/>
  <c r="C20" i="206"/>
  <c r="F25" i="208" s="1"/>
  <c r="C106" i="191"/>
  <c r="C104" i="187"/>
  <c r="C16" i="205" s="1"/>
  <c r="E21" i="208" s="1"/>
  <c r="C103" i="187"/>
  <c r="C105" i="187"/>
  <c r="C16" i="207" s="1"/>
  <c r="F161" i="135"/>
  <c r="F171" i="135" s="1"/>
  <c r="F172" i="135" s="1"/>
  <c r="F195" i="135"/>
  <c r="F127" i="135"/>
  <c r="F137" i="135" s="1"/>
  <c r="F138" i="135" s="1"/>
  <c r="F103" i="135"/>
  <c r="F104" i="135" s="1"/>
  <c r="F93" i="145"/>
  <c r="F94" i="145"/>
  <c r="F161" i="151"/>
  <c r="F171" i="151" s="1"/>
  <c r="F172" i="151" s="1"/>
  <c r="F195" i="151"/>
  <c r="F127" i="151"/>
  <c r="F103" i="151"/>
  <c r="F104" i="151" s="1"/>
  <c r="F70" i="148"/>
  <c r="F112" i="147"/>
  <c r="F180" i="147"/>
  <c r="F146" i="147"/>
  <c r="F54" i="135"/>
  <c r="C104" i="193"/>
  <c r="C22" i="205" s="1"/>
  <c r="E27" i="208" s="1"/>
  <c r="C105" i="193"/>
  <c r="C22" i="207" s="1"/>
  <c r="C103" i="193"/>
  <c r="C106" i="199"/>
  <c r="C147" i="199"/>
  <c r="C140" i="199"/>
  <c r="C152" i="199" s="1"/>
  <c r="F195" i="140"/>
  <c r="F103" i="140"/>
  <c r="F104" i="140" s="1"/>
  <c r="F161" i="140"/>
  <c r="F127" i="140"/>
  <c r="F137" i="140" s="1"/>
  <c r="F138" i="140" s="1"/>
  <c r="F112" i="150"/>
  <c r="F146" i="150"/>
  <c r="F155" i="150" s="1"/>
  <c r="F180" i="150"/>
  <c r="F189" i="150" s="1"/>
  <c r="C103" i="192"/>
  <c r="C104" i="192"/>
  <c r="C21" i="205" s="1"/>
  <c r="E26" i="208" s="1"/>
  <c r="C105" i="192"/>
  <c r="C21" i="207" s="1"/>
  <c r="F77" i="139"/>
  <c r="F78" i="139"/>
  <c r="E368" i="149"/>
  <c r="E370" i="149" s="1"/>
  <c r="F53" i="149"/>
  <c r="F290" i="149" s="1"/>
  <c r="E367" i="137"/>
  <c r="C33" i="206"/>
  <c r="F38" i="208" s="1"/>
  <c r="C106" i="204"/>
  <c r="F230" i="136"/>
  <c r="F264" i="136" s="1"/>
  <c r="F215" i="139"/>
  <c r="F249" i="139" s="1"/>
  <c r="F77" i="148"/>
  <c r="F78" i="148"/>
  <c r="F215" i="145"/>
  <c r="F249" i="145" s="1"/>
  <c r="C141" i="197"/>
  <c r="C153" i="197" s="1"/>
  <c r="C26" i="205" s="1"/>
  <c r="E31" i="208" s="1"/>
  <c r="C148" i="197"/>
  <c r="F222" i="141"/>
  <c r="F256" i="141" s="1"/>
  <c r="G22" i="208"/>
  <c r="C18" i="209"/>
  <c r="C250" i="209" s="1"/>
  <c r="C19" i="210" s="1"/>
  <c r="C58" i="211" s="1"/>
  <c r="D76" i="208"/>
  <c r="F237" i="149"/>
  <c r="F271" i="149" s="1"/>
  <c r="F234" i="148"/>
  <c r="F268" i="148" s="1"/>
  <c r="F179" i="162"/>
  <c r="F145" i="162"/>
  <c r="F111" i="162"/>
  <c r="F111" i="151"/>
  <c r="F87" i="151"/>
  <c r="F88" i="151" s="1"/>
  <c r="F145" i="151"/>
  <c r="F179" i="151"/>
  <c r="F189" i="151" s="1"/>
  <c r="F219" i="148"/>
  <c r="F253" i="148" s="1"/>
  <c r="C106" i="200"/>
  <c r="C29" i="206"/>
  <c r="F34" i="208" s="1"/>
  <c r="C23" i="206"/>
  <c r="F28" i="208" s="1"/>
  <c r="C106" i="194"/>
  <c r="G37" i="208"/>
  <c r="H37" i="208" s="1"/>
  <c r="C33" i="209"/>
  <c r="C265" i="209" s="1"/>
  <c r="C34" i="210" s="1"/>
  <c r="C73" i="211" s="1"/>
  <c r="D91" i="208"/>
  <c r="F53" i="137"/>
  <c r="F290" i="137" s="1"/>
  <c r="E368" i="137"/>
  <c r="E370" i="137" s="1"/>
  <c r="F77" i="141"/>
  <c r="F78" i="141"/>
  <c r="F155" i="136"/>
  <c r="F280" i="136" s="1"/>
  <c r="F18" i="131" s="1"/>
  <c r="F196" i="143"/>
  <c r="F128" i="143"/>
  <c r="F162" i="143"/>
  <c r="C232" i="211"/>
  <c r="C257" i="211"/>
  <c r="C58" i="212" s="1"/>
  <c r="G58" i="212" s="1"/>
  <c r="F222" i="149"/>
  <c r="F256" i="149" s="1"/>
  <c r="F216" i="149"/>
  <c r="F250" i="149" s="1"/>
  <c r="F219" i="141"/>
  <c r="F253" i="141" s="1"/>
  <c r="F111" i="138"/>
  <c r="F179" i="138"/>
  <c r="F87" i="138"/>
  <c r="F88" i="138" s="1"/>
  <c r="F145" i="138"/>
  <c r="G25" i="208"/>
  <c r="C21" i="209"/>
  <c r="C253" i="209" s="1"/>
  <c r="C22" i="210" s="1"/>
  <c r="C61" i="211" s="1"/>
  <c r="E367" i="141"/>
  <c r="F238" i="139"/>
  <c r="F272" i="139" s="1"/>
  <c r="G29" i="208"/>
  <c r="C25" i="209"/>
  <c r="C257" i="209" s="1"/>
  <c r="C26" i="210" s="1"/>
  <c r="C65" i="211" s="1"/>
  <c r="D83" i="208"/>
  <c r="F221" i="148"/>
  <c r="F255" i="148" s="1"/>
  <c r="F214" i="136"/>
  <c r="F248" i="136" s="1"/>
  <c r="F103" i="150"/>
  <c r="F104" i="150" s="1"/>
  <c r="F162" i="150"/>
  <c r="F196" i="150"/>
  <c r="F128" i="150"/>
  <c r="F162" i="142"/>
  <c r="F196" i="142"/>
  <c r="F128" i="142"/>
  <c r="F70" i="145"/>
  <c r="F232" i="139"/>
  <c r="F266" i="139" s="1"/>
  <c r="E57" i="95"/>
  <c r="AD34" i="95"/>
  <c r="F54" i="147"/>
  <c r="F87" i="135"/>
  <c r="F88" i="135" s="1"/>
  <c r="F145" i="135"/>
  <c r="F179" i="135"/>
  <c r="F111" i="135"/>
  <c r="E367" i="139"/>
  <c r="F290" i="140"/>
  <c r="F54" i="140"/>
  <c r="F137" i="136"/>
  <c r="F138" i="136" s="1"/>
  <c r="E96" i="102"/>
  <c r="E40" i="95"/>
  <c r="E65" i="95" s="1"/>
  <c r="E35" i="102"/>
  <c r="F54" i="150"/>
  <c r="F216" i="140"/>
  <c r="F250" i="140" s="1"/>
  <c r="F234" i="137"/>
  <c r="F268" i="137" s="1"/>
  <c r="F233" i="134"/>
  <c r="F267" i="134" s="1"/>
  <c r="E39" i="95"/>
  <c r="E64" i="95" s="1"/>
  <c r="E95" i="102"/>
  <c r="C14" i="206"/>
  <c r="C106" i="185"/>
  <c r="F112" i="143"/>
  <c r="F180" i="143"/>
  <c r="F146" i="143"/>
  <c r="F220" i="134"/>
  <c r="F254" i="134" s="1"/>
  <c r="F77" i="149"/>
  <c r="F54" i="149"/>
  <c r="F78" i="149"/>
  <c r="F70" i="137"/>
  <c r="G38" i="208"/>
  <c r="H38" i="208" s="1"/>
  <c r="C34" i="209"/>
  <c r="C266" i="209" s="1"/>
  <c r="C35" i="210" s="1"/>
  <c r="C74" i="211" s="1"/>
  <c r="D92" i="208"/>
  <c r="F53" i="134"/>
  <c r="F290" i="134" s="1"/>
  <c r="E368" i="134"/>
  <c r="E370" i="134" s="1"/>
  <c r="F216" i="141"/>
  <c r="F250" i="141" s="1"/>
  <c r="F112" i="140"/>
  <c r="F180" i="140"/>
  <c r="F146" i="140"/>
  <c r="F180" i="142"/>
  <c r="F112" i="142"/>
  <c r="F146" i="142"/>
  <c r="F155" i="142" s="1"/>
  <c r="F53" i="148"/>
  <c r="F290" i="148" s="1"/>
  <c r="E368" i="148"/>
  <c r="E370" i="148" s="1"/>
  <c r="F237" i="139"/>
  <c r="F271" i="139" s="1"/>
  <c r="F53" i="145"/>
  <c r="F290" i="145" s="1"/>
  <c r="E368" i="145"/>
  <c r="E370" i="145" s="1"/>
  <c r="F87" i="146"/>
  <c r="F88" i="146" s="1"/>
  <c r="F180" i="146"/>
  <c r="F189" i="146" s="1"/>
  <c r="F112" i="146"/>
  <c r="F146" i="146"/>
  <c r="F155" i="146" s="1"/>
  <c r="F280" i="146" s="1"/>
  <c r="F28" i="131" s="1"/>
  <c r="E367" i="134"/>
  <c r="C140" i="197"/>
  <c r="C152" i="197" s="1"/>
  <c r="C147" i="197"/>
  <c r="C106" i="197"/>
  <c r="F222" i="134"/>
  <c r="F256" i="134" s="1"/>
  <c r="F234" i="141"/>
  <c r="F268" i="141" s="1"/>
  <c r="F218" i="140"/>
  <c r="F252" i="140" s="1"/>
  <c r="F162" i="147"/>
  <c r="F196" i="147"/>
  <c r="F128" i="147"/>
  <c r="G28" i="208"/>
  <c r="C24" i="209"/>
  <c r="C256" i="209" s="1"/>
  <c r="C25" i="210" s="1"/>
  <c r="C64" i="211" s="1"/>
  <c r="C147" i="196"/>
  <c r="C140" i="196"/>
  <c r="C152" i="196" s="1"/>
  <c r="C106" i="196"/>
  <c r="F77" i="137"/>
  <c r="F54" i="137"/>
  <c r="F78" i="137"/>
  <c r="E368" i="141"/>
  <c r="E370" i="141" s="1"/>
  <c r="F53" i="141"/>
  <c r="F290" i="141" s="1"/>
  <c r="F213" i="136"/>
  <c r="F121" i="136"/>
  <c r="F195" i="143"/>
  <c r="F127" i="143"/>
  <c r="F137" i="143" s="1"/>
  <c r="F138" i="143" s="1"/>
  <c r="F161" i="143"/>
  <c r="F103" i="143"/>
  <c r="F104" i="143" s="1"/>
  <c r="H23" i="208"/>
  <c r="F231" i="145"/>
  <c r="F265" i="145" s="1"/>
  <c r="F103" i="162"/>
  <c r="F104" i="162" s="1"/>
  <c r="F162" i="162"/>
  <c r="F171" i="162" s="1"/>
  <c r="F172" i="162" s="1"/>
  <c r="F196" i="162"/>
  <c r="F128" i="162"/>
  <c r="F87" i="144"/>
  <c r="F88" i="144" s="1"/>
  <c r="F112" i="144"/>
  <c r="F146" i="144"/>
  <c r="F180" i="144"/>
  <c r="F189" i="144" s="1"/>
  <c r="F93" i="141"/>
  <c r="F94" i="141"/>
  <c r="F220" i="139"/>
  <c r="F254" i="139" s="1"/>
  <c r="C103" i="201"/>
  <c r="C104" i="201"/>
  <c r="C30" i="205" s="1"/>
  <c r="E35" i="208" s="1"/>
  <c r="C105" i="201"/>
  <c r="C30" i="207" s="1"/>
  <c r="F231" i="137"/>
  <c r="F265" i="137" s="1"/>
  <c r="F232" i="134"/>
  <c r="F266" i="134" s="1"/>
  <c r="F237" i="134"/>
  <c r="F271" i="134" s="1"/>
  <c r="F127" i="150"/>
  <c r="F161" i="150"/>
  <c r="F195" i="150"/>
  <c r="F161" i="142"/>
  <c r="F195" i="142"/>
  <c r="F127" i="142"/>
  <c r="F137" i="142" s="1"/>
  <c r="F138" i="142" s="1"/>
  <c r="F103" i="142"/>
  <c r="F104" i="142" s="1"/>
  <c r="D23" i="208"/>
  <c r="C111" i="189"/>
  <c r="F238" i="145"/>
  <c r="F272" i="145" s="1"/>
  <c r="F93" i="149"/>
  <c r="F94" i="149"/>
  <c r="E367" i="148"/>
  <c r="F219" i="134"/>
  <c r="F253" i="134" s="1"/>
  <c r="F111" i="147"/>
  <c r="F145" i="147"/>
  <c r="F179" i="147"/>
  <c r="F87" i="147"/>
  <c r="F88" i="147" s="1"/>
  <c r="F146" i="135"/>
  <c r="F180" i="135"/>
  <c r="F112" i="135"/>
  <c r="F70" i="139"/>
  <c r="F229" i="136"/>
  <c r="F205" i="136"/>
  <c r="F206" i="136" s="1"/>
  <c r="C148" i="199"/>
  <c r="C141" i="199"/>
  <c r="C153" i="199" s="1"/>
  <c r="C28" i="205" s="1"/>
  <c r="E33" i="208" s="1"/>
  <c r="F221" i="86"/>
  <c r="F255" i="86" s="1"/>
  <c r="F216" i="86"/>
  <c r="F250" i="86" s="1"/>
  <c r="K584" i="217"/>
  <c r="K585" i="217"/>
  <c r="F217" i="86"/>
  <c r="F251" i="86" s="1"/>
  <c r="F180" i="86"/>
  <c r="F189" i="86" s="1"/>
  <c r="F112" i="86"/>
  <c r="F121" i="86" s="1"/>
  <c r="F146" i="86"/>
  <c r="F155" i="86" s="1"/>
  <c r="F196" i="86"/>
  <c r="F128" i="86"/>
  <c r="F162" i="86"/>
  <c r="E20" i="208"/>
  <c r="F290" i="86"/>
  <c r="F54" i="86"/>
  <c r="F195" i="86"/>
  <c r="F127" i="86"/>
  <c r="F103" i="86"/>
  <c r="F104" i="86" s="1"/>
  <c r="F161" i="86"/>
  <c r="C15" i="206"/>
  <c r="D74" i="208" s="1"/>
  <c r="C106" i="186"/>
  <c r="F213" i="86"/>
  <c r="F220" i="86"/>
  <c r="F254" i="86" s="1"/>
  <c r="K330" i="217"/>
  <c r="E108" i="102"/>
  <c r="E68" i="102"/>
  <c r="E38" i="102"/>
  <c r="E52" i="95"/>
  <c r="C16" i="209"/>
  <c r="C248" i="209" s="1"/>
  <c r="G20" i="208"/>
  <c r="K583" i="217"/>
  <c r="K530" i="217"/>
  <c r="K586" i="217"/>
  <c r="C154" i="196" l="1"/>
  <c r="F137" i="162"/>
  <c r="F138" i="162" s="1"/>
  <c r="D82" i="208"/>
  <c r="F54" i="139"/>
  <c r="F230" i="138"/>
  <c r="F264" i="138" s="1"/>
  <c r="F214" i="135"/>
  <c r="F248" i="135" s="1"/>
  <c r="F230" i="146"/>
  <c r="F264" i="146" s="1"/>
  <c r="F155" i="147"/>
  <c r="F230" i="135"/>
  <c r="F264" i="135" s="1"/>
  <c r="C154" i="199"/>
  <c r="C154" i="197"/>
  <c r="C158" i="197" s="1"/>
  <c r="F156" i="136"/>
  <c r="C28" i="207"/>
  <c r="C158" i="199"/>
  <c r="C26" i="207"/>
  <c r="C25" i="207"/>
  <c r="C158" i="196"/>
  <c r="F161" i="141"/>
  <c r="F195" i="141"/>
  <c r="F127" i="141"/>
  <c r="F122" i="136"/>
  <c r="F282" i="136"/>
  <c r="F18" i="132" s="1"/>
  <c r="F146" i="137"/>
  <c r="F112" i="137"/>
  <c r="F180" i="137"/>
  <c r="C25" i="206"/>
  <c r="F30" i="208" s="1"/>
  <c r="C155" i="196"/>
  <c r="H28" i="208"/>
  <c r="K28" i="208" s="1"/>
  <c r="F121" i="146"/>
  <c r="F214" i="146"/>
  <c r="F248" i="146" s="1"/>
  <c r="F156" i="142"/>
  <c r="K38" i="208"/>
  <c r="F179" i="149"/>
  <c r="F111" i="149"/>
  <c r="F145" i="149"/>
  <c r="C263" i="211"/>
  <c r="C64" i="212" s="1"/>
  <c r="G64" i="212" s="1"/>
  <c r="C238" i="211"/>
  <c r="F155" i="138"/>
  <c r="F280" i="138" s="1"/>
  <c r="F20" i="131" s="1"/>
  <c r="F145" i="141"/>
  <c r="F179" i="141"/>
  <c r="F111" i="141"/>
  <c r="C271" i="211"/>
  <c r="C72" i="212" s="1"/>
  <c r="G72" i="212" s="1"/>
  <c r="C246" i="211"/>
  <c r="F190" i="151"/>
  <c r="H22" i="208"/>
  <c r="K22" i="208" s="1"/>
  <c r="C106" i="192"/>
  <c r="C21" i="206"/>
  <c r="F26" i="208" s="1"/>
  <c r="F229" i="140"/>
  <c r="F205" i="140"/>
  <c r="F206" i="140" s="1"/>
  <c r="C106" i="193"/>
  <c r="C22" i="206"/>
  <c r="F27" i="208" s="1"/>
  <c r="G21" i="208"/>
  <c r="C17" i="209"/>
  <c r="C249" i="209" s="1"/>
  <c r="C18" i="210" s="1"/>
  <c r="C57" i="211" s="1"/>
  <c r="D37" i="208"/>
  <c r="C111" i="203"/>
  <c r="H34" i="208"/>
  <c r="F189" i="143"/>
  <c r="F190" i="143" s="1"/>
  <c r="F161" i="139"/>
  <c r="F103" i="139"/>
  <c r="F104" i="139" s="1"/>
  <c r="F195" i="139"/>
  <c r="F127" i="139"/>
  <c r="F137" i="147"/>
  <c r="F138" i="147" s="1"/>
  <c r="F162" i="134"/>
  <c r="F196" i="134"/>
  <c r="F128" i="134"/>
  <c r="F54" i="145"/>
  <c r="F213" i="140"/>
  <c r="F121" i="140"/>
  <c r="F171" i="144"/>
  <c r="F172" i="144" s="1"/>
  <c r="F54" i="134"/>
  <c r="C36" i="205"/>
  <c r="F239" i="136"/>
  <c r="F240" i="136" s="1"/>
  <c r="F263" i="136"/>
  <c r="F273" i="136" s="1"/>
  <c r="F274" i="136" s="1"/>
  <c r="C113" i="189"/>
  <c r="C115" i="189" s="1"/>
  <c r="C112" i="189"/>
  <c r="F229" i="150"/>
  <c r="F205" i="150"/>
  <c r="F206" i="150" s="1"/>
  <c r="C30" i="206"/>
  <c r="F35" i="208" s="1"/>
  <c r="C106" i="201"/>
  <c r="F223" i="136"/>
  <c r="F247" i="136"/>
  <c r="F257" i="136" s="1"/>
  <c r="F258" i="136" s="1"/>
  <c r="C26" i="206"/>
  <c r="F31" i="208" s="1"/>
  <c r="C155" i="197"/>
  <c r="F121" i="142"/>
  <c r="F282" i="142" s="1"/>
  <c r="F23" i="132" s="1"/>
  <c r="F214" i="142"/>
  <c r="F248" i="142" s="1"/>
  <c r="F214" i="140"/>
  <c r="F248" i="140" s="1"/>
  <c r="D19" i="208"/>
  <c r="C111" i="185"/>
  <c r="F121" i="135"/>
  <c r="F282" i="135" s="1"/>
  <c r="F17" i="132" s="1"/>
  <c r="F213" i="135"/>
  <c r="F137" i="150"/>
  <c r="F138" i="150" s="1"/>
  <c r="H29" i="208"/>
  <c r="K29" i="208" s="1"/>
  <c r="D79" i="208"/>
  <c r="F171" i="143"/>
  <c r="F172" i="143" s="1"/>
  <c r="K37" i="208"/>
  <c r="I37" i="208"/>
  <c r="D34" i="208"/>
  <c r="C111" i="200"/>
  <c r="F155" i="151"/>
  <c r="F280" i="151" s="1"/>
  <c r="F33" i="131" s="1"/>
  <c r="F121" i="162"/>
  <c r="F282" i="162" s="1"/>
  <c r="F24" i="132" s="1"/>
  <c r="F213" i="162"/>
  <c r="F146" i="148"/>
  <c r="F180" i="148"/>
  <c r="F112" i="148"/>
  <c r="F145" i="139"/>
  <c r="F179" i="139"/>
  <c r="F87" i="139"/>
  <c r="F88" i="139" s="1"/>
  <c r="F111" i="139"/>
  <c r="F281" i="150"/>
  <c r="F32" i="133" s="1"/>
  <c r="F171" i="140"/>
  <c r="F172" i="140" s="1"/>
  <c r="C28" i="206"/>
  <c r="F33" i="208" s="1"/>
  <c r="C155" i="199"/>
  <c r="C23" i="209"/>
  <c r="C255" i="209" s="1"/>
  <c r="C24" i="210" s="1"/>
  <c r="C63" i="211" s="1"/>
  <c r="G27" i="208"/>
  <c r="D81" i="208"/>
  <c r="F189" i="147"/>
  <c r="F190" i="147" s="1"/>
  <c r="F103" i="145"/>
  <c r="F104" i="145" s="1"/>
  <c r="F162" i="145"/>
  <c r="F196" i="145"/>
  <c r="F128" i="145"/>
  <c r="F229" i="135"/>
  <c r="F205" i="135"/>
  <c r="F206" i="135" s="1"/>
  <c r="C16" i="206"/>
  <c r="F21" i="208" s="1"/>
  <c r="C106" i="187"/>
  <c r="F155" i="144"/>
  <c r="F156" i="144" s="1"/>
  <c r="F229" i="146"/>
  <c r="F205" i="146"/>
  <c r="F206" i="146" s="1"/>
  <c r="F213" i="146"/>
  <c r="F155" i="143"/>
  <c r="F196" i="148"/>
  <c r="F128" i="148"/>
  <c r="F162" i="148"/>
  <c r="F137" i="151"/>
  <c r="F138" i="151" s="1"/>
  <c r="F229" i="162"/>
  <c r="F137" i="146"/>
  <c r="F138" i="146" s="1"/>
  <c r="F229" i="147"/>
  <c r="F205" i="147"/>
  <c r="F206" i="147" s="1"/>
  <c r="C106" i="202"/>
  <c r="C31" i="206"/>
  <c r="F36" i="208" s="1"/>
  <c r="D22" i="208"/>
  <c r="C111" i="188"/>
  <c r="F127" i="134"/>
  <c r="F103" i="134"/>
  <c r="F104" i="134" s="1"/>
  <c r="F195" i="134"/>
  <c r="F161" i="134"/>
  <c r="F171" i="134" s="1"/>
  <c r="F172" i="134" s="1"/>
  <c r="F145" i="145"/>
  <c r="F179" i="145"/>
  <c r="F111" i="145"/>
  <c r="F87" i="145"/>
  <c r="F88" i="145" s="1"/>
  <c r="F189" i="140"/>
  <c r="F137" i="144"/>
  <c r="F138" i="144" s="1"/>
  <c r="F145" i="134"/>
  <c r="F179" i="134"/>
  <c r="F87" i="134"/>
  <c r="F88" i="134" s="1"/>
  <c r="F111" i="134"/>
  <c r="C19" i="206"/>
  <c r="F24" i="208" s="1"/>
  <c r="C106" i="190"/>
  <c r="F213" i="150"/>
  <c r="E39" i="208"/>
  <c r="F156" i="147"/>
  <c r="F196" i="149"/>
  <c r="F230" i="149" s="1"/>
  <c r="F264" i="149" s="1"/>
  <c r="F162" i="149"/>
  <c r="F128" i="149"/>
  <c r="F229" i="142"/>
  <c r="F205" i="162"/>
  <c r="F206" i="162" s="1"/>
  <c r="F230" i="162"/>
  <c r="F264" i="162" s="1"/>
  <c r="K23" i="208"/>
  <c r="I23" i="208"/>
  <c r="F179" i="137"/>
  <c r="F111" i="137"/>
  <c r="F145" i="137"/>
  <c r="F87" i="137"/>
  <c r="F88" i="137" s="1"/>
  <c r="F230" i="147"/>
  <c r="F264" i="147" s="1"/>
  <c r="F87" i="149"/>
  <c r="F88" i="149" s="1"/>
  <c r="F146" i="149"/>
  <c r="F155" i="149" s="1"/>
  <c r="F180" i="149"/>
  <c r="F189" i="149" s="1"/>
  <c r="F112" i="149"/>
  <c r="F214" i="143"/>
  <c r="F248" i="143" s="1"/>
  <c r="K444" i="217"/>
  <c r="K479" i="217" s="1"/>
  <c r="C35" i="206"/>
  <c r="F13" i="208"/>
  <c r="F19" i="208"/>
  <c r="F189" i="135"/>
  <c r="F281" i="135" s="1"/>
  <c r="F17" i="133" s="1"/>
  <c r="F230" i="150"/>
  <c r="F264" i="150" s="1"/>
  <c r="C234" i="211"/>
  <c r="C259" i="211"/>
  <c r="C60" i="212" s="1"/>
  <c r="G60" i="212" s="1"/>
  <c r="F189" i="138"/>
  <c r="F190" i="138" s="1"/>
  <c r="F87" i="141"/>
  <c r="F88" i="141" s="1"/>
  <c r="F146" i="141"/>
  <c r="F155" i="141" s="1"/>
  <c r="F180" i="141"/>
  <c r="F112" i="141"/>
  <c r="C111" i="194"/>
  <c r="D28" i="208"/>
  <c r="F54" i="148"/>
  <c r="C111" i="204"/>
  <c r="D38" i="208"/>
  <c r="I38" i="208" s="1"/>
  <c r="G26" i="208"/>
  <c r="C22" i="209"/>
  <c r="C254" i="209" s="1"/>
  <c r="C23" i="210" s="1"/>
  <c r="C62" i="211" s="1"/>
  <c r="D80" i="208"/>
  <c r="F121" i="147"/>
  <c r="F282" i="147" s="1"/>
  <c r="F29" i="132" s="1"/>
  <c r="F214" i="147"/>
  <c r="F248" i="147" s="1"/>
  <c r="F195" i="145"/>
  <c r="F229" i="145" s="1"/>
  <c r="F127" i="145"/>
  <c r="F161" i="145"/>
  <c r="F214" i="138"/>
  <c r="F248" i="138" s="1"/>
  <c r="F213" i="144"/>
  <c r="F121" i="144"/>
  <c r="F282" i="144" s="1"/>
  <c r="F26" i="132" s="1"/>
  <c r="F229" i="138"/>
  <c r="F205" i="138"/>
  <c r="F206" i="138" s="1"/>
  <c r="D88" i="208"/>
  <c r="F190" i="146"/>
  <c r="F189" i="142"/>
  <c r="H19" i="208"/>
  <c r="I19" i="208" s="1"/>
  <c r="D73" i="208"/>
  <c r="F230" i="140"/>
  <c r="F264" i="140" s="1"/>
  <c r="F127" i="148"/>
  <c r="F137" i="148" s="1"/>
  <c r="F138" i="148" s="1"/>
  <c r="F103" i="148"/>
  <c r="F104" i="148" s="1"/>
  <c r="F161" i="148"/>
  <c r="F171" i="148" s="1"/>
  <c r="F172" i="148" s="1"/>
  <c r="F195" i="148"/>
  <c r="F230" i="151"/>
  <c r="F264" i="151" s="1"/>
  <c r="D29" i="208"/>
  <c r="C111" i="195"/>
  <c r="F171" i="147"/>
  <c r="F172" i="147" s="1"/>
  <c r="C32" i="209"/>
  <c r="C264" i="209" s="1"/>
  <c r="C33" i="210" s="1"/>
  <c r="C72" i="211" s="1"/>
  <c r="G36" i="208"/>
  <c r="D90" i="208"/>
  <c r="F155" i="162"/>
  <c r="F280" i="162" s="1"/>
  <c r="F24" i="131" s="1"/>
  <c r="C106" i="198"/>
  <c r="C27" i="206"/>
  <c r="F32" i="208" s="1"/>
  <c r="F155" i="140"/>
  <c r="F162" i="137"/>
  <c r="F196" i="137"/>
  <c r="F128" i="137"/>
  <c r="C20" i="209"/>
  <c r="C252" i="209" s="1"/>
  <c r="C21" i="210" s="1"/>
  <c r="C60" i="211" s="1"/>
  <c r="D78" i="208"/>
  <c r="G24" i="208"/>
  <c r="H24" i="208" s="1"/>
  <c r="F190" i="150"/>
  <c r="F213" i="147"/>
  <c r="F122" i="147"/>
  <c r="F161" i="149"/>
  <c r="F171" i="149" s="1"/>
  <c r="F172" i="149" s="1"/>
  <c r="F195" i="149"/>
  <c r="F127" i="149"/>
  <c r="F137" i="149" s="1"/>
  <c r="F138" i="149" s="1"/>
  <c r="F103" i="149"/>
  <c r="F104" i="149" s="1"/>
  <c r="F171" i="142"/>
  <c r="F172" i="142" s="1"/>
  <c r="C31" i="209"/>
  <c r="C263" i="209" s="1"/>
  <c r="C32" i="210" s="1"/>
  <c r="C71" i="211" s="1"/>
  <c r="G35" i="208"/>
  <c r="F103" i="141"/>
  <c r="F104" i="141" s="1"/>
  <c r="F196" i="141"/>
  <c r="F128" i="141"/>
  <c r="F137" i="141" s="1"/>
  <c r="F138" i="141" s="1"/>
  <c r="F162" i="141"/>
  <c r="F171" i="141" s="1"/>
  <c r="F172" i="141" s="1"/>
  <c r="F214" i="144"/>
  <c r="F248" i="144" s="1"/>
  <c r="F229" i="143"/>
  <c r="F205" i="143"/>
  <c r="F206" i="143" s="1"/>
  <c r="D30" i="208"/>
  <c r="C111" i="196"/>
  <c r="C150" i="196"/>
  <c r="C262" i="211"/>
  <c r="C63" i="212" s="1"/>
  <c r="G63" i="212" s="1"/>
  <c r="C237" i="211"/>
  <c r="D31" i="208"/>
  <c r="C111" i="197"/>
  <c r="C150" i="197"/>
  <c r="C272" i="211"/>
  <c r="C73" i="212" s="1"/>
  <c r="G73" i="212" s="1"/>
  <c r="C247" i="211"/>
  <c r="F155" i="135"/>
  <c r="F205" i="142"/>
  <c r="F206" i="142" s="1"/>
  <c r="F230" i="142"/>
  <c r="F264" i="142" s="1"/>
  <c r="F171" i="150"/>
  <c r="F172" i="150" s="1"/>
  <c r="H25" i="208"/>
  <c r="F121" i="138"/>
  <c r="F282" i="138" s="1"/>
  <c r="F20" i="132" s="1"/>
  <c r="F213" i="138"/>
  <c r="C93" i="95"/>
  <c r="D120" i="95" s="1"/>
  <c r="I68" i="218"/>
  <c r="I58" i="212"/>
  <c r="J93" i="95" s="1"/>
  <c r="F230" i="143"/>
  <c r="F264" i="143" s="1"/>
  <c r="F54" i="141"/>
  <c r="F213" i="151"/>
  <c r="F121" i="151"/>
  <c r="F282" i="151" s="1"/>
  <c r="F33" i="132" s="1"/>
  <c r="F189" i="162"/>
  <c r="C256" i="211"/>
  <c r="C57" i="212" s="1"/>
  <c r="G57" i="212" s="1"/>
  <c r="C231" i="211"/>
  <c r="F145" i="148"/>
  <c r="F179" i="148"/>
  <c r="F189" i="148" s="1"/>
  <c r="F111" i="148"/>
  <c r="F87" i="148"/>
  <c r="F88" i="148" s="1"/>
  <c r="F112" i="139"/>
  <c r="F146" i="139"/>
  <c r="F180" i="139"/>
  <c r="F121" i="150"/>
  <c r="F282" i="150" s="1"/>
  <c r="F32" i="132" s="1"/>
  <c r="F214" i="150"/>
  <c r="F248" i="150" s="1"/>
  <c r="C111" i="199"/>
  <c r="C150" i="199"/>
  <c r="D33" i="208"/>
  <c r="F229" i="151"/>
  <c r="F205" i="151"/>
  <c r="F206" i="151" s="1"/>
  <c r="C111" i="191"/>
  <c r="D25" i="208"/>
  <c r="F190" i="144"/>
  <c r="C243" i="211"/>
  <c r="C268" i="211"/>
  <c r="C69" i="212" s="1"/>
  <c r="G69" i="212" s="1"/>
  <c r="F156" i="146"/>
  <c r="F213" i="142"/>
  <c r="F229" i="144"/>
  <c r="F213" i="143"/>
  <c r="F121" i="143"/>
  <c r="F282" i="143" s="1"/>
  <c r="F25" i="132" s="1"/>
  <c r="C253" i="211"/>
  <c r="C54" i="212" s="1"/>
  <c r="C228" i="211"/>
  <c r="K477" i="217"/>
  <c r="F196" i="139"/>
  <c r="F128" i="139"/>
  <c r="F162" i="139"/>
  <c r="F281" i="136"/>
  <c r="F18" i="133" s="1"/>
  <c r="F214" i="151"/>
  <c r="F248" i="151" s="1"/>
  <c r="F214" i="162"/>
  <c r="F248" i="162" s="1"/>
  <c r="C28" i="209"/>
  <c r="C260" i="209" s="1"/>
  <c r="C29" i="210" s="1"/>
  <c r="C68" i="211" s="1"/>
  <c r="G32" i="208"/>
  <c r="F180" i="145"/>
  <c r="F112" i="145"/>
  <c r="F146" i="145"/>
  <c r="F155" i="145" s="1"/>
  <c r="F205" i="144"/>
  <c r="F206" i="144" s="1"/>
  <c r="F230" i="144"/>
  <c r="F264" i="144" s="1"/>
  <c r="F112" i="134"/>
  <c r="F146" i="134"/>
  <c r="F180" i="134"/>
  <c r="F103" i="137"/>
  <c r="F104" i="137" s="1"/>
  <c r="F195" i="137"/>
  <c r="F127" i="137"/>
  <c r="F161" i="137"/>
  <c r="F171" i="137" s="1"/>
  <c r="F172" i="137" s="1"/>
  <c r="F156" i="150"/>
  <c r="F137" i="86"/>
  <c r="F138" i="86" s="1"/>
  <c r="F171" i="86"/>
  <c r="F172" i="86" s="1"/>
  <c r="K588" i="217"/>
  <c r="F214" i="86"/>
  <c r="F248" i="86" s="1"/>
  <c r="F190" i="86"/>
  <c r="K417" i="217"/>
  <c r="E15" i="208"/>
  <c r="C37" i="205"/>
  <c r="D20" i="208"/>
  <c r="C111" i="186"/>
  <c r="F230" i="86"/>
  <c r="F264" i="86" s="1"/>
  <c r="E77" i="95"/>
  <c r="AD35" i="95"/>
  <c r="K622" i="217"/>
  <c r="K626" i="217" s="1"/>
  <c r="K359" i="217"/>
  <c r="F122" i="86"/>
  <c r="F20" i="208"/>
  <c r="F229" i="86"/>
  <c r="F205" i="86"/>
  <c r="F206" i="86" s="1"/>
  <c r="F156" i="86"/>
  <c r="C17" i="210"/>
  <c r="C56" i="211" s="1"/>
  <c r="F247" i="86"/>
  <c r="F122" i="162" l="1"/>
  <c r="F214" i="134"/>
  <c r="F248" i="134" s="1"/>
  <c r="F230" i="141"/>
  <c r="F264" i="141" s="1"/>
  <c r="F214" i="148"/>
  <c r="F248" i="148" s="1"/>
  <c r="F39" i="208"/>
  <c r="C36" i="206"/>
  <c r="K446" i="217" s="1"/>
  <c r="K483" i="217" s="1"/>
  <c r="F122" i="142"/>
  <c r="F281" i="162"/>
  <c r="F24" i="133" s="1"/>
  <c r="F189" i="141"/>
  <c r="F156" i="151"/>
  <c r="F122" i="138"/>
  <c r="F280" i="149"/>
  <c r="F31" i="131" s="1"/>
  <c r="F282" i="146"/>
  <c r="F28" i="132" s="1"/>
  <c r="F280" i="141"/>
  <c r="F22" i="131" s="1"/>
  <c r="I34" i="208"/>
  <c r="F214" i="137"/>
  <c r="F248" i="137" s="1"/>
  <c r="I25" i="208"/>
  <c r="F281" i="142"/>
  <c r="F23" i="133" s="1"/>
  <c r="F121" i="145"/>
  <c r="F214" i="145"/>
  <c r="F248" i="145" s="1"/>
  <c r="C241" i="211"/>
  <c r="C266" i="211"/>
  <c r="C67" i="212" s="1"/>
  <c r="G67" i="212" s="1"/>
  <c r="F223" i="142"/>
  <c r="F224" i="142" s="1"/>
  <c r="F247" i="142"/>
  <c r="F257" i="142" s="1"/>
  <c r="F258" i="142" s="1"/>
  <c r="F239" i="151"/>
  <c r="F240" i="151" s="1"/>
  <c r="F263" i="151"/>
  <c r="F273" i="151" s="1"/>
  <c r="F274" i="151" s="1"/>
  <c r="F213" i="148"/>
  <c r="F121" i="148"/>
  <c r="F282" i="148" s="1"/>
  <c r="F30" i="132" s="1"/>
  <c r="I67" i="218"/>
  <c r="C92" i="95"/>
  <c r="D119" i="95" s="1"/>
  <c r="I57" i="212"/>
  <c r="J92" i="95" s="1"/>
  <c r="F223" i="138"/>
  <c r="F247" i="138"/>
  <c r="F257" i="138" s="1"/>
  <c r="F258" i="138" s="1"/>
  <c r="F224" i="138"/>
  <c r="C113" i="196"/>
  <c r="C115" i="196" s="1"/>
  <c r="C112" i="196"/>
  <c r="F229" i="149"/>
  <c r="F205" i="149"/>
  <c r="F206" i="149" s="1"/>
  <c r="H36" i="208"/>
  <c r="K36" i="208" s="1"/>
  <c r="F263" i="138"/>
  <c r="F273" i="138" s="1"/>
  <c r="F274" i="138" s="1"/>
  <c r="F239" i="138"/>
  <c r="F240" i="138" s="1"/>
  <c r="C112" i="204"/>
  <c r="C113" i="204"/>
  <c r="C115" i="204" s="1"/>
  <c r="C113" i="194"/>
  <c r="C115" i="194" s="1"/>
  <c r="C112" i="194"/>
  <c r="F239" i="142"/>
  <c r="F240" i="142" s="1"/>
  <c r="F263" i="142"/>
  <c r="F273" i="142" s="1"/>
  <c r="F274" i="142" s="1"/>
  <c r="D24" i="208"/>
  <c r="C111" i="190"/>
  <c r="F281" i="140"/>
  <c r="F14" i="133" s="1"/>
  <c r="L211" i="217" s="1"/>
  <c r="F190" i="140"/>
  <c r="F205" i="134"/>
  <c r="F206" i="134" s="1"/>
  <c r="F229" i="134"/>
  <c r="F239" i="147"/>
  <c r="F240" i="147" s="1"/>
  <c r="F263" i="147"/>
  <c r="F273" i="147" s="1"/>
  <c r="F274" i="147" s="1"/>
  <c r="F156" i="143"/>
  <c r="F280" i="143"/>
  <c r="F25" i="131" s="1"/>
  <c r="F239" i="146"/>
  <c r="F240" i="146" s="1"/>
  <c r="F263" i="146"/>
  <c r="F273" i="146" s="1"/>
  <c r="F274" i="146" s="1"/>
  <c r="F205" i="145"/>
  <c r="F206" i="145" s="1"/>
  <c r="F230" i="145"/>
  <c r="F264" i="145" s="1"/>
  <c r="F121" i="139"/>
  <c r="F122" i="139" s="1"/>
  <c r="F213" i="139"/>
  <c r="F223" i="162"/>
  <c r="F247" i="162"/>
  <c r="F257" i="162" s="1"/>
  <c r="F258" i="162" s="1"/>
  <c r="C112" i="200"/>
  <c r="C113" i="200"/>
  <c r="C115" i="200" s="1"/>
  <c r="C112" i="185"/>
  <c r="C113" i="185"/>
  <c r="C115" i="185" s="1"/>
  <c r="F171" i="139"/>
  <c r="F172" i="139" s="1"/>
  <c r="C230" i="211"/>
  <c r="C255" i="211"/>
  <c r="C56" i="212" s="1"/>
  <c r="G56" i="212" s="1"/>
  <c r="C111" i="193"/>
  <c r="D27" i="208"/>
  <c r="C111" i="192"/>
  <c r="D26" i="208"/>
  <c r="F213" i="141"/>
  <c r="F121" i="141"/>
  <c r="F282" i="141" s="1"/>
  <c r="F22" i="132" s="1"/>
  <c r="F156" i="149"/>
  <c r="F229" i="141"/>
  <c r="F205" i="141"/>
  <c r="F206" i="141" s="1"/>
  <c r="F189" i="145"/>
  <c r="F281" i="145" s="1"/>
  <c r="F27" i="133" s="1"/>
  <c r="F223" i="143"/>
  <c r="F224" i="143" s="1"/>
  <c r="F247" i="143"/>
  <c r="F257" i="143" s="1"/>
  <c r="F258" i="143" s="1"/>
  <c r="F214" i="139"/>
  <c r="F248" i="139" s="1"/>
  <c r="F190" i="148"/>
  <c r="F190" i="162"/>
  <c r="F223" i="151"/>
  <c r="F279" i="151" s="1"/>
  <c r="F247" i="151"/>
  <c r="F257" i="151" s="1"/>
  <c r="F258" i="151" s="1"/>
  <c r="C108" i="95"/>
  <c r="D135" i="95" s="1"/>
  <c r="I83" i="218"/>
  <c r="I73" i="212"/>
  <c r="J108" i="95" s="1"/>
  <c r="D89" i="208"/>
  <c r="K24" i="208"/>
  <c r="I24" i="208"/>
  <c r="F230" i="137"/>
  <c r="F264" i="137" s="1"/>
  <c r="D32" i="208"/>
  <c r="C111" i="198"/>
  <c r="C245" i="211"/>
  <c r="C270" i="211"/>
  <c r="C71" i="212" s="1"/>
  <c r="G71" i="212" s="1"/>
  <c r="K19" i="208"/>
  <c r="F122" i="144"/>
  <c r="F263" i="145"/>
  <c r="F273" i="145" s="1"/>
  <c r="F274" i="145" s="1"/>
  <c r="C260" i="211"/>
  <c r="C61" i="212" s="1"/>
  <c r="G61" i="212" s="1"/>
  <c r="C235" i="211"/>
  <c r="F214" i="141"/>
  <c r="F248" i="141" s="1"/>
  <c r="F155" i="137"/>
  <c r="F280" i="137" s="1"/>
  <c r="F19" i="131" s="1"/>
  <c r="F156" i="137"/>
  <c r="F189" i="134"/>
  <c r="F281" i="134" s="1"/>
  <c r="F16" i="133" s="1"/>
  <c r="F156" i="145"/>
  <c r="F122" i="146"/>
  <c r="F171" i="145"/>
  <c r="F172" i="145" s="1"/>
  <c r="H27" i="208"/>
  <c r="F122" i="135"/>
  <c r="F281" i="146"/>
  <c r="F28" i="133" s="1"/>
  <c r="F224" i="136"/>
  <c r="F279" i="136"/>
  <c r="F282" i="140"/>
  <c r="F122" i="140"/>
  <c r="F230" i="134"/>
  <c r="F264" i="134" s="1"/>
  <c r="F137" i="139"/>
  <c r="F138" i="139" s="1"/>
  <c r="C112" i="203"/>
  <c r="C113" i="203"/>
  <c r="C115" i="203" s="1"/>
  <c r="H21" i="208"/>
  <c r="K21" i="208" s="1"/>
  <c r="F190" i="141"/>
  <c r="F213" i="149"/>
  <c r="F121" i="149"/>
  <c r="F282" i="149" s="1"/>
  <c r="F31" i="132" s="1"/>
  <c r="F280" i="142"/>
  <c r="F23" i="131" s="1"/>
  <c r="G31" i="208"/>
  <c r="D85" i="208"/>
  <c r="C27" i="209"/>
  <c r="C259" i="209" s="1"/>
  <c r="C28" i="210" s="1"/>
  <c r="C67" i="211" s="1"/>
  <c r="F137" i="137"/>
  <c r="F138" i="137" s="1"/>
  <c r="D86" i="208"/>
  <c r="F230" i="139"/>
  <c r="F264" i="139" s="1"/>
  <c r="G54" i="212"/>
  <c r="C77" i="212"/>
  <c r="F239" i="144"/>
  <c r="F240" i="144" s="1"/>
  <c r="F263" i="144"/>
  <c r="F273" i="144" s="1"/>
  <c r="F274" i="144" s="1"/>
  <c r="I79" i="218"/>
  <c r="C104" i="95"/>
  <c r="D131" i="95" s="1"/>
  <c r="I69" i="212"/>
  <c r="J104" i="95" s="1"/>
  <c r="C113" i="191"/>
  <c r="C115" i="191" s="1"/>
  <c r="C112" i="191"/>
  <c r="F155" i="148"/>
  <c r="F280" i="148" s="1"/>
  <c r="F30" i="131" s="1"/>
  <c r="K25" i="208"/>
  <c r="I63" i="212"/>
  <c r="J98" i="95" s="1"/>
  <c r="I73" i="218"/>
  <c r="C98" i="95"/>
  <c r="D125" i="95" s="1"/>
  <c r="H35" i="208"/>
  <c r="K35" i="208"/>
  <c r="H26" i="208"/>
  <c r="I26" i="208" s="1"/>
  <c r="F156" i="162"/>
  <c r="F281" i="141"/>
  <c r="F22" i="133" s="1"/>
  <c r="F281" i="138"/>
  <c r="F20" i="133" s="1"/>
  <c r="F190" i="135"/>
  <c r="F214" i="149"/>
  <c r="F248" i="149" s="1"/>
  <c r="F213" i="137"/>
  <c r="F121" i="137"/>
  <c r="F122" i="150"/>
  <c r="F155" i="134"/>
  <c r="F137" i="134"/>
  <c r="F138" i="134" s="1"/>
  <c r="C111" i="202"/>
  <c r="D36" i="208"/>
  <c r="F239" i="162"/>
  <c r="F240" i="162" s="1"/>
  <c r="F263" i="162"/>
  <c r="F273" i="162" s="1"/>
  <c r="F274" i="162" s="1"/>
  <c r="F230" i="148"/>
  <c r="F264" i="148" s="1"/>
  <c r="F223" i="146"/>
  <c r="F247" i="146"/>
  <c r="F257" i="146" s="1"/>
  <c r="F258" i="146" s="1"/>
  <c r="F280" i="144"/>
  <c r="F26" i="131" s="1"/>
  <c r="F239" i="135"/>
  <c r="F240" i="135" s="1"/>
  <c r="F263" i="135"/>
  <c r="F273" i="135" s="1"/>
  <c r="F274" i="135" s="1"/>
  <c r="C236" i="211"/>
  <c r="C261" i="211"/>
  <c r="C62" i="212" s="1"/>
  <c r="G62" i="212" s="1"/>
  <c r="F189" i="139"/>
  <c r="F190" i="139" s="1"/>
  <c r="F223" i="135"/>
  <c r="F224" i="135" s="1"/>
  <c r="F247" i="135"/>
  <c r="F257" i="135" s="1"/>
  <c r="F258" i="135" s="1"/>
  <c r="C156" i="197"/>
  <c r="F281" i="144"/>
  <c r="F26" i="133" s="1"/>
  <c r="F239" i="150"/>
  <c r="F240" i="150" s="1"/>
  <c r="F263" i="150"/>
  <c r="F273" i="150" s="1"/>
  <c r="F274" i="150" s="1"/>
  <c r="H13" i="208"/>
  <c r="F14" i="208" s="1"/>
  <c r="F223" i="140"/>
  <c r="F247" i="140"/>
  <c r="F257" i="140" s="1"/>
  <c r="F258" i="140" s="1"/>
  <c r="F229" i="139"/>
  <c r="F205" i="139"/>
  <c r="F206" i="139" s="1"/>
  <c r="F281" i="143"/>
  <c r="F25" i="133" s="1"/>
  <c r="F280" i="147"/>
  <c r="F29" i="131" s="1"/>
  <c r="F239" i="140"/>
  <c r="F240" i="140" s="1"/>
  <c r="F263" i="140"/>
  <c r="F273" i="140" s="1"/>
  <c r="F274" i="140" s="1"/>
  <c r="I22" i="208"/>
  <c r="I72" i="212"/>
  <c r="J107" i="95" s="1"/>
  <c r="C107" i="95"/>
  <c r="D134" i="95" s="1"/>
  <c r="I82" i="218"/>
  <c r="F156" i="141"/>
  <c r="C99" i="95"/>
  <c r="D126" i="95" s="1"/>
  <c r="I64" i="212"/>
  <c r="J99" i="95" s="1"/>
  <c r="I74" i="218"/>
  <c r="F190" i="149"/>
  <c r="I28" i="208"/>
  <c r="F205" i="137"/>
  <c r="F206" i="137" s="1"/>
  <c r="F229" i="137"/>
  <c r="H32" i="208"/>
  <c r="I32" i="208" s="1"/>
  <c r="K473" i="217"/>
  <c r="F122" i="143"/>
  <c r="C113" i="199"/>
  <c r="C115" i="199" s="1"/>
  <c r="C112" i="199"/>
  <c r="F122" i="151"/>
  <c r="F156" i="135"/>
  <c r="F280" i="135"/>
  <c r="F17" i="131" s="1"/>
  <c r="C112" i="197"/>
  <c r="C113" i="197"/>
  <c r="C115" i="197" s="1"/>
  <c r="F239" i="143"/>
  <c r="F240" i="143" s="1"/>
  <c r="F263" i="143"/>
  <c r="F273" i="143" s="1"/>
  <c r="F274" i="143" s="1"/>
  <c r="C269" i="211"/>
  <c r="C70" i="212" s="1"/>
  <c r="G70" i="212" s="1"/>
  <c r="C244" i="211"/>
  <c r="F223" i="147"/>
  <c r="F224" i="147" s="1"/>
  <c r="F247" i="147"/>
  <c r="F257" i="147" s="1"/>
  <c r="F258" i="147" s="1"/>
  <c r="C258" i="211"/>
  <c r="C59" i="212" s="1"/>
  <c r="G59" i="212" s="1"/>
  <c r="C233" i="211"/>
  <c r="F280" i="140"/>
  <c r="F14" i="131" s="1"/>
  <c r="L152" i="217" s="1"/>
  <c r="L181" i="217" s="1"/>
  <c r="F156" i="140"/>
  <c r="C113" i="195"/>
  <c r="C115" i="195" s="1"/>
  <c r="C112" i="195"/>
  <c r="F229" i="148"/>
  <c r="F205" i="148"/>
  <c r="F206" i="148" s="1"/>
  <c r="F190" i="142"/>
  <c r="F223" i="144"/>
  <c r="F279" i="144" s="1"/>
  <c r="F247" i="144"/>
  <c r="F257" i="144" s="1"/>
  <c r="F258" i="144" s="1"/>
  <c r="F280" i="150"/>
  <c r="F32" i="131" s="1"/>
  <c r="C95" i="95"/>
  <c r="D122" i="95" s="1"/>
  <c r="I70" i="218"/>
  <c r="I60" i="212"/>
  <c r="J95" i="95" s="1"/>
  <c r="F189" i="137"/>
  <c r="F281" i="137" s="1"/>
  <c r="F19" i="133" s="1"/>
  <c r="F223" i="150"/>
  <c r="F247" i="150"/>
  <c r="F257" i="150" s="1"/>
  <c r="F258" i="150" s="1"/>
  <c r="F213" i="134"/>
  <c r="F121" i="134"/>
  <c r="F282" i="134" s="1"/>
  <c r="F16" i="132" s="1"/>
  <c r="F213" i="145"/>
  <c r="F122" i="145"/>
  <c r="C112" i="188"/>
  <c r="C113" i="188"/>
  <c r="C115" i="188" s="1"/>
  <c r="D21" i="208"/>
  <c r="C111" i="187"/>
  <c r="F137" i="145"/>
  <c r="F138" i="145" s="1"/>
  <c r="F281" i="147"/>
  <c r="F29" i="133" s="1"/>
  <c r="C156" i="199"/>
  <c r="F155" i="139"/>
  <c r="I29" i="208"/>
  <c r="D35" i="208"/>
  <c r="C111" i="201"/>
  <c r="C114" i="189"/>
  <c r="C116" i="189" s="1"/>
  <c r="C118" i="189" s="1"/>
  <c r="C117" i="189"/>
  <c r="K34" i="208"/>
  <c r="D75" i="208"/>
  <c r="F281" i="151"/>
  <c r="F33" i="133" s="1"/>
  <c r="F156" i="138"/>
  <c r="C156" i="196"/>
  <c r="C26" i="209"/>
  <c r="C258" i="209" s="1"/>
  <c r="G30" i="208"/>
  <c r="D84" i="208"/>
  <c r="C36" i="207"/>
  <c r="D87" i="208"/>
  <c r="G33" i="208"/>
  <c r="C29" i="209"/>
  <c r="C261" i="209" s="1"/>
  <c r="F280" i="86"/>
  <c r="F282" i="86"/>
  <c r="F15" i="132" s="1"/>
  <c r="F257" i="86"/>
  <c r="F258" i="86" s="1"/>
  <c r="F223" i="86"/>
  <c r="C229" i="211"/>
  <c r="C254" i="211"/>
  <c r="F15" i="131"/>
  <c r="F224" i="86"/>
  <c r="C37" i="206"/>
  <c r="H20" i="208"/>
  <c r="C113" i="186"/>
  <c r="C115" i="186" s="1"/>
  <c r="C112" i="186"/>
  <c r="F239" i="86"/>
  <c r="F240" i="86" s="1"/>
  <c r="F263" i="86"/>
  <c r="F273" i="86" s="1"/>
  <c r="F274" i="86" s="1"/>
  <c r="F281" i="86"/>
  <c r="F15" i="133" s="1"/>
  <c r="F224" i="144" l="1"/>
  <c r="F190" i="134"/>
  <c r="F15" i="208"/>
  <c r="F279" i="150"/>
  <c r="F280" i="145"/>
  <c r="F27" i="131" s="1"/>
  <c r="F279" i="146"/>
  <c r="F294" i="146" s="1"/>
  <c r="F224" i="151"/>
  <c r="F279" i="147"/>
  <c r="F282" i="137"/>
  <c r="F19" i="132" s="1"/>
  <c r="F281" i="149"/>
  <c r="F31" i="133" s="1"/>
  <c r="I27" i="208"/>
  <c r="K32" i="208"/>
  <c r="F122" i="137"/>
  <c r="F122" i="149"/>
  <c r="F122" i="148"/>
  <c r="D39" i="208"/>
  <c r="F224" i="146"/>
  <c r="C27" i="210"/>
  <c r="C66" i="211" s="1"/>
  <c r="C267" i="209"/>
  <c r="C36" i="210" s="1"/>
  <c r="C75" i="211" s="1"/>
  <c r="C112" i="201"/>
  <c r="C113" i="201"/>
  <c r="C115" i="201" s="1"/>
  <c r="F223" i="145"/>
  <c r="F247" i="145"/>
  <c r="F257" i="145" s="1"/>
  <c r="F258" i="145" s="1"/>
  <c r="F190" i="137"/>
  <c r="F283" i="144"/>
  <c r="F294" i="144"/>
  <c r="F26" i="130"/>
  <c r="C117" i="195"/>
  <c r="C114" i="195"/>
  <c r="C116" i="195" s="1"/>
  <c r="C118" i="195" s="1"/>
  <c r="F283" i="147"/>
  <c r="F294" i="147"/>
  <c r="F29" i="130"/>
  <c r="I72" i="218"/>
  <c r="I62" i="212"/>
  <c r="J97" i="95" s="1"/>
  <c r="C97" i="95"/>
  <c r="D124" i="95" s="1"/>
  <c r="C113" i="202"/>
  <c r="C115" i="202" s="1"/>
  <c r="C112" i="202"/>
  <c r="I35" i="208"/>
  <c r="F18" i="130"/>
  <c r="F294" i="136"/>
  <c r="F283" i="136"/>
  <c r="C96" i="95"/>
  <c r="D123" i="95" s="1"/>
  <c r="I71" i="218"/>
  <c r="I61" i="212"/>
  <c r="J96" i="95" s="1"/>
  <c r="C106" i="95"/>
  <c r="D133" i="95" s="1"/>
  <c r="I81" i="218"/>
  <c r="I71" i="212"/>
  <c r="J106" i="95" s="1"/>
  <c r="F279" i="143"/>
  <c r="C91" i="95"/>
  <c r="D118" i="95" s="1"/>
  <c r="I66" i="218"/>
  <c r="I84" i="218" s="1"/>
  <c r="I56" i="212"/>
  <c r="J91" i="95" s="1"/>
  <c r="C114" i="185"/>
  <c r="C117" i="185"/>
  <c r="F224" i="162"/>
  <c r="F279" i="162"/>
  <c r="F239" i="134"/>
  <c r="F240" i="134" s="1"/>
  <c r="F263" i="134"/>
  <c r="F273" i="134" s="1"/>
  <c r="F274" i="134" s="1"/>
  <c r="L240" i="217"/>
  <c r="C114" i="204"/>
  <c r="C116" i="204" s="1"/>
  <c r="C118" i="204" s="1"/>
  <c r="C117" i="204"/>
  <c r="C117" i="196"/>
  <c r="C114" i="196"/>
  <c r="C116" i="196" s="1"/>
  <c r="C118" i="196" s="1"/>
  <c r="F279" i="138"/>
  <c r="I67" i="212"/>
  <c r="J102" i="95" s="1"/>
  <c r="C102" i="95"/>
  <c r="D129" i="95" s="1"/>
  <c r="I77" i="218"/>
  <c r="K388" i="217"/>
  <c r="K481" i="217" s="1"/>
  <c r="C37" i="207"/>
  <c r="D93" i="208" s="1"/>
  <c r="G15" i="208"/>
  <c r="H15" i="208" s="1"/>
  <c r="G16" i="208" s="1"/>
  <c r="F122" i="134"/>
  <c r="F224" i="150"/>
  <c r="C94" i="95"/>
  <c r="D121" i="95" s="1"/>
  <c r="I69" i="218"/>
  <c r="I59" i="212"/>
  <c r="J94" i="95" s="1"/>
  <c r="F239" i="137"/>
  <c r="F240" i="137" s="1"/>
  <c r="F263" i="137"/>
  <c r="F273" i="137" s="1"/>
  <c r="F274" i="137" s="1"/>
  <c r="F279" i="140"/>
  <c r="F224" i="140"/>
  <c r="F279" i="135"/>
  <c r="K26" i="208"/>
  <c r="F156" i="148"/>
  <c r="H31" i="208"/>
  <c r="I31" i="208" s="1"/>
  <c r="F223" i="149"/>
  <c r="F224" i="149" s="1"/>
  <c r="F247" i="149"/>
  <c r="F257" i="149" s="1"/>
  <c r="F258" i="149" s="1"/>
  <c r="I21" i="208"/>
  <c r="K27" i="208"/>
  <c r="F283" i="151"/>
  <c r="F294" i="151"/>
  <c r="F33" i="130"/>
  <c r="F122" i="141"/>
  <c r="C113" i="192"/>
  <c r="C115" i="192" s="1"/>
  <c r="C112" i="192"/>
  <c r="C113" i="190"/>
  <c r="C115" i="190" s="1"/>
  <c r="C112" i="190"/>
  <c r="C114" i="194"/>
  <c r="C116" i="194" s="1"/>
  <c r="C118" i="194" s="1"/>
  <c r="C117" i="194"/>
  <c r="F239" i="145"/>
  <c r="F240" i="145" s="1"/>
  <c r="I36" i="208"/>
  <c r="C48" i="212"/>
  <c r="C111" i="95" s="1"/>
  <c r="D139" i="95" s="1"/>
  <c r="C30" i="210"/>
  <c r="C69" i="211" s="1"/>
  <c r="C117" i="188"/>
  <c r="C114" i="188"/>
  <c r="C116" i="188" s="1"/>
  <c r="C118" i="188" s="1"/>
  <c r="F283" i="150"/>
  <c r="F32" i="130"/>
  <c r="F294" i="150"/>
  <c r="I80" i="218"/>
  <c r="I70" i="212"/>
  <c r="J105" i="95" s="1"/>
  <c r="C105" i="95"/>
  <c r="D132" i="95" s="1"/>
  <c r="C114" i="197"/>
  <c r="C116" i="197" s="1"/>
  <c r="C118" i="197" s="1"/>
  <c r="C117" i="197"/>
  <c r="C117" i="199"/>
  <c r="C114" i="199"/>
  <c r="C116" i="199" s="1"/>
  <c r="C118" i="199" s="1"/>
  <c r="G14" i="208"/>
  <c r="E14" i="208"/>
  <c r="F156" i="134"/>
  <c r="F280" i="134"/>
  <c r="F16" i="131" s="1"/>
  <c r="F223" i="137"/>
  <c r="F279" i="137" s="1"/>
  <c r="F247" i="137"/>
  <c r="F257" i="137" s="1"/>
  <c r="F258" i="137" s="1"/>
  <c r="C112" i="198"/>
  <c r="C113" i="198"/>
  <c r="C115" i="198" s="1"/>
  <c r="C114" i="200"/>
  <c r="C116" i="200" s="1"/>
  <c r="C118" i="200" s="1"/>
  <c r="C117" i="200"/>
  <c r="F223" i="139"/>
  <c r="F247" i="139"/>
  <c r="F257" i="139" s="1"/>
  <c r="F258" i="139" s="1"/>
  <c r="F190" i="145"/>
  <c r="F223" i="148"/>
  <c r="F247" i="148"/>
  <c r="F257" i="148" s="1"/>
  <c r="F258" i="148" s="1"/>
  <c r="H33" i="208"/>
  <c r="I33" i="208" s="1"/>
  <c r="H30" i="208"/>
  <c r="I30" i="208" s="1"/>
  <c r="G39" i="208"/>
  <c r="F156" i="139"/>
  <c r="F280" i="139"/>
  <c r="F21" i="131" s="1"/>
  <c r="C112" i="187"/>
  <c r="C113" i="187"/>
  <c r="C115" i="187" s="1"/>
  <c r="F223" i="134"/>
  <c r="F279" i="134" s="1"/>
  <c r="F247" i="134"/>
  <c r="F257" i="134" s="1"/>
  <c r="F258" i="134" s="1"/>
  <c r="F239" i="148"/>
  <c r="F240" i="148" s="1"/>
  <c r="F263" i="148"/>
  <c r="F273" i="148" s="1"/>
  <c r="F274" i="148" s="1"/>
  <c r="F239" i="139"/>
  <c r="F240" i="139" s="1"/>
  <c r="F263" i="139"/>
  <c r="F273" i="139" s="1"/>
  <c r="F274" i="139" s="1"/>
  <c r="F281" i="139"/>
  <c r="F21" i="133" s="1"/>
  <c r="C114" i="191"/>
  <c r="C116" i="191" s="1"/>
  <c r="C118" i="191" s="1"/>
  <c r="C117" i="191"/>
  <c r="I64" i="218"/>
  <c r="C89" i="95"/>
  <c r="D116" i="95" s="1"/>
  <c r="G77" i="212"/>
  <c r="I54" i="212"/>
  <c r="J89" i="95" s="1"/>
  <c r="C240" i="211"/>
  <c r="C265" i="211"/>
  <c r="C66" i="212" s="1"/>
  <c r="G66" i="212" s="1"/>
  <c r="C114" i="203"/>
  <c r="C116" i="203" s="1"/>
  <c r="C118" i="203" s="1"/>
  <c r="C117" i="203"/>
  <c r="F14" i="132"/>
  <c r="L88" i="217" s="1"/>
  <c r="L270" i="217" s="1"/>
  <c r="F283" i="140"/>
  <c r="F281" i="148"/>
  <c r="F30" i="133" s="1"/>
  <c r="F239" i="141"/>
  <c r="F240" i="141" s="1"/>
  <c r="F263" i="141"/>
  <c r="F273" i="141" s="1"/>
  <c r="F274" i="141" s="1"/>
  <c r="F223" i="141"/>
  <c r="F224" i="141" s="1"/>
  <c r="F247" i="141"/>
  <c r="F257" i="141" s="1"/>
  <c r="F258" i="141" s="1"/>
  <c r="C113" i="193"/>
  <c r="C115" i="193" s="1"/>
  <c r="C112" i="193"/>
  <c r="C116" i="185"/>
  <c r="C118" i="185" s="1"/>
  <c r="F282" i="139"/>
  <c r="F21" i="132" s="1"/>
  <c r="F239" i="149"/>
  <c r="F240" i="149" s="1"/>
  <c r="F263" i="149"/>
  <c r="F273" i="149" s="1"/>
  <c r="F274" i="149" s="1"/>
  <c r="F279" i="142"/>
  <c r="F282" i="145"/>
  <c r="F27" i="132" s="1"/>
  <c r="K475" i="217"/>
  <c r="E16" i="208"/>
  <c r="I20" i="208"/>
  <c r="K20" i="208"/>
  <c r="C117" i="186"/>
  <c r="C114" i="186"/>
  <c r="C116" i="186" s="1"/>
  <c r="C118" i="186" s="1"/>
  <c r="F16" i="208"/>
  <c r="F279" i="86"/>
  <c r="F283" i="86" s="1"/>
  <c r="C55" i="212"/>
  <c r="H16" i="208" l="1"/>
  <c r="H39" i="208"/>
  <c r="I39" i="208" s="1"/>
  <c r="F283" i="146"/>
  <c r="F28" i="130"/>
  <c r="F34" i="133"/>
  <c r="L213" i="217" s="1"/>
  <c r="L242" i="217" s="1"/>
  <c r="F34" i="131"/>
  <c r="L154" i="217" s="1"/>
  <c r="L183" i="217" s="1"/>
  <c r="F279" i="139"/>
  <c r="L618" i="217"/>
  <c r="L299" i="217"/>
  <c r="F14" i="130"/>
  <c r="F12" i="130" s="1"/>
  <c r="F294" i="140"/>
  <c r="F294" i="138"/>
  <c r="F20" i="130"/>
  <c r="F283" i="138"/>
  <c r="F294" i="143"/>
  <c r="F25" i="130"/>
  <c r="F283" i="143"/>
  <c r="F371" i="136"/>
  <c r="F331" i="136"/>
  <c r="F296" i="136"/>
  <c r="C114" i="201"/>
  <c r="C116" i="201" s="1"/>
  <c r="C118" i="201" s="1"/>
  <c r="C117" i="201"/>
  <c r="F279" i="148"/>
  <c r="C117" i="198"/>
  <c r="C114" i="198"/>
  <c r="C116" i="198" s="1"/>
  <c r="C118" i="198" s="1"/>
  <c r="C117" i="193"/>
  <c r="C114" i="193"/>
  <c r="C116" i="193" s="1"/>
  <c r="C118" i="193" s="1"/>
  <c r="F279" i="141"/>
  <c r="I66" i="212"/>
  <c r="J101" i="95" s="1"/>
  <c r="C101" i="95"/>
  <c r="D128" i="95" s="1"/>
  <c r="I76" i="218"/>
  <c r="C117" i="187"/>
  <c r="C114" i="187"/>
  <c r="C116" i="187" s="1"/>
  <c r="C118" i="187" s="1"/>
  <c r="K30" i="208"/>
  <c r="F34" i="132"/>
  <c r="L90" i="217" s="1"/>
  <c r="L121" i="217" s="1"/>
  <c r="F296" i="150"/>
  <c r="F371" i="150"/>
  <c r="C114" i="190"/>
  <c r="C116" i="190" s="1"/>
  <c r="C118" i="190" s="1"/>
  <c r="C117" i="190"/>
  <c r="F279" i="149"/>
  <c r="F24" i="130"/>
  <c r="F283" i="162"/>
  <c r="F294" i="162"/>
  <c r="F371" i="147"/>
  <c r="F296" i="147"/>
  <c r="F21" i="130"/>
  <c r="F294" i="139"/>
  <c r="F283" i="139"/>
  <c r="L119" i="217"/>
  <c r="F224" i="134"/>
  <c r="F224" i="137"/>
  <c r="H14" i="208"/>
  <c r="C242" i="211"/>
  <c r="C267" i="211"/>
  <c r="K31" i="208"/>
  <c r="F17" i="130"/>
  <c r="F283" i="135"/>
  <c r="F294" i="135"/>
  <c r="F371" i="144"/>
  <c r="F296" i="144"/>
  <c r="F224" i="145"/>
  <c r="F279" i="145"/>
  <c r="C264" i="211"/>
  <c r="C239" i="211"/>
  <c r="F294" i="142"/>
  <c r="F23" i="130"/>
  <c r="F283" i="142"/>
  <c r="F371" i="146"/>
  <c r="F296" i="146"/>
  <c r="F283" i="134"/>
  <c r="F294" i="134"/>
  <c r="F16" i="130"/>
  <c r="K33" i="208"/>
  <c r="F224" i="148"/>
  <c r="F224" i="139"/>
  <c r="F294" i="137"/>
  <c r="F283" i="137"/>
  <c r="F19" i="130"/>
  <c r="C117" i="192"/>
  <c r="C114" i="192"/>
  <c r="C116" i="192" s="1"/>
  <c r="C118" i="192" s="1"/>
  <c r="F296" i="151"/>
  <c r="F371" i="151"/>
  <c r="C117" i="202"/>
  <c r="C114" i="202"/>
  <c r="C116" i="202" s="1"/>
  <c r="C118" i="202" s="1"/>
  <c r="G55" i="212"/>
  <c r="F15" i="130"/>
  <c r="F294" i="86"/>
  <c r="I40" i="208"/>
  <c r="A40" i="208" s="1"/>
  <c r="A9" i="208" s="1"/>
  <c r="M106" i="68" s="1"/>
  <c r="F28" i="128" l="1"/>
  <c r="F78" i="128" s="1"/>
  <c r="F311" i="146"/>
  <c r="F348" i="146" s="1"/>
  <c r="G51" i="146" s="1"/>
  <c r="F325" i="146"/>
  <c r="F362" i="146" s="1"/>
  <c r="G65" i="146" s="1"/>
  <c r="F328" i="146"/>
  <c r="F365" i="146" s="1"/>
  <c r="G68" i="146" s="1"/>
  <c r="F309" i="146"/>
  <c r="F346" i="146" s="1"/>
  <c r="G49" i="146" s="1"/>
  <c r="F319" i="146"/>
  <c r="F310" i="146"/>
  <c r="F347" i="146" s="1"/>
  <c r="G50" i="146" s="1"/>
  <c r="G84" i="146" s="1"/>
  <c r="F308" i="146"/>
  <c r="F345" i="146" s="1"/>
  <c r="G48" i="146" s="1"/>
  <c r="F329" i="146"/>
  <c r="F331" i="146"/>
  <c r="F307" i="146"/>
  <c r="F344" i="146" s="1"/>
  <c r="G47" i="146" s="1"/>
  <c r="F321" i="146"/>
  <c r="F358" i="146" s="1"/>
  <c r="G61" i="146" s="1"/>
  <c r="F324" i="146"/>
  <c r="F361" i="146" s="1"/>
  <c r="G64" i="146" s="1"/>
  <c r="F305" i="146"/>
  <c r="F342" i="146" s="1"/>
  <c r="G45" i="146" s="1"/>
  <c r="F312" i="146"/>
  <c r="F349" i="146" s="1"/>
  <c r="G52" i="146" s="1"/>
  <c r="G86" i="146" s="1"/>
  <c r="F303" i="146"/>
  <c r="F327" i="146"/>
  <c r="F364" i="146" s="1"/>
  <c r="G67" i="146" s="1"/>
  <c r="F313" i="146"/>
  <c r="F332" i="146" s="1"/>
  <c r="F333" i="146" s="1"/>
  <c r="F326" i="146"/>
  <c r="F363" i="146" s="1"/>
  <c r="G66" i="146" s="1"/>
  <c r="G100" i="146" s="1"/>
  <c r="F320" i="146"/>
  <c r="F357" i="146" s="1"/>
  <c r="G60" i="146" s="1"/>
  <c r="F322" i="146"/>
  <c r="F359" i="146" s="1"/>
  <c r="G62" i="146" s="1"/>
  <c r="F306" i="146"/>
  <c r="F343" i="146" s="1"/>
  <c r="G46" i="146" s="1"/>
  <c r="G80" i="146" s="1"/>
  <c r="F323" i="146"/>
  <c r="F360" i="146" s="1"/>
  <c r="G63" i="146" s="1"/>
  <c r="F304" i="146"/>
  <c r="F341" i="146" s="1"/>
  <c r="G44" i="146" s="1"/>
  <c r="L92" i="217"/>
  <c r="L123" i="217" s="1"/>
  <c r="F371" i="137"/>
  <c r="F331" i="137"/>
  <c r="F296" i="137"/>
  <c r="C248" i="211"/>
  <c r="F331" i="144"/>
  <c r="F309" i="144"/>
  <c r="F346" i="144" s="1"/>
  <c r="G49" i="144" s="1"/>
  <c r="F326" i="144"/>
  <c r="F363" i="144" s="1"/>
  <c r="G66" i="144" s="1"/>
  <c r="F328" i="144"/>
  <c r="F365" i="144" s="1"/>
  <c r="G68" i="144" s="1"/>
  <c r="F303" i="144"/>
  <c r="F324" i="144"/>
  <c r="F361" i="144" s="1"/>
  <c r="G64" i="144" s="1"/>
  <c r="F305" i="144"/>
  <c r="F342" i="144" s="1"/>
  <c r="G45" i="144" s="1"/>
  <c r="F312" i="144"/>
  <c r="F349" i="144" s="1"/>
  <c r="G52" i="144" s="1"/>
  <c r="F322" i="144"/>
  <c r="F359" i="144" s="1"/>
  <c r="G62" i="144" s="1"/>
  <c r="F329" i="144"/>
  <c r="F306" i="144"/>
  <c r="F343" i="144" s="1"/>
  <c r="G46" i="144" s="1"/>
  <c r="G80" i="144" s="1"/>
  <c r="F323" i="144"/>
  <c r="F360" i="144" s="1"/>
  <c r="G63" i="144" s="1"/>
  <c r="G97" i="144" s="1"/>
  <c r="F307" i="144"/>
  <c r="F344" i="144" s="1"/>
  <c r="G47" i="144" s="1"/>
  <c r="F319" i="144"/>
  <c r="F310" i="144"/>
  <c r="F347" i="144" s="1"/>
  <c r="G50" i="144" s="1"/>
  <c r="G84" i="144" s="1"/>
  <c r="F26" i="128"/>
  <c r="F76" i="128" s="1"/>
  <c r="F320" i="144"/>
  <c r="F357" i="144" s="1"/>
  <c r="G60" i="144" s="1"/>
  <c r="F327" i="144"/>
  <c r="F364" i="144" s="1"/>
  <c r="G67" i="144" s="1"/>
  <c r="F308" i="144"/>
  <c r="F345" i="144" s="1"/>
  <c r="G48" i="144" s="1"/>
  <c r="G82" i="144" s="1"/>
  <c r="F311" i="144"/>
  <c r="F348" i="144" s="1"/>
  <c r="G51" i="144" s="1"/>
  <c r="F325" i="144"/>
  <c r="F362" i="144" s="1"/>
  <c r="G65" i="144" s="1"/>
  <c r="F313" i="144"/>
  <c r="F332" i="144" s="1"/>
  <c r="F333" i="144" s="1"/>
  <c r="F304" i="144"/>
  <c r="F341" i="144" s="1"/>
  <c r="G44" i="144" s="1"/>
  <c r="F321" i="144"/>
  <c r="F358" i="144" s="1"/>
  <c r="G61" i="144" s="1"/>
  <c r="G95" i="144" s="1"/>
  <c r="F29" i="128"/>
  <c r="F79" i="128" s="1"/>
  <c r="F310" i="147"/>
  <c r="F347" i="147" s="1"/>
  <c r="G50" i="147" s="1"/>
  <c r="F320" i="147"/>
  <c r="F357" i="147" s="1"/>
  <c r="G60" i="147" s="1"/>
  <c r="F327" i="147"/>
  <c r="F364" i="147" s="1"/>
  <c r="G67" i="147" s="1"/>
  <c r="F308" i="147"/>
  <c r="F345" i="147" s="1"/>
  <c r="G48" i="147" s="1"/>
  <c r="F322" i="147"/>
  <c r="F359" i="147" s="1"/>
  <c r="G62" i="147" s="1"/>
  <c r="F328" i="147"/>
  <c r="F365" i="147" s="1"/>
  <c r="G68" i="147" s="1"/>
  <c r="G102" i="147" s="1"/>
  <c r="F307" i="147"/>
  <c r="F344" i="147" s="1"/>
  <c r="G47" i="147" s="1"/>
  <c r="F324" i="147"/>
  <c r="F361" i="147" s="1"/>
  <c r="G64" i="147" s="1"/>
  <c r="F326" i="147"/>
  <c r="F363" i="147" s="1"/>
  <c r="G66" i="147" s="1"/>
  <c r="F329" i="147"/>
  <c r="F306" i="147"/>
  <c r="F343" i="147" s="1"/>
  <c r="G46" i="147" s="1"/>
  <c r="F313" i="147"/>
  <c r="F323" i="147"/>
  <c r="F360" i="147" s="1"/>
  <c r="G63" i="147" s="1"/>
  <c r="G97" i="147" s="1"/>
  <c r="F304" i="147"/>
  <c r="F341" i="147" s="1"/>
  <c r="G44" i="147" s="1"/>
  <c r="F311" i="147"/>
  <c r="F348" i="147" s="1"/>
  <c r="G51" i="147" s="1"/>
  <c r="F325" i="147"/>
  <c r="F362" i="147" s="1"/>
  <c r="G65" i="147" s="1"/>
  <c r="G99" i="147" s="1"/>
  <c r="F309" i="147"/>
  <c r="F346" i="147" s="1"/>
  <c r="G49" i="147" s="1"/>
  <c r="G83" i="147" s="1"/>
  <c r="F331" i="147"/>
  <c r="F305" i="147"/>
  <c r="F342" i="147" s="1"/>
  <c r="G45" i="147" s="1"/>
  <c r="F319" i="147"/>
  <c r="F321" i="147"/>
  <c r="F358" i="147" s="1"/>
  <c r="G61" i="147" s="1"/>
  <c r="F303" i="147"/>
  <c r="F312" i="147"/>
  <c r="F349" i="147" s="1"/>
  <c r="G52" i="147" s="1"/>
  <c r="G86" i="147" s="1"/>
  <c r="F371" i="142"/>
  <c r="F296" i="142"/>
  <c r="F371" i="134"/>
  <c r="F331" i="134"/>
  <c r="F296" i="134"/>
  <c r="C65" i="212"/>
  <c r="C273" i="211"/>
  <c r="F294" i="149"/>
  <c r="F31" i="130"/>
  <c r="F283" i="149"/>
  <c r="F328" i="150"/>
  <c r="F365" i="150" s="1"/>
  <c r="G68" i="150" s="1"/>
  <c r="F309" i="150"/>
  <c r="F346" i="150" s="1"/>
  <c r="G49" i="150" s="1"/>
  <c r="F331" i="150"/>
  <c r="F321" i="150"/>
  <c r="F358" i="150" s="1"/>
  <c r="G61" i="150" s="1"/>
  <c r="F324" i="150"/>
  <c r="F361" i="150" s="1"/>
  <c r="G64" i="150" s="1"/>
  <c r="F305" i="150"/>
  <c r="F342" i="150" s="1"/>
  <c r="G45" i="150" s="1"/>
  <c r="F312" i="150"/>
  <c r="F349" i="150" s="1"/>
  <c r="G52" i="150" s="1"/>
  <c r="F326" i="150"/>
  <c r="F363" i="150" s="1"/>
  <c r="G66" i="150" s="1"/>
  <c r="F303" i="150"/>
  <c r="F310" i="150"/>
  <c r="F347" i="150" s="1"/>
  <c r="G50" i="150" s="1"/>
  <c r="G84" i="150" s="1"/>
  <c r="F32" i="128"/>
  <c r="F82" i="128" s="1"/>
  <c r="F304" i="150"/>
  <c r="F341" i="150" s="1"/>
  <c r="G44" i="150" s="1"/>
  <c r="F325" i="150"/>
  <c r="F362" i="150" s="1"/>
  <c r="G65" i="150" s="1"/>
  <c r="G99" i="150" s="1"/>
  <c r="F320" i="150"/>
  <c r="F357" i="150" s="1"/>
  <c r="G60" i="150" s="1"/>
  <c r="F327" i="150"/>
  <c r="F364" i="150" s="1"/>
  <c r="G67" i="150" s="1"/>
  <c r="F308" i="150"/>
  <c r="F345" i="150" s="1"/>
  <c r="G48" i="150" s="1"/>
  <c r="F322" i="150"/>
  <c r="F359" i="150" s="1"/>
  <c r="G62" i="150" s="1"/>
  <c r="G96" i="150" s="1"/>
  <c r="F329" i="150"/>
  <c r="F306" i="150"/>
  <c r="F343" i="150" s="1"/>
  <c r="G46" i="150" s="1"/>
  <c r="F313" i="150"/>
  <c r="F323" i="150"/>
  <c r="F360" i="150" s="1"/>
  <c r="G63" i="150" s="1"/>
  <c r="G97" i="150" s="1"/>
  <c r="F311" i="150"/>
  <c r="F348" i="150" s="1"/>
  <c r="G51" i="150" s="1"/>
  <c r="G85" i="150" s="1"/>
  <c r="F319" i="150"/>
  <c r="F307" i="150"/>
  <c r="F344" i="150" s="1"/>
  <c r="G47" i="150" s="1"/>
  <c r="G81" i="150" s="1"/>
  <c r="F283" i="141"/>
  <c r="F294" i="141"/>
  <c r="F22" i="130"/>
  <c r="F325" i="136"/>
  <c r="F362" i="136" s="1"/>
  <c r="G65" i="136" s="1"/>
  <c r="F328" i="136"/>
  <c r="F365" i="136" s="1"/>
  <c r="G68" i="136" s="1"/>
  <c r="F305" i="136"/>
  <c r="F342" i="136" s="1"/>
  <c r="G45" i="136" s="1"/>
  <c r="F312" i="136"/>
  <c r="F349" i="136" s="1"/>
  <c r="G52" i="136" s="1"/>
  <c r="F322" i="136"/>
  <c r="F359" i="136" s="1"/>
  <c r="G62" i="136" s="1"/>
  <c r="F310" i="136"/>
  <c r="F347" i="136" s="1"/>
  <c r="G50" i="136" s="1"/>
  <c r="F323" i="136"/>
  <c r="F360" i="136" s="1"/>
  <c r="G63" i="136" s="1"/>
  <c r="F307" i="136"/>
  <c r="F344" i="136" s="1"/>
  <c r="G47" i="136" s="1"/>
  <c r="F309" i="136"/>
  <c r="F346" i="136" s="1"/>
  <c r="G49" i="136" s="1"/>
  <c r="F326" i="136"/>
  <c r="F363" i="136" s="1"/>
  <c r="G66" i="136" s="1"/>
  <c r="G100" i="136" s="1"/>
  <c r="G168" i="136" s="1"/>
  <c r="F321" i="136"/>
  <c r="F358" i="136" s="1"/>
  <c r="G61" i="136" s="1"/>
  <c r="F324" i="136"/>
  <c r="F361" i="136" s="1"/>
  <c r="G64" i="136" s="1"/>
  <c r="F327" i="136"/>
  <c r="F364" i="136" s="1"/>
  <c r="G67" i="136" s="1"/>
  <c r="F308" i="136"/>
  <c r="F345" i="136" s="1"/>
  <c r="G48" i="136" s="1"/>
  <c r="G82" i="136" s="1"/>
  <c r="G150" i="136" s="1"/>
  <c r="F311" i="136"/>
  <c r="F348" i="136" s="1"/>
  <c r="G51" i="136" s="1"/>
  <c r="F320" i="136"/>
  <c r="F357" i="136" s="1"/>
  <c r="G60" i="136" s="1"/>
  <c r="F304" i="136"/>
  <c r="F341" i="136" s="1"/>
  <c r="G44" i="136" s="1"/>
  <c r="F18" i="128"/>
  <c r="F68" i="128" s="1"/>
  <c r="F306" i="136"/>
  <c r="F343" i="136" s="1"/>
  <c r="G46" i="136" s="1"/>
  <c r="G80" i="136" s="1"/>
  <c r="F319" i="136"/>
  <c r="F303" i="136"/>
  <c r="F296" i="138"/>
  <c r="F371" i="138"/>
  <c r="F331" i="138"/>
  <c r="F27" i="130"/>
  <c r="F283" i="145"/>
  <c r="F294" i="145"/>
  <c r="F296" i="135"/>
  <c r="F371" i="135"/>
  <c r="F331" i="135"/>
  <c r="F331" i="139"/>
  <c r="F296" i="139"/>
  <c r="F371" i="139"/>
  <c r="F296" i="162"/>
  <c r="F371" i="162"/>
  <c r="F30" i="130"/>
  <c r="F283" i="148"/>
  <c r="F294" i="148"/>
  <c r="F296" i="143"/>
  <c r="F371" i="143"/>
  <c r="F371" i="140"/>
  <c r="F296" i="140"/>
  <c r="L272" i="217"/>
  <c r="F327" i="151"/>
  <c r="F364" i="151" s="1"/>
  <c r="G67" i="151" s="1"/>
  <c r="F308" i="151"/>
  <c r="F345" i="151" s="1"/>
  <c r="G48" i="151" s="1"/>
  <c r="F322" i="151"/>
  <c r="F359" i="151" s="1"/>
  <c r="G62" i="151" s="1"/>
  <c r="F34" i="128"/>
  <c r="F84" i="128" s="1"/>
  <c r="F310" i="151"/>
  <c r="F347" i="151" s="1"/>
  <c r="G50" i="151" s="1"/>
  <c r="F320" i="151"/>
  <c r="F357" i="151" s="1"/>
  <c r="G60" i="151" s="1"/>
  <c r="F323" i="151"/>
  <c r="F360" i="151" s="1"/>
  <c r="G63" i="151" s="1"/>
  <c r="G97" i="151" s="1"/>
  <c r="F311" i="151"/>
  <c r="F348" i="151" s="1"/>
  <c r="G51" i="151" s="1"/>
  <c r="F306" i="151"/>
  <c r="F343" i="151" s="1"/>
  <c r="G46" i="151" s="1"/>
  <c r="F313" i="151"/>
  <c r="F331" i="151"/>
  <c r="F309" i="151"/>
  <c r="F346" i="151" s="1"/>
  <c r="G49" i="151" s="1"/>
  <c r="F325" i="151"/>
  <c r="F362" i="151" s="1"/>
  <c r="G65" i="151" s="1"/>
  <c r="F319" i="151"/>
  <c r="F312" i="151"/>
  <c r="F349" i="151" s="1"/>
  <c r="G52" i="151" s="1"/>
  <c r="G86" i="151" s="1"/>
  <c r="F326" i="151"/>
  <c r="F363" i="151" s="1"/>
  <c r="G66" i="151" s="1"/>
  <c r="F303" i="151"/>
  <c r="F321" i="151"/>
  <c r="F358" i="151" s="1"/>
  <c r="G61" i="151" s="1"/>
  <c r="G95" i="151" s="1"/>
  <c r="F324" i="151"/>
  <c r="F361" i="151" s="1"/>
  <c r="G64" i="151" s="1"/>
  <c r="G98" i="151" s="1"/>
  <c r="F305" i="151"/>
  <c r="F342" i="151" s="1"/>
  <c r="G45" i="151" s="1"/>
  <c r="F304" i="151"/>
  <c r="F341" i="151" s="1"/>
  <c r="G44" i="151" s="1"/>
  <c r="F329" i="151"/>
  <c r="F307" i="151"/>
  <c r="F344" i="151" s="1"/>
  <c r="G47" i="151" s="1"/>
  <c r="F328" i="151"/>
  <c r="F365" i="151" s="1"/>
  <c r="G68" i="151" s="1"/>
  <c r="G182" i="136"/>
  <c r="G114" i="136"/>
  <c r="G148" i="136"/>
  <c r="F296" i="86"/>
  <c r="F371" i="86"/>
  <c r="F331" i="86"/>
  <c r="I65" i="218"/>
  <c r="C90" i="95"/>
  <c r="I55" i="212"/>
  <c r="J90" i="95" s="1"/>
  <c r="G116" i="136"/>
  <c r="G82" i="146" l="1"/>
  <c r="G184" i="136"/>
  <c r="F34" i="130"/>
  <c r="G96" i="136"/>
  <c r="F332" i="150"/>
  <c r="F333" i="150" s="1"/>
  <c r="G134" i="136"/>
  <c r="G99" i="151"/>
  <c r="G84" i="151"/>
  <c r="G98" i="136"/>
  <c r="G80" i="150"/>
  <c r="G84" i="136"/>
  <c r="G102" i="136"/>
  <c r="G102" i="150"/>
  <c r="G136" i="150" s="1"/>
  <c r="G100" i="144"/>
  <c r="G168" i="144" s="1"/>
  <c r="G102" i="146"/>
  <c r="G82" i="151"/>
  <c r="G99" i="136"/>
  <c r="G95" i="150"/>
  <c r="G197" i="150" s="1"/>
  <c r="G100" i="147"/>
  <c r="G98" i="144"/>
  <c r="G80" i="151"/>
  <c r="G114" i="151" s="1"/>
  <c r="G101" i="151"/>
  <c r="G203" i="151" s="1"/>
  <c r="G95" i="136"/>
  <c r="G101" i="146"/>
  <c r="G197" i="151"/>
  <c r="G163" i="151"/>
  <c r="G129" i="151"/>
  <c r="F356" i="151"/>
  <c r="F330" i="151"/>
  <c r="F332" i="151"/>
  <c r="F333" i="151" s="1"/>
  <c r="G150" i="151"/>
  <c r="G116" i="151"/>
  <c r="G184" i="151"/>
  <c r="F33" i="128"/>
  <c r="F83" i="128" s="1"/>
  <c r="F327" i="140"/>
  <c r="F364" i="140" s="1"/>
  <c r="G67" i="140" s="1"/>
  <c r="F323" i="140"/>
  <c r="F360" i="140" s="1"/>
  <c r="G63" i="140" s="1"/>
  <c r="F319" i="140"/>
  <c r="F312" i="140"/>
  <c r="F349" i="140" s="1"/>
  <c r="G52" i="140" s="1"/>
  <c r="F308" i="140"/>
  <c r="F345" i="140" s="1"/>
  <c r="G48" i="140" s="1"/>
  <c r="F304" i="140"/>
  <c r="F341" i="140" s="1"/>
  <c r="G44" i="140" s="1"/>
  <c r="F325" i="140"/>
  <c r="F362" i="140" s="1"/>
  <c r="G65" i="140" s="1"/>
  <c r="F321" i="140"/>
  <c r="F358" i="140" s="1"/>
  <c r="G61" i="140" s="1"/>
  <c r="F310" i="140"/>
  <c r="F347" i="140" s="1"/>
  <c r="G50" i="140" s="1"/>
  <c r="F306" i="140"/>
  <c r="F343" i="140" s="1"/>
  <c r="G46" i="140" s="1"/>
  <c r="F326" i="140"/>
  <c r="F363" i="140" s="1"/>
  <c r="G66" i="140" s="1"/>
  <c r="G100" i="140" s="1"/>
  <c r="F322" i="140"/>
  <c r="F359" i="140" s="1"/>
  <c r="G62" i="140" s="1"/>
  <c r="G96" i="140" s="1"/>
  <c r="F311" i="140"/>
  <c r="F348" i="140" s="1"/>
  <c r="F307" i="140"/>
  <c r="F344" i="140" s="1"/>
  <c r="F303" i="140"/>
  <c r="F331" i="140"/>
  <c r="F328" i="140"/>
  <c r="F365" i="140" s="1"/>
  <c r="G68" i="140" s="1"/>
  <c r="G102" i="140" s="1"/>
  <c r="F324" i="140"/>
  <c r="F361" i="140" s="1"/>
  <c r="G64" i="140" s="1"/>
  <c r="G98" i="140" s="1"/>
  <c r="F320" i="140"/>
  <c r="F357" i="140" s="1"/>
  <c r="G60" i="140" s="1"/>
  <c r="F309" i="140"/>
  <c r="F346" i="140" s="1"/>
  <c r="F305" i="140"/>
  <c r="F342" i="140" s="1"/>
  <c r="F371" i="148"/>
  <c r="F296" i="148"/>
  <c r="F331" i="162"/>
  <c r="F325" i="162"/>
  <c r="F362" i="162" s="1"/>
  <c r="G65" i="162" s="1"/>
  <c r="F308" i="162"/>
  <c r="F345" i="162" s="1"/>
  <c r="G48" i="162" s="1"/>
  <c r="F307" i="162"/>
  <c r="F344" i="162" s="1"/>
  <c r="G47" i="162" s="1"/>
  <c r="F310" i="162"/>
  <c r="F347" i="162" s="1"/>
  <c r="G50" i="162" s="1"/>
  <c r="F313" i="162"/>
  <c r="F326" i="162"/>
  <c r="F363" i="162" s="1"/>
  <c r="G66" i="162" s="1"/>
  <c r="G100" i="162" s="1"/>
  <c r="F303" i="162"/>
  <c r="F306" i="162"/>
  <c r="F343" i="162" s="1"/>
  <c r="G46" i="162" s="1"/>
  <c r="F319" i="162"/>
  <c r="F328" i="162"/>
  <c r="F365" i="162" s="1"/>
  <c r="G68" i="162" s="1"/>
  <c r="F323" i="162"/>
  <c r="F360" i="162" s="1"/>
  <c r="G63" i="162" s="1"/>
  <c r="F329" i="162"/>
  <c r="F324" i="162"/>
  <c r="F361" i="162" s="1"/>
  <c r="G64" i="162" s="1"/>
  <c r="F24" i="128"/>
  <c r="F74" i="128" s="1"/>
  <c r="F327" i="162"/>
  <c r="F364" i="162" s="1"/>
  <c r="G67" i="162" s="1"/>
  <c r="G101" i="162" s="1"/>
  <c r="F312" i="162"/>
  <c r="F349" i="162" s="1"/>
  <c r="G52" i="162" s="1"/>
  <c r="F311" i="162"/>
  <c r="F348" i="162" s="1"/>
  <c r="G51" i="162" s="1"/>
  <c r="F321" i="162"/>
  <c r="F358" i="162" s="1"/>
  <c r="G61" i="162" s="1"/>
  <c r="F320" i="162"/>
  <c r="F357" i="162" s="1"/>
  <c r="G60" i="162" s="1"/>
  <c r="F304" i="162"/>
  <c r="F341" i="162" s="1"/>
  <c r="G44" i="162" s="1"/>
  <c r="F309" i="162"/>
  <c r="F346" i="162" s="1"/>
  <c r="G49" i="162" s="1"/>
  <c r="G83" i="162" s="1"/>
  <c r="F322" i="162"/>
  <c r="F359" i="162" s="1"/>
  <c r="G62" i="162" s="1"/>
  <c r="G96" i="162" s="1"/>
  <c r="F305" i="162"/>
  <c r="F342" i="162" s="1"/>
  <c r="G45" i="162" s="1"/>
  <c r="F310" i="138"/>
  <c r="F347" i="138" s="1"/>
  <c r="G50" i="138" s="1"/>
  <c r="F320" i="138"/>
  <c r="F357" i="138" s="1"/>
  <c r="G60" i="138" s="1"/>
  <c r="F323" i="138"/>
  <c r="F360" i="138" s="1"/>
  <c r="G63" i="138" s="1"/>
  <c r="F304" i="138"/>
  <c r="F341" i="138" s="1"/>
  <c r="G44" i="138" s="1"/>
  <c r="F307" i="138"/>
  <c r="F344" i="138" s="1"/>
  <c r="G47" i="138" s="1"/>
  <c r="F325" i="138"/>
  <c r="F362" i="138" s="1"/>
  <c r="G65" i="138" s="1"/>
  <c r="F305" i="138"/>
  <c r="F342" i="138" s="1"/>
  <c r="G45" i="138" s="1"/>
  <c r="F322" i="138"/>
  <c r="F359" i="138" s="1"/>
  <c r="G62" i="138" s="1"/>
  <c r="F321" i="138"/>
  <c r="F358" i="138" s="1"/>
  <c r="G61" i="138" s="1"/>
  <c r="G95" i="138" s="1"/>
  <c r="F324" i="138"/>
  <c r="F361" i="138" s="1"/>
  <c r="G64" i="138" s="1"/>
  <c r="G98" i="138" s="1"/>
  <c r="F327" i="138"/>
  <c r="F364" i="138" s="1"/>
  <c r="G67" i="138" s="1"/>
  <c r="F311" i="138"/>
  <c r="F348" i="138" s="1"/>
  <c r="G51" i="138" s="1"/>
  <c r="F20" i="128"/>
  <c r="F70" i="128" s="1"/>
  <c r="F306" i="138"/>
  <c r="F343" i="138" s="1"/>
  <c r="G46" i="138" s="1"/>
  <c r="G80" i="138" s="1"/>
  <c r="F309" i="138"/>
  <c r="F346" i="138" s="1"/>
  <c r="G49" i="138" s="1"/>
  <c r="F319" i="138"/>
  <c r="F326" i="138"/>
  <c r="F363" i="138" s="1"/>
  <c r="G66" i="138" s="1"/>
  <c r="G100" i="138" s="1"/>
  <c r="F303" i="138"/>
  <c r="F328" i="138"/>
  <c r="F365" i="138" s="1"/>
  <c r="G68" i="138" s="1"/>
  <c r="G102" i="138" s="1"/>
  <c r="F312" i="138"/>
  <c r="F349" i="138" s="1"/>
  <c r="G52" i="138" s="1"/>
  <c r="G86" i="138" s="1"/>
  <c r="F308" i="138"/>
  <c r="F345" i="138" s="1"/>
  <c r="G48" i="138" s="1"/>
  <c r="G82" i="138" s="1"/>
  <c r="D15" i="189"/>
  <c r="D44" i="189" s="1"/>
  <c r="D57" i="189" s="1"/>
  <c r="D98" i="189" s="1"/>
  <c r="F19" i="102"/>
  <c r="G165" i="150"/>
  <c r="G131" i="150"/>
  <c r="G199" i="150"/>
  <c r="G198" i="150"/>
  <c r="G164" i="150"/>
  <c r="G130" i="150"/>
  <c r="G167" i="150"/>
  <c r="G201" i="150"/>
  <c r="G133" i="150"/>
  <c r="F340" i="150"/>
  <c r="F314" i="150"/>
  <c r="G98" i="150"/>
  <c r="G204" i="150"/>
  <c r="F340" i="147"/>
  <c r="F314" i="147"/>
  <c r="G136" i="147"/>
  <c r="G204" i="147"/>
  <c r="G170" i="147"/>
  <c r="G184" i="144"/>
  <c r="G116" i="144"/>
  <c r="G150" i="144"/>
  <c r="G118" i="144"/>
  <c r="G152" i="144"/>
  <c r="G186" i="144"/>
  <c r="G114" i="144"/>
  <c r="G148" i="144"/>
  <c r="G182" i="144"/>
  <c r="G79" i="144"/>
  <c r="G202" i="144"/>
  <c r="F319" i="137"/>
  <c r="F326" i="137"/>
  <c r="F363" i="137" s="1"/>
  <c r="G66" i="137" s="1"/>
  <c r="F303" i="137"/>
  <c r="F306" i="137"/>
  <c r="F343" i="137" s="1"/>
  <c r="G46" i="137" s="1"/>
  <c r="F309" i="137"/>
  <c r="F346" i="137" s="1"/>
  <c r="G49" i="137" s="1"/>
  <c r="F19" i="128"/>
  <c r="F69" i="128" s="1"/>
  <c r="F312" i="137"/>
  <c r="F349" i="137" s="1"/>
  <c r="G52" i="137" s="1"/>
  <c r="F322" i="137"/>
  <c r="F359" i="137" s="1"/>
  <c r="G62" i="137" s="1"/>
  <c r="F325" i="137"/>
  <c r="F362" i="137" s="1"/>
  <c r="G65" i="137" s="1"/>
  <c r="F328" i="137"/>
  <c r="F365" i="137" s="1"/>
  <c r="G68" i="137" s="1"/>
  <c r="F305" i="137"/>
  <c r="F342" i="137" s="1"/>
  <c r="G45" i="137" s="1"/>
  <c r="F323" i="137"/>
  <c r="F360" i="137" s="1"/>
  <c r="G63" i="137" s="1"/>
  <c r="G97" i="137" s="1"/>
  <c r="F307" i="137"/>
  <c r="F344" i="137" s="1"/>
  <c r="G47" i="137" s="1"/>
  <c r="F320" i="137"/>
  <c r="F357" i="137" s="1"/>
  <c r="G60" i="137" s="1"/>
  <c r="F327" i="137"/>
  <c r="F364" i="137" s="1"/>
  <c r="G67" i="137" s="1"/>
  <c r="G101" i="137" s="1"/>
  <c r="F308" i="137"/>
  <c r="F345" i="137" s="1"/>
  <c r="G48" i="137" s="1"/>
  <c r="G82" i="137" s="1"/>
  <c r="F311" i="137"/>
  <c r="F348" i="137" s="1"/>
  <c r="G51" i="137" s="1"/>
  <c r="F321" i="137"/>
  <c r="F358" i="137" s="1"/>
  <c r="G61" i="137" s="1"/>
  <c r="G95" i="137" s="1"/>
  <c r="F324" i="137"/>
  <c r="F361" i="137" s="1"/>
  <c r="G64" i="137" s="1"/>
  <c r="F304" i="137"/>
  <c r="F341" i="137" s="1"/>
  <c r="G44" i="137" s="1"/>
  <c r="F310" i="137"/>
  <c r="F347" i="137" s="1"/>
  <c r="G50" i="137" s="1"/>
  <c r="G84" i="137" s="1"/>
  <c r="F340" i="146"/>
  <c r="F314" i="146"/>
  <c r="G95" i="146"/>
  <c r="G116" i="146"/>
  <c r="G184" i="146"/>
  <c r="G150" i="146"/>
  <c r="G170" i="146"/>
  <c r="G204" i="146"/>
  <c r="G136" i="146"/>
  <c r="F340" i="151"/>
  <c r="F314" i="151"/>
  <c r="G167" i="151"/>
  <c r="G201" i="151"/>
  <c r="G133" i="151"/>
  <c r="G182" i="151"/>
  <c r="G186" i="151"/>
  <c r="G118" i="151"/>
  <c r="G152" i="151"/>
  <c r="F340" i="136"/>
  <c r="F313" i="136"/>
  <c r="G101" i="136"/>
  <c r="G83" i="136"/>
  <c r="G115" i="150"/>
  <c r="G183" i="150"/>
  <c r="G149" i="150"/>
  <c r="G82" i="150"/>
  <c r="G100" i="150"/>
  <c r="G163" i="150"/>
  <c r="G65" i="212"/>
  <c r="C76" i="212"/>
  <c r="C74" i="212"/>
  <c r="D81" i="212" s="1"/>
  <c r="F329" i="142"/>
  <c r="F311" i="142"/>
  <c r="F348" i="142" s="1"/>
  <c r="G51" i="142" s="1"/>
  <c r="F319" i="142"/>
  <c r="F328" i="142"/>
  <c r="F365" i="142" s="1"/>
  <c r="G68" i="142" s="1"/>
  <c r="F321" i="142"/>
  <c r="F358" i="142" s="1"/>
  <c r="G61" i="142" s="1"/>
  <c r="F324" i="142"/>
  <c r="F361" i="142" s="1"/>
  <c r="G64" i="142" s="1"/>
  <c r="F305" i="142"/>
  <c r="F342" i="142" s="1"/>
  <c r="G45" i="142" s="1"/>
  <c r="F312" i="142"/>
  <c r="F349" i="142" s="1"/>
  <c r="G52" i="142" s="1"/>
  <c r="F326" i="142"/>
  <c r="F363" i="142" s="1"/>
  <c r="G66" i="142" s="1"/>
  <c r="F303" i="142"/>
  <c r="F306" i="142"/>
  <c r="F343" i="142" s="1"/>
  <c r="G46" i="142" s="1"/>
  <c r="G80" i="142" s="1"/>
  <c r="F323" i="142"/>
  <c r="F360" i="142" s="1"/>
  <c r="G63" i="142" s="1"/>
  <c r="F325" i="142"/>
  <c r="F362" i="142" s="1"/>
  <c r="G65" i="142" s="1"/>
  <c r="F307" i="142"/>
  <c r="F344" i="142" s="1"/>
  <c r="G47" i="142" s="1"/>
  <c r="G81" i="142" s="1"/>
  <c r="F23" i="128"/>
  <c r="F73" i="128" s="1"/>
  <c r="F310" i="142"/>
  <c r="F347" i="142" s="1"/>
  <c r="G50" i="142" s="1"/>
  <c r="F320" i="142"/>
  <c r="F357" i="142" s="1"/>
  <c r="G60" i="142" s="1"/>
  <c r="F327" i="142"/>
  <c r="F364" i="142" s="1"/>
  <c r="G67" i="142" s="1"/>
  <c r="F308" i="142"/>
  <c r="F345" i="142" s="1"/>
  <c r="G48" i="142" s="1"/>
  <c r="F322" i="142"/>
  <c r="F359" i="142" s="1"/>
  <c r="G62" i="142" s="1"/>
  <c r="F313" i="142"/>
  <c r="F332" i="142" s="1"/>
  <c r="F304" i="142"/>
  <c r="F341" i="142" s="1"/>
  <c r="G44" i="142" s="1"/>
  <c r="F309" i="142"/>
  <c r="F346" i="142" s="1"/>
  <c r="G49" i="142" s="1"/>
  <c r="G83" i="142" s="1"/>
  <c r="F331" i="142"/>
  <c r="G95" i="147"/>
  <c r="G185" i="147"/>
  <c r="G117" i="147"/>
  <c r="G151" i="147"/>
  <c r="G131" i="147"/>
  <c r="G165" i="147"/>
  <c r="G199" i="147"/>
  <c r="G202" i="147"/>
  <c r="G134" i="147"/>
  <c r="G168" i="147"/>
  <c r="G96" i="147"/>
  <c r="G84" i="147"/>
  <c r="G101" i="144"/>
  <c r="F356" i="144"/>
  <c r="F330" i="144"/>
  <c r="G166" i="144"/>
  <c r="G200" i="144"/>
  <c r="G132" i="144"/>
  <c r="G83" i="144"/>
  <c r="G97" i="146"/>
  <c r="G168" i="146"/>
  <c r="G202" i="146"/>
  <c r="G134" i="146"/>
  <c r="G188" i="146"/>
  <c r="G120" i="146"/>
  <c r="G154" i="146"/>
  <c r="G81" i="146"/>
  <c r="G152" i="146"/>
  <c r="G186" i="146"/>
  <c r="G118" i="146"/>
  <c r="G99" i="146"/>
  <c r="G102" i="151"/>
  <c r="G79" i="151"/>
  <c r="G100" i="151"/>
  <c r="G83" i="151"/>
  <c r="G85" i="151"/>
  <c r="F34" i="102"/>
  <c r="D15" i="204"/>
  <c r="D44" i="204" s="1"/>
  <c r="D57" i="204" s="1"/>
  <c r="D98" i="204" s="1"/>
  <c r="F323" i="139"/>
  <c r="F360" i="139" s="1"/>
  <c r="G63" i="139" s="1"/>
  <c r="F304" i="139"/>
  <c r="F341" i="139" s="1"/>
  <c r="G44" i="139" s="1"/>
  <c r="F307" i="139"/>
  <c r="F344" i="139" s="1"/>
  <c r="G47" i="139" s="1"/>
  <c r="F310" i="139"/>
  <c r="F347" i="139" s="1"/>
  <c r="G50" i="139" s="1"/>
  <c r="F320" i="139"/>
  <c r="F357" i="139" s="1"/>
  <c r="G60" i="139" s="1"/>
  <c r="F312" i="139"/>
  <c r="F349" i="139" s="1"/>
  <c r="G52" i="139" s="1"/>
  <c r="F325" i="139"/>
  <c r="F362" i="139" s="1"/>
  <c r="G65" i="139" s="1"/>
  <c r="F305" i="139"/>
  <c r="F342" i="139" s="1"/>
  <c r="G45" i="139" s="1"/>
  <c r="G79" i="139" s="1"/>
  <c r="F327" i="139"/>
  <c r="F364" i="139" s="1"/>
  <c r="G67" i="139" s="1"/>
  <c r="F311" i="139"/>
  <c r="F348" i="139" s="1"/>
  <c r="G51" i="139" s="1"/>
  <c r="F324" i="139"/>
  <c r="F361" i="139" s="1"/>
  <c r="G64" i="139" s="1"/>
  <c r="F319" i="139"/>
  <c r="F326" i="139"/>
  <c r="F363" i="139" s="1"/>
  <c r="G66" i="139" s="1"/>
  <c r="F303" i="139"/>
  <c r="F306" i="139"/>
  <c r="F343" i="139" s="1"/>
  <c r="G46" i="139" s="1"/>
  <c r="F309" i="139"/>
  <c r="F346" i="139" s="1"/>
  <c r="G49" i="139" s="1"/>
  <c r="F21" i="128"/>
  <c r="F71" i="128" s="1"/>
  <c r="F322" i="139"/>
  <c r="F359" i="139" s="1"/>
  <c r="G62" i="139" s="1"/>
  <c r="F328" i="139"/>
  <c r="F365" i="139" s="1"/>
  <c r="G68" i="139" s="1"/>
  <c r="F308" i="139"/>
  <c r="F345" i="139" s="1"/>
  <c r="G48" i="139" s="1"/>
  <c r="F321" i="139"/>
  <c r="F358" i="139" s="1"/>
  <c r="G61" i="139" s="1"/>
  <c r="G95" i="139" s="1"/>
  <c r="F321" i="135"/>
  <c r="F358" i="135" s="1"/>
  <c r="G61" i="135" s="1"/>
  <c r="F324" i="135"/>
  <c r="F361" i="135" s="1"/>
  <c r="G64" i="135" s="1"/>
  <c r="F327" i="135"/>
  <c r="F364" i="135" s="1"/>
  <c r="G67" i="135" s="1"/>
  <c r="F308" i="135"/>
  <c r="F345" i="135" s="1"/>
  <c r="G48" i="135" s="1"/>
  <c r="F311" i="135"/>
  <c r="F348" i="135" s="1"/>
  <c r="G51" i="135" s="1"/>
  <c r="F310" i="135"/>
  <c r="F347" i="135" s="1"/>
  <c r="G50" i="135" s="1"/>
  <c r="F320" i="135"/>
  <c r="F357" i="135" s="1"/>
  <c r="G60" i="135" s="1"/>
  <c r="F323" i="135"/>
  <c r="F360" i="135" s="1"/>
  <c r="G63" i="135" s="1"/>
  <c r="F304" i="135"/>
  <c r="F341" i="135" s="1"/>
  <c r="G44" i="135" s="1"/>
  <c r="F307" i="135"/>
  <c r="F344" i="135" s="1"/>
  <c r="G47" i="135" s="1"/>
  <c r="F305" i="135"/>
  <c r="F342" i="135" s="1"/>
  <c r="G45" i="135" s="1"/>
  <c r="G79" i="135" s="1"/>
  <c r="F322" i="135"/>
  <c r="F359" i="135" s="1"/>
  <c r="G62" i="135" s="1"/>
  <c r="G96" i="135" s="1"/>
  <c r="F17" i="128"/>
  <c r="F67" i="128" s="1"/>
  <c r="F306" i="135"/>
  <c r="F343" i="135" s="1"/>
  <c r="G46" i="135" s="1"/>
  <c r="F309" i="135"/>
  <c r="F346" i="135" s="1"/>
  <c r="G49" i="135" s="1"/>
  <c r="F319" i="135"/>
  <c r="F326" i="135"/>
  <c r="F363" i="135" s="1"/>
  <c r="G66" i="135" s="1"/>
  <c r="F303" i="135"/>
  <c r="F325" i="135"/>
  <c r="F362" i="135" s="1"/>
  <c r="G65" i="135" s="1"/>
  <c r="F328" i="135"/>
  <c r="F365" i="135" s="1"/>
  <c r="G68" i="135" s="1"/>
  <c r="F312" i="135"/>
  <c r="F349" i="135" s="1"/>
  <c r="G52" i="135" s="1"/>
  <c r="G86" i="135" s="1"/>
  <c r="F329" i="136"/>
  <c r="F330" i="136" s="1"/>
  <c r="F356" i="136"/>
  <c r="G81" i="136"/>
  <c r="G86" i="136"/>
  <c r="F356" i="150"/>
  <c r="F330" i="150"/>
  <c r="G148" i="150"/>
  <c r="G182" i="150"/>
  <c r="G114" i="150"/>
  <c r="G101" i="150"/>
  <c r="F33" i="102"/>
  <c r="D15" i="203"/>
  <c r="D44" i="203" s="1"/>
  <c r="D57" i="203" s="1"/>
  <c r="D98" i="203" s="1"/>
  <c r="G86" i="150"/>
  <c r="F323" i="134"/>
  <c r="F360" i="134" s="1"/>
  <c r="G63" i="134" s="1"/>
  <c r="F304" i="134"/>
  <c r="F341" i="134" s="1"/>
  <c r="G44" i="134" s="1"/>
  <c r="F307" i="134"/>
  <c r="F344" i="134" s="1"/>
  <c r="G47" i="134" s="1"/>
  <c r="F310" i="134"/>
  <c r="F347" i="134" s="1"/>
  <c r="G50" i="134" s="1"/>
  <c r="F320" i="134"/>
  <c r="F357" i="134" s="1"/>
  <c r="G60" i="134" s="1"/>
  <c r="F322" i="134"/>
  <c r="F359" i="134" s="1"/>
  <c r="G62" i="134" s="1"/>
  <c r="F328" i="134"/>
  <c r="F365" i="134" s="1"/>
  <c r="G68" i="134" s="1"/>
  <c r="F311" i="134"/>
  <c r="F348" i="134" s="1"/>
  <c r="G51" i="134" s="1"/>
  <c r="G85" i="134" s="1"/>
  <c r="F324" i="134"/>
  <c r="F361" i="134" s="1"/>
  <c r="G64" i="134" s="1"/>
  <c r="G98" i="134" s="1"/>
  <c r="F319" i="134"/>
  <c r="F326" i="134"/>
  <c r="F363" i="134" s="1"/>
  <c r="G66" i="134" s="1"/>
  <c r="F303" i="134"/>
  <c r="F306" i="134"/>
  <c r="F343" i="134" s="1"/>
  <c r="G46" i="134" s="1"/>
  <c r="F309" i="134"/>
  <c r="F346" i="134" s="1"/>
  <c r="G49" i="134" s="1"/>
  <c r="F16" i="128"/>
  <c r="F66" i="128" s="1"/>
  <c r="F312" i="134"/>
  <c r="F349" i="134" s="1"/>
  <c r="G52" i="134" s="1"/>
  <c r="G86" i="134" s="1"/>
  <c r="F325" i="134"/>
  <c r="F362" i="134" s="1"/>
  <c r="G65" i="134" s="1"/>
  <c r="G99" i="134" s="1"/>
  <c r="F305" i="134"/>
  <c r="F342" i="134" s="1"/>
  <c r="G45" i="134" s="1"/>
  <c r="G79" i="134" s="1"/>
  <c r="F327" i="134"/>
  <c r="F364" i="134" s="1"/>
  <c r="G67" i="134" s="1"/>
  <c r="G101" i="134" s="1"/>
  <c r="F308" i="134"/>
  <c r="F345" i="134" s="1"/>
  <c r="G48" i="134" s="1"/>
  <c r="G82" i="134" s="1"/>
  <c r="F321" i="134"/>
  <c r="F358" i="134" s="1"/>
  <c r="G61" i="134" s="1"/>
  <c r="G95" i="134" s="1"/>
  <c r="F356" i="147"/>
  <c r="F330" i="147"/>
  <c r="G133" i="147"/>
  <c r="G167" i="147"/>
  <c r="G201" i="147"/>
  <c r="F332" i="147"/>
  <c r="F333" i="147" s="1"/>
  <c r="G98" i="147"/>
  <c r="G82" i="147"/>
  <c r="F30" i="102"/>
  <c r="D15" i="200"/>
  <c r="D44" i="200" s="1"/>
  <c r="D57" i="200" s="1"/>
  <c r="D98" i="200" s="1"/>
  <c r="G99" i="144"/>
  <c r="G81" i="144"/>
  <c r="G96" i="144"/>
  <c r="F340" i="144"/>
  <c r="F314" i="144"/>
  <c r="G114" i="146"/>
  <c r="G182" i="146"/>
  <c r="G148" i="146"/>
  <c r="G79" i="146"/>
  <c r="F356" i="146"/>
  <c r="F330" i="146"/>
  <c r="G85" i="146"/>
  <c r="G202" i="136"/>
  <c r="G236" i="136" s="1"/>
  <c r="G270" i="136" s="1"/>
  <c r="G81" i="151"/>
  <c r="G200" i="151"/>
  <c r="G132" i="151"/>
  <c r="G166" i="151"/>
  <c r="G154" i="151"/>
  <c r="G120" i="151"/>
  <c r="G188" i="151"/>
  <c r="G131" i="151"/>
  <c r="G199" i="151"/>
  <c r="G165" i="151"/>
  <c r="G96" i="151"/>
  <c r="L301" i="217"/>
  <c r="L624" i="217"/>
  <c r="F25" i="128"/>
  <c r="F75" i="128" s="1"/>
  <c r="F311" i="143"/>
  <c r="F348" i="143" s="1"/>
  <c r="G51" i="143" s="1"/>
  <c r="F325" i="143"/>
  <c r="F362" i="143" s="1"/>
  <c r="G65" i="143" s="1"/>
  <c r="F328" i="143"/>
  <c r="F365" i="143" s="1"/>
  <c r="G68" i="143" s="1"/>
  <c r="F309" i="143"/>
  <c r="F346" i="143" s="1"/>
  <c r="G49" i="143" s="1"/>
  <c r="F319" i="143"/>
  <c r="F326" i="143"/>
  <c r="F363" i="143" s="1"/>
  <c r="G66" i="143" s="1"/>
  <c r="G100" i="143" s="1"/>
  <c r="F308" i="143"/>
  <c r="F345" i="143" s="1"/>
  <c r="G48" i="143" s="1"/>
  <c r="F303" i="143"/>
  <c r="F320" i="143"/>
  <c r="F357" i="143" s="1"/>
  <c r="G60" i="143" s="1"/>
  <c r="F322" i="143"/>
  <c r="F359" i="143" s="1"/>
  <c r="G62" i="143" s="1"/>
  <c r="F329" i="143"/>
  <c r="F306" i="143"/>
  <c r="F343" i="143" s="1"/>
  <c r="G46" i="143" s="1"/>
  <c r="F313" i="143"/>
  <c r="F323" i="143"/>
  <c r="F360" i="143" s="1"/>
  <c r="G63" i="143" s="1"/>
  <c r="G97" i="143" s="1"/>
  <c r="F304" i="143"/>
  <c r="F341" i="143" s="1"/>
  <c r="G44" i="143" s="1"/>
  <c r="F331" i="143"/>
  <c r="F307" i="143"/>
  <c r="F344" i="143" s="1"/>
  <c r="G47" i="143" s="1"/>
  <c r="F321" i="143"/>
  <c r="F358" i="143" s="1"/>
  <c r="G61" i="143" s="1"/>
  <c r="G95" i="143" s="1"/>
  <c r="F324" i="143"/>
  <c r="F361" i="143" s="1"/>
  <c r="G64" i="143" s="1"/>
  <c r="F305" i="143"/>
  <c r="F342" i="143" s="1"/>
  <c r="G45" i="143" s="1"/>
  <c r="F312" i="143"/>
  <c r="F349" i="143" s="1"/>
  <c r="G52" i="143" s="1"/>
  <c r="G86" i="143" s="1"/>
  <c r="F310" i="143"/>
  <c r="F347" i="143" s="1"/>
  <c r="G50" i="143" s="1"/>
  <c r="G84" i="143" s="1"/>
  <c r="F327" i="143"/>
  <c r="F364" i="143" s="1"/>
  <c r="G67" i="143" s="1"/>
  <c r="F296" i="145"/>
  <c r="F371" i="145"/>
  <c r="G85" i="136"/>
  <c r="G97" i="136"/>
  <c r="G79" i="136"/>
  <c r="F371" i="141"/>
  <c r="F296" i="141"/>
  <c r="G187" i="150"/>
  <c r="G119" i="150"/>
  <c r="G153" i="150"/>
  <c r="G118" i="150"/>
  <c r="G152" i="150"/>
  <c r="G186" i="150"/>
  <c r="G79" i="150"/>
  <c r="G83" i="150"/>
  <c r="F371" i="149"/>
  <c r="F296" i="149"/>
  <c r="G154" i="147"/>
  <c r="G120" i="147"/>
  <c r="G188" i="147"/>
  <c r="G79" i="147"/>
  <c r="G85" i="147"/>
  <c r="G80" i="147"/>
  <c r="G81" i="147"/>
  <c r="G101" i="147"/>
  <c r="G197" i="144"/>
  <c r="G163" i="144"/>
  <c r="G129" i="144"/>
  <c r="G85" i="144"/>
  <c r="D15" i="197"/>
  <c r="D44" i="197" s="1"/>
  <c r="D57" i="197" s="1"/>
  <c r="D98" i="197" s="1"/>
  <c r="F27" i="102"/>
  <c r="G165" i="144"/>
  <c r="G131" i="144"/>
  <c r="G199" i="144"/>
  <c r="G86" i="144"/>
  <c r="G102" i="144"/>
  <c r="G96" i="146"/>
  <c r="G135" i="146"/>
  <c r="G169" i="146"/>
  <c r="G203" i="146"/>
  <c r="G98" i="146"/>
  <c r="G83" i="146"/>
  <c r="F29" i="102"/>
  <c r="D15" i="199"/>
  <c r="D44" i="199" s="1"/>
  <c r="D57" i="199" s="1"/>
  <c r="D98" i="199" s="1"/>
  <c r="G218" i="136"/>
  <c r="G252" i="136" s="1"/>
  <c r="G216" i="136"/>
  <c r="G250" i="136" s="1"/>
  <c r="D117" i="95"/>
  <c r="F15" i="128"/>
  <c r="F325" i="86"/>
  <c r="F362" i="86" s="1"/>
  <c r="G65" i="86" s="1"/>
  <c r="F321" i="86"/>
  <c r="F358" i="86" s="1"/>
  <c r="G61" i="86" s="1"/>
  <c r="F310" i="86"/>
  <c r="F347" i="86" s="1"/>
  <c r="F306" i="86"/>
  <c r="F343" i="86" s="1"/>
  <c r="F328" i="86"/>
  <c r="F365" i="86" s="1"/>
  <c r="G68" i="86" s="1"/>
  <c r="F324" i="86"/>
  <c r="F361" i="86" s="1"/>
  <c r="G64" i="86" s="1"/>
  <c r="F320" i="86"/>
  <c r="F357" i="86" s="1"/>
  <c r="G60" i="86" s="1"/>
  <c r="F309" i="86"/>
  <c r="F346" i="86" s="1"/>
  <c r="F305" i="86"/>
  <c r="F342" i="86" s="1"/>
  <c r="F327" i="86"/>
  <c r="F364" i="86" s="1"/>
  <c r="G67" i="86" s="1"/>
  <c r="F323" i="86"/>
  <c r="F360" i="86" s="1"/>
  <c r="G63" i="86" s="1"/>
  <c r="F319" i="86"/>
  <c r="F312" i="86"/>
  <c r="F349" i="86" s="1"/>
  <c r="F308" i="86"/>
  <c r="F345" i="86" s="1"/>
  <c r="F304" i="86"/>
  <c r="F341" i="86" s="1"/>
  <c r="F326" i="86"/>
  <c r="F363" i="86" s="1"/>
  <c r="G66" i="86" s="1"/>
  <c r="F322" i="86"/>
  <c r="F359" i="86" s="1"/>
  <c r="G62" i="86" s="1"/>
  <c r="F311" i="86"/>
  <c r="F348" i="86" s="1"/>
  <c r="F307" i="86"/>
  <c r="F344" i="86" s="1"/>
  <c r="F303" i="86"/>
  <c r="G233" i="144" l="1"/>
  <c r="G267" i="144" s="1"/>
  <c r="G129" i="150"/>
  <c r="G169" i="151"/>
  <c r="G102" i="135"/>
  <c r="G135" i="151"/>
  <c r="G237" i="151" s="1"/>
  <c r="G271" i="151" s="1"/>
  <c r="G134" i="144"/>
  <c r="G85" i="162"/>
  <c r="G222" i="147"/>
  <c r="G256" i="147" s="1"/>
  <c r="G220" i="150"/>
  <c r="G254" i="150" s="1"/>
  <c r="G220" i="151"/>
  <c r="G254" i="151" s="1"/>
  <c r="G85" i="138"/>
  <c r="G79" i="162"/>
  <c r="G238" i="147"/>
  <c r="G272" i="147" s="1"/>
  <c r="G85" i="135"/>
  <c r="G96" i="142"/>
  <c r="G98" i="137"/>
  <c r="G236" i="144"/>
  <c r="G270" i="144" s="1"/>
  <c r="G220" i="144"/>
  <c r="G254" i="144" s="1"/>
  <c r="G235" i="150"/>
  <c r="G269" i="150" s="1"/>
  <c r="G232" i="150"/>
  <c r="G266" i="150" s="1"/>
  <c r="G79" i="138"/>
  <c r="G181" i="138" s="1"/>
  <c r="G95" i="162"/>
  <c r="G102" i="162"/>
  <c r="G82" i="162"/>
  <c r="G218" i="151"/>
  <c r="G252" i="151" s="1"/>
  <c r="G164" i="136"/>
  <c r="G198" i="136"/>
  <c r="G232" i="136" s="1"/>
  <c r="G266" i="136" s="1"/>
  <c r="G130" i="136"/>
  <c r="G235" i="147"/>
  <c r="G269" i="147" s="1"/>
  <c r="G82" i="135"/>
  <c r="G100" i="139"/>
  <c r="G148" i="151"/>
  <c r="G170" i="150"/>
  <c r="G238" i="150" s="1"/>
  <c r="G272" i="150" s="1"/>
  <c r="G233" i="150"/>
  <c r="G267" i="150" s="1"/>
  <c r="G98" i="162"/>
  <c r="G200" i="136"/>
  <c r="G132" i="136"/>
  <c r="G166" i="136"/>
  <c r="G101" i="143"/>
  <c r="G98" i="143"/>
  <c r="G233" i="151"/>
  <c r="G267" i="151" s="1"/>
  <c r="G99" i="135"/>
  <c r="G82" i="139"/>
  <c r="G220" i="146"/>
  <c r="G254" i="146" s="1"/>
  <c r="G236" i="146"/>
  <c r="G270" i="146" s="1"/>
  <c r="G101" i="142"/>
  <c r="G98" i="142"/>
  <c r="G217" i="150"/>
  <c r="G251" i="150" s="1"/>
  <c r="G238" i="146"/>
  <c r="G272" i="146" s="1"/>
  <c r="G82" i="143"/>
  <c r="G216" i="146"/>
  <c r="G250" i="146" s="1"/>
  <c r="G101" i="135"/>
  <c r="G85" i="142"/>
  <c r="G187" i="142" s="1"/>
  <c r="G218" i="146"/>
  <c r="G252" i="146" s="1"/>
  <c r="G96" i="137"/>
  <c r="G231" i="151"/>
  <c r="G265" i="151" s="1"/>
  <c r="G133" i="136"/>
  <c r="G167" i="136"/>
  <c r="G201" i="136"/>
  <c r="G84" i="142"/>
  <c r="G86" i="137"/>
  <c r="G120" i="137" s="1"/>
  <c r="G83" i="138"/>
  <c r="G101" i="138"/>
  <c r="G97" i="138"/>
  <c r="G204" i="136"/>
  <c r="G136" i="136"/>
  <c r="G170" i="136"/>
  <c r="G83" i="134"/>
  <c r="G96" i="134"/>
  <c r="G130" i="134" s="1"/>
  <c r="G97" i="139"/>
  <c r="F332" i="162"/>
  <c r="F333" i="162" s="1"/>
  <c r="G163" i="136"/>
  <c r="G197" i="136"/>
  <c r="G231" i="136" s="1"/>
  <c r="G265" i="136" s="1"/>
  <c r="G129" i="136"/>
  <c r="G186" i="136"/>
  <c r="G118" i="136"/>
  <c r="G152" i="136"/>
  <c r="G165" i="136"/>
  <c r="G199" i="136"/>
  <c r="G131" i="136"/>
  <c r="G184" i="143"/>
  <c r="G150" i="143"/>
  <c r="G116" i="143"/>
  <c r="G149" i="151"/>
  <c r="G183" i="151"/>
  <c r="G115" i="151"/>
  <c r="D105" i="199"/>
  <c r="D149" i="199" s="1"/>
  <c r="D104" i="199"/>
  <c r="D103" i="199"/>
  <c r="G237" i="146"/>
  <c r="G271" i="146" s="1"/>
  <c r="G170" i="144"/>
  <c r="G204" i="144"/>
  <c r="G136" i="144"/>
  <c r="G115" i="147"/>
  <c r="G183" i="147"/>
  <c r="G149" i="147"/>
  <c r="G221" i="150"/>
  <c r="G255" i="150" s="1"/>
  <c r="G147" i="136"/>
  <c r="G181" i="136"/>
  <c r="G113" i="136"/>
  <c r="F27" i="128"/>
  <c r="F77" i="128" s="1"/>
  <c r="F313" i="145"/>
  <c r="F323" i="145"/>
  <c r="F360" i="145" s="1"/>
  <c r="G63" i="145" s="1"/>
  <c r="F304" i="145"/>
  <c r="F341" i="145" s="1"/>
  <c r="G44" i="145" s="1"/>
  <c r="F311" i="145"/>
  <c r="F348" i="145" s="1"/>
  <c r="G51" i="145" s="1"/>
  <c r="F325" i="145"/>
  <c r="F362" i="145" s="1"/>
  <c r="G65" i="145" s="1"/>
  <c r="F324" i="145"/>
  <c r="F361" i="145" s="1"/>
  <c r="G64" i="145" s="1"/>
  <c r="G98" i="145" s="1"/>
  <c r="F305" i="145"/>
  <c r="F342" i="145" s="1"/>
  <c r="G45" i="145" s="1"/>
  <c r="G79" i="145" s="1"/>
  <c r="F326" i="145"/>
  <c r="F363" i="145" s="1"/>
  <c r="G66" i="145" s="1"/>
  <c r="G100" i="145" s="1"/>
  <c r="F303" i="145"/>
  <c r="F328" i="145"/>
  <c r="F365" i="145" s="1"/>
  <c r="G68" i="145" s="1"/>
  <c r="F309" i="145"/>
  <c r="F346" i="145" s="1"/>
  <c r="G49" i="145" s="1"/>
  <c r="F319" i="145"/>
  <c r="F331" i="145"/>
  <c r="F307" i="145"/>
  <c r="F344" i="145" s="1"/>
  <c r="G47" i="145" s="1"/>
  <c r="F321" i="145"/>
  <c r="F358" i="145" s="1"/>
  <c r="G61" i="145" s="1"/>
  <c r="G95" i="145" s="1"/>
  <c r="F310" i="145"/>
  <c r="F347" i="145" s="1"/>
  <c r="G50" i="145" s="1"/>
  <c r="G84" i="145" s="1"/>
  <c r="F320" i="145"/>
  <c r="F357" i="145" s="1"/>
  <c r="G60" i="145" s="1"/>
  <c r="F322" i="145"/>
  <c r="F359" i="145" s="1"/>
  <c r="G62" i="145" s="1"/>
  <c r="F329" i="145"/>
  <c r="F312" i="145"/>
  <c r="F349" i="145" s="1"/>
  <c r="G52" i="145" s="1"/>
  <c r="G86" i="145" s="1"/>
  <c r="F327" i="145"/>
  <c r="F364" i="145" s="1"/>
  <c r="G67" i="145" s="1"/>
  <c r="F306" i="145"/>
  <c r="F343" i="145" s="1"/>
  <c r="G46" i="145" s="1"/>
  <c r="G80" i="145" s="1"/>
  <c r="F308" i="145"/>
  <c r="F345" i="145" s="1"/>
  <c r="G48" i="145" s="1"/>
  <c r="G82" i="145" s="1"/>
  <c r="G79" i="143"/>
  <c r="G80" i="143"/>
  <c r="F340" i="143"/>
  <c r="F314" i="143"/>
  <c r="G83" i="143"/>
  <c r="F26" i="102"/>
  <c r="D15" i="196"/>
  <c r="D44" i="196" s="1"/>
  <c r="D57" i="196" s="1"/>
  <c r="D98" i="196" s="1"/>
  <c r="G222" i="151"/>
  <c r="G256" i="151" s="1"/>
  <c r="G234" i="151"/>
  <c r="G268" i="151" s="1"/>
  <c r="G164" i="144"/>
  <c r="G130" i="144"/>
  <c r="G198" i="144"/>
  <c r="D104" i="200"/>
  <c r="D29" i="205" s="1"/>
  <c r="D105" i="200"/>
  <c r="D29" i="207" s="1"/>
  <c r="D30" i="209" s="1"/>
  <c r="D262" i="209" s="1"/>
  <c r="D31" i="210" s="1"/>
  <c r="D70" i="211" s="1"/>
  <c r="D103" i="200"/>
  <c r="G203" i="134"/>
  <c r="G135" i="134"/>
  <c r="G169" i="134"/>
  <c r="F17" i="102"/>
  <c r="D15" i="187"/>
  <c r="D44" i="187" s="1"/>
  <c r="D57" i="187" s="1"/>
  <c r="D98" i="187" s="1"/>
  <c r="G100" i="134"/>
  <c r="G102" i="134"/>
  <c r="G81" i="134"/>
  <c r="D103" i="203"/>
  <c r="D104" i="203"/>
  <c r="D32" i="205" s="1"/>
  <c r="D105" i="203"/>
  <c r="D32" i="207" s="1"/>
  <c r="D33" i="209" s="1"/>
  <c r="D265" i="209" s="1"/>
  <c r="D34" i="210" s="1"/>
  <c r="D73" i="211" s="1"/>
  <c r="G120" i="136"/>
  <c r="G154" i="136"/>
  <c r="G188" i="136"/>
  <c r="G120" i="135"/>
  <c r="G222" i="135" s="1"/>
  <c r="G256" i="135" s="1"/>
  <c r="G154" i="135"/>
  <c r="G188" i="135"/>
  <c r="G100" i="135"/>
  <c r="F18" i="102"/>
  <c r="D15" i="188"/>
  <c r="D44" i="188" s="1"/>
  <c r="D57" i="188" s="1"/>
  <c r="D98" i="188" s="1"/>
  <c r="G119" i="135"/>
  <c r="G187" i="135"/>
  <c r="G153" i="135"/>
  <c r="G95" i="135"/>
  <c r="G96" i="139"/>
  <c r="F313" i="139"/>
  <c r="F314" i="139" s="1"/>
  <c r="F340" i="139"/>
  <c r="G85" i="139"/>
  <c r="G86" i="139"/>
  <c r="G153" i="151"/>
  <c r="G187" i="151"/>
  <c r="G119" i="151"/>
  <c r="G204" i="151"/>
  <c r="G170" i="151"/>
  <c r="G136" i="151"/>
  <c r="G165" i="146"/>
  <c r="G199" i="146"/>
  <c r="G131" i="146"/>
  <c r="G118" i="147"/>
  <c r="G152" i="147"/>
  <c r="G186" i="147"/>
  <c r="G236" i="147"/>
  <c r="G270" i="147" s="1"/>
  <c r="G164" i="142"/>
  <c r="G198" i="142"/>
  <c r="G130" i="142"/>
  <c r="G186" i="142"/>
  <c r="G118" i="142"/>
  <c r="G152" i="142"/>
  <c r="G97" i="142"/>
  <c r="G86" i="142"/>
  <c r="G102" i="142"/>
  <c r="G150" i="150"/>
  <c r="G184" i="150"/>
  <c r="G116" i="150"/>
  <c r="G151" i="136"/>
  <c r="G185" i="136"/>
  <c r="G117" i="136"/>
  <c r="G132" i="137"/>
  <c r="G166" i="137"/>
  <c r="G200" i="137"/>
  <c r="G169" i="137"/>
  <c r="G203" i="137"/>
  <c r="G135" i="137"/>
  <c r="G79" i="137"/>
  <c r="G188" i="137"/>
  <c r="F340" i="137"/>
  <c r="F313" i="137"/>
  <c r="F314" i="137" s="1"/>
  <c r="D104" i="189"/>
  <c r="D18" i="205" s="1"/>
  <c r="D105" i="189"/>
  <c r="D18" i="207" s="1"/>
  <c r="D19" i="209" s="1"/>
  <c r="D251" i="209" s="1"/>
  <c r="D20" i="210" s="1"/>
  <c r="D59" i="211" s="1"/>
  <c r="D103" i="189"/>
  <c r="F313" i="138"/>
  <c r="F314" i="138" s="1"/>
  <c r="F340" i="138"/>
  <c r="G114" i="138"/>
  <c r="G148" i="138"/>
  <c r="G182" i="138"/>
  <c r="G132" i="138"/>
  <c r="G166" i="138"/>
  <c r="G200" i="138"/>
  <c r="G99" i="138"/>
  <c r="G185" i="162"/>
  <c r="G117" i="162"/>
  <c r="G151" i="162"/>
  <c r="G119" i="162"/>
  <c r="G187" i="162"/>
  <c r="G153" i="162"/>
  <c r="G200" i="162"/>
  <c r="G166" i="162"/>
  <c r="G132" i="162"/>
  <c r="F356" i="162"/>
  <c r="F330" i="162"/>
  <c r="G99" i="162"/>
  <c r="L515" i="217"/>
  <c r="G45" i="140"/>
  <c r="G79" i="140" s="1"/>
  <c r="G204" i="140"/>
  <c r="G238" i="140" s="1"/>
  <c r="G272" i="140" s="1"/>
  <c r="G170" i="140"/>
  <c r="G136" i="140"/>
  <c r="L518" i="217"/>
  <c r="G51" i="140"/>
  <c r="G85" i="140" s="1"/>
  <c r="G101" i="140"/>
  <c r="F366" i="151"/>
  <c r="G69" i="151" s="1"/>
  <c r="G70" i="151" s="1"/>
  <c r="G59" i="151"/>
  <c r="G154" i="144"/>
  <c r="G120" i="144"/>
  <c r="G188" i="144"/>
  <c r="G114" i="147"/>
  <c r="G182" i="147"/>
  <c r="G148" i="147"/>
  <c r="G203" i="143"/>
  <c r="G169" i="143"/>
  <c r="G135" i="143"/>
  <c r="G102" i="143"/>
  <c r="G115" i="144"/>
  <c r="G149" i="144"/>
  <c r="G183" i="144"/>
  <c r="F47" i="95"/>
  <c r="F72" i="95" s="1"/>
  <c r="F103" i="102"/>
  <c r="G59" i="147"/>
  <c r="F366" i="147"/>
  <c r="G69" i="147" s="1"/>
  <c r="G70" i="147" s="1"/>
  <c r="G147" i="134"/>
  <c r="G113" i="134"/>
  <c r="G181" i="134"/>
  <c r="G185" i="134"/>
  <c r="G151" i="134"/>
  <c r="G117" i="134"/>
  <c r="F356" i="134"/>
  <c r="F329" i="134"/>
  <c r="F330" i="134" s="1"/>
  <c r="F106" i="102"/>
  <c r="F50" i="95"/>
  <c r="F75" i="95" s="1"/>
  <c r="G149" i="136"/>
  <c r="G183" i="136"/>
  <c r="G115" i="136"/>
  <c r="G204" i="135"/>
  <c r="G136" i="135"/>
  <c r="G170" i="135"/>
  <c r="F329" i="135"/>
  <c r="F330" i="135" s="1"/>
  <c r="F356" i="135"/>
  <c r="G130" i="135"/>
  <c r="G198" i="135"/>
  <c r="G164" i="135"/>
  <c r="G97" i="135"/>
  <c r="G184" i="135"/>
  <c r="G116" i="135"/>
  <c r="G150" i="135"/>
  <c r="G197" i="139"/>
  <c r="G129" i="139"/>
  <c r="G163" i="139"/>
  <c r="D15" i="192"/>
  <c r="D44" i="192" s="1"/>
  <c r="D57" i="192" s="1"/>
  <c r="D98" i="192" s="1"/>
  <c r="F22" i="102"/>
  <c r="G168" i="139"/>
  <c r="G202" i="139"/>
  <c r="G134" i="139"/>
  <c r="G101" i="139"/>
  <c r="G131" i="139"/>
  <c r="G165" i="139"/>
  <c r="G199" i="139"/>
  <c r="G151" i="151"/>
  <c r="G185" i="151"/>
  <c r="G117" i="151"/>
  <c r="G133" i="146"/>
  <c r="G201" i="146"/>
  <c r="G167" i="146"/>
  <c r="G183" i="146"/>
  <c r="G149" i="146"/>
  <c r="G115" i="146"/>
  <c r="G117" i="144"/>
  <c r="G185" i="144"/>
  <c r="G151" i="144"/>
  <c r="G130" i="147"/>
  <c r="G164" i="147"/>
  <c r="G198" i="147"/>
  <c r="G233" i="147"/>
  <c r="G267" i="147" s="1"/>
  <c r="G219" i="147"/>
  <c r="G253" i="147" s="1"/>
  <c r="G185" i="142"/>
  <c r="G117" i="142"/>
  <c r="G151" i="142"/>
  <c r="G82" i="142"/>
  <c r="F24" i="102"/>
  <c r="D15" i="194"/>
  <c r="D44" i="194" s="1"/>
  <c r="D57" i="194" s="1"/>
  <c r="D98" i="194" s="1"/>
  <c r="G182" i="142"/>
  <c r="G148" i="142"/>
  <c r="G114" i="142"/>
  <c r="G79" i="142"/>
  <c r="F356" i="142"/>
  <c r="F330" i="142"/>
  <c r="C78" i="212"/>
  <c r="A78" i="212" s="1"/>
  <c r="C79" i="212"/>
  <c r="A79" i="212" s="1"/>
  <c r="G203" i="136"/>
  <c r="G135" i="136"/>
  <c r="G169" i="136"/>
  <c r="F350" i="151"/>
  <c r="F351" i="151" s="1"/>
  <c r="G43" i="151"/>
  <c r="G129" i="146"/>
  <c r="G197" i="146"/>
  <c r="G163" i="146"/>
  <c r="G129" i="137"/>
  <c r="G163" i="137"/>
  <c r="G197" i="137"/>
  <c r="G102" i="137"/>
  <c r="F20" i="102"/>
  <c r="D15" i="190"/>
  <c r="D44" i="190" s="1"/>
  <c r="D57" i="190" s="1"/>
  <c r="D98" i="190" s="1"/>
  <c r="G100" i="137"/>
  <c r="G216" i="144"/>
  <c r="G250" i="144" s="1"/>
  <c r="G43" i="150"/>
  <c r="F350" i="150"/>
  <c r="F351" i="150" s="1"/>
  <c r="G150" i="138"/>
  <c r="G116" i="138"/>
  <c r="G184" i="138"/>
  <c r="G202" i="138"/>
  <c r="G168" i="138"/>
  <c r="G134" i="138"/>
  <c r="F21" i="102"/>
  <c r="D15" i="191"/>
  <c r="D44" i="191" s="1"/>
  <c r="D57" i="191" s="1"/>
  <c r="D98" i="191" s="1"/>
  <c r="G197" i="138"/>
  <c r="G129" i="138"/>
  <c r="G163" i="138"/>
  <c r="G81" i="138"/>
  <c r="G84" i="138"/>
  <c r="G86" i="162"/>
  <c r="G80" i="162"/>
  <c r="G84" i="162"/>
  <c r="L517" i="217"/>
  <c r="G49" i="140"/>
  <c r="G83" i="140" s="1"/>
  <c r="G164" i="140"/>
  <c r="G130" i="140"/>
  <c r="G198" i="140"/>
  <c r="G232" i="140" s="1"/>
  <c r="G266" i="140" s="1"/>
  <c r="G95" i="140"/>
  <c r="G86" i="140"/>
  <c r="F15" i="102"/>
  <c r="D15" i="185"/>
  <c r="D44" i="185" s="1"/>
  <c r="D57" i="185" s="1"/>
  <c r="D98" i="185" s="1"/>
  <c r="G185" i="146"/>
  <c r="G117" i="146"/>
  <c r="G151" i="146"/>
  <c r="D105" i="197"/>
  <c r="D149" i="197" s="1"/>
  <c r="D104" i="197"/>
  <c r="D103" i="197"/>
  <c r="G231" i="144"/>
  <c r="G265" i="144" s="1"/>
  <c r="G187" i="147"/>
  <c r="G153" i="147"/>
  <c r="G119" i="147"/>
  <c r="G113" i="150"/>
  <c r="G147" i="150"/>
  <c r="G181" i="150"/>
  <c r="F319" i="141"/>
  <c r="F311" i="141"/>
  <c r="F348" i="141" s="1"/>
  <c r="G51" i="141" s="1"/>
  <c r="G85" i="141" s="1"/>
  <c r="F310" i="141"/>
  <c r="F347" i="141" s="1"/>
  <c r="G50" i="141" s="1"/>
  <c r="F313" i="141"/>
  <c r="F305" i="141"/>
  <c r="F342" i="141" s="1"/>
  <c r="G45" i="141" s="1"/>
  <c r="F303" i="141"/>
  <c r="F327" i="141"/>
  <c r="F364" i="141" s="1"/>
  <c r="G67" i="141" s="1"/>
  <c r="F326" i="141"/>
  <c r="F363" i="141" s="1"/>
  <c r="G66" i="141" s="1"/>
  <c r="F306" i="141"/>
  <c r="F343" i="141" s="1"/>
  <c r="G46" i="141" s="1"/>
  <c r="G80" i="141" s="1"/>
  <c r="F320" i="141"/>
  <c r="F357" i="141" s="1"/>
  <c r="G60" i="141" s="1"/>
  <c r="F22" i="128"/>
  <c r="F72" i="128" s="1"/>
  <c r="F331" i="141"/>
  <c r="F329" i="141"/>
  <c r="F328" i="141"/>
  <c r="F365" i="141" s="1"/>
  <c r="G68" i="141" s="1"/>
  <c r="F309" i="141"/>
  <c r="F346" i="141" s="1"/>
  <c r="G49" i="141" s="1"/>
  <c r="F308" i="141"/>
  <c r="F345" i="141" s="1"/>
  <c r="G48" i="141" s="1"/>
  <c r="F324" i="141"/>
  <c r="F361" i="141" s="1"/>
  <c r="G64" i="141" s="1"/>
  <c r="F304" i="141"/>
  <c r="F341" i="141" s="1"/>
  <c r="G44" i="141" s="1"/>
  <c r="F323" i="141"/>
  <c r="F360" i="141" s="1"/>
  <c r="G63" i="141" s="1"/>
  <c r="F312" i="141"/>
  <c r="F349" i="141" s="1"/>
  <c r="G52" i="141" s="1"/>
  <c r="F325" i="141"/>
  <c r="F362" i="141" s="1"/>
  <c r="G65" i="141" s="1"/>
  <c r="G99" i="141" s="1"/>
  <c r="F321" i="141"/>
  <c r="F358" i="141" s="1"/>
  <c r="G61" i="141" s="1"/>
  <c r="F322" i="141"/>
  <c r="F359" i="141" s="1"/>
  <c r="G62" i="141" s="1"/>
  <c r="F307" i="141"/>
  <c r="F344" i="141" s="1"/>
  <c r="G47" i="141" s="1"/>
  <c r="G119" i="136"/>
  <c r="G187" i="136"/>
  <c r="G153" i="136"/>
  <c r="G118" i="143"/>
  <c r="G186" i="143"/>
  <c r="G152" i="143"/>
  <c r="G163" i="143"/>
  <c r="G129" i="143"/>
  <c r="G197" i="143"/>
  <c r="G131" i="143"/>
  <c r="G165" i="143"/>
  <c r="G199" i="143"/>
  <c r="G96" i="143"/>
  <c r="G168" i="143"/>
  <c r="G202" i="143"/>
  <c r="G134" i="143"/>
  <c r="G99" i="143"/>
  <c r="G181" i="146"/>
  <c r="G113" i="146"/>
  <c r="G147" i="146"/>
  <c r="G116" i="147"/>
  <c r="G184" i="147"/>
  <c r="G150" i="147"/>
  <c r="G163" i="134"/>
  <c r="G197" i="134"/>
  <c r="G129" i="134"/>
  <c r="G133" i="134"/>
  <c r="G167" i="134"/>
  <c r="G201" i="134"/>
  <c r="G80" i="134"/>
  <c r="G200" i="134"/>
  <c r="G166" i="134"/>
  <c r="G132" i="134"/>
  <c r="G97" i="134"/>
  <c r="G135" i="150"/>
  <c r="G169" i="150"/>
  <c r="G203" i="150"/>
  <c r="G59" i="136"/>
  <c r="F366" i="136"/>
  <c r="G167" i="135"/>
  <c r="G201" i="135"/>
  <c r="G133" i="135"/>
  <c r="G83" i="135"/>
  <c r="G113" i="135"/>
  <c r="G147" i="135"/>
  <c r="G181" i="135"/>
  <c r="G203" i="135"/>
  <c r="G135" i="135"/>
  <c r="G169" i="135"/>
  <c r="G116" i="139"/>
  <c r="G150" i="139"/>
  <c r="G184" i="139"/>
  <c r="G83" i="139"/>
  <c r="F356" i="139"/>
  <c r="F329" i="139"/>
  <c r="F330" i="139" s="1"/>
  <c r="G181" i="139"/>
  <c r="G113" i="139"/>
  <c r="G147" i="139"/>
  <c r="G84" i="139"/>
  <c r="D104" i="204"/>
  <c r="D33" i="205" s="1"/>
  <c r="D103" i="204"/>
  <c r="D105" i="204"/>
  <c r="D33" i="207" s="1"/>
  <c r="D34" i="209" s="1"/>
  <c r="D266" i="209" s="1"/>
  <c r="D35" i="210" s="1"/>
  <c r="D74" i="211" s="1"/>
  <c r="G202" i="151"/>
  <c r="G134" i="151"/>
  <c r="G168" i="151"/>
  <c r="G59" i="144"/>
  <c r="F366" i="144"/>
  <c r="G69" i="144" s="1"/>
  <c r="G135" i="142"/>
  <c r="G169" i="142"/>
  <c r="G203" i="142"/>
  <c r="G183" i="142"/>
  <c r="G115" i="142"/>
  <c r="G149" i="142"/>
  <c r="F340" i="142"/>
  <c r="F314" i="142"/>
  <c r="G166" i="142"/>
  <c r="G200" i="142"/>
  <c r="G132" i="142"/>
  <c r="G153" i="142"/>
  <c r="C100" i="95"/>
  <c r="I75" i="218"/>
  <c r="I65" i="212"/>
  <c r="J100" i="95" s="1"/>
  <c r="G76" i="212"/>
  <c r="G74" i="212"/>
  <c r="G202" i="150"/>
  <c r="G134" i="150"/>
  <c r="G168" i="150"/>
  <c r="F314" i="136"/>
  <c r="F332" i="136"/>
  <c r="F333" i="136" s="1"/>
  <c r="G235" i="151"/>
  <c r="G269" i="151" s="1"/>
  <c r="G152" i="137"/>
  <c r="G118" i="137"/>
  <c r="G186" i="137"/>
  <c r="G85" i="137"/>
  <c r="G81" i="137"/>
  <c r="G99" i="137"/>
  <c r="G83" i="137"/>
  <c r="F329" i="137"/>
  <c r="F330" i="137" s="1"/>
  <c r="F356" i="137"/>
  <c r="G147" i="144"/>
  <c r="G181" i="144"/>
  <c r="G113" i="144"/>
  <c r="G218" i="144"/>
  <c r="G252" i="144" s="1"/>
  <c r="G120" i="138"/>
  <c r="G154" i="138"/>
  <c r="G188" i="138"/>
  <c r="F356" i="138"/>
  <c r="F329" i="138"/>
  <c r="F330" i="138" s="1"/>
  <c r="G187" i="138"/>
  <c r="G153" i="138"/>
  <c r="G119" i="138"/>
  <c r="G96" i="138"/>
  <c r="G113" i="162"/>
  <c r="G181" i="162"/>
  <c r="G147" i="162"/>
  <c r="G169" i="162"/>
  <c r="G135" i="162"/>
  <c r="G203" i="162"/>
  <c r="G237" i="162" s="1"/>
  <c r="G271" i="162" s="1"/>
  <c r="G97" i="162"/>
  <c r="F340" i="162"/>
  <c r="F314" i="162"/>
  <c r="G81" i="162"/>
  <c r="F30" i="128"/>
  <c r="F80" i="128" s="1"/>
  <c r="F319" i="148"/>
  <c r="F326" i="148"/>
  <c r="F363" i="148" s="1"/>
  <c r="G66" i="148" s="1"/>
  <c r="F303" i="148"/>
  <c r="F310" i="148"/>
  <c r="F347" i="148" s="1"/>
  <c r="G50" i="148" s="1"/>
  <c r="F320" i="148"/>
  <c r="F357" i="148" s="1"/>
  <c r="G60" i="148" s="1"/>
  <c r="F322" i="148"/>
  <c r="F359" i="148" s="1"/>
  <c r="G62" i="148" s="1"/>
  <c r="F306" i="148"/>
  <c r="F343" i="148" s="1"/>
  <c r="G46" i="148" s="1"/>
  <c r="F313" i="148"/>
  <c r="F328" i="148"/>
  <c r="F365" i="148" s="1"/>
  <c r="G68" i="148" s="1"/>
  <c r="F312" i="148"/>
  <c r="F349" i="148" s="1"/>
  <c r="G52" i="148" s="1"/>
  <c r="F308" i="148"/>
  <c r="F345" i="148" s="1"/>
  <c r="G48" i="148" s="1"/>
  <c r="F325" i="148"/>
  <c r="F362" i="148" s="1"/>
  <c r="G65" i="148" s="1"/>
  <c r="F309" i="148"/>
  <c r="F346" i="148" s="1"/>
  <c r="G49" i="148" s="1"/>
  <c r="F323" i="148"/>
  <c r="F360" i="148" s="1"/>
  <c r="G63" i="148" s="1"/>
  <c r="G97" i="148" s="1"/>
  <c r="F304" i="148"/>
  <c r="F341" i="148" s="1"/>
  <c r="G44" i="148" s="1"/>
  <c r="F307" i="148"/>
  <c r="F344" i="148" s="1"/>
  <c r="G47" i="148" s="1"/>
  <c r="F321" i="148"/>
  <c r="F358" i="148" s="1"/>
  <c r="G61" i="148" s="1"/>
  <c r="G95" i="148" s="1"/>
  <c r="F324" i="148"/>
  <c r="F361" i="148" s="1"/>
  <c r="G64" i="148" s="1"/>
  <c r="G98" i="148" s="1"/>
  <c r="F305" i="148"/>
  <c r="F342" i="148" s="1"/>
  <c r="G45" i="148" s="1"/>
  <c r="G79" i="148" s="1"/>
  <c r="F331" i="148"/>
  <c r="F329" i="148"/>
  <c r="F327" i="148"/>
  <c r="F364" i="148" s="1"/>
  <c r="G67" i="148" s="1"/>
  <c r="G101" i="148" s="1"/>
  <c r="F311" i="148"/>
  <c r="F348" i="148" s="1"/>
  <c r="G51" i="148" s="1"/>
  <c r="F340" i="140"/>
  <c r="F313" i="140"/>
  <c r="G202" i="140"/>
  <c r="G236" i="140" s="1"/>
  <c r="G270" i="140" s="1"/>
  <c r="G134" i="140"/>
  <c r="G168" i="140"/>
  <c r="G99" i="140"/>
  <c r="F329" i="140"/>
  <c r="F330" i="140" s="1"/>
  <c r="F356" i="140"/>
  <c r="F46" i="95"/>
  <c r="F71" i="95" s="1"/>
  <c r="F102" i="102"/>
  <c r="F44" i="95"/>
  <c r="F69" i="95" s="1"/>
  <c r="F100" i="102"/>
  <c r="G117" i="150"/>
  <c r="G151" i="150"/>
  <c r="G185" i="150"/>
  <c r="G200" i="143"/>
  <c r="G132" i="143"/>
  <c r="G166" i="143"/>
  <c r="G59" i="146"/>
  <c r="F366" i="146"/>
  <c r="G69" i="146" s="1"/>
  <c r="G166" i="146"/>
  <c r="G132" i="146"/>
  <c r="G200" i="146"/>
  <c r="G130" i="146"/>
  <c r="G198" i="146"/>
  <c r="G164" i="146"/>
  <c r="G119" i="144"/>
  <c r="G187" i="144"/>
  <c r="G153" i="144"/>
  <c r="G135" i="147"/>
  <c r="G203" i="147"/>
  <c r="G169" i="147"/>
  <c r="G113" i="147"/>
  <c r="G181" i="147"/>
  <c r="G147" i="147"/>
  <c r="F327" i="149"/>
  <c r="F364" i="149" s="1"/>
  <c r="G67" i="149" s="1"/>
  <c r="F308" i="149"/>
  <c r="F345" i="149" s="1"/>
  <c r="G48" i="149" s="1"/>
  <c r="F322" i="149"/>
  <c r="F359" i="149" s="1"/>
  <c r="G62" i="149" s="1"/>
  <c r="F329" i="149"/>
  <c r="F306" i="149"/>
  <c r="F343" i="149" s="1"/>
  <c r="G46" i="149" s="1"/>
  <c r="F313" i="149"/>
  <c r="F311" i="149"/>
  <c r="F348" i="149" s="1"/>
  <c r="G51" i="149" s="1"/>
  <c r="F325" i="149"/>
  <c r="F362" i="149" s="1"/>
  <c r="G65" i="149" s="1"/>
  <c r="F309" i="149"/>
  <c r="F346" i="149" s="1"/>
  <c r="G49" i="149" s="1"/>
  <c r="F324" i="149"/>
  <c r="F361" i="149" s="1"/>
  <c r="G64" i="149" s="1"/>
  <c r="F323" i="149"/>
  <c r="F360" i="149" s="1"/>
  <c r="G63" i="149" s="1"/>
  <c r="G97" i="149" s="1"/>
  <c r="F331" i="149"/>
  <c r="F307" i="149"/>
  <c r="F344" i="149" s="1"/>
  <c r="G47" i="149" s="1"/>
  <c r="G81" i="149" s="1"/>
  <c r="F31" i="128"/>
  <c r="F81" i="128" s="1"/>
  <c r="F312" i="149"/>
  <c r="F349" i="149" s="1"/>
  <c r="G52" i="149" s="1"/>
  <c r="G86" i="149" s="1"/>
  <c r="F326" i="149"/>
  <c r="F363" i="149" s="1"/>
  <c r="G66" i="149" s="1"/>
  <c r="G100" i="149" s="1"/>
  <c r="F303" i="149"/>
  <c r="F310" i="149"/>
  <c r="F347" i="149" s="1"/>
  <c r="G50" i="149" s="1"/>
  <c r="F320" i="149"/>
  <c r="F357" i="149" s="1"/>
  <c r="G60" i="149" s="1"/>
  <c r="F304" i="149"/>
  <c r="F341" i="149" s="1"/>
  <c r="G44" i="149" s="1"/>
  <c r="F328" i="149"/>
  <c r="F365" i="149" s="1"/>
  <c r="G68" i="149" s="1"/>
  <c r="G102" i="149" s="1"/>
  <c r="F319" i="149"/>
  <c r="F321" i="149"/>
  <c r="F358" i="149" s="1"/>
  <c r="G61" i="149" s="1"/>
  <c r="G95" i="149" s="1"/>
  <c r="F305" i="149"/>
  <c r="F342" i="149" s="1"/>
  <c r="G45" i="149" s="1"/>
  <c r="G79" i="149" s="1"/>
  <c r="G120" i="143"/>
  <c r="G154" i="143"/>
  <c r="G188" i="143"/>
  <c r="G81" i="143"/>
  <c r="F332" i="143"/>
  <c r="F333" i="143" s="1"/>
  <c r="F356" i="143"/>
  <c r="F330" i="143"/>
  <c r="G85" i="143"/>
  <c r="G198" i="151"/>
  <c r="G130" i="151"/>
  <c r="G164" i="151"/>
  <c r="G153" i="146"/>
  <c r="G187" i="146"/>
  <c r="G119" i="146"/>
  <c r="G43" i="144"/>
  <c r="F350" i="144"/>
  <c r="F351" i="144" s="1"/>
  <c r="G201" i="144"/>
  <c r="G167" i="144"/>
  <c r="G133" i="144"/>
  <c r="G235" i="144" s="1"/>
  <c r="G269" i="144" s="1"/>
  <c r="G132" i="147"/>
  <c r="G166" i="147"/>
  <c r="G200" i="147"/>
  <c r="G116" i="134"/>
  <c r="G150" i="134"/>
  <c r="G184" i="134"/>
  <c r="G188" i="134"/>
  <c r="G120" i="134"/>
  <c r="G154" i="134"/>
  <c r="F340" i="134"/>
  <c r="F313" i="134"/>
  <c r="F314" i="134" s="1"/>
  <c r="G187" i="134"/>
  <c r="G119" i="134"/>
  <c r="G153" i="134"/>
  <c r="G84" i="134"/>
  <c r="G154" i="150"/>
  <c r="G188" i="150"/>
  <c r="G120" i="150"/>
  <c r="G216" i="150"/>
  <c r="G250" i="150" s="1"/>
  <c r="G59" i="150"/>
  <c r="F366" i="150"/>
  <c r="G69" i="150" s="1"/>
  <c r="F340" i="135"/>
  <c r="F313" i="135"/>
  <c r="F332" i="135" s="1"/>
  <c r="F333" i="135" s="1"/>
  <c r="G80" i="135"/>
  <c r="G81" i="135"/>
  <c r="G84" i="135"/>
  <c r="G98" i="135"/>
  <c r="G102" i="139"/>
  <c r="G80" i="139"/>
  <c r="G98" i="139"/>
  <c r="G99" i="139"/>
  <c r="G81" i="139"/>
  <c r="F51" i="95"/>
  <c r="F76" i="95" s="1"/>
  <c r="F107" i="102"/>
  <c r="G181" i="151"/>
  <c r="G147" i="151"/>
  <c r="G113" i="151"/>
  <c r="G222" i="146"/>
  <c r="G256" i="146" s="1"/>
  <c r="G234" i="144"/>
  <c r="G268" i="144" s="1"/>
  <c r="G203" i="144"/>
  <c r="G135" i="144"/>
  <c r="G169" i="144"/>
  <c r="G197" i="147"/>
  <c r="G129" i="147"/>
  <c r="G163" i="147"/>
  <c r="F333" i="142"/>
  <c r="G99" i="142"/>
  <c r="G100" i="142"/>
  <c r="G95" i="142"/>
  <c r="G231" i="150"/>
  <c r="G265" i="150" s="1"/>
  <c r="F350" i="136"/>
  <c r="G43" i="136"/>
  <c r="G216" i="151"/>
  <c r="G250" i="151" s="1"/>
  <c r="G43" i="146"/>
  <c r="F350" i="146"/>
  <c r="F351" i="146" s="1"/>
  <c r="G150" i="137"/>
  <c r="G184" i="137"/>
  <c r="G116" i="137"/>
  <c r="G131" i="137"/>
  <c r="G165" i="137"/>
  <c r="G199" i="137"/>
  <c r="G164" i="137"/>
  <c r="G198" i="137"/>
  <c r="G130" i="137"/>
  <c r="G80" i="137"/>
  <c r="G43" i="147"/>
  <c r="F350" i="147"/>
  <c r="F351" i="147" s="1"/>
  <c r="G166" i="150"/>
  <c r="G200" i="150"/>
  <c r="G132" i="150"/>
  <c r="F92" i="102"/>
  <c r="F36" i="95"/>
  <c r="F61" i="95" s="1"/>
  <c r="G136" i="138"/>
  <c r="G170" i="138"/>
  <c r="G204" i="138"/>
  <c r="G185" i="138"/>
  <c r="G117" i="138"/>
  <c r="G151" i="138"/>
  <c r="G169" i="138"/>
  <c r="G203" i="138"/>
  <c r="G135" i="138"/>
  <c r="G147" i="138"/>
  <c r="G199" i="138"/>
  <c r="G131" i="138"/>
  <c r="G165" i="138"/>
  <c r="G198" i="162"/>
  <c r="G130" i="162"/>
  <c r="G164" i="162"/>
  <c r="G197" i="162"/>
  <c r="G129" i="162"/>
  <c r="G163" i="162"/>
  <c r="D15" i="195"/>
  <c r="D44" i="195" s="1"/>
  <c r="D57" i="195" s="1"/>
  <c r="D98" i="195" s="1"/>
  <c r="F25" i="102"/>
  <c r="G204" i="162"/>
  <c r="G170" i="162"/>
  <c r="G136" i="162"/>
  <c r="G168" i="162"/>
  <c r="G134" i="162"/>
  <c r="G202" i="162"/>
  <c r="G150" i="162"/>
  <c r="G184" i="162"/>
  <c r="G116" i="162"/>
  <c r="G200" i="140"/>
  <c r="G166" i="140"/>
  <c r="G132" i="140"/>
  <c r="L516" i="217"/>
  <c r="G47" i="140"/>
  <c r="G81" i="140" s="1"/>
  <c r="G80" i="140"/>
  <c r="G97" i="140"/>
  <c r="G97" i="86"/>
  <c r="G131" i="86" s="1"/>
  <c r="G101" i="86"/>
  <c r="G135" i="86" s="1"/>
  <c r="K558" i="217"/>
  <c r="G47" i="86"/>
  <c r="G44" i="86"/>
  <c r="G50" i="86"/>
  <c r="D257" i="211"/>
  <c r="J68" i="218" s="1"/>
  <c r="D232" i="211"/>
  <c r="G51" i="86"/>
  <c r="G48" i="86"/>
  <c r="G203" i="86"/>
  <c r="G98" i="86"/>
  <c r="G95" i="86"/>
  <c r="G96" i="86"/>
  <c r="G52" i="86"/>
  <c r="G45" i="86"/>
  <c r="G102" i="86"/>
  <c r="G99" i="86"/>
  <c r="F340" i="86"/>
  <c r="F313" i="86"/>
  <c r="G100" i="86"/>
  <c r="F329" i="86"/>
  <c r="F330" i="86" s="1"/>
  <c r="F356" i="86"/>
  <c r="G49" i="86"/>
  <c r="G46" i="86"/>
  <c r="F65" i="128"/>
  <c r="G96" i="145" l="1"/>
  <c r="G99" i="148"/>
  <c r="F332" i="148"/>
  <c r="G84" i="148"/>
  <c r="G118" i="148" s="1"/>
  <c r="G232" i="151"/>
  <c r="G266" i="151" s="1"/>
  <c r="G237" i="136"/>
  <c r="G271" i="136" s="1"/>
  <c r="G221" i="162"/>
  <c r="G255" i="162" s="1"/>
  <c r="K557" i="217"/>
  <c r="K561" i="217"/>
  <c r="F332" i="134"/>
  <c r="F333" i="134" s="1"/>
  <c r="G119" i="142"/>
  <c r="G81" i="141"/>
  <c r="G149" i="141" s="1"/>
  <c r="G232" i="147"/>
  <c r="G266" i="147" s="1"/>
  <c r="G219" i="151"/>
  <c r="G253" i="151" s="1"/>
  <c r="G198" i="134"/>
  <c r="G234" i="136"/>
  <c r="G268" i="136" s="1"/>
  <c r="G113" i="138"/>
  <c r="G98" i="149"/>
  <c r="G200" i="149" s="1"/>
  <c r="G231" i="138"/>
  <c r="G265" i="138" s="1"/>
  <c r="G231" i="137"/>
  <c r="G265" i="137" s="1"/>
  <c r="G164" i="134"/>
  <c r="G154" i="137"/>
  <c r="G222" i="137" s="1"/>
  <c r="G256" i="137" s="1"/>
  <c r="G220" i="142"/>
  <c r="G254" i="142" s="1"/>
  <c r="G220" i="147"/>
  <c r="G254" i="147" s="1"/>
  <c r="G218" i="143"/>
  <c r="G252" i="143" s="1"/>
  <c r="G235" i="136"/>
  <c r="G269" i="136" s="1"/>
  <c r="G80" i="149"/>
  <c r="G101" i="149"/>
  <c r="G203" i="149" s="1"/>
  <c r="F367" i="146"/>
  <c r="G81" i="148"/>
  <c r="G149" i="148" s="1"/>
  <c r="G215" i="162"/>
  <c r="G249" i="162" s="1"/>
  <c r="G221" i="138"/>
  <c r="G255" i="138" s="1"/>
  <c r="G237" i="142"/>
  <c r="G271" i="142" s="1"/>
  <c r="G237" i="137"/>
  <c r="G271" i="137" s="1"/>
  <c r="G218" i="150"/>
  <c r="G252" i="150" s="1"/>
  <c r="G221" i="135"/>
  <c r="G255" i="135" s="1"/>
  <c r="G101" i="145"/>
  <c r="G217" i="151"/>
  <c r="G251" i="151" s="1"/>
  <c r="K556" i="217"/>
  <c r="G231" i="162"/>
  <c r="G265" i="162" s="1"/>
  <c r="G238" i="138"/>
  <c r="G272" i="138" s="1"/>
  <c r="G215" i="151"/>
  <c r="G249" i="151" s="1"/>
  <c r="G84" i="149"/>
  <c r="F332" i="149"/>
  <c r="F333" i="149" s="1"/>
  <c r="G82" i="149"/>
  <c r="G215" i="147"/>
  <c r="G249" i="147" s="1"/>
  <c r="G232" i="146"/>
  <c r="G266" i="146" s="1"/>
  <c r="G222" i="138"/>
  <c r="G256" i="138" s="1"/>
  <c r="G236" i="150"/>
  <c r="G270" i="150" s="1"/>
  <c r="F367" i="144"/>
  <c r="G233" i="143"/>
  <c r="G267" i="143" s="1"/>
  <c r="G86" i="141"/>
  <c r="G188" i="141" s="1"/>
  <c r="G100" i="141"/>
  <c r="F332" i="141"/>
  <c r="F333" i="141" s="1"/>
  <c r="G219" i="144"/>
  <c r="G253" i="144" s="1"/>
  <c r="G233" i="139"/>
  <c r="G267" i="139" s="1"/>
  <c r="G232" i="135"/>
  <c r="G266" i="135" s="1"/>
  <c r="G234" i="162"/>
  <c r="G268" i="162" s="1"/>
  <c r="G234" i="138"/>
  <c r="G268" i="138" s="1"/>
  <c r="G238" i="136"/>
  <c r="G272" i="136" s="1"/>
  <c r="K562" i="217"/>
  <c r="G220" i="136"/>
  <c r="G254" i="136" s="1"/>
  <c r="G215" i="150"/>
  <c r="G249" i="150" s="1"/>
  <c r="G236" i="138"/>
  <c r="G270" i="138" s="1"/>
  <c r="G231" i="146"/>
  <c r="G265" i="146" s="1"/>
  <c r="K563" i="217"/>
  <c r="G95" i="141"/>
  <c r="G102" i="141"/>
  <c r="G204" i="141" s="1"/>
  <c r="F35" i="128"/>
  <c r="K560" i="217"/>
  <c r="L527" i="217" s="1"/>
  <c r="K555" i="217"/>
  <c r="G215" i="139"/>
  <c r="G249" i="139" s="1"/>
  <c r="G235" i="135"/>
  <c r="G269" i="135" s="1"/>
  <c r="G237" i="150"/>
  <c r="G271" i="150" s="1"/>
  <c r="G235" i="134"/>
  <c r="G269" i="134" s="1"/>
  <c r="G231" i="134"/>
  <c r="G265" i="134" s="1"/>
  <c r="G231" i="143"/>
  <c r="G265" i="143" s="1"/>
  <c r="G149" i="140"/>
  <c r="G183" i="140"/>
  <c r="G115" i="140"/>
  <c r="G217" i="140" s="1"/>
  <c r="G251" i="140" s="1"/>
  <c r="D104" i="195"/>
  <c r="D24" i="205" s="1"/>
  <c r="D105" i="195"/>
  <c r="D24" i="207" s="1"/>
  <c r="D25" i="209" s="1"/>
  <c r="D257" i="209" s="1"/>
  <c r="D26" i="210" s="1"/>
  <c r="D65" i="211" s="1"/>
  <c r="D103" i="195"/>
  <c r="G53" i="147"/>
  <c r="G290" i="147" s="1"/>
  <c r="F368" i="147"/>
  <c r="F370" i="147" s="1"/>
  <c r="G232" i="137"/>
  <c r="G266" i="137" s="1"/>
  <c r="G77" i="136"/>
  <c r="G78" i="136"/>
  <c r="G168" i="142"/>
  <c r="G134" i="142"/>
  <c r="G202" i="142"/>
  <c r="G114" i="139"/>
  <c r="G148" i="139"/>
  <c r="G182" i="139"/>
  <c r="G149" i="135"/>
  <c r="G115" i="135"/>
  <c r="G183" i="135"/>
  <c r="G43" i="135"/>
  <c r="F350" i="135"/>
  <c r="F351" i="135" s="1"/>
  <c r="G118" i="134"/>
  <c r="G152" i="134"/>
  <c r="G186" i="134"/>
  <c r="G222" i="134"/>
  <c r="G256" i="134" s="1"/>
  <c r="G218" i="134"/>
  <c r="G252" i="134" s="1"/>
  <c r="G53" i="144"/>
  <c r="G290" i="144" s="1"/>
  <c r="F368" i="144"/>
  <c r="F370" i="144" s="1"/>
  <c r="G153" i="143"/>
  <c r="G119" i="143"/>
  <c r="G187" i="143"/>
  <c r="G222" i="143"/>
  <c r="G256" i="143" s="1"/>
  <c r="G136" i="149"/>
  <c r="G170" i="149"/>
  <c r="G204" i="149"/>
  <c r="F340" i="149"/>
  <c r="F314" i="149"/>
  <c r="G115" i="149"/>
  <c r="G183" i="149"/>
  <c r="G149" i="149"/>
  <c r="G83" i="149"/>
  <c r="G148" i="149"/>
  <c r="G114" i="149"/>
  <c r="G182" i="149"/>
  <c r="G135" i="149"/>
  <c r="G201" i="140"/>
  <c r="G235" i="140" s="1"/>
  <c r="G269" i="140" s="1"/>
  <c r="G133" i="140"/>
  <c r="G167" i="140"/>
  <c r="G85" i="148"/>
  <c r="G181" i="148"/>
  <c r="G113" i="148"/>
  <c r="G147" i="148"/>
  <c r="G82" i="148"/>
  <c r="G80" i="148"/>
  <c r="F340" i="148"/>
  <c r="F314" i="148"/>
  <c r="G115" i="162"/>
  <c r="G149" i="162"/>
  <c r="G183" i="162"/>
  <c r="G59" i="138"/>
  <c r="F366" i="138"/>
  <c r="G69" i="138" s="1"/>
  <c r="G133" i="137"/>
  <c r="G167" i="137"/>
  <c r="G201" i="137"/>
  <c r="G220" i="137"/>
  <c r="G254" i="137" s="1"/>
  <c r="D127" i="95"/>
  <c r="D137" i="95" s="1"/>
  <c r="C109" i="95"/>
  <c r="D136" i="95" s="1"/>
  <c r="G43" i="142"/>
  <c r="F350" i="142"/>
  <c r="F351" i="142" s="1"/>
  <c r="G215" i="135"/>
  <c r="G249" i="135" s="1"/>
  <c r="G220" i="143"/>
  <c r="G254" i="143" s="1"/>
  <c r="G115" i="141"/>
  <c r="G154" i="141"/>
  <c r="G82" i="141"/>
  <c r="G202" i="141"/>
  <c r="G134" i="141"/>
  <c r="G168" i="141"/>
  <c r="D148" i="197"/>
  <c r="D141" i="197"/>
  <c r="D153" i="197" s="1"/>
  <c r="D26" i="205" s="1"/>
  <c r="G154" i="140"/>
  <c r="G188" i="140"/>
  <c r="G120" i="140"/>
  <c r="G218" i="138"/>
  <c r="G252" i="138" s="1"/>
  <c r="G77" i="150"/>
  <c r="G78" i="150"/>
  <c r="F93" i="102"/>
  <c r="F37" i="95"/>
  <c r="F62" i="95" s="1"/>
  <c r="G184" i="142"/>
  <c r="G150" i="142"/>
  <c r="G116" i="142"/>
  <c r="G217" i="146"/>
  <c r="G251" i="146" s="1"/>
  <c r="G235" i="146"/>
  <c r="G269" i="146" s="1"/>
  <c r="G203" i="139"/>
  <c r="G135" i="139"/>
  <c r="G169" i="139"/>
  <c r="F95" i="102"/>
  <c r="F39" i="95"/>
  <c r="F64" i="95" s="1"/>
  <c r="G231" i="139"/>
  <c r="G265" i="139" s="1"/>
  <c r="G199" i="135"/>
  <c r="G131" i="135"/>
  <c r="G165" i="135"/>
  <c r="G59" i="135"/>
  <c r="F366" i="135"/>
  <c r="G69" i="135" s="1"/>
  <c r="G238" i="135"/>
  <c r="G272" i="135" s="1"/>
  <c r="G217" i="144"/>
  <c r="G251" i="144" s="1"/>
  <c r="G237" i="143"/>
  <c r="G271" i="143" s="1"/>
  <c r="G222" i="144"/>
  <c r="G256" i="144" s="1"/>
  <c r="G93" i="151"/>
  <c r="G94" i="151"/>
  <c r="G84" i="140"/>
  <c r="L574" i="217"/>
  <c r="G43" i="137"/>
  <c r="F350" i="137"/>
  <c r="F351" i="137" s="1"/>
  <c r="G113" i="137"/>
  <c r="G181" i="137"/>
  <c r="G147" i="137"/>
  <c r="G234" i="137"/>
  <c r="G268" i="137" s="1"/>
  <c r="G232" i="142"/>
  <c r="G266" i="142" s="1"/>
  <c r="G221" i="151"/>
  <c r="G255" i="151" s="1"/>
  <c r="G153" i="139"/>
  <c r="G187" i="139"/>
  <c r="G119" i="139"/>
  <c r="G198" i="139"/>
  <c r="G130" i="139"/>
  <c r="G164" i="139"/>
  <c r="D32" i="206"/>
  <c r="E91" i="208" s="1"/>
  <c r="D106" i="203"/>
  <c r="D111" i="203" s="1"/>
  <c r="D104" i="187"/>
  <c r="D16" i="205" s="1"/>
  <c r="D105" i="187"/>
  <c r="D16" i="207" s="1"/>
  <c r="D17" i="209" s="1"/>
  <c r="D249" i="209" s="1"/>
  <c r="D18" i="210" s="1"/>
  <c r="D57" i="211" s="1"/>
  <c r="D103" i="187"/>
  <c r="G237" i="134"/>
  <c r="G271" i="134" s="1"/>
  <c r="G232" i="144"/>
  <c r="G266" i="144" s="1"/>
  <c r="G150" i="145"/>
  <c r="G184" i="145"/>
  <c r="G116" i="145"/>
  <c r="G163" i="145"/>
  <c r="G129" i="145"/>
  <c r="G197" i="145"/>
  <c r="G83" i="145"/>
  <c r="G147" i="145"/>
  <c r="G113" i="145"/>
  <c r="G181" i="145"/>
  <c r="G215" i="136"/>
  <c r="G249" i="136" s="1"/>
  <c r="G217" i="147"/>
  <c r="G251" i="147" s="1"/>
  <c r="G238" i="144"/>
  <c r="G272" i="144" s="1"/>
  <c r="D141" i="199"/>
  <c r="D153" i="199" s="1"/>
  <c r="D28" i="205" s="1"/>
  <c r="D148" i="199"/>
  <c r="K559" i="217"/>
  <c r="G165" i="140"/>
  <c r="G199" i="140"/>
  <c r="G131" i="140"/>
  <c r="L575" i="217"/>
  <c r="G234" i="140"/>
  <c r="G268" i="140" s="1"/>
  <c r="G236" i="162"/>
  <c r="G270" i="162" s="1"/>
  <c r="G233" i="138"/>
  <c r="G267" i="138" s="1"/>
  <c r="G219" i="138"/>
  <c r="G253" i="138" s="1"/>
  <c r="G234" i="150"/>
  <c r="G268" i="150" s="1"/>
  <c r="G77" i="147"/>
  <c r="G78" i="147"/>
  <c r="G218" i="137"/>
  <c r="G252" i="137" s="1"/>
  <c r="G53" i="146"/>
  <c r="G290" i="146" s="1"/>
  <c r="F368" i="146"/>
  <c r="F370" i="146" s="1"/>
  <c r="F351" i="136"/>
  <c r="F368" i="136"/>
  <c r="F370" i="136" s="1"/>
  <c r="G53" i="136"/>
  <c r="G133" i="142"/>
  <c r="G167" i="142"/>
  <c r="G201" i="142"/>
  <c r="G237" i="144"/>
  <c r="G271" i="144" s="1"/>
  <c r="G149" i="139"/>
  <c r="G183" i="139"/>
  <c r="G115" i="139"/>
  <c r="G136" i="139"/>
  <c r="G204" i="139"/>
  <c r="G170" i="139"/>
  <c r="G182" i="135"/>
  <c r="G114" i="135"/>
  <c r="G148" i="135"/>
  <c r="F367" i="150"/>
  <c r="G222" i="150"/>
  <c r="G256" i="150" s="1"/>
  <c r="G234" i="147"/>
  <c r="G268" i="147" s="1"/>
  <c r="G77" i="144"/>
  <c r="G78" i="144"/>
  <c r="G183" i="143"/>
  <c r="G115" i="143"/>
  <c r="G149" i="143"/>
  <c r="G113" i="149"/>
  <c r="G147" i="149"/>
  <c r="G181" i="149"/>
  <c r="G168" i="149"/>
  <c r="G202" i="149"/>
  <c r="G134" i="149"/>
  <c r="G99" i="149"/>
  <c r="G237" i="147"/>
  <c r="G271" i="147" s="1"/>
  <c r="G221" i="144"/>
  <c r="G255" i="144" s="1"/>
  <c r="G234" i="146"/>
  <c r="G268" i="146" s="1"/>
  <c r="G219" i="150"/>
  <c r="G253" i="150" s="1"/>
  <c r="F314" i="140"/>
  <c r="F332" i="140"/>
  <c r="F333" i="140" s="1"/>
  <c r="G203" i="148"/>
  <c r="G135" i="148"/>
  <c r="G169" i="148"/>
  <c r="G200" i="148"/>
  <c r="G166" i="148"/>
  <c r="G132" i="148"/>
  <c r="G131" i="148"/>
  <c r="G199" i="148"/>
  <c r="G165" i="148"/>
  <c r="G86" i="148"/>
  <c r="G96" i="148"/>
  <c r="G100" i="148"/>
  <c r="G59" i="137"/>
  <c r="F366" i="137"/>
  <c r="G69" i="137" s="1"/>
  <c r="G149" i="137"/>
  <c r="G183" i="137"/>
  <c r="G115" i="137"/>
  <c r="G234" i="142"/>
  <c r="G268" i="142" s="1"/>
  <c r="G70" i="144"/>
  <c r="G236" i="151"/>
  <c r="G270" i="151" s="1"/>
  <c r="G186" i="139"/>
  <c r="G118" i="139"/>
  <c r="G152" i="139"/>
  <c r="G237" i="135"/>
  <c r="G271" i="135" s="1"/>
  <c r="G117" i="135"/>
  <c r="G151" i="135"/>
  <c r="G185" i="135"/>
  <c r="G69" i="136"/>
  <c r="G70" i="136" s="1"/>
  <c r="F367" i="136"/>
  <c r="G234" i="134"/>
  <c r="G268" i="134" s="1"/>
  <c r="G218" i="147"/>
  <c r="G252" i="147" s="1"/>
  <c r="G215" i="146"/>
  <c r="G249" i="146" s="1"/>
  <c r="G236" i="143"/>
  <c r="G270" i="143" s="1"/>
  <c r="G221" i="136"/>
  <c r="G255" i="136" s="1"/>
  <c r="G96" i="141"/>
  <c r="G97" i="141"/>
  <c r="G83" i="141"/>
  <c r="F23" i="102"/>
  <c r="D15" i="193"/>
  <c r="D44" i="193" s="1"/>
  <c r="D57" i="193" s="1"/>
  <c r="D98" i="193" s="1"/>
  <c r="G101" i="141"/>
  <c r="G84" i="141"/>
  <c r="G265" i="140"/>
  <c r="G197" i="140"/>
  <c r="G231" i="140" s="1"/>
  <c r="G129" i="140"/>
  <c r="G163" i="140"/>
  <c r="G152" i="162"/>
  <c r="G118" i="162"/>
  <c r="G186" i="162"/>
  <c r="G152" i="138"/>
  <c r="G186" i="138"/>
  <c r="G118" i="138"/>
  <c r="G136" i="137"/>
  <c r="G170" i="137"/>
  <c r="G204" i="137"/>
  <c r="G77" i="151"/>
  <c r="G78" i="151"/>
  <c r="G59" i="142"/>
  <c r="F366" i="142"/>
  <c r="G69" i="142" s="1"/>
  <c r="D105" i="192"/>
  <c r="D21" i="207" s="1"/>
  <c r="D22" i="209" s="1"/>
  <c r="D254" i="209" s="1"/>
  <c r="D23" i="210" s="1"/>
  <c r="D62" i="211" s="1"/>
  <c r="D103" i="192"/>
  <c r="D104" i="192"/>
  <c r="D21" i="205" s="1"/>
  <c r="G217" i="136"/>
  <c r="G251" i="136" s="1"/>
  <c r="F367" i="147"/>
  <c r="G136" i="143"/>
  <c r="G170" i="143"/>
  <c r="G204" i="143"/>
  <c r="G187" i="140"/>
  <c r="G153" i="140"/>
  <c r="G119" i="140"/>
  <c r="G167" i="162"/>
  <c r="G201" i="162"/>
  <c r="G133" i="162"/>
  <c r="G167" i="138"/>
  <c r="G201" i="138"/>
  <c r="G133" i="138"/>
  <c r="F350" i="138"/>
  <c r="F351" i="138" s="1"/>
  <c r="G43" i="138"/>
  <c r="G170" i="142"/>
  <c r="G204" i="142"/>
  <c r="G136" i="142"/>
  <c r="G163" i="135"/>
  <c r="G197" i="135"/>
  <c r="G129" i="135"/>
  <c r="D103" i="188"/>
  <c r="D104" i="188"/>
  <c r="D17" i="205" s="1"/>
  <c r="D105" i="188"/>
  <c r="D17" i="207" s="1"/>
  <c r="D18" i="209" s="1"/>
  <c r="D250" i="209" s="1"/>
  <c r="D19" i="210" s="1"/>
  <c r="D58" i="211" s="1"/>
  <c r="G222" i="136"/>
  <c r="G256" i="136" s="1"/>
  <c r="G115" i="134"/>
  <c r="G149" i="134"/>
  <c r="G183" i="134"/>
  <c r="F34" i="95"/>
  <c r="F59" i="95" s="1"/>
  <c r="F90" i="102"/>
  <c r="D29" i="206"/>
  <c r="E88" i="208" s="1"/>
  <c r="D106" i="200"/>
  <c r="D111" i="200" s="1"/>
  <c r="D105" i="196"/>
  <c r="D149" i="196" s="1"/>
  <c r="D103" i="196"/>
  <c r="D104" i="196"/>
  <c r="G43" i="143"/>
  <c r="F350" i="143"/>
  <c r="F351" i="143" s="1"/>
  <c r="G182" i="145"/>
  <c r="G148" i="145"/>
  <c r="G114" i="145"/>
  <c r="G164" i="145"/>
  <c r="G198" i="145"/>
  <c r="G130" i="145"/>
  <c r="G81" i="145"/>
  <c r="G102" i="145"/>
  <c r="G166" i="145"/>
  <c r="G200" i="145"/>
  <c r="G132" i="145"/>
  <c r="G97" i="145"/>
  <c r="G233" i="136"/>
  <c r="G267" i="136" s="1"/>
  <c r="G218" i="162"/>
  <c r="G252" i="162" s="1"/>
  <c r="G238" i="162"/>
  <c r="G272" i="162" s="1"/>
  <c r="G232" i="162"/>
  <c r="G266" i="162" s="1"/>
  <c r="G215" i="138"/>
  <c r="G249" i="138" s="1"/>
  <c r="G237" i="138"/>
  <c r="G271" i="138" s="1"/>
  <c r="G148" i="137"/>
  <c r="G114" i="137"/>
  <c r="G182" i="137"/>
  <c r="G233" i="137"/>
  <c r="G267" i="137" s="1"/>
  <c r="G77" i="146"/>
  <c r="G78" i="146"/>
  <c r="G231" i="147"/>
  <c r="G265" i="147" s="1"/>
  <c r="G201" i="139"/>
  <c r="G133" i="139"/>
  <c r="G167" i="139"/>
  <c r="G132" i="135"/>
  <c r="G166" i="135"/>
  <c r="G200" i="135"/>
  <c r="F314" i="135"/>
  <c r="G70" i="150"/>
  <c r="G221" i="134"/>
  <c r="G255" i="134" s="1"/>
  <c r="F350" i="134"/>
  <c r="G43" i="134"/>
  <c r="G221" i="146"/>
  <c r="G255" i="146" s="1"/>
  <c r="G59" i="143"/>
  <c r="F366" i="143"/>
  <c r="G69" i="143" s="1"/>
  <c r="G197" i="149"/>
  <c r="G163" i="149"/>
  <c r="G129" i="149"/>
  <c r="G188" i="149"/>
  <c r="G120" i="149"/>
  <c r="G154" i="149"/>
  <c r="G199" i="149"/>
  <c r="G165" i="149"/>
  <c r="G131" i="149"/>
  <c r="G85" i="149"/>
  <c r="G96" i="149"/>
  <c r="G70" i="146"/>
  <c r="G234" i="143"/>
  <c r="G268" i="143" s="1"/>
  <c r="F366" i="140"/>
  <c r="G59" i="140"/>
  <c r="L514" i="217"/>
  <c r="F350" i="140"/>
  <c r="G43" i="140"/>
  <c r="G197" i="148"/>
  <c r="G129" i="148"/>
  <c r="G163" i="148"/>
  <c r="G83" i="148"/>
  <c r="G102" i="148"/>
  <c r="F356" i="148"/>
  <c r="F330" i="148"/>
  <c r="F350" i="162"/>
  <c r="F351" i="162" s="1"/>
  <c r="G43" i="162"/>
  <c r="G215" i="144"/>
  <c r="G249" i="144" s="1"/>
  <c r="G153" i="137"/>
  <c r="G187" i="137"/>
  <c r="G119" i="137"/>
  <c r="G221" i="137" s="1"/>
  <c r="G255" i="137" s="1"/>
  <c r="G221" i="142"/>
  <c r="G255" i="142" s="1"/>
  <c r="G217" i="142"/>
  <c r="G251" i="142" s="1"/>
  <c r="G93" i="144"/>
  <c r="G94" i="144"/>
  <c r="D272" i="211"/>
  <c r="J83" i="218" s="1"/>
  <c r="D247" i="211"/>
  <c r="G59" i="139"/>
  <c r="F366" i="139"/>
  <c r="G69" i="139" s="1"/>
  <c r="G70" i="139" s="1"/>
  <c r="G218" i="139"/>
  <c r="G252" i="139" s="1"/>
  <c r="G93" i="136"/>
  <c r="G94" i="136"/>
  <c r="G199" i="134"/>
  <c r="G131" i="134"/>
  <c r="G165" i="134"/>
  <c r="G114" i="134"/>
  <c r="G148" i="134"/>
  <c r="G182" i="134"/>
  <c r="G163" i="141"/>
  <c r="G197" i="141"/>
  <c r="G129" i="141"/>
  <c r="G170" i="141"/>
  <c r="F340" i="141"/>
  <c r="F314" i="141"/>
  <c r="G187" i="141"/>
  <c r="G119" i="141"/>
  <c r="G153" i="141"/>
  <c r="D105" i="185"/>
  <c r="D14" i="207" s="1"/>
  <c r="D103" i="185"/>
  <c r="D104" i="185"/>
  <c r="D14" i="205" s="1"/>
  <c r="G182" i="162"/>
  <c r="G114" i="162"/>
  <c r="G148" i="162"/>
  <c r="G183" i="138"/>
  <c r="G149" i="138"/>
  <c r="G115" i="138"/>
  <c r="D104" i="191"/>
  <c r="D20" i="205" s="1"/>
  <c r="D105" i="191"/>
  <c r="D20" i="207" s="1"/>
  <c r="D21" i="209" s="1"/>
  <c r="D253" i="209" s="1"/>
  <c r="D22" i="210" s="1"/>
  <c r="D61" i="211" s="1"/>
  <c r="D103" i="191"/>
  <c r="G202" i="137"/>
  <c r="G134" i="137"/>
  <c r="G168" i="137"/>
  <c r="F368" i="151"/>
  <c r="F370" i="151" s="1"/>
  <c r="G53" i="151"/>
  <c r="G290" i="151" s="1"/>
  <c r="G147" i="142"/>
  <c r="G181" i="142"/>
  <c r="G113" i="142"/>
  <c r="D105" i="194"/>
  <c r="D23" i="207" s="1"/>
  <c r="D24" i="209" s="1"/>
  <c r="D256" i="209" s="1"/>
  <c r="D25" i="210" s="1"/>
  <c r="D64" i="211" s="1"/>
  <c r="D104" i="194"/>
  <c r="D23" i="205" s="1"/>
  <c r="D103" i="194"/>
  <c r="G219" i="142"/>
  <c r="G253" i="142" s="1"/>
  <c r="G236" i="139"/>
  <c r="G270" i="139" s="1"/>
  <c r="G218" i="135"/>
  <c r="G252" i="135" s="1"/>
  <c r="G59" i="134"/>
  <c r="F366" i="134"/>
  <c r="G69" i="134" s="1"/>
  <c r="F367" i="134"/>
  <c r="G169" i="140"/>
  <c r="G203" i="140"/>
  <c r="G135" i="140"/>
  <c r="L577" i="217"/>
  <c r="F332" i="138"/>
  <c r="F333" i="138" s="1"/>
  <c r="G120" i="142"/>
  <c r="G154" i="142"/>
  <c r="G188" i="142"/>
  <c r="F350" i="139"/>
  <c r="F351" i="139" s="1"/>
  <c r="G43" i="139"/>
  <c r="F91" i="102"/>
  <c r="F35" i="95"/>
  <c r="F60" i="95" s="1"/>
  <c r="D246" i="211"/>
  <c r="D271" i="211"/>
  <c r="J82" i="218" s="1"/>
  <c r="G204" i="134"/>
  <c r="G136" i="134"/>
  <c r="G170" i="134"/>
  <c r="D268" i="211"/>
  <c r="J79" i="218" s="1"/>
  <c r="D243" i="211"/>
  <c r="F43" i="95"/>
  <c r="F68" i="95" s="1"/>
  <c r="F99" i="102"/>
  <c r="G114" i="143"/>
  <c r="G148" i="143"/>
  <c r="G182" i="143"/>
  <c r="G135" i="145"/>
  <c r="G203" i="145"/>
  <c r="G169" i="145"/>
  <c r="F340" i="145"/>
  <c r="F314" i="145"/>
  <c r="G99" i="145"/>
  <c r="F332" i="145"/>
  <c r="F333" i="145" s="1"/>
  <c r="G182" i="140"/>
  <c r="G114" i="140"/>
  <c r="G148" i="140"/>
  <c r="F98" i="102"/>
  <c r="F42" i="95"/>
  <c r="F67" i="95" s="1"/>
  <c r="G129" i="142"/>
  <c r="G163" i="142"/>
  <c r="G197" i="142"/>
  <c r="G166" i="139"/>
  <c r="G200" i="139"/>
  <c r="G132" i="139"/>
  <c r="G152" i="135"/>
  <c r="G186" i="135"/>
  <c r="G118" i="135"/>
  <c r="G93" i="150"/>
  <c r="G94" i="150"/>
  <c r="F356" i="149"/>
  <c r="F330" i="149"/>
  <c r="G152" i="149"/>
  <c r="G186" i="149"/>
  <c r="G118" i="149"/>
  <c r="D15" i="202"/>
  <c r="D44" i="202" s="1"/>
  <c r="D57" i="202" s="1"/>
  <c r="D98" i="202" s="1"/>
  <c r="F32" i="102"/>
  <c r="G132" i="149"/>
  <c r="G184" i="149"/>
  <c r="G116" i="149"/>
  <c r="G150" i="149"/>
  <c r="G93" i="146"/>
  <c r="G94" i="146"/>
  <c r="G183" i="148"/>
  <c r="G201" i="148"/>
  <c r="G133" i="148"/>
  <c r="G167" i="148"/>
  <c r="F333" i="148"/>
  <c r="G186" i="148"/>
  <c r="D15" i="201"/>
  <c r="D44" i="201" s="1"/>
  <c r="D57" i="201" s="1"/>
  <c r="D98" i="201" s="1"/>
  <c r="F31" i="102"/>
  <c r="G131" i="162"/>
  <c r="G199" i="162"/>
  <c r="G165" i="162"/>
  <c r="G130" i="138"/>
  <c r="G198" i="138"/>
  <c r="G164" i="138"/>
  <c r="G117" i="137"/>
  <c r="G151" i="137"/>
  <c r="G185" i="137"/>
  <c r="I86" i="218"/>
  <c r="I85" i="218"/>
  <c r="D33" i="206"/>
  <c r="E92" i="208" s="1"/>
  <c r="D106" i="204"/>
  <c r="D111" i="204" s="1"/>
  <c r="G185" i="139"/>
  <c r="G117" i="139"/>
  <c r="G151" i="139"/>
  <c r="G133" i="143"/>
  <c r="G201" i="143"/>
  <c r="G167" i="143"/>
  <c r="G164" i="143"/>
  <c r="G198" i="143"/>
  <c r="G130" i="143"/>
  <c r="G133" i="141"/>
  <c r="G167" i="141"/>
  <c r="G201" i="141"/>
  <c r="G98" i="141"/>
  <c r="G114" i="141"/>
  <c r="G182" i="141"/>
  <c r="G148" i="141"/>
  <c r="G79" i="141"/>
  <c r="F356" i="141"/>
  <c r="F330" i="141"/>
  <c r="G221" i="147"/>
  <c r="G255" i="147" s="1"/>
  <c r="D147" i="197"/>
  <c r="D140" i="197"/>
  <c r="D152" i="197" s="1"/>
  <c r="D26" i="206" s="1"/>
  <c r="D106" i="197"/>
  <c r="G219" i="146"/>
  <c r="G253" i="146" s="1"/>
  <c r="L328" i="217"/>
  <c r="F88" i="102"/>
  <c r="F32" i="95"/>
  <c r="G185" i="140"/>
  <c r="G151" i="140"/>
  <c r="G117" i="140"/>
  <c r="G120" i="162"/>
  <c r="G154" i="162"/>
  <c r="G188" i="162"/>
  <c r="F94" i="102"/>
  <c r="F38" i="95"/>
  <c r="F63" i="95" s="1"/>
  <c r="F368" i="150"/>
  <c r="F370" i="150" s="1"/>
  <c r="G53" i="150"/>
  <c r="G290" i="150" s="1"/>
  <c r="D104" i="190"/>
  <c r="D19" i="205" s="1"/>
  <c r="D105" i="190"/>
  <c r="D19" i="207" s="1"/>
  <c r="D20" i="209" s="1"/>
  <c r="D252" i="209" s="1"/>
  <c r="D21" i="210" s="1"/>
  <c r="D60" i="211" s="1"/>
  <c r="D103" i="190"/>
  <c r="A10" i="212"/>
  <c r="M108" i="68" s="1"/>
  <c r="G216" i="142"/>
  <c r="G250" i="142" s="1"/>
  <c r="F41" i="95"/>
  <c r="F66" i="95" s="1"/>
  <c r="F97" i="102"/>
  <c r="G219" i="134"/>
  <c r="G253" i="134" s="1"/>
  <c r="G215" i="134"/>
  <c r="G249" i="134" s="1"/>
  <c r="G93" i="147"/>
  <c r="G94" i="147"/>
  <c r="G216" i="147"/>
  <c r="G250" i="147" s="1"/>
  <c r="F367" i="151"/>
  <c r="G82" i="140"/>
  <c r="G249" i="140"/>
  <c r="G113" i="140"/>
  <c r="G215" i="140" s="1"/>
  <c r="G181" i="140"/>
  <c r="G147" i="140"/>
  <c r="F366" i="162"/>
  <c r="G69" i="162" s="1"/>
  <c r="G59" i="162"/>
  <c r="G219" i="162"/>
  <c r="G253" i="162" s="1"/>
  <c r="G216" i="138"/>
  <c r="G250" i="138" s="1"/>
  <c r="D106" i="189"/>
  <c r="D111" i="189" s="1"/>
  <c r="D18" i="206"/>
  <c r="E77" i="208" s="1"/>
  <c r="F332" i="137"/>
  <c r="F333" i="137" s="1"/>
  <c r="G219" i="136"/>
  <c r="G253" i="136" s="1"/>
  <c r="G199" i="142"/>
  <c r="G131" i="142"/>
  <c r="G165" i="142"/>
  <c r="G233" i="146"/>
  <c r="G267" i="146" s="1"/>
  <c r="G238" i="151"/>
  <c r="G272" i="151" s="1"/>
  <c r="G154" i="139"/>
  <c r="G188" i="139"/>
  <c r="G120" i="139"/>
  <c r="F332" i="139"/>
  <c r="F333" i="139" s="1"/>
  <c r="G134" i="135"/>
  <c r="G202" i="135"/>
  <c r="G168" i="135"/>
  <c r="G168" i="134"/>
  <c r="G202" i="134"/>
  <c r="G134" i="134"/>
  <c r="G117" i="143"/>
  <c r="G151" i="143"/>
  <c r="G185" i="143"/>
  <c r="G113" i="143"/>
  <c r="G147" i="143"/>
  <c r="G181" i="143"/>
  <c r="G188" i="145"/>
  <c r="G154" i="145"/>
  <c r="G120" i="145"/>
  <c r="G186" i="145"/>
  <c r="G118" i="145"/>
  <c r="G152" i="145"/>
  <c r="F356" i="145"/>
  <c r="F330" i="145"/>
  <c r="G134" i="145"/>
  <c r="G168" i="145"/>
  <c r="G202" i="145"/>
  <c r="G85" i="145"/>
  <c r="F28" i="102"/>
  <c r="F66" i="102" s="1"/>
  <c r="D15" i="198"/>
  <c r="D44" i="198" s="1"/>
  <c r="D57" i="198" s="1"/>
  <c r="D98" i="198" s="1"/>
  <c r="D147" i="199"/>
  <c r="D140" i="199"/>
  <c r="D152" i="199" s="1"/>
  <c r="D106" i="199"/>
  <c r="G79" i="86"/>
  <c r="G169" i="86"/>
  <c r="G237" i="86" s="1"/>
  <c r="G271" i="86" s="1"/>
  <c r="G199" i="86"/>
  <c r="G83" i="86"/>
  <c r="G151" i="86" s="1"/>
  <c r="G86" i="86"/>
  <c r="G188" i="86" s="1"/>
  <c r="G165" i="86"/>
  <c r="G85" i="86"/>
  <c r="G187" i="86" s="1"/>
  <c r="G80" i="86"/>
  <c r="G148" i="86" s="1"/>
  <c r="G82" i="86"/>
  <c r="G116" i="86" s="1"/>
  <c r="G59" i="86"/>
  <c r="F366" i="86"/>
  <c r="G43" i="86"/>
  <c r="G77" i="86" s="1"/>
  <c r="F350" i="86"/>
  <c r="G167" i="86"/>
  <c r="G201" i="86"/>
  <c r="G133" i="86"/>
  <c r="G163" i="86"/>
  <c r="G197" i="86"/>
  <c r="G129" i="86"/>
  <c r="G84" i="86"/>
  <c r="G170" i="86"/>
  <c r="G204" i="86"/>
  <c r="G136" i="86"/>
  <c r="G166" i="86"/>
  <c r="G200" i="86"/>
  <c r="G132" i="86"/>
  <c r="L528" i="217"/>
  <c r="G81" i="86"/>
  <c r="F16" i="102"/>
  <c r="D15" i="186"/>
  <c r="D44" i="186" s="1"/>
  <c r="D57" i="186" s="1"/>
  <c r="D98" i="186" s="1"/>
  <c r="F85" i="128"/>
  <c r="G202" i="86"/>
  <c r="G134" i="86"/>
  <c r="G168" i="86"/>
  <c r="G147" i="86"/>
  <c r="G181" i="86"/>
  <c r="G113" i="86"/>
  <c r="G198" i="86"/>
  <c r="G130" i="86"/>
  <c r="G164" i="86"/>
  <c r="L526" i="217"/>
  <c r="F314" i="86"/>
  <c r="F332" i="86"/>
  <c r="F333" i="86" s="1"/>
  <c r="G217" i="138" l="1"/>
  <c r="G251" i="138" s="1"/>
  <c r="G153" i="86"/>
  <c r="G119" i="86"/>
  <c r="L525" i="217"/>
  <c r="G217" i="143"/>
  <c r="G251" i="143" s="1"/>
  <c r="G236" i="137"/>
  <c r="G270" i="137" s="1"/>
  <c r="G216" i="162"/>
  <c r="G250" i="162" s="1"/>
  <c r="G136" i="141"/>
  <c r="G232" i="145"/>
  <c r="G266" i="145" s="1"/>
  <c r="G120" i="141"/>
  <c r="G183" i="141"/>
  <c r="G70" i="138"/>
  <c r="G169" i="149"/>
  <c r="G152" i="148"/>
  <c r="G238" i="134"/>
  <c r="G272" i="134" s="1"/>
  <c r="G54" i="147"/>
  <c r="G236" i="145"/>
  <c r="G270" i="145" s="1"/>
  <c r="G222" i="145"/>
  <c r="G256" i="145" s="1"/>
  <c r="G222" i="139"/>
  <c r="G256" i="139" s="1"/>
  <c r="G233" i="86"/>
  <c r="G267" i="86" s="1"/>
  <c r="G233" i="142"/>
  <c r="G267" i="142" s="1"/>
  <c r="G70" i="162"/>
  <c r="G222" i="149"/>
  <c r="G256" i="149" s="1"/>
  <c r="G237" i="148"/>
  <c r="G271" i="148" s="1"/>
  <c r="G234" i="135"/>
  <c r="G268" i="135" s="1"/>
  <c r="G54" i="146"/>
  <c r="G217" i="162"/>
  <c r="G251" i="162" s="1"/>
  <c r="G115" i="148"/>
  <c r="G217" i="148" s="1"/>
  <c r="G251" i="148" s="1"/>
  <c r="G166" i="149"/>
  <c r="G235" i="137"/>
  <c r="G269" i="137" s="1"/>
  <c r="G238" i="139"/>
  <c r="G272" i="139" s="1"/>
  <c r="G70" i="135"/>
  <c r="G232" i="134"/>
  <c r="G266" i="134" s="1"/>
  <c r="G219" i="143"/>
  <c r="G253" i="143" s="1"/>
  <c r="G237" i="145"/>
  <c r="G271" i="145" s="1"/>
  <c r="G216" i="143"/>
  <c r="G250" i="143" s="1"/>
  <c r="G233" i="134"/>
  <c r="G267" i="134" s="1"/>
  <c r="G216" i="137"/>
  <c r="G250" i="137" s="1"/>
  <c r="G233" i="148"/>
  <c r="G267" i="148" s="1"/>
  <c r="G234" i="148"/>
  <c r="G268" i="148" s="1"/>
  <c r="G233" i="135"/>
  <c r="G267" i="135" s="1"/>
  <c r="G217" i="149"/>
  <c r="G251" i="149" s="1"/>
  <c r="K554" i="217"/>
  <c r="L524" i="217" s="1"/>
  <c r="L587" i="217" s="1"/>
  <c r="G231" i="141"/>
  <c r="G265" i="141" s="1"/>
  <c r="G216" i="134"/>
  <c r="G250" i="134" s="1"/>
  <c r="G235" i="162"/>
  <c r="G269" i="162" s="1"/>
  <c r="G215" i="145"/>
  <c r="G249" i="145" s="1"/>
  <c r="G236" i="141"/>
  <c r="G270" i="141" s="1"/>
  <c r="G237" i="149"/>
  <c r="G271" i="149" s="1"/>
  <c r="G217" i="135"/>
  <c r="G251" i="135" s="1"/>
  <c r="G216" i="139"/>
  <c r="G250" i="139" s="1"/>
  <c r="D154" i="199"/>
  <c r="D158" i="199" s="1"/>
  <c r="D154" i="197"/>
  <c r="G235" i="143"/>
  <c r="G269" i="143" s="1"/>
  <c r="G232" i="138"/>
  <c r="G266" i="138" s="1"/>
  <c r="G234" i="149"/>
  <c r="G268" i="149" s="1"/>
  <c r="G220" i="149"/>
  <c r="G254" i="149" s="1"/>
  <c r="G231" i="135"/>
  <c r="G265" i="135" s="1"/>
  <c r="G238" i="137"/>
  <c r="G272" i="137" s="1"/>
  <c r="G54" i="144"/>
  <c r="D155" i="197"/>
  <c r="D26" i="207"/>
  <c r="D158" i="197"/>
  <c r="F366" i="145"/>
  <c r="G69" i="145" s="1"/>
  <c r="G59" i="145"/>
  <c r="F366" i="149"/>
  <c r="G69" i="149" s="1"/>
  <c r="G59" i="149"/>
  <c r="D262" i="211"/>
  <c r="J73" i="218" s="1"/>
  <c r="D237" i="211"/>
  <c r="L386" i="217"/>
  <c r="D35" i="207"/>
  <c r="D15" i="209"/>
  <c r="D247" i="209" s="1"/>
  <c r="D16" i="210" s="1"/>
  <c r="D55" i="211" s="1"/>
  <c r="G128" i="136"/>
  <c r="G162" i="136"/>
  <c r="G196" i="136"/>
  <c r="G162" i="144"/>
  <c r="G196" i="144"/>
  <c r="G128" i="144"/>
  <c r="G59" i="148"/>
  <c r="F366" i="148"/>
  <c r="G69" i="148" s="1"/>
  <c r="F368" i="140"/>
  <c r="F370" i="140" s="1"/>
  <c r="F351" i="140"/>
  <c r="G53" i="140"/>
  <c r="G93" i="143"/>
  <c r="G94" i="143"/>
  <c r="G53" i="134"/>
  <c r="G290" i="134" s="1"/>
  <c r="F368" i="134"/>
  <c r="F370" i="134" s="1"/>
  <c r="D148" i="196"/>
  <c r="D141" i="196"/>
  <c r="D153" i="196" s="1"/>
  <c r="D25" i="205" s="1"/>
  <c r="D256" i="211"/>
  <c r="J67" i="218" s="1"/>
  <c r="D231" i="211"/>
  <c r="D106" i="192"/>
  <c r="D111" i="192" s="1"/>
  <c r="D21" i="206"/>
  <c r="E80" i="208" s="1"/>
  <c r="G93" i="142"/>
  <c r="G94" i="142"/>
  <c r="D103" i="193"/>
  <c r="D104" i="193"/>
  <c r="D22" i="205" s="1"/>
  <c r="D105" i="193"/>
  <c r="D22" i="207" s="1"/>
  <c r="D23" i="209" s="1"/>
  <c r="D255" i="209" s="1"/>
  <c r="D24" i="210" s="1"/>
  <c r="D63" i="211" s="1"/>
  <c r="G130" i="141"/>
  <c r="G164" i="141"/>
  <c r="G198" i="141"/>
  <c r="G168" i="148"/>
  <c r="G202" i="148"/>
  <c r="G134" i="148"/>
  <c r="G145" i="144"/>
  <c r="G179" i="144"/>
  <c r="G111" i="144"/>
  <c r="G87" i="144"/>
  <c r="G88" i="144" s="1"/>
  <c r="D230" i="211"/>
  <c r="D255" i="211"/>
  <c r="J66" i="218" s="1"/>
  <c r="J84" i="218" s="1"/>
  <c r="G186" i="140"/>
  <c r="G118" i="140"/>
  <c r="G152" i="140"/>
  <c r="G111" i="150"/>
  <c r="G145" i="150"/>
  <c r="G179" i="150"/>
  <c r="G87" i="150"/>
  <c r="G88" i="150" s="1"/>
  <c r="G77" i="142"/>
  <c r="G78" i="142"/>
  <c r="G150" i="148"/>
  <c r="G116" i="148"/>
  <c r="G184" i="148"/>
  <c r="G117" i="149"/>
  <c r="G151" i="149"/>
  <c r="G185" i="149"/>
  <c r="G112" i="136"/>
  <c r="G146" i="136"/>
  <c r="G180" i="136"/>
  <c r="D19" i="206"/>
  <c r="E78" i="208" s="1"/>
  <c r="D106" i="190"/>
  <c r="D111" i="190" s="1"/>
  <c r="L616" i="217"/>
  <c r="L620" i="217" s="1"/>
  <c r="L357" i="217"/>
  <c r="G166" i="141"/>
  <c r="G132" i="141"/>
  <c r="G200" i="141"/>
  <c r="D105" i="198"/>
  <c r="D27" i="207" s="1"/>
  <c r="D28" i="209" s="1"/>
  <c r="D260" i="209" s="1"/>
  <c r="D29" i="210" s="1"/>
  <c r="D68" i="211" s="1"/>
  <c r="D104" i="198"/>
  <c r="D27" i="205" s="1"/>
  <c r="D103" i="198"/>
  <c r="G215" i="143"/>
  <c r="G249" i="143" s="1"/>
  <c r="G236" i="135"/>
  <c r="G270" i="135" s="1"/>
  <c r="G150" i="140"/>
  <c r="G184" i="140"/>
  <c r="G116" i="140"/>
  <c r="G195" i="147"/>
  <c r="G161" i="147"/>
  <c r="G127" i="147"/>
  <c r="G103" i="147"/>
  <c r="G104" i="147" s="1"/>
  <c r="D233" i="211"/>
  <c r="D258" i="211"/>
  <c r="J69" i="218" s="1"/>
  <c r="G222" i="162"/>
  <c r="G256" i="162" s="1"/>
  <c r="G216" i="141"/>
  <c r="G250" i="141" s="1"/>
  <c r="G235" i="141"/>
  <c r="G269" i="141" s="1"/>
  <c r="G232" i="143"/>
  <c r="G266" i="143" s="1"/>
  <c r="D112" i="204"/>
  <c r="D113" i="204"/>
  <c r="D115" i="204" s="1"/>
  <c r="G218" i="149"/>
  <c r="G252" i="149" s="1"/>
  <c r="G103" i="150"/>
  <c r="G104" i="150" s="1"/>
  <c r="G128" i="150"/>
  <c r="G196" i="150"/>
  <c r="G162" i="150"/>
  <c r="G231" i="142"/>
  <c r="G265" i="142" s="1"/>
  <c r="F350" i="145"/>
  <c r="F351" i="145" s="1"/>
  <c r="G43" i="145"/>
  <c r="G78" i="139"/>
  <c r="G77" i="139"/>
  <c r="G222" i="142"/>
  <c r="G256" i="142" s="1"/>
  <c r="G237" i="140"/>
  <c r="G271" i="140" s="1"/>
  <c r="G70" i="134"/>
  <c r="G215" i="142"/>
  <c r="G249" i="142" s="1"/>
  <c r="D106" i="191"/>
  <c r="D111" i="191" s="1"/>
  <c r="D20" i="206"/>
  <c r="E79" i="208" s="1"/>
  <c r="G43" i="141"/>
  <c r="F350" i="141"/>
  <c r="F351" i="141" s="1"/>
  <c r="G127" i="136"/>
  <c r="G103" i="136"/>
  <c r="G104" i="136" s="1"/>
  <c r="G161" i="136"/>
  <c r="G195" i="136"/>
  <c r="G93" i="139"/>
  <c r="G94" i="139"/>
  <c r="G195" i="144"/>
  <c r="G127" i="144"/>
  <c r="G137" i="144" s="1"/>
  <c r="G138" i="144" s="1"/>
  <c r="G103" i="144"/>
  <c r="G104" i="144" s="1"/>
  <c r="G161" i="144"/>
  <c r="G77" i="162"/>
  <c r="G78" i="162"/>
  <c r="L529" i="217"/>
  <c r="L573" i="217"/>
  <c r="G231" i="149"/>
  <c r="G265" i="149" s="1"/>
  <c r="G235" i="139"/>
  <c r="G269" i="139" s="1"/>
  <c r="G145" i="146"/>
  <c r="G111" i="146"/>
  <c r="G179" i="146"/>
  <c r="G131" i="145"/>
  <c r="G199" i="145"/>
  <c r="G165" i="145"/>
  <c r="G204" i="145"/>
  <c r="G136" i="145"/>
  <c r="G170" i="145"/>
  <c r="D147" i="196"/>
  <c r="D140" i="196"/>
  <c r="D152" i="196" s="1"/>
  <c r="D106" i="196"/>
  <c r="G235" i="138"/>
  <c r="G269" i="138" s="1"/>
  <c r="D260" i="211"/>
  <c r="J71" i="218" s="1"/>
  <c r="D235" i="211"/>
  <c r="G112" i="151"/>
  <c r="G146" i="151"/>
  <c r="G180" i="151"/>
  <c r="F96" i="102"/>
  <c r="F40" i="95"/>
  <c r="F65" i="95" s="1"/>
  <c r="G220" i="139"/>
  <c r="G254" i="139" s="1"/>
  <c r="F367" i="137"/>
  <c r="G130" i="148"/>
  <c r="G164" i="148"/>
  <c r="G198" i="148"/>
  <c r="G236" i="149"/>
  <c r="G270" i="149" s="1"/>
  <c r="G216" i="135"/>
  <c r="G250" i="135" s="1"/>
  <c r="G54" i="136"/>
  <c r="G290" i="136"/>
  <c r="G179" i="147"/>
  <c r="G111" i="147"/>
  <c r="G145" i="147"/>
  <c r="G233" i="140"/>
  <c r="G267" i="140" s="1"/>
  <c r="G215" i="137"/>
  <c r="G249" i="137" s="1"/>
  <c r="G53" i="137"/>
  <c r="G290" i="137" s="1"/>
  <c r="F368" i="137"/>
  <c r="F370" i="137" s="1"/>
  <c r="G162" i="151"/>
  <c r="G128" i="151"/>
  <c r="G196" i="151"/>
  <c r="G93" i="135"/>
  <c r="G94" i="135"/>
  <c r="G218" i="142"/>
  <c r="G252" i="142" s="1"/>
  <c r="G150" i="141"/>
  <c r="G184" i="141"/>
  <c r="G116" i="141"/>
  <c r="G217" i="141"/>
  <c r="G251" i="141" s="1"/>
  <c r="G94" i="138"/>
  <c r="G93" i="138"/>
  <c r="G153" i="148"/>
  <c r="G187" i="148"/>
  <c r="G119" i="148"/>
  <c r="G43" i="149"/>
  <c r="F350" i="149"/>
  <c r="F368" i="135"/>
  <c r="F370" i="135" s="1"/>
  <c r="G53" i="135"/>
  <c r="G290" i="135" s="1"/>
  <c r="G236" i="142"/>
  <c r="G270" i="142" s="1"/>
  <c r="G179" i="136"/>
  <c r="G189" i="136" s="1"/>
  <c r="G111" i="136"/>
  <c r="G87" i="136"/>
  <c r="G88" i="136" s="1"/>
  <c r="G145" i="136"/>
  <c r="G155" i="136" s="1"/>
  <c r="D24" i="206"/>
  <c r="E83" i="208" s="1"/>
  <c r="D106" i="195"/>
  <c r="D111" i="195" s="1"/>
  <c r="G128" i="147"/>
  <c r="G162" i="147"/>
  <c r="G196" i="147"/>
  <c r="G113" i="141"/>
  <c r="G147" i="141"/>
  <c r="G181" i="141"/>
  <c r="D111" i="199"/>
  <c r="D150" i="199"/>
  <c r="F45" i="95"/>
  <c r="F70" i="95" s="1"/>
  <c r="F101" i="102"/>
  <c r="G220" i="145"/>
  <c r="G254" i="145" s="1"/>
  <c r="G236" i="134"/>
  <c r="G270" i="134" s="1"/>
  <c r="F367" i="162"/>
  <c r="G219" i="140"/>
  <c r="G253" i="140" s="1"/>
  <c r="AE34" i="95"/>
  <c r="F57" i="95"/>
  <c r="D150" i="197"/>
  <c r="D111" i="197"/>
  <c r="G219" i="137"/>
  <c r="G253" i="137" s="1"/>
  <c r="F104" i="102"/>
  <c r="F48" i="95"/>
  <c r="F73" i="95" s="1"/>
  <c r="G220" i="148"/>
  <c r="G254" i="148" s="1"/>
  <c r="G235" i="148"/>
  <c r="G269" i="148" s="1"/>
  <c r="G128" i="146"/>
  <c r="G196" i="146"/>
  <c r="G162" i="146"/>
  <c r="F105" i="102"/>
  <c r="F49" i="95"/>
  <c r="F74" i="95" s="1"/>
  <c r="G161" i="150"/>
  <c r="G195" i="150"/>
  <c r="G127" i="150"/>
  <c r="G53" i="139"/>
  <c r="G290" i="139" s="1"/>
  <c r="F368" i="139"/>
  <c r="F370" i="139" s="1"/>
  <c r="G93" i="134"/>
  <c r="G94" i="134"/>
  <c r="D23" i="206"/>
  <c r="E82" i="208" s="1"/>
  <c r="D106" i="194"/>
  <c r="D111" i="194" s="1"/>
  <c r="D259" i="211"/>
  <c r="J70" i="218" s="1"/>
  <c r="D234" i="211"/>
  <c r="L415" i="217"/>
  <c r="D35" i="205"/>
  <c r="G221" i="141"/>
  <c r="G255" i="141" s="1"/>
  <c r="F368" i="162"/>
  <c r="F370" i="162" s="1"/>
  <c r="G53" i="162"/>
  <c r="G290" i="162" s="1"/>
  <c r="G204" i="148"/>
  <c r="G170" i="148"/>
  <c r="G136" i="148"/>
  <c r="G231" i="148"/>
  <c r="G265" i="148" s="1"/>
  <c r="G93" i="140"/>
  <c r="G94" i="140"/>
  <c r="G198" i="149"/>
  <c r="G164" i="149"/>
  <c r="G130" i="149"/>
  <c r="G233" i="149"/>
  <c r="G267" i="149" s="1"/>
  <c r="F367" i="143"/>
  <c r="F351" i="134"/>
  <c r="G149" i="145"/>
  <c r="G183" i="145"/>
  <c r="G115" i="145"/>
  <c r="G216" i="145"/>
  <c r="G250" i="145" s="1"/>
  <c r="F368" i="143"/>
  <c r="F370" i="143" s="1"/>
  <c r="G53" i="143"/>
  <c r="G290" i="143" s="1"/>
  <c r="G217" i="134"/>
  <c r="G251" i="134" s="1"/>
  <c r="D17" i="206"/>
  <c r="E76" i="208" s="1"/>
  <c r="D106" i="188"/>
  <c r="D111" i="188" s="1"/>
  <c r="G77" i="138"/>
  <c r="G78" i="138"/>
  <c r="G221" i="140"/>
  <c r="G255" i="140" s="1"/>
  <c r="G238" i="143"/>
  <c r="G272" i="143" s="1"/>
  <c r="F367" i="142"/>
  <c r="G54" i="151"/>
  <c r="G152" i="141"/>
  <c r="G118" i="141"/>
  <c r="G186" i="141"/>
  <c r="G117" i="141"/>
  <c r="G151" i="141"/>
  <c r="G185" i="141"/>
  <c r="G219" i="135"/>
  <c r="G253" i="135" s="1"/>
  <c r="G70" i="137"/>
  <c r="G120" i="148"/>
  <c r="G188" i="148"/>
  <c r="G154" i="148"/>
  <c r="G201" i="149"/>
  <c r="G167" i="149"/>
  <c r="G133" i="149"/>
  <c r="G215" i="149"/>
  <c r="G249" i="149" s="1"/>
  <c r="G146" i="144"/>
  <c r="G112" i="144"/>
  <c r="G180" i="144"/>
  <c r="G217" i="139"/>
  <c r="G251" i="139" s="1"/>
  <c r="G235" i="142"/>
  <c r="G269" i="142" s="1"/>
  <c r="G185" i="145"/>
  <c r="G117" i="145"/>
  <c r="G151" i="145"/>
  <c r="G218" i="145"/>
  <c r="G252" i="145" s="1"/>
  <c r="D113" i="203"/>
  <c r="D115" i="203" s="1"/>
  <c r="D112" i="203"/>
  <c r="G232" i="139"/>
  <c r="G266" i="139" s="1"/>
  <c r="G78" i="137"/>
  <c r="G77" i="137"/>
  <c r="G54" i="137"/>
  <c r="G127" i="151"/>
  <c r="G103" i="151"/>
  <c r="G104" i="151" s="1"/>
  <c r="G195" i="151"/>
  <c r="G161" i="151"/>
  <c r="G237" i="139"/>
  <c r="G271" i="139" s="1"/>
  <c r="G180" i="150"/>
  <c r="G189" i="150" s="1"/>
  <c r="G146" i="150"/>
  <c r="G112" i="150"/>
  <c r="L576" i="217"/>
  <c r="G222" i="141"/>
  <c r="G256" i="141" s="1"/>
  <c r="F350" i="148"/>
  <c r="F351" i="148" s="1"/>
  <c r="G43" i="148"/>
  <c r="G216" i="149"/>
  <c r="G250" i="149" s="1"/>
  <c r="G238" i="149"/>
  <c r="G272" i="149" s="1"/>
  <c r="G77" i="135"/>
  <c r="G78" i="135"/>
  <c r="D238" i="211"/>
  <c r="D263" i="211"/>
  <c r="J74" i="218" s="1"/>
  <c r="D28" i="206"/>
  <c r="G187" i="145"/>
  <c r="G153" i="145"/>
  <c r="G119" i="145"/>
  <c r="D113" i="189"/>
  <c r="D115" i="189" s="1"/>
  <c r="D112" i="189"/>
  <c r="G93" i="162"/>
  <c r="G94" i="162"/>
  <c r="G59" i="141"/>
  <c r="F366" i="141"/>
  <c r="G69" i="141" s="1"/>
  <c r="G219" i="139"/>
  <c r="G253" i="139" s="1"/>
  <c r="G233" i="162"/>
  <c r="G267" i="162" s="1"/>
  <c r="D104" i="201"/>
  <c r="D30" i="205" s="1"/>
  <c r="D103" i="201"/>
  <c r="D105" i="201"/>
  <c r="D30" i="207" s="1"/>
  <c r="D31" i="209" s="1"/>
  <c r="D263" i="209" s="1"/>
  <c r="D32" i="210" s="1"/>
  <c r="D71" i="211" s="1"/>
  <c r="G127" i="146"/>
  <c r="G137" i="146" s="1"/>
  <c r="G138" i="146" s="1"/>
  <c r="G195" i="146"/>
  <c r="G161" i="146"/>
  <c r="G103" i="146"/>
  <c r="G104" i="146" s="1"/>
  <c r="D103" i="202"/>
  <c r="D105" i="202"/>
  <c r="D31" i="207" s="1"/>
  <c r="D32" i="209" s="1"/>
  <c r="D264" i="209" s="1"/>
  <c r="D33" i="210" s="1"/>
  <c r="D72" i="211" s="1"/>
  <c r="D104" i="202"/>
  <c r="D31" i="205" s="1"/>
  <c r="G220" i="135"/>
  <c r="G254" i="135" s="1"/>
  <c r="G234" i="139"/>
  <c r="G268" i="139" s="1"/>
  <c r="G216" i="140"/>
  <c r="G250" i="140" s="1"/>
  <c r="G133" i="145"/>
  <c r="G201" i="145"/>
  <c r="G167" i="145"/>
  <c r="D14" i="206"/>
  <c r="D106" i="185"/>
  <c r="D111" i="185" s="1"/>
  <c r="G238" i="141"/>
  <c r="G272" i="141" s="1"/>
  <c r="F367" i="139"/>
  <c r="G151" i="148"/>
  <c r="G185" i="148"/>
  <c r="G117" i="148"/>
  <c r="G77" i="140"/>
  <c r="G78" i="140"/>
  <c r="G69" i="140"/>
  <c r="G70" i="140" s="1"/>
  <c r="F367" i="140"/>
  <c r="G153" i="149"/>
  <c r="G187" i="149"/>
  <c r="G119" i="149"/>
  <c r="G70" i="143"/>
  <c r="G78" i="134"/>
  <c r="G77" i="134"/>
  <c r="G87" i="146"/>
  <c r="G88" i="146" s="1"/>
  <c r="G180" i="146"/>
  <c r="G112" i="146"/>
  <c r="G146" i="146"/>
  <c r="G155" i="146" s="1"/>
  <c r="G234" i="145"/>
  <c r="G268" i="145" s="1"/>
  <c r="G77" i="143"/>
  <c r="G78" i="143"/>
  <c r="D112" i="200"/>
  <c r="D113" i="200"/>
  <c r="D115" i="200" s="1"/>
  <c r="G238" i="142"/>
  <c r="G272" i="142" s="1"/>
  <c r="G53" i="138"/>
  <c r="G290" i="138" s="1"/>
  <c r="F368" i="138"/>
  <c r="F370" i="138" s="1"/>
  <c r="G70" i="142"/>
  <c r="G145" i="151"/>
  <c r="G179" i="151"/>
  <c r="G87" i="151"/>
  <c r="G88" i="151" s="1"/>
  <c r="G111" i="151"/>
  <c r="G220" i="138"/>
  <c r="G254" i="138" s="1"/>
  <c r="G220" i="162"/>
  <c r="G254" i="162" s="1"/>
  <c r="G169" i="141"/>
  <c r="G203" i="141"/>
  <c r="G135" i="141"/>
  <c r="G199" i="141"/>
  <c r="G131" i="141"/>
  <c r="G165" i="141"/>
  <c r="G217" i="137"/>
  <c r="G251" i="137" s="1"/>
  <c r="G93" i="137"/>
  <c r="G94" i="137"/>
  <c r="G87" i="147"/>
  <c r="G88" i="147" s="1"/>
  <c r="G180" i="147"/>
  <c r="G112" i="147"/>
  <c r="G146" i="147"/>
  <c r="G231" i="145"/>
  <c r="G265" i="145" s="1"/>
  <c r="D106" i="187"/>
  <c r="D111" i="187" s="1"/>
  <c r="D16" i="206"/>
  <c r="E75" i="208" s="1"/>
  <c r="G221" i="139"/>
  <c r="G255" i="139" s="1"/>
  <c r="F367" i="135"/>
  <c r="G54" i="150"/>
  <c r="G222" i="140"/>
  <c r="G256" i="140" s="1"/>
  <c r="F368" i="142"/>
  <c r="F370" i="142" s="1"/>
  <c r="G53" i="142"/>
  <c r="G290" i="142" s="1"/>
  <c r="F367" i="138"/>
  <c r="G114" i="148"/>
  <c r="G148" i="148"/>
  <c r="G182" i="148"/>
  <c r="G215" i="148"/>
  <c r="G249" i="148" s="1"/>
  <c r="G221" i="143"/>
  <c r="G255" i="143" s="1"/>
  <c r="G220" i="134"/>
  <c r="G254" i="134" s="1"/>
  <c r="G154" i="86"/>
  <c r="G184" i="86"/>
  <c r="G120" i="86"/>
  <c r="G117" i="86"/>
  <c r="G185" i="86"/>
  <c r="G78" i="86"/>
  <c r="G180" i="86" s="1"/>
  <c r="G150" i="86"/>
  <c r="G234" i="86"/>
  <c r="G268" i="86" s="1"/>
  <c r="G231" i="86"/>
  <c r="G265" i="86" s="1"/>
  <c r="G114" i="86"/>
  <c r="G232" i="86"/>
  <c r="G266" i="86" s="1"/>
  <c r="G182" i="86"/>
  <c r="G236" i="86"/>
  <c r="G270" i="86" s="1"/>
  <c r="G235" i="86"/>
  <c r="G269" i="86" s="1"/>
  <c r="G183" i="86"/>
  <c r="G115" i="86"/>
  <c r="G149" i="86"/>
  <c r="G238" i="86"/>
  <c r="G272" i="86" s="1"/>
  <c r="F367" i="86"/>
  <c r="G69" i="86"/>
  <c r="G70" i="86" s="1"/>
  <c r="G215" i="86"/>
  <c r="G249" i="86" s="1"/>
  <c r="D104" i="186"/>
  <c r="D15" i="205" s="1"/>
  <c r="D105" i="186"/>
  <c r="D15" i="207" s="1"/>
  <c r="D103" i="186"/>
  <c r="G221" i="86"/>
  <c r="G255" i="86" s="1"/>
  <c r="F368" i="86"/>
  <c r="F370" i="86" s="1"/>
  <c r="F351" i="86"/>
  <c r="G53" i="86"/>
  <c r="G93" i="86"/>
  <c r="G94" i="86"/>
  <c r="F89" i="102"/>
  <c r="F67" i="102"/>
  <c r="F35" i="102"/>
  <c r="F33" i="95"/>
  <c r="F58" i="95" s="1"/>
  <c r="G152" i="86"/>
  <c r="G186" i="86"/>
  <c r="G118" i="86"/>
  <c r="G179" i="86"/>
  <c r="G111" i="86"/>
  <c r="G145" i="86"/>
  <c r="G190" i="136"/>
  <c r="G171" i="146" l="1"/>
  <c r="G172" i="146" s="1"/>
  <c r="G54" i="162"/>
  <c r="G70" i="149"/>
  <c r="G218" i="86"/>
  <c r="G252" i="86" s="1"/>
  <c r="G70" i="148"/>
  <c r="D155" i="199"/>
  <c r="D156" i="199" s="1"/>
  <c r="K564" i="217"/>
  <c r="G54" i="134"/>
  <c r="G70" i="145"/>
  <c r="D28" i="207"/>
  <c r="G171" i="136"/>
  <c r="G172" i="136" s="1"/>
  <c r="G137" i="136"/>
  <c r="G138" i="136" s="1"/>
  <c r="G234" i="141"/>
  <c r="G268" i="141" s="1"/>
  <c r="G219" i="149"/>
  <c r="G253" i="149" s="1"/>
  <c r="G236" i="148"/>
  <c r="G270" i="148" s="1"/>
  <c r="G54" i="135"/>
  <c r="G219" i="141"/>
  <c r="G253" i="141" s="1"/>
  <c r="G54" i="138"/>
  <c r="D154" i="196"/>
  <c r="D158" i="196" s="1"/>
  <c r="G54" i="143"/>
  <c r="G155" i="150"/>
  <c r="G156" i="150" s="1"/>
  <c r="G222" i="148"/>
  <c r="G256" i="148" s="1"/>
  <c r="G238" i="148"/>
  <c r="G272" i="148" s="1"/>
  <c r="G238" i="145"/>
  <c r="G272" i="145" s="1"/>
  <c r="G137" i="147"/>
  <c r="G138" i="147" s="1"/>
  <c r="G237" i="141"/>
  <c r="G271" i="141" s="1"/>
  <c r="D36" i="205"/>
  <c r="L417" i="217" s="1"/>
  <c r="G219" i="86"/>
  <c r="G253" i="86" s="1"/>
  <c r="G155" i="147"/>
  <c r="G221" i="145"/>
  <c r="G255" i="145" s="1"/>
  <c r="G218" i="141"/>
  <c r="G252" i="141" s="1"/>
  <c r="G171" i="144"/>
  <c r="G172" i="144" s="1"/>
  <c r="F367" i="148"/>
  <c r="G230" i="144"/>
  <c r="G264" i="144" s="1"/>
  <c r="D25" i="207"/>
  <c r="G155" i="151"/>
  <c r="G145" i="134"/>
  <c r="G87" i="134"/>
  <c r="G88" i="134" s="1"/>
  <c r="G179" i="134"/>
  <c r="G111" i="134"/>
  <c r="L444" i="217"/>
  <c r="L479" i="217" s="1"/>
  <c r="D35" i="206"/>
  <c r="D245" i="211"/>
  <c r="D270" i="211"/>
  <c r="J81" i="218" s="1"/>
  <c r="G196" i="162"/>
  <c r="G162" i="162"/>
  <c r="G128" i="162"/>
  <c r="G146" i="137"/>
  <c r="G180" i="137"/>
  <c r="G112" i="137"/>
  <c r="G161" i="140"/>
  <c r="G171" i="140" s="1"/>
  <c r="G172" i="140" s="1"/>
  <c r="G195" i="140"/>
  <c r="G127" i="140"/>
  <c r="G103" i="140"/>
  <c r="G104" i="140" s="1"/>
  <c r="D113" i="194"/>
  <c r="D115" i="194" s="1"/>
  <c r="D112" i="194"/>
  <c r="G205" i="150"/>
  <c r="G206" i="150" s="1"/>
  <c r="G229" i="150"/>
  <c r="F368" i="149"/>
  <c r="F370" i="149" s="1"/>
  <c r="G53" i="149"/>
  <c r="G290" i="149" s="1"/>
  <c r="G128" i="135"/>
  <c r="G162" i="135"/>
  <c r="G196" i="135"/>
  <c r="G146" i="139"/>
  <c r="G180" i="139"/>
  <c r="G112" i="139"/>
  <c r="G222" i="86"/>
  <c r="G256" i="86" s="1"/>
  <c r="G162" i="137"/>
  <c r="G128" i="137"/>
  <c r="G196" i="137"/>
  <c r="G213" i="151"/>
  <c r="G121" i="151"/>
  <c r="G122" i="151" s="1"/>
  <c r="G145" i="143"/>
  <c r="G179" i="143"/>
  <c r="G111" i="143"/>
  <c r="G189" i="146"/>
  <c r="G180" i="134"/>
  <c r="G146" i="134"/>
  <c r="G112" i="134"/>
  <c r="G179" i="140"/>
  <c r="G87" i="140"/>
  <c r="G88" i="140" s="1"/>
  <c r="G145" i="140"/>
  <c r="G111" i="140"/>
  <c r="G235" i="145"/>
  <c r="G269" i="145" s="1"/>
  <c r="D106" i="202"/>
  <c r="D111" i="202" s="1"/>
  <c r="D31" i="206"/>
  <c r="E90" i="208" s="1"/>
  <c r="G229" i="146"/>
  <c r="G205" i="146"/>
  <c r="G206" i="146" s="1"/>
  <c r="D106" i="201"/>
  <c r="D111" i="201" s="1"/>
  <c r="D30" i="206"/>
  <c r="E89" i="208" s="1"/>
  <c r="F367" i="141"/>
  <c r="G161" i="162"/>
  <c r="G195" i="162"/>
  <c r="G127" i="162"/>
  <c r="G103" i="162"/>
  <c r="G104" i="162" s="1"/>
  <c r="G145" i="135"/>
  <c r="G179" i="135"/>
  <c r="G111" i="135"/>
  <c r="G87" i="135"/>
  <c r="G88" i="135" s="1"/>
  <c r="G77" i="148"/>
  <c r="G78" i="148"/>
  <c r="G214" i="150"/>
  <c r="G248" i="150" s="1"/>
  <c r="G137" i="151"/>
  <c r="G138" i="151" s="1"/>
  <c r="G180" i="138"/>
  <c r="G112" i="138"/>
  <c r="G146" i="138"/>
  <c r="G230" i="146"/>
  <c r="G264" i="146" s="1"/>
  <c r="G77" i="149"/>
  <c r="G78" i="149"/>
  <c r="G127" i="138"/>
  <c r="G103" i="138"/>
  <c r="G104" i="138" s="1"/>
  <c r="G161" i="138"/>
  <c r="G195" i="138"/>
  <c r="G127" i="135"/>
  <c r="G161" i="135"/>
  <c r="G103" i="135"/>
  <c r="G104" i="135" s="1"/>
  <c r="G195" i="135"/>
  <c r="G232" i="148"/>
  <c r="G266" i="148" s="1"/>
  <c r="G233" i="145"/>
  <c r="G267" i="145" s="1"/>
  <c r="G213" i="146"/>
  <c r="G111" i="162"/>
  <c r="G179" i="162"/>
  <c r="G145" i="162"/>
  <c r="G87" i="162"/>
  <c r="G88" i="162" s="1"/>
  <c r="G205" i="136"/>
  <c r="G229" i="136"/>
  <c r="D113" i="191"/>
  <c r="D115" i="191" s="1"/>
  <c r="D112" i="191"/>
  <c r="G171" i="150"/>
  <c r="G172" i="150" s="1"/>
  <c r="G171" i="147"/>
  <c r="G172" i="147" s="1"/>
  <c r="D27" i="206"/>
  <c r="E86" i="208" s="1"/>
  <c r="D106" i="198"/>
  <c r="D111" i="198" s="1"/>
  <c r="D112" i="190"/>
  <c r="D113" i="190"/>
  <c r="D115" i="190" s="1"/>
  <c r="G214" i="136"/>
  <c r="G248" i="136" s="1"/>
  <c r="G54" i="142"/>
  <c r="G190" i="150"/>
  <c r="G220" i="140"/>
  <c r="G254" i="140" s="1"/>
  <c r="G189" i="144"/>
  <c r="D261" i="211"/>
  <c r="J72" i="218" s="1"/>
  <c r="D236" i="211"/>
  <c r="G195" i="142"/>
  <c r="G127" i="142"/>
  <c r="G161" i="142"/>
  <c r="G93" i="148"/>
  <c r="G94" i="148"/>
  <c r="G230" i="136"/>
  <c r="G264" i="136" s="1"/>
  <c r="D228" i="211"/>
  <c r="D253" i="211"/>
  <c r="J64" i="218" s="1"/>
  <c r="F367" i="145"/>
  <c r="E85" i="208"/>
  <c r="D27" i="209"/>
  <c r="D259" i="209" s="1"/>
  <c r="D28" i="210" s="1"/>
  <c r="D67" i="211" s="1"/>
  <c r="G121" i="146"/>
  <c r="G282" i="146" s="1"/>
  <c r="G28" i="132" s="1"/>
  <c r="G214" i="146"/>
  <c r="G248" i="146" s="1"/>
  <c r="G146" i="140"/>
  <c r="G180" i="140"/>
  <c r="G112" i="140"/>
  <c r="G214" i="140" s="1"/>
  <c r="G248" i="140" s="1"/>
  <c r="D269" i="211"/>
  <c r="J80" i="218" s="1"/>
  <c r="D244" i="211"/>
  <c r="G112" i="135"/>
  <c r="G146" i="135"/>
  <c r="G180" i="135"/>
  <c r="D112" i="197"/>
  <c r="D113" i="197"/>
  <c r="D115" i="197" s="1"/>
  <c r="G127" i="139"/>
  <c r="G195" i="139"/>
  <c r="G103" i="139"/>
  <c r="G104" i="139" s="1"/>
  <c r="G161" i="139"/>
  <c r="G146" i="86"/>
  <c r="G155" i="86" s="1"/>
  <c r="G156" i="136"/>
  <c r="G216" i="148"/>
  <c r="G250" i="148" s="1"/>
  <c r="G121" i="147"/>
  <c r="G214" i="147"/>
  <c r="G248" i="147" s="1"/>
  <c r="G195" i="137"/>
  <c r="G127" i="137"/>
  <c r="G161" i="137"/>
  <c r="G103" i="137"/>
  <c r="G104" i="137" s="1"/>
  <c r="G233" i="141"/>
  <c r="G267" i="141" s="1"/>
  <c r="D117" i="200"/>
  <c r="D114" i="200"/>
  <c r="D116" i="200" s="1"/>
  <c r="D118" i="200" s="1"/>
  <c r="G219" i="148"/>
  <c r="G253" i="148" s="1"/>
  <c r="G70" i="141"/>
  <c r="D114" i="189"/>
  <c r="D116" i="189" s="1"/>
  <c r="D118" i="189" s="1"/>
  <c r="D117" i="189"/>
  <c r="F368" i="148"/>
  <c r="F370" i="148" s="1"/>
  <c r="G53" i="148"/>
  <c r="G290" i="148" s="1"/>
  <c r="G171" i="151"/>
  <c r="G172" i="151" s="1"/>
  <c r="D114" i="203"/>
  <c r="D116" i="203" s="1"/>
  <c r="D118" i="203" s="1"/>
  <c r="D117" i="203"/>
  <c r="G219" i="145"/>
  <c r="G253" i="145" s="1"/>
  <c r="G235" i="149"/>
  <c r="G269" i="149" s="1"/>
  <c r="G220" i="141"/>
  <c r="G254" i="141" s="1"/>
  <c r="G87" i="138"/>
  <c r="G88" i="138" s="1"/>
  <c r="G111" i="138"/>
  <c r="G145" i="138"/>
  <c r="G179" i="138"/>
  <c r="G217" i="145"/>
  <c r="G251" i="145" s="1"/>
  <c r="G232" i="149"/>
  <c r="G266" i="149" s="1"/>
  <c r="G196" i="134"/>
  <c r="G162" i="134"/>
  <c r="G128" i="134"/>
  <c r="G215" i="141"/>
  <c r="G249" i="141" s="1"/>
  <c r="D113" i="195"/>
  <c r="D115" i="195" s="1"/>
  <c r="D112" i="195"/>
  <c r="G213" i="136"/>
  <c r="G121" i="136"/>
  <c r="G221" i="148"/>
  <c r="G255" i="148" s="1"/>
  <c r="G128" i="138"/>
  <c r="G162" i="138"/>
  <c r="G196" i="138"/>
  <c r="G230" i="151"/>
  <c r="G264" i="151" s="1"/>
  <c r="G156" i="147"/>
  <c r="G214" i="151"/>
  <c r="G248" i="151" s="1"/>
  <c r="D150" i="196"/>
  <c r="D111" i="196"/>
  <c r="G156" i="146"/>
  <c r="G229" i="144"/>
  <c r="G205" i="144"/>
  <c r="G206" i="144" s="1"/>
  <c r="G53" i="141"/>
  <c r="G290" i="141" s="1"/>
  <c r="F368" i="141"/>
  <c r="F370" i="141" s="1"/>
  <c r="G54" i="139"/>
  <c r="G77" i="145"/>
  <c r="G78" i="145"/>
  <c r="G230" i="150"/>
  <c r="G264" i="150" s="1"/>
  <c r="G229" i="147"/>
  <c r="G218" i="148"/>
  <c r="G252" i="148" s="1"/>
  <c r="G111" i="142"/>
  <c r="G145" i="142"/>
  <c r="G179" i="142"/>
  <c r="G87" i="142"/>
  <c r="G88" i="142" s="1"/>
  <c r="G155" i="144"/>
  <c r="G232" i="141"/>
  <c r="G266" i="141" s="1"/>
  <c r="G196" i="143"/>
  <c r="G128" i="143"/>
  <c r="G162" i="143"/>
  <c r="F367" i="149"/>
  <c r="G93" i="145"/>
  <c r="G94" i="145"/>
  <c r="D156" i="197"/>
  <c r="D112" i="187"/>
  <c r="D113" i="187"/>
  <c r="D115" i="187" s="1"/>
  <c r="G189" i="147"/>
  <c r="G190" i="147" s="1"/>
  <c r="G189" i="151"/>
  <c r="G190" i="151" s="1"/>
  <c r="G87" i="143"/>
  <c r="G88" i="143" s="1"/>
  <c r="G146" i="143"/>
  <c r="G180" i="143"/>
  <c r="G112" i="143"/>
  <c r="G280" i="146"/>
  <c r="G28" i="131" s="1"/>
  <c r="G221" i="149"/>
  <c r="G255" i="149" s="1"/>
  <c r="D112" i="185"/>
  <c r="D113" i="185"/>
  <c r="D115" i="185" s="1"/>
  <c r="G93" i="141"/>
  <c r="G94" i="141"/>
  <c r="G205" i="151"/>
  <c r="G206" i="151" s="1"/>
  <c r="G229" i="151"/>
  <c r="G87" i="137"/>
  <c r="G88" i="137" s="1"/>
  <c r="G145" i="137"/>
  <c r="G179" i="137"/>
  <c r="G189" i="137" s="1"/>
  <c r="G111" i="137"/>
  <c r="G214" i="144"/>
  <c r="G248" i="144" s="1"/>
  <c r="D113" i="188"/>
  <c r="D115" i="188" s="1"/>
  <c r="D112" i="188"/>
  <c r="G196" i="140"/>
  <c r="G230" i="140" s="1"/>
  <c r="G264" i="140" s="1"/>
  <c r="G162" i="140"/>
  <c r="G128" i="140"/>
  <c r="G161" i="134"/>
  <c r="G195" i="134"/>
  <c r="G103" i="134"/>
  <c r="G104" i="134" s="1"/>
  <c r="G127" i="134"/>
  <c r="D112" i="199"/>
  <c r="D113" i="199"/>
  <c r="D115" i="199" s="1"/>
  <c r="G205" i="147"/>
  <c r="G206" i="147" s="1"/>
  <c r="G230" i="147"/>
  <c r="G264" i="147" s="1"/>
  <c r="F351" i="149"/>
  <c r="G213" i="147"/>
  <c r="D25" i="206"/>
  <c r="G146" i="162"/>
  <c r="G180" i="162"/>
  <c r="G189" i="162" s="1"/>
  <c r="G112" i="162"/>
  <c r="G196" i="139"/>
  <c r="G128" i="139"/>
  <c r="G162" i="139"/>
  <c r="G77" i="141"/>
  <c r="G78" i="141"/>
  <c r="G145" i="139"/>
  <c r="G179" i="139"/>
  <c r="G111" i="139"/>
  <c r="G87" i="139"/>
  <c r="G88" i="139" s="1"/>
  <c r="F368" i="145"/>
  <c r="F370" i="145" s="1"/>
  <c r="G53" i="145"/>
  <c r="G290" i="145" s="1"/>
  <c r="G137" i="150"/>
  <c r="G138" i="150" s="1"/>
  <c r="D114" i="204"/>
  <c r="D116" i="204" s="1"/>
  <c r="D118" i="204" s="1"/>
  <c r="D117" i="204"/>
  <c r="G218" i="140"/>
  <c r="G252" i="140" s="1"/>
  <c r="D266" i="211"/>
  <c r="J77" i="218" s="1"/>
  <c r="D241" i="211"/>
  <c r="G213" i="150"/>
  <c r="G121" i="150"/>
  <c r="G122" i="150" s="1"/>
  <c r="D106" i="193"/>
  <c r="D111" i="193" s="1"/>
  <c r="D22" i="206"/>
  <c r="E81" i="208" s="1"/>
  <c r="D112" i="192"/>
  <c r="D113" i="192"/>
  <c r="D115" i="192" s="1"/>
  <c r="G161" i="143"/>
  <c r="G195" i="143"/>
  <c r="G127" i="143"/>
  <c r="G103" i="143"/>
  <c r="G104" i="143" s="1"/>
  <c r="L477" i="217"/>
  <c r="L473" i="217"/>
  <c r="G93" i="149"/>
  <c r="G94" i="149"/>
  <c r="G146" i="142"/>
  <c r="G112" i="142"/>
  <c r="G180" i="142"/>
  <c r="G213" i="144"/>
  <c r="G121" i="144"/>
  <c r="G282" i="144" s="1"/>
  <c r="G26" i="132" s="1"/>
  <c r="G103" i="142"/>
  <c r="G104" i="142" s="1"/>
  <c r="G128" i="142"/>
  <c r="G196" i="142"/>
  <c r="G162" i="142"/>
  <c r="G290" i="140"/>
  <c r="G54" i="140"/>
  <c r="E73" i="208"/>
  <c r="G112" i="86"/>
  <c r="G121" i="86" s="1"/>
  <c r="G87" i="86"/>
  <c r="G88" i="86" s="1"/>
  <c r="G189" i="86"/>
  <c r="G190" i="86" s="1"/>
  <c r="G216" i="86"/>
  <c r="G250" i="86" s="1"/>
  <c r="G220" i="86"/>
  <c r="G254" i="86" s="1"/>
  <c r="L330" i="217"/>
  <c r="F108" i="102"/>
  <c r="F68" i="102"/>
  <c r="F38" i="102"/>
  <c r="F52" i="95"/>
  <c r="G195" i="86"/>
  <c r="G127" i="86"/>
  <c r="G103" i="86"/>
  <c r="G104" i="86" s="1"/>
  <c r="G161" i="86"/>
  <c r="D15" i="206"/>
  <c r="D106" i="186"/>
  <c r="D111" i="186" s="1"/>
  <c r="G217" i="86"/>
  <c r="G251" i="86" s="1"/>
  <c r="L583" i="217"/>
  <c r="L530" i="217"/>
  <c r="L586" i="217"/>
  <c r="L585" i="217"/>
  <c r="G290" i="86"/>
  <c r="G54" i="86"/>
  <c r="D16" i="209"/>
  <c r="D248" i="209" s="1"/>
  <c r="L584" i="217"/>
  <c r="G213" i="86"/>
  <c r="G162" i="86"/>
  <c r="G196" i="86"/>
  <c r="G128" i="86"/>
  <c r="D36" i="207" l="1"/>
  <c r="D29" i="209"/>
  <c r="D261" i="209" s="1"/>
  <c r="D30" i="210" s="1"/>
  <c r="D69" i="211" s="1"/>
  <c r="G280" i="150"/>
  <c r="G32" i="131" s="1"/>
  <c r="G137" i="137"/>
  <c r="G138" i="137" s="1"/>
  <c r="G280" i="136"/>
  <c r="G18" i="131" s="1"/>
  <c r="E87" i="208"/>
  <c r="G137" i="135"/>
  <c r="G138" i="135" s="1"/>
  <c r="G281" i="150"/>
  <c r="G32" i="133" s="1"/>
  <c r="G282" i="147"/>
  <c r="G29" i="132" s="1"/>
  <c r="G54" i="141"/>
  <c r="G137" i="143"/>
  <c r="G138" i="143" s="1"/>
  <c r="G189" i="142"/>
  <c r="G137" i="139"/>
  <c r="G138" i="139" s="1"/>
  <c r="G214" i="137"/>
  <c r="G248" i="137" s="1"/>
  <c r="D37" i="205"/>
  <c r="G230" i="139"/>
  <c r="G264" i="139" s="1"/>
  <c r="D155" i="196"/>
  <c r="D156" i="196" s="1"/>
  <c r="G137" i="134"/>
  <c r="G138" i="134" s="1"/>
  <c r="G171" i="137"/>
  <c r="G172" i="137" s="1"/>
  <c r="G54" i="149"/>
  <c r="G230" i="143"/>
  <c r="G264" i="143" s="1"/>
  <c r="D36" i="206"/>
  <c r="G137" i="142"/>
  <c r="G138" i="142" s="1"/>
  <c r="G171" i="143"/>
  <c r="G172" i="143" s="1"/>
  <c r="G155" i="162"/>
  <c r="G171" i="134"/>
  <c r="G172" i="134" s="1"/>
  <c r="G280" i="147"/>
  <c r="G29" i="131" s="1"/>
  <c r="G155" i="143"/>
  <c r="G280" i="143" s="1"/>
  <c r="G25" i="131" s="1"/>
  <c r="G171" i="139"/>
  <c r="G172" i="139" s="1"/>
  <c r="G122" i="146"/>
  <c r="G230" i="137"/>
  <c r="G264" i="137" s="1"/>
  <c r="G137" i="162"/>
  <c r="G138" i="162" s="1"/>
  <c r="G195" i="149"/>
  <c r="G161" i="149"/>
  <c r="G127" i="149"/>
  <c r="G103" i="149"/>
  <c r="G104" i="149" s="1"/>
  <c r="G121" i="139"/>
  <c r="G282" i="139" s="1"/>
  <c r="G21" i="132" s="1"/>
  <c r="G213" i="139"/>
  <c r="D114" i="199"/>
  <c r="D116" i="199" s="1"/>
  <c r="D118" i="199" s="1"/>
  <c r="D117" i="199"/>
  <c r="G121" i="137"/>
  <c r="G282" i="137" s="1"/>
  <c r="G19" i="132" s="1"/>
  <c r="G213" i="137"/>
  <c r="G239" i="151"/>
  <c r="G240" i="151" s="1"/>
  <c r="G263" i="151"/>
  <c r="G273" i="151" s="1"/>
  <c r="G274" i="151" s="1"/>
  <c r="G195" i="141"/>
  <c r="G127" i="141"/>
  <c r="G103" i="141"/>
  <c r="G104" i="141" s="1"/>
  <c r="G161" i="141"/>
  <c r="G103" i="145"/>
  <c r="G104" i="145" s="1"/>
  <c r="G127" i="145"/>
  <c r="G161" i="145"/>
  <c r="G195" i="145"/>
  <c r="G213" i="142"/>
  <c r="G87" i="145"/>
  <c r="G88" i="145" s="1"/>
  <c r="G180" i="145"/>
  <c r="G112" i="145"/>
  <c r="G146" i="145"/>
  <c r="D114" i="195"/>
  <c r="D116" i="195" s="1"/>
  <c r="D118" i="195" s="1"/>
  <c r="D117" i="195"/>
  <c r="G189" i="138"/>
  <c r="G190" i="138" s="1"/>
  <c r="G162" i="148"/>
  <c r="G196" i="148"/>
  <c r="G128" i="148"/>
  <c r="G190" i="144"/>
  <c r="G281" i="144"/>
  <c r="G26" i="133" s="1"/>
  <c r="G205" i="135"/>
  <c r="G206" i="135" s="1"/>
  <c r="G229" i="135"/>
  <c r="G205" i="138"/>
  <c r="G206" i="138" s="1"/>
  <c r="G229" i="138"/>
  <c r="G180" i="149"/>
  <c r="G146" i="149"/>
  <c r="G112" i="149"/>
  <c r="G223" i="151"/>
  <c r="G224" i="151" s="1"/>
  <c r="G247" i="151"/>
  <c r="G257" i="151" s="1"/>
  <c r="G258" i="151" s="1"/>
  <c r="G239" i="150"/>
  <c r="G240" i="150" s="1"/>
  <c r="G263" i="150"/>
  <c r="G273" i="150" s="1"/>
  <c r="G274" i="150" s="1"/>
  <c r="G189" i="134"/>
  <c r="G190" i="134" s="1"/>
  <c r="G280" i="151"/>
  <c r="G33" i="131" s="1"/>
  <c r="D242" i="211"/>
  <c r="D267" i="211"/>
  <c r="J78" i="218" s="1"/>
  <c r="D117" i="192"/>
  <c r="D114" i="192"/>
  <c r="D116" i="192" s="1"/>
  <c r="D118" i="192" s="1"/>
  <c r="G282" i="150"/>
  <c r="G32" i="132" s="1"/>
  <c r="G189" i="139"/>
  <c r="G190" i="139" s="1"/>
  <c r="G145" i="141"/>
  <c r="G179" i="141"/>
  <c r="G111" i="141"/>
  <c r="G121" i="162"/>
  <c r="G282" i="162" s="1"/>
  <c r="G24" i="132" s="1"/>
  <c r="G214" i="162"/>
  <c r="G248" i="162" s="1"/>
  <c r="D114" i="188"/>
  <c r="D116" i="188" s="1"/>
  <c r="D118" i="188" s="1"/>
  <c r="D117" i="188"/>
  <c r="G190" i="137"/>
  <c r="G121" i="143"/>
  <c r="G282" i="143" s="1"/>
  <c r="G25" i="132" s="1"/>
  <c r="G214" i="143"/>
  <c r="G248" i="143" s="1"/>
  <c r="D114" i="187"/>
  <c r="D116" i="187" s="1"/>
  <c r="D118" i="187" s="1"/>
  <c r="D117" i="187"/>
  <c r="G54" i="145"/>
  <c r="D112" i="196"/>
  <c r="D113" i="196"/>
  <c r="D115" i="196" s="1"/>
  <c r="G230" i="134"/>
  <c r="G264" i="134" s="1"/>
  <c r="G155" i="138"/>
  <c r="G214" i="135"/>
  <c r="G248" i="135" s="1"/>
  <c r="G161" i="148"/>
  <c r="G195" i="148"/>
  <c r="G127" i="148"/>
  <c r="G103" i="148"/>
  <c r="G104" i="148" s="1"/>
  <c r="G229" i="142"/>
  <c r="G239" i="136"/>
  <c r="G240" i="136" s="1"/>
  <c r="G263" i="136"/>
  <c r="G273" i="136" s="1"/>
  <c r="G274" i="136" s="1"/>
  <c r="G156" i="162"/>
  <c r="G223" i="146"/>
  <c r="G247" i="146"/>
  <c r="G257" i="146" s="1"/>
  <c r="G258" i="146" s="1"/>
  <c r="G171" i="138"/>
  <c r="G172" i="138" s="1"/>
  <c r="G214" i="138"/>
  <c r="G248" i="138" s="1"/>
  <c r="G112" i="148"/>
  <c r="G180" i="148"/>
  <c r="G146" i="148"/>
  <c r="G213" i="135"/>
  <c r="G121" i="135"/>
  <c r="G282" i="135" s="1"/>
  <c r="G17" i="132" s="1"/>
  <c r="G239" i="146"/>
  <c r="G240" i="146" s="1"/>
  <c r="G263" i="146"/>
  <c r="G273" i="146" s="1"/>
  <c r="G274" i="146" s="1"/>
  <c r="G213" i="140"/>
  <c r="G121" i="140"/>
  <c r="G189" i="140"/>
  <c r="G281" i="146"/>
  <c r="G28" i="133" s="1"/>
  <c r="G190" i="146"/>
  <c r="G137" i="140"/>
  <c r="G138" i="140" s="1"/>
  <c r="G171" i="162"/>
  <c r="G172" i="162" s="1"/>
  <c r="G223" i="144"/>
  <c r="G224" i="144" s="1"/>
  <c r="G247" i="144"/>
  <c r="G257" i="144" s="1"/>
  <c r="G258" i="144" s="1"/>
  <c r="G229" i="143"/>
  <c r="G205" i="143"/>
  <c r="G206" i="143" s="1"/>
  <c r="G223" i="150"/>
  <c r="G247" i="150"/>
  <c r="G257" i="150" s="1"/>
  <c r="G258" i="150" s="1"/>
  <c r="G155" i="139"/>
  <c r="G122" i="147"/>
  <c r="G155" i="137"/>
  <c r="G156" i="137" s="1"/>
  <c r="D114" i="185"/>
  <c r="D116" i="185" s="1"/>
  <c r="D118" i="185" s="1"/>
  <c r="D117" i="185"/>
  <c r="G189" i="143"/>
  <c r="G281" i="143" s="1"/>
  <c r="G25" i="133" s="1"/>
  <c r="G281" i="151"/>
  <c r="G33" i="133" s="1"/>
  <c r="G156" i="144"/>
  <c r="G280" i="144"/>
  <c r="G26" i="131" s="1"/>
  <c r="G190" i="142"/>
  <c r="G239" i="147"/>
  <c r="G240" i="147" s="1"/>
  <c r="G263" i="147"/>
  <c r="G273" i="147" s="1"/>
  <c r="G274" i="147" s="1"/>
  <c r="G179" i="145"/>
  <c r="G111" i="145"/>
  <c r="G145" i="145"/>
  <c r="G230" i="138"/>
  <c r="G264" i="138" s="1"/>
  <c r="G282" i="136"/>
  <c r="G18" i="132" s="1"/>
  <c r="G122" i="136"/>
  <c r="G213" i="138"/>
  <c r="G121" i="138"/>
  <c r="D117" i="197"/>
  <c r="D114" i="197"/>
  <c r="D116" i="197" s="1"/>
  <c r="D118" i="197" s="1"/>
  <c r="D240" i="211"/>
  <c r="D265" i="211"/>
  <c r="J76" i="218" s="1"/>
  <c r="D117" i="190"/>
  <c r="D114" i="190"/>
  <c r="D116" i="190" s="1"/>
  <c r="D118" i="190" s="1"/>
  <c r="G206" i="136"/>
  <c r="G281" i="136"/>
  <c r="G18" i="133" s="1"/>
  <c r="G190" i="162"/>
  <c r="G171" i="135"/>
  <c r="G172" i="135" s="1"/>
  <c r="G87" i="149"/>
  <c r="G88" i="149" s="1"/>
  <c r="G145" i="149"/>
  <c r="G179" i="149"/>
  <c r="G111" i="149"/>
  <c r="G54" i="148"/>
  <c r="G189" i="135"/>
  <c r="G214" i="134"/>
  <c r="G248" i="134" s="1"/>
  <c r="G214" i="139"/>
  <c r="G248" i="139" s="1"/>
  <c r="D117" i="194"/>
  <c r="D114" i="194"/>
  <c r="D116" i="194" s="1"/>
  <c r="D118" i="194" s="1"/>
  <c r="G229" i="140"/>
  <c r="G205" i="140"/>
  <c r="G206" i="140" s="1"/>
  <c r="G205" i="162"/>
  <c r="G206" i="162" s="1"/>
  <c r="G230" i="162"/>
  <c r="G264" i="162" s="1"/>
  <c r="G155" i="134"/>
  <c r="G205" i="142"/>
  <c r="G206" i="142" s="1"/>
  <c r="G230" i="142"/>
  <c r="G264" i="142" s="1"/>
  <c r="G122" i="144"/>
  <c r="G121" i="142"/>
  <c r="G214" i="142"/>
  <c r="G248" i="142" s="1"/>
  <c r="G162" i="149"/>
  <c r="G171" i="149" s="1"/>
  <c r="G172" i="149" s="1"/>
  <c r="G196" i="149"/>
  <c r="G128" i="149"/>
  <c r="D112" i="193"/>
  <c r="D113" i="193"/>
  <c r="D115" i="193" s="1"/>
  <c r="G87" i="141"/>
  <c r="G88" i="141" s="1"/>
  <c r="G112" i="141"/>
  <c r="G180" i="141"/>
  <c r="G189" i="141" s="1"/>
  <c r="G146" i="141"/>
  <c r="G280" i="162"/>
  <c r="G24" i="131" s="1"/>
  <c r="G223" i="147"/>
  <c r="G279" i="147" s="1"/>
  <c r="G247" i="147"/>
  <c r="G257" i="147" s="1"/>
  <c r="G258" i="147" s="1"/>
  <c r="G229" i="134"/>
  <c r="G205" i="134"/>
  <c r="G206" i="134" s="1"/>
  <c r="G162" i="141"/>
  <c r="G128" i="141"/>
  <c r="G196" i="141"/>
  <c r="G281" i="147"/>
  <c r="G29" i="133" s="1"/>
  <c r="G196" i="145"/>
  <c r="G128" i="145"/>
  <c r="G162" i="145"/>
  <c r="G155" i="142"/>
  <c r="G156" i="142" s="1"/>
  <c r="G239" i="144"/>
  <c r="G240" i="144" s="1"/>
  <c r="G263" i="144"/>
  <c r="G273" i="144" s="1"/>
  <c r="G274" i="144" s="1"/>
  <c r="G223" i="136"/>
  <c r="G247" i="136"/>
  <c r="G257" i="136" s="1"/>
  <c r="G258" i="136" s="1"/>
  <c r="G229" i="137"/>
  <c r="G205" i="137"/>
  <c r="G206" i="137" s="1"/>
  <c r="G229" i="139"/>
  <c r="G205" i="139"/>
  <c r="G206" i="139" s="1"/>
  <c r="G171" i="142"/>
  <c r="G172" i="142" s="1"/>
  <c r="D113" i="198"/>
  <c r="D115" i="198" s="1"/>
  <c r="D112" i="198"/>
  <c r="D117" i="191"/>
  <c r="D114" i="191"/>
  <c r="D116" i="191" s="1"/>
  <c r="D118" i="191" s="1"/>
  <c r="G213" i="162"/>
  <c r="G137" i="138"/>
  <c r="G138" i="138" s="1"/>
  <c r="G111" i="148"/>
  <c r="G87" i="148"/>
  <c r="G88" i="148" s="1"/>
  <c r="G179" i="148"/>
  <c r="G145" i="148"/>
  <c r="G155" i="135"/>
  <c r="G229" i="162"/>
  <c r="D112" i="201"/>
  <c r="D113" i="201"/>
  <c r="D115" i="201" s="1"/>
  <c r="D113" i="202"/>
  <c r="D115" i="202" s="1"/>
  <c r="D112" i="202"/>
  <c r="G155" i="140"/>
  <c r="G213" i="143"/>
  <c r="G282" i="151"/>
  <c r="G33" i="132" s="1"/>
  <c r="G230" i="135"/>
  <c r="G264" i="135" s="1"/>
  <c r="G121" i="134"/>
  <c r="G282" i="134" s="1"/>
  <c r="G16" i="132" s="1"/>
  <c r="G213" i="134"/>
  <c r="G156" i="151"/>
  <c r="E84" i="208"/>
  <c r="D26" i="209"/>
  <c r="D258" i="209" s="1"/>
  <c r="D27" i="210" s="1"/>
  <c r="D66" i="211" s="1"/>
  <c r="G214" i="86"/>
  <c r="G248" i="86" s="1"/>
  <c r="E74" i="208"/>
  <c r="G247" i="86"/>
  <c r="G156" i="86"/>
  <c r="L588" i="217"/>
  <c r="G229" i="86"/>
  <c r="G205" i="86"/>
  <c r="G230" i="86"/>
  <c r="G264" i="86" s="1"/>
  <c r="D17" i="210"/>
  <c r="D56" i="211" s="1"/>
  <c r="G171" i="86"/>
  <c r="G172" i="86" s="1"/>
  <c r="AE35" i="95"/>
  <c r="F77" i="95"/>
  <c r="L622" i="217"/>
  <c r="L626" i="217" s="1"/>
  <c r="L359" i="217"/>
  <c r="D112" i="186"/>
  <c r="D113" i="186"/>
  <c r="D115" i="186" s="1"/>
  <c r="G122" i="86"/>
  <c r="L388" i="217"/>
  <c r="D37" i="207"/>
  <c r="L446" i="217"/>
  <c r="L483" i="217" s="1"/>
  <c r="D37" i="206"/>
  <c r="G137" i="86"/>
  <c r="G138" i="86" s="1"/>
  <c r="G122" i="134" l="1"/>
  <c r="G122" i="137"/>
  <c r="G279" i="151"/>
  <c r="G137" i="149"/>
  <c r="G138" i="149" s="1"/>
  <c r="G282" i="142"/>
  <c r="G23" i="132" s="1"/>
  <c r="G229" i="148"/>
  <c r="G122" i="143"/>
  <c r="G280" i="135"/>
  <c r="G17" i="131" s="1"/>
  <c r="G281" i="135"/>
  <c r="G17" i="133" s="1"/>
  <c r="G155" i="141"/>
  <c r="G280" i="137"/>
  <c r="G19" i="131" s="1"/>
  <c r="G230" i="145"/>
  <c r="G264" i="145" s="1"/>
  <c r="G122" i="139"/>
  <c r="G156" i="143"/>
  <c r="G122" i="162"/>
  <c r="G280" i="142"/>
  <c r="G23" i="131" s="1"/>
  <c r="D267" i="209"/>
  <c r="D36" i="210" s="1"/>
  <c r="D75" i="211" s="1"/>
  <c r="G190" i="135"/>
  <c r="G223" i="143"/>
  <c r="G224" i="143" s="1"/>
  <c r="G247" i="143"/>
  <c r="G257" i="143" s="1"/>
  <c r="G258" i="143" s="1"/>
  <c r="G223" i="162"/>
  <c r="G224" i="162" s="1"/>
  <c r="G247" i="162"/>
  <c r="G257" i="162" s="1"/>
  <c r="G258" i="162" s="1"/>
  <c r="G283" i="147"/>
  <c r="G294" i="147"/>
  <c r="G29" i="130"/>
  <c r="G121" i="141"/>
  <c r="G122" i="141" s="1"/>
  <c r="G214" i="141"/>
  <c r="G248" i="141" s="1"/>
  <c r="G156" i="134"/>
  <c r="G280" i="134"/>
  <c r="G16" i="131" s="1"/>
  <c r="G239" i="140"/>
  <c r="G240" i="140" s="1"/>
  <c r="G263" i="140"/>
  <c r="G273" i="140" s="1"/>
  <c r="G274" i="140" s="1"/>
  <c r="G282" i="138"/>
  <c r="G20" i="132" s="1"/>
  <c r="G224" i="150"/>
  <c r="G279" i="150"/>
  <c r="G190" i="140"/>
  <c r="G281" i="140"/>
  <c r="G14" i="133" s="1"/>
  <c r="M211" i="217" s="1"/>
  <c r="D117" i="196"/>
  <c r="D114" i="196"/>
  <c r="D116" i="196" s="1"/>
  <c r="D118" i="196" s="1"/>
  <c r="G190" i="143"/>
  <c r="G239" i="138"/>
  <c r="G240" i="138" s="1"/>
  <c r="G263" i="138"/>
  <c r="G273" i="138" s="1"/>
  <c r="G274" i="138" s="1"/>
  <c r="G171" i="148"/>
  <c r="G172" i="148" s="1"/>
  <c r="G205" i="145"/>
  <c r="G206" i="145" s="1"/>
  <c r="G229" i="145"/>
  <c r="G229" i="141"/>
  <c r="G205" i="141"/>
  <c r="G206" i="141" s="1"/>
  <c r="G223" i="137"/>
  <c r="G224" i="137" s="1"/>
  <c r="G247" i="137"/>
  <c r="G257" i="137" s="1"/>
  <c r="G258" i="137" s="1"/>
  <c r="G156" i="140"/>
  <c r="G280" i="140"/>
  <c r="G14" i="131" s="1"/>
  <c r="M152" i="217" s="1"/>
  <c r="M181" i="217" s="1"/>
  <c r="D117" i="201"/>
  <c r="D114" i="201"/>
  <c r="D116" i="201" s="1"/>
  <c r="D118" i="201" s="1"/>
  <c r="G213" i="148"/>
  <c r="G121" i="148"/>
  <c r="G122" i="148" s="1"/>
  <c r="G263" i="137"/>
  <c r="G273" i="137" s="1"/>
  <c r="G274" i="137" s="1"/>
  <c r="G239" i="137"/>
  <c r="G240" i="137" s="1"/>
  <c r="G230" i="141"/>
  <c r="G264" i="141" s="1"/>
  <c r="G263" i="134"/>
  <c r="G273" i="134" s="1"/>
  <c r="G274" i="134" s="1"/>
  <c r="G239" i="134"/>
  <c r="G240" i="134" s="1"/>
  <c r="G230" i="149"/>
  <c r="G264" i="149" s="1"/>
  <c r="G213" i="149"/>
  <c r="G223" i="138"/>
  <c r="G279" i="138" s="1"/>
  <c r="G247" i="138"/>
  <c r="G257" i="138" s="1"/>
  <c r="G258" i="138" s="1"/>
  <c r="G281" i="162"/>
  <c r="G24" i="133" s="1"/>
  <c r="G122" i="140"/>
  <c r="G282" i="140"/>
  <c r="G122" i="135"/>
  <c r="G156" i="138"/>
  <c r="G280" i="138"/>
  <c r="G20" i="131" s="1"/>
  <c r="G121" i="149"/>
  <c r="G282" i="149" s="1"/>
  <c r="G31" i="132" s="1"/>
  <c r="G214" i="149"/>
  <c r="G248" i="149" s="1"/>
  <c r="G155" i="145"/>
  <c r="G156" i="145" s="1"/>
  <c r="G122" i="142"/>
  <c r="G171" i="145"/>
  <c r="G172" i="145" s="1"/>
  <c r="G171" i="141"/>
  <c r="G172" i="141" s="1"/>
  <c r="G223" i="139"/>
  <c r="G224" i="139" s="1"/>
  <c r="G247" i="139"/>
  <c r="G257" i="139" s="1"/>
  <c r="G258" i="139" s="1"/>
  <c r="D114" i="202"/>
  <c r="D116" i="202" s="1"/>
  <c r="D118" i="202" s="1"/>
  <c r="D117" i="202"/>
  <c r="G239" i="162"/>
  <c r="G240" i="162" s="1"/>
  <c r="G263" i="162"/>
  <c r="G273" i="162" s="1"/>
  <c r="G274" i="162" s="1"/>
  <c r="G155" i="148"/>
  <c r="G156" i="148" s="1"/>
  <c r="G156" i="141"/>
  <c r="G156" i="139"/>
  <c r="G280" i="139"/>
  <c r="G21" i="131" s="1"/>
  <c r="G239" i="143"/>
  <c r="G240" i="143" s="1"/>
  <c r="G263" i="143"/>
  <c r="G273" i="143" s="1"/>
  <c r="G274" i="143" s="1"/>
  <c r="G279" i="144"/>
  <c r="G223" i="140"/>
  <c r="G247" i="140"/>
  <c r="G257" i="140" s="1"/>
  <c r="G258" i="140" s="1"/>
  <c r="G214" i="148"/>
  <c r="G248" i="148" s="1"/>
  <c r="G224" i="146"/>
  <c r="G279" i="146"/>
  <c r="G239" i="142"/>
  <c r="G240" i="142" s="1"/>
  <c r="G263" i="142"/>
  <c r="G273" i="142" s="1"/>
  <c r="G274" i="142" s="1"/>
  <c r="G213" i="141"/>
  <c r="G281" i="139"/>
  <c r="G21" i="133" s="1"/>
  <c r="G281" i="134"/>
  <c r="G16" i="133" s="1"/>
  <c r="G155" i="149"/>
  <c r="G280" i="149" s="1"/>
  <c r="G31" i="131" s="1"/>
  <c r="G263" i="135"/>
  <c r="G273" i="135" s="1"/>
  <c r="G274" i="135" s="1"/>
  <c r="G239" i="135"/>
  <c r="G240" i="135" s="1"/>
  <c r="G137" i="148"/>
  <c r="G138" i="148" s="1"/>
  <c r="G281" i="138"/>
  <c r="G20" i="133" s="1"/>
  <c r="G214" i="145"/>
  <c r="G248" i="145" s="1"/>
  <c r="G223" i="142"/>
  <c r="G279" i="142" s="1"/>
  <c r="G247" i="142"/>
  <c r="G257" i="142" s="1"/>
  <c r="G258" i="142" s="1"/>
  <c r="G137" i="145"/>
  <c r="G138" i="145" s="1"/>
  <c r="D239" i="211"/>
  <c r="D264" i="211"/>
  <c r="J75" i="218" s="1"/>
  <c r="G223" i="134"/>
  <c r="G279" i="134" s="1"/>
  <c r="G247" i="134"/>
  <c r="G257" i="134" s="1"/>
  <c r="G258" i="134" s="1"/>
  <c r="G224" i="134"/>
  <c r="G156" i="135"/>
  <c r="G189" i="148"/>
  <c r="G190" i="148" s="1"/>
  <c r="D114" i="198"/>
  <c r="D116" i="198" s="1"/>
  <c r="D118" i="198" s="1"/>
  <c r="D117" i="198"/>
  <c r="G263" i="139"/>
  <c r="G273" i="139" s="1"/>
  <c r="G274" i="139" s="1"/>
  <c r="G239" i="139"/>
  <c r="G240" i="139" s="1"/>
  <c r="G224" i="136"/>
  <c r="G279" i="136"/>
  <c r="G224" i="147"/>
  <c r="D117" i="193"/>
  <c r="D114" i="193"/>
  <c r="D116" i="193" s="1"/>
  <c r="D118" i="193" s="1"/>
  <c r="G156" i="149"/>
  <c r="G122" i="138"/>
  <c r="G213" i="145"/>
  <c r="G121" i="145"/>
  <c r="G281" i="142"/>
  <c r="G23" i="133" s="1"/>
  <c r="G223" i="135"/>
  <c r="G247" i="135"/>
  <c r="G257" i="135" s="1"/>
  <c r="G258" i="135" s="1"/>
  <c r="G263" i="148"/>
  <c r="G281" i="137"/>
  <c r="G19" i="133" s="1"/>
  <c r="G190" i="141"/>
  <c r="G33" i="130"/>
  <c r="G283" i="151"/>
  <c r="G294" i="151"/>
  <c r="G189" i="149"/>
  <c r="G205" i="148"/>
  <c r="G206" i="148" s="1"/>
  <c r="G230" i="148"/>
  <c r="G264" i="148" s="1"/>
  <c r="G189" i="145"/>
  <c r="G281" i="145" s="1"/>
  <c r="G27" i="133" s="1"/>
  <c r="G137" i="141"/>
  <c r="G138" i="141" s="1"/>
  <c r="G229" i="149"/>
  <c r="G205" i="149"/>
  <c r="G206" i="149" s="1"/>
  <c r="G257" i="86"/>
  <c r="G258" i="86" s="1"/>
  <c r="G223" i="86"/>
  <c r="G224" i="86" s="1"/>
  <c r="E93" i="208"/>
  <c r="G282" i="86"/>
  <c r="G15" i="132" s="1"/>
  <c r="D254" i="211"/>
  <c r="D229" i="211"/>
  <c r="D248" i="211" s="1"/>
  <c r="G280" i="86"/>
  <c r="L481" i="217"/>
  <c r="L475" i="217"/>
  <c r="D114" i="186"/>
  <c r="D116" i="186" s="1"/>
  <c r="D118" i="186" s="1"/>
  <c r="D117" i="186"/>
  <c r="G206" i="86"/>
  <c r="G281" i="86"/>
  <c r="G15" i="133" s="1"/>
  <c r="G239" i="86"/>
  <c r="G240" i="86" s="1"/>
  <c r="G263" i="86"/>
  <c r="G273" i="86" s="1"/>
  <c r="G274" i="86" s="1"/>
  <c r="G279" i="135" l="1"/>
  <c r="G281" i="141"/>
  <c r="G22" i="133" s="1"/>
  <c r="G280" i="141"/>
  <c r="G22" i="131" s="1"/>
  <c r="G273" i="148"/>
  <c r="G274" i="148" s="1"/>
  <c r="G224" i="135"/>
  <c r="G282" i="145"/>
  <c r="G27" i="132" s="1"/>
  <c r="G224" i="142"/>
  <c r="G280" i="148"/>
  <c r="G30" i="131" s="1"/>
  <c r="G281" i="149"/>
  <c r="G31" i="133" s="1"/>
  <c r="G122" i="145"/>
  <c r="G281" i="148"/>
  <c r="G30" i="133" s="1"/>
  <c r="G16" i="130"/>
  <c r="G294" i="134"/>
  <c r="G283" i="134"/>
  <c r="G223" i="141"/>
  <c r="G247" i="141"/>
  <c r="G257" i="141" s="1"/>
  <c r="G258" i="141" s="1"/>
  <c r="G28" i="130"/>
  <c r="G283" i="146"/>
  <c r="G294" i="146"/>
  <c r="G224" i="140"/>
  <c r="G279" i="140"/>
  <c r="G14" i="132"/>
  <c r="M88" i="217" s="1"/>
  <c r="M119" i="217" s="1"/>
  <c r="G283" i="140"/>
  <c r="G223" i="148"/>
  <c r="G247" i="148"/>
  <c r="G257" i="148" s="1"/>
  <c r="G258" i="148" s="1"/>
  <c r="G283" i="150"/>
  <c r="G294" i="150"/>
  <c r="G32" i="130"/>
  <c r="G296" i="147"/>
  <c r="G371" i="147"/>
  <c r="G279" i="162"/>
  <c r="G296" i="151"/>
  <c r="G371" i="151"/>
  <c r="G283" i="136"/>
  <c r="G294" i="136"/>
  <c r="G18" i="130"/>
  <c r="G239" i="148"/>
  <c r="G240" i="148" s="1"/>
  <c r="G26" i="130"/>
  <c r="G283" i="144"/>
  <c r="G294" i="144"/>
  <c r="G20" i="130"/>
  <c r="G294" i="138"/>
  <c r="G283" i="138"/>
  <c r="G239" i="141"/>
  <c r="G240" i="141" s="1"/>
  <c r="G263" i="141"/>
  <c r="G273" i="141" s="1"/>
  <c r="G274" i="141" s="1"/>
  <c r="G294" i="135"/>
  <c r="G17" i="130"/>
  <c r="G283" i="135"/>
  <c r="G223" i="145"/>
  <c r="G224" i="145" s="1"/>
  <c r="G247" i="145"/>
  <c r="G257" i="145" s="1"/>
  <c r="G258" i="145" s="1"/>
  <c r="G23" i="130"/>
  <c r="G283" i="142"/>
  <c r="G294" i="142"/>
  <c r="G279" i="139"/>
  <c r="G280" i="145"/>
  <c r="G27" i="131" s="1"/>
  <c r="G122" i="149"/>
  <c r="G239" i="145"/>
  <c r="G240" i="145" s="1"/>
  <c r="G263" i="145"/>
  <c r="G273" i="145" s="1"/>
  <c r="G274" i="145" s="1"/>
  <c r="M240" i="217"/>
  <c r="M270" i="217"/>
  <c r="G282" i="141"/>
  <c r="G22" i="132" s="1"/>
  <c r="G239" i="149"/>
  <c r="G240" i="149" s="1"/>
  <c r="G263" i="149"/>
  <c r="G273" i="149" s="1"/>
  <c r="G274" i="149" s="1"/>
  <c r="G190" i="149"/>
  <c r="G224" i="138"/>
  <c r="G223" i="149"/>
  <c r="G279" i="149" s="1"/>
  <c r="G247" i="149"/>
  <c r="G257" i="149" s="1"/>
  <c r="G258" i="149" s="1"/>
  <c r="G282" i="148"/>
  <c r="G30" i="132" s="1"/>
  <c r="G279" i="137"/>
  <c r="G190" i="145"/>
  <c r="G279" i="143"/>
  <c r="G15" i="131"/>
  <c r="G279" i="86"/>
  <c r="G283" i="86" s="1"/>
  <c r="J65" i="218"/>
  <c r="D273" i="211"/>
  <c r="G34" i="132" l="1"/>
  <c r="M90" i="217" s="1"/>
  <c r="G34" i="133"/>
  <c r="M213" i="217" s="1"/>
  <c r="M242" i="217" s="1"/>
  <c r="G34" i="131"/>
  <c r="M154" i="217" s="1"/>
  <c r="M183" i="217" s="1"/>
  <c r="G224" i="149"/>
  <c r="M121" i="217"/>
  <c r="M92" i="217"/>
  <c r="M123" i="217" s="1"/>
  <c r="G25" i="130"/>
  <c r="G294" i="143"/>
  <c r="G283" i="143"/>
  <c r="G296" i="142"/>
  <c r="G371" i="142"/>
  <c r="G331" i="135"/>
  <c r="G296" i="135"/>
  <c r="G371" i="135"/>
  <c r="G296" i="136"/>
  <c r="G371" i="136"/>
  <c r="G331" i="136"/>
  <c r="G294" i="162"/>
  <c r="G24" i="130"/>
  <c r="G283" i="162"/>
  <c r="G296" i="150"/>
  <c r="G371" i="150"/>
  <c r="G279" i="148"/>
  <c r="M299" i="217"/>
  <c r="M618" i="217"/>
  <c r="G279" i="145"/>
  <c r="G371" i="138"/>
  <c r="G331" i="138"/>
  <c r="G296" i="138"/>
  <c r="G296" i="146"/>
  <c r="G371" i="146"/>
  <c r="G224" i="141"/>
  <c r="G279" i="141"/>
  <c r="G19" i="130"/>
  <c r="G294" i="137"/>
  <c r="G283" i="137"/>
  <c r="G31" i="130"/>
  <c r="G283" i="149"/>
  <c r="G294" i="149"/>
  <c r="G320" i="147"/>
  <c r="G357" i="147" s="1"/>
  <c r="H60" i="147" s="1"/>
  <c r="G327" i="147"/>
  <c r="G364" i="147" s="1"/>
  <c r="H67" i="147" s="1"/>
  <c r="G308" i="147"/>
  <c r="G345" i="147" s="1"/>
  <c r="H48" i="147" s="1"/>
  <c r="G322" i="147"/>
  <c r="G359" i="147" s="1"/>
  <c r="H62" i="147" s="1"/>
  <c r="G329" i="147"/>
  <c r="G306" i="147"/>
  <c r="G343" i="147" s="1"/>
  <c r="H46" i="147" s="1"/>
  <c r="G29" i="128"/>
  <c r="G79" i="128" s="1"/>
  <c r="G313" i="147"/>
  <c r="G332" i="147" s="1"/>
  <c r="G323" i="147"/>
  <c r="G360" i="147" s="1"/>
  <c r="H63" i="147" s="1"/>
  <c r="G304" i="147"/>
  <c r="G341" i="147" s="1"/>
  <c r="H44" i="147" s="1"/>
  <c r="G311" i="147"/>
  <c r="G348" i="147" s="1"/>
  <c r="H51" i="147" s="1"/>
  <c r="G325" i="147"/>
  <c r="G362" i="147" s="1"/>
  <c r="H65" i="147" s="1"/>
  <c r="G324" i="147"/>
  <c r="G361" i="147" s="1"/>
  <c r="H64" i="147" s="1"/>
  <c r="H98" i="147" s="1"/>
  <c r="G312" i="147"/>
  <c r="G349" i="147" s="1"/>
  <c r="H52" i="147" s="1"/>
  <c r="G303" i="147"/>
  <c r="G328" i="147"/>
  <c r="G365" i="147" s="1"/>
  <c r="H68" i="147" s="1"/>
  <c r="G309" i="147"/>
  <c r="G346" i="147" s="1"/>
  <c r="H49" i="147" s="1"/>
  <c r="G319" i="147"/>
  <c r="G331" i="147"/>
  <c r="G307" i="147"/>
  <c r="G344" i="147" s="1"/>
  <c r="H47" i="147" s="1"/>
  <c r="G321" i="147"/>
  <c r="G358" i="147" s="1"/>
  <c r="H61" i="147" s="1"/>
  <c r="H95" i="147" s="1"/>
  <c r="G326" i="147"/>
  <c r="G363" i="147" s="1"/>
  <c r="H66" i="147" s="1"/>
  <c r="H100" i="147" s="1"/>
  <c r="G305" i="147"/>
  <c r="G342" i="147" s="1"/>
  <c r="H45" i="147" s="1"/>
  <c r="G310" i="147"/>
  <c r="G347" i="147" s="1"/>
  <c r="H50" i="147" s="1"/>
  <c r="H84" i="147" s="1"/>
  <c r="G21" i="130"/>
  <c r="G283" i="139"/>
  <c r="G294" i="139"/>
  <c r="G296" i="144"/>
  <c r="G371" i="144"/>
  <c r="G322" i="151"/>
  <c r="G359" i="151" s="1"/>
  <c r="H62" i="151" s="1"/>
  <c r="G34" i="128"/>
  <c r="G84" i="128" s="1"/>
  <c r="G310" i="151"/>
  <c r="G347" i="151" s="1"/>
  <c r="H50" i="151" s="1"/>
  <c r="G320" i="151"/>
  <c r="G357" i="151" s="1"/>
  <c r="H60" i="151" s="1"/>
  <c r="G327" i="151"/>
  <c r="G364" i="151" s="1"/>
  <c r="H67" i="151" s="1"/>
  <c r="G308" i="151"/>
  <c r="G345" i="151" s="1"/>
  <c r="H48" i="151" s="1"/>
  <c r="G311" i="151"/>
  <c r="G348" i="151" s="1"/>
  <c r="H51" i="151" s="1"/>
  <c r="H85" i="151" s="1"/>
  <c r="G306" i="151"/>
  <c r="G343" i="151" s="1"/>
  <c r="H46" i="151" s="1"/>
  <c r="G323" i="151"/>
  <c r="G360" i="151" s="1"/>
  <c r="H63" i="151" s="1"/>
  <c r="H97" i="151" s="1"/>
  <c r="G325" i="151"/>
  <c r="G362" i="151" s="1"/>
  <c r="H65" i="151" s="1"/>
  <c r="G319" i="151"/>
  <c r="G331" i="151"/>
  <c r="G328" i="151"/>
  <c r="G365" i="151" s="1"/>
  <c r="H68" i="151" s="1"/>
  <c r="H102" i="151" s="1"/>
  <c r="G307" i="151"/>
  <c r="G344" i="151" s="1"/>
  <c r="H47" i="151" s="1"/>
  <c r="G309" i="151"/>
  <c r="G346" i="151" s="1"/>
  <c r="H49" i="151" s="1"/>
  <c r="G326" i="151"/>
  <c r="G363" i="151" s="1"/>
  <c r="H66" i="151" s="1"/>
  <c r="G303" i="151"/>
  <c r="G321" i="151"/>
  <c r="G358" i="151" s="1"/>
  <c r="H61" i="151" s="1"/>
  <c r="G324" i="151"/>
  <c r="G361" i="151" s="1"/>
  <c r="H64" i="151" s="1"/>
  <c r="G305" i="151"/>
  <c r="G342" i="151" s="1"/>
  <c r="H45" i="151" s="1"/>
  <c r="G312" i="151"/>
  <c r="G349" i="151" s="1"/>
  <c r="H52" i="151" s="1"/>
  <c r="G329" i="151"/>
  <c r="G313" i="151"/>
  <c r="G304" i="151"/>
  <c r="G341" i="151" s="1"/>
  <c r="H44" i="151" s="1"/>
  <c r="G224" i="148"/>
  <c r="G14" i="130"/>
  <c r="G12" i="130" s="1"/>
  <c r="G294" i="140"/>
  <c r="G331" i="134"/>
  <c r="G296" i="134"/>
  <c r="G371" i="134"/>
  <c r="M272" i="217"/>
  <c r="M624" i="217" s="1"/>
  <c r="J85" i="218"/>
  <c r="J86" i="218"/>
  <c r="G15" i="130"/>
  <c r="G294" i="86"/>
  <c r="H86" i="151" l="1"/>
  <c r="M301" i="217"/>
  <c r="H86" i="147"/>
  <c r="H188" i="147" s="1"/>
  <c r="H100" i="151"/>
  <c r="H202" i="151" s="1"/>
  <c r="H83" i="147"/>
  <c r="H83" i="151"/>
  <c r="H185" i="151" s="1"/>
  <c r="H96" i="151"/>
  <c r="H198" i="151" s="1"/>
  <c r="H80" i="147"/>
  <c r="H182" i="147" s="1"/>
  <c r="H97" i="147"/>
  <c r="H197" i="147"/>
  <c r="H129" i="147"/>
  <c r="H163" i="147"/>
  <c r="H185" i="147"/>
  <c r="H151" i="147"/>
  <c r="H117" i="147"/>
  <c r="H166" i="147"/>
  <c r="H200" i="147"/>
  <c r="H132" i="147"/>
  <c r="H199" i="147"/>
  <c r="H131" i="147"/>
  <c r="H165" i="147"/>
  <c r="G296" i="143"/>
  <c r="G371" i="143"/>
  <c r="H134" i="151"/>
  <c r="H80" i="151"/>
  <c r="G296" i="140"/>
  <c r="G371" i="140"/>
  <c r="G332" i="151"/>
  <c r="G333" i="151" s="1"/>
  <c r="H98" i="151"/>
  <c r="H151" i="151"/>
  <c r="G356" i="151"/>
  <c r="G330" i="151"/>
  <c r="H153" i="151"/>
  <c r="H187" i="151"/>
  <c r="H119" i="151"/>
  <c r="H84" i="151"/>
  <c r="G327" i="144"/>
  <c r="G364" i="144" s="1"/>
  <c r="H67" i="144" s="1"/>
  <c r="G308" i="144"/>
  <c r="G345" i="144" s="1"/>
  <c r="H48" i="144" s="1"/>
  <c r="G311" i="144"/>
  <c r="G348" i="144" s="1"/>
  <c r="H51" i="144" s="1"/>
  <c r="G325" i="144"/>
  <c r="G362" i="144" s="1"/>
  <c r="H65" i="144" s="1"/>
  <c r="G328" i="144"/>
  <c r="G365" i="144" s="1"/>
  <c r="H68" i="144" s="1"/>
  <c r="H102" i="144" s="1"/>
  <c r="G309" i="144"/>
  <c r="G346" i="144" s="1"/>
  <c r="H49" i="144" s="1"/>
  <c r="H83" i="144" s="1"/>
  <c r="G323" i="144"/>
  <c r="G360" i="144" s="1"/>
  <c r="H63" i="144" s="1"/>
  <c r="G304" i="144"/>
  <c r="G341" i="144" s="1"/>
  <c r="H44" i="144" s="1"/>
  <c r="G307" i="144"/>
  <c r="G344" i="144" s="1"/>
  <c r="H47" i="144" s="1"/>
  <c r="G321" i="144"/>
  <c r="G358" i="144" s="1"/>
  <c r="H61" i="144" s="1"/>
  <c r="G324" i="144"/>
  <c r="G361" i="144" s="1"/>
  <c r="H64" i="144" s="1"/>
  <c r="G305" i="144"/>
  <c r="G342" i="144" s="1"/>
  <c r="H45" i="144" s="1"/>
  <c r="H79" i="144" s="1"/>
  <c r="G26" i="128"/>
  <c r="G76" i="128" s="1"/>
  <c r="G319" i="144"/>
  <c r="G326" i="144"/>
  <c r="G363" i="144" s="1"/>
  <c r="H66" i="144" s="1"/>
  <c r="G303" i="144"/>
  <c r="G310" i="144"/>
  <c r="G347" i="144" s="1"/>
  <c r="H50" i="144" s="1"/>
  <c r="G320" i="144"/>
  <c r="G357" i="144" s="1"/>
  <c r="H60" i="144" s="1"/>
  <c r="G331" i="144"/>
  <c r="G312" i="144"/>
  <c r="G349" i="144" s="1"/>
  <c r="H52" i="144" s="1"/>
  <c r="G322" i="144"/>
  <c r="G359" i="144" s="1"/>
  <c r="H62" i="144" s="1"/>
  <c r="G329" i="144"/>
  <c r="G306" i="144"/>
  <c r="G343" i="144" s="1"/>
  <c r="H46" i="144" s="1"/>
  <c r="G313" i="144"/>
  <c r="H152" i="147"/>
  <c r="H118" i="147"/>
  <c r="H186" i="147"/>
  <c r="H81" i="147"/>
  <c r="H102" i="147"/>
  <c r="H99" i="147"/>
  <c r="G333" i="147"/>
  <c r="H96" i="147"/>
  <c r="G371" i="149"/>
  <c r="G296" i="149"/>
  <c r="G331" i="137"/>
  <c r="G296" i="137"/>
  <c r="G371" i="137"/>
  <c r="G30" i="130"/>
  <c r="G294" i="148"/>
  <c r="G283" i="148"/>
  <c r="G328" i="136"/>
  <c r="G365" i="136" s="1"/>
  <c r="H68" i="136" s="1"/>
  <c r="G305" i="136"/>
  <c r="G342" i="136" s="1"/>
  <c r="H45" i="136" s="1"/>
  <c r="G312" i="136"/>
  <c r="G349" i="136" s="1"/>
  <c r="H52" i="136" s="1"/>
  <c r="G322" i="136"/>
  <c r="G359" i="136" s="1"/>
  <c r="H62" i="136" s="1"/>
  <c r="G325" i="136"/>
  <c r="G362" i="136" s="1"/>
  <c r="H65" i="136" s="1"/>
  <c r="G324" i="136"/>
  <c r="G361" i="136" s="1"/>
  <c r="H64" i="136" s="1"/>
  <c r="G327" i="136"/>
  <c r="G364" i="136" s="1"/>
  <c r="H67" i="136" s="1"/>
  <c r="G308" i="136"/>
  <c r="G345" i="136" s="1"/>
  <c r="H48" i="136" s="1"/>
  <c r="G311" i="136"/>
  <c r="G348" i="136" s="1"/>
  <c r="H51" i="136" s="1"/>
  <c r="G321" i="136"/>
  <c r="G358" i="136" s="1"/>
  <c r="H61" i="136" s="1"/>
  <c r="G320" i="136"/>
  <c r="G357" i="136" s="1"/>
  <c r="H60" i="136" s="1"/>
  <c r="G323" i="136"/>
  <c r="G360" i="136" s="1"/>
  <c r="H63" i="136" s="1"/>
  <c r="H97" i="136" s="1"/>
  <c r="H131" i="136" s="1"/>
  <c r="G304" i="136"/>
  <c r="G341" i="136" s="1"/>
  <c r="H44" i="136" s="1"/>
  <c r="G307" i="136"/>
  <c r="G344" i="136" s="1"/>
  <c r="H47" i="136" s="1"/>
  <c r="G310" i="136"/>
  <c r="G347" i="136" s="1"/>
  <c r="H50" i="136" s="1"/>
  <c r="G18" i="128"/>
  <c r="G68" i="128" s="1"/>
  <c r="G309" i="136"/>
  <c r="G346" i="136" s="1"/>
  <c r="H49" i="136" s="1"/>
  <c r="G319" i="136"/>
  <c r="G326" i="136"/>
  <c r="G363" i="136" s="1"/>
  <c r="H66" i="136" s="1"/>
  <c r="H100" i="136" s="1"/>
  <c r="H168" i="136" s="1"/>
  <c r="G303" i="136"/>
  <c r="G306" i="136"/>
  <c r="G343" i="136" s="1"/>
  <c r="H46" i="136" s="1"/>
  <c r="H79" i="151"/>
  <c r="H95" i="151"/>
  <c r="H81" i="151"/>
  <c r="H99" i="151"/>
  <c r="H82" i="151"/>
  <c r="G34" i="102"/>
  <c r="E15" i="204"/>
  <c r="E44" i="204" s="1"/>
  <c r="E57" i="204" s="1"/>
  <c r="E98" i="204" s="1"/>
  <c r="G371" i="139"/>
  <c r="G331" i="139"/>
  <c r="G296" i="139"/>
  <c r="H79" i="147"/>
  <c r="G340" i="147"/>
  <c r="G314" i="147"/>
  <c r="H85" i="147"/>
  <c r="G30" i="102"/>
  <c r="E15" i="200"/>
  <c r="E44" i="200" s="1"/>
  <c r="E57" i="200" s="1"/>
  <c r="E98" i="200" s="1"/>
  <c r="H82" i="147"/>
  <c r="G325" i="146"/>
  <c r="G362" i="146" s="1"/>
  <c r="H65" i="146" s="1"/>
  <c r="G328" i="146"/>
  <c r="G365" i="146" s="1"/>
  <c r="H68" i="146" s="1"/>
  <c r="G309" i="146"/>
  <c r="G346" i="146" s="1"/>
  <c r="H49" i="146" s="1"/>
  <c r="G323" i="146"/>
  <c r="G360" i="146" s="1"/>
  <c r="H63" i="146" s="1"/>
  <c r="G304" i="146"/>
  <c r="G341" i="146" s="1"/>
  <c r="H44" i="146" s="1"/>
  <c r="G321" i="146"/>
  <c r="G358" i="146" s="1"/>
  <c r="H61" i="146" s="1"/>
  <c r="G324" i="146"/>
  <c r="G361" i="146" s="1"/>
  <c r="H64" i="146" s="1"/>
  <c r="G305" i="146"/>
  <c r="G342" i="146" s="1"/>
  <c r="H45" i="146" s="1"/>
  <c r="G319" i="146"/>
  <c r="G326" i="146"/>
  <c r="G363" i="146" s="1"/>
  <c r="H66" i="146" s="1"/>
  <c r="G303" i="146"/>
  <c r="G329" i="146"/>
  <c r="G313" i="146"/>
  <c r="G327" i="146"/>
  <c r="G364" i="146" s="1"/>
  <c r="H67" i="146" s="1"/>
  <c r="H101" i="146" s="1"/>
  <c r="G307" i="146"/>
  <c r="G344" i="146" s="1"/>
  <c r="H47" i="146" s="1"/>
  <c r="G28" i="128"/>
  <c r="G78" i="128" s="1"/>
  <c r="G310" i="146"/>
  <c r="G347" i="146" s="1"/>
  <c r="H50" i="146" s="1"/>
  <c r="H84" i="146" s="1"/>
  <c r="G320" i="146"/>
  <c r="G357" i="146" s="1"/>
  <c r="H60" i="146" s="1"/>
  <c r="G331" i="146"/>
  <c r="G312" i="146"/>
  <c r="G349" i="146" s="1"/>
  <c r="H52" i="146" s="1"/>
  <c r="G322" i="146"/>
  <c r="G359" i="146" s="1"/>
  <c r="H62" i="146" s="1"/>
  <c r="G306" i="146"/>
  <c r="G343" i="146" s="1"/>
  <c r="H46" i="146" s="1"/>
  <c r="G308" i="146"/>
  <c r="G345" i="146" s="1"/>
  <c r="H48" i="146" s="1"/>
  <c r="H82" i="146" s="1"/>
  <c r="G311" i="146"/>
  <c r="G348" i="146" s="1"/>
  <c r="H51" i="146" s="1"/>
  <c r="G283" i="145"/>
  <c r="G294" i="145"/>
  <c r="G27" i="130"/>
  <c r="G296" i="162"/>
  <c r="G371" i="162"/>
  <c r="G320" i="142"/>
  <c r="G357" i="142" s="1"/>
  <c r="H60" i="142" s="1"/>
  <c r="G327" i="142"/>
  <c r="G364" i="142" s="1"/>
  <c r="H67" i="142" s="1"/>
  <c r="G308" i="142"/>
  <c r="G345" i="142" s="1"/>
  <c r="H48" i="142" s="1"/>
  <c r="G322" i="142"/>
  <c r="G359" i="142" s="1"/>
  <c r="H62" i="142" s="1"/>
  <c r="G329" i="142"/>
  <c r="G306" i="142"/>
  <c r="G343" i="142" s="1"/>
  <c r="H46" i="142" s="1"/>
  <c r="G323" i="142"/>
  <c r="G360" i="142" s="1"/>
  <c r="H63" i="142" s="1"/>
  <c r="G311" i="142"/>
  <c r="G348" i="142" s="1"/>
  <c r="H51" i="142" s="1"/>
  <c r="G328" i="142"/>
  <c r="G365" i="142" s="1"/>
  <c r="H68" i="142" s="1"/>
  <c r="H102" i="142" s="1"/>
  <c r="G309" i="142"/>
  <c r="G346" i="142" s="1"/>
  <c r="H49" i="142" s="1"/>
  <c r="G331" i="142"/>
  <c r="G321" i="142"/>
  <c r="G358" i="142" s="1"/>
  <c r="H61" i="142" s="1"/>
  <c r="G23" i="128"/>
  <c r="G73" i="128" s="1"/>
  <c r="G319" i="142"/>
  <c r="G324" i="142"/>
  <c r="G361" i="142" s="1"/>
  <c r="H64" i="142" s="1"/>
  <c r="H98" i="142" s="1"/>
  <c r="G305" i="142"/>
  <c r="G342" i="142" s="1"/>
  <c r="H45" i="142" s="1"/>
  <c r="G312" i="142"/>
  <c r="G349" i="142" s="1"/>
  <c r="H52" i="142" s="1"/>
  <c r="G326" i="142"/>
  <c r="G363" i="142" s="1"/>
  <c r="H66" i="142" s="1"/>
  <c r="G303" i="142"/>
  <c r="G310" i="142"/>
  <c r="G347" i="142" s="1"/>
  <c r="H50" i="142" s="1"/>
  <c r="H84" i="142" s="1"/>
  <c r="G313" i="142"/>
  <c r="G332" i="142" s="1"/>
  <c r="G304" i="142"/>
  <c r="G341" i="142" s="1"/>
  <c r="H44" i="142" s="1"/>
  <c r="G325" i="142"/>
  <c r="G362" i="142" s="1"/>
  <c r="H65" i="142" s="1"/>
  <c r="H99" i="142" s="1"/>
  <c r="G307" i="142"/>
  <c r="G344" i="142" s="1"/>
  <c r="H47" i="142" s="1"/>
  <c r="H81" i="142" s="1"/>
  <c r="G311" i="134"/>
  <c r="G348" i="134" s="1"/>
  <c r="H51" i="134" s="1"/>
  <c r="G321" i="134"/>
  <c r="G358" i="134" s="1"/>
  <c r="H61" i="134" s="1"/>
  <c r="G324" i="134"/>
  <c r="G361" i="134" s="1"/>
  <c r="H64" i="134" s="1"/>
  <c r="G327" i="134"/>
  <c r="G364" i="134" s="1"/>
  <c r="H67" i="134" s="1"/>
  <c r="G308" i="134"/>
  <c r="G345" i="134" s="1"/>
  <c r="H48" i="134" s="1"/>
  <c r="G16" i="128"/>
  <c r="G66" i="128" s="1"/>
  <c r="G307" i="134"/>
  <c r="G344" i="134" s="1"/>
  <c r="H47" i="134" s="1"/>
  <c r="G310" i="134"/>
  <c r="G347" i="134" s="1"/>
  <c r="H50" i="134" s="1"/>
  <c r="G320" i="134"/>
  <c r="G357" i="134" s="1"/>
  <c r="H60" i="134" s="1"/>
  <c r="G323" i="134"/>
  <c r="G360" i="134" s="1"/>
  <c r="H63" i="134" s="1"/>
  <c r="G304" i="134"/>
  <c r="G341" i="134" s="1"/>
  <c r="H44" i="134" s="1"/>
  <c r="G326" i="134"/>
  <c r="G363" i="134" s="1"/>
  <c r="H66" i="134" s="1"/>
  <c r="G303" i="134"/>
  <c r="G306" i="134"/>
  <c r="G343" i="134" s="1"/>
  <c r="H46" i="134" s="1"/>
  <c r="G309" i="134"/>
  <c r="G346" i="134" s="1"/>
  <c r="H49" i="134" s="1"/>
  <c r="G319" i="134"/>
  <c r="G322" i="134"/>
  <c r="G359" i="134" s="1"/>
  <c r="H62" i="134" s="1"/>
  <c r="H96" i="134" s="1"/>
  <c r="H130" i="134" s="1"/>
  <c r="G325" i="134"/>
  <c r="G362" i="134" s="1"/>
  <c r="H65" i="134" s="1"/>
  <c r="G328" i="134"/>
  <c r="G365" i="134" s="1"/>
  <c r="H68" i="134" s="1"/>
  <c r="G305" i="134"/>
  <c r="G342" i="134" s="1"/>
  <c r="H45" i="134" s="1"/>
  <c r="G312" i="134"/>
  <c r="G349" i="134" s="1"/>
  <c r="H52" i="134" s="1"/>
  <c r="H86" i="134" s="1"/>
  <c r="H188" i="151"/>
  <c r="H120" i="151"/>
  <c r="H154" i="151"/>
  <c r="G340" i="151"/>
  <c r="G314" i="151"/>
  <c r="H136" i="151"/>
  <c r="H170" i="151"/>
  <c r="H204" i="151"/>
  <c r="H165" i="151"/>
  <c r="H199" i="151"/>
  <c r="H131" i="151"/>
  <c r="H101" i="151"/>
  <c r="H130" i="151"/>
  <c r="H168" i="147"/>
  <c r="H134" i="147"/>
  <c r="H202" i="147"/>
  <c r="G356" i="147"/>
  <c r="G330" i="147"/>
  <c r="H154" i="147"/>
  <c r="H148" i="147"/>
  <c r="H101" i="147"/>
  <c r="G283" i="141"/>
  <c r="G22" i="130"/>
  <c r="G294" i="141"/>
  <c r="G320" i="138"/>
  <c r="G357" i="138" s="1"/>
  <c r="H60" i="138" s="1"/>
  <c r="G323" i="138"/>
  <c r="G360" i="138" s="1"/>
  <c r="H63" i="138" s="1"/>
  <c r="G304" i="138"/>
  <c r="G341" i="138" s="1"/>
  <c r="H44" i="138" s="1"/>
  <c r="G307" i="138"/>
  <c r="G344" i="138" s="1"/>
  <c r="H47" i="138" s="1"/>
  <c r="G310" i="138"/>
  <c r="G347" i="138" s="1"/>
  <c r="H50" i="138" s="1"/>
  <c r="G20" i="128"/>
  <c r="G70" i="128" s="1"/>
  <c r="G309" i="138"/>
  <c r="G346" i="138" s="1"/>
  <c r="H49" i="138" s="1"/>
  <c r="G319" i="138"/>
  <c r="G326" i="138"/>
  <c r="G363" i="138" s="1"/>
  <c r="H66" i="138" s="1"/>
  <c r="G303" i="138"/>
  <c r="G306" i="138"/>
  <c r="G343" i="138" s="1"/>
  <c r="H46" i="138" s="1"/>
  <c r="G328" i="138"/>
  <c r="G365" i="138" s="1"/>
  <c r="H68" i="138" s="1"/>
  <c r="G305" i="138"/>
  <c r="G342" i="138" s="1"/>
  <c r="H45" i="138" s="1"/>
  <c r="G312" i="138"/>
  <c r="G349" i="138" s="1"/>
  <c r="H52" i="138" s="1"/>
  <c r="G322" i="138"/>
  <c r="G359" i="138" s="1"/>
  <c r="H62" i="138" s="1"/>
  <c r="G325" i="138"/>
  <c r="G362" i="138" s="1"/>
  <c r="H65" i="138" s="1"/>
  <c r="G324" i="138"/>
  <c r="G361" i="138" s="1"/>
  <c r="H64" i="138" s="1"/>
  <c r="H98" i="138" s="1"/>
  <c r="H200" i="138" s="1"/>
  <c r="G327" i="138"/>
  <c r="G364" i="138" s="1"/>
  <c r="H67" i="138" s="1"/>
  <c r="G308" i="138"/>
  <c r="G345" i="138" s="1"/>
  <c r="H48" i="138" s="1"/>
  <c r="G311" i="138"/>
  <c r="G348" i="138" s="1"/>
  <c r="H51" i="138" s="1"/>
  <c r="H85" i="138" s="1"/>
  <c r="H153" i="138" s="1"/>
  <c r="G321" i="138"/>
  <c r="G358" i="138" s="1"/>
  <c r="H61" i="138" s="1"/>
  <c r="H95" i="138" s="1"/>
  <c r="G319" i="150"/>
  <c r="G331" i="150"/>
  <c r="G307" i="150"/>
  <c r="G344" i="150" s="1"/>
  <c r="H47" i="150" s="1"/>
  <c r="G321" i="150"/>
  <c r="G358" i="150" s="1"/>
  <c r="H61" i="150" s="1"/>
  <c r="G324" i="150"/>
  <c r="G361" i="150" s="1"/>
  <c r="H64" i="150" s="1"/>
  <c r="G305" i="150"/>
  <c r="G342" i="150" s="1"/>
  <c r="H45" i="150" s="1"/>
  <c r="G32" i="128"/>
  <c r="G82" i="128" s="1"/>
  <c r="G303" i="150"/>
  <c r="G310" i="150"/>
  <c r="G347" i="150" s="1"/>
  <c r="H50" i="150" s="1"/>
  <c r="G322" i="150"/>
  <c r="G359" i="150" s="1"/>
  <c r="H62" i="150" s="1"/>
  <c r="G312" i="150"/>
  <c r="G349" i="150" s="1"/>
  <c r="H52" i="150" s="1"/>
  <c r="G327" i="150"/>
  <c r="G364" i="150" s="1"/>
  <c r="H67" i="150" s="1"/>
  <c r="G306" i="150"/>
  <c r="G343" i="150" s="1"/>
  <c r="H46" i="150" s="1"/>
  <c r="G329" i="150"/>
  <c r="G323" i="150"/>
  <c r="G360" i="150" s="1"/>
  <c r="H63" i="150" s="1"/>
  <c r="G304" i="150"/>
  <c r="G341" i="150" s="1"/>
  <c r="H44" i="150" s="1"/>
  <c r="G311" i="150"/>
  <c r="G348" i="150" s="1"/>
  <c r="H51" i="150" s="1"/>
  <c r="H85" i="150" s="1"/>
  <c r="G325" i="150"/>
  <c r="G362" i="150" s="1"/>
  <c r="H65" i="150" s="1"/>
  <c r="H99" i="150" s="1"/>
  <c r="G328" i="150"/>
  <c r="G365" i="150" s="1"/>
  <c r="H68" i="150" s="1"/>
  <c r="H102" i="150" s="1"/>
  <c r="G309" i="150"/>
  <c r="G346" i="150" s="1"/>
  <c r="H49" i="150" s="1"/>
  <c r="G326" i="150"/>
  <c r="G363" i="150" s="1"/>
  <c r="H66" i="150" s="1"/>
  <c r="G320" i="150"/>
  <c r="G357" i="150" s="1"/>
  <c r="H60" i="150" s="1"/>
  <c r="G308" i="150"/>
  <c r="G345" i="150" s="1"/>
  <c r="H48" i="150" s="1"/>
  <c r="H82" i="150" s="1"/>
  <c r="G313" i="150"/>
  <c r="G328" i="135"/>
  <c r="G365" i="135" s="1"/>
  <c r="H68" i="135" s="1"/>
  <c r="G305" i="135"/>
  <c r="G342" i="135" s="1"/>
  <c r="H45" i="135" s="1"/>
  <c r="G312" i="135"/>
  <c r="G349" i="135" s="1"/>
  <c r="H52" i="135" s="1"/>
  <c r="G322" i="135"/>
  <c r="G359" i="135" s="1"/>
  <c r="H62" i="135" s="1"/>
  <c r="G325" i="135"/>
  <c r="G362" i="135" s="1"/>
  <c r="H65" i="135" s="1"/>
  <c r="G324" i="135"/>
  <c r="G361" i="135" s="1"/>
  <c r="H64" i="135" s="1"/>
  <c r="G327" i="135"/>
  <c r="G364" i="135" s="1"/>
  <c r="H67" i="135" s="1"/>
  <c r="G308" i="135"/>
  <c r="G345" i="135" s="1"/>
  <c r="H48" i="135" s="1"/>
  <c r="G311" i="135"/>
  <c r="G348" i="135" s="1"/>
  <c r="H51" i="135" s="1"/>
  <c r="G321" i="135"/>
  <c r="G358" i="135" s="1"/>
  <c r="H61" i="135" s="1"/>
  <c r="G320" i="135"/>
  <c r="G357" i="135" s="1"/>
  <c r="H60" i="135" s="1"/>
  <c r="G323" i="135"/>
  <c r="G360" i="135" s="1"/>
  <c r="H63" i="135" s="1"/>
  <c r="H97" i="135" s="1"/>
  <c r="H165" i="135" s="1"/>
  <c r="G304" i="135"/>
  <c r="G341" i="135" s="1"/>
  <c r="H44" i="135" s="1"/>
  <c r="G307" i="135"/>
  <c r="G344" i="135" s="1"/>
  <c r="H47" i="135" s="1"/>
  <c r="G310" i="135"/>
  <c r="G347" i="135" s="1"/>
  <c r="H50" i="135" s="1"/>
  <c r="G17" i="128"/>
  <c r="G67" i="128" s="1"/>
  <c r="G309" i="135"/>
  <c r="G346" i="135" s="1"/>
  <c r="H49" i="135" s="1"/>
  <c r="G319" i="135"/>
  <c r="G326" i="135"/>
  <c r="G363" i="135" s="1"/>
  <c r="H66" i="135" s="1"/>
  <c r="H100" i="135" s="1"/>
  <c r="H134" i="135" s="1"/>
  <c r="G303" i="135"/>
  <c r="G306" i="135"/>
  <c r="G343" i="135" s="1"/>
  <c r="H46" i="135" s="1"/>
  <c r="H129" i="138"/>
  <c r="H154" i="134"/>
  <c r="H131" i="135"/>
  <c r="H202" i="136"/>
  <c r="H134" i="136"/>
  <c r="H166" i="138"/>
  <c r="H198" i="134"/>
  <c r="G296" i="86"/>
  <c r="G371" i="86"/>
  <c r="G331" i="86"/>
  <c r="H199" i="136"/>
  <c r="H95" i="142" l="1"/>
  <c r="H100" i="144"/>
  <c r="H98" i="144"/>
  <c r="H165" i="136"/>
  <c r="H233" i="136" s="1"/>
  <c r="H267" i="136" s="1"/>
  <c r="H80" i="135"/>
  <c r="H100" i="150"/>
  <c r="H80" i="150"/>
  <c r="H114" i="150" s="1"/>
  <c r="H120" i="147"/>
  <c r="H222" i="147" s="1"/>
  <c r="H256" i="147" s="1"/>
  <c r="H236" i="147"/>
  <c r="H270" i="147" s="1"/>
  <c r="H164" i="151"/>
  <c r="H233" i="151"/>
  <c r="H267" i="151" s="1"/>
  <c r="H222" i="151"/>
  <c r="H256" i="151" s="1"/>
  <c r="H102" i="134"/>
  <c r="H204" i="134" s="1"/>
  <c r="H83" i="134"/>
  <c r="H97" i="142"/>
  <c r="H85" i="146"/>
  <c r="H153" i="146" s="1"/>
  <c r="H79" i="146"/>
  <c r="H95" i="136"/>
  <c r="H164" i="134"/>
  <c r="H96" i="146"/>
  <c r="H164" i="146" s="1"/>
  <c r="H80" i="144"/>
  <c r="G332" i="150"/>
  <c r="G333" i="150" s="1"/>
  <c r="H83" i="136"/>
  <c r="H202" i="135"/>
  <c r="H132" i="138"/>
  <c r="H199" i="135"/>
  <c r="H96" i="150"/>
  <c r="H198" i="150" s="1"/>
  <c r="H96" i="138"/>
  <c r="H80" i="138"/>
  <c r="H114" i="147"/>
  <c r="H83" i="135"/>
  <c r="H101" i="138"/>
  <c r="H86" i="142"/>
  <c r="H100" i="146"/>
  <c r="H86" i="144"/>
  <c r="H120" i="144" s="1"/>
  <c r="H168" i="151"/>
  <c r="H236" i="151" s="1"/>
  <c r="H270" i="151" s="1"/>
  <c r="H119" i="138"/>
  <c r="H185" i="134"/>
  <c r="H187" i="138"/>
  <c r="H170" i="134"/>
  <c r="H95" i="135"/>
  <c r="H163" i="135" s="1"/>
  <c r="H82" i="138"/>
  <c r="G34" i="130"/>
  <c r="H99" i="134"/>
  <c r="H83" i="142"/>
  <c r="H185" i="142" s="1"/>
  <c r="H81" i="146"/>
  <c r="H98" i="146"/>
  <c r="H132" i="146" s="1"/>
  <c r="H80" i="136"/>
  <c r="H114" i="136" s="1"/>
  <c r="H85" i="136"/>
  <c r="H99" i="136"/>
  <c r="H96" i="144"/>
  <c r="H130" i="144" s="1"/>
  <c r="H84" i="144"/>
  <c r="H186" i="144" s="1"/>
  <c r="H117" i="151"/>
  <c r="H219" i="151" s="1"/>
  <c r="H253" i="151" s="1"/>
  <c r="H168" i="135"/>
  <c r="H136" i="134"/>
  <c r="G333" i="142"/>
  <c r="H80" i="146"/>
  <c r="G332" i="144"/>
  <c r="G333" i="144" s="1"/>
  <c r="H79" i="134"/>
  <c r="H231" i="147"/>
  <c r="H265" i="147" s="1"/>
  <c r="H98" i="135"/>
  <c r="H216" i="147"/>
  <c r="H250" i="147" s="1"/>
  <c r="H100" i="142"/>
  <c r="H168" i="142" s="1"/>
  <c r="H102" i="136"/>
  <c r="H82" i="136"/>
  <c r="H96" i="136"/>
  <c r="H182" i="135"/>
  <c r="H114" i="135"/>
  <c r="H148" i="135"/>
  <c r="H85" i="135"/>
  <c r="H99" i="135"/>
  <c r="H102" i="135"/>
  <c r="H202" i="150"/>
  <c r="H168" i="150"/>
  <c r="H134" i="150"/>
  <c r="H119" i="150"/>
  <c r="H153" i="150"/>
  <c r="H187" i="150"/>
  <c r="H148" i="150"/>
  <c r="H84" i="150"/>
  <c r="H98" i="150"/>
  <c r="G356" i="150"/>
  <c r="G330" i="150"/>
  <c r="H86" i="138"/>
  <c r="G313" i="138"/>
  <c r="G340" i="138"/>
  <c r="G21" i="102"/>
  <c r="E15" i="191"/>
  <c r="E44" i="191" s="1"/>
  <c r="E57" i="191" s="1"/>
  <c r="E98" i="191" s="1"/>
  <c r="H97" i="138"/>
  <c r="H232" i="151"/>
  <c r="H266" i="151" s="1"/>
  <c r="H80" i="134"/>
  <c r="H97" i="134"/>
  <c r="G17" i="102"/>
  <c r="E15" i="187"/>
  <c r="E44" i="187" s="1"/>
  <c r="E57" i="187" s="1"/>
  <c r="E98" i="187" s="1"/>
  <c r="H95" i="134"/>
  <c r="H202" i="142"/>
  <c r="H134" i="142"/>
  <c r="G356" i="142"/>
  <c r="G330" i="142"/>
  <c r="H80" i="142"/>
  <c r="H101" i="142"/>
  <c r="H184" i="146"/>
  <c r="H150" i="146"/>
  <c r="H116" i="146"/>
  <c r="H149" i="146"/>
  <c r="H183" i="146"/>
  <c r="H115" i="146"/>
  <c r="G340" i="146"/>
  <c r="G314" i="146"/>
  <c r="H83" i="146"/>
  <c r="E104" i="200"/>
  <c r="E29" i="205" s="1"/>
  <c r="E105" i="200"/>
  <c r="E29" i="207" s="1"/>
  <c r="E30" i="209" s="1"/>
  <c r="E262" i="209" s="1"/>
  <c r="E31" i="210" s="1"/>
  <c r="E70" i="211" s="1"/>
  <c r="E103" i="200"/>
  <c r="H43" i="147"/>
  <c r="G350" i="147"/>
  <c r="G351" i="147" s="1"/>
  <c r="H133" i="151"/>
  <c r="H201" i="151"/>
  <c r="H167" i="151"/>
  <c r="H147" i="151"/>
  <c r="H181" i="151"/>
  <c r="H113" i="151"/>
  <c r="G313" i="136"/>
  <c r="G340" i="136"/>
  <c r="E15" i="189"/>
  <c r="E44" i="189" s="1"/>
  <c r="E57" i="189" s="1"/>
  <c r="E98" i="189" s="1"/>
  <c r="G19" i="102"/>
  <c r="G326" i="137"/>
  <c r="G363" i="137" s="1"/>
  <c r="H66" i="137" s="1"/>
  <c r="G303" i="137"/>
  <c r="G306" i="137"/>
  <c r="G343" i="137" s="1"/>
  <c r="H46" i="137" s="1"/>
  <c r="G309" i="137"/>
  <c r="G346" i="137" s="1"/>
  <c r="H49" i="137" s="1"/>
  <c r="G319" i="137"/>
  <c r="G322" i="137"/>
  <c r="G359" i="137" s="1"/>
  <c r="H62" i="137" s="1"/>
  <c r="G325" i="137"/>
  <c r="G362" i="137" s="1"/>
  <c r="H65" i="137" s="1"/>
  <c r="G328" i="137"/>
  <c r="G365" i="137" s="1"/>
  <c r="H68" i="137" s="1"/>
  <c r="G305" i="137"/>
  <c r="G342" i="137" s="1"/>
  <c r="H45" i="137" s="1"/>
  <c r="G312" i="137"/>
  <c r="G349" i="137" s="1"/>
  <c r="H52" i="137" s="1"/>
  <c r="G311" i="137"/>
  <c r="G348" i="137" s="1"/>
  <c r="H51" i="137" s="1"/>
  <c r="G321" i="137"/>
  <c r="G358" i="137" s="1"/>
  <c r="H61" i="137" s="1"/>
  <c r="G324" i="137"/>
  <c r="G361" i="137" s="1"/>
  <c r="H64" i="137" s="1"/>
  <c r="G327" i="137"/>
  <c r="G364" i="137" s="1"/>
  <c r="H67" i="137" s="1"/>
  <c r="G308" i="137"/>
  <c r="G345" i="137" s="1"/>
  <c r="H48" i="137" s="1"/>
  <c r="G19" i="128"/>
  <c r="G69" i="128" s="1"/>
  <c r="G307" i="137"/>
  <c r="G344" i="137" s="1"/>
  <c r="H47" i="137" s="1"/>
  <c r="G310" i="137"/>
  <c r="G347" i="137" s="1"/>
  <c r="H50" i="137" s="1"/>
  <c r="H84" i="137" s="1"/>
  <c r="G320" i="137"/>
  <c r="G357" i="137" s="1"/>
  <c r="H60" i="137" s="1"/>
  <c r="G323" i="137"/>
  <c r="G360" i="137" s="1"/>
  <c r="H63" i="137" s="1"/>
  <c r="G304" i="137"/>
  <c r="G341" i="137" s="1"/>
  <c r="H44" i="137" s="1"/>
  <c r="H164" i="147"/>
  <c r="H130" i="147"/>
  <c r="H198" i="147"/>
  <c r="H149" i="147"/>
  <c r="H183" i="147"/>
  <c r="H115" i="147"/>
  <c r="H188" i="144"/>
  <c r="G340" i="144"/>
  <c r="G314" i="144"/>
  <c r="H181" i="144"/>
  <c r="H113" i="144"/>
  <c r="H147" i="144"/>
  <c r="H99" i="144"/>
  <c r="H118" i="151"/>
  <c r="H152" i="151"/>
  <c r="H186" i="151"/>
  <c r="G33" i="128"/>
  <c r="G83" i="128" s="1"/>
  <c r="G331" i="140"/>
  <c r="G326" i="140"/>
  <c r="G363" i="140" s="1"/>
  <c r="H66" i="140" s="1"/>
  <c r="G322" i="140"/>
  <c r="G359" i="140" s="1"/>
  <c r="H62" i="140" s="1"/>
  <c r="G311" i="140"/>
  <c r="G348" i="140" s="1"/>
  <c r="G307" i="140"/>
  <c r="G344" i="140" s="1"/>
  <c r="G303" i="140"/>
  <c r="G328" i="140"/>
  <c r="G365" i="140" s="1"/>
  <c r="H68" i="140" s="1"/>
  <c r="H102" i="140" s="1"/>
  <c r="G324" i="140"/>
  <c r="G361" i="140" s="1"/>
  <c r="H64" i="140" s="1"/>
  <c r="G320" i="140"/>
  <c r="G357" i="140" s="1"/>
  <c r="H60" i="140" s="1"/>
  <c r="G309" i="140"/>
  <c r="G346" i="140" s="1"/>
  <c r="G305" i="140"/>
  <c r="G342" i="140" s="1"/>
  <c r="G327" i="140"/>
  <c r="G364" i="140" s="1"/>
  <c r="H67" i="140" s="1"/>
  <c r="H101" i="140" s="1"/>
  <c r="G323" i="140"/>
  <c r="G360" i="140" s="1"/>
  <c r="H63" i="140" s="1"/>
  <c r="H97" i="140" s="1"/>
  <c r="G319" i="140"/>
  <c r="G312" i="140"/>
  <c r="G349" i="140" s="1"/>
  <c r="H52" i="140" s="1"/>
  <c r="G308" i="140"/>
  <c r="G345" i="140" s="1"/>
  <c r="H48" i="140" s="1"/>
  <c r="G304" i="140"/>
  <c r="G341" i="140" s="1"/>
  <c r="H44" i="140" s="1"/>
  <c r="G325" i="140"/>
  <c r="G362" i="140" s="1"/>
  <c r="H65" i="140" s="1"/>
  <c r="H99" i="140" s="1"/>
  <c r="G321" i="140"/>
  <c r="G358" i="140" s="1"/>
  <c r="H61" i="140" s="1"/>
  <c r="H95" i="140" s="1"/>
  <c r="G310" i="140"/>
  <c r="G347" i="140" s="1"/>
  <c r="H50" i="140" s="1"/>
  <c r="G306" i="140"/>
  <c r="G343" i="140" s="1"/>
  <c r="H46" i="140" s="1"/>
  <c r="H234" i="147"/>
  <c r="H268" i="147" s="1"/>
  <c r="G340" i="135"/>
  <c r="G313" i="135"/>
  <c r="G18" i="102"/>
  <c r="E15" i="188"/>
  <c r="E44" i="188" s="1"/>
  <c r="E57" i="188" s="1"/>
  <c r="E98" i="188" s="1"/>
  <c r="H82" i="135"/>
  <c r="H96" i="135"/>
  <c r="H83" i="150"/>
  <c r="H101" i="150"/>
  <c r="G340" i="150"/>
  <c r="G314" i="150"/>
  <c r="H95" i="150"/>
  <c r="H197" i="138"/>
  <c r="H163" i="138"/>
  <c r="H79" i="138"/>
  <c r="H100" i="138"/>
  <c r="H84" i="138"/>
  <c r="H135" i="147"/>
  <c r="H169" i="147"/>
  <c r="H203" i="147"/>
  <c r="H169" i="151"/>
  <c r="H203" i="151"/>
  <c r="H135" i="151"/>
  <c r="G350" i="151"/>
  <c r="H43" i="151"/>
  <c r="H120" i="134"/>
  <c r="H188" i="134"/>
  <c r="G340" i="134"/>
  <c r="G313" i="134"/>
  <c r="H82" i="134"/>
  <c r="H85" i="134"/>
  <c r="H120" i="142"/>
  <c r="H188" i="142"/>
  <c r="H154" i="142"/>
  <c r="G24" i="102"/>
  <c r="E15" i="194"/>
  <c r="E44" i="194" s="1"/>
  <c r="E57" i="194" s="1"/>
  <c r="E98" i="194" s="1"/>
  <c r="H204" i="142"/>
  <c r="H136" i="142"/>
  <c r="H170" i="142"/>
  <c r="G371" i="145"/>
  <c r="G296" i="145"/>
  <c r="H148" i="146"/>
  <c r="H182" i="146"/>
  <c r="H114" i="146"/>
  <c r="H135" i="146"/>
  <c r="H169" i="146"/>
  <c r="H203" i="146"/>
  <c r="H168" i="146"/>
  <c r="H134" i="146"/>
  <c r="H202" i="146"/>
  <c r="H95" i="146"/>
  <c r="H102" i="146"/>
  <c r="G103" i="102"/>
  <c r="G47" i="95"/>
  <c r="G72" i="95" s="1"/>
  <c r="H147" i="147"/>
  <c r="H181" i="147"/>
  <c r="H113" i="147"/>
  <c r="E104" i="204"/>
  <c r="E33" i="205" s="1"/>
  <c r="E103" i="204"/>
  <c r="E105" i="204"/>
  <c r="E33" i="207" s="1"/>
  <c r="E34" i="209" s="1"/>
  <c r="E266" i="209" s="1"/>
  <c r="E35" i="210" s="1"/>
  <c r="E74" i="211" s="1"/>
  <c r="H149" i="151"/>
  <c r="H183" i="151"/>
  <c r="H115" i="151"/>
  <c r="H84" i="136"/>
  <c r="H101" i="136"/>
  <c r="H86" i="136"/>
  <c r="G371" i="148"/>
  <c r="G296" i="148"/>
  <c r="H182" i="144"/>
  <c r="H114" i="144"/>
  <c r="H148" i="144"/>
  <c r="H168" i="144"/>
  <c r="H202" i="144"/>
  <c r="H134" i="144"/>
  <c r="H200" i="144"/>
  <c r="H166" i="144"/>
  <c r="H132" i="144"/>
  <c r="H97" i="144"/>
  <c r="H85" i="144"/>
  <c r="H221" i="151"/>
  <c r="H255" i="151" s="1"/>
  <c r="G366" i="151"/>
  <c r="H69" i="151" s="1"/>
  <c r="H59" i="151"/>
  <c r="H200" i="151"/>
  <c r="H132" i="151"/>
  <c r="H166" i="151"/>
  <c r="H148" i="151"/>
  <c r="H182" i="151"/>
  <c r="H114" i="151"/>
  <c r="H84" i="135"/>
  <c r="H101" i="135"/>
  <c r="H86" i="135"/>
  <c r="H150" i="150"/>
  <c r="H116" i="150"/>
  <c r="H184" i="150"/>
  <c r="H204" i="150"/>
  <c r="H136" i="150"/>
  <c r="H170" i="150"/>
  <c r="H97" i="150"/>
  <c r="H86" i="150"/>
  <c r="G33" i="102"/>
  <c r="E15" i="203"/>
  <c r="E44" i="203" s="1"/>
  <c r="E57" i="203" s="1"/>
  <c r="E98" i="203" s="1"/>
  <c r="H81" i="150"/>
  <c r="H99" i="138"/>
  <c r="H102" i="138"/>
  <c r="G356" i="138"/>
  <c r="G329" i="138"/>
  <c r="G330" i="138" s="1"/>
  <c r="H81" i="138"/>
  <c r="G296" i="141"/>
  <c r="G371" i="141"/>
  <c r="G366" i="147"/>
  <c r="H69" i="147" s="1"/>
  <c r="H59" i="147"/>
  <c r="H238" i="151"/>
  <c r="H272" i="151" s="1"/>
  <c r="G356" i="134"/>
  <c r="G329" i="134"/>
  <c r="G330" i="134" s="1"/>
  <c r="H100" i="134"/>
  <c r="H84" i="134"/>
  <c r="H101" i="134"/>
  <c r="H149" i="142"/>
  <c r="H183" i="142"/>
  <c r="H115" i="142"/>
  <c r="H186" i="142"/>
  <c r="H118" i="142"/>
  <c r="H152" i="142"/>
  <c r="H79" i="142"/>
  <c r="H163" i="142"/>
  <c r="H129" i="142"/>
  <c r="H197" i="142"/>
  <c r="H85" i="142"/>
  <c r="H96" i="142"/>
  <c r="H130" i="146"/>
  <c r="H152" i="146"/>
  <c r="H186" i="146"/>
  <c r="H118" i="146"/>
  <c r="G332" i="146"/>
  <c r="G333" i="146" s="1"/>
  <c r="G356" i="146"/>
  <c r="G330" i="146"/>
  <c r="H99" i="146"/>
  <c r="H153" i="147"/>
  <c r="H119" i="147"/>
  <c r="H187" i="147"/>
  <c r="G326" i="139"/>
  <c r="G363" i="139" s="1"/>
  <c r="H66" i="139" s="1"/>
  <c r="G303" i="139"/>
  <c r="G306" i="139"/>
  <c r="G343" i="139" s="1"/>
  <c r="H46" i="139" s="1"/>
  <c r="G309" i="139"/>
  <c r="G346" i="139" s="1"/>
  <c r="H49" i="139" s="1"/>
  <c r="G319" i="139"/>
  <c r="G322" i="139"/>
  <c r="G359" i="139" s="1"/>
  <c r="H62" i="139" s="1"/>
  <c r="G325" i="139"/>
  <c r="G362" i="139" s="1"/>
  <c r="H65" i="139" s="1"/>
  <c r="G328" i="139"/>
  <c r="G365" i="139" s="1"/>
  <c r="H68" i="139" s="1"/>
  <c r="G305" i="139"/>
  <c r="G342" i="139" s="1"/>
  <c r="H45" i="139" s="1"/>
  <c r="G312" i="139"/>
  <c r="G349" i="139" s="1"/>
  <c r="H52" i="139" s="1"/>
  <c r="G311" i="139"/>
  <c r="G348" i="139" s="1"/>
  <c r="H51" i="139" s="1"/>
  <c r="G321" i="139"/>
  <c r="G358" i="139" s="1"/>
  <c r="H61" i="139" s="1"/>
  <c r="G324" i="139"/>
  <c r="G361" i="139" s="1"/>
  <c r="H64" i="139" s="1"/>
  <c r="G327" i="139"/>
  <c r="G364" i="139" s="1"/>
  <c r="H67" i="139" s="1"/>
  <c r="G308" i="139"/>
  <c r="G345" i="139" s="1"/>
  <c r="H48" i="139" s="1"/>
  <c r="G21" i="128"/>
  <c r="G71" i="128" s="1"/>
  <c r="G307" i="139"/>
  <c r="G344" i="139" s="1"/>
  <c r="H47" i="139" s="1"/>
  <c r="G310" i="139"/>
  <c r="G347" i="139" s="1"/>
  <c r="H50" i="139" s="1"/>
  <c r="G320" i="139"/>
  <c r="G357" i="139" s="1"/>
  <c r="H60" i="139" s="1"/>
  <c r="G323" i="139"/>
  <c r="G360" i="139" s="1"/>
  <c r="H63" i="139" s="1"/>
  <c r="G304" i="139"/>
  <c r="G341" i="139" s="1"/>
  <c r="H44" i="139" s="1"/>
  <c r="G51" i="95"/>
  <c r="G76" i="95" s="1"/>
  <c r="G107" i="102"/>
  <c r="H163" i="151"/>
  <c r="H197" i="151"/>
  <c r="H129" i="151"/>
  <c r="G356" i="136"/>
  <c r="G329" i="136"/>
  <c r="G330" i="136" s="1"/>
  <c r="H81" i="136"/>
  <c r="H163" i="136"/>
  <c r="H197" i="136"/>
  <c r="H129" i="136"/>
  <c r="H98" i="136"/>
  <c r="H79" i="136"/>
  <c r="G322" i="149"/>
  <c r="G359" i="149" s="1"/>
  <c r="H62" i="149" s="1"/>
  <c r="G329" i="149"/>
  <c r="G306" i="149"/>
  <c r="G343" i="149" s="1"/>
  <c r="H46" i="149" s="1"/>
  <c r="G313" i="149"/>
  <c r="G323" i="149"/>
  <c r="G360" i="149" s="1"/>
  <c r="H63" i="149" s="1"/>
  <c r="H97" i="149" s="1"/>
  <c r="G304" i="149"/>
  <c r="G341" i="149" s="1"/>
  <c r="H44" i="149" s="1"/>
  <c r="G311" i="149"/>
  <c r="G348" i="149" s="1"/>
  <c r="H51" i="149" s="1"/>
  <c r="G328" i="149"/>
  <c r="G365" i="149" s="1"/>
  <c r="H68" i="149" s="1"/>
  <c r="G307" i="149"/>
  <c r="G344" i="149" s="1"/>
  <c r="H47" i="149" s="1"/>
  <c r="G305" i="149"/>
  <c r="G342" i="149" s="1"/>
  <c r="H45" i="149" s="1"/>
  <c r="H79" i="149" s="1"/>
  <c r="G31" i="128"/>
  <c r="G81" i="128" s="1"/>
  <c r="G331" i="149"/>
  <c r="G324" i="149"/>
  <c r="G361" i="149" s="1"/>
  <c r="H64" i="149" s="1"/>
  <c r="H98" i="149" s="1"/>
  <c r="G326" i="149"/>
  <c r="G363" i="149" s="1"/>
  <c r="H66" i="149" s="1"/>
  <c r="G303" i="149"/>
  <c r="G310" i="149"/>
  <c r="G347" i="149" s="1"/>
  <c r="H50" i="149" s="1"/>
  <c r="G320" i="149"/>
  <c r="G357" i="149" s="1"/>
  <c r="H60" i="149" s="1"/>
  <c r="G327" i="149"/>
  <c r="G364" i="149" s="1"/>
  <c r="H67" i="149" s="1"/>
  <c r="H101" i="149" s="1"/>
  <c r="G308" i="149"/>
  <c r="G345" i="149" s="1"/>
  <c r="H48" i="149" s="1"/>
  <c r="G325" i="149"/>
  <c r="G362" i="149" s="1"/>
  <c r="H65" i="149" s="1"/>
  <c r="G309" i="149"/>
  <c r="G346" i="149" s="1"/>
  <c r="H49" i="149" s="1"/>
  <c r="G319" i="149"/>
  <c r="G321" i="149"/>
  <c r="G358" i="149" s="1"/>
  <c r="H61" i="149" s="1"/>
  <c r="G312" i="149"/>
  <c r="G349" i="149" s="1"/>
  <c r="H52" i="149" s="1"/>
  <c r="H167" i="147"/>
  <c r="H133" i="147"/>
  <c r="H201" i="147"/>
  <c r="H220" i="147"/>
  <c r="H254" i="147" s="1"/>
  <c r="G356" i="144"/>
  <c r="G330" i="144"/>
  <c r="H95" i="144"/>
  <c r="H185" i="144"/>
  <c r="H151" i="144"/>
  <c r="H117" i="144"/>
  <c r="H82" i="144"/>
  <c r="G25" i="128"/>
  <c r="G75" i="128" s="1"/>
  <c r="G310" i="143"/>
  <c r="G347" i="143" s="1"/>
  <c r="H50" i="143" s="1"/>
  <c r="G320" i="143"/>
  <c r="G357" i="143" s="1"/>
  <c r="H60" i="143" s="1"/>
  <c r="G327" i="143"/>
  <c r="G364" i="143" s="1"/>
  <c r="H67" i="143" s="1"/>
  <c r="G308" i="143"/>
  <c r="G345" i="143" s="1"/>
  <c r="H48" i="143" s="1"/>
  <c r="G322" i="143"/>
  <c r="G359" i="143" s="1"/>
  <c r="H62" i="143" s="1"/>
  <c r="G329" i="143"/>
  <c r="G313" i="143"/>
  <c r="G323" i="143"/>
  <c r="G360" i="143" s="1"/>
  <c r="H63" i="143" s="1"/>
  <c r="G311" i="143"/>
  <c r="G348" i="143" s="1"/>
  <c r="H51" i="143" s="1"/>
  <c r="H85" i="143" s="1"/>
  <c r="G309" i="143"/>
  <c r="G346" i="143" s="1"/>
  <c r="H49" i="143" s="1"/>
  <c r="G331" i="143"/>
  <c r="G328" i="143"/>
  <c r="G365" i="143" s="1"/>
  <c r="H68" i="143" s="1"/>
  <c r="G307" i="143"/>
  <c r="G344" i="143" s="1"/>
  <c r="H47" i="143" s="1"/>
  <c r="G321" i="143"/>
  <c r="G358" i="143" s="1"/>
  <c r="H61" i="143" s="1"/>
  <c r="H95" i="143" s="1"/>
  <c r="G324" i="143"/>
  <c r="G361" i="143" s="1"/>
  <c r="H64" i="143" s="1"/>
  <c r="G305" i="143"/>
  <c r="G342" i="143" s="1"/>
  <c r="H45" i="143" s="1"/>
  <c r="G312" i="143"/>
  <c r="G349" i="143" s="1"/>
  <c r="H52" i="143" s="1"/>
  <c r="H86" i="143" s="1"/>
  <c r="G326" i="143"/>
  <c r="G363" i="143" s="1"/>
  <c r="H66" i="143" s="1"/>
  <c r="G303" i="143"/>
  <c r="G306" i="143"/>
  <c r="G343" i="143" s="1"/>
  <c r="H46" i="143" s="1"/>
  <c r="H80" i="143" s="1"/>
  <c r="G304" i="143"/>
  <c r="G341" i="143" s="1"/>
  <c r="H44" i="143" s="1"/>
  <c r="G325" i="143"/>
  <c r="G362" i="143" s="1"/>
  <c r="H65" i="143" s="1"/>
  <c r="G319" i="143"/>
  <c r="H233" i="147"/>
  <c r="H267" i="147" s="1"/>
  <c r="H219" i="147"/>
  <c r="H253" i="147" s="1"/>
  <c r="G329" i="135"/>
  <c r="G330" i="135" s="1"/>
  <c r="G356" i="135"/>
  <c r="H81" i="135"/>
  <c r="H79" i="135"/>
  <c r="H133" i="150"/>
  <c r="H201" i="150"/>
  <c r="H167" i="150"/>
  <c r="H79" i="150"/>
  <c r="H83" i="138"/>
  <c r="H81" i="134"/>
  <c r="H98" i="134"/>
  <c r="H133" i="142"/>
  <c r="H167" i="142"/>
  <c r="H201" i="142"/>
  <c r="G340" i="142"/>
  <c r="G314" i="142"/>
  <c r="H132" i="142"/>
  <c r="H200" i="142"/>
  <c r="H166" i="142"/>
  <c r="H165" i="142"/>
  <c r="H199" i="142"/>
  <c r="H131" i="142"/>
  <c r="H82" i="142"/>
  <c r="G329" i="162"/>
  <c r="G307" i="162"/>
  <c r="G344" i="162" s="1"/>
  <c r="H47" i="162" s="1"/>
  <c r="G321" i="162"/>
  <c r="G358" i="162" s="1"/>
  <c r="H61" i="162" s="1"/>
  <c r="G324" i="162"/>
  <c r="G361" i="162" s="1"/>
  <c r="H64" i="162" s="1"/>
  <c r="G305" i="162"/>
  <c r="G342" i="162" s="1"/>
  <c r="H45" i="162" s="1"/>
  <c r="G312" i="162"/>
  <c r="G349" i="162" s="1"/>
  <c r="H52" i="162" s="1"/>
  <c r="G325" i="162"/>
  <c r="G362" i="162" s="1"/>
  <c r="H65" i="162" s="1"/>
  <c r="H99" i="162" s="1"/>
  <c r="G303" i="162"/>
  <c r="G310" i="162"/>
  <c r="G347" i="162" s="1"/>
  <c r="H50" i="162" s="1"/>
  <c r="G320" i="162"/>
  <c r="G357" i="162" s="1"/>
  <c r="H60" i="162" s="1"/>
  <c r="G327" i="162"/>
  <c r="G364" i="162" s="1"/>
  <c r="H67" i="162" s="1"/>
  <c r="G308" i="162"/>
  <c r="G345" i="162" s="1"/>
  <c r="H48" i="162" s="1"/>
  <c r="H82" i="162" s="1"/>
  <c r="G319" i="162"/>
  <c r="G322" i="162"/>
  <c r="G359" i="162" s="1"/>
  <c r="H62" i="162" s="1"/>
  <c r="G328" i="162"/>
  <c r="G365" i="162" s="1"/>
  <c r="H68" i="162" s="1"/>
  <c r="H102" i="162" s="1"/>
  <c r="G306" i="162"/>
  <c r="G343" i="162" s="1"/>
  <c r="H46" i="162" s="1"/>
  <c r="G313" i="162"/>
  <c r="G332" i="162" s="1"/>
  <c r="G323" i="162"/>
  <c r="G360" i="162" s="1"/>
  <c r="H63" i="162" s="1"/>
  <c r="H97" i="162" s="1"/>
  <c r="G304" i="162"/>
  <c r="G341" i="162" s="1"/>
  <c r="H44" i="162" s="1"/>
  <c r="G24" i="128"/>
  <c r="G74" i="128" s="1"/>
  <c r="G311" i="162"/>
  <c r="G348" i="162" s="1"/>
  <c r="H51" i="162" s="1"/>
  <c r="H85" i="162" s="1"/>
  <c r="G326" i="162"/>
  <c r="G363" i="162" s="1"/>
  <c r="H66" i="162" s="1"/>
  <c r="G331" i="162"/>
  <c r="G309" i="162"/>
  <c r="G346" i="162" s="1"/>
  <c r="H49" i="162" s="1"/>
  <c r="H83" i="162" s="1"/>
  <c r="H187" i="146"/>
  <c r="H86" i="146"/>
  <c r="G29" i="102"/>
  <c r="E15" i="199"/>
  <c r="E44" i="199" s="1"/>
  <c r="E57" i="199" s="1"/>
  <c r="E98" i="199" s="1"/>
  <c r="H147" i="146"/>
  <c r="H181" i="146"/>
  <c r="H113" i="146"/>
  <c r="H97" i="146"/>
  <c r="H184" i="147"/>
  <c r="H116" i="147"/>
  <c r="H150" i="147"/>
  <c r="H184" i="151"/>
  <c r="H116" i="151"/>
  <c r="H150" i="151"/>
  <c r="H201" i="136"/>
  <c r="H133" i="136"/>
  <c r="H167" i="136"/>
  <c r="H136" i="147"/>
  <c r="H170" i="147"/>
  <c r="H204" i="147"/>
  <c r="H198" i="144"/>
  <c r="H152" i="144"/>
  <c r="E15" i="197"/>
  <c r="E44" i="197" s="1"/>
  <c r="E57" i="197" s="1"/>
  <c r="E98" i="197" s="1"/>
  <c r="G27" i="102"/>
  <c r="H81" i="144"/>
  <c r="H136" i="144"/>
  <c r="H204" i="144"/>
  <c r="H170" i="144"/>
  <c r="H101" i="144"/>
  <c r="H232" i="134"/>
  <c r="H266" i="134" s="1"/>
  <c r="H236" i="136"/>
  <c r="H270" i="136" s="1"/>
  <c r="H234" i="138"/>
  <c r="H268" i="138" s="1"/>
  <c r="H233" i="135"/>
  <c r="H267" i="135" s="1"/>
  <c r="H221" i="138"/>
  <c r="H255" i="138" s="1"/>
  <c r="G15" i="128"/>
  <c r="G328" i="86"/>
  <c r="G365" i="86" s="1"/>
  <c r="H68" i="86" s="1"/>
  <c r="G324" i="86"/>
  <c r="G361" i="86" s="1"/>
  <c r="H64" i="86" s="1"/>
  <c r="G320" i="86"/>
  <c r="G357" i="86" s="1"/>
  <c r="H60" i="86" s="1"/>
  <c r="G309" i="86"/>
  <c r="G346" i="86" s="1"/>
  <c r="G305" i="86"/>
  <c r="G342" i="86" s="1"/>
  <c r="G327" i="86"/>
  <c r="G364" i="86" s="1"/>
  <c r="H67" i="86" s="1"/>
  <c r="G323" i="86"/>
  <c r="G360" i="86" s="1"/>
  <c r="H63" i="86" s="1"/>
  <c r="G319" i="86"/>
  <c r="G312" i="86"/>
  <c r="G349" i="86" s="1"/>
  <c r="G308" i="86"/>
  <c r="G345" i="86" s="1"/>
  <c r="G304" i="86"/>
  <c r="G341" i="86" s="1"/>
  <c r="G326" i="86"/>
  <c r="G363" i="86" s="1"/>
  <c r="H66" i="86" s="1"/>
  <c r="G322" i="86"/>
  <c r="G359" i="86" s="1"/>
  <c r="H62" i="86" s="1"/>
  <c r="G311" i="86"/>
  <c r="G348" i="86" s="1"/>
  <c r="G307" i="86"/>
  <c r="G344" i="86" s="1"/>
  <c r="G303" i="86"/>
  <c r="G325" i="86"/>
  <c r="G362" i="86" s="1"/>
  <c r="H65" i="86" s="1"/>
  <c r="G321" i="86"/>
  <c r="G358" i="86" s="1"/>
  <c r="H61" i="86" s="1"/>
  <c r="G310" i="86"/>
  <c r="G347" i="86" s="1"/>
  <c r="G306" i="86"/>
  <c r="G343" i="86" s="1"/>
  <c r="H236" i="135" l="1"/>
  <c r="H270" i="135" s="1"/>
  <c r="H118" i="144"/>
  <c r="H148" i="136"/>
  <c r="H119" i="146"/>
  <c r="H99" i="143"/>
  <c r="H201" i="143" s="1"/>
  <c r="H198" i="146"/>
  <c r="H70" i="147"/>
  <c r="H216" i="144"/>
  <c r="H250" i="144" s="1"/>
  <c r="H217" i="151"/>
  <c r="H251" i="151" s="1"/>
  <c r="H222" i="134"/>
  <c r="H256" i="134" s="1"/>
  <c r="H238" i="134"/>
  <c r="H272" i="134" s="1"/>
  <c r="H151" i="136"/>
  <c r="H185" i="136"/>
  <c r="H117" i="136"/>
  <c r="H182" i="136"/>
  <c r="H97" i="137"/>
  <c r="H166" i="146"/>
  <c r="H182" i="150"/>
  <c r="H151" i="134"/>
  <c r="H117" i="134"/>
  <c r="H102" i="143"/>
  <c r="H170" i="143" s="1"/>
  <c r="H86" i="149"/>
  <c r="H84" i="139"/>
  <c r="H101" i="139"/>
  <c r="H217" i="142"/>
  <c r="H251" i="142" s="1"/>
  <c r="H80" i="162"/>
  <c r="H130" i="150"/>
  <c r="H98" i="143"/>
  <c r="H166" i="143" s="1"/>
  <c r="H154" i="144"/>
  <c r="H222" i="144" s="1"/>
  <c r="H256" i="144" s="1"/>
  <c r="H117" i="135"/>
  <c r="H151" i="135"/>
  <c r="H185" i="135"/>
  <c r="H164" i="144"/>
  <c r="H232" i="144" s="1"/>
  <c r="H266" i="144" s="1"/>
  <c r="H235" i="136"/>
  <c r="H269" i="136" s="1"/>
  <c r="H235" i="142"/>
  <c r="H269" i="142" s="1"/>
  <c r="H164" i="150"/>
  <c r="H83" i="143"/>
  <c r="H117" i="143" s="1"/>
  <c r="H97" i="139"/>
  <c r="H217" i="147"/>
  <c r="H251" i="147" s="1"/>
  <c r="H82" i="137"/>
  <c r="H184" i="137" s="1"/>
  <c r="H99" i="137"/>
  <c r="H167" i="137" s="1"/>
  <c r="H80" i="137"/>
  <c r="H200" i="146"/>
  <c r="H218" i="146"/>
  <c r="H252" i="146" s="1"/>
  <c r="H182" i="138"/>
  <c r="H148" i="138"/>
  <c r="H114" i="138"/>
  <c r="H216" i="136"/>
  <c r="H250" i="136" s="1"/>
  <c r="H83" i="149"/>
  <c r="H185" i="149" s="1"/>
  <c r="H81" i="149"/>
  <c r="H101" i="137"/>
  <c r="H203" i="138"/>
  <c r="H135" i="138"/>
  <c r="H169" i="138"/>
  <c r="H198" i="138"/>
  <c r="H130" i="138"/>
  <c r="H164" i="138"/>
  <c r="H221" i="146"/>
  <c r="H255" i="146" s="1"/>
  <c r="H100" i="162"/>
  <c r="H96" i="162"/>
  <c r="H164" i="162" s="1"/>
  <c r="H97" i="143"/>
  <c r="H131" i="143" s="1"/>
  <c r="H99" i="149"/>
  <c r="H231" i="138"/>
  <c r="H265" i="138" s="1"/>
  <c r="H151" i="142"/>
  <c r="H181" i="134"/>
  <c r="H147" i="134"/>
  <c r="H113" i="134"/>
  <c r="H133" i="134"/>
  <c r="H201" i="134"/>
  <c r="H235" i="134" s="1"/>
  <c r="H269" i="134" s="1"/>
  <c r="H167" i="134"/>
  <c r="H153" i="136"/>
  <c r="H187" i="136"/>
  <c r="H119" i="136"/>
  <c r="H221" i="136" s="1"/>
  <c r="H255" i="136" s="1"/>
  <c r="H197" i="135"/>
  <c r="H235" i="147"/>
  <c r="H269" i="147" s="1"/>
  <c r="H95" i="149"/>
  <c r="H163" i="149" s="1"/>
  <c r="H82" i="149"/>
  <c r="H184" i="149" s="1"/>
  <c r="H81" i="139"/>
  <c r="H220" i="146"/>
  <c r="H254" i="146" s="1"/>
  <c r="H231" i="142"/>
  <c r="H265" i="142" s="1"/>
  <c r="G367" i="147"/>
  <c r="H237" i="147"/>
  <c r="H271" i="147" s="1"/>
  <c r="H81" i="137"/>
  <c r="H117" i="142"/>
  <c r="H129" i="135"/>
  <c r="H231" i="135" s="1"/>
  <c r="H265" i="135" s="1"/>
  <c r="H219" i="144"/>
  <c r="H253" i="144" s="1"/>
  <c r="H116" i="138"/>
  <c r="H184" i="138"/>
  <c r="H150" i="138"/>
  <c r="H215" i="147"/>
  <c r="H249" i="147" s="1"/>
  <c r="H215" i="144"/>
  <c r="H249" i="144" s="1"/>
  <c r="H198" i="136"/>
  <c r="H130" i="136"/>
  <c r="H164" i="136"/>
  <c r="H85" i="149"/>
  <c r="H231" i="151"/>
  <c r="H265" i="151" s="1"/>
  <c r="H216" i="150"/>
  <c r="H250" i="150" s="1"/>
  <c r="H221" i="150"/>
  <c r="H255" i="150" s="1"/>
  <c r="H216" i="135"/>
  <c r="H250" i="135" s="1"/>
  <c r="H184" i="136"/>
  <c r="H150" i="136"/>
  <c r="H116" i="136"/>
  <c r="H100" i="149"/>
  <c r="H102" i="139"/>
  <c r="H204" i="139" s="1"/>
  <c r="H232" i="147"/>
  <c r="H266" i="147" s="1"/>
  <c r="H215" i="151"/>
  <c r="H249" i="151" s="1"/>
  <c r="H235" i="151"/>
  <c r="H269" i="151" s="1"/>
  <c r="H166" i="135"/>
  <c r="H200" i="135"/>
  <c r="H132" i="135"/>
  <c r="H238" i="144"/>
  <c r="H272" i="144" s="1"/>
  <c r="H236" i="146"/>
  <c r="H270" i="146" s="1"/>
  <c r="H204" i="136"/>
  <c r="H136" i="136"/>
  <c r="H170" i="136"/>
  <c r="H131" i="146"/>
  <c r="H199" i="146"/>
  <c r="H165" i="146"/>
  <c r="E104" i="199"/>
  <c r="E105" i="199"/>
  <c r="E149" i="199" s="1"/>
  <c r="E103" i="199"/>
  <c r="H202" i="162"/>
  <c r="H168" i="162"/>
  <c r="H134" i="162"/>
  <c r="H131" i="162"/>
  <c r="H199" i="162"/>
  <c r="H165" i="162"/>
  <c r="H130" i="162"/>
  <c r="H198" i="162"/>
  <c r="H86" i="162"/>
  <c r="H81" i="162"/>
  <c r="H233" i="142"/>
  <c r="H267" i="142" s="1"/>
  <c r="H185" i="138"/>
  <c r="H117" i="138"/>
  <c r="H151" i="138"/>
  <c r="H232" i="150"/>
  <c r="H266" i="150" s="1"/>
  <c r="H183" i="135"/>
  <c r="H115" i="135"/>
  <c r="H149" i="135"/>
  <c r="H188" i="143"/>
  <c r="H120" i="143"/>
  <c r="H154" i="143"/>
  <c r="H81" i="143"/>
  <c r="H187" i="143"/>
  <c r="H119" i="143"/>
  <c r="H153" i="143"/>
  <c r="H96" i="143"/>
  <c r="H84" i="143"/>
  <c r="H59" i="144"/>
  <c r="G366" i="144"/>
  <c r="H69" i="144" s="1"/>
  <c r="G356" i="149"/>
  <c r="G330" i="149"/>
  <c r="H203" i="149"/>
  <c r="H169" i="149"/>
  <c r="H135" i="149"/>
  <c r="H168" i="149"/>
  <c r="H202" i="149"/>
  <c r="H134" i="149"/>
  <c r="H113" i="149"/>
  <c r="H147" i="149"/>
  <c r="H181" i="149"/>
  <c r="H165" i="139"/>
  <c r="H131" i="139"/>
  <c r="H199" i="139"/>
  <c r="E15" i="192"/>
  <c r="E44" i="192" s="1"/>
  <c r="E57" i="192" s="1"/>
  <c r="E98" i="192" s="1"/>
  <c r="G22" i="102"/>
  <c r="H95" i="139"/>
  <c r="H83" i="139"/>
  <c r="H202" i="134"/>
  <c r="H134" i="134"/>
  <c r="H168" i="134"/>
  <c r="G22" i="128"/>
  <c r="G72" i="128" s="1"/>
  <c r="G309" i="141"/>
  <c r="G346" i="141" s="1"/>
  <c r="H49" i="141" s="1"/>
  <c r="G304" i="141"/>
  <c r="G341" i="141" s="1"/>
  <c r="H44" i="141" s="1"/>
  <c r="G331" i="141"/>
  <c r="G325" i="141"/>
  <c r="G362" i="141" s="1"/>
  <c r="H65" i="141" s="1"/>
  <c r="G324" i="141"/>
  <c r="G361" i="141" s="1"/>
  <c r="H64" i="141" s="1"/>
  <c r="G327" i="141"/>
  <c r="G364" i="141" s="1"/>
  <c r="H67" i="141" s="1"/>
  <c r="G308" i="141"/>
  <c r="G345" i="141" s="1"/>
  <c r="H48" i="141" s="1"/>
  <c r="G307" i="141"/>
  <c r="G344" i="141" s="1"/>
  <c r="H47" i="141" s="1"/>
  <c r="G313" i="141"/>
  <c r="G306" i="141"/>
  <c r="G343" i="141" s="1"/>
  <c r="H46" i="141" s="1"/>
  <c r="G329" i="141"/>
  <c r="G326" i="141"/>
  <c r="G363" i="141" s="1"/>
  <c r="H66" i="141" s="1"/>
  <c r="H100" i="141" s="1"/>
  <c r="G321" i="141"/>
  <c r="G358" i="141" s="1"/>
  <c r="H61" i="141" s="1"/>
  <c r="G320" i="141"/>
  <c r="G357" i="141" s="1"/>
  <c r="H60" i="141" s="1"/>
  <c r="G323" i="141"/>
  <c r="G360" i="141" s="1"/>
  <c r="H63" i="141" s="1"/>
  <c r="G311" i="141"/>
  <c r="G348" i="141" s="1"/>
  <c r="H51" i="141" s="1"/>
  <c r="G303" i="141"/>
  <c r="G310" i="141"/>
  <c r="G347" i="141" s="1"/>
  <c r="H50" i="141" s="1"/>
  <c r="G305" i="141"/>
  <c r="G342" i="141" s="1"/>
  <c r="H45" i="141" s="1"/>
  <c r="H79" i="141" s="1"/>
  <c r="G328" i="141"/>
  <c r="G365" i="141" s="1"/>
  <c r="H68" i="141" s="1"/>
  <c r="H102" i="141" s="1"/>
  <c r="G322" i="141"/>
  <c r="G359" i="141" s="1"/>
  <c r="H62" i="141" s="1"/>
  <c r="H96" i="141" s="1"/>
  <c r="G319" i="141"/>
  <c r="G312" i="141"/>
  <c r="G349" i="141" s="1"/>
  <c r="H52" i="141" s="1"/>
  <c r="H204" i="138"/>
  <c r="H136" i="138"/>
  <c r="H170" i="138"/>
  <c r="G50" i="95"/>
  <c r="G75" i="95" s="1"/>
  <c r="G106" i="102"/>
  <c r="H93" i="151"/>
  <c r="H94" i="151"/>
  <c r="H165" i="144"/>
  <c r="H199" i="144"/>
  <c r="H131" i="144"/>
  <c r="H188" i="136"/>
  <c r="H120" i="136"/>
  <c r="H154" i="136"/>
  <c r="E105" i="194"/>
  <c r="E23" i="207" s="1"/>
  <c r="E104" i="194"/>
  <c r="E23" i="205" s="1"/>
  <c r="E103" i="194"/>
  <c r="H222" i="142"/>
  <c r="H256" i="142" s="1"/>
  <c r="G350" i="134"/>
  <c r="H43" i="134"/>
  <c r="H77" i="151"/>
  <c r="H78" i="151"/>
  <c r="H118" i="138"/>
  <c r="H152" i="138"/>
  <c r="H186" i="138"/>
  <c r="H203" i="150"/>
  <c r="H135" i="150"/>
  <c r="H169" i="150"/>
  <c r="H150" i="135"/>
  <c r="H184" i="135"/>
  <c r="H116" i="135"/>
  <c r="G350" i="135"/>
  <c r="H43" i="135"/>
  <c r="H165" i="140"/>
  <c r="H131" i="140"/>
  <c r="H199" i="140"/>
  <c r="M516" i="217"/>
  <c r="H47" i="140"/>
  <c r="H81" i="140" s="1"/>
  <c r="H220" i="151"/>
  <c r="H254" i="151" s="1"/>
  <c r="H152" i="137"/>
  <c r="H186" i="137"/>
  <c r="H118" i="137"/>
  <c r="H169" i="137"/>
  <c r="H135" i="137"/>
  <c r="H203" i="137"/>
  <c r="H86" i="137"/>
  <c r="H96" i="137"/>
  <c r="G340" i="137"/>
  <c r="G313" i="137"/>
  <c r="G314" i="137" s="1"/>
  <c r="G350" i="136"/>
  <c r="H43" i="136"/>
  <c r="E243" i="211"/>
  <c r="E268" i="211"/>
  <c r="K79" i="218" s="1"/>
  <c r="H217" i="146"/>
  <c r="H251" i="146" s="1"/>
  <c r="G366" i="142"/>
  <c r="H69" i="142" s="1"/>
  <c r="H59" i="142"/>
  <c r="H199" i="134"/>
  <c r="H131" i="134"/>
  <c r="H165" i="134"/>
  <c r="E104" i="191"/>
  <c r="E20" i="205" s="1"/>
  <c r="E105" i="191"/>
  <c r="E20" i="207" s="1"/>
  <c r="E21" i="209" s="1"/>
  <c r="E253" i="209" s="1"/>
  <c r="E22" i="210" s="1"/>
  <c r="E61" i="211" s="1"/>
  <c r="E234" i="211" s="1"/>
  <c r="E103" i="191"/>
  <c r="H188" i="138"/>
  <c r="H120" i="138"/>
  <c r="H154" i="138"/>
  <c r="H118" i="150"/>
  <c r="H186" i="150"/>
  <c r="H152" i="150"/>
  <c r="H153" i="135"/>
  <c r="H119" i="135"/>
  <c r="H187" i="135"/>
  <c r="H135" i="144"/>
  <c r="H203" i="144"/>
  <c r="H169" i="144"/>
  <c r="H149" i="144"/>
  <c r="H183" i="144"/>
  <c r="H115" i="144"/>
  <c r="H215" i="146"/>
  <c r="H249" i="146" s="1"/>
  <c r="G102" i="102"/>
  <c r="G46" i="95"/>
  <c r="G71" i="95" s="1"/>
  <c r="H153" i="162"/>
  <c r="H187" i="162"/>
  <c r="H119" i="162"/>
  <c r="G333" i="162"/>
  <c r="G356" i="162"/>
  <c r="G330" i="162"/>
  <c r="H84" i="162"/>
  <c r="H79" i="162"/>
  <c r="H147" i="150"/>
  <c r="H113" i="150"/>
  <c r="H181" i="150"/>
  <c r="H147" i="135"/>
  <c r="H113" i="135"/>
  <c r="H181" i="135"/>
  <c r="G366" i="135"/>
  <c r="H59" i="135"/>
  <c r="H182" i="143"/>
  <c r="H148" i="143"/>
  <c r="H114" i="143"/>
  <c r="H79" i="143"/>
  <c r="H136" i="143"/>
  <c r="H82" i="143"/>
  <c r="G26" i="102"/>
  <c r="E15" i="196"/>
  <c r="E44" i="196" s="1"/>
  <c r="E57" i="196" s="1"/>
  <c r="E98" i="196" s="1"/>
  <c r="H132" i="149"/>
  <c r="H166" i="149"/>
  <c r="H200" i="149"/>
  <c r="H149" i="149"/>
  <c r="H183" i="149"/>
  <c r="H115" i="149"/>
  <c r="H165" i="149"/>
  <c r="H199" i="149"/>
  <c r="H131" i="149"/>
  <c r="H96" i="149"/>
  <c r="H231" i="136"/>
  <c r="H265" i="136" s="1"/>
  <c r="G366" i="136"/>
  <c r="H59" i="136"/>
  <c r="H82" i="139"/>
  <c r="H85" i="139"/>
  <c r="H99" i="139"/>
  <c r="H80" i="139"/>
  <c r="H221" i="147"/>
  <c r="H255" i="147" s="1"/>
  <c r="H232" i="146"/>
  <c r="H266" i="146" s="1"/>
  <c r="H220" i="142"/>
  <c r="H254" i="142" s="1"/>
  <c r="H93" i="147"/>
  <c r="H94" i="147"/>
  <c r="H183" i="138"/>
  <c r="H149" i="138"/>
  <c r="H115" i="138"/>
  <c r="H167" i="138"/>
  <c r="H133" i="138"/>
  <c r="H201" i="138"/>
  <c r="H154" i="150"/>
  <c r="H188" i="150"/>
  <c r="H120" i="150"/>
  <c r="H238" i="150"/>
  <c r="H272" i="150" s="1"/>
  <c r="H154" i="135"/>
  <c r="H120" i="135"/>
  <c r="H188" i="135"/>
  <c r="H216" i="151"/>
  <c r="H250" i="151" s="1"/>
  <c r="H70" i="151"/>
  <c r="H236" i="144"/>
  <c r="H270" i="144" s="1"/>
  <c r="H135" i="136"/>
  <c r="H169" i="136"/>
  <c r="H203" i="136"/>
  <c r="G97" i="102"/>
  <c r="G41" i="95"/>
  <c r="G66" i="95" s="1"/>
  <c r="H119" i="134"/>
  <c r="H153" i="134"/>
  <c r="H187" i="134"/>
  <c r="G368" i="151"/>
  <c r="G370" i="151" s="1"/>
  <c r="H53" i="151"/>
  <c r="H290" i="151" s="1"/>
  <c r="H202" i="138"/>
  <c r="H168" i="138"/>
  <c r="H134" i="138"/>
  <c r="H129" i="150"/>
  <c r="H163" i="150"/>
  <c r="H197" i="150"/>
  <c r="E103" i="188"/>
  <c r="E104" i="188"/>
  <c r="E17" i="205" s="1"/>
  <c r="E105" i="188"/>
  <c r="E17" i="207" s="1"/>
  <c r="E18" i="209" s="1"/>
  <c r="E250" i="209" s="1"/>
  <c r="E19" i="210" s="1"/>
  <c r="E58" i="211" s="1"/>
  <c r="E256" i="211" s="1"/>
  <c r="K67" i="218" s="1"/>
  <c r="H82" i="140"/>
  <c r="H203" i="140"/>
  <c r="H237" i="140" s="1"/>
  <c r="H271" i="140" s="1"/>
  <c r="H169" i="140"/>
  <c r="H135" i="140"/>
  <c r="H98" i="140"/>
  <c r="M518" i="217"/>
  <c r="H51" i="140"/>
  <c r="H85" i="140" s="1"/>
  <c r="G15" i="102"/>
  <c r="E15" i="185"/>
  <c r="E44" i="185" s="1"/>
  <c r="E57" i="185" s="1"/>
  <c r="E98" i="185" s="1"/>
  <c r="H133" i="144"/>
  <c r="H167" i="144"/>
  <c r="H201" i="144"/>
  <c r="H183" i="137"/>
  <c r="H115" i="137"/>
  <c r="H149" i="137"/>
  <c r="H98" i="137"/>
  <c r="H79" i="137"/>
  <c r="G356" i="137"/>
  <c r="G329" i="137"/>
  <c r="G330" i="137" s="1"/>
  <c r="H100" i="137"/>
  <c r="G332" i="136"/>
  <c r="G333" i="136" s="1"/>
  <c r="G314" i="136"/>
  <c r="H53" i="147"/>
  <c r="H290" i="147" s="1"/>
  <c r="G368" i="147"/>
  <c r="G370" i="147" s="1"/>
  <c r="H219" i="142"/>
  <c r="H253" i="142" s="1"/>
  <c r="H129" i="134"/>
  <c r="H163" i="134"/>
  <c r="H197" i="134"/>
  <c r="H148" i="134"/>
  <c r="H182" i="134"/>
  <c r="H114" i="134"/>
  <c r="G38" i="95"/>
  <c r="G63" i="95" s="1"/>
  <c r="G94" i="102"/>
  <c r="H236" i="150"/>
  <c r="H270" i="150" s="1"/>
  <c r="G100" i="102"/>
  <c r="G44" i="95"/>
  <c r="G69" i="95" s="1"/>
  <c r="H220" i="144"/>
  <c r="H254" i="144" s="1"/>
  <c r="H238" i="147"/>
  <c r="H272" i="147" s="1"/>
  <c r="H218" i="147"/>
  <c r="H252" i="147" s="1"/>
  <c r="H188" i="146"/>
  <c r="H120" i="146"/>
  <c r="H154" i="146"/>
  <c r="H151" i="162"/>
  <c r="H185" i="162"/>
  <c r="H117" i="162"/>
  <c r="G25" i="102"/>
  <c r="E15" i="195"/>
  <c r="E44" i="195" s="1"/>
  <c r="E57" i="195" s="1"/>
  <c r="E98" i="195" s="1"/>
  <c r="H182" i="162"/>
  <c r="H114" i="162"/>
  <c r="H148" i="162"/>
  <c r="H116" i="162"/>
  <c r="H150" i="162"/>
  <c r="H184" i="162"/>
  <c r="G340" i="162"/>
  <c r="G314" i="162"/>
  <c r="H98" i="162"/>
  <c r="H116" i="142"/>
  <c r="H184" i="142"/>
  <c r="H150" i="142"/>
  <c r="H234" i="142"/>
  <c r="H268" i="142" s="1"/>
  <c r="H43" i="142"/>
  <c r="G350" i="142"/>
  <c r="G351" i="142" s="1"/>
  <c r="H132" i="134"/>
  <c r="H166" i="134"/>
  <c r="H200" i="134"/>
  <c r="H235" i="150"/>
  <c r="H269" i="150" s="1"/>
  <c r="G356" i="143"/>
  <c r="G330" i="143"/>
  <c r="G340" i="143"/>
  <c r="G314" i="143"/>
  <c r="H200" i="143"/>
  <c r="H132" i="143"/>
  <c r="G332" i="143"/>
  <c r="G333" i="143" s="1"/>
  <c r="H101" i="143"/>
  <c r="H116" i="144"/>
  <c r="H184" i="144"/>
  <c r="H150" i="144"/>
  <c r="H129" i="144"/>
  <c r="H197" i="144"/>
  <c r="H163" i="144"/>
  <c r="H188" i="149"/>
  <c r="H154" i="149"/>
  <c r="H120" i="149"/>
  <c r="H167" i="149"/>
  <c r="H201" i="149"/>
  <c r="H133" i="149"/>
  <c r="H84" i="149"/>
  <c r="H102" i="149"/>
  <c r="G332" i="149"/>
  <c r="G333" i="149" s="1"/>
  <c r="H181" i="136"/>
  <c r="H147" i="136"/>
  <c r="H113" i="136"/>
  <c r="H118" i="139"/>
  <c r="H152" i="139"/>
  <c r="H186" i="139"/>
  <c r="H203" i="139"/>
  <c r="H169" i="139"/>
  <c r="H135" i="139"/>
  <c r="H86" i="139"/>
  <c r="H96" i="139"/>
  <c r="G340" i="139"/>
  <c r="G313" i="139"/>
  <c r="G314" i="139" s="1"/>
  <c r="H59" i="146"/>
  <c r="G366" i="146"/>
  <c r="H69" i="146" s="1"/>
  <c r="H198" i="142"/>
  <c r="H164" i="142"/>
  <c r="H130" i="142"/>
  <c r="H135" i="134"/>
  <c r="H169" i="134"/>
  <c r="H203" i="134"/>
  <c r="H59" i="134"/>
  <c r="G366" i="134"/>
  <c r="H149" i="150"/>
  <c r="H115" i="150"/>
  <c r="H183" i="150"/>
  <c r="H165" i="150"/>
  <c r="H131" i="150"/>
  <c r="H199" i="150"/>
  <c r="H135" i="135"/>
  <c r="H169" i="135"/>
  <c r="H203" i="135"/>
  <c r="H234" i="151"/>
  <c r="H268" i="151" s="1"/>
  <c r="G331" i="148"/>
  <c r="G311" i="148"/>
  <c r="G348" i="148" s="1"/>
  <c r="H51" i="148" s="1"/>
  <c r="G321" i="148"/>
  <c r="G358" i="148" s="1"/>
  <c r="H61" i="148" s="1"/>
  <c r="G324" i="148"/>
  <c r="G361" i="148" s="1"/>
  <c r="H64" i="148" s="1"/>
  <c r="G305" i="148"/>
  <c r="G342" i="148" s="1"/>
  <c r="H45" i="148" s="1"/>
  <c r="G312" i="148"/>
  <c r="G349" i="148" s="1"/>
  <c r="H52" i="148" s="1"/>
  <c r="G329" i="148"/>
  <c r="G307" i="148"/>
  <c r="G344" i="148" s="1"/>
  <c r="H47" i="148" s="1"/>
  <c r="G320" i="148"/>
  <c r="G357" i="148" s="1"/>
  <c r="H60" i="148" s="1"/>
  <c r="G306" i="148"/>
  <c r="G343" i="148" s="1"/>
  <c r="H46" i="148" s="1"/>
  <c r="H80" i="148" s="1"/>
  <c r="G313" i="148"/>
  <c r="G332" i="148" s="1"/>
  <c r="G327" i="148"/>
  <c r="G364" i="148" s="1"/>
  <c r="H67" i="148" s="1"/>
  <c r="G303" i="148"/>
  <c r="G323" i="148"/>
  <c r="G360" i="148" s="1"/>
  <c r="H63" i="148" s="1"/>
  <c r="G326" i="148"/>
  <c r="G363" i="148" s="1"/>
  <c r="H66" i="148" s="1"/>
  <c r="G304" i="148"/>
  <c r="G341" i="148" s="1"/>
  <c r="H44" i="148" s="1"/>
  <c r="G30" i="128"/>
  <c r="G80" i="128" s="1"/>
  <c r="G322" i="148"/>
  <c r="G359" i="148" s="1"/>
  <c r="H62" i="148" s="1"/>
  <c r="G325" i="148"/>
  <c r="G362" i="148" s="1"/>
  <c r="H65" i="148" s="1"/>
  <c r="G328" i="148"/>
  <c r="G365" i="148" s="1"/>
  <c r="H68" i="148" s="1"/>
  <c r="H102" i="148" s="1"/>
  <c r="G309" i="148"/>
  <c r="G346" i="148" s="1"/>
  <c r="H49" i="148" s="1"/>
  <c r="G319" i="148"/>
  <c r="G310" i="148"/>
  <c r="G347" i="148" s="1"/>
  <c r="H50" i="148" s="1"/>
  <c r="G308" i="148"/>
  <c r="G345" i="148" s="1"/>
  <c r="H48" i="148" s="1"/>
  <c r="H82" i="148" s="1"/>
  <c r="H118" i="136"/>
  <c r="H186" i="136"/>
  <c r="H152" i="136"/>
  <c r="E247" i="211"/>
  <c r="E272" i="211"/>
  <c r="K83" i="218" s="1"/>
  <c r="H136" i="146"/>
  <c r="H170" i="146"/>
  <c r="H204" i="146"/>
  <c r="G327" i="145"/>
  <c r="G364" i="145" s="1"/>
  <c r="H67" i="145" s="1"/>
  <c r="G308" i="145"/>
  <c r="G345" i="145" s="1"/>
  <c r="H48" i="145" s="1"/>
  <c r="G322" i="145"/>
  <c r="G359" i="145" s="1"/>
  <c r="H62" i="145" s="1"/>
  <c r="G329" i="145"/>
  <c r="G306" i="145"/>
  <c r="G343" i="145" s="1"/>
  <c r="H46" i="145" s="1"/>
  <c r="G313" i="145"/>
  <c r="G323" i="145"/>
  <c r="G360" i="145" s="1"/>
  <c r="H63" i="145" s="1"/>
  <c r="H97" i="145" s="1"/>
  <c r="G304" i="145"/>
  <c r="G341" i="145" s="1"/>
  <c r="H44" i="145" s="1"/>
  <c r="G311" i="145"/>
  <c r="G348" i="145" s="1"/>
  <c r="H51" i="145" s="1"/>
  <c r="G325" i="145"/>
  <c r="G362" i="145" s="1"/>
  <c r="H65" i="145" s="1"/>
  <c r="G328" i="145"/>
  <c r="G365" i="145" s="1"/>
  <c r="H68" i="145" s="1"/>
  <c r="G309" i="145"/>
  <c r="G346" i="145" s="1"/>
  <c r="H49" i="145" s="1"/>
  <c r="G27" i="128"/>
  <c r="G77" i="128" s="1"/>
  <c r="G312" i="145"/>
  <c r="G349" i="145" s="1"/>
  <c r="H52" i="145" s="1"/>
  <c r="G303" i="145"/>
  <c r="G310" i="145"/>
  <c r="G347" i="145" s="1"/>
  <c r="H50" i="145" s="1"/>
  <c r="H84" i="145" s="1"/>
  <c r="G319" i="145"/>
  <c r="G331" i="145"/>
  <c r="G307" i="145"/>
  <c r="G344" i="145" s="1"/>
  <c r="H47" i="145" s="1"/>
  <c r="G321" i="145"/>
  <c r="G358" i="145" s="1"/>
  <c r="H61" i="145" s="1"/>
  <c r="G324" i="145"/>
  <c r="G361" i="145" s="1"/>
  <c r="H64" i="145" s="1"/>
  <c r="G305" i="145"/>
  <c r="G342" i="145" s="1"/>
  <c r="H45" i="145" s="1"/>
  <c r="G326" i="145"/>
  <c r="G363" i="145" s="1"/>
  <c r="H66" i="145" s="1"/>
  <c r="G320" i="145"/>
  <c r="G357" i="145" s="1"/>
  <c r="H60" i="145" s="1"/>
  <c r="H116" i="134"/>
  <c r="H184" i="134"/>
  <c r="H150" i="134"/>
  <c r="H147" i="138"/>
  <c r="H181" i="138"/>
  <c r="H113" i="138"/>
  <c r="H117" i="150"/>
  <c r="H185" i="150"/>
  <c r="H151" i="150"/>
  <c r="G91" i="102"/>
  <c r="G35" i="95"/>
  <c r="G60" i="95" s="1"/>
  <c r="H129" i="140"/>
  <c r="H197" i="140"/>
  <c r="H163" i="140"/>
  <c r="H86" i="140"/>
  <c r="M515" i="217"/>
  <c r="H45" i="140"/>
  <c r="H79" i="140" s="1"/>
  <c r="H272" i="140"/>
  <c r="H204" i="140"/>
  <c r="H238" i="140" s="1"/>
  <c r="H136" i="140"/>
  <c r="H170" i="140"/>
  <c r="H96" i="140"/>
  <c r="H199" i="137"/>
  <c r="H131" i="137"/>
  <c r="H165" i="137"/>
  <c r="G20" i="102"/>
  <c r="E15" i="190"/>
  <c r="E44" i="190" s="1"/>
  <c r="E57" i="190" s="1"/>
  <c r="E98" i="190" s="1"/>
  <c r="H95" i="137"/>
  <c r="H102" i="137"/>
  <c r="H83" i="137"/>
  <c r="G92" i="102"/>
  <c r="G36" i="95"/>
  <c r="G61" i="95" s="1"/>
  <c r="H77" i="147"/>
  <c r="H78" i="147"/>
  <c r="H151" i="146"/>
  <c r="H185" i="146"/>
  <c r="H117" i="146"/>
  <c r="H169" i="142"/>
  <c r="H203" i="142"/>
  <c r="H135" i="142"/>
  <c r="E105" i="187"/>
  <c r="E16" i="207" s="1"/>
  <c r="E17" i="209" s="1"/>
  <c r="E249" i="209" s="1"/>
  <c r="E18" i="210" s="1"/>
  <c r="E57" i="211" s="1"/>
  <c r="E255" i="211" s="1"/>
  <c r="K66" i="218" s="1"/>
  <c r="E104" i="187"/>
  <c r="E16" i="205" s="1"/>
  <c r="E103" i="187"/>
  <c r="H43" i="138"/>
  <c r="G350" i="138"/>
  <c r="H59" i="150"/>
  <c r="G366" i="150"/>
  <c r="H69" i="150" s="1"/>
  <c r="H204" i="135"/>
  <c r="H136" i="135"/>
  <c r="H170" i="135"/>
  <c r="E104" i="197"/>
  <c r="E105" i="197"/>
  <c r="E149" i="197" s="1"/>
  <c r="E103" i="197"/>
  <c r="H218" i="151"/>
  <c r="H252" i="151" s="1"/>
  <c r="H170" i="162"/>
  <c r="H204" i="162"/>
  <c r="H136" i="162"/>
  <c r="H101" i="162"/>
  <c r="H201" i="162"/>
  <c r="H133" i="162"/>
  <c r="H167" i="162"/>
  <c r="H95" i="162"/>
  <c r="H115" i="134"/>
  <c r="H149" i="134"/>
  <c r="H183" i="134"/>
  <c r="H167" i="143"/>
  <c r="H100" i="143"/>
  <c r="H163" i="143"/>
  <c r="H197" i="143"/>
  <c r="H129" i="143"/>
  <c r="H197" i="149"/>
  <c r="H129" i="149"/>
  <c r="G340" i="149"/>
  <c r="G314" i="149"/>
  <c r="G32" i="102"/>
  <c r="E15" i="202"/>
  <c r="E44" i="202" s="1"/>
  <c r="E57" i="202" s="1"/>
  <c r="E98" i="202" s="1"/>
  <c r="H119" i="149"/>
  <c r="H153" i="149"/>
  <c r="H187" i="149"/>
  <c r="H80" i="149"/>
  <c r="H200" i="136"/>
  <c r="H132" i="136"/>
  <c r="H166" i="136"/>
  <c r="H149" i="136"/>
  <c r="H183" i="136"/>
  <c r="H115" i="136"/>
  <c r="H115" i="139"/>
  <c r="H183" i="139"/>
  <c r="H149" i="139"/>
  <c r="H98" i="139"/>
  <c r="H79" i="139"/>
  <c r="G329" i="139"/>
  <c r="G330" i="139" s="1"/>
  <c r="G356" i="139"/>
  <c r="H100" i="139"/>
  <c r="H167" i="146"/>
  <c r="H201" i="146"/>
  <c r="H133" i="146"/>
  <c r="H153" i="142"/>
  <c r="H119" i="142"/>
  <c r="H187" i="142"/>
  <c r="H181" i="142"/>
  <c r="H147" i="142"/>
  <c r="H113" i="142"/>
  <c r="H152" i="134"/>
  <c r="H118" i="134"/>
  <c r="H186" i="134"/>
  <c r="G366" i="138"/>
  <c r="H59" i="138"/>
  <c r="E105" i="203"/>
  <c r="E32" i="207" s="1"/>
  <c r="E33" i="209" s="1"/>
  <c r="E265" i="209" s="1"/>
  <c r="E34" i="210" s="1"/>
  <c r="E73" i="211" s="1"/>
  <c r="E103" i="203"/>
  <c r="E104" i="203"/>
  <c r="E32" i="205" s="1"/>
  <c r="H218" i="150"/>
  <c r="H252" i="150" s="1"/>
  <c r="H186" i="135"/>
  <c r="H152" i="135"/>
  <c r="H118" i="135"/>
  <c r="G367" i="151"/>
  <c r="H153" i="144"/>
  <c r="H187" i="144"/>
  <c r="H119" i="144"/>
  <c r="H234" i="144"/>
  <c r="H268" i="144" s="1"/>
  <c r="E106" i="204"/>
  <c r="E111" i="204" s="1"/>
  <c r="E33" i="206"/>
  <c r="F92" i="208" s="1"/>
  <c r="H163" i="146"/>
  <c r="H129" i="146"/>
  <c r="H197" i="146"/>
  <c r="H237" i="146"/>
  <c r="H271" i="146" s="1"/>
  <c r="H216" i="146"/>
  <c r="H250" i="146" s="1"/>
  <c r="H238" i="142"/>
  <c r="H272" i="142" s="1"/>
  <c r="G314" i="134"/>
  <c r="G332" i="134"/>
  <c r="G333" i="134" s="1"/>
  <c r="G351" i="151"/>
  <c r="H237" i="151"/>
  <c r="H271" i="151" s="1"/>
  <c r="H43" i="150"/>
  <c r="G350" i="150"/>
  <c r="G351" i="150" s="1"/>
  <c r="H164" i="135"/>
  <c r="H130" i="135"/>
  <c r="H198" i="135"/>
  <c r="G332" i="135"/>
  <c r="G333" i="135" s="1"/>
  <c r="G314" i="135"/>
  <c r="H269" i="140"/>
  <c r="H201" i="140"/>
  <c r="H235" i="140" s="1"/>
  <c r="H133" i="140"/>
  <c r="H167" i="140"/>
  <c r="G356" i="140"/>
  <c r="G329" i="140"/>
  <c r="G330" i="140" s="1"/>
  <c r="M517" i="217"/>
  <c r="H49" i="140"/>
  <c r="H83" i="140" s="1"/>
  <c r="G313" i="140"/>
  <c r="G340" i="140"/>
  <c r="H100" i="140"/>
  <c r="G350" i="144"/>
  <c r="G351" i="144" s="1"/>
  <c r="H43" i="144"/>
  <c r="H116" i="137"/>
  <c r="H85" i="137"/>
  <c r="H148" i="137"/>
  <c r="H182" i="137"/>
  <c r="H114" i="137"/>
  <c r="E103" i="189"/>
  <c r="E104" i="189"/>
  <c r="E18" i="205" s="1"/>
  <c r="E105" i="189"/>
  <c r="E18" i="207" s="1"/>
  <c r="E19" i="209" s="1"/>
  <c r="E251" i="209" s="1"/>
  <c r="E20" i="210" s="1"/>
  <c r="E59" i="211" s="1"/>
  <c r="E257" i="211" s="1"/>
  <c r="K68" i="218" s="1"/>
  <c r="E106" i="200"/>
  <c r="E111" i="200" s="1"/>
  <c r="E29" i="206"/>
  <c r="F88" i="208" s="1"/>
  <c r="G350" i="146"/>
  <c r="H43" i="146"/>
  <c r="H114" i="142"/>
  <c r="H182" i="142"/>
  <c r="H148" i="142"/>
  <c r="H236" i="142"/>
  <c r="H270" i="142" s="1"/>
  <c r="G90" i="102"/>
  <c r="G34" i="95"/>
  <c r="G59" i="95" s="1"/>
  <c r="H199" i="138"/>
  <c r="H165" i="138"/>
  <c r="H131" i="138"/>
  <c r="G314" i="138"/>
  <c r="G332" i="138"/>
  <c r="G333" i="138" s="1"/>
  <c r="H166" i="150"/>
  <c r="H200" i="150"/>
  <c r="H132" i="150"/>
  <c r="H133" i="135"/>
  <c r="H201" i="135"/>
  <c r="H167" i="135"/>
  <c r="H95" i="86"/>
  <c r="H129" i="86" s="1"/>
  <c r="H99" i="86"/>
  <c r="H201" i="86" s="1"/>
  <c r="H96" i="86"/>
  <c r="H198" i="86" s="1"/>
  <c r="H102" i="86"/>
  <c r="H204" i="86" s="1"/>
  <c r="H50" i="86"/>
  <c r="H47" i="86"/>
  <c r="H44" i="86"/>
  <c r="H97" i="86"/>
  <c r="E231" i="211"/>
  <c r="H51" i="86"/>
  <c r="H48" i="86"/>
  <c r="H101" i="86"/>
  <c r="H98" i="86"/>
  <c r="E232" i="211"/>
  <c r="E230" i="211"/>
  <c r="H52" i="86"/>
  <c r="H45" i="86"/>
  <c r="H46" i="86"/>
  <c r="G313" i="86"/>
  <c r="G340" i="86"/>
  <c r="H100" i="86"/>
  <c r="G356" i="86"/>
  <c r="G329" i="86"/>
  <c r="G330" i="86" s="1"/>
  <c r="H49" i="86"/>
  <c r="G35" i="128"/>
  <c r="G65" i="128"/>
  <c r="H86" i="148" l="1"/>
  <c r="H231" i="146"/>
  <c r="H265" i="146" s="1"/>
  <c r="H220" i="134"/>
  <c r="H254" i="134" s="1"/>
  <c r="H234" i="136"/>
  <c r="H268" i="136" s="1"/>
  <c r="H95" i="141"/>
  <c r="H133" i="143"/>
  <c r="H99" i="148"/>
  <c r="H204" i="143"/>
  <c r="H219" i="134"/>
  <c r="H253" i="134" s="1"/>
  <c r="H234" i="146"/>
  <c r="H268" i="146" s="1"/>
  <c r="H151" i="143"/>
  <c r="H117" i="149"/>
  <c r="H165" i="143"/>
  <c r="H70" i="144"/>
  <c r="H219" i="136"/>
  <c r="H253" i="136" s="1"/>
  <c r="H185" i="143"/>
  <c r="H218" i="144"/>
  <c r="H252" i="144" s="1"/>
  <c r="H237" i="138"/>
  <c r="H271" i="138" s="1"/>
  <c r="L560" i="217"/>
  <c r="E259" i="211"/>
  <c r="K70" i="218" s="1"/>
  <c r="H201" i="137"/>
  <c r="H150" i="137"/>
  <c r="H218" i="137" s="1"/>
  <c r="H252" i="137" s="1"/>
  <c r="H116" i="149"/>
  <c r="H218" i="149" s="1"/>
  <c r="H252" i="149" s="1"/>
  <c r="H83" i="145"/>
  <c r="H81" i="148"/>
  <c r="H149" i="148" s="1"/>
  <c r="H221" i="134"/>
  <c r="H255" i="134" s="1"/>
  <c r="H235" i="138"/>
  <c r="H269" i="138" s="1"/>
  <c r="H151" i="149"/>
  <c r="H80" i="141"/>
  <c r="H114" i="141" s="1"/>
  <c r="H232" i="138"/>
  <c r="H266" i="138" s="1"/>
  <c r="H216" i="138"/>
  <c r="H250" i="138" s="1"/>
  <c r="L562" i="217"/>
  <c r="H133" i="137"/>
  <c r="H150" i="149"/>
  <c r="H133" i="86"/>
  <c r="L559" i="217"/>
  <c r="L555" i="217"/>
  <c r="H233" i="137"/>
  <c r="H267" i="137" s="1"/>
  <c r="H219" i="150"/>
  <c r="H253" i="150" s="1"/>
  <c r="H218" i="134"/>
  <c r="H252" i="134" s="1"/>
  <c r="H100" i="145"/>
  <c r="H202" i="145" s="1"/>
  <c r="H81" i="145"/>
  <c r="H102" i="145"/>
  <c r="H170" i="145" s="1"/>
  <c r="H84" i="148"/>
  <c r="G333" i="148"/>
  <c r="H95" i="148"/>
  <c r="H237" i="135"/>
  <c r="H271" i="135" s="1"/>
  <c r="H220" i="150"/>
  <c r="H254" i="150" s="1"/>
  <c r="H220" i="138"/>
  <c r="H254" i="138" s="1"/>
  <c r="G332" i="141"/>
  <c r="G333" i="141" s="1"/>
  <c r="H98" i="141"/>
  <c r="H200" i="141" s="1"/>
  <c r="H83" i="141"/>
  <c r="H219" i="135"/>
  <c r="H253" i="135" s="1"/>
  <c r="L556" i="217"/>
  <c r="L561" i="217"/>
  <c r="H54" i="147"/>
  <c r="H170" i="139"/>
  <c r="H199" i="143"/>
  <c r="H101" i="141"/>
  <c r="H136" i="139"/>
  <c r="H218" i="136"/>
  <c r="H252" i="136" s="1"/>
  <c r="H218" i="138"/>
  <c r="H252" i="138" s="1"/>
  <c r="H215" i="134"/>
  <c r="H249" i="134" s="1"/>
  <c r="L557" i="217"/>
  <c r="L563" i="217"/>
  <c r="M528" i="217" s="1"/>
  <c r="L558" i="217"/>
  <c r="M526" i="217" s="1"/>
  <c r="H222" i="149"/>
  <c r="H256" i="149" s="1"/>
  <c r="H236" i="138"/>
  <c r="H270" i="138" s="1"/>
  <c r="H215" i="135"/>
  <c r="H249" i="135" s="1"/>
  <c r="H236" i="134"/>
  <c r="H270" i="134" s="1"/>
  <c r="H233" i="139"/>
  <c r="H267" i="139" s="1"/>
  <c r="H233" i="149"/>
  <c r="H267" i="149" s="1"/>
  <c r="H237" i="150"/>
  <c r="H271" i="150" s="1"/>
  <c r="H236" i="162"/>
  <c r="H270" i="162" s="1"/>
  <c r="H219" i="146"/>
  <c r="H253" i="146" s="1"/>
  <c r="H221" i="143"/>
  <c r="H255" i="143" s="1"/>
  <c r="H232" i="136"/>
  <c r="H266" i="136" s="1"/>
  <c r="H235" i="135"/>
  <c r="H269" i="135" s="1"/>
  <c r="H234" i="150"/>
  <c r="H268" i="150" s="1"/>
  <c r="H238" i="135"/>
  <c r="H272" i="135" s="1"/>
  <c r="H237" i="139"/>
  <c r="H271" i="139" s="1"/>
  <c r="H216" i="162"/>
  <c r="H250" i="162" s="1"/>
  <c r="H219" i="162"/>
  <c r="H253" i="162" s="1"/>
  <c r="H222" i="146"/>
  <c r="H256" i="146" s="1"/>
  <c r="H70" i="142"/>
  <c r="H236" i="149"/>
  <c r="H270" i="149" s="1"/>
  <c r="H237" i="149"/>
  <c r="H271" i="149" s="1"/>
  <c r="H219" i="143"/>
  <c r="H253" i="143" s="1"/>
  <c r="H231" i="143"/>
  <c r="H265" i="143" s="1"/>
  <c r="H217" i="134"/>
  <c r="H251" i="134" s="1"/>
  <c r="H235" i="162"/>
  <c r="H269" i="162" s="1"/>
  <c r="H98" i="148"/>
  <c r="H234" i="143"/>
  <c r="H268" i="143" s="1"/>
  <c r="H232" i="162"/>
  <c r="H266" i="162" s="1"/>
  <c r="H238" i="136"/>
  <c r="H272" i="136" s="1"/>
  <c r="H234" i="135"/>
  <c r="H268" i="135" s="1"/>
  <c r="H85" i="86"/>
  <c r="H119" i="86" s="1"/>
  <c r="H216" i="142"/>
  <c r="H250" i="142" s="1"/>
  <c r="H77" i="146"/>
  <c r="H78" i="146"/>
  <c r="H168" i="140"/>
  <c r="H202" i="140"/>
  <c r="H236" i="140" s="1"/>
  <c r="H270" i="140" s="1"/>
  <c r="H134" i="140"/>
  <c r="H221" i="144"/>
  <c r="H255" i="144" s="1"/>
  <c r="H220" i="135"/>
  <c r="H254" i="135" s="1"/>
  <c r="H69" i="138"/>
  <c r="H70" i="138" s="1"/>
  <c r="G367" i="138"/>
  <c r="H215" i="142"/>
  <c r="H249" i="142" s="1"/>
  <c r="H221" i="142"/>
  <c r="H255" i="142" s="1"/>
  <c r="H147" i="139"/>
  <c r="H181" i="139"/>
  <c r="H113" i="139"/>
  <c r="H217" i="139"/>
  <c r="H251" i="139" s="1"/>
  <c r="G105" i="102"/>
  <c r="G49" i="95"/>
  <c r="G74" i="95" s="1"/>
  <c r="H168" i="143"/>
  <c r="H134" i="143"/>
  <c r="H202" i="143"/>
  <c r="H70" i="150"/>
  <c r="E16" i="206"/>
  <c r="F75" i="208" s="1"/>
  <c r="E106" i="187"/>
  <c r="E111" i="187" s="1"/>
  <c r="H237" i="142"/>
  <c r="H271" i="142" s="1"/>
  <c r="H129" i="137"/>
  <c r="H197" i="137"/>
  <c r="H163" i="137"/>
  <c r="H98" i="145"/>
  <c r="G356" i="145"/>
  <c r="G330" i="145"/>
  <c r="G28" i="102"/>
  <c r="E15" i="198"/>
  <c r="E44" i="198" s="1"/>
  <c r="E57" i="198" s="1"/>
  <c r="E98" i="198" s="1"/>
  <c r="H85" i="145"/>
  <c r="H80" i="145"/>
  <c r="H101" i="145"/>
  <c r="H220" i="136"/>
  <c r="H254" i="136" s="1"/>
  <c r="H83" i="148"/>
  <c r="G31" i="102"/>
  <c r="E15" i="201"/>
  <c r="E44" i="201" s="1"/>
  <c r="E57" i="201" s="1"/>
  <c r="E98" i="201" s="1"/>
  <c r="G340" i="148"/>
  <c r="G314" i="148"/>
  <c r="H79" i="148"/>
  <c r="H93" i="134"/>
  <c r="H94" i="134"/>
  <c r="H232" i="142"/>
  <c r="H266" i="142" s="1"/>
  <c r="H70" i="146"/>
  <c r="H43" i="139"/>
  <c r="G350" i="139"/>
  <c r="H220" i="139"/>
  <c r="H254" i="139" s="1"/>
  <c r="H235" i="149"/>
  <c r="H269" i="149" s="1"/>
  <c r="H218" i="142"/>
  <c r="H252" i="142" s="1"/>
  <c r="H218" i="162"/>
  <c r="H252" i="162" s="1"/>
  <c r="E105" i="195"/>
  <c r="E24" i="207" s="1"/>
  <c r="E25" i="209" s="1"/>
  <c r="E257" i="209" s="1"/>
  <c r="E26" i="210" s="1"/>
  <c r="E65" i="211" s="1"/>
  <c r="E103" i="195"/>
  <c r="E104" i="195"/>
  <c r="E24" i="205" s="1"/>
  <c r="H216" i="134"/>
  <c r="H250" i="134" s="1"/>
  <c r="H153" i="140"/>
  <c r="H187" i="140"/>
  <c r="H119" i="140"/>
  <c r="H221" i="140" s="1"/>
  <c r="H255" i="140" s="1"/>
  <c r="H84" i="140"/>
  <c r="H231" i="150"/>
  <c r="H265" i="150" s="1"/>
  <c r="H103" i="147"/>
  <c r="H104" i="147" s="1"/>
  <c r="H196" i="147"/>
  <c r="H128" i="147"/>
  <c r="H162" i="147"/>
  <c r="H150" i="139"/>
  <c r="H116" i="139"/>
  <c r="H184" i="139"/>
  <c r="H198" i="149"/>
  <c r="H130" i="149"/>
  <c r="H164" i="149"/>
  <c r="H217" i="149"/>
  <c r="H251" i="149" s="1"/>
  <c r="H184" i="143"/>
  <c r="H150" i="143"/>
  <c r="H116" i="143"/>
  <c r="H216" i="143"/>
  <c r="H250" i="143" s="1"/>
  <c r="H69" i="135"/>
  <c r="H70" i="135" s="1"/>
  <c r="G367" i="135"/>
  <c r="H118" i="162"/>
  <c r="H152" i="162"/>
  <c r="H186" i="162"/>
  <c r="H221" i="162"/>
  <c r="H255" i="162" s="1"/>
  <c r="H222" i="138"/>
  <c r="H256" i="138" s="1"/>
  <c r="G367" i="142"/>
  <c r="H188" i="137"/>
  <c r="H154" i="137"/>
  <c r="H120" i="137"/>
  <c r="H220" i="137"/>
  <c r="H254" i="137" s="1"/>
  <c r="G351" i="135"/>
  <c r="H53" i="135"/>
  <c r="G368" i="135"/>
  <c r="G370" i="135" s="1"/>
  <c r="H179" i="151"/>
  <c r="H111" i="151"/>
  <c r="H145" i="151"/>
  <c r="H87" i="151"/>
  <c r="H88" i="151" s="1"/>
  <c r="E23" i="206"/>
  <c r="E106" i="194"/>
  <c r="E111" i="194" s="1"/>
  <c r="H222" i="136"/>
  <c r="H256" i="136" s="1"/>
  <c r="H86" i="141"/>
  <c r="H147" i="141"/>
  <c r="H113" i="141"/>
  <c r="H181" i="141"/>
  <c r="H97" i="141"/>
  <c r="H82" i="141"/>
  <c r="G95" i="102"/>
  <c r="G39" i="95"/>
  <c r="G64" i="95" s="1"/>
  <c r="H215" i="149"/>
  <c r="H249" i="149" s="1"/>
  <c r="H59" i="149"/>
  <c r="G366" i="149"/>
  <c r="H69" i="149" s="1"/>
  <c r="H152" i="143"/>
  <c r="H118" i="143"/>
  <c r="H186" i="143"/>
  <c r="E141" i="199"/>
  <c r="E153" i="199" s="1"/>
  <c r="E28" i="205" s="1"/>
  <c r="E148" i="199"/>
  <c r="H233" i="138"/>
  <c r="H267" i="138" s="1"/>
  <c r="G368" i="146"/>
  <c r="G370" i="146" s="1"/>
  <c r="H53" i="146"/>
  <c r="H290" i="146" s="1"/>
  <c r="H153" i="137"/>
  <c r="H187" i="137"/>
  <c r="H119" i="137"/>
  <c r="M514" i="217"/>
  <c r="M576" i="217" s="1"/>
  <c r="G350" i="140"/>
  <c r="H43" i="140"/>
  <c r="H232" i="135"/>
  <c r="H266" i="135" s="1"/>
  <c r="G368" i="150"/>
  <c r="G370" i="150" s="1"/>
  <c r="H53" i="150"/>
  <c r="H290" i="150" s="1"/>
  <c r="E32" i="206"/>
  <c r="F91" i="208" s="1"/>
  <c r="E106" i="203"/>
  <c r="E111" i="203" s="1"/>
  <c r="H202" i="139"/>
  <c r="H168" i="139"/>
  <c r="H134" i="139"/>
  <c r="H200" i="139"/>
  <c r="H132" i="139"/>
  <c r="H166" i="139"/>
  <c r="H217" i="136"/>
  <c r="H251" i="136" s="1"/>
  <c r="H221" i="149"/>
  <c r="H255" i="149" s="1"/>
  <c r="H238" i="162"/>
  <c r="H272" i="162" s="1"/>
  <c r="E140" i="197"/>
  <c r="E152" i="197" s="1"/>
  <c r="E106" i="197"/>
  <c r="E147" i="197"/>
  <c r="H93" i="150"/>
  <c r="H94" i="150"/>
  <c r="H180" i="147"/>
  <c r="H146" i="147"/>
  <c r="H112" i="147"/>
  <c r="E103" i="190"/>
  <c r="E104" i="190"/>
  <c r="E19" i="205" s="1"/>
  <c r="E105" i="190"/>
  <c r="E19" i="207" s="1"/>
  <c r="E20" i="209" s="1"/>
  <c r="E252" i="209" s="1"/>
  <c r="E21" i="210" s="1"/>
  <c r="E60" i="211" s="1"/>
  <c r="H120" i="140"/>
  <c r="H188" i="140"/>
  <c r="H154" i="140"/>
  <c r="H95" i="145"/>
  <c r="H186" i="145"/>
  <c r="H118" i="145"/>
  <c r="H152" i="145"/>
  <c r="H151" i="145"/>
  <c r="H117" i="145"/>
  <c r="H185" i="145"/>
  <c r="H238" i="146"/>
  <c r="H272" i="146" s="1"/>
  <c r="H116" i="148"/>
  <c r="H150" i="148"/>
  <c r="H184" i="148"/>
  <c r="H204" i="148"/>
  <c r="H136" i="148"/>
  <c r="H170" i="148"/>
  <c r="H101" i="148"/>
  <c r="H200" i="148"/>
  <c r="H132" i="148"/>
  <c r="H166" i="148"/>
  <c r="H233" i="150"/>
  <c r="H267" i="150" s="1"/>
  <c r="H217" i="150"/>
  <c r="H251" i="150" s="1"/>
  <c r="H237" i="134"/>
  <c r="H271" i="134" s="1"/>
  <c r="H93" i="146"/>
  <c r="H94" i="146"/>
  <c r="H164" i="139"/>
  <c r="H198" i="139"/>
  <c r="H130" i="139"/>
  <c r="H215" i="136"/>
  <c r="H249" i="136" s="1"/>
  <c r="H136" i="149"/>
  <c r="H204" i="149"/>
  <c r="H170" i="149"/>
  <c r="H231" i="144"/>
  <c r="H265" i="144" s="1"/>
  <c r="G350" i="143"/>
  <c r="G351" i="143" s="1"/>
  <c r="H43" i="143"/>
  <c r="H234" i="134"/>
  <c r="H268" i="134" s="1"/>
  <c r="G368" i="142"/>
  <c r="G370" i="142" s="1"/>
  <c r="H53" i="142"/>
  <c r="H290" i="142" s="1"/>
  <c r="G350" i="162"/>
  <c r="H43" i="162"/>
  <c r="G98" i="102"/>
  <c r="G42" i="95"/>
  <c r="G67" i="95" s="1"/>
  <c r="G366" i="137"/>
  <c r="H69" i="137" s="1"/>
  <c r="H59" i="137"/>
  <c r="H217" i="137"/>
  <c r="H251" i="137" s="1"/>
  <c r="M577" i="217"/>
  <c r="H237" i="136"/>
  <c r="H271" i="136" s="1"/>
  <c r="H217" i="138"/>
  <c r="H251" i="138" s="1"/>
  <c r="H161" i="147"/>
  <c r="H195" i="147"/>
  <c r="H127" i="147"/>
  <c r="H137" i="147" s="1"/>
  <c r="H138" i="147" s="1"/>
  <c r="H148" i="139"/>
  <c r="H182" i="139"/>
  <c r="H114" i="139"/>
  <c r="H93" i="136"/>
  <c r="H94" i="136"/>
  <c r="H238" i="143"/>
  <c r="H272" i="143" s="1"/>
  <c r="H215" i="150"/>
  <c r="H249" i="150" s="1"/>
  <c r="H221" i="135"/>
  <c r="H255" i="135" s="1"/>
  <c r="H93" i="142"/>
  <c r="H94" i="142"/>
  <c r="G332" i="137"/>
  <c r="G333" i="137" s="1"/>
  <c r="H237" i="137"/>
  <c r="H271" i="137" s="1"/>
  <c r="H233" i="140"/>
  <c r="H267" i="140" s="1"/>
  <c r="H218" i="135"/>
  <c r="H252" i="135" s="1"/>
  <c r="H77" i="134"/>
  <c r="H78" i="134"/>
  <c r="H128" i="151"/>
  <c r="H162" i="151"/>
  <c r="H196" i="151"/>
  <c r="G356" i="141"/>
  <c r="G330" i="141"/>
  <c r="H84" i="141"/>
  <c r="H135" i="141"/>
  <c r="H169" i="141"/>
  <c r="H203" i="141"/>
  <c r="E104" i="192"/>
  <c r="E21" i="205" s="1"/>
  <c r="E105" i="192"/>
  <c r="E21" i="207" s="1"/>
  <c r="E22" i="209" s="1"/>
  <c r="E254" i="209" s="1"/>
  <c r="E23" i="210" s="1"/>
  <c r="E62" i="211" s="1"/>
  <c r="E103" i="192"/>
  <c r="G367" i="144"/>
  <c r="H164" i="143"/>
  <c r="H130" i="143"/>
  <c r="H198" i="143"/>
  <c r="H149" i="143"/>
  <c r="H115" i="143"/>
  <c r="H183" i="143"/>
  <c r="H233" i="162"/>
  <c r="H267" i="162" s="1"/>
  <c r="H233" i="146"/>
  <c r="H267" i="146" s="1"/>
  <c r="E106" i="189"/>
  <c r="E111" i="189" s="1"/>
  <c r="E18" i="206"/>
  <c r="F77" i="208" s="1"/>
  <c r="H77" i="144"/>
  <c r="H78" i="144"/>
  <c r="G332" i="140"/>
  <c r="G333" i="140" s="1"/>
  <c r="G314" i="140"/>
  <c r="G366" i="140"/>
  <c r="H59" i="140"/>
  <c r="H77" i="150"/>
  <c r="H78" i="150"/>
  <c r="E113" i="204"/>
  <c r="E115" i="204" s="1"/>
  <c r="E112" i="204"/>
  <c r="E271" i="211"/>
  <c r="K82" i="218" s="1"/>
  <c r="E246" i="211"/>
  <c r="H59" i="139"/>
  <c r="G366" i="139"/>
  <c r="H69" i="139" s="1"/>
  <c r="H43" i="149"/>
  <c r="G350" i="149"/>
  <c r="G351" i="149" s="1"/>
  <c r="G351" i="138"/>
  <c r="H53" i="138"/>
  <c r="G368" i="138"/>
  <c r="G370" i="138" s="1"/>
  <c r="H185" i="137"/>
  <c r="H117" i="137"/>
  <c r="H151" i="137"/>
  <c r="G37" i="95"/>
  <c r="G62" i="95" s="1"/>
  <c r="G93" i="102"/>
  <c r="H164" i="140"/>
  <c r="H198" i="140"/>
  <c r="H232" i="140" s="1"/>
  <c r="H266" i="140" s="1"/>
  <c r="H130" i="140"/>
  <c r="H168" i="145"/>
  <c r="H115" i="145"/>
  <c r="H149" i="145"/>
  <c r="H183" i="145"/>
  <c r="G340" i="145"/>
  <c r="G314" i="145"/>
  <c r="H204" i="145"/>
  <c r="H165" i="145"/>
  <c r="H199" i="145"/>
  <c r="H131" i="145"/>
  <c r="H96" i="145"/>
  <c r="H118" i="148"/>
  <c r="H186" i="148"/>
  <c r="H152" i="148"/>
  <c r="H201" i="148"/>
  <c r="H167" i="148"/>
  <c r="H133" i="148"/>
  <c r="H100" i="148"/>
  <c r="H129" i="148"/>
  <c r="H163" i="148"/>
  <c r="H197" i="148"/>
  <c r="H188" i="139"/>
  <c r="H120" i="139"/>
  <c r="H154" i="139"/>
  <c r="H118" i="149"/>
  <c r="H152" i="149"/>
  <c r="H186" i="149"/>
  <c r="H77" i="142"/>
  <c r="H78" i="142"/>
  <c r="H113" i="137"/>
  <c r="H181" i="137"/>
  <c r="H147" i="137"/>
  <c r="E105" i="185"/>
  <c r="E14" i="207" s="1"/>
  <c r="E103" i="185"/>
  <c r="E104" i="185"/>
  <c r="E14" i="205" s="1"/>
  <c r="H200" i="140"/>
  <c r="H132" i="140"/>
  <c r="H166" i="140"/>
  <c r="H133" i="139"/>
  <c r="H167" i="139"/>
  <c r="H201" i="139"/>
  <c r="G367" i="136"/>
  <c r="H69" i="136"/>
  <c r="H70" i="136" s="1"/>
  <c r="E105" i="196"/>
  <c r="E149" i="196" s="1"/>
  <c r="E104" i="196"/>
  <c r="E103" i="196"/>
  <c r="H59" i="162"/>
  <c r="G366" i="162"/>
  <c r="H69" i="162" s="1"/>
  <c r="H70" i="162" s="1"/>
  <c r="E106" i="191"/>
  <c r="E111" i="191" s="1"/>
  <c r="E20" i="206"/>
  <c r="F79" i="208" s="1"/>
  <c r="H77" i="136"/>
  <c r="H78" i="136"/>
  <c r="H43" i="137"/>
  <c r="G350" i="137"/>
  <c r="G351" i="137" s="1"/>
  <c r="H149" i="140"/>
  <c r="H183" i="140"/>
  <c r="H115" i="140"/>
  <c r="H80" i="140"/>
  <c r="H180" i="151"/>
  <c r="H112" i="151"/>
  <c r="H146" i="151"/>
  <c r="G368" i="134"/>
  <c r="G370" i="134" s="1"/>
  <c r="G351" i="134"/>
  <c r="H53" i="134"/>
  <c r="E24" i="209"/>
  <c r="E256" i="209" s="1"/>
  <c r="E25" i="210" s="1"/>
  <c r="E64" i="211" s="1"/>
  <c r="F82" i="208"/>
  <c r="H161" i="151"/>
  <c r="H195" i="151"/>
  <c r="H127" i="151"/>
  <c r="H103" i="151"/>
  <c r="H104" i="151" s="1"/>
  <c r="H198" i="141"/>
  <c r="H164" i="141"/>
  <c r="H130" i="141"/>
  <c r="G340" i="141"/>
  <c r="G314" i="141"/>
  <c r="H163" i="141"/>
  <c r="H197" i="141"/>
  <c r="H129" i="141"/>
  <c r="H132" i="141"/>
  <c r="H185" i="141"/>
  <c r="H117" i="141"/>
  <c r="H151" i="141"/>
  <c r="H183" i="162"/>
  <c r="H115" i="162"/>
  <c r="H149" i="162"/>
  <c r="E106" i="199"/>
  <c r="E147" i="199"/>
  <c r="E140" i="199"/>
  <c r="E152" i="199" s="1"/>
  <c r="H83" i="86"/>
  <c r="H117" i="86" s="1"/>
  <c r="G351" i="146"/>
  <c r="E113" i="200"/>
  <c r="E115" i="200" s="1"/>
  <c r="E112" i="200"/>
  <c r="H216" i="137"/>
  <c r="H250" i="137" s="1"/>
  <c r="H53" i="144"/>
  <c r="H290" i="144" s="1"/>
  <c r="G368" i="144"/>
  <c r="G370" i="144" s="1"/>
  <c r="H185" i="140"/>
  <c r="H117" i="140"/>
  <c r="H151" i="140"/>
  <c r="H93" i="138"/>
  <c r="H94" i="138"/>
  <c r="H235" i="146"/>
  <c r="H269" i="146" s="1"/>
  <c r="H148" i="149"/>
  <c r="H182" i="149"/>
  <c r="H114" i="149"/>
  <c r="E104" i="202"/>
  <c r="E31" i="205" s="1"/>
  <c r="E103" i="202"/>
  <c r="E105" i="202"/>
  <c r="E31" i="207" s="1"/>
  <c r="E32" i="209" s="1"/>
  <c r="E264" i="209" s="1"/>
  <c r="E33" i="210" s="1"/>
  <c r="E72" i="211" s="1"/>
  <c r="H231" i="149"/>
  <c r="H265" i="149" s="1"/>
  <c r="H235" i="143"/>
  <c r="H269" i="143" s="1"/>
  <c r="H163" i="162"/>
  <c r="H129" i="162"/>
  <c r="H197" i="162"/>
  <c r="H169" i="162"/>
  <c r="H135" i="162"/>
  <c r="H203" i="162"/>
  <c r="E141" i="197"/>
  <c r="E153" i="197" s="1"/>
  <c r="E26" i="205" s="1"/>
  <c r="E148" i="197"/>
  <c r="G367" i="150"/>
  <c r="H78" i="138"/>
  <c r="H77" i="138"/>
  <c r="H111" i="147"/>
  <c r="H145" i="147"/>
  <c r="H179" i="147"/>
  <c r="H87" i="147"/>
  <c r="H88" i="147" s="1"/>
  <c r="H204" i="137"/>
  <c r="H136" i="137"/>
  <c r="H170" i="137"/>
  <c r="H181" i="140"/>
  <c r="H113" i="140"/>
  <c r="H147" i="140"/>
  <c r="H231" i="140"/>
  <c r="H265" i="140" s="1"/>
  <c r="H215" i="138"/>
  <c r="H249" i="138" s="1"/>
  <c r="H79" i="145"/>
  <c r="H86" i="145"/>
  <c r="H99" i="145"/>
  <c r="G332" i="145"/>
  <c r="G333" i="145" s="1"/>
  <c r="H82" i="145"/>
  <c r="G356" i="148"/>
  <c r="G330" i="148"/>
  <c r="H96" i="148"/>
  <c r="H97" i="148"/>
  <c r="H182" i="148"/>
  <c r="H114" i="148"/>
  <c r="H148" i="148"/>
  <c r="H154" i="148"/>
  <c r="H188" i="148"/>
  <c r="H120" i="148"/>
  <c r="H85" i="148"/>
  <c r="G367" i="134"/>
  <c r="H69" i="134"/>
  <c r="H70" i="134" s="1"/>
  <c r="G367" i="146"/>
  <c r="G332" i="139"/>
  <c r="G333" i="139" s="1"/>
  <c r="H203" i="143"/>
  <c r="H169" i="143"/>
  <c r="H135" i="143"/>
  <c r="G366" i="143"/>
  <c r="H69" i="143" s="1"/>
  <c r="H59" i="143"/>
  <c r="H200" i="162"/>
  <c r="H132" i="162"/>
  <c r="H166" i="162"/>
  <c r="H231" i="134"/>
  <c r="H265" i="134" s="1"/>
  <c r="H168" i="137"/>
  <c r="H202" i="137"/>
  <c r="H134" i="137"/>
  <c r="H132" i="137"/>
  <c r="H166" i="137"/>
  <c r="H200" i="137"/>
  <c r="H235" i="144"/>
  <c r="H269" i="144" s="1"/>
  <c r="M328" i="217"/>
  <c r="G88" i="102"/>
  <c r="G32" i="95"/>
  <c r="H150" i="140"/>
  <c r="H116" i="140"/>
  <c r="H218" i="140" s="1"/>
  <c r="H252" i="140" s="1"/>
  <c r="H184" i="140"/>
  <c r="E106" i="188"/>
  <c r="E111" i="188" s="1"/>
  <c r="E17" i="206"/>
  <c r="F76" i="208" s="1"/>
  <c r="H222" i="135"/>
  <c r="H256" i="135" s="1"/>
  <c r="H222" i="150"/>
  <c r="H256" i="150" s="1"/>
  <c r="H187" i="139"/>
  <c r="H119" i="139"/>
  <c r="H153" i="139"/>
  <c r="H234" i="149"/>
  <c r="H268" i="149" s="1"/>
  <c r="H219" i="149"/>
  <c r="H253" i="149" s="1"/>
  <c r="G43" i="95"/>
  <c r="G68" i="95" s="1"/>
  <c r="G99" i="102"/>
  <c r="H113" i="143"/>
  <c r="H181" i="143"/>
  <c r="H147" i="143"/>
  <c r="H93" i="135"/>
  <c r="H94" i="135"/>
  <c r="H181" i="162"/>
  <c r="H113" i="162"/>
  <c r="H147" i="162"/>
  <c r="H217" i="144"/>
  <c r="H251" i="144" s="1"/>
  <c r="H237" i="144"/>
  <c r="H271" i="144" s="1"/>
  <c r="H233" i="134"/>
  <c r="H267" i="134" s="1"/>
  <c r="G351" i="136"/>
  <c r="G368" i="136"/>
  <c r="G370" i="136" s="1"/>
  <c r="H53" i="136"/>
  <c r="H164" i="137"/>
  <c r="H198" i="137"/>
  <c r="H130" i="137"/>
  <c r="M575" i="217"/>
  <c r="H77" i="135"/>
  <c r="H78" i="135"/>
  <c r="H54" i="151"/>
  <c r="H233" i="144"/>
  <c r="H267" i="144" s="1"/>
  <c r="H238" i="138"/>
  <c r="H272" i="138" s="1"/>
  <c r="H170" i="141"/>
  <c r="H136" i="141"/>
  <c r="H204" i="141"/>
  <c r="H85" i="141"/>
  <c r="H168" i="141"/>
  <c r="H134" i="141"/>
  <c r="H202" i="141"/>
  <c r="H81" i="141"/>
  <c r="H99" i="141"/>
  <c r="G23" i="102"/>
  <c r="E15" i="193"/>
  <c r="E44" i="193" s="1"/>
  <c r="E57" i="193" s="1"/>
  <c r="E98" i="193" s="1"/>
  <c r="H117" i="139"/>
  <c r="H151" i="139"/>
  <c r="H185" i="139"/>
  <c r="H163" i="139"/>
  <c r="H197" i="139"/>
  <c r="H129" i="139"/>
  <c r="H93" i="144"/>
  <c r="H94" i="144"/>
  <c r="H222" i="143"/>
  <c r="H256" i="143" s="1"/>
  <c r="H217" i="135"/>
  <c r="H251" i="135" s="1"/>
  <c r="H219" i="138"/>
  <c r="H253" i="138" s="1"/>
  <c r="H120" i="162"/>
  <c r="H188" i="162"/>
  <c r="H154" i="162"/>
  <c r="H197" i="86"/>
  <c r="H170" i="86"/>
  <c r="H163" i="86"/>
  <c r="H79" i="86"/>
  <c r="H181" i="86" s="1"/>
  <c r="H167" i="86"/>
  <c r="H130" i="86"/>
  <c r="H164" i="86"/>
  <c r="H80" i="86"/>
  <c r="H148" i="86" s="1"/>
  <c r="H86" i="86"/>
  <c r="H154" i="86" s="1"/>
  <c r="H136" i="86"/>
  <c r="H238" i="86" s="1"/>
  <c r="H272" i="86" s="1"/>
  <c r="H82" i="86"/>
  <c r="H150" i="86" s="1"/>
  <c r="H43" i="86"/>
  <c r="H77" i="86" s="1"/>
  <c r="G350" i="86"/>
  <c r="M525" i="217"/>
  <c r="H166" i="86"/>
  <c r="H200" i="86"/>
  <c r="H132" i="86"/>
  <c r="H187" i="86"/>
  <c r="H81" i="86"/>
  <c r="G16" i="102"/>
  <c r="E15" i="186"/>
  <c r="E44" i="186" s="1"/>
  <c r="E57" i="186" s="1"/>
  <c r="E98" i="186" s="1"/>
  <c r="G85" i="128"/>
  <c r="G332" i="86"/>
  <c r="G333" i="86" s="1"/>
  <c r="G314" i="86"/>
  <c r="K84" i="218"/>
  <c r="H169" i="86"/>
  <c r="H203" i="86"/>
  <c r="H135" i="86"/>
  <c r="H165" i="86"/>
  <c r="H199" i="86"/>
  <c r="H131" i="86"/>
  <c r="G366" i="86"/>
  <c r="H59" i="86"/>
  <c r="H182" i="86"/>
  <c r="H114" i="86"/>
  <c r="H84" i="86"/>
  <c r="H185" i="86"/>
  <c r="H202" i="86"/>
  <c r="H134" i="86"/>
  <c r="H168" i="86"/>
  <c r="H147" i="86"/>
  <c r="H238" i="139" l="1"/>
  <c r="H272" i="139" s="1"/>
  <c r="H235" i="137"/>
  <c r="H269" i="137" s="1"/>
  <c r="H233" i="143"/>
  <c r="H267" i="143" s="1"/>
  <c r="E154" i="199"/>
  <c r="H151" i="86"/>
  <c r="G367" i="162"/>
  <c r="H235" i="139"/>
  <c r="H269" i="139" s="1"/>
  <c r="H182" i="141"/>
  <c r="H115" i="148"/>
  <c r="H70" i="149"/>
  <c r="H171" i="151"/>
  <c r="H172" i="151" s="1"/>
  <c r="H54" i="142"/>
  <c r="H134" i="145"/>
  <c r="H148" i="141"/>
  <c r="H183" i="148"/>
  <c r="M527" i="217"/>
  <c r="H222" i="162"/>
  <c r="H256" i="162" s="1"/>
  <c r="H238" i="137"/>
  <c r="H272" i="137" s="1"/>
  <c r="E154" i="197"/>
  <c r="H136" i="145"/>
  <c r="H238" i="145" s="1"/>
  <c r="H272" i="145" s="1"/>
  <c r="H153" i="86"/>
  <c r="H217" i="145"/>
  <c r="H251" i="145" s="1"/>
  <c r="H235" i="86"/>
  <c r="H269" i="86" s="1"/>
  <c r="H166" i="141"/>
  <c r="H234" i="141" s="1"/>
  <c r="H268" i="141" s="1"/>
  <c r="H137" i="151"/>
  <c r="H138" i="151" s="1"/>
  <c r="H215" i="137"/>
  <c r="H249" i="137" s="1"/>
  <c r="H222" i="139"/>
  <c r="H256" i="139" s="1"/>
  <c r="H235" i="148"/>
  <c r="H269" i="148" s="1"/>
  <c r="G367" i="139"/>
  <c r="H54" i="150"/>
  <c r="H215" i="143"/>
  <c r="H249" i="143" s="1"/>
  <c r="H232" i="143"/>
  <c r="H266" i="143" s="1"/>
  <c r="H70" i="137"/>
  <c r="H221" i="137"/>
  <c r="H255" i="137" s="1"/>
  <c r="H232" i="86"/>
  <c r="H266" i="86" s="1"/>
  <c r="H232" i="137"/>
  <c r="H266" i="137" s="1"/>
  <c r="L554" i="217"/>
  <c r="M524" i="217" s="1"/>
  <c r="M587" i="217" s="1"/>
  <c r="H218" i="139"/>
  <c r="H252" i="139" s="1"/>
  <c r="H231" i="86"/>
  <c r="H265" i="86" s="1"/>
  <c r="H222" i="148"/>
  <c r="H256" i="148" s="1"/>
  <c r="H216" i="148"/>
  <c r="H250" i="148" s="1"/>
  <c r="H217" i="162"/>
  <c r="H251" i="162" s="1"/>
  <c r="H70" i="139"/>
  <c r="H171" i="147"/>
  <c r="H172" i="147" s="1"/>
  <c r="H219" i="145"/>
  <c r="H253" i="145" s="1"/>
  <c r="H222" i="137"/>
  <c r="H256" i="137" s="1"/>
  <c r="H220" i="162"/>
  <c r="H254" i="162" s="1"/>
  <c r="H218" i="143"/>
  <c r="H252" i="143" s="1"/>
  <c r="H230" i="147"/>
  <c r="H264" i="147" s="1"/>
  <c r="H234" i="162"/>
  <c r="H268" i="162" s="1"/>
  <c r="H232" i="141"/>
  <c r="H266" i="141" s="1"/>
  <c r="H237" i="141"/>
  <c r="H271" i="141" s="1"/>
  <c r="H217" i="148"/>
  <c r="H251" i="148" s="1"/>
  <c r="H214" i="147"/>
  <c r="H248" i="147" s="1"/>
  <c r="G367" i="149"/>
  <c r="H215" i="141"/>
  <c r="H249" i="141" s="1"/>
  <c r="H70" i="143"/>
  <c r="E26" i="207"/>
  <c r="E158" i="197"/>
  <c r="H219" i="140"/>
  <c r="H253" i="140" s="1"/>
  <c r="H231" i="141"/>
  <c r="H265" i="141" s="1"/>
  <c r="H182" i="140"/>
  <c r="H114" i="140"/>
  <c r="H148" i="140"/>
  <c r="H180" i="136"/>
  <c r="H112" i="136"/>
  <c r="H146" i="136"/>
  <c r="E141" i="196"/>
  <c r="E153" i="196" s="1"/>
  <c r="E25" i="205" s="1"/>
  <c r="E148" i="196"/>
  <c r="E14" i="206"/>
  <c r="E106" i="185"/>
  <c r="E111" i="185" s="1"/>
  <c r="H164" i="145"/>
  <c r="H130" i="145"/>
  <c r="H198" i="145"/>
  <c r="G350" i="145"/>
  <c r="H43" i="145"/>
  <c r="E114" i="204"/>
  <c r="E116" i="204" s="1"/>
  <c r="E118" i="204" s="1"/>
  <c r="E117" i="204"/>
  <c r="H179" i="150"/>
  <c r="H111" i="150"/>
  <c r="H145" i="150"/>
  <c r="H87" i="150"/>
  <c r="H88" i="150" s="1"/>
  <c r="E260" i="211"/>
  <c r="K71" i="218" s="1"/>
  <c r="E235" i="211"/>
  <c r="H216" i="141"/>
  <c r="H250" i="141" s="1"/>
  <c r="H59" i="141"/>
  <c r="G366" i="141"/>
  <c r="H69" i="141" s="1"/>
  <c r="H112" i="134"/>
  <c r="H146" i="134"/>
  <c r="H180" i="134"/>
  <c r="H128" i="136"/>
  <c r="H162" i="136"/>
  <c r="H196" i="136"/>
  <c r="H53" i="162"/>
  <c r="H290" i="162" s="1"/>
  <c r="G368" i="162"/>
  <c r="G370" i="162" s="1"/>
  <c r="H195" i="146"/>
  <c r="H103" i="146"/>
  <c r="H104" i="146" s="1"/>
  <c r="H127" i="146"/>
  <c r="H161" i="146"/>
  <c r="H220" i="145"/>
  <c r="H254" i="145" s="1"/>
  <c r="E233" i="211"/>
  <c r="E258" i="211"/>
  <c r="K69" i="218" s="1"/>
  <c r="H155" i="147"/>
  <c r="H280" i="147" s="1"/>
  <c r="H29" i="131" s="1"/>
  <c r="H234" i="139"/>
  <c r="H268" i="139" s="1"/>
  <c r="E113" i="203"/>
  <c r="E115" i="203" s="1"/>
  <c r="E112" i="203"/>
  <c r="E112" i="194"/>
  <c r="E113" i="194"/>
  <c r="E115" i="194" s="1"/>
  <c r="H155" i="151"/>
  <c r="H280" i="151" s="1"/>
  <c r="H33" i="131" s="1"/>
  <c r="H54" i="135"/>
  <c r="H290" i="135"/>
  <c r="G368" i="139"/>
  <c r="G370" i="139" s="1"/>
  <c r="H53" i="139"/>
  <c r="H290" i="139" s="1"/>
  <c r="H128" i="134"/>
  <c r="H162" i="134"/>
  <c r="H196" i="134"/>
  <c r="H185" i="148"/>
  <c r="H117" i="148"/>
  <c r="H151" i="148"/>
  <c r="H187" i="145"/>
  <c r="H119" i="145"/>
  <c r="H153" i="145"/>
  <c r="G366" i="145"/>
  <c r="H69" i="145" s="1"/>
  <c r="H59" i="145"/>
  <c r="H54" i="146"/>
  <c r="H201" i="145"/>
  <c r="H167" i="145"/>
  <c r="H133" i="145"/>
  <c r="H231" i="139"/>
  <c r="H265" i="139" s="1"/>
  <c r="H183" i="141"/>
  <c r="H115" i="141"/>
  <c r="H149" i="141"/>
  <c r="H187" i="141"/>
  <c r="H153" i="141"/>
  <c r="H119" i="141"/>
  <c r="H111" i="135"/>
  <c r="H145" i="135"/>
  <c r="H179" i="135"/>
  <c r="H87" i="135"/>
  <c r="H88" i="135" s="1"/>
  <c r="H215" i="162"/>
  <c r="H249" i="162" s="1"/>
  <c r="H221" i="139"/>
  <c r="H255" i="139" s="1"/>
  <c r="M357" i="217"/>
  <c r="M616" i="217"/>
  <c r="M620" i="217" s="1"/>
  <c r="G367" i="143"/>
  <c r="H59" i="148"/>
  <c r="G366" i="148"/>
  <c r="H69" i="148" s="1"/>
  <c r="H154" i="145"/>
  <c r="H188" i="145"/>
  <c r="H120" i="145"/>
  <c r="H179" i="138"/>
  <c r="H87" i="138"/>
  <c r="H88" i="138" s="1"/>
  <c r="H145" i="138"/>
  <c r="H111" i="138"/>
  <c r="H231" i="162"/>
  <c r="H265" i="162" s="1"/>
  <c r="H216" i="149"/>
  <c r="H250" i="149" s="1"/>
  <c r="H196" i="138"/>
  <c r="H128" i="138"/>
  <c r="H162" i="138"/>
  <c r="E111" i="199"/>
  <c r="E150" i="199"/>
  <c r="E237" i="211"/>
  <c r="E262" i="211"/>
  <c r="K73" i="218" s="1"/>
  <c r="H217" i="140"/>
  <c r="H251" i="140" s="1"/>
  <c r="H179" i="136"/>
  <c r="H111" i="136"/>
  <c r="H87" i="136"/>
  <c r="H88" i="136" s="1"/>
  <c r="H145" i="136"/>
  <c r="H155" i="136" s="1"/>
  <c r="H156" i="136" s="1"/>
  <c r="H234" i="140"/>
  <c r="H268" i="140" s="1"/>
  <c r="M386" i="217"/>
  <c r="E15" i="209"/>
  <c r="E247" i="209" s="1"/>
  <c r="E16" i="210" s="1"/>
  <c r="E55" i="211" s="1"/>
  <c r="E35" i="207"/>
  <c r="F73" i="208"/>
  <c r="H112" i="142"/>
  <c r="H180" i="142"/>
  <c r="H146" i="142"/>
  <c r="H202" i="148"/>
  <c r="H134" i="148"/>
  <c r="H168" i="148"/>
  <c r="H220" i="148"/>
  <c r="H254" i="148" s="1"/>
  <c r="H236" i="145"/>
  <c r="H270" i="145" s="1"/>
  <c r="H54" i="138"/>
  <c r="H290" i="138"/>
  <c r="G368" i="149"/>
  <c r="G370" i="149" s="1"/>
  <c r="H53" i="149"/>
  <c r="H290" i="149" s="1"/>
  <c r="H94" i="139"/>
  <c r="H93" i="139"/>
  <c r="H93" i="140"/>
  <c r="H94" i="140"/>
  <c r="H87" i="144"/>
  <c r="H88" i="144" s="1"/>
  <c r="H146" i="144"/>
  <c r="H112" i="144"/>
  <c r="H180" i="144"/>
  <c r="E112" i="189"/>
  <c r="E113" i="189"/>
  <c r="E115" i="189" s="1"/>
  <c r="H217" i="143"/>
  <c r="H251" i="143" s="1"/>
  <c r="H230" i="151"/>
  <c r="H264" i="151" s="1"/>
  <c r="H87" i="134"/>
  <c r="H88" i="134" s="1"/>
  <c r="H145" i="134"/>
  <c r="H111" i="134"/>
  <c r="H179" i="134"/>
  <c r="H189" i="134" s="1"/>
  <c r="H190" i="134" s="1"/>
  <c r="H161" i="136"/>
  <c r="H171" i="136" s="1"/>
  <c r="H172" i="136" s="1"/>
  <c r="H127" i="136"/>
  <c r="H137" i="136" s="1"/>
  <c r="H138" i="136" s="1"/>
  <c r="H195" i="136"/>
  <c r="H103" i="136"/>
  <c r="H104" i="136" s="1"/>
  <c r="G367" i="137"/>
  <c r="H77" i="143"/>
  <c r="H78" i="143"/>
  <c r="H238" i="149"/>
  <c r="H272" i="149" s="1"/>
  <c r="H232" i="139"/>
  <c r="H266" i="139" s="1"/>
  <c r="H218" i="148"/>
  <c r="H252" i="148" s="1"/>
  <c r="E150" i="197"/>
  <c r="E111" i="197"/>
  <c r="H236" i="139"/>
  <c r="H270" i="139" s="1"/>
  <c r="H77" i="140"/>
  <c r="H78" i="140"/>
  <c r="H220" i="143"/>
  <c r="H254" i="143" s="1"/>
  <c r="H93" i="149"/>
  <c r="H94" i="149"/>
  <c r="H116" i="141"/>
  <c r="H184" i="141"/>
  <c r="H150" i="141"/>
  <c r="H213" i="151"/>
  <c r="H232" i="149"/>
  <c r="H266" i="149" s="1"/>
  <c r="E24" i="206"/>
  <c r="F83" i="208" s="1"/>
  <c r="E106" i="195"/>
  <c r="E111" i="195" s="1"/>
  <c r="H77" i="139"/>
  <c r="H78" i="139"/>
  <c r="H195" i="134"/>
  <c r="H127" i="134"/>
  <c r="H103" i="134"/>
  <c r="H104" i="134" s="1"/>
  <c r="H161" i="134"/>
  <c r="G350" i="148"/>
  <c r="G351" i="148" s="1"/>
  <c r="H43" i="148"/>
  <c r="E103" i="198"/>
  <c r="E104" i="198"/>
  <c r="E27" i="205" s="1"/>
  <c r="E105" i="198"/>
  <c r="E27" i="207" s="1"/>
  <c r="E28" i="209" s="1"/>
  <c r="E260" i="209" s="1"/>
  <c r="E29" i="210" s="1"/>
  <c r="E68" i="211" s="1"/>
  <c r="H132" i="145"/>
  <c r="H200" i="145"/>
  <c r="H166" i="145"/>
  <c r="H215" i="139"/>
  <c r="H249" i="139" s="1"/>
  <c r="H179" i="146"/>
  <c r="H111" i="146"/>
  <c r="H87" i="146"/>
  <c r="H88" i="146" s="1"/>
  <c r="H145" i="146"/>
  <c r="H201" i="141"/>
  <c r="H133" i="141"/>
  <c r="H167" i="141"/>
  <c r="H112" i="135"/>
  <c r="H146" i="135"/>
  <c r="H180" i="135"/>
  <c r="H161" i="135"/>
  <c r="H127" i="135"/>
  <c r="H195" i="135"/>
  <c r="H103" i="135"/>
  <c r="H104" i="135" s="1"/>
  <c r="H121" i="147"/>
  <c r="H282" i="147" s="1"/>
  <c r="H29" i="132" s="1"/>
  <c r="H213" i="147"/>
  <c r="H103" i="144"/>
  <c r="H104" i="144" s="1"/>
  <c r="H162" i="144"/>
  <c r="H196" i="144"/>
  <c r="H128" i="144"/>
  <c r="E104" i="193"/>
  <c r="E22" i="205" s="1"/>
  <c r="E103" i="193"/>
  <c r="E105" i="193"/>
  <c r="E22" i="207" s="1"/>
  <c r="E23" i="209" s="1"/>
  <c r="E255" i="209" s="1"/>
  <c r="E24" i="210" s="1"/>
  <c r="E63" i="211" s="1"/>
  <c r="H236" i="141"/>
  <c r="H270" i="141" s="1"/>
  <c r="H238" i="141"/>
  <c r="H272" i="141" s="1"/>
  <c r="H290" i="136"/>
  <c r="H54" i="136"/>
  <c r="E112" i="188"/>
  <c r="E113" i="188"/>
  <c r="E115" i="188" s="1"/>
  <c r="H93" i="143"/>
  <c r="H94" i="143"/>
  <c r="H237" i="143"/>
  <c r="H271" i="143" s="1"/>
  <c r="H165" i="148"/>
  <c r="H199" i="148"/>
  <c r="H131" i="148"/>
  <c r="H116" i="145"/>
  <c r="H150" i="145"/>
  <c r="H184" i="145"/>
  <c r="H181" i="145"/>
  <c r="H147" i="145"/>
  <c r="H113" i="145"/>
  <c r="H215" i="140"/>
  <c r="H249" i="140" s="1"/>
  <c r="H189" i="147"/>
  <c r="H190" i="147" s="1"/>
  <c r="H112" i="138"/>
  <c r="H146" i="138"/>
  <c r="H180" i="138"/>
  <c r="H237" i="162"/>
  <c r="H271" i="162" s="1"/>
  <c r="E270" i="211"/>
  <c r="K81" i="218" s="1"/>
  <c r="E245" i="211"/>
  <c r="H103" i="138"/>
  <c r="H104" i="138" s="1"/>
  <c r="H161" i="138"/>
  <c r="H171" i="138" s="1"/>
  <c r="H172" i="138" s="1"/>
  <c r="H195" i="138"/>
  <c r="H127" i="138"/>
  <c r="H219" i="141"/>
  <c r="H253" i="141" s="1"/>
  <c r="H205" i="151"/>
  <c r="H206" i="151" s="1"/>
  <c r="H229" i="151"/>
  <c r="H290" i="134"/>
  <c r="H54" i="134"/>
  <c r="H121" i="151"/>
  <c r="H282" i="151" s="1"/>
  <c r="H33" i="132" s="1"/>
  <c r="H214" i="151"/>
  <c r="H248" i="151" s="1"/>
  <c r="G368" i="137"/>
  <c r="G370" i="137" s="1"/>
  <c r="H53" i="137"/>
  <c r="H290" i="137" s="1"/>
  <c r="H93" i="162"/>
  <c r="H94" i="162"/>
  <c r="H220" i="149"/>
  <c r="H254" i="149" s="1"/>
  <c r="H231" i="148"/>
  <c r="H265" i="148" s="1"/>
  <c r="H233" i="145"/>
  <c r="H267" i="145" s="1"/>
  <c r="H219" i="137"/>
  <c r="H253" i="137" s="1"/>
  <c r="H77" i="149"/>
  <c r="H78" i="149"/>
  <c r="H180" i="150"/>
  <c r="H112" i="150"/>
  <c r="H146" i="150"/>
  <c r="G367" i="140"/>
  <c r="H69" i="140"/>
  <c r="H70" i="140" s="1"/>
  <c r="H54" i="144"/>
  <c r="H186" i="141"/>
  <c r="H152" i="141"/>
  <c r="H118" i="141"/>
  <c r="H103" i="142"/>
  <c r="H104" i="142" s="1"/>
  <c r="H128" i="142"/>
  <c r="H162" i="142"/>
  <c r="H196" i="142"/>
  <c r="H216" i="139"/>
  <c r="H250" i="139" s="1"/>
  <c r="H93" i="137"/>
  <c r="H94" i="137"/>
  <c r="G351" i="162"/>
  <c r="G368" i="143"/>
  <c r="G370" i="143" s="1"/>
  <c r="H53" i="143"/>
  <c r="H290" i="143" s="1"/>
  <c r="H234" i="148"/>
  <c r="H268" i="148" s="1"/>
  <c r="H169" i="148"/>
  <c r="H203" i="148"/>
  <c r="H135" i="148"/>
  <c r="H238" i="148"/>
  <c r="H272" i="148" s="1"/>
  <c r="H163" i="145"/>
  <c r="H197" i="145"/>
  <c r="H129" i="145"/>
  <c r="H222" i="140"/>
  <c r="H256" i="140" s="1"/>
  <c r="E19" i="206"/>
  <c r="F78" i="208" s="1"/>
  <c r="E106" i="190"/>
  <c r="E111" i="190" s="1"/>
  <c r="H103" i="150"/>
  <c r="H104" i="150" s="1"/>
  <c r="H128" i="150"/>
  <c r="H162" i="150"/>
  <c r="H196" i="150"/>
  <c r="E26" i="206"/>
  <c r="E155" i="197"/>
  <c r="G351" i="140"/>
  <c r="H53" i="140"/>
  <c r="G368" i="140"/>
  <c r="G370" i="140" s="1"/>
  <c r="H199" i="141"/>
  <c r="H165" i="141"/>
  <c r="H131" i="141"/>
  <c r="H188" i="141"/>
  <c r="H120" i="141"/>
  <c r="H154" i="141"/>
  <c r="H189" i="151"/>
  <c r="H186" i="140"/>
  <c r="H152" i="140"/>
  <c r="H118" i="140"/>
  <c r="E238" i="211"/>
  <c r="E263" i="211"/>
  <c r="K74" i="218" s="1"/>
  <c r="H181" i="148"/>
  <c r="H113" i="148"/>
  <c r="H147" i="148"/>
  <c r="E104" i="201"/>
  <c r="E30" i="205" s="1"/>
  <c r="E103" i="201"/>
  <c r="E105" i="201"/>
  <c r="E30" i="207" s="1"/>
  <c r="E31" i="209" s="1"/>
  <c r="E263" i="209" s="1"/>
  <c r="E32" i="210" s="1"/>
  <c r="E71" i="211" s="1"/>
  <c r="H135" i="145"/>
  <c r="H169" i="145"/>
  <c r="H203" i="145"/>
  <c r="G45" i="95"/>
  <c r="G70" i="95" s="1"/>
  <c r="G101" i="102"/>
  <c r="G66" i="102"/>
  <c r="M574" i="217"/>
  <c r="H236" i="143"/>
  <c r="H270" i="143" s="1"/>
  <c r="E28" i="207"/>
  <c r="E158" i="199"/>
  <c r="H161" i="144"/>
  <c r="H195" i="144"/>
  <c r="H127" i="144"/>
  <c r="H219" i="139"/>
  <c r="H253" i="139" s="1"/>
  <c r="G96" i="102"/>
  <c r="G40" i="95"/>
  <c r="G65" i="95" s="1"/>
  <c r="H162" i="135"/>
  <c r="H128" i="135"/>
  <c r="H196" i="135"/>
  <c r="AF34" i="95"/>
  <c r="G57" i="95"/>
  <c r="H234" i="137"/>
  <c r="H268" i="137" s="1"/>
  <c r="H236" i="137"/>
  <c r="H270" i="137" s="1"/>
  <c r="H119" i="148"/>
  <c r="H187" i="148"/>
  <c r="H153" i="148"/>
  <c r="H164" i="148"/>
  <c r="H198" i="148"/>
  <c r="H130" i="148"/>
  <c r="E106" i="202"/>
  <c r="E111" i="202" s="1"/>
  <c r="E31" i="206"/>
  <c r="F90" i="208" s="1"/>
  <c r="E117" i="200"/>
  <c r="E114" i="200"/>
  <c r="E116" i="200" s="1"/>
  <c r="E118" i="200" s="1"/>
  <c r="E28" i="206"/>
  <c r="E155" i="199"/>
  <c r="E156" i="199" s="1"/>
  <c r="G350" i="141"/>
  <c r="G351" i="141" s="1"/>
  <c r="H43" i="141"/>
  <c r="H77" i="137"/>
  <c r="H78" i="137"/>
  <c r="H54" i="137"/>
  <c r="E112" i="191"/>
  <c r="E113" i="191"/>
  <c r="E115" i="191" s="1"/>
  <c r="E140" i="196"/>
  <c r="E152" i="196" s="1"/>
  <c r="E25" i="206" s="1"/>
  <c r="E147" i="196"/>
  <c r="E106" i="196"/>
  <c r="M415" i="217"/>
  <c r="E35" i="205"/>
  <c r="H87" i="142"/>
  <c r="H88" i="142" s="1"/>
  <c r="H145" i="142"/>
  <c r="H179" i="142"/>
  <c r="H189" i="142" s="1"/>
  <c r="H111" i="142"/>
  <c r="H179" i="144"/>
  <c r="H111" i="144"/>
  <c r="H145" i="144"/>
  <c r="E21" i="206"/>
  <c r="F80" i="208" s="1"/>
  <c r="E106" i="192"/>
  <c r="E111" i="192" s="1"/>
  <c r="H195" i="142"/>
  <c r="H127" i="142"/>
  <c r="H161" i="142"/>
  <c r="H205" i="147"/>
  <c r="H206" i="147" s="1"/>
  <c r="H229" i="147"/>
  <c r="H77" i="162"/>
  <c r="H54" i="162"/>
  <c r="H78" i="162"/>
  <c r="H196" i="146"/>
  <c r="H162" i="146"/>
  <c r="H128" i="146"/>
  <c r="H161" i="150"/>
  <c r="H127" i="150"/>
  <c r="H195" i="150"/>
  <c r="M573" i="217"/>
  <c r="M529" i="217"/>
  <c r="G351" i="139"/>
  <c r="G48" i="95"/>
  <c r="G73" i="95" s="1"/>
  <c r="G104" i="102"/>
  <c r="H114" i="145"/>
  <c r="H148" i="145"/>
  <c r="H182" i="145"/>
  <c r="H231" i="137"/>
  <c r="H265" i="137" s="1"/>
  <c r="E113" i="187"/>
  <c r="E115" i="187" s="1"/>
  <c r="E112" i="187"/>
  <c r="H180" i="146"/>
  <c r="H146" i="146"/>
  <c r="H112" i="146"/>
  <c r="H113" i="86"/>
  <c r="H215" i="86" s="1"/>
  <c r="H249" i="86" s="1"/>
  <c r="H78" i="86"/>
  <c r="H146" i="86" s="1"/>
  <c r="H120" i="86"/>
  <c r="H188" i="86"/>
  <c r="H184" i="86"/>
  <c r="H116" i="86"/>
  <c r="H233" i="86"/>
  <c r="H267" i="86" s="1"/>
  <c r="H219" i="86"/>
  <c r="H253" i="86" s="1"/>
  <c r="H236" i="86"/>
  <c r="H270" i="86" s="1"/>
  <c r="H186" i="86"/>
  <c r="H118" i="86"/>
  <c r="H152" i="86"/>
  <c r="H216" i="86"/>
  <c r="H250" i="86" s="1"/>
  <c r="H69" i="86"/>
  <c r="H70" i="86" s="1"/>
  <c r="G367" i="86"/>
  <c r="H237" i="86"/>
  <c r="H271" i="86" s="1"/>
  <c r="E104" i="186"/>
  <c r="E15" i="205" s="1"/>
  <c r="E105" i="186"/>
  <c r="E15" i="207" s="1"/>
  <c r="E103" i="186"/>
  <c r="H112" i="86"/>
  <c r="G89" i="102"/>
  <c r="G67" i="102"/>
  <c r="G35" i="102"/>
  <c r="G33" i="95"/>
  <c r="G58" i="95" s="1"/>
  <c r="H221" i="86"/>
  <c r="H255" i="86" s="1"/>
  <c r="H234" i="86"/>
  <c r="H268" i="86" s="1"/>
  <c r="H183" i="86"/>
  <c r="H115" i="86"/>
  <c r="H149" i="86"/>
  <c r="G351" i="86"/>
  <c r="H53" i="86"/>
  <c r="G368" i="86"/>
  <c r="G370" i="86" s="1"/>
  <c r="H93" i="86"/>
  <c r="H94" i="86"/>
  <c r="H179" i="86"/>
  <c r="H111" i="86"/>
  <c r="H145" i="86"/>
  <c r="L564" i="217" l="1"/>
  <c r="E36" i="205"/>
  <c r="H281" i="151"/>
  <c r="H33" i="133" s="1"/>
  <c r="H214" i="138"/>
  <c r="H248" i="138" s="1"/>
  <c r="H214" i="135"/>
  <c r="H248" i="135" s="1"/>
  <c r="E156" i="197"/>
  <c r="H155" i="134"/>
  <c r="H156" i="134" s="1"/>
  <c r="H156" i="147"/>
  <c r="H87" i="86"/>
  <c r="H88" i="86" s="1"/>
  <c r="H230" i="142"/>
  <c r="H264" i="142" s="1"/>
  <c r="H220" i="141"/>
  <c r="H254" i="141" s="1"/>
  <c r="H171" i="134"/>
  <c r="H172" i="134" s="1"/>
  <c r="H54" i="149"/>
  <c r="H137" i="138"/>
  <c r="H138" i="138" s="1"/>
  <c r="H137" i="134"/>
  <c r="H138" i="134" s="1"/>
  <c r="G367" i="148"/>
  <c r="H70" i="141"/>
  <c r="H235" i="145"/>
  <c r="H269" i="145" s="1"/>
  <c r="G367" i="145"/>
  <c r="H221" i="148"/>
  <c r="H255" i="148" s="1"/>
  <c r="H280" i="136"/>
  <c r="H18" i="131" s="1"/>
  <c r="H155" i="142"/>
  <c r="H222" i="141"/>
  <c r="H256" i="141" s="1"/>
  <c r="H233" i="141"/>
  <c r="H267" i="141" s="1"/>
  <c r="H137" i="150"/>
  <c r="H138" i="150" s="1"/>
  <c r="H221" i="141"/>
  <c r="H255" i="141" s="1"/>
  <c r="H230" i="134"/>
  <c r="H264" i="134" s="1"/>
  <c r="H280" i="134"/>
  <c r="H16" i="131" s="1"/>
  <c r="E154" i="196"/>
  <c r="H190" i="151"/>
  <c r="H155" i="150"/>
  <c r="H233" i="148"/>
  <c r="H267" i="148" s="1"/>
  <c r="H54" i="139"/>
  <c r="H222" i="145"/>
  <c r="H256" i="145" s="1"/>
  <c r="H70" i="148"/>
  <c r="H232" i="148"/>
  <c r="H266" i="148" s="1"/>
  <c r="H215" i="145"/>
  <c r="H249" i="145" s="1"/>
  <c r="H189" i="136"/>
  <c r="H190" i="136" s="1"/>
  <c r="E155" i="196"/>
  <c r="E25" i="207"/>
  <c r="E36" i="207" s="1"/>
  <c r="E158" i="196"/>
  <c r="H128" i="137"/>
  <c r="H162" i="137"/>
  <c r="H196" i="137"/>
  <c r="H230" i="137" s="1"/>
  <c r="H264" i="137" s="1"/>
  <c r="H171" i="142"/>
  <c r="H180" i="149"/>
  <c r="H112" i="149"/>
  <c r="H146" i="149"/>
  <c r="H127" i="162"/>
  <c r="H161" i="162"/>
  <c r="H195" i="162"/>
  <c r="H103" i="162"/>
  <c r="H104" i="162" s="1"/>
  <c r="H218" i="145"/>
  <c r="H252" i="145" s="1"/>
  <c r="E114" i="188"/>
  <c r="E116" i="188" s="1"/>
  <c r="E118" i="188" s="1"/>
  <c r="E117" i="188"/>
  <c r="H137" i="144"/>
  <c r="H138" i="144" s="1"/>
  <c r="H122" i="147"/>
  <c r="H229" i="135"/>
  <c r="H205" i="135"/>
  <c r="H206" i="135" s="1"/>
  <c r="H235" i="141"/>
  <c r="H269" i="141" s="1"/>
  <c r="H213" i="146"/>
  <c r="H121" i="146"/>
  <c r="H122" i="146" s="1"/>
  <c r="E27" i="206"/>
  <c r="F86" i="208" s="1"/>
  <c r="E106" i="198"/>
  <c r="E111" i="198" s="1"/>
  <c r="H195" i="149"/>
  <c r="H127" i="149"/>
  <c r="H161" i="149"/>
  <c r="H103" i="149"/>
  <c r="H104" i="149" s="1"/>
  <c r="H111" i="143"/>
  <c r="H145" i="143"/>
  <c r="H179" i="143"/>
  <c r="H87" i="143"/>
  <c r="H88" i="143" s="1"/>
  <c r="H155" i="144"/>
  <c r="H103" i="139"/>
  <c r="H104" i="139" s="1"/>
  <c r="H195" i="139"/>
  <c r="H127" i="139"/>
  <c r="H161" i="139"/>
  <c r="H230" i="138"/>
  <c r="H264" i="138" s="1"/>
  <c r="H155" i="138"/>
  <c r="H280" i="138" s="1"/>
  <c r="H20" i="131" s="1"/>
  <c r="H93" i="148"/>
  <c r="H94" i="148"/>
  <c r="H155" i="135"/>
  <c r="H219" i="148"/>
  <c r="H253" i="148" s="1"/>
  <c r="E117" i="194"/>
  <c r="E114" i="194"/>
  <c r="E116" i="194" s="1"/>
  <c r="E118" i="194" s="1"/>
  <c r="H205" i="146"/>
  <c r="H206" i="146" s="1"/>
  <c r="H229" i="146"/>
  <c r="H214" i="134"/>
  <c r="H248" i="134" s="1"/>
  <c r="H53" i="145"/>
  <c r="H290" i="145" s="1"/>
  <c r="G368" i="145"/>
  <c r="G370" i="145" s="1"/>
  <c r="E112" i="185"/>
  <c r="E113" i="185"/>
  <c r="E115" i="185" s="1"/>
  <c r="H216" i="140"/>
  <c r="H250" i="140" s="1"/>
  <c r="E112" i="192"/>
  <c r="E113" i="192"/>
  <c r="E115" i="192" s="1"/>
  <c r="H213" i="144"/>
  <c r="E29" i="209"/>
  <c r="E261" i="209" s="1"/>
  <c r="E30" i="210" s="1"/>
  <c r="E69" i="211" s="1"/>
  <c r="F87" i="208"/>
  <c r="E114" i="187"/>
  <c r="E116" i="187" s="1"/>
  <c r="E118" i="187" s="1"/>
  <c r="E117" i="187"/>
  <c r="H229" i="150"/>
  <c r="H179" i="162"/>
  <c r="H145" i="162"/>
  <c r="H111" i="162"/>
  <c r="H172" i="142"/>
  <c r="H156" i="142"/>
  <c r="H280" i="142"/>
  <c r="H23" i="131" s="1"/>
  <c r="E150" i="196"/>
  <c r="E111" i="196"/>
  <c r="E114" i="191"/>
  <c r="E116" i="191" s="1"/>
  <c r="E118" i="191" s="1"/>
  <c r="E117" i="191"/>
  <c r="E113" i="202"/>
  <c r="E115" i="202" s="1"/>
  <c r="E112" i="202"/>
  <c r="H230" i="135"/>
  <c r="H264" i="135" s="1"/>
  <c r="H229" i="144"/>
  <c r="H205" i="144"/>
  <c r="H206" i="144" s="1"/>
  <c r="E269" i="211"/>
  <c r="K80" i="218" s="1"/>
  <c r="E244" i="211"/>
  <c r="H215" i="148"/>
  <c r="H249" i="148" s="1"/>
  <c r="H220" i="140"/>
  <c r="H254" i="140" s="1"/>
  <c r="H103" i="137"/>
  <c r="H104" i="137" s="1"/>
  <c r="H195" i="137"/>
  <c r="H127" i="137"/>
  <c r="H137" i="137" s="1"/>
  <c r="H138" i="137" s="1"/>
  <c r="H161" i="137"/>
  <c r="H171" i="137" s="1"/>
  <c r="H172" i="137" s="1"/>
  <c r="H137" i="142"/>
  <c r="H138" i="142" s="1"/>
  <c r="H281" i="147"/>
  <c r="H29" i="133" s="1"/>
  <c r="H162" i="143"/>
  <c r="H196" i="143"/>
  <c r="H128" i="143"/>
  <c r="E261" i="211"/>
  <c r="K72" i="218" s="1"/>
  <c r="E236" i="211"/>
  <c r="H230" i="144"/>
  <c r="H264" i="144" s="1"/>
  <c r="H223" i="147"/>
  <c r="H224" i="147" s="1"/>
  <c r="H247" i="147"/>
  <c r="H257" i="147" s="1"/>
  <c r="H258" i="147" s="1"/>
  <c r="H137" i="135"/>
  <c r="H138" i="135" s="1"/>
  <c r="H189" i="146"/>
  <c r="H281" i="146" s="1"/>
  <c r="H28" i="133" s="1"/>
  <c r="H180" i="139"/>
  <c r="H112" i="139"/>
  <c r="H146" i="139"/>
  <c r="E113" i="197"/>
  <c r="E115" i="197" s="1"/>
  <c r="E112" i="197"/>
  <c r="E117" i="189"/>
  <c r="E114" i="189"/>
  <c r="E116" i="189" s="1"/>
  <c r="E118" i="189" s="1"/>
  <c r="H162" i="139"/>
  <c r="H196" i="139"/>
  <c r="H128" i="139"/>
  <c r="E253" i="211"/>
  <c r="K64" i="218" s="1"/>
  <c r="E228" i="211"/>
  <c r="E112" i="199"/>
  <c r="E113" i="199"/>
  <c r="E115" i="199" s="1"/>
  <c r="H121" i="135"/>
  <c r="H213" i="135"/>
  <c r="H221" i="145"/>
  <c r="H255" i="145" s="1"/>
  <c r="H156" i="151"/>
  <c r="E117" i="203"/>
  <c r="E114" i="203"/>
  <c r="E116" i="203" s="1"/>
  <c r="E118" i="203" s="1"/>
  <c r="H171" i="146"/>
  <c r="H172" i="146" s="1"/>
  <c r="G367" i="141"/>
  <c r="H156" i="150"/>
  <c r="H232" i="145"/>
  <c r="H266" i="145" s="1"/>
  <c r="M444" i="217"/>
  <c r="M479" i="217" s="1"/>
  <c r="E35" i="206"/>
  <c r="H214" i="136"/>
  <c r="H248" i="136" s="1"/>
  <c r="H190" i="142"/>
  <c r="H179" i="137"/>
  <c r="H111" i="137"/>
  <c r="H87" i="137"/>
  <c r="H88" i="137" s="1"/>
  <c r="H145" i="137"/>
  <c r="H214" i="146"/>
  <c r="H248" i="146" s="1"/>
  <c r="H216" i="145"/>
  <c r="H250" i="145" s="1"/>
  <c r="H230" i="146"/>
  <c r="H264" i="146" s="1"/>
  <c r="H239" i="147"/>
  <c r="H240" i="147" s="1"/>
  <c r="H263" i="147"/>
  <c r="H273" i="147" s="1"/>
  <c r="H274" i="147" s="1"/>
  <c r="H77" i="141"/>
  <c r="H78" i="141"/>
  <c r="H237" i="145"/>
  <c r="H271" i="145" s="1"/>
  <c r="E106" i="201"/>
  <c r="E111" i="201" s="1"/>
  <c r="E30" i="206"/>
  <c r="F89" i="208" s="1"/>
  <c r="H290" i="140"/>
  <c r="H54" i="140"/>
  <c r="H205" i="150"/>
  <c r="H206" i="150" s="1"/>
  <c r="H230" i="150"/>
  <c r="H264" i="150" s="1"/>
  <c r="E113" i="190"/>
  <c r="E115" i="190" s="1"/>
  <c r="E112" i="190"/>
  <c r="H231" i="145"/>
  <c r="H265" i="145" s="1"/>
  <c r="H237" i="148"/>
  <c r="H271" i="148" s="1"/>
  <c r="H214" i="150"/>
  <c r="H248" i="150" s="1"/>
  <c r="H179" i="149"/>
  <c r="H111" i="149"/>
  <c r="H87" i="149"/>
  <c r="H88" i="149" s="1"/>
  <c r="H145" i="149"/>
  <c r="H161" i="143"/>
  <c r="H127" i="143"/>
  <c r="H195" i="143"/>
  <c r="H103" i="143"/>
  <c r="H104" i="143" s="1"/>
  <c r="E22" i="206"/>
  <c r="F81" i="208" s="1"/>
  <c r="E106" i="193"/>
  <c r="E111" i="193" s="1"/>
  <c r="H171" i="144"/>
  <c r="H172" i="144" s="1"/>
  <c r="H171" i="135"/>
  <c r="H172" i="135" s="1"/>
  <c r="H155" i="146"/>
  <c r="E241" i="211"/>
  <c r="E266" i="211"/>
  <c r="K77" i="218" s="1"/>
  <c r="H77" i="148"/>
  <c r="H78" i="148"/>
  <c r="H111" i="139"/>
  <c r="H145" i="139"/>
  <c r="H155" i="139" s="1"/>
  <c r="H87" i="139"/>
  <c r="H88" i="139" s="1"/>
  <c r="H179" i="139"/>
  <c r="H122" i="151"/>
  <c r="H218" i="141"/>
  <c r="H252" i="141" s="1"/>
  <c r="H112" i="140"/>
  <c r="H214" i="140" s="1"/>
  <c r="H248" i="140" s="1"/>
  <c r="H180" i="140"/>
  <c r="H146" i="140"/>
  <c r="H146" i="143"/>
  <c r="H155" i="143" s="1"/>
  <c r="H180" i="143"/>
  <c r="H112" i="143"/>
  <c r="H189" i="144"/>
  <c r="H196" i="140"/>
  <c r="H230" i="140" s="1"/>
  <c r="H264" i="140" s="1"/>
  <c r="H128" i="140"/>
  <c r="H162" i="140"/>
  <c r="H214" i="142"/>
  <c r="H248" i="142" s="1"/>
  <c r="M477" i="217"/>
  <c r="M473" i="217"/>
  <c r="H189" i="138"/>
  <c r="H217" i="141"/>
  <c r="H251" i="141" s="1"/>
  <c r="H93" i="145"/>
  <c r="H94" i="145"/>
  <c r="H137" i="146"/>
  <c r="H138" i="146" s="1"/>
  <c r="H213" i="150"/>
  <c r="H121" i="150"/>
  <c r="H282" i="150" s="1"/>
  <c r="H32" i="132" s="1"/>
  <c r="G351" i="145"/>
  <c r="H87" i="162"/>
  <c r="H88" i="162" s="1"/>
  <c r="H180" i="162"/>
  <c r="H189" i="162" s="1"/>
  <c r="H112" i="162"/>
  <c r="H146" i="162"/>
  <c r="H229" i="142"/>
  <c r="H205" i="142"/>
  <c r="H206" i="142" s="1"/>
  <c r="H156" i="144"/>
  <c r="H121" i="142"/>
  <c r="H282" i="142" s="1"/>
  <c r="H23" i="132" s="1"/>
  <c r="H213" i="142"/>
  <c r="H122" i="142"/>
  <c r="H112" i="137"/>
  <c r="H146" i="137"/>
  <c r="H180" i="137"/>
  <c r="H53" i="141"/>
  <c r="H290" i="141" s="1"/>
  <c r="G368" i="141"/>
  <c r="G370" i="141" s="1"/>
  <c r="H171" i="150"/>
  <c r="H172" i="150" s="1"/>
  <c r="H196" i="162"/>
  <c r="H162" i="162"/>
  <c r="H128" i="162"/>
  <c r="H239" i="151"/>
  <c r="H240" i="151" s="1"/>
  <c r="H263" i="151"/>
  <c r="H273" i="151" s="1"/>
  <c r="H274" i="151" s="1"/>
  <c r="H205" i="138"/>
  <c r="H206" i="138" s="1"/>
  <c r="H229" i="138"/>
  <c r="H234" i="145"/>
  <c r="H268" i="145" s="1"/>
  <c r="G368" i="148"/>
  <c r="G370" i="148" s="1"/>
  <c r="H53" i="148"/>
  <c r="H290" i="148" s="1"/>
  <c r="H229" i="134"/>
  <c r="H205" i="134"/>
  <c r="E112" i="195"/>
  <c r="E113" i="195"/>
  <c r="E115" i="195" s="1"/>
  <c r="H223" i="151"/>
  <c r="H247" i="151"/>
  <c r="H257" i="151" s="1"/>
  <c r="H258" i="151" s="1"/>
  <c r="H196" i="149"/>
  <c r="H128" i="149"/>
  <c r="H162" i="149"/>
  <c r="H145" i="140"/>
  <c r="H155" i="140" s="1"/>
  <c r="H179" i="140"/>
  <c r="H189" i="140" s="1"/>
  <c r="H111" i="140"/>
  <c r="H87" i="140"/>
  <c r="H88" i="140" s="1"/>
  <c r="H54" i="143"/>
  <c r="H229" i="136"/>
  <c r="H205" i="136"/>
  <c r="H213" i="134"/>
  <c r="H121" i="134"/>
  <c r="H121" i="144"/>
  <c r="H214" i="144"/>
  <c r="H248" i="144" s="1"/>
  <c r="H195" i="140"/>
  <c r="H103" i="140"/>
  <c r="H104" i="140" s="1"/>
  <c r="H161" i="140"/>
  <c r="H171" i="140" s="1"/>
  <c r="H172" i="140" s="1"/>
  <c r="H127" i="140"/>
  <c r="H137" i="140" s="1"/>
  <c r="H138" i="140" s="1"/>
  <c r="H236" i="148"/>
  <c r="H270" i="148" s="1"/>
  <c r="H213" i="136"/>
  <c r="H121" i="136"/>
  <c r="H121" i="138"/>
  <c r="H213" i="138"/>
  <c r="H189" i="135"/>
  <c r="H281" i="135" s="1"/>
  <c r="H17" i="133" s="1"/>
  <c r="H70" i="145"/>
  <c r="H230" i="136"/>
  <c r="H264" i="136" s="1"/>
  <c r="H93" i="141"/>
  <c r="H94" i="141"/>
  <c r="H189" i="150"/>
  <c r="H281" i="150" s="1"/>
  <c r="H32" i="133" s="1"/>
  <c r="H77" i="145"/>
  <c r="H54" i="145"/>
  <c r="H78" i="145"/>
  <c r="E27" i="209"/>
  <c r="E259" i="209" s="1"/>
  <c r="E28" i="210" s="1"/>
  <c r="E67" i="211" s="1"/>
  <c r="F85" i="208"/>
  <c r="H180" i="86"/>
  <c r="H189" i="86" s="1"/>
  <c r="H190" i="86" s="1"/>
  <c r="H218" i="86"/>
  <c r="H252" i="86" s="1"/>
  <c r="H222" i="86"/>
  <c r="H256" i="86" s="1"/>
  <c r="H155" i="86"/>
  <c r="H156" i="86" s="1"/>
  <c r="M584" i="217"/>
  <c r="H162" i="86"/>
  <c r="H196" i="86"/>
  <c r="H128" i="86"/>
  <c r="H54" i="86"/>
  <c r="H290" i="86"/>
  <c r="M583" i="217"/>
  <c r="M530" i="217"/>
  <c r="M586" i="217"/>
  <c r="M585" i="217"/>
  <c r="H213" i="86"/>
  <c r="H121" i="86"/>
  <c r="H161" i="86"/>
  <c r="H195" i="86"/>
  <c r="H127" i="86"/>
  <c r="H103" i="86"/>
  <c r="H104" i="86" s="1"/>
  <c r="H217" i="86"/>
  <c r="H251" i="86" s="1"/>
  <c r="M330" i="217"/>
  <c r="G108" i="102"/>
  <c r="G68" i="102"/>
  <c r="G38" i="102"/>
  <c r="G52" i="95"/>
  <c r="E15" i="206"/>
  <c r="E106" i="186"/>
  <c r="E111" i="186" s="1"/>
  <c r="E16" i="209"/>
  <c r="E248" i="209" s="1"/>
  <c r="H220" i="86"/>
  <c r="H254" i="86" s="1"/>
  <c r="M417" i="217"/>
  <c r="E37" i="205"/>
  <c r="H281" i="144" l="1"/>
  <c r="H26" i="133" s="1"/>
  <c r="H214" i="86"/>
  <c r="H248" i="86" s="1"/>
  <c r="H190" i="146"/>
  <c r="H282" i="144"/>
  <c r="H26" i="132" s="1"/>
  <c r="H230" i="149"/>
  <c r="H264" i="149" s="1"/>
  <c r="H189" i="139"/>
  <c r="H280" i="146"/>
  <c r="H28" i="131" s="1"/>
  <c r="E36" i="206"/>
  <c r="M446" i="217" s="1"/>
  <c r="M483" i="217" s="1"/>
  <c r="H190" i="135"/>
  <c r="H155" i="162"/>
  <c r="H189" i="143"/>
  <c r="H190" i="143" s="1"/>
  <c r="H190" i="150"/>
  <c r="H214" i="139"/>
  <c r="H248" i="139" s="1"/>
  <c r="E265" i="211"/>
  <c r="K76" i="218" s="1"/>
  <c r="E240" i="211"/>
  <c r="H223" i="138"/>
  <c r="H247" i="138"/>
  <c r="H257" i="138" s="1"/>
  <c r="H258" i="138" s="1"/>
  <c r="H282" i="134"/>
  <c r="H16" i="132" s="1"/>
  <c r="H122" i="134"/>
  <c r="E114" i="195"/>
  <c r="E116" i="195" s="1"/>
  <c r="E118" i="195" s="1"/>
  <c r="E117" i="195"/>
  <c r="H223" i="142"/>
  <c r="H224" i="142" s="1"/>
  <c r="H247" i="142"/>
  <c r="H257" i="142" s="1"/>
  <c r="H258" i="142" s="1"/>
  <c r="H195" i="145"/>
  <c r="H127" i="145"/>
  <c r="H161" i="145"/>
  <c r="H190" i="139"/>
  <c r="H146" i="148"/>
  <c r="H112" i="148"/>
  <c r="H180" i="148"/>
  <c r="E117" i="190"/>
  <c r="E114" i="190"/>
  <c r="E116" i="190" s="1"/>
  <c r="E118" i="190" s="1"/>
  <c r="H189" i="137"/>
  <c r="H190" i="137" s="1"/>
  <c r="H205" i="143"/>
  <c r="H206" i="143" s="1"/>
  <c r="H230" i="143"/>
  <c r="H264" i="143" s="1"/>
  <c r="E117" i="202"/>
  <c r="E114" i="202"/>
  <c r="E116" i="202" s="1"/>
  <c r="E118" i="202" s="1"/>
  <c r="E112" i="196"/>
  <c r="E113" i="196"/>
  <c r="E115" i="196" s="1"/>
  <c r="H190" i="144"/>
  <c r="H156" i="162"/>
  <c r="H223" i="144"/>
  <c r="H247" i="144"/>
  <c r="H257" i="144" s="1"/>
  <c r="H258" i="144" s="1"/>
  <c r="H161" i="148"/>
  <c r="H195" i="148"/>
  <c r="H127" i="148"/>
  <c r="H171" i="139"/>
  <c r="H172" i="139" s="1"/>
  <c r="H280" i="144"/>
  <c r="H26" i="131" s="1"/>
  <c r="H156" i="143"/>
  <c r="H171" i="149"/>
  <c r="H172" i="149" s="1"/>
  <c r="H137" i="162"/>
  <c r="H138" i="162" s="1"/>
  <c r="H146" i="145"/>
  <c r="H112" i="145"/>
  <c r="H180" i="145"/>
  <c r="H282" i="138"/>
  <c r="H20" i="132" s="1"/>
  <c r="H122" i="138"/>
  <c r="H205" i="140"/>
  <c r="H206" i="140" s="1"/>
  <c r="H229" i="140"/>
  <c r="H247" i="134"/>
  <c r="H257" i="134" s="1"/>
  <c r="H258" i="134" s="1"/>
  <c r="H223" i="134"/>
  <c r="H280" i="140"/>
  <c r="H14" i="131" s="1"/>
  <c r="N152" i="217" s="1"/>
  <c r="N181" i="217" s="1"/>
  <c r="H156" i="140"/>
  <c r="H206" i="134"/>
  <c r="H281" i="134"/>
  <c r="H16" i="133" s="1"/>
  <c r="H239" i="142"/>
  <c r="H240" i="142" s="1"/>
  <c r="H263" i="142"/>
  <c r="H273" i="142" s="1"/>
  <c r="H274" i="142" s="1"/>
  <c r="H223" i="150"/>
  <c r="H247" i="150"/>
  <c r="H257" i="150" s="1"/>
  <c r="H258" i="150" s="1"/>
  <c r="H54" i="148"/>
  <c r="H156" i="146"/>
  <c r="E113" i="193"/>
  <c r="E115" i="193" s="1"/>
  <c r="E112" i="193"/>
  <c r="H229" i="143"/>
  <c r="H146" i="141"/>
  <c r="H112" i="141"/>
  <c r="H180" i="141"/>
  <c r="H155" i="137"/>
  <c r="H281" i="142"/>
  <c r="H23" i="133" s="1"/>
  <c r="E114" i="199"/>
  <c r="E116" i="199" s="1"/>
  <c r="E118" i="199" s="1"/>
  <c r="E117" i="199"/>
  <c r="H230" i="139"/>
  <c r="H264" i="139" s="1"/>
  <c r="E117" i="197"/>
  <c r="E114" i="197"/>
  <c r="E116" i="197" s="1"/>
  <c r="E118" i="197" s="1"/>
  <c r="H171" i="143"/>
  <c r="H172" i="143" s="1"/>
  <c r="H190" i="162"/>
  <c r="E117" i="185"/>
  <c r="E114" i="185"/>
  <c r="E116" i="185" s="1"/>
  <c r="E118" i="185" s="1"/>
  <c r="H239" i="146"/>
  <c r="H240" i="146" s="1"/>
  <c r="H263" i="146"/>
  <c r="H273" i="146" s="1"/>
  <c r="H274" i="146" s="1"/>
  <c r="H137" i="139"/>
  <c r="H138" i="139" s="1"/>
  <c r="H213" i="143"/>
  <c r="H121" i="143"/>
  <c r="H137" i="149"/>
  <c r="H138" i="149" s="1"/>
  <c r="H155" i="149"/>
  <c r="H280" i="149" s="1"/>
  <c r="H31" i="131" s="1"/>
  <c r="E26" i="209"/>
  <c r="E258" i="209" s="1"/>
  <c r="E27" i="210" s="1"/>
  <c r="E66" i="211" s="1"/>
  <c r="F84" i="208"/>
  <c r="H103" i="141"/>
  <c r="H104" i="141" s="1"/>
  <c r="H196" i="141"/>
  <c r="H128" i="141"/>
  <c r="H162" i="141"/>
  <c r="H282" i="136"/>
  <c r="H18" i="132" s="1"/>
  <c r="H122" i="136"/>
  <c r="H206" i="136"/>
  <c r="H281" i="136"/>
  <c r="H18" i="133" s="1"/>
  <c r="H213" i="140"/>
  <c r="H121" i="140"/>
  <c r="H224" i="151"/>
  <c r="H279" i="151"/>
  <c r="H239" i="134"/>
  <c r="H240" i="134" s="1"/>
  <c r="H263" i="134"/>
  <c r="H273" i="134" s="1"/>
  <c r="H274" i="134" s="1"/>
  <c r="H239" i="138"/>
  <c r="H240" i="138" s="1"/>
  <c r="H263" i="138"/>
  <c r="H273" i="138" s="1"/>
  <c r="H274" i="138" s="1"/>
  <c r="H230" i="162"/>
  <c r="H264" i="162" s="1"/>
  <c r="H214" i="137"/>
  <c r="H248" i="137" s="1"/>
  <c r="H190" i="138"/>
  <c r="H281" i="138"/>
  <c r="H20" i="133" s="1"/>
  <c r="H156" i="139"/>
  <c r="H280" i="139"/>
  <c r="H21" i="131" s="1"/>
  <c r="H87" i="148"/>
  <c r="H88" i="148" s="1"/>
  <c r="H179" i="148"/>
  <c r="H111" i="148"/>
  <c r="H145" i="148"/>
  <c r="H54" i="141"/>
  <c r="H223" i="135"/>
  <c r="H247" i="135"/>
  <c r="H257" i="135" s="1"/>
  <c r="H258" i="135" s="1"/>
  <c r="H239" i="144"/>
  <c r="H240" i="144" s="1"/>
  <c r="H263" i="144"/>
  <c r="H273" i="144" s="1"/>
  <c r="H274" i="144" s="1"/>
  <c r="H239" i="150"/>
  <c r="H240" i="150" s="1"/>
  <c r="H263" i="150"/>
  <c r="H273" i="150" s="1"/>
  <c r="H274" i="150" s="1"/>
  <c r="E267" i="211"/>
  <c r="K78" i="218" s="1"/>
  <c r="E242" i="211"/>
  <c r="E117" i="192"/>
  <c r="E114" i="192"/>
  <c r="E116" i="192" s="1"/>
  <c r="E118" i="192" s="1"/>
  <c r="H156" i="135"/>
  <c r="H280" i="135"/>
  <c r="H17" i="131" s="1"/>
  <c r="H156" i="138"/>
  <c r="H205" i="139"/>
  <c r="H206" i="139" s="1"/>
  <c r="H229" i="139"/>
  <c r="H229" i="149"/>
  <c r="H205" i="149"/>
  <c r="H206" i="149" s="1"/>
  <c r="H282" i="146"/>
  <c r="H28" i="132" s="1"/>
  <c r="H263" i="135"/>
  <c r="H273" i="135" s="1"/>
  <c r="H274" i="135" s="1"/>
  <c r="H239" i="135"/>
  <c r="H240" i="135" s="1"/>
  <c r="H229" i="162"/>
  <c r="H205" i="162"/>
  <c r="H206" i="162" s="1"/>
  <c r="H121" i="149"/>
  <c r="H282" i="149" s="1"/>
  <c r="H31" i="132" s="1"/>
  <c r="H214" i="149"/>
  <c r="H248" i="149" s="1"/>
  <c r="E156" i="196"/>
  <c r="H87" i="145"/>
  <c r="H88" i="145" s="1"/>
  <c r="H145" i="145"/>
  <c r="H111" i="145"/>
  <c r="H179" i="145"/>
  <c r="H195" i="141"/>
  <c r="H127" i="141"/>
  <c r="H161" i="141"/>
  <c r="H247" i="136"/>
  <c r="H257" i="136" s="1"/>
  <c r="H258" i="136" s="1"/>
  <c r="H223" i="136"/>
  <c r="H239" i="136"/>
  <c r="H240" i="136" s="1"/>
  <c r="H263" i="136"/>
  <c r="H273" i="136" s="1"/>
  <c r="H274" i="136" s="1"/>
  <c r="H281" i="140"/>
  <c r="H14" i="133" s="1"/>
  <c r="N211" i="217" s="1"/>
  <c r="H190" i="140"/>
  <c r="H121" i="162"/>
  <c r="H214" i="162"/>
  <c r="H248" i="162" s="1"/>
  <c r="H122" i="150"/>
  <c r="H103" i="145"/>
  <c r="H104" i="145" s="1"/>
  <c r="H162" i="145"/>
  <c r="H196" i="145"/>
  <c r="H128" i="145"/>
  <c r="H137" i="145" s="1"/>
  <c r="H138" i="145" s="1"/>
  <c r="H214" i="143"/>
  <c r="H248" i="143" s="1"/>
  <c r="H213" i="139"/>
  <c r="H121" i="139"/>
  <c r="H282" i="139" s="1"/>
  <c r="H21" i="132" s="1"/>
  <c r="H213" i="149"/>
  <c r="E113" i="201"/>
  <c r="E115" i="201" s="1"/>
  <c r="E112" i="201"/>
  <c r="H179" i="141"/>
  <c r="H87" i="141"/>
  <c r="H88" i="141" s="1"/>
  <c r="H111" i="141"/>
  <c r="H145" i="141"/>
  <c r="H121" i="137"/>
  <c r="H282" i="137" s="1"/>
  <c r="H19" i="132" s="1"/>
  <c r="H213" i="137"/>
  <c r="H282" i="135"/>
  <c r="H17" i="132" s="1"/>
  <c r="H122" i="135"/>
  <c r="H279" i="147"/>
  <c r="H137" i="143"/>
  <c r="H138" i="143" s="1"/>
  <c r="H280" i="150"/>
  <c r="H32" i="131" s="1"/>
  <c r="H205" i="137"/>
  <c r="H206" i="137" s="1"/>
  <c r="H229" i="137"/>
  <c r="H213" i="162"/>
  <c r="H122" i="162"/>
  <c r="H122" i="144"/>
  <c r="H103" i="148"/>
  <c r="H104" i="148" s="1"/>
  <c r="H162" i="148"/>
  <c r="H171" i="148" s="1"/>
  <c r="H172" i="148" s="1"/>
  <c r="H128" i="148"/>
  <c r="H137" i="148" s="1"/>
  <c r="H138" i="148" s="1"/>
  <c r="H196" i="148"/>
  <c r="E112" i="198"/>
  <c r="E113" i="198"/>
  <c r="E115" i="198" s="1"/>
  <c r="H223" i="146"/>
  <c r="H224" i="146" s="1"/>
  <c r="H247" i="146"/>
  <c r="H257" i="146" s="1"/>
  <c r="H258" i="146" s="1"/>
  <c r="H171" i="162"/>
  <c r="H172" i="162" s="1"/>
  <c r="H189" i="149"/>
  <c r="H281" i="149" s="1"/>
  <c r="H31" i="133" s="1"/>
  <c r="H137" i="86"/>
  <c r="H138" i="86" s="1"/>
  <c r="H171" i="86"/>
  <c r="H172" i="86" s="1"/>
  <c r="F74" i="208"/>
  <c r="E17" i="210"/>
  <c r="E56" i="211" s="1"/>
  <c r="E112" i="186"/>
  <c r="E113" i="186"/>
  <c r="E115" i="186" s="1"/>
  <c r="AF35" i="95"/>
  <c r="G77" i="95"/>
  <c r="M622" i="217"/>
  <c r="M626" i="217" s="1"/>
  <c r="M359" i="217"/>
  <c r="H122" i="86"/>
  <c r="M588" i="217"/>
  <c r="M388" i="217"/>
  <c r="E37" i="207"/>
  <c r="E37" i="206"/>
  <c r="H223" i="86"/>
  <c r="H247" i="86"/>
  <c r="H257" i="86" s="1"/>
  <c r="H258" i="86" s="1"/>
  <c r="H229" i="86"/>
  <c r="H205" i="86"/>
  <c r="H230" i="86"/>
  <c r="H264" i="86" s="1"/>
  <c r="H171" i="141" l="1"/>
  <c r="H172" i="141" s="1"/>
  <c r="H280" i="162"/>
  <c r="H24" i="131" s="1"/>
  <c r="H137" i="141"/>
  <c r="H138" i="141" s="1"/>
  <c r="H122" i="137"/>
  <c r="H279" i="150"/>
  <c r="H189" i="141"/>
  <c r="H156" i="149"/>
  <c r="H223" i="137"/>
  <c r="H224" i="137" s="1"/>
  <c r="H247" i="137"/>
  <c r="H257" i="137" s="1"/>
  <c r="H258" i="137" s="1"/>
  <c r="H205" i="145"/>
  <c r="H206" i="145" s="1"/>
  <c r="H230" i="145"/>
  <c r="H264" i="145" s="1"/>
  <c r="E239" i="211"/>
  <c r="E264" i="211"/>
  <c r="K75" i="218" s="1"/>
  <c r="H282" i="143"/>
  <c r="H25" i="132" s="1"/>
  <c r="H239" i="143"/>
  <c r="H240" i="143" s="1"/>
  <c r="H263" i="143"/>
  <c r="H273" i="143" s="1"/>
  <c r="H274" i="143" s="1"/>
  <c r="H283" i="150"/>
  <c r="H294" i="150"/>
  <c r="H32" i="130"/>
  <c r="H155" i="148"/>
  <c r="H280" i="148" s="1"/>
  <c r="H30" i="131" s="1"/>
  <c r="H281" i="162"/>
  <c r="H24" i="133" s="1"/>
  <c r="H294" i="147"/>
  <c r="H29" i="130"/>
  <c r="H283" i="147"/>
  <c r="H282" i="86"/>
  <c r="H15" i="132" s="1"/>
  <c r="H279" i="146"/>
  <c r="H205" i="148"/>
  <c r="H206" i="148" s="1"/>
  <c r="H230" i="148"/>
  <c r="H264" i="148" s="1"/>
  <c r="H122" i="149"/>
  <c r="H223" i="139"/>
  <c r="H247" i="139"/>
  <c r="H257" i="139" s="1"/>
  <c r="H258" i="139" s="1"/>
  <c r="H224" i="139"/>
  <c r="H282" i="162"/>
  <c r="H24" i="132" s="1"/>
  <c r="H189" i="145"/>
  <c r="H281" i="145" s="1"/>
  <c r="H27" i="133" s="1"/>
  <c r="H190" i="145"/>
  <c r="H239" i="162"/>
  <c r="H240" i="162" s="1"/>
  <c r="H263" i="162"/>
  <c r="H273" i="162" s="1"/>
  <c r="H274" i="162" s="1"/>
  <c r="H279" i="135"/>
  <c r="H224" i="135"/>
  <c r="H213" i="148"/>
  <c r="H282" i="140"/>
  <c r="H122" i="140"/>
  <c r="H230" i="141"/>
  <c r="H264" i="141" s="1"/>
  <c r="H223" i="143"/>
  <c r="H247" i="143"/>
  <c r="H257" i="143" s="1"/>
  <c r="H258" i="143" s="1"/>
  <c r="H214" i="141"/>
  <c r="H248" i="141" s="1"/>
  <c r="E114" i="193"/>
  <c r="E116" i="193" s="1"/>
  <c r="E118" i="193" s="1"/>
  <c r="E117" i="193"/>
  <c r="H280" i="143"/>
  <c r="H25" i="131" s="1"/>
  <c r="H239" i="140"/>
  <c r="H240" i="140" s="1"/>
  <c r="H263" i="140"/>
  <c r="H273" i="140" s="1"/>
  <c r="H274" i="140" s="1"/>
  <c r="H190" i="149"/>
  <c r="H281" i="139"/>
  <c r="H21" i="133" s="1"/>
  <c r="H171" i="145"/>
  <c r="H172" i="145" s="1"/>
  <c r="H279" i="138"/>
  <c r="H224" i="138"/>
  <c r="H239" i="137"/>
  <c r="H240" i="137" s="1"/>
  <c r="H263" i="137"/>
  <c r="H273" i="137" s="1"/>
  <c r="H274" i="137" s="1"/>
  <c r="H213" i="141"/>
  <c r="H121" i="141"/>
  <c r="H282" i="141" s="1"/>
  <c r="H22" i="132" s="1"/>
  <c r="E267" i="209"/>
  <c r="E36" i="210" s="1"/>
  <c r="E75" i="211" s="1"/>
  <c r="H190" i="141"/>
  <c r="H223" i="149"/>
  <c r="H247" i="149"/>
  <c r="H257" i="149" s="1"/>
  <c r="H258" i="149" s="1"/>
  <c r="H224" i="136"/>
  <c r="H279" i="136"/>
  <c r="H213" i="145"/>
  <c r="H239" i="149"/>
  <c r="H240" i="149" s="1"/>
  <c r="H263" i="149"/>
  <c r="H273" i="149" s="1"/>
  <c r="H274" i="149" s="1"/>
  <c r="H223" i="140"/>
  <c r="H247" i="140"/>
  <c r="H257" i="140" s="1"/>
  <c r="H258" i="140" s="1"/>
  <c r="H155" i="141"/>
  <c r="H280" i="141" s="1"/>
  <c r="H22" i="131" s="1"/>
  <c r="H121" i="145"/>
  <c r="H282" i="145" s="1"/>
  <c r="H27" i="132" s="1"/>
  <c r="H214" i="145"/>
  <c r="H248" i="145" s="1"/>
  <c r="H281" i="137"/>
  <c r="H19" i="133" s="1"/>
  <c r="H189" i="148"/>
  <c r="H281" i="148" s="1"/>
  <c r="H30" i="133" s="1"/>
  <c r="E114" i="198"/>
  <c r="E116" i="198" s="1"/>
  <c r="E118" i="198" s="1"/>
  <c r="E117" i="198"/>
  <c r="H223" i="162"/>
  <c r="H247" i="162"/>
  <c r="H257" i="162" s="1"/>
  <c r="H258" i="162" s="1"/>
  <c r="E114" i="201"/>
  <c r="E116" i="201" s="1"/>
  <c r="E118" i="201" s="1"/>
  <c r="E117" i="201"/>
  <c r="H122" i="139"/>
  <c r="N240" i="217"/>
  <c r="H229" i="141"/>
  <c r="H205" i="141"/>
  <c r="H206" i="141" s="1"/>
  <c r="H155" i="145"/>
  <c r="H280" i="145" s="1"/>
  <c r="H27" i="131" s="1"/>
  <c r="H263" i="139"/>
  <c r="H273" i="139" s="1"/>
  <c r="H274" i="139" s="1"/>
  <c r="H239" i="139"/>
  <c r="H240" i="139" s="1"/>
  <c r="H283" i="151"/>
  <c r="H33" i="130"/>
  <c r="H294" i="151"/>
  <c r="H122" i="143"/>
  <c r="H156" i="137"/>
  <c r="H280" i="137"/>
  <c r="H19" i="131" s="1"/>
  <c r="H224" i="150"/>
  <c r="H279" i="134"/>
  <c r="H224" i="134"/>
  <c r="H229" i="148"/>
  <c r="H224" i="144"/>
  <c r="H279" i="144"/>
  <c r="E117" i="196"/>
  <c r="E114" i="196"/>
  <c r="E116" i="196" s="1"/>
  <c r="E118" i="196" s="1"/>
  <c r="H121" i="148"/>
  <c r="H282" i="148" s="1"/>
  <c r="H30" i="132" s="1"/>
  <c r="H214" i="148"/>
  <c r="H248" i="148" s="1"/>
  <c r="H281" i="143"/>
  <c r="H25" i="133" s="1"/>
  <c r="H229" i="145"/>
  <c r="H279" i="142"/>
  <c r="H280" i="86"/>
  <c r="H15" i="131" s="1"/>
  <c r="F93" i="208"/>
  <c r="E254" i="211"/>
  <c r="E229" i="211"/>
  <c r="H206" i="86"/>
  <c r="H281" i="86"/>
  <c r="H15" i="133" s="1"/>
  <c r="E114" i="186"/>
  <c r="E116" i="186" s="1"/>
  <c r="E118" i="186" s="1"/>
  <c r="E117" i="186"/>
  <c r="H239" i="86"/>
  <c r="H240" i="86" s="1"/>
  <c r="H263" i="86"/>
  <c r="H273" i="86" s="1"/>
  <c r="H274" i="86" s="1"/>
  <c r="H224" i="86"/>
  <c r="M481" i="217"/>
  <c r="M475" i="217"/>
  <c r="H279" i="162" l="1"/>
  <c r="H34" i="131"/>
  <c r="N154" i="217" s="1"/>
  <c r="N183" i="217" s="1"/>
  <c r="E248" i="211"/>
  <c r="H156" i="145"/>
  <c r="H156" i="141"/>
  <c r="H122" i="141"/>
  <c r="H239" i="145"/>
  <c r="H240" i="145" s="1"/>
  <c r="H263" i="145"/>
  <c r="H273" i="145" s="1"/>
  <c r="H274" i="145" s="1"/>
  <c r="H239" i="148"/>
  <c r="H240" i="148" s="1"/>
  <c r="H263" i="148"/>
  <c r="H273" i="148" s="1"/>
  <c r="H274" i="148" s="1"/>
  <c r="H24" i="130"/>
  <c r="H283" i="162"/>
  <c r="H294" i="162"/>
  <c r="H294" i="136"/>
  <c r="H18" i="130"/>
  <c r="H283" i="136"/>
  <c r="H223" i="141"/>
  <c r="H224" i="141" s="1"/>
  <c r="H247" i="141"/>
  <c r="H257" i="141" s="1"/>
  <c r="H258" i="141" s="1"/>
  <c r="H283" i="138"/>
  <c r="H294" i="138"/>
  <c r="H20" i="130"/>
  <c r="H223" i="148"/>
  <c r="H247" i="148"/>
  <c r="H257" i="148" s="1"/>
  <c r="H258" i="148" s="1"/>
  <c r="H294" i="144"/>
  <c r="H283" i="144"/>
  <c r="H26" i="130"/>
  <c r="H16" i="130"/>
  <c r="H283" i="134"/>
  <c r="H294" i="134"/>
  <c r="H279" i="140"/>
  <c r="H224" i="140"/>
  <c r="H122" i="145"/>
  <c r="H14" i="132"/>
  <c r="N88" i="217" s="1"/>
  <c r="H283" i="140"/>
  <c r="H283" i="135"/>
  <c r="H294" i="135"/>
  <c r="H17" i="130"/>
  <c r="H279" i="139"/>
  <c r="H294" i="146"/>
  <c r="H28" i="130"/>
  <c r="H283" i="146"/>
  <c r="H296" i="147"/>
  <c r="H371" i="147"/>
  <c r="H371" i="150"/>
  <c r="H296" i="150"/>
  <c r="H281" i="141"/>
  <c r="H22" i="133" s="1"/>
  <c r="H34" i="133" s="1"/>
  <c r="N213" i="217" s="1"/>
  <c r="H156" i="148"/>
  <c r="H23" i="130"/>
  <c r="H283" i="142"/>
  <c r="H294" i="142"/>
  <c r="H296" i="151"/>
  <c r="H371" i="151"/>
  <c r="H239" i="141"/>
  <c r="H240" i="141" s="1"/>
  <c r="H263" i="141"/>
  <c r="H273" i="141" s="1"/>
  <c r="H274" i="141" s="1"/>
  <c r="H224" i="162"/>
  <c r="H190" i="148"/>
  <c r="H223" i="145"/>
  <c r="H247" i="145"/>
  <c r="H257" i="145" s="1"/>
  <c r="H258" i="145" s="1"/>
  <c r="H224" i="149"/>
  <c r="H279" i="149"/>
  <c r="H224" i="143"/>
  <c r="H279" i="143"/>
  <c r="H122" i="148"/>
  <c r="H34" i="132"/>
  <c r="N90" i="217" s="1"/>
  <c r="N121" i="217" s="1"/>
  <c r="H279" i="137"/>
  <c r="H279" i="86"/>
  <c r="H15" i="130" s="1"/>
  <c r="K65" i="218"/>
  <c r="E273" i="211"/>
  <c r="H279" i="145" l="1"/>
  <c r="H224" i="145"/>
  <c r="N242" i="217"/>
  <c r="N272" i="217"/>
  <c r="N624" i="217" s="1"/>
  <c r="H296" i="135"/>
  <c r="H371" i="135"/>
  <c r="H331" i="135"/>
  <c r="H371" i="144"/>
  <c r="H296" i="144"/>
  <c r="H371" i="136"/>
  <c r="H331" i="136"/>
  <c r="H296" i="136"/>
  <c r="H25" i="130"/>
  <c r="H283" i="143"/>
  <c r="H294" i="143"/>
  <c r="H325" i="151"/>
  <c r="H362" i="151" s="1"/>
  <c r="I65" i="151" s="1"/>
  <c r="H328" i="151"/>
  <c r="H365" i="151" s="1"/>
  <c r="I68" i="151" s="1"/>
  <c r="H309" i="151"/>
  <c r="H346" i="151" s="1"/>
  <c r="I49" i="151" s="1"/>
  <c r="H319" i="151"/>
  <c r="H331" i="151"/>
  <c r="H307" i="151"/>
  <c r="H344" i="151" s="1"/>
  <c r="I47" i="151" s="1"/>
  <c r="H321" i="151"/>
  <c r="H358" i="151" s="1"/>
  <c r="I61" i="151" s="1"/>
  <c r="H324" i="151"/>
  <c r="H361" i="151" s="1"/>
  <c r="I64" i="151" s="1"/>
  <c r="H305" i="151"/>
  <c r="H342" i="151" s="1"/>
  <c r="I45" i="151" s="1"/>
  <c r="H312" i="151"/>
  <c r="H349" i="151" s="1"/>
  <c r="I52" i="151" s="1"/>
  <c r="H326" i="151"/>
  <c r="H363" i="151" s="1"/>
  <c r="I66" i="151" s="1"/>
  <c r="H303" i="151"/>
  <c r="H329" i="151"/>
  <c r="H313" i="151"/>
  <c r="H323" i="151"/>
  <c r="H360" i="151" s="1"/>
  <c r="I63" i="151" s="1"/>
  <c r="H311" i="151"/>
  <c r="H348" i="151" s="1"/>
  <c r="I51" i="151" s="1"/>
  <c r="H34" i="128"/>
  <c r="H84" i="128" s="1"/>
  <c r="H310" i="151"/>
  <c r="H347" i="151" s="1"/>
  <c r="I50" i="151" s="1"/>
  <c r="I84" i="151" s="1"/>
  <c r="H320" i="151"/>
  <c r="H357" i="151" s="1"/>
  <c r="I60" i="151" s="1"/>
  <c r="H327" i="151"/>
  <c r="H364" i="151" s="1"/>
  <c r="I67" i="151" s="1"/>
  <c r="I101" i="151" s="1"/>
  <c r="H308" i="151"/>
  <c r="H345" i="151" s="1"/>
  <c r="I48" i="151" s="1"/>
  <c r="H322" i="151"/>
  <c r="H359" i="151" s="1"/>
  <c r="I62" i="151" s="1"/>
  <c r="I96" i="151" s="1"/>
  <c r="H304" i="151"/>
  <c r="H341" i="151" s="1"/>
  <c r="I44" i="151" s="1"/>
  <c r="H306" i="151"/>
  <c r="H343" i="151" s="1"/>
  <c r="I46" i="151" s="1"/>
  <c r="H371" i="146"/>
  <c r="H296" i="146"/>
  <c r="H371" i="138"/>
  <c r="H331" i="138"/>
  <c r="H296" i="138"/>
  <c r="H279" i="141"/>
  <c r="H371" i="162"/>
  <c r="H296" i="162"/>
  <c r="H19" i="130"/>
  <c r="H283" i="137"/>
  <c r="H294" i="137"/>
  <c r="H296" i="142"/>
  <c r="H371" i="142"/>
  <c r="H323" i="147"/>
  <c r="H360" i="147" s="1"/>
  <c r="I63" i="147" s="1"/>
  <c r="H304" i="147"/>
  <c r="H341" i="147" s="1"/>
  <c r="I44" i="147" s="1"/>
  <c r="H311" i="147"/>
  <c r="H348" i="147" s="1"/>
  <c r="I51" i="147" s="1"/>
  <c r="H325" i="147"/>
  <c r="H362" i="147" s="1"/>
  <c r="I65" i="147" s="1"/>
  <c r="H328" i="147"/>
  <c r="H365" i="147" s="1"/>
  <c r="I68" i="147" s="1"/>
  <c r="H309" i="147"/>
  <c r="H346" i="147" s="1"/>
  <c r="I49" i="147" s="1"/>
  <c r="H29" i="128"/>
  <c r="H79" i="128" s="1"/>
  <c r="H326" i="147"/>
  <c r="H363" i="147" s="1"/>
  <c r="I66" i="147" s="1"/>
  <c r="I100" i="147" s="1"/>
  <c r="H303" i="147"/>
  <c r="H310" i="147"/>
  <c r="H347" i="147" s="1"/>
  <c r="I50" i="147" s="1"/>
  <c r="I84" i="147" s="1"/>
  <c r="H319" i="147"/>
  <c r="H331" i="147"/>
  <c r="H307" i="147"/>
  <c r="H344" i="147" s="1"/>
  <c r="I47" i="147" s="1"/>
  <c r="H321" i="147"/>
  <c r="H358" i="147" s="1"/>
  <c r="I61" i="147" s="1"/>
  <c r="H324" i="147"/>
  <c r="H361" i="147" s="1"/>
  <c r="I64" i="147" s="1"/>
  <c r="H305" i="147"/>
  <c r="H342" i="147" s="1"/>
  <c r="I45" i="147" s="1"/>
  <c r="I79" i="147" s="1"/>
  <c r="H312" i="147"/>
  <c r="H349" i="147" s="1"/>
  <c r="I52" i="147" s="1"/>
  <c r="I86" i="147" s="1"/>
  <c r="H320" i="147"/>
  <c r="H357" i="147" s="1"/>
  <c r="I60" i="147" s="1"/>
  <c r="H327" i="147"/>
  <c r="H364" i="147" s="1"/>
  <c r="I67" i="147" s="1"/>
  <c r="H308" i="147"/>
  <c r="H345" i="147" s="1"/>
  <c r="I48" i="147" s="1"/>
  <c r="H322" i="147"/>
  <c r="H359" i="147" s="1"/>
  <c r="I62" i="147" s="1"/>
  <c r="H329" i="147"/>
  <c r="H306" i="147"/>
  <c r="H343" i="147" s="1"/>
  <c r="I46" i="147" s="1"/>
  <c r="H313" i="147"/>
  <c r="H21" i="130"/>
  <c r="H294" i="139"/>
  <c r="H283" i="139"/>
  <c r="H14" i="130"/>
  <c r="H12" i="130" s="1"/>
  <c r="H294" i="140"/>
  <c r="H294" i="149"/>
  <c r="H283" i="149"/>
  <c r="H31" i="130"/>
  <c r="H27" i="130"/>
  <c r="H283" i="145"/>
  <c r="H294" i="145"/>
  <c r="H322" i="150"/>
  <c r="H359" i="150" s="1"/>
  <c r="I62" i="150" s="1"/>
  <c r="H329" i="150"/>
  <c r="H306" i="150"/>
  <c r="H343" i="150" s="1"/>
  <c r="I46" i="150" s="1"/>
  <c r="H313" i="150"/>
  <c r="H323" i="150"/>
  <c r="H360" i="150" s="1"/>
  <c r="I63" i="150" s="1"/>
  <c r="I97" i="150" s="1"/>
  <c r="H304" i="150"/>
  <c r="H341" i="150" s="1"/>
  <c r="I44" i="150" s="1"/>
  <c r="H32" i="128"/>
  <c r="H82" i="128" s="1"/>
  <c r="H311" i="150"/>
  <c r="H348" i="150" s="1"/>
  <c r="I51" i="150" s="1"/>
  <c r="H325" i="150"/>
  <c r="H362" i="150" s="1"/>
  <c r="I65" i="150" s="1"/>
  <c r="H328" i="150"/>
  <c r="H365" i="150" s="1"/>
  <c r="I68" i="150" s="1"/>
  <c r="H309" i="150"/>
  <c r="H346" i="150" s="1"/>
  <c r="I49" i="150" s="1"/>
  <c r="H319" i="150"/>
  <c r="H331" i="150"/>
  <c r="H307" i="150"/>
  <c r="H344" i="150" s="1"/>
  <c r="I47" i="150" s="1"/>
  <c r="H321" i="150"/>
  <c r="H358" i="150" s="1"/>
  <c r="I61" i="150" s="1"/>
  <c r="H324" i="150"/>
  <c r="H361" i="150" s="1"/>
  <c r="I64" i="150" s="1"/>
  <c r="H305" i="150"/>
  <c r="H342" i="150" s="1"/>
  <c r="I45" i="150" s="1"/>
  <c r="H312" i="150"/>
  <c r="H349" i="150" s="1"/>
  <c r="I52" i="150" s="1"/>
  <c r="I86" i="150" s="1"/>
  <c r="H326" i="150"/>
  <c r="H363" i="150" s="1"/>
  <c r="I66" i="150" s="1"/>
  <c r="H303" i="150"/>
  <c r="H310" i="150"/>
  <c r="H347" i="150" s="1"/>
  <c r="I50" i="150" s="1"/>
  <c r="I84" i="150" s="1"/>
  <c r="H320" i="150"/>
  <c r="H357" i="150" s="1"/>
  <c r="I60" i="150" s="1"/>
  <c r="H327" i="150"/>
  <c r="H364" i="150" s="1"/>
  <c r="I67" i="150" s="1"/>
  <c r="I101" i="150" s="1"/>
  <c r="H308" i="150"/>
  <c r="H345" i="150" s="1"/>
  <c r="I48" i="150" s="1"/>
  <c r="N119" i="217"/>
  <c r="N270" i="217"/>
  <c r="N92" i="217"/>
  <c r="N123" i="217" s="1"/>
  <c r="H296" i="134"/>
  <c r="H371" i="134"/>
  <c r="H331" i="134"/>
  <c r="H224" i="148"/>
  <c r="H279" i="148"/>
  <c r="H294" i="86"/>
  <c r="H296" i="86" s="1"/>
  <c r="H283" i="86"/>
  <c r="K86" i="218"/>
  <c r="K85" i="218"/>
  <c r="I81" i="150" l="1"/>
  <c r="I96" i="147"/>
  <c r="H332" i="151"/>
  <c r="H333" i="151" s="1"/>
  <c r="I86" i="151"/>
  <c r="I154" i="151" s="1"/>
  <c r="N301" i="217"/>
  <c r="I80" i="147"/>
  <c r="I101" i="147"/>
  <c r="I169" i="147" s="1"/>
  <c r="I80" i="151"/>
  <c r="I148" i="151" s="1"/>
  <c r="H331" i="86"/>
  <c r="I100" i="150"/>
  <c r="I100" i="151"/>
  <c r="I79" i="150"/>
  <c r="I181" i="150" s="1"/>
  <c r="I99" i="150"/>
  <c r="I82" i="147"/>
  <c r="I82" i="151"/>
  <c r="I184" i="151" s="1"/>
  <c r="I99" i="151"/>
  <c r="I167" i="151" s="1"/>
  <c r="I82" i="150"/>
  <c r="I98" i="147"/>
  <c r="N299" i="217"/>
  <c r="N618" i="217"/>
  <c r="I188" i="150"/>
  <c r="I120" i="150"/>
  <c r="I154" i="150"/>
  <c r="I115" i="150"/>
  <c r="I149" i="150"/>
  <c r="I183" i="150"/>
  <c r="I102" i="150"/>
  <c r="H371" i="140"/>
  <c r="H296" i="140"/>
  <c r="I164" i="147"/>
  <c r="I130" i="147"/>
  <c r="I198" i="147"/>
  <c r="I154" i="147"/>
  <c r="I188" i="147"/>
  <c r="I120" i="147"/>
  <c r="I81" i="147"/>
  <c r="H340" i="147"/>
  <c r="H314" i="147"/>
  <c r="I102" i="147"/>
  <c r="I97" i="147"/>
  <c r="H22" i="130"/>
  <c r="H283" i="141"/>
  <c r="H294" i="141"/>
  <c r="H324" i="146"/>
  <c r="H361" i="146" s="1"/>
  <c r="I64" i="146" s="1"/>
  <c r="H305" i="146"/>
  <c r="H342" i="146" s="1"/>
  <c r="I45" i="146" s="1"/>
  <c r="H312" i="146"/>
  <c r="H349" i="146" s="1"/>
  <c r="I52" i="146" s="1"/>
  <c r="H322" i="146"/>
  <c r="H359" i="146" s="1"/>
  <c r="I62" i="146" s="1"/>
  <c r="H329" i="146"/>
  <c r="H306" i="146"/>
  <c r="H343" i="146" s="1"/>
  <c r="I46" i="146" s="1"/>
  <c r="I80" i="146" s="1"/>
  <c r="H28" i="128"/>
  <c r="H78" i="128" s="1"/>
  <c r="H320" i="146"/>
  <c r="H357" i="146" s="1"/>
  <c r="I60" i="146" s="1"/>
  <c r="H327" i="146"/>
  <c r="H364" i="146" s="1"/>
  <c r="I67" i="146" s="1"/>
  <c r="H308" i="146"/>
  <c r="H345" i="146" s="1"/>
  <c r="I48" i="146" s="1"/>
  <c r="H311" i="146"/>
  <c r="H348" i="146" s="1"/>
  <c r="I51" i="146" s="1"/>
  <c r="H325" i="146"/>
  <c r="H362" i="146" s="1"/>
  <c r="I65" i="146" s="1"/>
  <c r="H331" i="146"/>
  <c r="H313" i="146"/>
  <c r="H323" i="146"/>
  <c r="H360" i="146" s="1"/>
  <c r="I63" i="146" s="1"/>
  <c r="H304" i="146"/>
  <c r="H341" i="146" s="1"/>
  <c r="I44" i="146" s="1"/>
  <c r="H307" i="146"/>
  <c r="H344" i="146" s="1"/>
  <c r="I47" i="146" s="1"/>
  <c r="I81" i="146" s="1"/>
  <c r="H321" i="146"/>
  <c r="H358" i="146" s="1"/>
  <c r="I61" i="146" s="1"/>
  <c r="H328" i="146"/>
  <c r="H365" i="146" s="1"/>
  <c r="I68" i="146" s="1"/>
  <c r="H309" i="146"/>
  <c r="H346" i="146" s="1"/>
  <c r="I49" i="146" s="1"/>
  <c r="I83" i="146" s="1"/>
  <c r="H319" i="146"/>
  <c r="H326" i="146"/>
  <c r="H363" i="146" s="1"/>
  <c r="I66" i="146" s="1"/>
  <c r="H303" i="146"/>
  <c r="H310" i="146"/>
  <c r="H347" i="146" s="1"/>
  <c r="I50" i="146" s="1"/>
  <c r="I84" i="146" s="1"/>
  <c r="I164" i="151"/>
  <c r="I130" i="151"/>
  <c r="I198" i="151"/>
  <c r="I152" i="151"/>
  <c r="I186" i="151"/>
  <c r="I118" i="151"/>
  <c r="I120" i="151"/>
  <c r="I81" i="151"/>
  <c r="I102" i="151"/>
  <c r="H331" i="144"/>
  <c r="H307" i="144"/>
  <c r="H344" i="144" s="1"/>
  <c r="I47" i="144" s="1"/>
  <c r="H321" i="144"/>
  <c r="H358" i="144" s="1"/>
  <c r="I61" i="144" s="1"/>
  <c r="H324" i="144"/>
  <c r="H361" i="144" s="1"/>
  <c r="I64" i="144" s="1"/>
  <c r="H305" i="144"/>
  <c r="H342" i="144" s="1"/>
  <c r="I45" i="144" s="1"/>
  <c r="H312" i="144"/>
  <c r="H349" i="144" s="1"/>
  <c r="I52" i="144" s="1"/>
  <c r="H326" i="144"/>
  <c r="H363" i="144" s="1"/>
  <c r="I66" i="144" s="1"/>
  <c r="H303" i="144"/>
  <c r="H310" i="144"/>
  <c r="H347" i="144" s="1"/>
  <c r="I50" i="144" s="1"/>
  <c r="H320" i="144"/>
  <c r="H357" i="144" s="1"/>
  <c r="I60" i="144" s="1"/>
  <c r="H327" i="144"/>
  <c r="H364" i="144" s="1"/>
  <c r="I67" i="144" s="1"/>
  <c r="I101" i="144" s="1"/>
  <c r="H308" i="144"/>
  <c r="H345" i="144" s="1"/>
  <c r="I48" i="144" s="1"/>
  <c r="H322" i="144"/>
  <c r="H359" i="144" s="1"/>
  <c r="I62" i="144" s="1"/>
  <c r="I96" i="144" s="1"/>
  <c r="H329" i="144"/>
  <c r="H306" i="144"/>
  <c r="H343" i="144" s="1"/>
  <c r="I46" i="144" s="1"/>
  <c r="H313" i="144"/>
  <c r="H323" i="144"/>
  <c r="H360" i="144" s="1"/>
  <c r="I63" i="144" s="1"/>
  <c r="I97" i="144" s="1"/>
  <c r="H304" i="144"/>
  <c r="H341" i="144" s="1"/>
  <c r="I44" i="144" s="1"/>
  <c r="H26" i="128"/>
  <c r="H76" i="128" s="1"/>
  <c r="H311" i="144"/>
  <c r="H348" i="144" s="1"/>
  <c r="I51" i="144" s="1"/>
  <c r="H325" i="144"/>
  <c r="H362" i="144" s="1"/>
  <c r="I65" i="144" s="1"/>
  <c r="I99" i="144" s="1"/>
  <c r="H328" i="144"/>
  <c r="H365" i="144" s="1"/>
  <c r="I68" i="144" s="1"/>
  <c r="I102" i="144" s="1"/>
  <c r="H309" i="144"/>
  <c r="H346" i="144" s="1"/>
  <c r="I49" i="144" s="1"/>
  <c r="I83" i="144" s="1"/>
  <c r="H319" i="144"/>
  <c r="H323" i="135"/>
  <c r="H360" i="135" s="1"/>
  <c r="I63" i="135" s="1"/>
  <c r="H304" i="135"/>
  <c r="H341" i="135" s="1"/>
  <c r="I44" i="135" s="1"/>
  <c r="H307" i="135"/>
  <c r="H344" i="135" s="1"/>
  <c r="I47" i="135" s="1"/>
  <c r="H310" i="135"/>
  <c r="H347" i="135" s="1"/>
  <c r="I50" i="135" s="1"/>
  <c r="H320" i="135"/>
  <c r="H357" i="135" s="1"/>
  <c r="I60" i="135" s="1"/>
  <c r="H326" i="135"/>
  <c r="H363" i="135" s="1"/>
  <c r="I66" i="135" s="1"/>
  <c r="H309" i="135"/>
  <c r="H346" i="135" s="1"/>
  <c r="I49" i="135" s="1"/>
  <c r="H17" i="128"/>
  <c r="H67" i="128" s="1"/>
  <c r="H322" i="135"/>
  <c r="H359" i="135" s="1"/>
  <c r="I62" i="135" s="1"/>
  <c r="H325" i="135"/>
  <c r="H362" i="135" s="1"/>
  <c r="I65" i="135" s="1"/>
  <c r="H305" i="135"/>
  <c r="H342" i="135" s="1"/>
  <c r="I45" i="135" s="1"/>
  <c r="H327" i="135"/>
  <c r="H364" i="135" s="1"/>
  <c r="I67" i="135" s="1"/>
  <c r="H308" i="135"/>
  <c r="H345" i="135" s="1"/>
  <c r="I48" i="135" s="1"/>
  <c r="I82" i="135" s="1"/>
  <c r="I184" i="135" s="1"/>
  <c r="H311" i="135"/>
  <c r="H348" i="135" s="1"/>
  <c r="I51" i="135" s="1"/>
  <c r="I85" i="135" s="1"/>
  <c r="I119" i="135" s="1"/>
  <c r="H321" i="135"/>
  <c r="H358" i="135" s="1"/>
  <c r="I61" i="135" s="1"/>
  <c r="H324" i="135"/>
  <c r="H361" i="135" s="1"/>
  <c r="I64" i="135" s="1"/>
  <c r="H319" i="135"/>
  <c r="H303" i="135"/>
  <c r="H306" i="135"/>
  <c r="H343" i="135" s="1"/>
  <c r="I46" i="135" s="1"/>
  <c r="I80" i="135" s="1"/>
  <c r="H312" i="135"/>
  <c r="H349" i="135" s="1"/>
  <c r="I52" i="135" s="1"/>
  <c r="H328" i="135"/>
  <c r="H365" i="135" s="1"/>
  <c r="I68" i="135" s="1"/>
  <c r="I102" i="135" s="1"/>
  <c r="I170" i="135" s="1"/>
  <c r="I152" i="150"/>
  <c r="I186" i="150"/>
  <c r="I118" i="150"/>
  <c r="I167" i="150"/>
  <c r="I133" i="150"/>
  <c r="I201" i="150"/>
  <c r="I199" i="150"/>
  <c r="I165" i="150"/>
  <c r="I131" i="150"/>
  <c r="I96" i="150"/>
  <c r="H332" i="147"/>
  <c r="H333" i="147" s="1"/>
  <c r="I184" i="147"/>
  <c r="I116" i="147"/>
  <c r="I150" i="147"/>
  <c r="I181" i="147"/>
  <c r="I113" i="147"/>
  <c r="I147" i="147"/>
  <c r="I168" i="147"/>
  <c r="I202" i="147"/>
  <c r="I134" i="147"/>
  <c r="I99" i="147"/>
  <c r="H327" i="138"/>
  <c r="H364" i="138" s="1"/>
  <c r="I67" i="138" s="1"/>
  <c r="H308" i="138"/>
  <c r="H345" i="138" s="1"/>
  <c r="I48" i="138" s="1"/>
  <c r="H311" i="138"/>
  <c r="H348" i="138" s="1"/>
  <c r="I51" i="138" s="1"/>
  <c r="H321" i="138"/>
  <c r="H358" i="138" s="1"/>
  <c r="I61" i="138" s="1"/>
  <c r="H324" i="138"/>
  <c r="H361" i="138" s="1"/>
  <c r="I64" i="138" s="1"/>
  <c r="H323" i="138"/>
  <c r="H360" i="138" s="1"/>
  <c r="I63" i="138" s="1"/>
  <c r="H307" i="138"/>
  <c r="H344" i="138" s="1"/>
  <c r="I47" i="138" s="1"/>
  <c r="H320" i="138"/>
  <c r="H357" i="138" s="1"/>
  <c r="I60" i="138" s="1"/>
  <c r="H326" i="138"/>
  <c r="H363" i="138" s="1"/>
  <c r="I66" i="138" s="1"/>
  <c r="H306" i="138"/>
  <c r="H343" i="138" s="1"/>
  <c r="I46" i="138" s="1"/>
  <c r="H20" i="128"/>
  <c r="H70" i="128" s="1"/>
  <c r="H312" i="138"/>
  <c r="H349" i="138" s="1"/>
  <c r="I52" i="138" s="1"/>
  <c r="H322" i="138"/>
  <c r="H359" i="138" s="1"/>
  <c r="I62" i="138" s="1"/>
  <c r="H325" i="138"/>
  <c r="H362" i="138" s="1"/>
  <c r="I65" i="138" s="1"/>
  <c r="H328" i="138"/>
  <c r="H365" i="138" s="1"/>
  <c r="I68" i="138" s="1"/>
  <c r="H305" i="138"/>
  <c r="H342" i="138" s="1"/>
  <c r="I45" i="138" s="1"/>
  <c r="H304" i="138"/>
  <c r="H341" i="138" s="1"/>
  <c r="I44" i="138" s="1"/>
  <c r="H310" i="138"/>
  <c r="H347" i="138" s="1"/>
  <c r="I50" i="138" s="1"/>
  <c r="H319" i="138"/>
  <c r="H303" i="138"/>
  <c r="H309" i="138"/>
  <c r="H346" i="138" s="1"/>
  <c r="I49" i="138" s="1"/>
  <c r="I150" i="151"/>
  <c r="H34" i="102"/>
  <c r="F15" i="204"/>
  <c r="F44" i="204" s="1"/>
  <c r="F57" i="204" s="1"/>
  <c r="F98" i="204" s="1"/>
  <c r="I79" i="151"/>
  <c r="H323" i="136"/>
  <c r="H360" i="136" s="1"/>
  <c r="I63" i="136" s="1"/>
  <c r="H304" i="136"/>
  <c r="H341" i="136" s="1"/>
  <c r="I44" i="136" s="1"/>
  <c r="H307" i="136"/>
  <c r="H344" i="136" s="1"/>
  <c r="I47" i="136" s="1"/>
  <c r="H310" i="136"/>
  <c r="H347" i="136" s="1"/>
  <c r="I50" i="136" s="1"/>
  <c r="H320" i="136"/>
  <c r="H357" i="136" s="1"/>
  <c r="I60" i="136" s="1"/>
  <c r="H312" i="136"/>
  <c r="H349" i="136" s="1"/>
  <c r="I52" i="136" s="1"/>
  <c r="H328" i="136"/>
  <c r="H365" i="136" s="1"/>
  <c r="I68" i="136" s="1"/>
  <c r="H319" i="136"/>
  <c r="H326" i="136"/>
  <c r="H363" i="136" s="1"/>
  <c r="I66" i="136" s="1"/>
  <c r="H303" i="136"/>
  <c r="H306" i="136"/>
  <c r="H343" i="136" s="1"/>
  <c r="I46" i="136" s="1"/>
  <c r="H309" i="136"/>
  <c r="H346" i="136" s="1"/>
  <c r="I49" i="136" s="1"/>
  <c r="H327" i="136"/>
  <c r="H364" i="136" s="1"/>
  <c r="I67" i="136" s="1"/>
  <c r="I101" i="136" s="1"/>
  <c r="I203" i="136" s="1"/>
  <c r="H308" i="136"/>
  <c r="H345" i="136" s="1"/>
  <c r="I48" i="136" s="1"/>
  <c r="H311" i="136"/>
  <c r="H348" i="136" s="1"/>
  <c r="I51" i="136" s="1"/>
  <c r="H321" i="136"/>
  <c r="H358" i="136" s="1"/>
  <c r="I61" i="136" s="1"/>
  <c r="H324" i="136"/>
  <c r="H361" i="136" s="1"/>
  <c r="I64" i="136" s="1"/>
  <c r="I98" i="136" s="1"/>
  <c r="I166" i="136" s="1"/>
  <c r="H18" i="128"/>
  <c r="H68" i="128" s="1"/>
  <c r="H322" i="136"/>
  <c r="H359" i="136" s="1"/>
  <c r="I62" i="136" s="1"/>
  <c r="H325" i="136"/>
  <c r="H362" i="136" s="1"/>
  <c r="I65" i="136" s="1"/>
  <c r="H305" i="136"/>
  <c r="H342" i="136" s="1"/>
  <c r="I45" i="136" s="1"/>
  <c r="H294" i="148"/>
  <c r="H283" i="148"/>
  <c r="H30" i="130"/>
  <c r="H34" i="130" s="1"/>
  <c r="H321" i="134"/>
  <c r="H358" i="134" s="1"/>
  <c r="I61" i="134" s="1"/>
  <c r="H324" i="134"/>
  <c r="H361" i="134" s="1"/>
  <c r="I64" i="134" s="1"/>
  <c r="H327" i="134"/>
  <c r="H364" i="134" s="1"/>
  <c r="I67" i="134" s="1"/>
  <c r="H308" i="134"/>
  <c r="H345" i="134" s="1"/>
  <c r="I48" i="134" s="1"/>
  <c r="H311" i="134"/>
  <c r="H348" i="134" s="1"/>
  <c r="I51" i="134" s="1"/>
  <c r="H16" i="128"/>
  <c r="H66" i="128" s="1"/>
  <c r="H309" i="134"/>
  <c r="H346" i="134" s="1"/>
  <c r="I49" i="134" s="1"/>
  <c r="H326" i="134"/>
  <c r="H363" i="134" s="1"/>
  <c r="I66" i="134" s="1"/>
  <c r="H310" i="134"/>
  <c r="H347" i="134" s="1"/>
  <c r="I50" i="134" s="1"/>
  <c r="I84" i="134" s="1"/>
  <c r="I118" i="134" s="1"/>
  <c r="H320" i="134"/>
  <c r="H357" i="134" s="1"/>
  <c r="I60" i="134" s="1"/>
  <c r="H323" i="134"/>
  <c r="H360" i="134" s="1"/>
  <c r="I63" i="134" s="1"/>
  <c r="H304" i="134"/>
  <c r="H341" i="134" s="1"/>
  <c r="I44" i="134" s="1"/>
  <c r="H307" i="134"/>
  <c r="H344" i="134" s="1"/>
  <c r="I47" i="134" s="1"/>
  <c r="H325" i="134"/>
  <c r="H362" i="134" s="1"/>
  <c r="I65" i="134" s="1"/>
  <c r="I99" i="134" s="1"/>
  <c r="I201" i="134" s="1"/>
  <c r="H328" i="134"/>
  <c r="H365" i="134" s="1"/>
  <c r="I68" i="134" s="1"/>
  <c r="I102" i="134" s="1"/>
  <c r="I170" i="134" s="1"/>
  <c r="H305" i="134"/>
  <c r="H342" i="134" s="1"/>
  <c r="I45" i="134" s="1"/>
  <c r="I79" i="134" s="1"/>
  <c r="I181" i="134" s="1"/>
  <c r="H312" i="134"/>
  <c r="H349" i="134" s="1"/>
  <c r="I52" i="134" s="1"/>
  <c r="I86" i="134" s="1"/>
  <c r="H322" i="134"/>
  <c r="H359" i="134" s="1"/>
  <c r="I62" i="134" s="1"/>
  <c r="H306" i="134"/>
  <c r="H343" i="134" s="1"/>
  <c r="I46" i="134" s="1"/>
  <c r="H319" i="134"/>
  <c r="H303" i="134"/>
  <c r="I184" i="150"/>
  <c r="I150" i="150"/>
  <c r="I116" i="150"/>
  <c r="H340" i="150"/>
  <c r="H314" i="150"/>
  <c r="I98" i="150"/>
  <c r="H356" i="150"/>
  <c r="H330" i="150"/>
  <c r="I85" i="150"/>
  <c r="H332" i="150"/>
  <c r="H333" i="150" s="1"/>
  <c r="H371" i="145"/>
  <c r="H296" i="145"/>
  <c r="I148" i="147"/>
  <c r="I114" i="147"/>
  <c r="I182" i="147"/>
  <c r="I203" i="147"/>
  <c r="I135" i="147"/>
  <c r="I166" i="147"/>
  <c r="I132" i="147"/>
  <c r="I200" i="147"/>
  <c r="H356" i="147"/>
  <c r="H330" i="147"/>
  <c r="F15" i="200"/>
  <c r="F44" i="200" s="1"/>
  <c r="F57" i="200" s="1"/>
  <c r="F98" i="200" s="1"/>
  <c r="H30" i="102"/>
  <c r="I85" i="147"/>
  <c r="H319" i="142"/>
  <c r="H331" i="142"/>
  <c r="H307" i="142"/>
  <c r="H344" i="142" s="1"/>
  <c r="I47" i="142" s="1"/>
  <c r="H321" i="142"/>
  <c r="H358" i="142" s="1"/>
  <c r="I61" i="142" s="1"/>
  <c r="H324" i="142"/>
  <c r="H361" i="142" s="1"/>
  <c r="I64" i="142" s="1"/>
  <c r="H305" i="142"/>
  <c r="H342" i="142" s="1"/>
  <c r="I45" i="142" s="1"/>
  <c r="H327" i="142"/>
  <c r="H364" i="142" s="1"/>
  <c r="I67" i="142" s="1"/>
  <c r="H308" i="142"/>
  <c r="H345" i="142" s="1"/>
  <c r="I48" i="142" s="1"/>
  <c r="H329" i="142"/>
  <c r="H313" i="142"/>
  <c r="H304" i="142"/>
  <c r="H341" i="142" s="1"/>
  <c r="I44" i="142" s="1"/>
  <c r="H328" i="142"/>
  <c r="H365" i="142" s="1"/>
  <c r="I68" i="142" s="1"/>
  <c r="H23" i="128"/>
  <c r="H73" i="128" s="1"/>
  <c r="H312" i="142"/>
  <c r="H349" i="142" s="1"/>
  <c r="I52" i="142" s="1"/>
  <c r="H326" i="142"/>
  <c r="H363" i="142" s="1"/>
  <c r="I66" i="142" s="1"/>
  <c r="H303" i="142"/>
  <c r="H310" i="142"/>
  <c r="H347" i="142" s="1"/>
  <c r="I50" i="142" s="1"/>
  <c r="H320" i="142"/>
  <c r="H357" i="142" s="1"/>
  <c r="I60" i="142" s="1"/>
  <c r="H322" i="142"/>
  <c r="H359" i="142" s="1"/>
  <c r="I62" i="142" s="1"/>
  <c r="I96" i="142" s="1"/>
  <c r="H306" i="142"/>
  <c r="H343" i="142" s="1"/>
  <c r="I46" i="142" s="1"/>
  <c r="H323" i="142"/>
  <c r="H360" i="142" s="1"/>
  <c r="I63" i="142" s="1"/>
  <c r="H325" i="142"/>
  <c r="H362" i="142" s="1"/>
  <c r="I65" i="142" s="1"/>
  <c r="H309" i="142"/>
  <c r="H346" i="142" s="1"/>
  <c r="I49" i="142" s="1"/>
  <c r="I83" i="142" s="1"/>
  <c r="H311" i="142"/>
  <c r="H348" i="142" s="1"/>
  <c r="I51" i="142" s="1"/>
  <c r="H24" i="128"/>
  <c r="H74" i="128" s="1"/>
  <c r="H321" i="162"/>
  <c r="H358" i="162" s="1"/>
  <c r="I61" i="162" s="1"/>
  <c r="H320" i="162"/>
  <c r="H357" i="162" s="1"/>
  <c r="I60" i="162" s="1"/>
  <c r="H327" i="162"/>
  <c r="H364" i="162" s="1"/>
  <c r="I67" i="162" s="1"/>
  <c r="H308" i="162"/>
  <c r="H345" i="162" s="1"/>
  <c r="I48" i="162" s="1"/>
  <c r="H322" i="162"/>
  <c r="H359" i="162" s="1"/>
  <c r="I62" i="162" s="1"/>
  <c r="I96" i="162" s="1"/>
  <c r="H331" i="162"/>
  <c r="H310" i="162"/>
  <c r="H347" i="162" s="1"/>
  <c r="I50" i="162" s="1"/>
  <c r="H313" i="162"/>
  <c r="H323" i="162"/>
  <c r="H360" i="162" s="1"/>
  <c r="I63" i="162" s="1"/>
  <c r="I97" i="162" s="1"/>
  <c r="H304" i="162"/>
  <c r="H341" i="162" s="1"/>
  <c r="I44" i="162" s="1"/>
  <c r="H311" i="162"/>
  <c r="H348" i="162" s="1"/>
  <c r="I51" i="162" s="1"/>
  <c r="I85" i="162" s="1"/>
  <c r="H328" i="162"/>
  <c r="H365" i="162" s="1"/>
  <c r="I68" i="162" s="1"/>
  <c r="I102" i="162" s="1"/>
  <c r="H306" i="162"/>
  <c r="H343" i="162" s="1"/>
  <c r="I46" i="162" s="1"/>
  <c r="H309" i="162"/>
  <c r="H346" i="162" s="1"/>
  <c r="I49" i="162" s="1"/>
  <c r="I83" i="162" s="1"/>
  <c r="H319" i="162"/>
  <c r="H329" i="162"/>
  <c r="H307" i="162"/>
  <c r="H344" i="162" s="1"/>
  <c r="I47" i="162" s="1"/>
  <c r="I81" i="162" s="1"/>
  <c r="H326" i="162"/>
  <c r="H363" i="162" s="1"/>
  <c r="I66" i="162" s="1"/>
  <c r="H324" i="162"/>
  <c r="H361" i="162" s="1"/>
  <c r="I64" i="162" s="1"/>
  <c r="H305" i="162"/>
  <c r="H342" i="162" s="1"/>
  <c r="I45" i="162" s="1"/>
  <c r="H312" i="162"/>
  <c r="H349" i="162" s="1"/>
  <c r="I52" i="162" s="1"/>
  <c r="I86" i="162" s="1"/>
  <c r="H325" i="162"/>
  <c r="H362" i="162" s="1"/>
  <c r="I65" i="162" s="1"/>
  <c r="I99" i="162" s="1"/>
  <c r="H303" i="162"/>
  <c r="I169" i="151"/>
  <c r="I203" i="151"/>
  <c r="I135" i="151"/>
  <c r="I85" i="151"/>
  <c r="H340" i="151"/>
  <c r="H314" i="151"/>
  <c r="I98" i="151"/>
  <c r="H356" i="151"/>
  <c r="H330" i="151"/>
  <c r="H371" i="143"/>
  <c r="H296" i="143"/>
  <c r="I203" i="150"/>
  <c r="I135" i="150"/>
  <c r="I169" i="150"/>
  <c r="I202" i="150"/>
  <c r="I134" i="150"/>
  <c r="I168" i="150"/>
  <c r="I95" i="150"/>
  <c r="I83" i="150"/>
  <c r="H33" i="102"/>
  <c r="F15" i="203"/>
  <c r="F44" i="203" s="1"/>
  <c r="F57" i="203" s="1"/>
  <c r="F98" i="203" s="1"/>
  <c r="I80" i="150"/>
  <c r="H296" i="149"/>
  <c r="H371" i="149"/>
  <c r="H371" i="139"/>
  <c r="H331" i="139"/>
  <c r="H296" i="139"/>
  <c r="I95" i="147"/>
  <c r="I186" i="147"/>
  <c r="I152" i="147"/>
  <c r="I118" i="147"/>
  <c r="I83" i="147"/>
  <c r="H331" i="137"/>
  <c r="H296" i="137"/>
  <c r="H371" i="137"/>
  <c r="I97" i="151"/>
  <c r="I134" i="151"/>
  <c r="I168" i="151"/>
  <c r="I202" i="151"/>
  <c r="I95" i="151"/>
  <c r="I83" i="151"/>
  <c r="I136" i="134"/>
  <c r="H371" i="86"/>
  <c r="I188" i="134"/>
  <c r="I204" i="134"/>
  <c r="I113" i="134"/>
  <c r="I187" i="135"/>
  <c r="H15" i="128"/>
  <c r="H327" i="86"/>
  <c r="H364" i="86" s="1"/>
  <c r="I67" i="86" s="1"/>
  <c r="H323" i="86"/>
  <c r="H360" i="86" s="1"/>
  <c r="I63" i="86" s="1"/>
  <c r="H319" i="86"/>
  <c r="H312" i="86"/>
  <c r="H349" i="86" s="1"/>
  <c r="H308" i="86"/>
  <c r="H345" i="86" s="1"/>
  <c r="H304" i="86"/>
  <c r="H341" i="86" s="1"/>
  <c r="H326" i="86"/>
  <c r="H363" i="86" s="1"/>
  <c r="I66" i="86" s="1"/>
  <c r="H322" i="86"/>
  <c r="H359" i="86" s="1"/>
  <c r="I62" i="86" s="1"/>
  <c r="H311" i="86"/>
  <c r="H348" i="86" s="1"/>
  <c r="H307" i="86"/>
  <c r="H344" i="86" s="1"/>
  <c r="H303" i="86"/>
  <c r="H325" i="86"/>
  <c r="H362" i="86" s="1"/>
  <c r="I65" i="86" s="1"/>
  <c r="H321" i="86"/>
  <c r="H358" i="86" s="1"/>
  <c r="I61" i="86" s="1"/>
  <c r="H310" i="86"/>
  <c r="H347" i="86" s="1"/>
  <c r="H306" i="86"/>
  <c r="H343" i="86" s="1"/>
  <c r="H328" i="86"/>
  <c r="H365" i="86" s="1"/>
  <c r="I68" i="86" s="1"/>
  <c r="H324" i="86"/>
  <c r="H361" i="86" s="1"/>
  <c r="I64" i="86" s="1"/>
  <c r="H320" i="86"/>
  <c r="H357" i="86" s="1"/>
  <c r="I60" i="86" s="1"/>
  <c r="H309" i="86"/>
  <c r="H346" i="86" s="1"/>
  <c r="H305" i="86"/>
  <c r="H342" i="86" s="1"/>
  <c r="I182" i="135"/>
  <c r="I114" i="135"/>
  <c r="I148" i="135"/>
  <c r="I135" i="136"/>
  <c r="I169" i="136"/>
  <c r="I182" i="151" l="1"/>
  <c r="I188" i="151"/>
  <c r="I153" i="135"/>
  <c r="I147" i="150"/>
  <c r="I186" i="134"/>
  <c r="I150" i="135"/>
  <c r="I114" i="151"/>
  <c r="I237" i="150"/>
  <c r="I271" i="150" s="1"/>
  <c r="I152" i="134"/>
  <c r="I86" i="138"/>
  <c r="I154" i="138" s="1"/>
  <c r="I81" i="142"/>
  <c r="I183" i="142" s="1"/>
  <c r="I98" i="134"/>
  <c r="I82" i="134"/>
  <c r="I95" i="136"/>
  <c r="I201" i="151"/>
  <c r="I113" i="150"/>
  <c r="I98" i="162"/>
  <c r="I80" i="142"/>
  <c r="I102" i="136"/>
  <c r="I170" i="136" s="1"/>
  <c r="I133" i="151"/>
  <c r="I100" i="142"/>
  <c r="I234" i="147"/>
  <c r="I268" i="147" s="1"/>
  <c r="I96" i="134"/>
  <c r="I200" i="134"/>
  <c r="I120" i="138"/>
  <c r="I147" i="134"/>
  <c r="I236" i="151"/>
  <c r="I270" i="151" s="1"/>
  <c r="I220" i="147"/>
  <c r="I254" i="147" s="1"/>
  <c r="I99" i="142"/>
  <c r="I79" i="136"/>
  <c r="I116" i="151"/>
  <c r="I218" i="151" s="1"/>
  <c r="I252" i="151" s="1"/>
  <c r="I81" i="138"/>
  <c r="I183" i="138" s="1"/>
  <c r="I215" i="147"/>
  <c r="I249" i="147" s="1"/>
  <c r="I98" i="135"/>
  <c r="I85" i="144"/>
  <c r="I187" i="144" s="1"/>
  <c r="I97" i="146"/>
  <c r="I131" i="146" s="1"/>
  <c r="I83" i="136"/>
  <c r="I95" i="135"/>
  <c r="I80" i="144"/>
  <c r="I148" i="144" s="1"/>
  <c r="I100" i="146"/>
  <c r="I95" i="146"/>
  <c r="I116" i="135"/>
  <c r="I188" i="138"/>
  <c r="I222" i="138" s="1"/>
  <c r="I256" i="138" s="1"/>
  <c r="I238" i="134"/>
  <c r="I272" i="134" s="1"/>
  <c r="I85" i="142"/>
  <c r="I96" i="136"/>
  <c r="I85" i="136"/>
  <c r="I80" i="136"/>
  <c r="I182" i="136" s="1"/>
  <c r="I83" i="138"/>
  <c r="I96" i="138"/>
  <c r="I100" i="138"/>
  <c r="I98" i="138"/>
  <c r="I235" i="150"/>
  <c r="I269" i="150" s="1"/>
  <c r="I99" i="135"/>
  <c r="I86" i="144"/>
  <c r="I120" i="144" s="1"/>
  <c r="I81" i="144"/>
  <c r="I183" i="144" s="1"/>
  <c r="I222" i="151"/>
  <c r="I256" i="151" s="1"/>
  <c r="I101" i="146"/>
  <c r="I98" i="146"/>
  <c r="I200" i="146" s="1"/>
  <c r="I232" i="147"/>
  <c r="I266" i="147" s="1"/>
  <c r="I163" i="151"/>
  <c r="I197" i="151"/>
  <c r="I129" i="151"/>
  <c r="I199" i="151"/>
  <c r="I233" i="151" s="1"/>
  <c r="I267" i="151" s="1"/>
  <c r="I165" i="151"/>
  <c r="I131" i="151"/>
  <c r="H321" i="137"/>
  <c r="H358" i="137" s="1"/>
  <c r="I61" i="137" s="1"/>
  <c r="H324" i="137"/>
  <c r="H361" i="137" s="1"/>
  <c r="I64" i="137" s="1"/>
  <c r="H327" i="137"/>
  <c r="H364" i="137" s="1"/>
  <c r="I67" i="137" s="1"/>
  <c r="H308" i="137"/>
  <c r="H345" i="137" s="1"/>
  <c r="I48" i="137" s="1"/>
  <c r="H311" i="137"/>
  <c r="H348" i="137" s="1"/>
  <c r="I51" i="137" s="1"/>
  <c r="H19" i="128"/>
  <c r="H69" i="128" s="1"/>
  <c r="H309" i="137"/>
  <c r="H346" i="137" s="1"/>
  <c r="I49" i="137" s="1"/>
  <c r="I83" i="137" s="1"/>
  <c r="H326" i="137"/>
  <c r="H363" i="137" s="1"/>
  <c r="I66" i="137" s="1"/>
  <c r="H303" i="137"/>
  <c r="H310" i="137"/>
  <c r="H347" i="137" s="1"/>
  <c r="I50" i="137" s="1"/>
  <c r="I84" i="137" s="1"/>
  <c r="H320" i="137"/>
  <c r="H357" i="137" s="1"/>
  <c r="I60" i="137" s="1"/>
  <c r="H323" i="137"/>
  <c r="H360" i="137" s="1"/>
  <c r="I63" i="137" s="1"/>
  <c r="H304" i="137"/>
  <c r="H341" i="137" s="1"/>
  <c r="I44" i="137" s="1"/>
  <c r="H307" i="137"/>
  <c r="H344" i="137" s="1"/>
  <c r="I47" i="137" s="1"/>
  <c r="H325" i="137"/>
  <c r="H362" i="137" s="1"/>
  <c r="I65" i="137" s="1"/>
  <c r="H328" i="137"/>
  <c r="H365" i="137" s="1"/>
  <c r="I68" i="137" s="1"/>
  <c r="I102" i="137" s="1"/>
  <c r="H305" i="137"/>
  <c r="H342" i="137" s="1"/>
  <c r="I45" i="137" s="1"/>
  <c r="I79" i="137" s="1"/>
  <c r="H312" i="137"/>
  <c r="H349" i="137" s="1"/>
  <c r="I52" i="137" s="1"/>
  <c r="H322" i="137"/>
  <c r="H359" i="137" s="1"/>
  <c r="I62" i="137" s="1"/>
  <c r="H306" i="137"/>
  <c r="H343" i="137" s="1"/>
  <c r="I46" i="137" s="1"/>
  <c r="H319" i="137"/>
  <c r="H106" i="102"/>
  <c r="H50" i="95"/>
  <c r="H75" i="95" s="1"/>
  <c r="H366" i="151"/>
  <c r="I69" i="151" s="1"/>
  <c r="I59" i="151"/>
  <c r="H367" i="151"/>
  <c r="I187" i="151"/>
  <c r="I119" i="151"/>
  <c r="I153" i="151"/>
  <c r="I167" i="162"/>
  <c r="I201" i="162"/>
  <c r="I133" i="162"/>
  <c r="I100" i="162"/>
  <c r="I151" i="162"/>
  <c r="I185" i="162"/>
  <c r="I117" i="162"/>
  <c r="I151" i="142"/>
  <c r="I185" i="142"/>
  <c r="I117" i="142"/>
  <c r="I164" i="142"/>
  <c r="I198" i="142"/>
  <c r="I130" i="142"/>
  <c r="I168" i="142"/>
  <c r="I202" i="142"/>
  <c r="I134" i="142"/>
  <c r="I101" i="142"/>
  <c r="I115" i="142"/>
  <c r="H103" i="102"/>
  <c r="H47" i="95"/>
  <c r="H72" i="95" s="1"/>
  <c r="I119" i="150"/>
  <c r="I187" i="150"/>
  <c r="I153" i="150"/>
  <c r="I167" i="134"/>
  <c r="I133" i="134"/>
  <c r="H17" i="102"/>
  <c r="F15" i="187"/>
  <c r="F44" i="187" s="1"/>
  <c r="F57" i="187" s="1"/>
  <c r="F98" i="187" s="1"/>
  <c r="H296" i="148"/>
  <c r="H371" i="148"/>
  <c r="I136" i="136"/>
  <c r="I81" i="136"/>
  <c r="H51" i="95"/>
  <c r="H76" i="95" s="1"/>
  <c r="H107" i="102"/>
  <c r="I101" i="138"/>
  <c r="I130" i="150"/>
  <c r="I198" i="150"/>
  <c r="I164" i="150"/>
  <c r="H313" i="135"/>
  <c r="H340" i="135"/>
  <c r="I100" i="135"/>
  <c r="I204" i="144"/>
  <c r="I136" i="144"/>
  <c r="I170" i="144"/>
  <c r="I188" i="144"/>
  <c r="H356" i="146"/>
  <c r="H330" i="146"/>
  <c r="I149" i="146"/>
  <c r="I183" i="146"/>
  <c r="I115" i="146"/>
  <c r="I169" i="146"/>
  <c r="I135" i="146"/>
  <c r="I203" i="146"/>
  <c r="I199" i="147"/>
  <c r="I131" i="147"/>
  <c r="I165" i="147"/>
  <c r="I149" i="147"/>
  <c r="I183" i="147"/>
  <c r="I115" i="147"/>
  <c r="H325" i="139"/>
  <c r="H362" i="139" s="1"/>
  <c r="I65" i="139" s="1"/>
  <c r="H328" i="139"/>
  <c r="H365" i="139" s="1"/>
  <c r="I68" i="139" s="1"/>
  <c r="H305" i="139"/>
  <c r="H342" i="139" s="1"/>
  <c r="I45" i="139" s="1"/>
  <c r="H312" i="139"/>
  <c r="H349" i="139" s="1"/>
  <c r="I52" i="139" s="1"/>
  <c r="H322" i="139"/>
  <c r="H359" i="139" s="1"/>
  <c r="I62" i="139" s="1"/>
  <c r="H320" i="139"/>
  <c r="H357" i="139" s="1"/>
  <c r="I60" i="139" s="1"/>
  <c r="H307" i="139"/>
  <c r="H344" i="139" s="1"/>
  <c r="I47" i="139" s="1"/>
  <c r="H321" i="139"/>
  <c r="H358" i="139" s="1"/>
  <c r="I61" i="139" s="1"/>
  <c r="I95" i="139" s="1"/>
  <c r="H324" i="139"/>
  <c r="H361" i="139" s="1"/>
  <c r="I64" i="139" s="1"/>
  <c r="H327" i="139"/>
  <c r="H364" i="139" s="1"/>
  <c r="I67" i="139" s="1"/>
  <c r="H308" i="139"/>
  <c r="H345" i="139" s="1"/>
  <c r="I48" i="139" s="1"/>
  <c r="I82" i="139" s="1"/>
  <c r="H311" i="139"/>
  <c r="H348" i="139" s="1"/>
  <c r="I51" i="139" s="1"/>
  <c r="H21" i="128"/>
  <c r="H71" i="128" s="1"/>
  <c r="H306" i="139"/>
  <c r="H343" i="139" s="1"/>
  <c r="I46" i="139" s="1"/>
  <c r="H309" i="139"/>
  <c r="H346" i="139" s="1"/>
  <c r="I49" i="139" s="1"/>
  <c r="I83" i="139" s="1"/>
  <c r="H319" i="139"/>
  <c r="H326" i="139"/>
  <c r="H363" i="139" s="1"/>
  <c r="I66" i="139" s="1"/>
  <c r="I100" i="139" s="1"/>
  <c r="H303" i="139"/>
  <c r="H310" i="139"/>
  <c r="H347" i="139" s="1"/>
  <c r="I50" i="139" s="1"/>
  <c r="I84" i="139" s="1"/>
  <c r="H323" i="139"/>
  <c r="H360" i="139" s="1"/>
  <c r="I63" i="139" s="1"/>
  <c r="H304" i="139"/>
  <c r="H341" i="139" s="1"/>
  <c r="I44" i="139" s="1"/>
  <c r="H327" i="149"/>
  <c r="H364" i="149" s="1"/>
  <c r="I67" i="149" s="1"/>
  <c r="H329" i="149"/>
  <c r="H306" i="149"/>
  <c r="H343" i="149" s="1"/>
  <c r="I46" i="149" s="1"/>
  <c r="H313" i="149"/>
  <c r="H323" i="149"/>
  <c r="H360" i="149" s="1"/>
  <c r="I63" i="149" s="1"/>
  <c r="H304" i="149"/>
  <c r="H341" i="149" s="1"/>
  <c r="I44" i="149" s="1"/>
  <c r="H311" i="149"/>
  <c r="H348" i="149" s="1"/>
  <c r="I51" i="149" s="1"/>
  <c r="H324" i="149"/>
  <c r="H361" i="149" s="1"/>
  <c r="I64" i="149" s="1"/>
  <c r="I98" i="149" s="1"/>
  <c r="H312" i="149"/>
  <c r="H349" i="149" s="1"/>
  <c r="I52" i="149" s="1"/>
  <c r="H303" i="149"/>
  <c r="H310" i="149"/>
  <c r="H347" i="149" s="1"/>
  <c r="I50" i="149" s="1"/>
  <c r="H308" i="149"/>
  <c r="H345" i="149" s="1"/>
  <c r="I48" i="149" s="1"/>
  <c r="H325" i="149"/>
  <c r="H362" i="149" s="1"/>
  <c r="I65" i="149" s="1"/>
  <c r="H328" i="149"/>
  <c r="H365" i="149" s="1"/>
  <c r="I68" i="149" s="1"/>
  <c r="H309" i="149"/>
  <c r="H346" i="149" s="1"/>
  <c r="I49" i="149" s="1"/>
  <c r="H319" i="149"/>
  <c r="H331" i="149"/>
  <c r="H307" i="149"/>
  <c r="H344" i="149" s="1"/>
  <c r="I47" i="149" s="1"/>
  <c r="H305" i="149"/>
  <c r="H342" i="149" s="1"/>
  <c r="I45" i="149" s="1"/>
  <c r="H326" i="149"/>
  <c r="H363" i="149" s="1"/>
  <c r="I66" i="149" s="1"/>
  <c r="I100" i="149" s="1"/>
  <c r="H320" i="149"/>
  <c r="H357" i="149" s="1"/>
  <c r="I60" i="149" s="1"/>
  <c r="H321" i="149"/>
  <c r="H358" i="149" s="1"/>
  <c r="I61" i="149" s="1"/>
  <c r="H31" i="128"/>
  <c r="H81" i="128" s="1"/>
  <c r="H322" i="149"/>
  <c r="H359" i="149" s="1"/>
  <c r="I62" i="149" s="1"/>
  <c r="I117" i="150"/>
  <c r="I185" i="150"/>
  <c r="I151" i="150"/>
  <c r="I236" i="150"/>
  <c r="I270" i="150" s="1"/>
  <c r="H304" i="143"/>
  <c r="H341" i="143" s="1"/>
  <c r="I44" i="143" s="1"/>
  <c r="H328" i="143"/>
  <c r="H365" i="143" s="1"/>
  <c r="I68" i="143" s="1"/>
  <c r="H309" i="143"/>
  <c r="H346" i="143" s="1"/>
  <c r="I49" i="143" s="1"/>
  <c r="H319" i="143"/>
  <c r="H331" i="143"/>
  <c r="H307" i="143"/>
  <c r="H344" i="143" s="1"/>
  <c r="I47" i="143" s="1"/>
  <c r="H321" i="143"/>
  <c r="H358" i="143" s="1"/>
  <c r="I61" i="143" s="1"/>
  <c r="H308" i="143"/>
  <c r="H345" i="143" s="1"/>
  <c r="I48" i="143" s="1"/>
  <c r="H329" i="143"/>
  <c r="H313" i="143"/>
  <c r="H311" i="143"/>
  <c r="H348" i="143" s="1"/>
  <c r="I51" i="143" s="1"/>
  <c r="H324" i="143"/>
  <c r="H361" i="143" s="1"/>
  <c r="I64" i="143" s="1"/>
  <c r="H305" i="143"/>
  <c r="H342" i="143" s="1"/>
  <c r="I45" i="143" s="1"/>
  <c r="I79" i="143" s="1"/>
  <c r="H312" i="143"/>
  <c r="H349" i="143" s="1"/>
  <c r="I52" i="143" s="1"/>
  <c r="H326" i="143"/>
  <c r="H363" i="143" s="1"/>
  <c r="I66" i="143" s="1"/>
  <c r="H303" i="143"/>
  <c r="H310" i="143"/>
  <c r="H347" i="143" s="1"/>
  <c r="I50" i="143" s="1"/>
  <c r="H320" i="143"/>
  <c r="H357" i="143" s="1"/>
  <c r="I60" i="143" s="1"/>
  <c r="H327" i="143"/>
  <c r="H364" i="143" s="1"/>
  <c r="I67" i="143" s="1"/>
  <c r="I101" i="143" s="1"/>
  <c r="H322" i="143"/>
  <c r="H359" i="143" s="1"/>
  <c r="I62" i="143" s="1"/>
  <c r="H306" i="143"/>
  <c r="H343" i="143" s="1"/>
  <c r="I46" i="143" s="1"/>
  <c r="I80" i="143" s="1"/>
  <c r="H323" i="143"/>
  <c r="H360" i="143" s="1"/>
  <c r="I63" i="143" s="1"/>
  <c r="H325" i="143"/>
  <c r="H362" i="143" s="1"/>
  <c r="I65" i="143" s="1"/>
  <c r="H25" i="128"/>
  <c r="H75" i="128" s="1"/>
  <c r="I166" i="151"/>
  <c r="I200" i="151"/>
  <c r="I132" i="151"/>
  <c r="I216" i="151"/>
  <c r="I250" i="151" s="1"/>
  <c r="I120" i="162"/>
  <c r="I188" i="162"/>
  <c r="I154" i="162"/>
  <c r="I183" i="162"/>
  <c r="I149" i="162"/>
  <c r="I115" i="162"/>
  <c r="I80" i="162"/>
  <c r="I199" i="162"/>
  <c r="I165" i="162"/>
  <c r="I131" i="162"/>
  <c r="I164" i="162"/>
  <c r="I198" i="162"/>
  <c r="I130" i="162"/>
  <c r="I95" i="162"/>
  <c r="I133" i="142"/>
  <c r="I201" i="142"/>
  <c r="I167" i="142"/>
  <c r="I86" i="142"/>
  <c r="H332" i="142"/>
  <c r="H333" i="142" s="1"/>
  <c r="I79" i="142"/>
  <c r="F104" i="200"/>
  <c r="F29" i="205" s="1"/>
  <c r="F103" i="200"/>
  <c r="F105" i="200"/>
  <c r="F29" i="207" s="1"/>
  <c r="F30" i="209" s="1"/>
  <c r="F262" i="209" s="1"/>
  <c r="F31" i="210" s="1"/>
  <c r="F70" i="211" s="1"/>
  <c r="I237" i="147"/>
  <c r="I271" i="147" s="1"/>
  <c r="H27" i="128"/>
  <c r="H77" i="128" s="1"/>
  <c r="H311" i="145"/>
  <c r="H348" i="145" s="1"/>
  <c r="I51" i="145" s="1"/>
  <c r="H325" i="145"/>
  <c r="H362" i="145" s="1"/>
  <c r="I65" i="145" s="1"/>
  <c r="H328" i="145"/>
  <c r="H365" i="145" s="1"/>
  <c r="I68" i="145" s="1"/>
  <c r="H309" i="145"/>
  <c r="H346" i="145" s="1"/>
  <c r="I49" i="145" s="1"/>
  <c r="H319" i="145"/>
  <c r="H331" i="145"/>
  <c r="H307" i="145"/>
  <c r="H344" i="145" s="1"/>
  <c r="I47" i="145" s="1"/>
  <c r="H321" i="145"/>
  <c r="H358" i="145" s="1"/>
  <c r="I61" i="145" s="1"/>
  <c r="H324" i="145"/>
  <c r="H361" i="145" s="1"/>
  <c r="I64" i="145" s="1"/>
  <c r="H305" i="145"/>
  <c r="H342" i="145" s="1"/>
  <c r="I45" i="145" s="1"/>
  <c r="H312" i="145"/>
  <c r="H349" i="145" s="1"/>
  <c r="I52" i="145" s="1"/>
  <c r="H326" i="145"/>
  <c r="H363" i="145" s="1"/>
  <c r="I66" i="145" s="1"/>
  <c r="H303" i="145"/>
  <c r="H310" i="145"/>
  <c r="H347" i="145" s="1"/>
  <c r="I50" i="145" s="1"/>
  <c r="H320" i="145"/>
  <c r="H357" i="145" s="1"/>
  <c r="I60" i="145" s="1"/>
  <c r="H327" i="145"/>
  <c r="H364" i="145" s="1"/>
  <c r="I67" i="145" s="1"/>
  <c r="I101" i="145" s="1"/>
  <c r="H308" i="145"/>
  <c r="H345" i="145" s="1"/>
  <c r="I48" i="145" s="1"/>
  <c r="H322" i="145"/>
  <c r="H359" i="145" s="1"/>
  <c r="I62" i="145" s="1"/>
  <c r="H329" i="145"/>
  <c r="H306" i="145"/>
  <c r="H343" i="145" s="1"/>
  <c r="I46" i="145" s="1"/>
  <c r="H313" i="145"/>
  <c r="H323" i="145"/>
  <c r="H360" i="145" s="1"/>
  <c r="I63" i="145" s="1"/>
  <c r="I97" i="145" s="1"/>
  <c r="H304" i="145"/>
  <c r="H341" i="145" s="1"/>
  <c r="I44" i="145" s="1"/>
  <c r="H350" i="150"/>
  <c r="H351" i="150" s="1"/>
  <c r="I43" i="150"/>
  <c r="H340" i="134"/>
  <c r="H313" i="134"/>
  <c r="I154" i="134"/>
  <c r="I120" i="134"/>
  <c r="I81" i="134"/>
  <c r="I85" i="134"/>
  <c r="I95" i="134"/>
  <c r="H19" i="102"/>
  <c r="F15" i="189"/>
  <c r="F44" i="189" s="1"/>
  <c r="F57" i="189" s="1"/>
  <c r="F98" i="189" s="1"/>
  <c r="I82" i="136"/>
  <c r="H340" i="136"/>
  <c r="H313" i="136"/>
  <c r="I86" i="136"/>
  <c r="H340" i="138"/>
  <c r="H313" i="138"/>
  <c r="I79" i="138"/>
  <c r="I95" i="138"/>
  <c r="I133" i="147"/>
  <c r="I167" i="147"/>
  <c r="I201" i="147"/>
  <c r="I218" i="147"/>
  <c r="I252" i="147" s="1"/>
  <c r="I215" i="150"/>
  <c r="I249" i="150" s="1"/>
  <c r="I136" i="135"/>
  <c r="I204" i="135"/>
  <c r="H356" i="135"/>
  <c r="H329" i="135"/>
  <c r="H330" i="135" s="1"/>
  <c r="I96" i="135"/>
  <c r="I97" i="135"/>
  <c r="I201" i="144"/>
  <c r="I167" i="144"/>
  <c r="I133" i="144"/>
  <c r="I199" i="144"/>
  <c r="I165" i="144"/>
  <c r="I131" i="144"/>
  <c r="I164" i="144"/>
  <c r="I130" i="144"/>
  <c r="I198" i="144"/>
  <c r="I84" i="144"/>
  <c r="I79" i="144"/>
  <c r="I186" i="146"/>
  <c r="I118" i="146"/>
  <c r="I152" i="146"/>
  <c r="I151" i="146"/>
  <c r="I185" i="146"/>
  <c r="I117" i="146"/>
  <c r="I99" i="146"/>
  <c r="I96" i="146"/>
  <c r="H371" i="141"/>
  <c r="H296" i="141"/>
  <c r="I136" i="147"/>
  <c r="I204" i="147"/>
  <c r="I170" i="147"/>
  <c r="I222" i="147"/>
  <c r="I256" i="147" s="1"/>
  <c r="I217" i="150"/>
  <c r="I251" i="150" s="1"/>
  <c r="I164" i="134"/>
  <c r="I148" i="150"/>
  <c r="I114" i="150"/>
  <c r="I182" i="150"/>
  <c r="I129" i="150"/>
  <c r="I163" i="150"/>
  <c r="I197" i="150"/>
  <c r="I237" i="151"/>
  <c r="I271" i="151" s="1"/>
  <c r="I79" i="162"/>
  <c r="I170" i="162"/>
  <c r="I136" i="162"/>
  <c r="I204" i="162"/>
  <c r="H332" i="162"/>
  <c r="H333" i="162" s="1"/>
  <c r="I82" i="162"/>
  <c r="H25" i="102"/>
  <c r="F15" i="195"/>
  <c r="F44" i="195" s="1"/>
  <c r="F57" i="195" s="1"/>
  <c r="F98" i="195" s="1"/>
  <c r="I97" i="142"/>
  <c r="I84" i="142"/>
  <c r="H24" i="102"/>
  <c r="F15" i="194"/>
  <c r="F44" i="194" s="1"/>
  <c r="F57" i="194" s="1"/>
  <c r="F98" i="194" s="1"/>
  <c r="I98" i="142"/>
  <c r="H356" i="142"/>
  <c r="H330" i="142"/>
  <c r="H366" i="150"/>
  <c r="I69" i="150" s="1"/>
  <c r="I59" i="150"/>
  <c r="I218" i="150"/>
  <c r="I252" i="150" s="1"/>
  <c r="H329" i="134"/>
  <c r="H330" i="134" s="1"/>
  <c r="H356" i="134"/>
  <c r="I100" i="134"/>
  <c r="I181" i="136"/>
  <c r="I113" i="136"/>
  <c r="I147" i="136"/>
  <c r="I132" i="136"/>
  <c r="I200" i="136"/>
  <c r="I100" i="136"/>
  <c r="I97" i="136"/>
  <c r="I147" i="151"/>
  <c r="I113" i="151"/>
  <c r="I181" i="151"/>
  <c r="H329" i="138"/>
  <c r="H330" i="138" s="1"/>
  <c r="H356" i="138"/>
  <c r="I102" i="138"/>
  <c r="H21" i="102"/>
  <c r="F15" i="191"/>
  <c r="F44" i="191" s="1"/>
  <c r="F57" i="191" s="1"/>
  <c r="F98" i="191" s="1"/>
  <c r="I85" i="138"/>
  <c r="I220" i="150"/>
  <c r="I254" i="150" s="1"/>
  <c r="I86" i="135"/>
  <c r="I101" i="135"/>
  <c r="H18" i="102"/>
  <c r="F15" i="188"/>
  <c r="F44" i="188" s="1"/>
  <c r="F57" i="188" s="1"/>
  <c r="F98" i="188" s="1"/>
  <c r="I84" i="135"/>
  <c r="H356" i="144"/>
  <c r="H330" i="144"/>
  <c r="I119" i="144"/>
  <c r="H332" i="144"/>
  <c r="H333" i="144" s="1"/>
  <c r="I82" i="144"/>
  <c r="H340" i="144"/>
  <c r="H314" i="144"/>
  <c r="I98" i="144"/>
  <c r="I136" i="151"/>
  <c r="I204" i="151"/>
  <c r="I170" i="151"/>
  <c r="I232" i="151"/>
  <c r="I266" i="151" s="1"/>
  <c r="H340" i="146"/>
  <c r="H314" i="146"/>
  <c r="I102" i="146"/>
  <c r="I199" i="146"/>
  <c r="I85" i="146"/>
  <c r="F15" i="199"/>
  <c r="F44" i="199" s="1"/>
  <c r="F57" i="199" s="1"/>
  <c r="F98" i="199" s="1"/>
  <c r="H29" i="102"/>
  <c r="I86" i="146"/>
  <c r="I136" i="150"/>
  <c r="I204" i="150"/>
  <c r="I170" i="150"/>
  <c r="I215" i="134"/>
  <c r="I249" i="134" s="1"/>
  <c r="I151" i="151"/>
  <c r="I117" i="151"/>
  <c r="I185" i="151"/>
  <c r="I185" i="147"/>
  <c r="I151" i="147"/>
  <c r="I117" i="147"/>
  <c r="I197" i="147"/>
  <c r="I163" i="147"/>
  <c r="I129" i="147"/>
  <c r="F103" i="203"/>
  <c r="F104" i="203"/>
  <c r="F32" i="205" s="1"/>
  <c r="F105" i="203"/>
  <c r="F32" i="207" s="1"/>
  <c r="F33" i="209" s="1"/>
  <c r="F265" i="209" s="1"/>
  <c r="F34" i="210" s="1"/>
  <c r="F73" i="211" s="1"/>
  <c r="I43" i="151"/>
  <c r="H350" i="151"/>
  <c r="H351" i="151" s="1"/>
  <c r="H340" i="162"/>
  <c r="H314" i="162"/>
  <c r="I200" i="162"/>
  <c r="I132" i="162"/>
  <c r="I166" i="162"/>
  <c r="H356" i="162"/>
  <c r="H330" i="162"/>
  <c r="I187" i="162"/>
  <c r="I153" i="162"/>
  <c r="I119" i="162"/>
  <c r="I84" i="162"/>
  <c r="I101" i="162"/>
  <c r="I187" i="142"/>
  <c r="I153" i="142"/>
  <c r="I119" i="142"/>
  <c r="I182" i="142"/>
  <c r="I114" i="142"/>
  <c r="I148" i="142"/>
  <c r="H340" i="142"/>
  <c r="H314" i="142"/>
  <c r="I102" i="142"/>
  <c r="I82" i="142"/>
  <c r="I95" i="142"/>
  <c r="I119" i="147"/>
  <c r="I153" i="147"/>
  <c r="I187" i="147"/>
  <c r="I59" i="147"/>
  <c r="H366" i="147"/>
  <c r="I69" i="147" s="1"/>
  <c r="I216" i="147"/>
  <c r="I250" i="147" s="1"/>
  <c r="I166" i="150"/>
  <c r="I200" i="150"/>
  <c r="I132" i="150"/>
  <c r="I80" i="134"/>
  <c r="I97" i="134"/>
  <c r="I83" i="134"/>
  <c r="I101" i="134"/>
  <c r="I99" i="136"/>
  <c r="I185" i="136"/>
  <c r="I151" i="136"/>
  <c r="I117" i="136"/>
  <c r="H329" i="136"/>
  <c r="H330" i="136" s="1"/>
  <c r="H356" i="136"/>
  <c r="I84" i="136"/>
  <c r="I235" i="151"/>
  <c r="I269" i="151" s="1"/>
  <c r="F103" i="204"/>
  <c r="F104" i="204"/>
  <c r="F33" i="205" s="1"/>
  <c r="F105" i="204"/>
  <c r="F33" i="207" s="1"/>
  <c r="F34" i="209" s="1"/>
  <c r="F266" i="209" s="1"/>
  <c r="F35" i="210" s="1"/>
  <c r="F74" i="211" s="1"/>
  <c r="I84" i="138"/>
  <c r="I99" i="138"/>
  <c r="I80" i="138"/>
  <c r="I97" i="138"/>
  <c r="I82" i="138"/>
  <c r="I236" i="147"/>
  <c r="I270" i="147" s="1"/>
  <c r="I233" i="150"/>
  <c r="I267" i="150" s="1"/>
  <c r="I79" i="135"/>
  <c r="I83" i="135"/>
  <c r="I81" i="135"/>
  <c r="I117" i="144"/>
  <c r="I185" i="144"/>
  <c r="I151" i="144"/>
  <c r="F15" i="197"/>
  <c r="F44" i="197" s="1"/>
  <c r="F57" i="197" s="1"/>
  <c r="F98" i="197" s="1"/>
  <c r="H27" i="102"/>
  <c r="I135" i="144"/>
  <c r="I169" i="144"/>
  <c r="I203" i="144"/>
  <c r="I100" i="144"/>
  <c r="I95" i="144"/>
  <c r="I115" i="151"/>
  <c r="I183" i="151"/>
  <c r="I149" i="151"/>
  <c r="I220" i="151"/>
  <c r="I254" i="151" s="1"/>
  <c r="I168" i="146"/>
  <c r="I202" i="146"/>
  <c r="I134" i="146"/>
  <c r="I129" i="146"/>
  <c r="I197" i="146"/>
  <c r="I163" i="146"/>
  <c r="H332" i="146"/>
  <c r="H333" i="146" s="1"/>
  <c r="I82" i="146"/>
  <c r="I148" i="146"/>
  <c r="I182" i="146"/>
  <c r="I114" i="146"/>
  <c r="I79" i="146"/>
  <c r="I43" i="147"/>
  <c r="H350" i="147"/>
  <c r="H351" i="147" s="1"/>
  <c r="H33" i="128"/>
  <c r="H83" i="128" s="1"/>
  <c r="H325" i="140"/>
  <c r="H362" i="140" s="1"/>
  <c r="I65" i="140" s="1"/>
  <c r="H321" i="140"/>
  <c r="H358" i="140" s="1"/>
  <c r="I61" i="140" s="1"/>
  <c r="H310" i="140"/>
  <c r="H347" i="140" s="1"/>
  <c r="I50" i="140" s="1"/>
  <c r="H306" i="140"/>
  <c r="H343" i="140" s="1"/>
  <c r="I46" i="140" s="1"/>
  <c r="H327" i="140"/>
  <c r="H364" i="140" s="1"/>
  <c r="I67" i="140" s="1"/>
  <c r="H323" i="140"/>
  <c r="H360" i="140" s="1"/>
  <c r="I63" i="140" s="1"/>
  <c r="H319" i="140"/>
  <c r="H312" i="140"/>
  <c r="H349" i="140" s="1"/>
  <c r="I52" i="140" s="1"/>
  <c r="H308" i="140"/>
  <c r="H345" i="140" s="1"/>
  <c r="I48" i="140" s="1"/>
  <c r="H304" i="140"/>
  <c r="H341" i="140" s="1"/>
  <c r="I44" i="140" s="1"/>
  <c r="H311" i="140"/>
  <c r="H348" i="140" s="1"/>
  <c r="H307" i="140"/>
  <c r="H344" i="140" s="1"/>
  <c r="H303" i="140"/>
  <c r="H331" i="140"/>
  <c r="H328" i="140"/>
  <c r="H365" i="140" s="1"/>
  <c r="I68" i="140" s="1"/>
  <c r="I102" i="140" s="1"/>
  <c r="H324" i="140"/>
  <c r="H361" i="140" s="1"/>
  <c r="I64" i="140" s="1"/>
  <c r="I98" i="140" s="1"/>
  <c r="H320" i="140"/>
  <c r="H357" i="140" s="1"/>
  <c r="I60" i="140" s="1"/>
  <c r="H309" i="140"/>
  <c r="H346" i="140" s="1"/>
  <c r="H305" i="140"/>
  <c r="H342" i="140" s="1"/>
  <c r="H326" i="140"/>
  <c r="H363" i="140" s="1"/>
  <c r="I66" i="140" s="1"/>
  <c r="I100" i="140" s="1"/>
  <c r="H322" i="140"/>
  <c r="H359" i="140" s="1"/>
  <c r="I62" i="140" s="1"/>
  <c r="I96" i="140" s="1"/>
  <c r="I222" i="150"/>
  <c r="I256" i="150" s="1"/>
  <c r="I220" i="134"/>
  <c r="I254" i="134" s="1"/>
  <c r="I218" i="135"/>
  <c r="I252" i="135" s="1"/>
  <c r="I100" i="86"/>
  <c r="I168" i="86" s="1"/>
  <c r="I97" i="86"/>
  <c r="I165" i="86" s="1"/>
  <c r="I102" i="86"/>
  <c r="I204" i="86" s="1"/>
  <c r="I98" i="86"/>
  <c r="I95" i="86"/>
  <c r="I51" i="86"/>
  <c r="I48" i="86"/>
  <c r="I101" i="86"/>
  <c r="I237" i="136"/>
  <c r="I271" i="136" s="1"/>
  <c r="I45" i="86"/>
  <c r="I99" i="86"/>
  <c r="I96" i="86"/>
  <c r="I52" i="86"/>
  <c r="H65" i="128"/>
  <c r="I216" i="135"/>
  <c r="I250" i="135" s="1"/>
  <c r="I49" i="86"/>
  <c r="I46" i="86"/>
  <c r="H340" i="86"/>
  <c r="H313" i="86"/>
  <c r="H356" i="86"/>
  <c r="H329" i="86"/>
  <c r="H330" i="86" s="1"/>
  <c r="I50" i="86"/>
  <c r="I47" i="86"/>
  <c r="I44" i="86"/>
  <c r="I221" i="135"/>
  <c r="I255" i="135" s="1"/>
  <c r="I148" i="136" l="1"/>
  <c r="I165" i="146"/>
  <c r="I115" i="138"/>
  <c r="I86" i="143"/>
  <c r="I81" i="149"/>
  <c r="I204" i="136"/>
  <c r="I149" i="142"/>
  <c r="I217" i="142" s="1"/>
  <c r="I251" i="142" s="1"/>
  <c r="I134" i="86"/>
  <c r="I149" i="138"/>
  <c r="I115" i="144"/>
  <c r="I166" i="134"/>
  <c r="I234" i="134" s="1"/>
  <c r="I268" i="134" s="1"/>
  <c r="I132" i="134"/>
  <c r="I233" i="144"/>
  <c r="I267" i="144" s="1"/>
  <c r="I96" i="145"/>
  <c r="I84" i="145"/>
  <c r="I99" i="143"/>
  <c r="I85" i="143"/>
  <c r="I83" i="143"/>
  <c r="I83" i="149"/>
  <c r="I97" i="139"/>
  <c r="I149" i="144"/>
  <c r="I114" i="136"/>
  <c r="I216" i="136" s="1"/>
  <c r="I250" i="136" s="1"/>
  <c r="I198" i="134"/>
  <c r="I232" i="134" s="1"/>
  <c r="I266" i="134" s="1"/>
  <c r="I130" i="134"/>
  <c r="H332" i="145"/>
  <c r="H333" i="145" s="1"/>
  <c r="I82" i="145"/>
  <c r="I217" i="162"/>
  <c r="I251" i="162" s="1"/>
  <c r="I234" i="151"/>
  <c r="I268" i="151" s="1"/>
  <c r="I97" i="143"/>
  <c r="H332" i="143"/>
  <c r="H333" i="143" s="1"/>
  <c r="I95" i="149"/>
  <c r="I102" i="149"/>
  <c r="I81" i="139"/>
  <c r="I163" i="136"/>
  <c r="I197" i="136"/>
  <c r="I231" i="136" s="1"/>
  <c r="I265" i="136" s="1"/>
  <c r="I129" i="136"/>
  <c r="I99" i="149"/>
  <c r="I116" i="134"/>
  <c r="I184" i="134"/>
  <c r="I150" i="134"/>
  <c r="I153" i="136"/>
  <c r="I119" i="136"/>
  <c r="I187" i="136"/>
  <c r="I182" i="144"/>
  <c r="I231" i="147"/>
  <c r="I265" i="147" s="1"/>
  <c r="I153" i="144"/>
  <c r="I70" i="150"/>
  <c r="I238" i="162"/>
  <c r="I272" i="162" s="1"/>
  <c r="I80" i="145"/>
  <c r="I100" i="145"/>
  <c r="I84" i="143"/>
  <c r="I132" i="146"/>
  <c r="I154" i="144"/>
  <c r="I222" i="144" s="1"/>
  <c r="I256" i="144" s="1"/>
  <c r="I219" i="162"/>
  <c r="I253" i="162" s="1"/>
  <c r="I221" i="151"/>
  <c r="I255" i="151" s="1"/>
  <c r="I70" i="151"/>
  <c r="I80" i="137"/>
  <c r="I201" i="135"/>
  <c r="I167" i="135"/>
  <c r="I133" i="135"/>
  <c r="I164" i="138"/>
  <c r="I198" i="138"/>
  <c r="I130" i="138"/>
  <c r="I198" i="136"/>
  <c r="I130" i="136"/>
  <c r="I164" i="136"/>
  <c r="I163" i="135"/>
  <c r="I129" i="135"/>
  <c r="I197" i="135"/>
  <c r="I166" i="135"/>
  <c r="I132" i="135"/>
  <c r="I200" i="135"/>
  <c r="I114" i="144"/>
  <c r="I221" i="147"/>
  <c r="I255" i="147" s="1"/>
  <c r="I219" i="147"/>
  <c r="I253" i="147" s="1"/>
  <c r="I219" i="151"/>
  <c r="I253" i="151" s="1"/>
  <c r="I238" i="150"/>
  <c r="I272" i="150" s="1"/>
  <c r="I215" i="136"/>
  <c r="I249" i="136" s="1"/>
  <c r="I231" i="150"/>
  <c r="I265" i="150" s="1"/>
  <c r="I86" i="145"/>
  <c r="I96" i="143"/>
  <c r="I166" i="146"/>
  <c r="I234" i="146" s="1"/>
  <c r="I268" i="146" s="1"/>
  <c r="I96" i="137"/>
  <c r="I99" i="137"/>
  <c r="I117" i="138"/>
  <c r="I151" i="138"/>
  <c r="I185" i="138"/>
  <c r="I168" i="138"/>
  <c r="I202" i="138"/>
  <c r="I134" i="138"/>
  <c r="I221" i="142"/>
  <c r="I255" i="142" s="1"/>
  <c r="I234" i="162"/>
  <c r="I268" i="162" s="1"/>
  <c r="I217" i="138"/>
  <c r="I251" i="138" s="1"/>
  <c r="I234" i="136"/>
  <c r="I268" i="136" s="1"/>
  <c r="I238" i="135"/>
  <c r="I272" i="135" s="1"/>
  <c r="I235" i="147"/>
  <c r="I269" i="147" s="1"/>
  <c r="I222" i="134"/>
  <c r="I256" i="134" s="1"/>
  <c r="I99" i="145"/>
  <c r="I79" i="149"/>
  <c r="I217" i="147"/>
  <c r="I251" i="147" s="1"/>
  <c r="I217" i="146"/>
  <c r="I251" i="146" s="1"/>
  <c r="I86" i="137"/>
  <c r="I200" i="138"/>
  <c r="I166" i="138"/>
  <c r="I132" i="138"/>
  <c r="I234" i="138" s="1"/>
  <c r="I268" i="138" s="1"/>
  <c r="I130" i="140"/>
  <c r="I198" i="140"/>
  <c r="I232" i="140" s="1"/>
  <c r="I266" i="140" s="1"/>
  <c r="I164" i="140"/>
  <c r="H340" i="140"/>
  <c r="H313" i="140"/>
  <c r="I101" i="140"/>
  <c r="I99" i="140"/>
  <c r="I77" i="147"/>
  <c r="I78" i="147"/>
  <c r="I113" i="135"/>
  <c r="I181" i="135"/>
  <c r="I147" i="135"/>
  <c r="I215" i="135" s="1"/>
  <c r="I249" i="135" s="1"/>
  <c r="I199" i="138"/>
  <c r="I131" i="138"/>
  <c r="I165" i="138"/>
  <c r="F272" i="211"/>
  <c r="L83" i="218" s="1"/>
  <c r="F247" i="211"/>
  <c r="I152" i="136"/>
  <c r="I186" i="136"/>
  <c r="I118" i="136"/>
  <c r="I220" i="136" s="1"/>
  <c r="I254" i="136" s="1"/>
  <c r="I151" i="134"/>
  <c r="I185" i="134"/>
  <c r="I117" i="134"/>
  <c r="I234" i="150"/>
  <c r="I268" i="150" s="1"/>
  <c r="I70" i="147"/>
  <c r="I169" i="162"/>
  <c r="I135" i="162"/>
  <c r="I203" i="162"/>
  <c r="I237" i="162" s="1"/>
  <c r="I271" i="162" s="1"/>
  <c r="H46" i="95"/>
  <c r="H71" i="95" s="1"/>
  <c r="H102" i="102"/>
  <c r="H350" i="146"/>
  <c r="I43" i="146"/>
  <c r="I184" i="144"/>
  <c r="I116" i="144"/>
  <c r="I150" i="144"/>
  <c r="F103" i="188"/>
  <c r="F104" i="188"/>
  <c r="F17" i="205" s="1"/>
  <c r="F105" i="188"/>
  <c r="F17" i="207" s="1"/>
  <c r="F18" i="209" s="1"/>
  <c r="F250" i="209" s="1"/>
  <c r="F19" i="210" s="1"/>
  <c r="F58" i="211" s="1"/>
  <c r="F105" i="191"/>
  <c r="F20" i="207" s="1"/>
  <c r="F21" i="209" s="1"/>
  <c r="F253" i="209" s="1"/>
  <c r="F22" i="210" s="1"/>
  <c r="F61" i="211" s="1"/>
  <c r="F103" i="191"/>
  <c r="F104" i="191"/>
  <c r="F20" i="205" s="1"/>
  <c r="I199" i="136"/>
  <c r="I131" i="136"/>
  <c r="I165" i="136"/>
  <c r="I59" i="134"/>
  <c r="H366" i="134"/>
  <c r="I93" i="150"/>
  <c r="I94" i="150"/>
  <c r="I200" i="142"/>
  <c r="I166" i="142"/>
  <c r="I132" i="142"/>
  <c r="I165" i="142"/>
  <c r="I131" i="142"/>
  <c r="I199" i="142"/>
  <c r="I147" i="162"/>
  <c r="I181" i="162"/>
  <c r="I113" i="162"/>
  <c r="I198" i="146"/>
  <c r="I164" i="146"/>
  <c r="I130" i="146"/>
  <c r="I219" i="146"/>
  <c r="I253" i="146" s="1"/>
  <c r="I220" i="146"/>
  <c r="I254" i="146" s="1"/>
  <c r="I232" i="144"/>
  <c r="I266" i="144" s="1"/>
  <c r="H366" i="135"/>
  <c r="I59" i="135"/>
  <c r="I129" i="138"/>
  <c r="I197" i="138"/>
  <c r="I163" i="138"/>
  <c r="I188" i="136"/>
  <c r="I120" i="136"/>
  <c r="I154" i="136"/>
  <c r="F103" i="189"/>
  <c r="F104" i="189"/>
  <c r="F18" i="205" s="1"/>
  <c r="F105" i="189"/>
  <c r="F18" i="207" s="1"/>
  <c r="F19" i="209" s="1"/>
  <c r="F251" i="209" s="1"/>
  <c r="F20" i="210" s="1"/>
  <c r="F59" i="211" s="1"/>
  <c r="F257" i="211" s="1"/>
  <c r="L68" i="218" s="1"/>
  <c r="I149" i="134"/>
  <c r="I115" i="134"/>
  <c r="I183" i="134"/>
  <c r="I43" i="134"/>
  <c r="H350" i="134"/>
  <c r="I188" i="145"/>
  <c r="I154" i="145"/>
  <c r="I120" i="145"/>
  <c r="I81" i="145"/>
  <c r="I102" i="145"/>
  <c r="I113" i="142"/>
  <c r="I181" i="142"/>
  <c r="I147" i="142"/>
  <c r="I222" i="162"/>
  <c r="I256" i="162" s="1"/>
  <c r="I114" i="143"/>
  <c r="I182" i="143"/>
  <c r="I148" i="143"/>
  <c r="I186" i="143"/>
  <c r="I118" i="143"/>
  <c r="I152" i="143"/>
  <c r="I147" i="143"/>
  <c r="I181" i="143"/>
  <c r="I113" i="143"/>
  <c r="I201" i="149"/>
  <c r="I133" i="149"/>
  <c r="I167" i="149"/>
  <c r="I86" i="149"/>
  <c r="I97" i="149"/>
  <c r="I101" i="149"/>
  <c r="H313" i="139"/>
  <c r="H314" i="139" s="1"/>
  <c r="H340" i="139"/>
  <c r="I80" i="139"/>
  <c r="I101" i="139"/>
  <c r="I102" i="139"/>
  <c r="I233" i="147"/>
  <c r="I267" i="147" s="1"/>
  <c r="I237" i="146"/>
  <c r="I271" i="146" s="1"/>
  <c r="I238" i="144"/>
  <c r="I272" i="144" s="1"/>
  <c r="H350" i="135"/>
  <c r="I43" i="135"/>
  <c r="I183" i="136"/>
  <c r="I115" i="136"/>
  <c r="I149" i="136"/>
  <c r="H321" i="148"/>
  <c r="H358" i="148" s="1"/>
  <c r="I61" i="148" s="1"/>
  <c r="H328" i="148"/>
  <c r="H365" i="148" s="1"/>
  <c r="I68" i="148" s="1"/>
  <c r="H309" i="148"/>
  <c r="H346" i="148" s="1"/>
  <c r="I49" i="148" s="1"/>
  <c r="H319" i="148"/>
  <c r="H326" i="148"/>
  <c r="H363" i="148" s="1"/>
  <c r="I66" i="148" s="1"/>
  <c r="H303" i="148"/>
  <c r="H30" i="128"/>
  <c r="H80" i="128" s="1"/>
  <c r="H310" i="148"/>
  <c r="H347" i="148" s="1"/>
  <c r="I50" i="148" s="1"/>
  <c r="I84" i="148" s="1"/>
  <c r="H324" i="148"/>
  <c r="H361" i="148" s="1"/>
  <c r="I64" i="148" s="1"/>
  <c r="H305" i="148"/>
  <c r="H342" i="148" s="1"/>
  <c r="I45" i="148" s="1"/>
  <c r="H312" i="148"/>
  <c r="H349" i="148" s="1"/>
  <c r="I52" i="148" s="1"/>
  <c r="H322" i="148"/>
  <c r="H359" i="148" s="1"/>
  <c r="I62" i="148" s="1"/>
  <c r="H325" i="148"/>
  <c r="H362" i="148" s="1"/>
  <c r="I65" i="148" s="1"/>
  <c r="I99" i="148" s="1"/>
  <c r="H304" i="148"/>
  <c r="H341" i="148" s="1"/>
  <c r="I44" i="148" s="1"/>
  <c r="H331" i="148"/>
  <c r="H306" i="148"/>
  <c r="H343" i="148" s="1"/>
  <c r="I46" i="148" s="1"/>
  <c r="H320" i="148"/>
  <c r="H357" i="148" s="1"/>
  <c r="I60" i="148" s="1"/>
  <c r="H327" i="148"/>
  <c r="H364" i="148" s="1"/>
  <c r="I67" i="148" s="1"/>
  <c r="I101" i="148" s="1"/>
  <c r="H308" i="148"/>
  <c r="H345" i="148" s="1"/>
  <c r="I48" i="148" s="1"/>
  <c r="H311" i="148"/>
  <c r="H348" i="148" s="1"/>
  <c r="I51" i="148" s="1"/>
  <c r="I85" i="148" s="1"/>
  <c r="H329" i="148"/>
  <c r="H323" i="148"/>
  <c r="H360" i="148" s="1"/>
  <c r="I63" i="148" s="1"/>
  <c r="H307" i="148"/>
  <c r="H344" i="148" s="1"/>
  <c r="I47" i="148" s="1"/>
  <c r="H313" i="148"/>
  <c r="I235" i="134"/>
  <c r="I269" i="134" s="1"/>
  <c r="I236" i="142"/>
  <c r="I270" i="142" s="1"/>
  <c r="I188" i="137"/>
  <c r="I120" i="137"/>
  <c r="I154" i="137"/>
  <c r="I81" i="137"/>
  <c r="I152" i="137"/>
  <c r="I186" i="137"/>
  <c r="I118" i="137"/>
  <c r="F15" i="190"/>
  <c r="F44" i="190" s="1"/>
  <c r="F57" i="190" s="1"/>
  <c r="F98" i="190" s="1"/>
  <c r="H20" i="102"/>
  <c r="I98" i="137"/>
  <c r="I202" i="140"/>
  <c r="I236" i="140" s="1"/>
  <c r="I270" i="140" s="1"/>
  <c r="I134" i="140"/>
  <c r="I168" i="140"/>
  <c r="I166" i="140"/>
  <c r="I132" i="140"/>
  <c r="I200" i="140"/>
  <c r="N516" i="217"/>
  <c r="I47" i="140"/>
  <c r="I81" i="140" s="1"/>
  <c r="H15" i="102"/>
  <c r="F15" i="185"/>
  <c r="F44" i="185" s="1"/>
  <c r="F57" i="185" s="1"/>
  <c r="F98" i="185" s="1"/>
  <c r="I147" i="146"/>
  <c r="I113" i="146"/>
  <c r="I181" i="146"/>
  <c r="I184" i="146"/>
  <c r="I150" i="146"/>
  <c r="I116" i="146"/>
  <c r="I163" i="144"/>
  <c r="I197" i="144"/>
  <c r="I231" i="144" s="1"/>
  <c r="I265" i="144" s="1"/>
  <c r="I129" i="144"/>
  <c r="H100" i="102"/>
  <c r="H44" i="95"/>
  <c r="H69" i="95" s="1"/>
  <c r="I148" i="138"/>
  <c r="I182" i="138"/>
  <c r="I114" i="138"/>
  <c r="H366" i="136"/>
  <c r="I59" i="136"/>
  <c r="I165" i="134"/>
  <c r="I199" i="134"/>
  <c r="I131" i="134"/>
  <c r="I93" i="147"/>
  <c r="I94" i="147"/>
  <c r="I197" i="142"/>
  <c r="I163" i="142"/>
  <c r="I129" i="142"/>
  <c r="H350" i="142"/>
  <c r="H351" i="142" s="1"/>
  <c r="I43" i="142"/>
  <c r="I152" i="162"/>
  <c r="I186" i="162"/>
  <c r="I118" i="162"/>
  <c r="H368" i="151"/>
  <c r="H370" i="151" s="1"/>
  <c r="I53" i="151"/>
  <c r="I290" i="151" s="1"/>
  <c r="F106" i="203"/>
  <c r="F111" i="203" s="1"/>
  <c r="F32" i="206"/>
  <c r="G91" i="208" s="1"/>
  <c r="F105" i="199"/>
  <c r="F149" i="199" s="1"/>
  <c r="F103" i="199"/>
  <c r="F104" i="199"/>
  <c r="I200" i="144"/>
  <c r="I132" i="144"/>
  <c r="I166" i="144"/>
  <c r="H91" i="102"/>
  <c r="H35" i="95"/>
  <c r="H60" i="95" s="1"/>
  <c r="I153" i="138"/>
  <c r="I119" i="138"/>
  <c r="I221" i="138" s="1"/>
  <c r="I255" i="138" s="1"/>
  <c r="I187" i="138"/>
  <c r="H94" i="102"/>
  <c r="H38" i="95"/>
  <c r="H63" i="95" s="1"/>
  <c r="I134" i="136"/>
  <c r="I202" i="136"/>
  <c r="I168" i="136"/>
  <c r="F105" i="194"/>
  <c r="F23" i="207" s="1"/>
  <c r="F24" i="209" s="1"/>
  <c r="F256" i="209" s="1"/>
  <c r="F25" i="210" s="1"/>
  <c r="F64" i="211" s="1"/>
  <c r="F103" i="194"/>
  <c r="F104" i="194"/>
  <c r="F23" i="205" s="1"/>
  <c r="F104" i="195"/>
  <c r="F24" i="205" s="1"/>
  <c r="F103" i="195"/>
  <c r="F105" i="195"/>
  <c r="F24" i="207" s="1"/>
  <c r="F25" i="209" s="1"/>
  <c r="F257" i="209" s="1"/>
  <c r="F26" i="210" s="1"/>
  <c r="F65" i="211" s="1"/>
  <c r="I165" i="135"/>
  <c r="I131" i="135"/>
  <c r="I199" i="135"/>
  <c r="I147" i="138"/>
  <c r="I113" i="138"/>
  <c r="I181" i="138"/>
  <c r="H332" i="136"/>
  <c r="H333" i="136" s="1"/>
  <c r="H314" i="136"/>
  <c r="H36" i="95"/>
  <c r="H61" i="95" s="1"/>
  <c r="H92" i="102"/>
  <c r="I199" i="145"/>
  <c r="I131" i="145"/>
  <c r="I165" i="145"/>
  <c r="I130" i="145"/>
  <c r="I164" i="145"/>
  <c r="I198" i="145"/>
  <c r="I186" i="145"/>
  <c r="I118" i="145"/>
  <c r="I152" i="145"/>
  <c r="I79" i="145"/>
  <c r="I201" i="145"/>
  <c r="I133" i="145"/>
  <c r="I167" i="145"/>
  <c r="F268" i="211"/>
  <c r="L79" i="218" s="1"/>
  <c r="F243" i="211"/>
  <c r="I235" i="142"/>
  <c r="I269" i="142" s="1"/>
  <c r="I232" i="162"/>
  <c r="I266" i="162" s="1"/>
  <c r="I233" i="162"/>
  <c r="I267" i="162" s="1"/>
  <c r="F15" i="196"/>
  <c r="F44" i="196" s="1"/>
  <c r="F57" i="196" s="1"/>
  <c r="F98" i="196" s="1"/>
  <c r="H26" i="102"/>
  <c r="I130" i="143"/>
  <c r="I164" i="143"/>
  <c r="I232" i="143" s="1"/>
  <c r="I266" i="143" s="1"/>
  <c r="I198" i="143"/>
  <c r="H340" i="143"/>
  <c r="H314" i="143"/>
  <c r="I98" i="143"/>
  <c r="I82" i="143"/>
  <c r="H356" i="143"/>
  <c r="H330" i="143"/>
  <c r="I96" i="149"/>
  <c r="I202" i="149"/>
  <c r="I168" i="149"/>
  <c r="I134" i="149"/>
  <c r="H356" i="149"/>
  <c r="H330" i="149"/>
  <c r="I82" i="149"/>
  <c r="I132" i="149"/>
  <c r="I166" i="149"/>
  <c r="I200" i="149"/>
  <c r="H332" i="149"/>
  <c r="H333" i="149" s="1"/>
  <c r="I202" i="139"/>
  <c r="I168" i="139"/>
  <c r="I134" i="139"/>
  <c r="F15" i="192"/>
  <c r="F44" i="192" s="1"/>
  <c r="F57" i="192" s="1"/>
  <c r="F98" i="192" s="1"/>
  <c r="H22" i="102"/>
  <c r="I98" i="139"/>
  <c r="I96" i="139"/>
  <c r="I99" i="139"/>
  <c r="I217" i="144"/>
  <c r="I251" i="144" s="1"/>
  <c r="H314" i="135"/>
  <c r="H332" i="135"/>
  <c r="H333" i="135" s="1"/>
  <c r="I135" i="138"/>
  <c r="I203" i="138"/>
  <c r="I169" i="138"/>
  <c r="I237" i="138" s="1"/>
  <c r="I271" i="138" s="1"/>
  <c r="I238" i="136"/>
  <c r="I272" i="136" s="1"/>
  <c r="F105" i="187"/>
  <c r="F16" i="207" s="1"/>
  <c r="F17" i="209" s="1"/>
  <c r="F249" i="209" s="1"/>
  <c r="F18" i="210" s="1"/>
  <c r="F57" i="211" s="1"/>
  <c r="F255" i="211" s="1"/>
  <c r="L66" i="218" s="1"/>
  <c r="F103" i="187"/>
  <c r="F104" i="187"/>
  <c r="F16" i="205" s="1"/>
  <c r="I135" i="142"/>
  <c r="I169" i="142"/>
  <c r="I203" i="142"/>
  <c r="I219" i="142"/>
  <c r="I253" i="142" s="1"/>
  <c r="I168" i="162"/>
  <c r="I202" i="162"/>
  <c r="I134" i="162"/>
  <c r="I93" i="151"/>
  <c r="I94" i="151"/>
  <c r="H329" i="137"/>
  <c r="H330" i="137" s="1"/>
  <c r="H356" i="137"/>
  <c r="I181" i="137"/>
  <c r="I147" i="137"/>
  <c r="I113" i="137"/>
  <c r="H340" i="137"/>
  <c r="H313" i="137"/>
  <c r="I85" i="137"/>
  <c r="I95" i="137"/>
  <c r="I131" i="86"/>
  <c r="N515" i="217"/>
  <c r="I45" i="140"/>
  <c r="I79" i="140" s="1"/>
  <c r="I204" i="140"/>
  <c r="I170" i="140"/>
  <c r="I136" i="140"/>
  <c r="N518" i="217"/>
  <c r="I51" i="140"/>
  <c r="I85" i="140" s="1"/>
  <c r="H329" i="140"/>
  <c r="H330" i="140" s="1"/>
  <c r="H356" i="140"/>
  <c r="I216" i="146"/>
  <c r="I250" i="146" s="1"/>
  <c r="I217" i="151"/>
  <c r="I251" i="151" s="1"/>
  <c r="I134" i="144"/>
  <c r="I168" i="144"/>
  <c r="I202" i="144"/>
  <c r="I216" i="144"/>
  <c r="I250" i="144" s="1"/>
  <c r="F104" i="197"/>
  <c r="F105" i="197"/>
  <c r="F149" i="197" s="1"/>
  <c r="F103" i="197"/>
  <c r="I149" i="135"/>
  <c r="I115" i="135"/>
  <c r="I183" i="135"/>
  <c r="I133" i="138"/>
  <c r="I167" i="138"/>
  <c r="I201" i="138"/>
  <c r="F33" i="206"/>
  <c r="G92" i="208" s="1"/>
  <c r="F106" i="204"/>
  <c r="F111" i="204" s="1"/>
  <c r="I133" i="136"/>
  <c r="I167" i="136"/>
  <c r="I201" i="136"/>
  <c r="I182" i="134"/>
  <c r="I114" i="134"/>
  <c r="I148" i="134"/>
  <c r="I150" i="142"/>
  <c r="I184" i="142"/>
  <c r="I116" i="142"/>
  <c r="H366" i="162"/>
  <c r="I69" i="162" s="1"/>
  <c r="I59" i="162"/>
  <c r="I77" i="151"/>
  <c r="I78" i="151"/>
  <c r="I187" i="146"/>
  <c r="I153" i="146"/>
  <c r="I119" i="146"/>
  <c r="I204" i="146"/>
  <c r="I170" i="146"/>
  <c r="I136" i="146"/>
  <c r="I221" i="144"/>
  <c r="I255" i="144" s="1"/>
  <c r="H366" i="144"/>
  <c r="I69" i="144" s="1"/>
  <c r="I70" i="144" s="1"/>
  <c r="I59" i="144"/>
  <c r="I169" i="135"/>
  <c r="I135" i="135"/>
  <c r="I203" i="135"/>
  <c r="I204" i="138"/>
  <c r="I170" i="138"/>
  <c r="I136" i="138"/>
  <c r="I215" i="151"/>
  <c r="I249" i="151" s="1"/>
  <c r="H97" i="102"/>
  <c r="H41" i="95"/>
  <c r="H66" i="95" s="1"/>
  <c r="H98" i="102"/>
  <c r="H42" i="95"/>
  <c r="H67" i="95" s="1"/>
  <c r="I216" i="150"/>
  <c r="I250" i="150" s="1"/>
  <c r="H329" i="141"/>
  <c r="H324" i="141"/>
  <c r="H361" i="141" s="1"/>
  <c r="I64" i="141" s="1"/>
  <c r="H327" i="141"/>
  <c r="H364" i="141" s="1"/>
  <c r="I67" i="141" s="1"/>
  <c r="H331" i="141"/>
  <c r="H310" i="141"/>
  <c r="H347" i="141" s="1"/>
  <c r="H303" i="141"/>
  <c r="H325" i="141"/>
  <c r="H362" i="141" s="1"/>
  <c r="I65" i="141" s="1"/>
  <c r="H320" i="141"/>
  <c r="H357" i="141" s="1"/>
  <c r="I60" i="141" s="1"/>
  <c r="H323" i="141"/>
  <c r="H360" i="141" s="1"/>
  <c r="I63" i="141" s="1"/>
  <c r="H326" i="141"/>
  <c r="H363" i="141" s="1"/>
  <c r="I66" i="141" s="1"/>
  <c r="H304" i="141"/>
  <c r="H341" i="141" s="1"/>
  <c r="H306" i="141"/>
  <c r="H343" i="141" s="1"/>
  <c r="H321" i="141"/>
  <c r="H358" i="141" s="1"/>
  <c r="I61" i="141" s="1"/>
  <c r="H313" i="141"/>
  <c r="H319" i="141"/>
  <c r="H322" i="141"/>
  <c r="H359" i="141" s="1"/>
  <c r="I62" i="141" s="1"/>
  <c r="H308" i="141"/>
  <c r="H345" i="141" s="1"/>
  <c r="H305" i="141"/>
  <c r="H342" i="141" s="1"/>
  <c r="H22" i="128"/>
  <c r="H328" i="141"/>
  <c r="H365" i="141" s="1"/>
  <c r="I68" i="141" s="1"/>
  <c r="H309" i="141"/>
  <c r="H346" i="141" s="1"/>
  <c r="H312" i="141"/>
  <c r="H349" i="141" s="1"/>
  <c r="H311" i="141"/>
  <c r="H348" i="141" s="1"/>
  <c r="H307" i="141"/>
  <c r="H344" i="141" s="1"/>
  <c r="I167" i="146"/>
  <c r="I201" i="146"/>
  <c r="I133" i="146"/>
  <c r="I147" i="144"/>
  <c r="I181" i="144"/>
  <c r="I113" i="144"/>
  <c r="I235" i="144"/>
  <c r="I269" i="144" s="1"/>
  <c r="I198" i="135"/>
  <c r="I130" i="135"/>
  <c r="I164" i="135"/>
  <c r="H314" i="138"/>
  <c r="H332" i="138"/>
  <c r="H333" i="138" s="1"/>
  <c r="H350" i="136"/>
  <c r="I43" i="136"/>
  <c r="I129" i="134"/>
  <c r="I163" i="134"/>
  <c r="I197" i="134"/>
  <c r="I77" i="150"/>
  <c r="I78" i="150"/>
  <c r="I184" i="145"/>
  <c r="I116" i="145"/>
  <c r="I150" i="145"/>
  <c r="H340" i="145"/>
  <c r="H314" i="145"/>
  <c r="I98" i="145"/>
  <c r="H356" i="145"/>
  <c r="H330" i="145"/>
  <c r="I85" i="145"/>
  <c r="F29" i="206"/>
  <c r="G88" i="208" s="1"/>
  <c r="F106" i="200"/>
  <c r="F111" i="200" s="1"/>
  <c r="I120" i="142"/>
  <c r="I188" i="142"/>
  <c r="I154" i="142"/>
  <c r="I148" i="162"/>
  <c r="I182" i="162"/>
  <c r="I114" i="162"/>
  <c r="I201" i="143"/>
  <c r="I133" i="143"/>
  <c r="I167" i="143"/>
  <c r="I135" i="143"/>
  <c r="I169" i="143"/>
  <c r="I203" i="143"/>
  <c r="I100" i="143"/>
  <c r="I187" i="143"/>
  <c r="I119" i="143"/>
  <c r="I153" i="143"/>
  <c r="I95" i="143"/>
  <c r="I151" i="143"/>
  <c r="I185" i="143"/>
  <c r="I117" i="143"/>
  <c r="I219" i="150"/>
  <c r="I253" i="150" s="1"/>
  <c r="H32" i="102"/>
  <c r="F15" i="202"/>
  <c r="F44" i="202" s="1"/>
  <c r="F57" i="202" s="1"/>
  <c r="F98" i="202" s="1"/>
  <c r="I181" i="149"/>
  <c r="I113" i="149"/>
  <c r="I147" i="149"/>
  <c r="I151" i="149"/>
  <c r="I185" i="149"/>
  <c r="I117" i="149"/>
  <c r="I84" i="149"/>
  <c r="I85" i="149"/>
  <c r="I80" i="149"/>
  <c r="I199" i="139"/>
  <c r="I165" i="139"/>
  <c r="I131" i="139"/>
  <c r="H356" i="139"/>
  <c r="H329" i="139"/>
  <c r="H330" i="139" s="1"/>
  <c r="I85" i="139"/>
  <c r="I129" i="139"/>
  <c r="I163" i="139"/>
  <c r="I197" i="139"/>
  <c r="I86" i="139"/>
  <c r="H90" i="102"/>
  <c r="H34" i="95"/>
  <c r="H59" i="95" s="1"/>
  <c r="I182" i="137"/>
  <c r="I114" i="137"/>
  <c r="I148" i="137"/>
  <c r="I136" i="137"/>
  <c r="I204" i="137"/>
  <c r="I170" i="137"/>
  <c r="I97" i="137"/>
  <c r="I100" i="137"/>
  <c r="I82" i="137"/>
  <c r="I231" i="151"/>
  <c r="I265" i="151" s="1"/>
  <c r="N517" i="217"/>
  <c r="I49" i="140"/>
  <c r="I83" i="140" s="1"/>
  <c r="I97" i="140"/>
  <c r="I95" i="140"/>
  <c r="H368" i="147"/>
  <c r="H370" i="147" s="1"/>
  <c r="I53" i="147"/>
  <c r="I290" i="147" s="1"/>
  <c r="I231" i="146"/>
  <c r="I265" i="146" s="1"/>
  <c r="I236" i="146"/>
  <c r="I270" i="146" s="1"/>
  <c r="I237" i="144"/>
  <c r="I271" i="144" s="1"/>
  <c r="I219" i="144"/>
  <c r="I253" i="144" s="1"/>
  <c r="I117" i="135"/>
  <c r="I185" i="135"/>
  <c r="I151" i="135"/>
  <c r="I116" i="138"/>
  <c r="I184" i="138"/>
  <c r="I150" i="138"/>
  <c r="I186" i="138"/>
  <c r="I118" i="138"/>
  <c r="I152" i="138"/>
  <c r="I219" i="136"/>
  <c r="I253" i="136" s="1"/>
  <c r="I203" i="134"/>
  <c r="I135" i="134"/>
  <c r="I169" i="134"/>
  <c r="H367" i="147"/>
  <c r="I136" i="142"/>
  <c r="I170" i="142"/>
  <c r="I204" i="142"/>
  <c r="I216" i="142"/>
  <c r="I250" i="142" s="1"/>
  <c r="I221" i="162"/>
  <c r="I255" i="162" s="1"/>
  <c r="I43" i="162"/>
  <c r="H350" i="162"/>
  <c r="H351" i="162" s="1"/>
  <c r="F246" i="211"/>
  <c r="F271" i="211"/>
  <c r="L82" i="218" s="1"/>
  <c r="I188" i="146"/>
  <c r="I120" i="146"/>
  <c r="I154" i="146"/>
  <c r="I233" i="146"/>
  <c r="I267" i="146" s="1"/>
  <c r="I238" i="151"/>
  <c r="I272" i="151" s="1"/>
  <c r="I43" i="144"/>
  <c r="H350" i="144"/>
  <c r="I186" i="135"/>
  <c r="I152" i="135"/>
  <c r="I118" i="135"/>
  <c r="I154" i="135"/>
  <c r="I188" i="135"/>
  <c r="I120" i="135"/>
  <c r="I59" i="138"/>
  <c r="H366" i="138"/>
  <c r="I134" i="134"/>
  <c r="I202" i="134"/>
  <c r="I168" i="134"/>
  <c r="H367" i="150"/>
  <c r="I59" i="142"/>
  <c r="H366" i="142"/>
  <c r="I69" i="142" s="1"/>
  <c r="I186" i="142"/>
  <c r="I118" i="142"/>
  <c r="I152" i="142"/>
  <c r="I116" i="162"/>
  <c r="I150" i="162"/>
  <c r="I184" i="162"/>
  <c r="I238" i="147"/>
  <c r="I272" i="147" s="1"/>
  <c r="I118" i="144"/>
  <c r="I152" i="144"/>
  <c r="I186" i="144"/>
  <c r="H350" i="138"/>
  <c r="I43" i="138"/>
  <c r="I184" i="136"/>
  <c r="I116" i="136"/>
  <c r="I150" i="136"/>
  <c r="I119" i="134"/>
  <c r="I187" i="134"/>
  <c r="I153" i="134"/>
  <c r="H332" i="134"/>
  <c r="H333" i="134" s="1"/>
  <c r="H314" i="134"/>
  <c r="H368" i="150"/>
  <c r="H370" i="150" s="1"/>
  <c r="I53" i="150"/>
  <c r="I290" i="150" s="1"/>
  <c r="I148" i="145"/>
  <c r="I114" i="145"/>
  <c r="I182" i="145"/>
  <c r="I135" i="145"/>
  <c r="I203" i="145"/>
  <c r="I169" i="145"/>
  <c r="I168" i="145"/>
  <c r="I202" i="145"/>
  <c r="I134" i="145"/>
  <c r="I95" i="145"/>
  <c r="I83" i="145"/>
  <c r="H28" i="102"/>
  <c r="F15" i="198"/>
  <c r="F44" i="198" s="1"/>
  <c r="F57" i="198" s="1"/>
  <c r="F98" i="198" s="1"/>
  <c r="I163" i="162"/>
  <c r="I197" i="162"/>
  <c r="I129" i="162"/>
  <c r="I165" i="143"/>
  <c r="I199" i="143"/>
  <c r="I131" i="143"/>
  <c r="I154" i="143"/>
  <c r="I120" i="143"/>
  <c r="I188" i="143"/>
  <c r="I81" i="143"/>
  <c r="I102" i="143"/>
  <c r="I163" i="149"/>
  <c r="I129" i="149"/>
  <c r="I197" i="149"/>
  <c r="I115" i="149"/>
  <c r="I149" i="149"/>
  <c r="I183" i="149"/>
  <c r="I204" i="149"/>
  <c r="I136" i="149"/>
  <c r="I170" i="149"/>
  <c r="H340" i="149"/>
  <c r="H314" i="149"/>
  <c r="I152" i="139"/>
  <c r="I118" i="139"/>
  <c r="I186" i="139"/>
  <c r="I151" i="139"/>
  <c r="I185" i="139"/>
  <c r="I117" i="139"/>
  <c r="I184" i="139"/>
  <c r="I116" i="139"/>
  <c r="I150" i="139"/>
  <c r="I183" i="139"/>
  <c r="I149" i="139"/>
  <c r="I115" i="139"/>
  <c r="I79" i="139"/>
  <c r="H366" i="146"/>
  <c r="I69" i="146" s="1"/>
  <c r="I59" i="146"/>
  <c r="I202" i="135"/>
  <c r="I134" i="135"/>
  <c r="I168" i="135"/>
  <c r="I232" i="150"/>
  <c r="I266" i="150" s="1"/>
  <c r="I221" i="150"/>
  <c r="I255" i="150" s="1"/>
  <c r="I232" i="142"/>
  <c r="I266" i="142" s="1"/>
  <c r="I235" i="162"/>
  <c r="I269" i="162" s="1"/>
  <c r="I130" i="137"/>
  <c r="I164" i="137"/>
  <c r="I198" i="137"/>
  <c r="I167" i="137"/>
  <c r="I133" i="137"/>
  <c r="I201" i="137"/>
  <c r="I151" i="137"/>
  <c r="I185" i="137"/>
  <c r="I117" i="137"/>
  <c r="I101" i="137"/>
  <c r="I199" i="86"/>
  <c r="I202" i="86"/>
  <c r="I236" i="86" s="1"/>
  <c r="I270" i="86" s="1"/>
  <c r="I83" i="86"/>
  <c r="I170" i="86"/>
  <c r="I86" i="86"/>
  <c r="I154" i="86" s="1"/>
  <c r="I136" i="86"/>
  <c r="I81" i="86"/>
  <c r="I183" i="86" s="1"/>
  <c r="I80" i="86"/>
  <c r="I182" i="86" s="1"/>
  <c r="I164" i="86"/>
  <c r="I198" i="86"/>
  <c r="I130" i="86"/>
  <c r="F232" i="211"/>
  <c r="I84" i="86"/>
  <c r="H350" i="86"/>
  <c r="I43" i="86"/>
  <c r="I77" i="86" s="1"/>
  <c r="H16" i="102"/>
  <c r="F15" i="186"/>
  <c r="F44" i="186" s="1"/>
  <c r="F57" i="186" s="1"/>
  <c r="F98" i="186" s="1"/>
  <c r="I201" i="86"/>
  <c r="I133" i="86"/>
  <c r="I167" i="86"/>
  <c r="I85" i="86"/>
  <c r="I185" i="86"/>
  <c r="I117" i="86"/>
  <c r="I151" i="86"/>
  <c r="I233" i="86"/>
  <c r="I267" i="86" s="1"/>
  <c r="F256" i="211"/>
  <c r="L67" i="218" s="1"/>
  <c r="F231" i="211"/>
  <c r="I79" i="86"/>
  <c r="I169" i="86"/>
  <c r="I203" i="86"/>
  <c r="I135" i="86"/>
  <c r="H332" i="86"/>
  <c r="H333" i="86" s="1"/>
  <c r="H314" i="86"/>
  <c r="I200" i="86"/>
  <c r="I132" i="86"/>
  <c r="I166" i="86"/>
  <c r="I149" i="86"/>
  <c r="F230" i="211"/>
  <c r="I59" i="86"/>
  <c r="H366" i="86"/>
  <c r="F259" i="211"/>
  <c r="L70" i="218" s="1"/>
  <c r="F234" i="211"/>
  <c r="I82" i="86"/>
  <c r="I197" i="86"/>
  <c r="I129" i="86"/>
  <c r="I163" i="86"/>
  <c r="I231" i="135" l="1"/>
  <c r="I265" i="135" s="1"/>
  <c r="I233" i="143"/>
  <c r="I267" i="143" s="1"/>
  <c r="I216" i="145"/>
  <c r="I250" i="145" s="1"/>
  <c r="I221" i="134"/>
  <c r="I255" i="134" s="1"/>
  <c r="I220" i="144"/>
  <c r="I254" i="144" s="1"/>
  <c r="H367" i="142"/>
  <c r="I236" i="134"/>
  <c r="I270" i="134" s="1"/>
  <c r="I102" i="141"/>
  <c r="I232" i="138"/>
  <c r="I266" i="138" s="1"/>
  <c r="H367" i="146"/>
  <c r="I70" i="162"/>
  <c r="I100" i="141"/>
  <c r="H332" i="137"/>
  <c r="H333" i="137" s="1"/>
  <c r="I235" i="137"/>
  <c r="I269" i="137" s="1"/>
  <c r="I219" i="137"/>
  <c r="I253" i="137" s="1"/>
  <c r="I217" i="139"/>
  <c r="I251" i="139" s="1"/>
  <c r="I237" i="134"/>
  <c r="I271" i="134" s="1"/>
  <c r="I219" i="135"/>
  <c r="I253" i="135" s="1"/>
  <c r="I231" i="134"/>
  <c r="I265" i="134" s="1"/>
  <c r="I95" i="141"/>
  <c r="I221" i="146"/>
  <c r="I255" i="146" s="1"/>
  <c r="I54" i="151"/>
  <c r="I218" i="142"/>
  <c r="I252" i="142" s="1"/>
  <c r="I233" i="145"/>
  <c r="I267" i="145" s="1"/>
  <c r="I233" i="135"/>
  <c r="I267" i="135" s="1"/>
  <c r="I215" i="143"/>
  <c r="I249" i="143" s="1"/>
  <c r="I235" i="135"/>
  <c r="I269" i="135" s="1"/>
  <c r="I221" i="136"/>
  <c r="I255" i="136" s="1"/>
  <c r="I218" i="134"/>
  <c r="I252" i="134" s="1"/>
  <c r="I216" i="162"/>
  <c r="I250" i="162" s="1"/>
  <c r="H367" i="144"/>
  <c r="I236" i="144"/>
  <c r="I270" i="144" s="1"/>
  <c r="I70" i="146"/>
  <c r="I70" i="142"/>
  <c r="I231" i="139"/>
  <c r="I265" i="139" s="1"/>
  <c r="I99" i="141"/>
  <c r="H314" i="137"/>
  <c r="I234" i="149"/>
  <c r="I268" i="149" s="1"/>
  <c r="I220" i="135"/>
  <c r="I254" i="135" s="1"/>
  <c r="I218" i="138"/>
  <c r="I252" i="138" s="1"/>
  <c r="I222" i="143"/>
  <c r="I256" i="143" s="1"/>
  <c r="I222" i="135"/>
  <c r="I256" i="135" s="1"/>
  <c r="I81" i="148"/>
  <c r="I236" i="138"/>
  <c r="I270" i="138" s="1"/>
  <c r="I219" i="138"/>
  <c r="I253" i="138" s="1"/>
  <c r="I236" i="135"/>
  <c r="I270" i="135" s="1"/>
  <c r="I235" i="138"/>
  <c r="I269" i="138" s="1"/>
  <c r="I231" i="142"/>
  <c r="I265" i="142" s="1"/>
  <c r="I97" i="148"/>
  <c r="I131" i="148" s="1"/>
  <c r="I231" i="138"/>
  <c r="I265" i="138" s="1"/>
  <c r="I234" i="142"/>
  <c r="I268" i="142" s="1"/>
  <c r="I219" i="134"/>
  <c r="I253" i="134" s="1"/>
  <c r="I234" i="135"/>
  <c r="I268" i="135" s="1"/>
  <c r="I232" i="136"/>
  <c r="I266" i="136" s="1"/>
  <c r="I97" i="141"/>
  <c r="I199" i="141" s="1"/>
  <c r="I220" i="137"/>
  <c r="I254" i="137" s="1"/>
  <c r="I235" i="149"/>
  <c r="I269" i="149" s="1"/>
  <c r="I233" i="142"/>
  <c r="I267" i="142" s="1"/>
  <c r="I181" i="139"/>
  <c r="I113" i="139"/>
  <c r="I147" i="139"/>
  <c r="I93" i="138"/>
  <c r="I94" i="138"/>
  <c r="H368" i="144"/>
  <c r="H370" i="144" s="1"/>
  <c r="I53" i="144"/>
  <c r="I290" i="144" s="1"/>
  <c r="I120" i="139"/>
  <c r="I154" i="139"/>
  <c r="I188" i="139"/>
  <c r="I186" i="149"/>
  <c r="I118" i="149"/>
  <c r="I152" i="149"/>
  <c r="H105" i="102"/>
  <c r="H49" i="95"/>
  <c r="H74" i="95" s="1"/>
  <c r="H351" i="136"/>
  <c r="H368" i="136"/>
  <c r="H370" i="136" s="1"/>
  <c r="I53" i="136"/>
  <c r="I48" i="141"/>
  <c r="M559" i="217"/>
  <c r="I131" i="141"/>
  <c r="I165" i="141"/>
  <c r="I238" i="86"/>
  <c r="I272" i="86" s="1"/>
  <c r="I93" i="146"/>
  <c r="I94" i="146"/>
  <c r="I220" i="139"/>
  <c r="I254" i="139" s="1"/>
  <c r="I238" i="149"/>
  <c r="I272" i="149" s="1"/>
  <c r="I231" i="149"/>
  <c r="I265" i="149" s="1"/>
  <c r="I115" i="143"/>
  <c r="I149" i="143"/>
  <c r="I183" i="143"/>
  <c r="H45" i="95"/>
  <c r="H70" i="95" s="1"/>
  <c r="H101" i="102"/>
  <c r="I236" i="145"/>
  <c r="I270" i="145" s="1"/>
  <c r="I218" i="136"/>
  <c r="I252" i="136" s="1"/>
  <c r="I220" i="142"/>
  <c r="I254" i="142" s="1"/>
  <c r="I93" i="142"/>
  <c r="I94" i="142"/>
  <c r="I53" i="162"/>
  <c r="I290" i="162" s="1"/>
  <c r="H368" i="162"/>
  <c r="H370" i="162" s="1"/>
  <c r="I238" i="142"/>
  <c r="I272" i="142" s="1"/>
  <c r="I199" i="140"/>
  <c r="I233" i="140" s="1"/>
  <c r="I267" i="140" s="1"/>
  <c r="I131" i="140"/>
  <c r="I165" i="140"/>
  <c r="N576" i="217"/>
  <c r="I165" i="137"/>
  <c r="I199" i="137"/>
  <c r="I131" i="137"/>
  <c r="H66" i="102"/>
  <c r="I59" i="139"/>
  <c r="H366" i="139"/>
  <c r="I69" i="139" s="1"/>
  <c r="I182" i="149"/>
  <c r="I148" i="149"/>
  <c r="I114" i="149"/>
  <c r="I219" i="149"/>
  <c r="I253" i="149" s="1"/>
  <c r="I219" i="143"/>
  <c r="I253" i="143" s="1"/>
  <c r="I237" i="143"/>
  <c r="I271" i="143" s="1"/>
  <c r="F112" i="200"/>
  <c r="F113" i="200"/>
  <c r="F115" i="200" s="1"/>
  <c r="I59" i="145"/>
  <c r="H366" i="145"/>
  <c r="I69" i="145" s="1"/>
  <c r="I54" i="150"/>
  <c r="I51" i="141"/>
  <c r="M562" i="217"/>
  <c r="H72" i="128"/>
  <c r="H35" i="128"/>
  <c r="H356" i="141"/>
  <c r="H330" i="141"/>
  <c r="I44" i="141"/>
  <c r="M555" i="217"/>
  <c r="I167" i="141"/>
  <c r="I133" i="141"/>
  <c r="I201" i="141"/>
  <c r="I101" i="141"/>
  <c r="I237" i="135"/>
  <c r="I271" i="135" s="1"/>
  <c r="I93" i="144"/>
  <c r="I94" i="144"/>
  <c r="H367" i="162"/>
  <c r="F112" i="204"/>
  <c r="F113" i="204"/>
  <c r="F115" i="204" s="1"/>
  <c r="F106" i="197"/>
  <c r="F147" i="197"/>
  <c r="F140" i="197"/>
  <c r="F152" i="197" s="1"/>
  <c r="F26" i="206" s="1"/>
  <c r="I187" i="140"/>
  <c r="I153" i="140"/>
  <c r="I119" i="140"/>
  <c r="I195" i="151"/>
  <c r="I127" i="151"/>
  <c r="I161" i="151"/>
  <c r="I166" i="139"/>
  <c r="I200" i="139"/>
  <c r="I132" i="139"/>
  <c r="H366" i="149"/>
  <c r="I69" i="149" s="1"/>
  <c r="I59" i="149"/>
  <c r="I164" i="149"/>
  <c r="I198" i="149"/>
  <c r="I130" i="149"/>
  <c r="I166" i="143"/>
  <c r="I200" i="143"/>
  <c r="I132" i="143"/>
  <c r="I181" i="145"/>
  <c r="I113" i="145"/>
  <c r="I147" i="145"/>
  <c r="I232" i="145"/>
  <c r="I266" i="145" s="1"/>
  <c r="F238" i="211"/>
  <c r="F263" i="211"/>
  <c r="L74" i="218" s="1"/>
  <c r="F23" i="206"/>
  <c r="G82" i="208" s="1"/>
  <c r="F106" i="194"/>
  <c r="F111" i="194" s="1"/>
  <c r="F106" i="199"/>
  <c r="F147" i="199"/>
  <c r="F140" i="199"/>
  <c r="F152" i="199" s="1"/>
  <c r="I127" i="147"/>
  <c r="I195" i="147"/>
  <c r="I161" i="147"/>
  <c r="I103" i="147"/>
  <c r="I104" i="147" s="1"/>
  <c r="I93" i="136"/>
  <c r="I94" i="136"/>
  <c r="F105" i="185"/>
  <c r="F14" i="207" s="1"/>
  <c r="F103" i="185"/>
  <c r="F104" i="185"/>
  <c r="F14" i="205" s="1"/>
  <c r="I183" i="140"/>
  <c r="I115" i="140"/>
  <c r="I149" i="140"/>
  <c r="F103" i="190"/>
  <c r="F104" i="190"/>
  <c r="F19" i="205" s="1"/>
  <c r="F105" i="190"/>
  <c r="F19" i="207" s="1"/>
  <c r="I183" i="137"/>
  <c r="I149" i="137"/>
  <c r="I115" i="137"/>
  <c r="I165" i="148"/>
  <c r="I169" i="148"/>
  <c r="I135" i="148"/>
  <c r="I203" i="148"/>
  <c r="I79" i="148"/>
  <c r="H340" i="148"/>
  <c r="H314" i="148"/>
  <c r="I102" i="148"/>
  <c r="I182" i="139"/>
  <c r="I114" i="139"/>
  <c r="I148" i="139"/>
  <c r="I169" i="149"/>
  <c r="I203" i="149"/>
  <c r="I135" i="149"/>
  <c r="I220" i="143"/>
  <c r="I254" i="143" s="1"/>
  <c r="H368" i="134"/>
  <c r="H370" i="134" s="1"/>
  <c r="H351" i="134"/>
  <c r="I53" i="134"/>
  <c r="I161" i="150"/>
  <c r="I195" i="150"/>
  <c r="I127" i="150"/>
  <c r="I103" i="150"/>
  <c r="I104" i="150" s="1"/>
  <c r="I77" i="146"/>
  <c r="I78" i="146"/>
  <c r="I54" i="147"/>
  <c r="I82" i="140"/>
  <c r="I169" i="137"/>
  <c r="I203" i="137"/>
  <c r="I135" i="137"/>
  <c r="I197" i="145"/>
  <c r="I129" i="145"/>
  <c r="I163" i="145"/>
  <c r="I78" i="138"/>
  <c r="I77" i="138"/>
  <c r="I184" i="137"/>
  <c r="I116" i="137"/>
  <c r="I150" i="137"/>
  <c r="I187" i="139"/>
  <c r="I153" i="139"/>
  <c r="I119" i="139"/>
  <c r="I187" i="145"/>
  <c r="I119" i="145"/>
  <c r="I153" i="145"/>
  <c r="I49" i="141"/>
  <c r="I83" i="141" s="1"/>
  <c r="M560" i="217"/>
  <c r="I163" i="141"/>
  <c r="I197" i="141"/>
  <c r="I129" i="141"/>
  <c r="I50" i="141"/>
  <c r="M561" i="217"/>
  <c r="I115" i="86"/>
  <c r="I232" i="137"/>
  <c r="I266" i="137" s="1"/>
  <c r="I219" i="139"/>
  <c r="I253" i="139" s="1"/>
  <c r="I43" i="149"/>
  <c r="H350" i="149"/>
  <c r="H351" i="149" s="1"/>
  <c r="I231" i="162"/>
  <c r="I265" i="162" s="1"/>
  <c r="I185" i="145"/>
  <c r="I117" i="145"/>
  <c r="I151" i="145"/>
  <c r="I218" i="162"/>
  <c r="I252" i="162" s="1"/>
  <c r="I69" i="138"/>
  <c r="I70" i="138" s="1"/>
  <c r="H367" i="138"/>
  <c r="H351" i="144"/>
  <c r="I77" i="162"/>
  <c r="I78" i="162"/>
  <c r="I220" i="138"/>
  <c r="I254" i="138" s="1"/>
  <c r="I238" i="137"/>
  <c r="I272" i="137" s="1"/>
  <c r="I216" i="137"/>
  <c r="I250" i="137" s="1"/>
  <c r="I187" i="149"/>
  <c r="I119" i="149"/>
  <c r="I153" i="149"/>
  <c r="F103" i="202"/>
  <c r="F104" i="202"/>
  <c r="F31" i="205" s="1"/>
  <c r="F105" i="202"/>
  <c r="F31" i="207" s="1"/>
  <c r="F32" i="209" s="1"/>
  <c r="F264" i="209" s="1"/>
  <c r="F33" i="210" s="1"/>
  <c r="F72" i="211" s="1"/>
  <c r="I221" i="143"/>
  <c r="I255" i="143" s="1"/>
  <c r="I235" i="143"/>
  <c r="I269" i="143" s="1"/>
  <c r="I166" i="145"/>
  <c r="I200" i="145"/>
  <c r="I132" i="145"/>
  <c r="I218" i="145"/>
  <c r="I252" i="145" s="1"/>
  <c r="I111" i="150"/>
  <c r="I145" i="150"/>
  <c r="I179" i="150"/>
  <c r="I78" i="136"/>
  <c r="I77" i="136"/>
  <c r="I215" i="144"/>
  <c r="I249" i="144" s="1"/>
  <c r="I235" i="146"/>
  <c r="I269" i="146" s="1"/>
  <c r="I52" i="141"/>
  <c r="M563" i="217"/>
  <c r="I45" i="141"/>
  <c r="I79" i="141" s="1"/>
  <c r="M556" i="217"/>
  <c r="H332" i="141"/>
  <c r="H333" i="141" s="1"/>
  <c r="I202" i="141"/>
  <c r="I134" i="141"/>
  <c r="I168" i="141"/>
  <c r="H340" i="141"/>
  <c r="H314" i="141"/>
  <c r="I98" i="141"/>
  <c r="I238" i="146"/>
  <c r="I272" i="146" s="1"/>
  <c r="I112" i="151"/>
  <c r="I180" i="151"/>
  <c r="I146" i="151"/>
  <c r="I93" i="162"/>
  <c r="I94" i="162"/>
  <c r="I235" i="136"/>
  <c r="I269" i="136" s="1"/>
  <c r="I217" i="135"/>
  <c r="I251" i="135" s="1"/>
  <c r="I84" i="140"/>
  <c r="N577" i="217"/>
  <c r="I238" i="140"/>
  <c r="I272" i="140" s="1"/>
  <c r="I163" i="137"/>
  <c r="I197" i="137"/>
  <c r="I129" i="137"/>
  <c r="I43" i="137"/>
  <c r="H350" i="137"/>
  <c r="H351" i="137" s="1"/>
  <c r="I59" i="137"/>
  <c r="H366" i="137"/>
  <c r="I69" i="137" s="1"/>
  <c r="I237" i="142"/>
  <c r="I271" i="142" s="1"/>
  <c r="F106" i="187"/>
  <c r="F111" i="187" s="1"/>
  <c r="F16" i="206"/>
  <c r="G75" i="208" s="1"/>
  <c r="H95" i="102"/>
  <c r="H39" i="95"/>
  <c r="H64" i="95" s="1"/>
  <c r="I236" i="139"/>
  <c r="I270" i="139" s="1"/>
  <c r="F24" i="206"/>
  <c r="G83" i="208" s="1"/>
  <c r="F106" i="195"/>
  <c r="F111" i="195" s="1"/>
  <c r="F237" i="211"/>
  <c r="F262" i="211"/>
  <c r="L73" i="218" s="1"/>
  <c r="H367" i="136"/>
  <c r="I69" i="136"/>
  <c r="I70" i="136" s="1"/>
  <c r="N328" i="217"/>
  <c r="H88" i="102"/>
  <c r="H32" i="95"/>
  <c r="I167" i="148"/>
  <c r="I133" i="148"/>
  <c r="I201" i="148"/>
  <c r="I98" i="148"/>
  <c r="I100" i="148"/>
  <c r="I95" i="148"/>
  <c r="I78" i="135"/>
  <c r="I77" i="135"/>
  <c r="I165" i="149"/>
  <c r="I199" i="149"/>
  <c r="I131" i="149"/>
  <c r="I170" i="145"/>
  <c r="I204" i="145"/>
  <c r="I136" i="145"/>
  <c r="I78" i="134"/>
  <c r="I77" i="134"/>
  <c r="I222" i="136"/>
  <c r="I256" i="136" s="1"/>
  <c r="I232" i="146"/>
  <c r="I266" i="146" s="1"/>
  <c r="I69" i="134"/>
  <c r="I70" i="134" s="1"/>
  <c r="H367" i="134"/>
  <c r="I233" i="136"/>
  <c r="I267" i="136" s="1"/>
  <c r="I218" i="144"/>
  <c r="I252" i="144" s="1"/>
  <c r="I53" i="146"/>
  <c r="I290" i="146" s="1"/>
  <c r="H368" i="146"/>
  <c r="H370" i="146" s="1"/>
  <c r="I145" i="147"/>
  <c r="I179" i="147"/>
  <c r="I111" i="147"/>
  <c r="H314" i="140"/>
  <c r="H332" i="140"/>
  <c r="H333" i="140" s="1"/>
  <c r="F148" i="197"/>
  <c r="F141" i="197"/>
  <c r="F153" i="197" s="1"/>
  <c r="F26" i="205" s="1"/>
  <c r="I59" i="140"/>
  <c r="H366" i="140"/>
  <c r="I113" i="140"/>
  <c r="I181" i="140"/>
  <c r="I147" i="140"/>
  <c r="I187" i="137"/>
  <c r="I153" i="137"/>
  <c r="I119" i="137"/>
  <c r="I215" i="137"/>
  <c r="I249" i="137" s="1"/>
  <c r="I236" i="162"/>
  <c r="I270" i="162" s="1"/>
  <c r="I201" i="139"/>
  <c r="I133" i="139"/>
  <c r="I167" i="139"/>
  <c r="F104" i="192"/>
  <c r="F21" i="205" s="1"/>
  <c r="F105" i="192"/>
  <c r="F21" i="207" s="1"/>
  <c r="F22" i="209" s="1"/>
  <c r="F254" i="209" s="1"/>
  <c r="F23" i="210" s="1"/>
  <c r="F62" i="211" s="1"/>
  <c r="F103" i="192"/>
  <c r="I184" i="149"/>
  <c r="I116" i="149"/>
  <c r="I150" i="149"/>
  <c r="H366" i="143"/>
  <c r="I69" i="143" s="1"/>
  <c r="I59" i="143"/>
  <c r="I43" i="143"/>
  <c r="H350" i="143"/>
  <c r="H43" i="95"/>
  <c r="H68" i="95" s="1"/>
  <c r="H99" i="102"/>
  <c r="I220" i="145"/>
  <c r="I254" i="145" s="1"/>
  <c r="I236" i="136"/>
  <c r="I270" i="136" s="1"/>
  <c r="I234" i="144"/>
  <c r="I268" i="144" s="1"/>
  <c r="I77" i="142"/>
  <c r="I78" i="142"/>
  <c r="I233" i="134"/>
  <c r="I267" i="134" s="1"/>
  <c r="I216" i="138"/>
  <c r="I250" i="138" s="1"/>
  <c r="I218" i="146"/>
  <c r="I252" i="146" s="1"/>
  <c r="I215" i="146"/>
  <c r="I249" i="146" s="1"/>
  <c r="I80" i="140"/>
  <c r="I234" i="140"/>
  <c r="I268" i="140" s="1"/>
  <c r="I166" i="137"/>
  <c r="I200" i="137"/>
  <c r="I132" i="137"/>
  <c r="I222" i="137"/>
  <c r="I256" i="137" s="1"/>
  <c r="H332" i="148"/>
  <c r="H333" i="148" s="1"/>
  <c r="I187" i="148"/>
  <c r="I153" i="148"/>
  <c r="I119" i="148"/>
  <c r="I80" i="148"/>
  <c r="I96" i="148"/>
  <c r="I152" i="148"/>
  <c r="I186" i="148"/>
  <c r="I118" i="148"/>
  <c r="H356" i="148"/>
  <c r="H330" i="148"/>
  <c r="H368" i="135"/>
  <c r="H370" i="135" s="1"/>
  <c r="H351" i="135"/>
  <c r="I53" i="135"/>
  <c r="I170" i="139"/>
  <c r="I204" i="139"/>
  <c r="I136" i="139"/>
  <c r="I43" i="139"/>
  <c r="H350" i="139"/>
  <c r="H351" i="139" s="1"/>
  <c r="I120" i="149"/>
  <c r="I188" i="149"/>
  <c r="I154" i="149"/>
  <c r="I216" i="143"/>
  <c r="I250" i="143" s="1"/>
  <c r="I215" i="142"/>
  <c r="I249" i="142" s="1"/>
  <c r="I149" i="145"/>
  <c r="I183" i="145"/>
  <c r="I115" i="145"/>
  <c r="I93" i="135"/>
  <c r="I94" i="135"/>
  <c r="I215" i="162"/>
  <c r="I249" i="162" s="1"/>
  <c r="I94" i="134"/>
  <c r="I93" i="134"/>
  <c r="I167" i="140"/>
  <c r="I201" i="140"/>
  <c r="I133" i="140"/>
  <c r="N514" i="217"/>
  <c r="N575" i="217" s="1"/>
  <c r="H350" i="140"/>
  <c r="I43" i="140"/>
  <c r="I218" i="139"/>
  <c r="I252" i="139" s="1"/>
  <c r="I217" i="149"/>
  <c r="I251" i="149" s="1"/>
  <c r="I170" i="143"/>
  <c r="I136" i="143"/>
  <c r="I204" i="143"/>
  <c r="F103" i="198"/>
  <c r="F105" i="198"/>
  <c r="F27" i="207" s="1"/>
  <c r="F28" i="209" s="1"/>
  <c r="F260" i="209" s="1"/>
  <c r="F29" i="210" s="1"/>
  <c r="F68" i="211" s="1"/>
  <c r="F104" i="198"/>
  <c r="F27" i="205" s="1"/>
  <c r="I237" i="145"/>
  <c r="I271" i="145" s="1"/>
  <c r="H368" i="138"/>
  <c r="H370" i="138" s="1"/>
  <c r="H351" i="138"/>
  <c r="I53" i="138"/>
  <c r="I77" i="144"/>
  <c r="I78" i="144"/>
  <c r="I222" i="146"/>
  <c r="I256" i="146" s="1"/>
  <c r="I163" i="140"/>
  <c r="I197" i="140"/>
  <c r="I129" i="140"/>
  <c r="I151" i="140"/>
  <c r="I117" i="140"/>
  <c r="I185" i="140"/>
  <c r="I202" i="137"/>
  <c r="I168" i="137"/>
  <c r="I134" i="137"/>
  <c r="I233" i="139"/>
  <c r="I267" i="139" s="1"/>
  <c r="I215" i="149"/>
  <c r="I249" i="149" s="1"/>
  <c r="I197" i="143"/>
  <c r="I129" i="143"/>
  <c r="I163" i="143"/>
  <c r="I134" i="143"/>
  <c r="I202" i="143"/>
  <c r="I168" i="143"/>
  <c r="I222" i="142"/>
  <c r="I256" i="142" s="1"/>
  <c r="H350" i="145"/>
  <c r="I43" i="145"/>
  <c r="I87" i="150"/>
  <c r="I88" i="150" s="1"/>
  <c r="I112" i="150"/>
  <c r="I146" i="150"/>
  <c r="I180" i="150"/>
  <c r="I232" i="135"/>
  <c r="I266" i="135" s="1"/>
  <c r="I47" i="141"/>
  <c r="M558" i="217"/>
  <c r="I170" i="141"/>
  <c r="I204" i="141"/>
  <c r="I136" i="141"/>
  <c r="I96" i="141"/>
  <c r="I46" i="141"/>
  <c r="M557" i="217"/>
  <c r="I238" i="138"/>
  <c r="I272" i="138" s="1"/>
  <c r="I179" i="151"/>
  <c r="I111" i="151"/>
  <c r="I145" i="151"/>
  <c r="I87" i="151"/>
  <c r="I88" i="151" s="1"/>
  <c r="I216" i="134"/>
  <c r="I250" i="134" s="1"/>
  <c r="N574" i="217"/>
  <c r="I103" i="151"/>
  <c r="I104" i="151" s="1"/>
  <c r="I128" i="151"/>
  <c r="I137" i="151" s="1"/>
  <c r="I138" i="151" s="1"/>
  <c r="I162" i="151"/>
  <c r="I171" i="151" s="1"/>
  <c r="I172" i="151" s="1"/>
  <c r="I196" i="151"/>
  <c r="I198" i="139"/>
  <c r="I164" i="139"/>
  <c r="I130" i="139"/>
  <c r="I236" i="149"/>
  <c r="I270" i="149" s="1"/>
  <c r="I150" i="143"/>
  <c r="I116" i="143"/>
  <c r="I184" i="143"/>
  <c r="F104" i="196"/>
  <c r="F105" i="196"/>
  <c r="F149" i="196" s="1"/>
  <c r="F103" i="196"/>
  <c r="I235" i="145"/>
  <c r="I269" i="145" s="1"/>
  <c r="I215" i="138"/>
  <c r="I249" i="138" s="1"/>
  <c r="F141" i="199"/>
  <c r="F153" i="199" s="1"/>
  <c r="F28" i="205" s="1"/>
  <c r="F148" i="199"/>
  <c r="F112" i="203"/>
  <c r="F113" i="203"/>
  <c r="F115" i="203" s="1"/>
  <c r="I220" i="162"/>
  <c r="I254" i="162" s="1"/>
  <c r="I53" i="142"/>
  <c r="I290" i="142" s="1"/>
  <c r="H368" i="142"/>
  <c r="H370" i="142" s="1"/>
  <c r="I162" i="147"/>
  <c r="I171" i="147" s="1"/>
  <c r="I172" i="147" s="1"/>
  <c r="I128" i="147"/>
  <c r="I196" i="147"/>
  <c r="I86" i="140"/>
  <c r="H93" i="102"/>
  <c r="H37" i="95"/>
  <c r="H62" i="95" s="1"/>
  <c r="I183" i="148"/>
  <c r="I115" i="148"/>
  <c r="I149" i="148"/>
  <c r="I82" i="148"/>
  <c r="I86" i="148"/>
  <c r="H31" i="102"/>
  <c r="F15" i="201"/>
  <c r="F44" i="201" s="1"/>
  <c r="F57" i="201" s="1"/>
  <c r="F98" i="201" s="1"/>
  <c r="I83" i="148"/>
  <c r="I217" i="136"/>
  <c r="I251" i="136" s="1"/>
  <c r="I203" i="139"/>
  <c r="I169" i="139"/>
  <c r="I135" i="139"/>
  <c r="H332" i="139"/>
  <c r="H333" i="139" s="1"/>
  <c r="I222" i="145"/>
  <c r="I256" i="145" s="1"/>
  <c r="I217" i="134"/>
  <c r="I251" i="134" s="1"/>
  <c r="F106" i="189"/>
  <c r="F111" i="189" s="1"/>
  <c r="F18" i="206"/>
  <c r="G77" i="208" s="1"/>
  <c r="I69" i="135"/>
  <c r="I70" i="135" s="1"/>
  <c r="H367" i="135"/>
  <c r="I196" i="150"/>
  <c r="I128" i="150"/>
  <c r="I137" i="150" s="1"/>
  <c r="I138" i="150" s="1"/>
  <c r="I162" i="150"/>
  <c r="F20" i="206"/>
  <c r="G79" i="208" s="1"/>
  <c r="F106" i="191"/>
  <c r="F111" i="191" s="1"/>
  <c r="F106" i="188"/>
  <c r="F111" i="188" s="1"/>
  <c r="F17" i="206"/>
  <c r="G76" i="208" s="1"/>
  <c r="H351" i="146"/>
  <c r="I233" i="138"/>
  <c r="I267" i="138" s="1"/>
  <c r="I87" i="147"/>
  <c r="I88" i="147" s="1"/>
  <c r="I180" i="147"/>
  <c r="I189" i="147" s="1"/>
  <c r="I146" i="147"/>
  <c r="I112" i="147"/>
  <c r="I203" i="140"/>
  <c r="I135" i="140"/>
  <c r="I169" i="140"/>
  <c r="I120" i="86"/>
  <c r="I148" i="86"/>
  <c r="I188" i="86"/>
  <c r="I114" i="86"/>
  <c r="I232" i="86"/>
  <c r="I266" i="86" s="1"/>
  <c r="I234" i="86"/>
  <c r="I268" i="86" s="1"/>
  <c r="I237" i="86"/>
  <c r="I271" i="86" s="1"/>
  <c r="I145" i="86"/>
  <c r="I179" i="86"/>
  <c r="I111" i="86"/>
  <c r="I150" i="86"/>
  <c r="I184" i="86"/>
  <c r="I116" i="86"/>
  <c r="I181" i="86"/>
  <c r="I113" i="86"/>
  <c r="I147" i="86"/>
  <c r="I53" i="86"/>
  <c r="H368" i="86"/>
  <c r="H370" i="86" s="1"/>
  <c r="H351" i="86"/>
  <c r="I186" i="86"/>
  <c r="I118" i="86"/>
  <c r="I152" i="86"/>
  <c r="I69" i="86"/>
  <c r="I70" i="86" s="1"/>
  <c r="H367" i="86"/>
  <c r="I219" i="86"/>
  <c r="I253" i="86" s="1"/>
  <c r="I78" i="86"/>
  <c r="L84" i="218"/>
  <c r="I153" i="86"/>
  <c r="I187" i="86"/>
  <c r="I119" i="86"/>
  <c r="F105" i="186"/>
  <c r="F15" i="207" s="1"/>
  <c r="F103" i="186"/>
  <c r="F104" i="186"/>
  <c r="F15" i="205" s="1"/>
  <c r="I231" i="86"/>
  <c r="I265" i="86" s="1"/>
  <c r="I93" i="86"/>
  <c r="I94" i="86"/>
  <c r="I217" i="86"/>
  <c r="I251" i="86" s="1"/>
  <c r="I235" i="86"/>
  <c r="I269" i="86" s="1"/>
  <c r="H89" i="102"/>
  <c r="H33" i="95"/>
  <c r="H58" i="95" s="1"/>
  <c r="I218" i="143" l="1"/>
  <c r="I252" i="143" s="1"/>
  <c r="I229" i="151"/>
  <c r="I220" i="148"/>
  <c r="I254" i="148" s="1"/>
  <c r="I221" i="139"/>
  <c r="I255" i="139" s="1"/>
  <c r="I237" i="148"/>
  <c r="I271" i="148" s="1"/>
  <c r="I70" i="143"/>
  <c r="I199" i="148"/>
  <c r="F154" i="199"/>
  <c r="F155" i="199" s="1"/>
  <c r="I81" i="141"/>
  <c r="I149" i="141" s="1"/>
  <c r="I238" i="143"/>
  <c r="I272" i="143" s="1"/>
  <c r="I217" i="145"/>
  <c r="I251" i="145" s="1"/>
  <c r="I70" i="145"/>
  <c r="I233" i="141"/>
  <c r="I267" i="141" s="1"/>
  <c r="I236" i="137"/>
  <c r="I270" i="137" s="1"/>
  <c r="I222" i="149"/>
  <c r="I256" i="149" s="1"/>
  <c r="I238" i="145"/>
  <c r="I272" i="145" s="1"/>
  <c r="I84" i="141"/>
  <c r="I152" i="141" s="1"/>
  <c r="N527" i="217"/>
  <c r="I221" i="137"/>
  <c r="I255" i="137" s="1"/>
  <c r="I220" i="149"/>
  <c r="I254" i="149" s="1"/>
  <c r="I222" i="139"/>
  <c r="I256" i="139" s="1"/>
  <c r="I54" i="142"/>
  <c r="I214" i="150"/>
  <c r="I248" i="150" s="1"/>
  <c r="I221" i="148"/>
  <c r="I255" i="148" s="1"/>
  <c r="I70" i="137"/>
  <c r="N528" i="217"/>
  <c r="F141" i="196"/>
  <c r="F153" i="196" s="1"/>
  <c r="F25" i="205" s="1"/>
  <c r="F148" i="196"/>
  <c r="I205" i="151"/>
  <c r="I206" i="151" s="1"/>
  <c r="I230" i="151"/>
  <c r="I264" i="151" s="1"/>
  <c r="I183" i="141"/>
  <c r="H368" i="145"/>
  <c r="H370" i="145" s="1"/>
  <c r="I53" i="145"/>
  <c r="I290" i="145" s="1"/>
  <c r="I148" i="148"/>
  <c r="I182" i="148"/>
  <c r="I114" i="148"/>
  <c r="F21" i="206"/>
  <c r="G80" i="208" s="1"/>
  <c r="F106" i="192"/>
  <c r="F111" i="192" s="1"/>
  <c r="I155" i="147"/>
  <c r="I280" i="147" s="1"/>
  <c r="I29" i="131" s="1"/>
  <c r="I134" i="148"/>
  <c r="I202" i="148"/>
  <c r="I168" i="148"/>
  <c r="F158" i="199"/>
  <c r="I155" i="151"/>
  <c r="I280" i="151" s="1"/>
  <c r="I33" i="131" s="1"/>
  <c r="I147" i="141"/>
  <c r="I181" i="141"/>
  <c r="I113" i="141"/>
  <c r="I179" i="162"/>
  <c r="I111" i="162"/>
  <c r="I87" i="162"/>
  <c r="I88" i="162" s="1"/>
  <c r="I145" i="162"/>
  <c r="I186" i="141"/>
  <c r="I112" i="138"/>
  <c r="I180" i="138"/>
  <c r="I146" i="138"/>
  <c r="N415" i="217"/>
  <c r="F35" i="205"/>
  <c r="I229" i="147"/>
  <c r="I205" i="147"/>
  <c r="I206" i="147" s="1"/>
  <c r="I93" i="149"/>
  <c r="I94" i="149"/>
  <c r="I239" i="151"/>
  <c r="I240" i="151" s="1"/>
  <c r="I127" i="144"/>
  <c r="I161" i="144"/>
  <c r="I195" i="144"/>
  <c r="I103" i="144"/>
  <c r="I104" i="144" s="1"/>
  <c r="I93" i="139"/>
  <c r="I94" i="139"/>
  <c r="I237" i="140"/>
  <c r="I271" i="140" s="1"/>
  <c r="H104" i="102"/>
  <c r="H48" i="95"/>
  <c r="H73" i="95" s="1"/>
  <c r="I290" i="138"/>
  <c r="I54" i="138"/>
  <c r="I235" i="140"/>
  <c r="I269" i="140" s="1"/>
  <c r="I128" i="134"/>
  <c r="I162" i="134"/>
  <c r="I196" i="134"/>
  <c r="F235" i="211"/>
  <c r="F260" i="211"/>
  <c r="L71" i="218" s="1"/>
  <c r="I145" i="134"/>
  <c r="I179" i="134"/>
  <c r="I111" i="134"/>
  <c r="I87" i="134"/>
  <c r="I88" i="134" s="1"/>
  <c r="I111" i="135"/>
  <c r="I145" i="135"/>
  <c r="I179" i="135"/>
  <c r="I87" i="135"/>
  <c r="I88" i="135" s="1"/>
  <c r="F112" i="187"/>
  <c r="F113" i="187"/>
  <c r="F115" i="187" s="1"/>
  <c r="I93" i="137"/>
  <c r="I94" i="137"/>
  <c r="I236" i="141"/>
  <c r="I270" i="141" s="1"/>
  <c r="F245" i="211"/>
  <c r="F270" i="211"/>
  <c r="L81" i="218" s="1"/>
  <c r="I221" i="149"/>
  <c r="I255" i="149" s="1"/>
  <c r="I185" i="141"/>
  <c r="I117" i="141"/>
  <c r="I151" i="141"/>
  <c r="I218" i="137"/>
  <c r="I252" i="137" s="1"/>
  <c r="I237" i="137"/>
  <c r="I271" i="137" s="1"/>
  <c r="I87" i="146"/>
  <c r="I88" i="146" s="1"/>
  <c r="I146" i="146"/>
  <c r="I180" i="146"/>
  <c r="I112" i="146"/>
  <c r="I216" i="139"/>
  <c r="I250" i="139" s="1"/>
  <c r="I233" i="148"/>
  <c r="I267" i="148" s="1"/>
  <c r="F20" i="209"/>
  <c r="F252" i="209" s="1"/>
  <c r="F21" i="210" s="1"/>
  <c r="F60" i="211" s="1"/>
  <c r="F14" i="206"/>
  <c r="F106" i="185"/>
  <c r="F111" i="185" s="1"/>
  <c r="I232" i="149"/>
  <c r="I266" i="149" s="1"/>
  <c r="I263" i="151"/>
  <c r="I221" i="140"/>
  <c r="I255" i="140" s="1"/>
  <c r="F114" i="204"/>
  <c r="F116" i="204" s="1"/>
  <c r="F118" i="204" s="1"/>
  <c r="F117" i="204"/>
  <c r="H366" i="141"/>
  <c r="I69" i="141" s="1"/>
  <c r="I59" i="141"/>
  <c r="F112" i="188"/>
  <c r="F113" i="188"/>
  <c r="F115" i="188" s="1"/>
  <c r="I120" i="148"/>
  <c r="I154" i="148"/>
  <c r="I188" i="148"/>
  <c r="I230" i="147"/>
  <c r="I264" i="147" s="1"/>
  <c r="F147" i="196"/>
  <c r="F106" i="196"/>
  <c r="F140" i="196"/>
  <c r="F152" i="196" s="1"/>
  <c r="I189" i="151"/>
  <c r="I281" i="151" s="1"/>
  <c r="I33" i="133" s="1"/>
  <c r="I80" i="141"/>
  <c r="I189" i="150"/>
  <c r="H351" i="145"/>
  <c r="I219" i="140"/>
  <c r="I253" i="140" s="1"/>
  <c r="I231" i="140"/>
  <c r="I265" i="140" s="1"/>
  <c r="I180" i="144"/>
  <c r="I146" i="144"/>
  <c r="I112" i="144"/>
  <c r="F241" i="211"/>
  <c r="F266" i="211"/>
  <c r="L77" i="218" s="1"/>
  <c r="H368" i="140"/>
  <c r="H370" i="140" s="1"/>
  <c r="H351" i="140"/>
  <c r="I53" i="140"/>
  <c r="I53" i="139"/>
  <c r="I290" i="139" s="1"/>
  <c r="H368" i="139"/>
  <c r="H370" i="139" s="1"/>
  <c r="I148" i="140"/>
  <c r="I182" i="140"/>
  <c r="I114" i="140"/>
  <c r="H367" i="143"/>
  <c r="I218" i="149"/>
  <c r="I252" i="149" s="1"/>
  <c r="I121" i="147"/>
  <c r="I122" i="147" s="1"/>
  <c r="I213" i="147"/>
  <c r="I180" i="134"/>
  <c r="I146" i="134"/>
  <c r="I112" i="134"/>
  <c r="I112" i="135"/>
  <c r="I146" i="135"/>
  <c r="I180" i="135"/>
  <c r="I235" i="148"/>
  <c r="I269" i="148" s="1"/>
  <c r="I231" i="137"/>
  <c r="I265" i="137" s="1"/>
  <c r="I152" i="140"/>
  <c r="I186" i="140"/>
  <c r="I118" i="140"/>
  <c r="I220" i="140" s="1"/>
  <c r="I254" i="140" s="1"/>
  <c r="I196" i="162"/>
  <c r="I128" i="162"/>
  <c r="I162" i="162"/>
  <c r="I214" i="151"/>
  <c r="I248" i="151" s="1"/>
  <c r="I43" i="141"/>
  <c r="H350" i="141"/>
  <c r="H351" i="141" s="1"/>
  <c r="M554" i="217"/>
  <c r="I86" i="141"/>
  <c r="I146" i="136"/>
  <c r="I180" i="136"/>
  <c r="I112" i="136"/>
  <c r="I214" i="136" s="1"/>
  <c r="I248" i="136" s="1"/>
  <c r="I213" i="150"/>
  <c r="I121" i="150"/>
  <c r="I282" i="150" s="1"/>
  <c r="I32" i="132" s="1"/>
  <c r="I146" i="162"/>
  <c r="I180" i="162"/>
  <c r="I112" i="162"/>
  <c r="I219" i="145"/>
  <c r="I253" i="145" s="1"/>
  <c r="I53" i="149"/>
  <c r="I290" i="149" s="1"/>
  <c r="H368" i="149"/>
  <c r="H370" i="149" s="1"/>
  <c r="I231" i="141"/>
  <c r="I265" i="141" s="1"/>
  <c r="I54" i="146"/>
  <c r="I237" i="149"/>
  <c r="I271" i="149" s="1"/>
  <c r="I113" i="148"/>
  <c r="I147" i="148"/>
  <c r="I181" i="148"/>
  <c r="I217" i="137"/>
  <c r="I251" i="137" s="1"/>
  <c r="N386" i="217"/>
  <c r="F15" i="209"/>
  <c r="F247" i="209" s="1"/>
  <c r="F16" i="210" s="1"/>
  <c r="F55" i="211" s="1"/>
  <c r="F35" i="207"/>
  <c r="F28" i="206"/>
  <c r="I234" i="143"/>
  <c r="I268" i="143" s="1"/>
  <c r="I169" i="141"/>
  <c r="I135" i="141"/>
  <c r="I203" i="141"/>
  <c r="H367" i="139"/>
  <c r="I161" i="142"/>
  <c r="I195" i="142"/>
  <c r="I127" i="142"/>
  <c r="I217" i="143"/>
  <c r="I251" i="143" s="1"/>
  <c r="I128" i="146"/>
  <c r="I196" i="146"/>
  <c r="I162" i="146"/>
  <c r="I290" i="136"/>
  <c r="I54" i="136"/>
  <c r="I215" i="139"/>
  <c r="I249" i="139" s="1"/>
  <c r="F103" i="201"/>
  <c r="F104" i="201"/>
  <c r="F30" i="205" s="1"/>
  <c r="F105" i="201"/>
  <c r="F30" i="207" s="1"/>
  <c r="F31" i="209" s="1"/>
  <c r="F263" i="209" s="1"/>
  <c r="F32" i="210" s="1"/>
  <c r="F71" i="211" s="1"/>
  <c r="I156" i="151"/>
  <c r="I145" i="144"/>
  <c r="I179" i="144"/>
  <c r="I111" i="144"/>
  <c r="I87" i="144"/>
  <c r="I88" i="144" s="1"/>
  <c r="I103" i="134"/>
  <c r="I104" i="134" s="1"/>
  <c r="I127" i="134"/>
  <c r="I137" i="134" s="1"/>
  <c r="I138" i="134" s="1"/>
  <c r="I161" i="134"/>
  <c r="I195" i="134"/>
  <c r="I127" i="135"/>
  <c r="I161" i="135"/>
  <c r="I103" i="135"/>
  <c r="I104" i="135" s="1"/>
  <c r="I195" i="135"/>
  <c r="I53" i="143"/>
  <c r="I290" i="143" s="1"/>
  <c r="H368" i="143"/>
  <c r="H370" i="143" s="1"/>
  <c r="I93" i="140"/>
  <c r="I94" i="140"/>
  <c r="I77" i="137"/>
  <c r="I78" i="137"/>
  <c r="I200" i="141"/>
  <c r="I132" i="141"/>
  <c r="I166" i="141"/>
  <c r="I103" i="136"/>
  <c r="I104" i="136" s="1"/>
  <c r="I127" i="136"/>
  <c r="I161" i="136"/>
  <c r="I195" i="136"/>
  <c r="F111" i="199"/>
  <c r="F150" i="199"/>
  <c r="I195" i="138"/>
  <c r="I161" i="138"/>
  <c r="I127" i="138"/>
  <c r="I103" i="138"/>
  <c r="I104" i="138" s="1"/>
  <c r="I171" i="150"/>
  <c r="I172" i="150" s="1"/>
  <c r="I217" i="148"/>
  <c r="I251" i="148" s="1"/>
  <c r="I188" i="140"/>
  <c r="I120" i="140"/>
  <c r="I154" i="140"/>
  <c r="F117" i="203"/>
  <c r="F114" i="203"/>
  <c r="F116" i="203" s="1"/>
  <c r="F118" i="203" s="1"/>
  <c r="I121" i="151"/>
  <c r="I282" i="151" s="1"/>
  <c r="I33" i="132" s="1"/>
  <c r="I213" i="151"/>
  <c r="I238" i="141"/>
  <c r="I272" i="141" s="1"/>
  <c r="I77" i="140"/>
  <c r="I78" i="140"/>
  <c r="I238" i="139"/>
  <c r="I272" i="139" s="1"/>
  <c r="I111" i="142"/>
  <c r="I145" i="142"/>
  <c r="I179" i="142"/>
  <c r="I87" i="142"/>
  <c r="I88" i="142" s="1"/>
  <c r="I77" i="143"/>
  <c r="I78" i="143"/>
  <c r="I235" i="139"/>
  <c r="I269" i="139" s="1"/>
  <c r="I215" i="140"/>
  <c r="I249" i="140" s="1"/>
  <c r="I200" i="148"/>
  <c r="I166" i="148"/>
  <c r="I132" i="148"/>
  <c r="N357" i="217"/>
  <c r="N616" i="217"/>
  <c r="N620" i="217" s="1"/>
  <c r="I111" i="136"/>
  <c r="I179" i="136"/>
  <c r="I189" i="136" s="1"/>
  <c r="I190" i="136" s="1"/>
  <c r="I87" i="136"/>
  <c r="I88" i="136" s="1"/>
  <c r="I145" i="136"/>
  <c r="I155" i="136" s="1"/>
  <c r="I234" i="145"/>
  <c r="I268" i="145" s="1"/>
  <c r="I54" i="134"/>
  <c r="I290" i="134"/>
  <c r="H350" i="148"/>
  <c r="I43" i="148"/>
  <c r="I217" i="140"/>
  <c r="I251" i="140" s="1"/>
  <c r="F113" i="194"/>
  <c r="F115" i="194" s="1"/>
  <c r="F112" i="194"/>
  <c r="I70" i="149"/>
  <c r="I85" i="141"/>
  <c r="I93" i="145"/>
  <c r="I94" i="145"/>
  <c r="I103" i="142"/>
  <c r="I104" i="142" s="1"/>
  <c r="I128" i="142"/>
  <c r="I137" i="142" s="1"/>
  <c r="I138" i="142" s="1"/>
  <c r="I162" i="142"/>
  <c r="I196" i="142"/>
  <c r="I82" i="141"/>
  <c r="I214" i="147"/>
  <c r="I248" i="147" s="1"/>
  <c r="F113" i="191"/>
  <c r="F115" i="191" s="1"/>
  <c r="F112" i="191"/>
  <c r="I205" i="150"/>
  <c r="I206" i="150" s="1"/>
  <c r="I230" i="150"/>
  <c r="I264" i="150" s="1"/>
  <c r="F113" i="189"/>
  <c r="F115" i="189" s="1"/>
  <c r="F112" i="189"/>
  <c r="I237" i="139"/>
  <c r="I271" i="139" s="1"/>
  <c r="I117" i="148"/>
  <c r="I185" i="148"/>
  <c r="I151" i="148"/>
  <c r="I184" i="148"/>
  <c r="I116" i="148"/>
  <c r="I150" i="148"/>
  <c r="I137" i="147"/>
  <c r="I138" i="147" s="1"/>
  <c r="I232" i="139"/>
  <c r="I266" i="139" s="1"/>
  <c r="I164" i="141"/>
  <c r="I198" i="141"/>
  <c r="I130" i="141"/>
  <c r="N526" i="217"/>
  <c r="I155" i="150"/>
  <c r="I77" i="145"/>
  <c r="I54" i="145"/>
  <c r="I78" i="145"/>
  <c r="I236" i="143"/>
  <c r="I270" i="143" s="1"/>
  <c r="I231" i="143"/>
  <c r="I265" i="143" s="1"/>
  <c r="I54" i="144"/>
  <c r="F27" i="206"/>
  <c r="G86" i="208" s="1"/>
  <c r="F106" i="198"/>
  <c r="F111" i="198" s="1"/>
  <c r="N573" i="217"/>
  <c r="N529" i="217"/>
  <c r="I162" i="135"/>
  <c r="I196" i="135"/>
  <c r="I128" i="135"/>
  <c r="I77" i="139"/>
  <c r="I78" i="139"/>
  <c r="I54" i="139"/>
  <c r="I290" i="135"/>
  <c r="I54" i="135"/>
  <c r="H366" i="148"/>
  <c r="I69" i="148" s="1"/>
  <c r="I59" i="148"/>
  <c r="I130" i="148"/>
  <c r="I164" i="148"/>
  <c r="I198" i="148"/>
  <c r="I234" i="137"/>
  <c r="I268" i="137" s="1"/>
  <c r="I112" i="142"/>
  <c r="I146" i="142"/>
  <c r="I155" i="142" s="1"/>
  <c r="I180" i="142"/>
  <c r="I189" i="142" s="1"/>
  <c r="H351" i="143"/>
  <c r="I93" i="143"/>
  <c r="I94" i="143"/>
  <c r="H367" i="140"/>
  <c r="I69" i="140"/>
  <c r="I70" i="140" s="1"/>
  <c r="I190" i="147"/>
  <c r="I233" i="149"/>
  <c r="I267" i="149" s="1"/>
  <c r="I197" i="148"/>
  <c r="I129" i="148"/>
  <c r="I163" i="148"/>
  <c r="AG34" i="95"/>
  <c r="H57" i="95"/>
  <c r="F112" i="195"/>
  <c r="F113" i="195"/>
  <c r="F115" i="195" s="1"/>
  <c r="H367" i="137"/>
  <c r="I53" i="137"/>
  <c r="I290" i="137" s="1"/>
  <c r="H368" i="137"/>
  <c r="H370" i="137" s="1"/>
  <c r="F154" i="197"/>
  <c r="I195" i="162"/>
  <c r="I127" i="162"/>
  <c r="I137" i="162" s="1"/>
  <c r="I138" i="162" s="1"/>
  <c r="I103" i="162"/>
  <c r="I104" i="162" s="1"/>
  <c r="I161" i="162"/>
  <c r="N525" i="217"/>
  <c r="F31" i="206"/>
  <c r="G90" i="208" s="1"/>
  <c r="F106" i="202"/>
  <c r="F111" i="202" s="1"/>
  <c r="I54" i="162"/>
  <c r="I77" i="149"/>
  <c r="I78" i="149"/>
  <c r="I221" i="145"/>
  <c r="I255" i="145" s="1"/>
  <c r="I179" i="138"/>
  <c r="I189" i="138" s="1"/>
  <c r="I87" i="138"/>
  <c r="I88" i="138" s="1"/>
  <c r="I111" i="138"/>
  <c r="I145" i="138"/>
  <c r="I231" i="145"/>
  <c r="I265" i="145" s="1"/>
  <c r="I184" i="140"/>
  <c r="I116" i="140"/>
  <c r="I150" i="140"/>
  <c r="I145" i="146"/>
  <c r="I179" i="146"/>
  <c r="I111" i="146"/>
  <c r="I229" i="150"/>
  <c r="I170" i="148"/>
  <c r="I204" i="148"/>
  <c r="I136" i="148"/>
  <c r="F106" i="190"/>
  <c r="F111" i="190" s="1"/>
  <c r="F19" i="206"/>
  <c r="G78" i="208" s="1"/>
  <c r="I196" i="136"/>
  <c r="I128" i="136"/>
  <c r="I162" i="136"/>
  <c r="I215" i="145"/>
  <c r="I249" i="145" s="1"/>
  <c r="H367" i="149"/>
  <c r="I234" i="139"/>
  <c r="I268" i="139" s="1"/>
  <c r="F111" i="197"/>
  <c r="F150" i="197"/>
  <c r="I128" i="144"/>
  <c r="I137" i="144" s="1"/>
  <c r="I138" i="144" s="1"/>
  <c r="I162" i="144"/>
  <c r="I196" i="144"/>
  <c r="I235" i="141"/>
  <c r="I269" i="141" s="1"/>
  <c r="I78" i="141"/>
  <c r="F15" i="193"/>
  <c r="F44" i="193" s="1"/>
  <c r="F57" i="193" s="1"/>
  <c r="F98" i="193" s="1"/>
  <c r="H23" i="102"/>
  <c r="H85" i="128"/>
  <c r="H367" i="145"/>
  <c r="F117" i="200"/>
  <c r="F114" i="200"/>
  <c r="F116" i="200" s="1"/>
  <c r="F118" i="200" s="1"/>
  <c r="I216" i="149"/>
  <c r="I250" i="149" s="1"/>
  <c r="I70" i="139"/>
  <c r="I233" i="137"/>
  <c r="I267" i="137" s="1"/>
  <c r="I195" i="146"/>
  <c r="I127" i="146"/>
  <c r="I137" i="146" s="1"/>
  <c r="I138" i="146" s="1"/>
  <c r="I161" i="146"/>
  <c r="I171" i="146" s="1"/>
  <c r="I172" i="146" s="1"/>
  <c r="I103" i="146"/>
  <c r="I104" i="146" s="1"/>
  <c r="I128" i="138"/>
  <c r="I162" i="138"/>
  <c r="I196" i="138"/>
  <c r="I216" i="86"/>
  <c r="I250" i="86" s="1"/>
  <c r="I222" i="86"/>
  <c r="I256" i="86" s="1"/>
  <c r="I218" i="86"/>
  <c r="I252" i="86" s="1"/>
  <c r="I220" i="86"/>
  <c r="I254" i="86" s="1"/>
  <c r="F15" i="206"/>
  <c r="F106" i="186"/>
  <c r="F111" i="186" s="1"/>
  <c r="I146" i="86"/>
  <c r="I155" i="86" s="1"/>
  <c r="I180" i="86"/>
  <c r="I189" i="86" s="1"/>
  <c r="I112" i="86"/>
  <c r="I54" i="86"/>
  <c r="I290" i="86"/>
  <c r="I87" i="86"/>
  <c r="I88" i="86" s="1"/>
  <c r="F16" i="209"/>
  <c r="F248" i="209" s="1"/>
  <c r="I213" i="86"/>
  <c r="I196" i="86"/>
  <c r="I128" i="86"/>
  <c r="I162" i="86"/>
  <c r="I221" i="86"/>
  <c r="I255" i="86" s="1"/>
  <c r="I215" i="86"/>
  <c r="I249" i="86" s="1"/>
  <c r="I161" i="86"/>
  <c r="I195" i="86"/>
  <c r="I127" i="86"/>
  <c r="I103" i="86"/>
  <c r="I104" i="86" s="1"/>
  <c r="F28" i="207" l="1"/>
  <c r="I155" i="138"/>
  <c r="I156" i="138" s="1"/>
  <c r="I280" i="150"/>
  <c r="I32" i="131" s="1"/>
  <c r="I281" i="147"/>
  <c r="I29" i="133" s="1"/>
  <c r="I156" i="136"/>
  <c r="I118" i="141"/>
  <c r="I220" i="141" s="1"/>
  <c r="I254" i="141" s="1"/>
  <c r="I115" i="141"/>
  <c r="I231" i="148"/>
  <c r="I265" i="148" s="1"/>
  <c r="I232" i="148"/>
  <c r="I266" i="148" s="1"/>
  <c r="I214" i="135"/>
  <c r="I248" i="135" s="1"/>
  <c r="I219" i="141"/>
  <c r="I253" i="141" s="1"/>
  <c r="I230" i="134"/>
  <c r="I264" i="134" s="1"/>
  <c r="I229" i="144"/>
  <c r="I230" i="142"/>
  <c r="I264" i="142" s="1"/>
  <c r="I214" i="134"/>
  <c r="I248" i="134" s="1"/>
  <c r="I214" i="146"/>
  <c r="I248" i="146" s="1"/>
  <c r="I156" i="147"/>
  <c r="I216" i="148"/>
  <c r="I250" i="148" s="1"/>
  <c r="I122" i="151"/>
  <c r="I190" i="151"/>
  <c r="F154" i="196"/>
  <c r="I222" i="148"/>
  <c r="I256" i="148" s="1"/>
  <c r="I155" i="134"/>
  <c r="I156" i="134" s="1"/>
  <c r="I230" i="135"/>
  <c r="I264" i="135" s="1"/>
  <c r="I137" i="135"/>
  <c r="I138" i="135" s="1"/>
  <c r="I171" i="136"/>
  <c r="I172" i="136" s="1"/>
  <c r="I189" i="162"/>
  <c r="I230" i="138"/>
  <c r="I264" i="138" s="1"/>
  <c r="I122" i="150"/>
  <c r="I155" i="135"/>
  <c r="I189" i="134"/>
  <c r="I190" i="134" s="1"/>
  <c r="F25" i="207"/>
  <c r="F158" i="196"/>
  <c r="F103" i="193"/>
  <c r="F104" i="193"/>
  <c r="F22" i="205" s="1"/>
  <c r="F36" i="205" s="1"/>
  <c r="N417" i="217" s="1"/>
  <c r="F105" i="193"/>
  <c r="F22" i="207" s="1"/>
  <c r="F112" i="198"/>
  <c r="F113" i="198"/>
  <c r="F115" i="198" s="1"/>
  <c r="F114" i="194"/>
  <c r="F116" i="194" s="1"/>
  <c r="F118" i="194" s="1"/>
  <c r="F117" i="194"/>
  <c r="I121" i="142"/>
  <c r="I282" i="142" s="1"/>
  <c r="I23" i="132" s="1"/>
  <c r="I213" i="142"/>
  <c r="I189" i="144"/>
  <c r="I190" i="144" s="1"/>
  <c r="N524" i="217"/>
  <c r="M564" i="217"/>
  <c r="I121" i="144"/>
  <c r="I282" i="144" s="1"/>
  <c r="I26" i="132" s="1"/>
  <c r="I214" i="144"/>
  <c r="I248" i="144" s="1"/>
  <c r="I93" i="141"/>
  <c r="I94" i="141"/>
  <c r="N444" i="217"/>
  <c r="N479" i="217" s="1"/>
  <c r="F35" i="206"/>
  <c r="I239" i="147"/>
  <c r="I240" i="147" s="1"/>
  <c r="I263" i="147"/>
  <c r="I273" i="147" s="1"/>
  <c r="I274" i="147" s="1"/>
  <c r="I121" i="162"/>
  <c r="I282" i="162" s="1"/>
  <c r="I24" i="132" s="1"/>
  <c r="I213" i="162"/>
  <c r="G87" i="208"/>
  <c r="F29" i="209"/>
  <c r="F261" i="209" s="1"/>
  <c r="F30" i="210" s="1"/>
  <c r="F69" i="211" s="1"/>
  <c r="I146" i="141"/>
  <c r="I180" i="141"/>
  <c r="I112" i="141"/>
  <c r="I238" i="148"/>
  <c r="I272" i="148" s="1"/>
  <c r="I218" i="140"/>
  <c r="I252" i="140" s="1"/>
  <c r="I162" i="143"/>
  <c r="I196" i="143"/>
  <c r="I128" i="143"/>
  <c r="I70" i="148"/>
  <c r="I112" i="139"/>
  <c r="I146" i="139"/>
  <c r="I180" i="139"/>
  <c r="I180" i="145"/>
  <c r="I112" i="145"/>
  <c r="I146" i="145"/>
  <c r="I219" i="148"/>
  <c r="I253" i="148" s="1"/>
  <c r="I156" i="150"/>
  <c r="I234" i="141"/>
  <c r="I268" i="141" s="1"/>
  <c r="I229" i="135"/>
  <c r="I205" i="135"/>
  <c r="I206" i="135" s="1"/>
  <c r="I155" i="144"/>
  <c r="I156" i="144" s="1"/>
  <c r="I223" i="147"/>
  <c r="I224" i="147" s="1"/>
  <c r="I247" i="147"/>
  <c r="I257" i="147" s="1"/>
  <c r="I258" i="147" s="1"/>
  <c r="I70" i="141"/>
  <c r="I162" i="139"/>
  <c r="I196" i="139"/>
  <c r="I128" i="139"/>
  <c r="I103" i="149"/>
  <c r="I104" i="149" s="1"/>
  <c r="I196" i="149"/>
  <c r="I162" i="149"/>
  <c r="I128" i="149"/>
  <c r="I213" i="138"/>
  <c r="I121" i="138"/>
  <c r="I146" i="149"/>
  <c r="I180" i="149"/>
  <c r="I112" i="149"/>
  <c r="F113" i="202"/>
  <c r="F115" i="202" s="1"/>
  <c r="F112" i="202"/>
  <c r="I171" i="162"/>
  <c r="I172" i="162" s="1"/>
  <c r="F155" i="197"/>
  <c r="F156" i="197" s="1"/>
  <c r="F158" i="197"/>
  <c r="F26" i="207"/>
  <c r="I161" i="143"/>
  <c r="I171" i="143" s="1"/>
  <c r="I172" i="143" s="1"/>
  <c r="I195" i="143"/>
  <c r="I127" i="143"/>
  <c r="I103" i="143"/>
  <c r="I104" i="143" s="1"/>
  <c r="I214" i="142"/>
  <c r="I248" i="142" s="1"/>
  <c r="I145" i="139"/>
  <c r="I111" i="139"/>
  <c r="I87" i="139"/>
  <c r="I88" i="139" s="1"/>
  <c r="I179" i="139"/>
  <c r="I153" i="141"/>
  <c r="I187" i="141"/>
  <c r="I119" i="141"/>
  <c r="I234" i="148"/>
  <c r="I268" i="148" s="1"/>
  <c r="I54" i="143"/>
  <c r="I190" i="142"/>
  <c r="I180" i="140"/>
  <c r="I112" i="140"/>
  <c r="I146" i="140"/>
  <c r="I223" i="151"/>
  <c r="I279" i="151" s="1"/>
  <c r="I247" i="151"/>
  <c r="I257" i="151" s="1"/>
  <c r="I258" i="151" s="1"/>
  <c r="I137" i="138"/>
  <c r="I138" i="138" s="1"/>
  <c r="F113" i="199"/>
  <c r="F115" i="199" s="1"/>
  <c r="F112" i="199"/>
  <c r="I54" i="137"/>
  <c r="I195" i="140"/>
  <c r="I127" i="140"/>
  <c r="I103" i="140"/>
  <c r="I104" i="140" s="1"/>
  <c r="I161" i="140"/>
  <c r="I171" i="134"/>
  <c r="I230" i="146"/>
  <c r="I264" i="146" s="1"/>
  <c r="I237" i="141"/>
  <c r="I271" i="141" s="1"/>
  <c r="G73" i="208"/>
  <c r="I214" i="162"/>
  <c r="I248" i="162" s="1"/>
  <c r="H368" i="141"/>
  <c r="H370" i="141" s="1"/>
  <c r="I53" i="141"/>
  <c r="I290" i="141" s="1"/>
  <c r="I282" i="147"/>
  <c r="I29" i="132" s="1"/>
  <c r="I281" i="150"/>
  <c r="I32" i="133" s="1"/>
  <c r="F25" i="206"/>
  <c r="F155" i="196"/>
  <c r="F114" i="188"/>
  <c r="F116" i="188" s="1"/>
  <c r="F118" i="188" s="1"/>
  <c r="F117" i="188"/>
  <c r="F233" i="211"/>
  <c r="F258" i="211"/>
  <c r="L69" i="218" s="1"/>
  <c r="I189" i="146"/>
  <c r="I190" i="146" s="1"/>
  <c r="I128" i="137"/>
  <c r="I162" i="137"/>
  <c r="I196" i="137"/>
  <c r="I161" i="139"/>
  <c r="I171" i="139" s="1"/>
  <c r="I172" i="139" s="1"/>
  <c r="I127" i="139"/>
  <c r="I137" i="139" s="1"/>
  <c r="I138" i="139" s="1"/>
  <c r="I195" i="139"/>
  <c r="I103" i="139"/>
  <c r="I104" i="139" s="1"/>
  <c r="I171" i="144"/>
  <c r="I172" i="144" s="1"/>
  <c r="I195" i="149"/>
  <c r="I127" i="149"/>
  <c r="I137" i="149" s="1"/>
  <c r="I138" i="149" s="1"/>
  <c r="I161" i="149"/>
  <c r="I155" i="162"/>
  <c r="I280" i="162" s="1"/>
  <c r="I24" i="131" s="1"/>
  <c r="I190" i="150"/>
  <c r="I236" i="148"/>
  <c r="I270" i="148" s="1"/>
  <c r="F112" i="192"/>
  <c r="F113" i="192"/>
  <c r="F115" i="192" s="1"/>
  <c r="I217" i="141"/>
  <c r="I251" i="141" s="1"/>
  <c r="I179" i="149"/>
  <c r="I111" i="149"/>
  <c r="I145" i="149"/>
  <c r="I87" i="149"/>
  <c r="I88" i="149" s="1"/>
  <c r="I93" i="148"/>
  <c r="I94" i="148"/>
  <c r="I196" i="145"/>
  <c r="I128" i="145"/>
  <c r="I162" i="145"/>
  <c r="I77" i="148"/>
  <c r="I78" i="148"/>
  <c r="I229" i="138"/>
  <c r="I205" i="138"/>
  <c r="I206" i="138" s="1"/>
  <c r="I87" i="137"/>
  <c r="I88" i="137" s="1"/>
  <c r="I111" i="137"/>
  <c r="I145" i="137"/>
  <c r="I179" i="137"/>
  <c r="I230" i="136"/>
  <c r="I264" i="136" s="1"/>
  <c r="I213" i="146"/>
  <c r="I121" i="146"/>
  <c r="I282" i="146" s="1"/>
  <c r="I28" i="132" s="1"/>
  <c r="I229" i="162"/>
  <c r="I205" i="162"/>
  <c r="I206" i="162" s="1"/>
  <c r="I218" i="148"/>
  <c r="I252" i="148" s="1"/>
  <c r="I171" i="142"/>
  <c r="I172" i="142" s="1"/>
  <c r="I103" i="145"/>
  <c r="I104" i="145" s="1"/>
  <c r="I195" i="145"/>
  <c r="I161" i="145"/>
  <c r="I127" i="145"/>
  <c r="I137" i="145" s="1"/>
  <c r="I138" i="145" s="1"/>
  <c r="H368" i="148"/>
  <c r="H370" i="148" s="1"/>
  <c r="I53" i="148"/>
  <c r="I290" i="148" s="1"/>
  <c r="I121" i="136"/>
  <c r="I213" i="136"/>
  <c r="I180" i="143"/>
  <c r="I146" i="143"/>
  <c r="I112" i="143"/>
  <c r="I214" i="143" s="1"/>
  <c r="I248" i="143" s="1"/>
  <c r="I137" i="136"/>
  <c r="I138" i="136" s="1"/>
  <c r="I196" i="140"/>
  <c r="I162" i="140"/>
  <c r="I128" i="140"/>
  <c r="I229" i="134"/>
  <c r="I205" i="134"/>
  <c r="I206" i="134" s="1"/>
  <c r="F30" i="206"/>
  <c r="G89" i="208" s="1"/>
  <c r="F106" i="201"/>
  <c r="F111" i="201" s="1"/>
  <c r="F253" i="211"/>
  <c r="L64" i="218" s="1"/>
  <c r="F228" i="211"/>
  <c r="I216" i="140"/>
  <c r="I250" i="140" s="1"/>
  <c r="I273" i="151"/>
  <c r="I274" i="151" s="1"/>
  <c r="F117" i="187"/>
  <c r="F114" i="187"/>
  <c r="F116" i="187" s="1"/>
  <c r="F118" i="187" s="1"/>
  <c r="I213" i="135"/>
  <c r="I121" i="135"/>
  <c r="I282" i="135" s="1"/>
  <c r="I17" i="132" s="1"/>
  <c r="I214" i="138"/>
  <c r="I248" i="138" s="1"/>
  <c r="I190" i="162"/>
  <c r="I281" i="162"/>
  <c r="I24" i="133" s="1"/>
  <c r="I156" i="135"/>
  <c r="I190" i="138"/>
  <c r="I280" i="136"/>
  <c r="I18" i="131" s="1"/>
  <c r="I229" i="146"/>
  <c r="I205" i="146"/>
  <c r="I206" i="146" s="1"/>
  <c r="H96" i="102"/>
  <c r="H40" i="95"/>
  <c r="H65" i="95" s="1"/>
  <c r="H67" i="102"/>
  <c r="H35" i="102"/>
  <c r="I205" i="144"/>
  <c r="I206" i="144" s="1"/>
  <c r="I230" i="144"/>
  <c r="I264" i="144" s="1"/>
  <c r="F112" i="197"/>
  <c r="F113" i="197"/>
  <c r="F115" i="197" s="1"/>
  <c r="F112" i="190"/>
  <c r="F113" i="190"/>
  <c r="F115" i="190" s="1"/>
  <c r="I239" i="150"/>
  <c r="I240" i="150" s="1"/>
  <c r="I263" i="150"/>
  <c r="I273" i="150" s="1"/>
  <c r="I274" i="150" s="1"/>
  <c r="I155" i="146"/>
  <c r="I280" i="146" s="1"/>
  <c r="I28" i="131" s="1"/>
  <c r="I54" i="149"/>
  <c r="F117" i="195"/>
  <c r="F114" i="195"/>
  <c r="F116" i="195" s="1"/>
  <c r="F118" i="195" s="1"/>
  <c r="H367" i="148"/>
  <c r="I87" i="145"/>
  <c r="I88" i="145" s="1"/>
  <c r="I145" i="145"/>
  <c r="I111" i="145"/>
  <c r="I179" i="145"/>
  <c r="I232" i="141"/>
  <c r="I266" i="141" s="1"/>
  <c r="F117" i="189"/>
  <c r="F114" i="189"/>
  <c r="F116" i="189" s="1"/>
  <c r="F118" i="189" s="1"/>
  <c r="F114" i="191"/>
  <c r="F116" i="191" s="1"/>
  <c r="F118" i="191" s="1"/>
  <c r="F117" i="191"/>
  <c r="I150" i="141"/>
  <c r="I184" i="141"/>
  <c r="I116" i="141"/>
  <c r="H351" i="148"/>
  <c r="I179" i="143"/>
  <c r="I111" i="143"/>
  <c r="I145" i="143"/>
  <c r="I87" i="143"/>
  <c r="I88" i="143" s="1"/>
  <c r="I156" i="142"/>
  <c r="I179" i="140"/>
  <c r="I189" i="140" s="1"/>
  <c r="I87" i="140"/>
  <c r="I88" i="140" s="1"/>
  <c r="I145" i="140"/>
  <c r="I155" i="140" s="1"/>
  <c r="I111" i="140"/>
  <c r="I222" i="140"/>
  <c r="I256" i="140" s="1"/>
  <c r="I171" i="138"/>
  <c r="I172" i="138" s="1"/>
  <c r="I205" i="136"/>
  <c r="I206" i="136" s="1"/>
  <c r="I229" i="136"/>
  <c r="I146" i="137"/>
  <c r="I112" i="137"/>
  <c r="I180" i="137"/>
  <c r="I171" i="135"/>
  <c r="I172" i="135" s="1"/>
  <c r="I213" i="144"/>
  <c r="I122" i="144"/>
  <c r="F244" i="211"/>
  <c r="F269" i="211"/>
  <c r="L80" i="218" s="1"/>
  <c r="I229" i="142"/>
  <c r="I205" i="142"/>
  <c r="I206" i="142" s="1"/>
  <c r="F156" i="199"/>
  <c r="N477" i="217"/>
  <c r="N473" i="217"/>
  <c r="I215" i="148"/>
  <c r="I249" i="148" s="1"/>
  <c r="I223" i="150"/>
  <c r="I279" i="150" s="1"/>
  <c r="I247" i="150"/>
  <c r="I257" i="150" s="1"/>
  <c r="I258" i="150" s="1"/>
  <c r="I154" i="141"/>
  <c r="I188" i="141"/>
  <c r="I120" i="141"/>
  <c r="I77" i="141"/>
  <c r="I54" i="141"/>
  <c r="I230" i="162"/>
  <c r="I264" i="162" s="1"/>
  <c r="I290" i="140"/>
  <c r="I54" i="140"/>
  <c r="I182" i="141"/>
  <c r="I148" i="141"/>
  <c r="I114" i="141"/>
  <c r="F150" i="196"/>
  <c r="F111" i="196"/>
  <c r="H367" i="141"/>
  <c r="F113" i="185"/>
  <c r="F115" i="185" s="1"/>
  <c r="F112" i="185"/>
  <c r="I103" i="137"/>
  <c r="I104" i="137" s="1"/>
  <c r="I161" i="137"/>
  <c r="I171" i="137" s="1"/>
  <c r="I172" i="137" s="1"/>
  <c r="I195" i="137"/>
  <c r="I127" i="137"/>
  <c r="I189" i="135"/>
  <c r="I213" i="134"/>
  <c r="I121" i="134"/>
  <c r="I282" i="134" s="1"/>
  <c r="I16" i="132" s="1"/>
  <c r="I263" i="144"/>
  <c r="I273" i="144" s="1"/>
  <c r="I274" i="144" s="1"/>
  <c r="I215" i="141"/>
  <c r="I249" i="141" s="1"/>
  <c r="G74" i="208"/>
  <c r="I214" i="86"/>
  <c r="I248" i="86" s="1"/>
  <c r="I171" i="86"/>
  <c r="I172" i="86" s="1"/>
  <c r="I121" i="86"/>
  <c r="I122" i="86" s="1"/>
  <c r="I137" i="86"/>
  <c r="I138" i="86" s="1"/>
  <c r="I230" i="86"/>
  <c r="I264" i="86" s="1"/>
  <c r="I156" i="86"/>
  <c r="I190" i="86"/>
  <c r="I223" i="86"/>
  <c r="I247" i="86"/>
  <c r="F17" i="210"/>
  <c r="F56" i="211" s="1"/>
  <c r="F113" i="186"/>
  <c r="F115" i="186" s="1"/>
  <c r="F112" i="186"/>
  <c r="I229" i="86"/>
  <c r="I205" i="86"/>
  <c r="I206" i="86" s="1"/>
  <c r="I122" i="146" l="1"/>
  <c r="I171" i="145"/>
  <c r="I172" i="145" s="1"/>
  <c r="I221" i="141"/>
  <c r="I255" i="141" s="1"/>
  <c r="I122" i="162"/>
  <c r="I214" i="137"/>
  <c r="I248" i="137" s="1"/>
  <c r="I171" i="149"/>
  <c r="I172" i="149" s="1"/>
  <c r="I230" i="139"/>
  <c r="I264" i="139" s="1"/>
  <c r="I281" i="134"/>
  <c r="I16" i="133" s="1"/>
  <c r="F37" i="205"/>
  <c r="I239" i="144"/>
  <c r="I240" i="144" s="1"/>
  <c r="I122" i="135"/>
  <c r="I224" i="150"/>
  <c r="I282" i="136"/>
  <c r="I18" i="132" s="1"/>
  <c r="I155" i="143"/>
  <c r="I155" i="149"/>
  <c r="I190" i="135"/>
  <c r="I281" i="135"/>
  <c r="I17" i="133" s="1"/>
  <c r="F113" i="196"/>
  <c r="F115" i="196" s="1"/>
  <c r="F112" i="196"/>
  <c r="F117" i="190"/>
  <c r="F114" i="190"/>
  <c r="F116" i="190" s="1"/>
  <c r="F118" i="190" s="1"/>
  <c r="I247" i="135"/>
  <c r="I257" i="135" s="1"/>
  <c r="I258" i="135" s="1"/>
  <c r="I223" i="135"/>
  <c r="I239" i="162"/>
  <c r="I240" i="162" s="1"/>
  <c r="I263" i="162"/>
  <c r="I273" i="162" s="1"/>
  <c r="I274" i="162" s="1"/>
  <c r="I213" i="137"/>
  <c r="I121" i="137"/>
  <c r="I122" i="137" s="1"/>
  <c r="I213" i="149"/>
  <c r="I229" i="149"/>
  <c r="I205" i="149"/>
  <c r="I206" i="149" s="1"/>
  <c r="I172" i="134"/>
  <c r="I280" i="134"/>
  <c r="I16" i="131" s="1"/>
  <c r="I195" i="141"/>
  <c r="I161" i="141"/>
  <c r="I127" i="141"/>
  <c r="I103" i="141"/>
  <c r="I104" i="141" s="1"/>
  <c r="I122" i="136"/>
  <c r="F117" i="185"/>
  <c r="F114" i="185"/>
  <c r="I239" i="142"/>
  <c r="I240" i="142" s="1"/>
  <c r="I263" i="142"/>
  <c r="I273" i="142" s="1"/>
  <c r="I274" i="142" s="1"/>
  <c r="N330" i="217"/>
  <c r="H108" i="102"/>
  <c r="H38" i="102"/>
  <c r="H52" i="95"/>
  <c r="I281" i="146"/>
  <c r="I28" i="133" s="1"/>
  <c r="I171" i="140"/>
  <c r="I172" i="140" s="1"/>
  <c r="F27" i="209"/>
  <c r="F259" i="209" s="1"/>
  <c r="F28" i="210" s="1"/>
  <c r="F67" i="211" s="1"/>
  <c r="G85" i="208"/>
  <c r="F117" i="202"/>
  <c r="F114" i="202"/>
  <c r="F116" i="202" s="1"/>
  <c r="F118" i="202" s="1"/>
  <c r="I280" i="138"/>
  <c r="I20" i="131" s="1"/>
  <c r="I279" i="147"/>
  <c r="I155" i="145"/>
  <c r="I280" i="145" s="1"/>
  <c r="I27" i="131" s="1"/>
  <c r="I214" i="141"/>
  <c r="I248" i="141" s="1"/>
  <c r="I223" i="162"/>
  <c r="I279" i="162" s="1"/>
  <c r="I247" i="162"/>
  <c r="I257" i="162" s="1"/>
  <c r="I258" i="162" s="1"/>
  <c r="F117" i="198"/>
  <c r="F114" i="198"/>
  <c r="F116" i="198" s="1"/>
  <c r="F118" i="198" s="1"/>
  <c r="I224" i="135"/>
  <c r="I205" i="137"/>
  <c r="I206" i="137" s="1"/>
  <c r="I229" i="137"/>
  <c r="F116" i="185"/>
  <c r="F118" i="185" s="1"/>
  <c r="I216" i="141"/>
  <c r="I250" i="141" s="1"/>
  <c r="I222" i="141"/>
  <c r="I256" i="141" s="1"/>
  <c r="I239" i="136"/>
  <c r="I240" i="136" s="1"/>
  <c r="I263" i="136"/>
  <c r="I273" i="136" s="1"/>
  <c r="I274" i="136" s="1"/>
  <c r="I121" i="140"/>
  <c r="I213" i="140"/>
  <c r="I190" i="140"/>
  <c r="I281" i="140"/>
  <c r="I14" i="133" s="1"/>
  <c r="O211" i="217" s="1"/>
  <c r="I156" i="143"/>
  <c r="I218" i="141"/>
  <c r="I252" i="141" s="1"/>
  <c r="F114" i="197"/>
  <c r="F116" i="197" s="1"/>
  <c r="F118" i="197" s="1"/>
  <c r="F117" i="197"/>
  <c r="H68" i="102"/>
  <c r="I239" i="146"/>
  <c r="I240" i="146" s="1"/>
  <c r="I263" i="146"/>
  <c r="I273" i="146" s="1"/>
  <c r="I274" i="146" s="1"/>
  <c r="I239" i="134"/>
  <c r="I240" i="134" s="1"/>
  <c r="I263" i="134"/>
  <c r="I273" i="134" s="1"/>
  <c r="I274" i="134" s="1"/>
  <c r="I230" i="140"/>
  <c r="I264" i="140" s="1"/>
  <c r="I189" i="143"/>
  <c r="I205" i="145"/>
  <c r="I206" i="145" s="1"/>
  <c r="I229" i="145"/>
  <c r="I280" i="142"/>
  <c r="I23" i="131" s="1"/>
  <c r="I189" i="137"/>
  <c r="I179" i="148"/>
  <c r="I111" i="148"/>
  <c r="I145" i="148"/>
  <c r="I87" i="148"/>
  <c r="I88" i="148" s="1"/>
  <c r="I196" i="148"/>
  <c r="I162" i="148"/>
  <c r="I128" i="148"/>
  <c r="I230" i="137"/>
  <c r="I264" i="137" s="1"/>
  <c r="F156" i="196"/>
  <c r="I214" i="140"/>
  <c r="I248" i="140" s="1"/>
  <c r="I155" i="139"/>
  <c r="I280" i="139" s="1"/>
  <c r="I21" i="131" s="1"/>
  <c r="I137" i="143"/>
  <c r="I138" i="143" s="1"/>
  <c r="I282" i="138"/>
  <c r="I20" i="132" s="1"/>
  <c r="I122" i="138"/>
  <c r="I122" i="134"/>
  <c r="I121" i="145"/>
  <c r="I282" i="145" s="1"/>
  <c r="I27" i="132" s="1"/>
  <c r="I214" i="145"/>
  <c r="I248" i="145" s="1"/>
  <c r="I214" i="139"/>
  <c r="I248" i="139" s="1"/>
  <c r="F242" i="211"/>
  <c r="F267" i="211"/>
  <c r="L78" i="218" s="1"/>
  <c r="I281" i="144"/>
  <c r="I26" i="133" s="1"/>
  <c r="F23" i="209"/>
  <c r="F255" i="209" s="1"/>
  <c r="F36" i="207"/>
  <c r="I280" i="135"/>
  <c r="I17" i="131" s="1"/>
  <c r="I156" i="140"/>
  <c r="I280" i="140"/>
  <c r="I14" i="131" s="1"/>
  <c r="O152" i="217" s="1"/>
  <c r="O181" i="217" s="1"/>
  <c r="I213" i="145"/>
  <c r="I122" i="145"/>
  <c r="I180" i="148"/>
  <c r="I112" i="148"/>
  <c r="I146" i="148"/>
  <c r="I281" i="142"/>
  <c r="I23" i="133" s="1"/>
  <c r="F117" i="192"/>
  <c r="F114" i="192"/>
  <c r="F116" i="192" s="1"/>
  <c r="F118" i="192" s="1"/>
  <c r="I229" i="140"/>
  <c r="I205" i="140"/>
  <c r="I206" i="140" s="1"/>
  <c r="I33" i="130"/>
  <c r="I294" i="151"/>
  <c r="I283" i="151"/>
  <c r="N587" i="217"/>
  <c r="N586" i="217"/>
  <c r="N530" i="217"/>
  <c r="N583" i="217"/>
  <c r="N584" i="217"/>
  <c r="N585" i="217"/>
  <c r="I223" i="142"/>
  <c r="I279" i="142" s="1"/>
  <c r="I247" i="142"/>
  <c r="I257" i="142" s="1"/>
  <c r="I258" i="142" s="1"/>
  <c r="F22" i="206"/>
  <c r="F106" i="193"/>
  <c r="F111" i="193" s="1"/>
  <c r="I137" i="137"/>
  <c r="I138" i="137" s="1"/>
  <c r="I145" i="141"/>
  <c r="I179" i="141"/>
  <c r="I111" i="141"/>
  <c r="I121" i="141" s="1"/>
  <c r="I87" i="141"/>
  <c r="I88" i="141" s="1"/>
  <c r="I223" i="144"/>
  <c r="I279" i="144" s="1"/>
  <c r="I247" i="144"/>
  <c r="I257" i="144" s="1"/>
  <c r="I258" i="144" s="1"/>
  <c r="I280" i="143"/>
  <c r="I25" i="131" s="1"/>
  <c r="I54" i="148"/>
  <c r="I189" i="149"/>
  <c r="I281" i="149" s="1"/>
  <c r="I31" i="133" s="1"/>
  <c r="I213" i="139"/>
  <c r="I121" i="139"/>
  <c r="I282" i="139" s="1"/>
  <c r="I21" i="132" s="1"/>
  <c r="I280" i="149"/>
  <c r="I31" i="131" s="1"/>
  <c r="I230" i="149"/>
  <c r="I264" i="149" s="1"/>
  <c r="I263" i="135"/>
  <c r="I273" i="135" s="1"/>
  <c r="I274" i="135" s="1"/>
  <c r="I239" i="135"/>
  <c r="I240" i="135" s="1"/>
  <c r="I230" i="143"/>
  <c r="I264" i="143" s="1"/>
  <c r="I223" i="134"/>
  <c r="I247" i="134"/>
  <c r="I257" i="134" s="1"/>
  <c r="I258" i="134" s="1"/>
  <c r="I294" i="150"/>
  <c r="I283" i="150"/>
  <c r="I32" i="130"/>
  <c r="I213" i="143"/>
  <c r="I121" i="143"/>
  <c r="I282" i="143" s="1"/>
  <c r="I25" i="132" s="1"/>
  <c r="I156" i="146"/>
  <c r="I281" i="136"/>
  <c r="I18" i="133" s="1"/>
  <c r="F113" i="201"/>
  <c r="F115" i="201" s="1"/>
  <c r="F112" i="201"/>
  <c r="I247" i="136"/>
  <c r="I257" i="136" s="1"/>
  <c r="I258" i="136" s="1"/>
  <c r="I223" i="136"/>
  <c r="I223" i="146"/>
  <c r="I247" i="146"/>
  <c r="I257" i="146" s="1"/>
  <c r="I258" i="146" s="1"/>
  <c r="I155" i="137"/>
  <c r="I239" i="138"/>
  <c r="I240" i="138" s="1"/>
  <c r="I263" i="138"/>
  <c r="I273" i="138" s="1"/>
  <c r="I274" i="138" s="1"/>
  <c r="I230" i="145"/>
  <c r="I264" i="145" s="1"/>
  <c r="I127" i="148"/>
  <c r="I161" i="148"/>
  <c r="I195" i="148"/>
  <c r="I103" i="148"/>
  <c r="I104" i="148" s="1"/>
  <c r="I156" i="149"/>
  <c r="I156" i="162"/>
  <c r="I205" i="139"/>
  <c r="I206" i="139" s="1"/>
  <c r="I229" i="139"/>
  <c r="I137" i="140"/>
  <c r="I138" i="140" s="1"/>
  <c r="F117" i="199"/>
  <c r="F114" i="199"/>
  <c r="F116" i="199" s="1"/>
  <c r="F118" i="199" s="1"/>
  <c r="I224" i="151"/>
  <c r="I189" i="139"/>
  <c r="I229" i="143"/>
  <c r="I205" i="143"/>
  <c r="I206" i="143" s="1"/>
  <c r="I121" i="149"/>
  <c r="I282" i="149" s="1"/>
  <c r="I31" i="132" s="1"/>
  <c r="I214" i="149"/>
  <c r="I248" i="149" s="1"/>
  <c r="I223" i="138"/>
  <c r="I247" i="138"/>
  <c r="I257" i="138" s="1"/>
  <c r="I258" i="138" s="1"/>
  <c r="I280" i="144"/>
  <c r="I26" i="131" s="1"/>
  <c r="I189" i="145"/>
  <c r="I155" i="141"/>
  <c r="I196" i="141"/>
  <c r="I162" i="141"/>
  <c r="I128" i="141"/>
  <c r="I122" i="142"/>
  <c r="I281" i="138"/>
  <c r="I20" i="133" s="1"/>
  <c r="F26" i="209"/>
  <c r="F258" i="209" s="1"/>
  <c r="F27" i="210" s="1"/>
  <c r="F66" i="211" s="1"/>
  <c r="G84" i="208"/>
  <c r="I257" i="86"/>
  <c r="I258" i="86" s="1"/>
  <c r="I282" i="86"/>
  <c r="I15" i="132" s="1"/>
  <c r="I280" i="86"/>
  <c r="I15" i="131" s="1"/>
  <c r="F117" i="186"/>
  <c r="F114" i="186"/>
  <c r="F116" i="186" s="1"/>
  <c r="F118" i="186" s="1"/>
  <c r="I224" i="86"/>
  <c r="I281" i="86"/>
  <c r="I15" i="133" s="1"/>
  <c r="I239" i="86"/>
  <c r="I240" i="86" s="1"/>
  <c r="I263" i="86"/>
  <c r="I273" i="86" s="1"/>
  <c r="I274" i="86" s="1"/>
  <c r="F254" i="211"/>
  <c r="F229" i="211"/>
  <c r="I279" i="146" l="1"/>
  <c r="I281" i="137"/>
  <c r="I19" i="133" s="1"/>
  <c r="I224" i="142"/>
  <c r="I156" i="139"/>
  <c r="I190" i="149"/>
  <c r="I230" i="141"/>
  <c r="I264" i="141" s="1"/>
  <c r="I155" i="148"/>
  <c r="I281" i="143"/>
  <c r="I25" i="133" s="1"/>
  <c r="I171" i="148"/>
  <c r="I172" i="148" s="1"/>
  <c r="I156" i="145"/>
  <c r="I224" i="146"/>
  <c r="I122" i="143"/>
  <c r="I190" i="137"/>
  <c r="I122" i="149"/>
  <c r="I279" i="138"/>
  <c r="I224" i="138"/>
  <c r="I26" i="130"/>
  <c r="I294" i="144"/>
  <c r="I283" i="144"/>
  <c r="G81" i="208"/>
  <c r="F36" i="206"/>
  <c r="O240" i="217"/>
  <c r="I223" i="137"/>
  <c r="I247" i="137"/>
  <c r="I257" i="137" s="1"/>
  <c r="I258" i="137" s="1"/>
  <c r="F114" i="196"/>
  <c r="F116" i="196" s="1"/>
  <c r="F118" i="196" s="1"/>
  <c r="F117" i="196"/>
  <c r="I281" i="145"/>
  <c r="I27" i="133" s="1"/>
  <c r="I281" i="139"/>
  <c r="I21" i="133" s="1"/>
  <c r="I205" i="148"/>
  <c r="I206" i="148" s="1"/>
  <c r="I229" i="148"/>
  <c r="F117" i="201"/>
  <c r="F114" i="201"/>
  <c r="F116" i="201" s="1"/>
  <c r="F118" i="201" s="1"/>
  <c r="I223" i="139"/>
  <c r="I247" i="139"/>
  <c r="I257" i="139" s="1"/>
  <c r="I258" i="139" s="1"/>
  <c r="I156" i="148"/>
  <c r="I280" i="148"/>
  <c r="I30" i="131" s="1"/>
  <c r="I263" i="137"/>
  <c r="I273" i="137" s="1"/>
  <c r="I274" i="137" s="1"/>
  <c r="I239" i="137"/>
  <c r="I240" i="137" s="1"/>
  <c r="F240" i="211"/>
  <c r="F265" i="211"/>
  <c r="L76" i="218" s="1"/>
  <c r="F239" i="211"/>
  <c r="F264" i="211"/>
  <c r="L75" i="218" s="1"/>
  <c r="I190" i="139"/>
  <c r="I294" i="146"/>
  <c r="I28" i="130"/>
  <c r="I283" i="146"/>
  <c r="N588" i="217"/>
  <c r="I239" i="140"/>
  <c r="I240" i="140" s="1"/>
  <c r="I263" i="140"/>
  <c r="I273" i="140" s="1"/>
  <c r="I274" i="140" s="1"/>
  <c r="I223" i="145"/>
  <c r="I247" i="145"/>
  <c r="I257" i="145" s="1"/>
  <c r="I258" i="145" s="1"/>
  <c r="F37" i="207"/>
  <c r="N388" i="217"/>
  <c r="I230" i="148"/>
  <c r="I264" i="148" s="1"/>
  <c r="I213" i="148"/>
  <c r="I121" i="148"/>
  <c r="I223" i="140"/>
  <c r="I247" i="140"/>
  <c r="I257" i="140" s="1"/>
  <c r="I258" i="140" s="1"/>
  <c r="I171" i="141"/>
  <c r="I172" i="141" s="1"/>
  <c r="I239" i="143"/>
  <c r="I240" i="143" s="1"/>
  <c r="I263" i="143"/>
  <c r="I273" i="143" s="1"/>
  <c r="I274" i="143" s="1"/>
  <c r="I223" i="143"/>
  <c r="I224" i="143" s="1"/>
  <c r="I247" i="143"/>
  <c r="I257" i="143" s="1"/>
  <c r="I258" i="143" s="1"/>
  <c r="I294" i="162"/>
  <c r="I24" i="130"/>
  <c r="I283" i="162"/>
  <c r="I29" i="130"/>
  <c r="I283" i="147"/>
  <c r="I294" i="147"/>
  <c r="H77" i="95"/>
  <c r="AG35" i="95"/>
  <c r="I190" i="145"/>
  <c r="I279" i="134"/>
  <c r="I224" i="134"/>
  <c r="I156" i="141"/>
  <c r="I137" i="141"/>
  <c r="I138" i="141" s="1"/>
  <c r="I223" i="149"/>
  <c r="I247" i="149"/>
  <c r="I257" i="149" s="1"/>
  <c r="I258" i="149" s="1"/>
  <c r="I263" i="139"/>
  <c r="I273" i="139" s="1"/>
  <c r="I274" i="139" s="1"/>
  <c r="I239" i="139"/>
  <c r="I240" i="139" s="1"/>
  <c r="I137" i="148"/>
  <c r="I138" i="148" s="1"/>
  <c r="I156" i="137"/>
  <c r="I280" i="137"/>
  <c r="I19" i="131" s="1"/>
  <c r="I224" i="136"/>
  <c r="I279" i="136"/>
  <c r="I296" i="150"/>
  <c r="I371" i="150"/>
  <c r="I122" i="139"/>
  <c r="I224" i="144"/>
  <c r="I213" i="141"/>
  <c r="I122" i="141"/>
  <c r="F112" i="193"/>
  <c r="F113" i="193"/>
  <c r="F115" i="193" s="1"/>
  <c r="I23" i="130"/>
  <c r="I283" i="142"/>
  <c r="I294" i="142"/>
  <c r="I296" i="151"/>
  <c r="I371" i="151"/>
  <c r="I214" i="148"/>
  <c r="I248" i="148" s="1"/>
  <c r="F24" i="210"/>
  <c r="F63" i="211" s="1"/>
  <c r="F267" i="209"/>
  <c r="F36" i="210" s="1"/>
  <c r="F75" i="211" s="1"/>
  <c r="I189" i="141"/>
  <c r="I189" i="148"/>
  <c r="I190" i="148" s="1"/>
  <c r="I239" i="145"/>
  <c r="I240" i="145" s="1"/>
  <c r="I263" i="145"/>
  <c r="I273" i="145" s="1"/>
  <c r="I274" i="145" s="1"/>
  <c r="I122" i="140"/>
  <c r="I282" i="140"/>
  <c r="I224" i="162"/>
  <c r="N359" i="217"/>
  <c r="N622" i="217"/>
  <c r="N626" i="217" s="1"/>
  <c r="I229" i="141"/>
  <c r="I205" i="141"/>
  <c r="I206" i="141" s="1"/>
  <c r="I239" i="149"/>
  <c r="I240" i="149" s="1"/>
  <c r="I263" i="149"/>
  <c r="I273" i="149" s="1"/>
  <c r="I274" i="149" s="1"/>
  <c r="I282" i="137"/>
  <c r="I19" i="132" s="1"/>
  <c r="I279" i="135"/>
  <c r="I190" i="143"/>
  <c r="I279" i="86"/>
  <c r="L65" i="218"/>
  <c r="I280" i="141" l="1"/>
  <c r="I22" i="131" s="1"/>
  <c r="I34" i="131" s="1"/>
  <c r="O154" i="217" s="1"/>
  <c r="O183" i="217" s="1"/>
  <c r="I279" i="149"/>
  <c r="I279" i="137"/>
  <c r="I283" i="135"/>
  <c r="I294" i="135"/>
  <c r="I17" i="130"/>
  <c r="I324" i="151"/>
  <c r="I361" i="151" s="1"/>
  <c r="J64" i="151" s="1"/>
  <c r="I305" i="151"/>
  <c r="I342" i="151" s="1"/>
  <c r="J45" i="151" s="1"/>
  <c r="I312" i="151"/>
  <c r="I349" i="151" s="1"/>
  <c r="J52" i="151" s="1"/>
  <c r="I326" i="151"/>
  <c r="I363" i="151" s="1"/>
  <c r="J66" i="151" s="1"/>
  <c r="I303" i="151"/>
  <c r="I321" i="151"/>
  <c r="I358" i="151" s="1"/>
  <c r="J61" i="151" s="1"/>
  <c r="I320" i="151"/>
  <c r="I357" i="151" s="1"/>
  <c r="J60" i="151" s="1"/>
  <c r="I327" i="151"/>
  <c r="I364" i="151" s="1"/>
  <c r="J67" i="151" s="1"/>
  <c r="J101" i="151" s="1"/>
  <c r="I308" i="151"/>
  <c r="I345" i="151" s="1"/>
  <c r="J48" i="151" s="1"/>
  <c r="I322" i="151"/>
  <c r="I359" i="151" s="1"/>
  <c r="J62" i="151" s="1"/>
  <c r="J96" i="151" s="1"/>
  <c r="I34" i="128"/>
  <c r="I84" i="128" s="1"/>
  <c r="I310" i="151"/>
  <c r="I347" i="151" s="1"/>
  <c r="J50" i="151" s="1"/>
  <c r="I313" i="151"/>
  <c r="I323" i="151"/>
  <c r="I360" i="151" s="1"/>
  <c r="J63" i="151" s="1"/>
  <c r="J97" i="151" s="1"/>
  <c r="I304" i="151"/>
  <c r="I341" i="151" s="1"/>
  <c r="J44" i="151" s="1"/>
  <c r="I311" i="151"/>
  <c r="I348" i="151" s="1"/>
  <c r="J51" i="151" s="1"/>
  <c r="J85" i="151" s="1"/>
  <c r="I329" i="151"/>
  <c r="I306" i="151"/>
  <c r="I343" i="151" s="1"/>
  <c r="J46" i="151" s="1"/>
  <c r="J80" i="151" s="1"/>
  <c r="I328" i="151"/>
  <c r="I365" i="151" s="1"/>
  <c r="J68" i="151" s="1"/>
  <c r="I309" i="151"/>
  <c r="I346" i="151" s="1"/>
  <c r="J49" i="151" s="1"/>
  <c r="I319" i="151"/>
  <c r="I331" i="151"/>
  <c r="I307" i="151"/>
  <c r="I344" i="151" s="1"/>
  <c r="J47" i="151" s="1"/>
  <c r="I325" i="151"/>
  <c r="I362" i="151" s="1"/>
  <c r="J65" i="151" s="1"/>
  <c r="I283" i="136"/>
  <c r="I18" i="130"/>
  <c r="I294" i="136"/>
  <c r="I31" i="130"/>
  <c r="I283" i="149"/>
  <c r="I294" i="149"/>
  <c r="N481" i="217"/>
  <c r="I279" i="145"/>
  <c r="I239" i="148"/>
  <c r="I240" i="148" s="1"/>
  <c r="I263" i="148"/>
  <c r="I273" i="148" s="1"/>
  <c r="I274" i="148" s="1"/>
  <c r="I294" i="137"/>
  <c r="I19" i="130"/>
  <c r="I283" i="137"/>
  <c r="I14" i="132"/>
  <c r="I283" i="140"/>
  <c r="F236" i="211"/>
  <c r="F248" i="211" s="1"/>
  <c r="F261" i="211"/>
  <c r="I296" i="142"/>
  <c r="I371" i="142"/>
  <c r="I296" i="147"/>
  <c r="I371" i="147"/>
  <c r="I122" i="148"/>
  <c r="I282" i="148"/>
  <c r="I30" i="132" s="1"/>
  <c r="I283" i="138"/>
  <c r="I20" i="130"/>
  <c r="I294" i="138"/>
  <c r="I281" i="148"/>
  <c r="I30" i="133" s="1"/>
  <c r="I296" i="162"/>
  <c r="I371" i="162"/>
  <c r="I279" i="143"/>
  <c r="I223" i="148"/>
  <c r="I279" i="148" s="1"/>
  <c r="I247" i="148"/>
  <c r="I257" i="148" s="1"/>
  <c r="I258" i="148" s="1"/>
  <c r="I371" i="146"/>
  <c r="I296" i="146"/>
  <c r="I224" i="137"/>
  <c r="I371" i="144"/>
  <c r="I296" i="144"/>
  <c r="I224" i="140"/>
  <c r="I279" i="140"/>
  <c r="I239" i="141"/>
  <c r="I240" i="141" s="1"/>
  <c r="I263" i="141"/>
  <c r="I273" i="141" s="1"/>
  <c r="I274" i="141" s="1"/>
  <c r="F114" i="193"/>
  <c r="F116" i="193" s="1"/>
  <c r="F118" i="193" s="1"/>
  <c r="F117" i="193"/>
  <c r="I224" i="149"/>
  <c r="I294" i="134"/>
  <c r="I283" i="134"/>
  <c r="I16" i="130"/>
  <c r="I279" i="139"/>
  <c r="I281" i="141"/>
  <c r="I22" i="133" s="1"/>
  <c r="I223" i="141"/>
  <c r="I224" i="141" s="1"/>
  <c r="I247" i="141"/>
  <c r="I257" i="141" s="1"/>
  <c r="I258" i="141" s="1"/>
  <c r="I32" i="128"/>
  <c r="I82" i="128" s="1"/>
  <c r="I310" i="150"/>
  <c r="I347" i="150" s="1"/>
  <c r="J50" i="150" s="1"/>
  <c r="I320" i="150"/>
  <c r="I357" i="150" s="1"/>
  <c r="J60" i="150" s="1"/>
  <c r="I327" i="150"/>
  <c r="I364" i="150" s="1"/>
  <c r="J67" i="150" s="1"/>
  <c r="I308" i="150"/>
  <c r="I345" i="150" s="1"/>
  <c r="J48" i="150" s="1"/>
  <c r="I322" i="150"/>
  <c r="I359" i="150" s="1"/>
  <c r="J62" i="150" s="1"/>
  <c r="I328" i="150"/>
  <c r="I365" i="150" s="1"/>
  <c r="J68" i="150" s="1"/>
  <c r="I331" i="150"/>
  <c r="I329" i="150"/>
  <c r="I306" i="150"/>
  <c r="I343" i="150" s="1"/>
  <c r="J46" i="150" s="1"/>
  <c r="I313" i="150"/>
  <c r="I323" i="150"/>
  <c r="I360" i="150" s="1"/>
  <c r="J63" i="150" s="1"/>
  <c r="I304" i="150"/>
  <c r="I341" i="150" s="1"/>
  <c r="J44" i="150" s="1"/>
  <c r="I311" i="150"/>
  <c r="I348" i="150" s="1"/>
  <c r="J51" i="150" s="1"/>
  <c r="J85" i="150" s="1"/>
  <c r="I321" i="150"/>
  <c r="I358" i="150" s="1"/>
  <c r="J61" i="150" s="1"/>
  <c r="J95" i="150" s="1"/>
  <c r="I324" i="150"/>
  <c r="I361" i="150" s="1"/>
  <c r="J64" i="150" s="1"/>
  <c r="J98" i="150" s="1"/>
  <c r="I305" i="150"/>
  <c r="I342" i="150" s="1"/>
  <c r="J45" i="150" s="1"/>
  <c r="J79" i="150" s="1"/>
  <c r="I312" i="150"/>
  <c r="I349" i="150" s="1"/>
  <c r="J52" i="150" s="1"/>
  <c r="J86" i="150" s="1"/>
  <c r="I326" i="150"/>
  <c r="I363" i="150" s="1"/>
  <c r="J66" i="150" s="1"/>
  <c r="I303" i="150"/>
  <c r="I325" i="150"/>
  <c r="I362" i="150" s="1"/>
  <c r="J65" i="150" s="1"/>
  <c r="J99" i="150" s="1"/>
  <c r="I309" i="150"/>
  <c r="I346" i="150" s="1"/>
  <c r="J49" i="150" s="1"/>
  <c r="J83" i="150" s="1"/>
  <c r="I319" i="150"/>
  <c r="I307" i="150"/>
  <c r="I344" i="150" s="1"/>
  <c r="J47" i="150" s="1"/>
  <c r="I190" i="141"/>
  <c r="I224" i="145"/>
  <c r="I224" i="139"/>
  <c r="F37" i="206"/>
  <c r="G93" i="208" s="1"/>
  <c r="N446" i="217"/>
  <c r="N483" i="217" s="1"/>
  <c r="I282" i="141"/>
  <c r="I22" i="132" s="1"/>
  <c r="I15" i="130"/>
  <c r="I294" i="86"/>
  <c r="I283" i="86"/>
  <c r="J81" i="151" l="1"/>
  <c r="J80" i="150"/>
  <c r="J96" i="150"/>
  <c r="J198" i="150" s="1"/>
  <c r="J82" i="150"/>
  <c r="J184" i="150" s="1"/>
  <c r="J82" i="151"/>
  <c r="J98" i="151"/>
  <c r="J188" i="150"/>
  <c r="J154" i="150"/>
  <c r="J120" i="150"/>
  <c r="J164" i="150"/>
  <c r="I28" i="128"/>
  <c r="I78" i="128" s="1"/>
  <c r="I312" i="146"/>
  <c r="I349" i="146" s="1"/>
  <c r="J52" i="146" s="1"/>
  <c r="I326" i="146"/>
  <c r="I363" i="146" s="1"/>
  <c r="J66" i="146" s="1"/>
  <c r="I303" i="146"/>
  <c r="I310" i="146"/>
  <c r="I347" i="146" s="1"/>
  <c r="J50" i="146" s="1"/>
  <c r="I320" i="146"/>
  <c r="I357" i="146" s="1"/>
  <c r="J60" i="146" s="1"/>
  <c r="I323" i="146"/>
  <c r="I360" i="146" s="1"/>
  <c r="J63" i="146" s="1"/>
  <c r="I325" i="146"/>
  <c r="I362" i="146" s="1"/>
  <c r="J65" i="146" s="1"/>
  <c r="I327" i="146"/>
  <c r="I364" i="146" s="1"/>
  <c r="J67" i="146" s="1"/>
  <c r="J101" i="146" s="1"/>
  <c r="I308" i="146"/>
  <c r="I345" i="146" s="1"/>
  <c r="J48" i="146" s="1"/>
  <c r="I322" i="146"/>
  <c r="I359" i="146" s="1"/>
  <c r="J62" i="146" s="1"/>
  <c r="I329" i="146"/>
  <c r="I306" i="146"/>
  <c r="I343" i="146" s="1"/>
  <c r="J46" i="146" s="1"/>
  <c r="I313" i="146"/>
  <c r="I319" i="146"/>
  <c r="I331" i="146"/>
  <c r="I307" i="146"/>
  <c r="I344" i="146" s="1"/>
  <c r="J47" i="146" s="1"/>
  <c r="J81" i="146" s="1"/>
  <c r="I321" i="146"/>
  <c r="I358" i="146" s="1"/>
  <c r="J61" i="146" s="1"/>
  <c r="J95" i="146" s="1"/>
  <c r="I324" i="146"/>
  <c r="I361" i="146" s="1"/>
  <c r="J64" i="146" s="1"/>
  <c r="J98" i="146" s="1"/>
  <c r="I305" i="146"/>
  <c r="I342" i="146" s="1"/>
  <c r="J45" i="146" s="1"/>
  <c r="I304" i="146"/>
  <c r="I341" i="146" s="1"/>
  <c r="J44" i="146" s="1"/>
  <c r="I311" i="146"/>
  <c r="I348" i="146" s="1"/>
  <c r="J51" i="146" s="1"/>
  <c r="J85" i="146" s="1"/>
  <c r="I328" i="146"/>
  <c r="I365" i="146" s="1"/>
  <c r="J68" i="146" s="1"/>
  <c r="J102" i="146" s="1"/>
  <c r="I309" i="146"/>
  <c r="I346" i="146" s="1"/>
  <c r="J49" i="146" s="1"/>
  <c r="I29" i="128"/>
  <c r="I79" i="128" s="1"/>
  <c r="I311" i="147"/>
  <c r="I348" i="147" s="1"/>
  <c r="J51" i="147" s="1"/>
  <c r="I325" i="147"/>
  <c r="I362" i="147" s="1"/>
  <c r="J65" i="147" s="1"/>
  <c r="I328" i="147"/>
  <c r="I365" i="147" s="1"/>
  <c r="J68" i="147" s="1"/>
  <c r="I309" i="147"/>
  <c r="I346" i="147" s="1"/>
  <c r="J49" i="147" s="1"/>
  <c r="I319" i="147"/>
  <c r="I331" i="147"/>
  <c r="I307" i="147"/>
  <c r="I344" i="147" s="1"/>
  <c r="J47" i="147" s="1"/>
  <c r="I321" i="147"/>
  <c r="I358" i="147" s="1"/>
  <c r="J61" i="147" s="1"/>
  <c r="I324" i="147"/>
  <c r="I361" i="147" s="1"/>
  <c r="J64" i="147" s="1"/>
  <c r="I305" i="147"/>
  <c r="I342" i="147" s="1"/>
  <c r="J45" i="147" s="1"/>
  <c r="I312" i="147"/>
  <c r="I349" i="147" s="1"/>
  <c r="J52" i="147" s="1"/>
  <c r="I326" i="147"/>
  <c r="I363" i="147" s="1"/>
  <c r="J66" i="147" s="1"/>
  <c r="J100" i="147" s="1"/>
  <c r="I303" i="147"/>
  <c r="I310" i="147"/>
  <c r="I347" i="147" s="1"/>
  <c r="J50" i="147" s="1"/>
  <c r="J84" i="147" s="1"/>
  <c r="I320" i="147"/>
  <c r="I357" i="147" s="1"/>
  <c r="J60" i="147" s="1"/>
  <c r="I327" i="147"/>
  <c r="I364" i="147" s="1"/>
  <c r="J67" i="147" s="1"/>
  <c r="J101" i="147" s="1"/>
  <c r="I308" i="147"/>
  <c r="I345" i="147" s="1"/>
  <c r="J48" i="147" s="1"/>
  <c r="I322" i="147"/>
  <c r="I359" i="147" s="1"/>
  <c r="J62" i="147" s="1"/>
  <c r="J96" i="147" s="1"/>
  <c r="I329" i="147"/>
  <c r="I306" i="147"/>
  <c r="I343" i="147" s="1"/>
  <c r="J46" i="147" s="1"/>
  <c r="J80" i="147" s="1"/>
  <c r="I313" i="147"/>
  <c r="I323" i="147"/>
  <c r="I360" i="147" s="1"/>
  <c r="J63" i="147" s="1"/>
  <c r="J97" i="147" s="1"/>
  <c r="I304" i="147"/>
  <c r="I341" i="147" s="1"/>
  <c r="J44" i="147" s="1"/>
  <c r="I332" i="151"/>
  <c r="I333" i="151" s="1"/>
  <c r="J150" i="151"/>
  <c r="J184" i="151"/>
  <c r="J116" i="151"/>
  <c r="J201" i="150"/>
  <c r="J133" i="150"/>
  <c r="J167" i="150"/>
  <c r="J113" i="150"/>
  <c r="J181" i="150"/>
  <c r="J147" i="150"/>
  <c r="I33" i="102"/>
  <c r="G15" i="203"/>
  <c r="G44" i="203" s="1"/>
  <c r="G57" i="203" s="1"/>
  <c r="G98" i="203" s="1"/>
  <c r="I34" i="133"/>
  <c r="O213" i="217" s="1"/>
  <c r="I371" i="134"/>
  <c r="I331" i="134"/>
  <c r="I296" i="134"/>
  <c r="I329" i="144"/>
  <c r="I310" i="144"/>
  <c r="I347" i="144" s="1"/>
  <c r="J50" i="144" s="1"/>
  <c r="I311" i="144"/>
  <c r="I348" i="144" s="1"/>
  <c r="J51" i="144" s="1"/>
  <c r="I308" i="144"/>
  <c r="I345" i="144" s="1"/>
  <c r="J48" i="144" s="1"/>
  <c r="I320" i="144"/>
  <c r="I357" i="144" s="1"/>
  <c r="J60" i="144" s="1"/>
  <c r="I331" i="144"/>
  <c r="I327" i="144"/>
  <c r="I364" i="144" s="1"/>
  <c r="J67" i="144" s="1"/>
  <c r="I319" i="144"/>
  <c r="I325" i="144"/>
  <c r="I362" i="144" s="1"/>
  <c r="J65" i="144" s="1"/>
  <c r="I305" i="144"/>
  <c r="I342" i="144" s="1"/>
  <c r="J45" i="144" s="1"/>
  <c r="I307" i="144"/>
  <c r="I344" i="144" s="1"/>
  <c r="J47" i="144" s="1"/>
  <c r="I306" i="144"/>
  <c r="I343" i="144" s="1"/>
  <c r="J46" i="144" s="1"/>
  <c r="J80" i="144" s="1"/>
  <c r="I328" i="144"/>
  <c r="I365" i="144" s="1"/>
  <c r="J68" i="144" s="1"/>
  <c r="J102" i="144" s="1"/>
  <c r="I324" i="144"/>
  <c r="I361" i="144" s="1"/>
  <c r="J64" i="144" s="1"/>
  <c r="I304" i="144"/>
  <c r="I341" i="144" s="1"/>
  <c r="J44" i="144" s="1"/>
  <c r="I326" i="144"/>
  <c r="I363" i="144" s="1"/>
  <c r="J66" i="144" s="1"/>
  <c r="I322" i="144"/>
  <c r="I359" i="144" s="1"/>
  <c r="J62" i="144" s="1"/>
  <c r="I321" i="144"/>
  <c r="I358" i="144" s="1"/>
  <c r="J61" i="144" s="1"/>
  <c r="I323" i="144"/>
  <c r="I360" i="144" s="1"/>
  <c r="J63" i="144" s="1"/>
  <c r="I303" i="144"/>
  <c r="I309" i="144"/>
  <c r="I346" i="144" s="1"/>
  <c r="J49" i="144" s="1"/>
  <c r="J83" i="144" s="1"/>
  <c r="I312" i="144"/>
  <c r="I349" i="144" s="1"/>
  <c r="J52" i="144" s="1"/>
  <c r="J86" i="144" s="1"/>
  <c r="I26" i="128"/>
  <c r="I76" i="128" s="1"/>
  <c r="I313" i="144"/>
  <c r="I283" i="143"/>
  <c r="I294" i="143"/>
  <c r="I25" i="130"/>
  <c r="I371" i="138"/>
  <c r="I331" i="138"/>
  <c r="I296" i="138"/>
  <c r="I371" i="137"/>
  <c r="I296" i="137"/>
  <c r="I331" i="137"/>
  <c r="N475" i="217"/>
  <c r="J99" i="151"/>
  <c r="J83" i="151"/>
  <c r="J119" i="151"/>
  <c r="J187" i="151"/>
  <c r="J153" i="151"/>
  <c r="J84" i="151"/>
  <c r="J169" i="151"/>
  <c r="J203" i="151"/>
  <c r="J135" i="151"/>
  <c r="J100" i="151"/>
  <c r="J148" i="150"/>
  <c r="J182" i="150"/>
  <c r="J114" i="150"/>
  <c r="I356" i="151"/>
  <c r="I330" i="151"/>
  <c r="J166" i="151"/>
  <c r="J200" i="151"/>
  <c r="J132" i="151"/>
  <c r="J81" i="150"/>
  <c r="I340" i="150"/>
  <c r="I314" i="150"/>
  <c r="J132" i="150"/>
  <c r="J200" i="150"/>
  <c r="J234" i="150" s="1"/>
  <c r="J268" i="150" s="1"/>
  <c r="J166" i="150"/>
  <c r="J97" i="150"/>
  <c r="J101" i="150"/>
  <c r="I294" i="139"/>
  <c r="I21" i="130"/>
  <c r="I283" i="139"/>
  <c r="I23" i="128"/>
  <c r="I73" i="128" s="1"/>
  <c r="I311" i="142"/>
  <c r="I348" i="142" s="1"/>
  <c r="J51" i="142" s="1"/>
  <c r="I325" i="142"/>
  <c r="I362" i="142" s="1"/>
  <c r="J65" i="142" s="1"/>
  <c r="I328" i="142"/>
  <c r="I365" i="142" s="1"/>
  <c r="J68" i="142" s="1"/>
  <c r="I309" i="142"/>
  <c r="I346" i="142" s="1"/>
  <c r="J49" i="142" s="1"/>
  <c r="I319" i="142"/>
  <c r="I331" i="142"/>
  <c r="I307" i="142"/>
  <c r="I344" i="142" s="1"/>
  <c r="J47" i="142" s="1"/>
  <c r="I321" i="142"/>
  <c r="I358" i="142" s="1"/>
  <c r="J61" i="142" s="1"/>
  <c r="I324" i="142"/>
  <c r="I361" i="142" s="1"/>
  <c r="J64" i="142" s="1"/>
  <c r="I305" i="142"/>
  <c r="I342" i="142" s="1"/>
  <c r="J45" i="142" s="1"/>
  <c r="I312" i="142"/>
  <c r="I349" i="142" s="1"/>
  <c r="J52" i="142" s="1"/>
  <c r="I326" i="142"/>
  <c r="I363" i="142" s="1"/>
  <c r="J66" i="142" s="1"/>
  <c r="J100" i="142" s="1"/>
  <c r="I303" i="142"/>
  <c r="I310" i="142"/>
  <c r="I347" i="142" s="1"/>
  <c r="J50" i="142" s="1"/>
  <c r="J84" i="142" s="1"/>
  <c r="I320" i="142"/>
  <c r="I357" i="142" s="1"/>
  <c r="J60" i="142" s="1"/>
  <c r="I327" i="142"/>
  <c r="I364" i="142" s="1"/>
  <c r="J67" i="142" s="1"/>
  <c r="J101" i="142" s="1"/>
  <c r="I308" i="142"/>
  <c r="I345" i="142" s="1"/>
  <c r="J48" i="142" s="1"/>
  <c r="J82" i="142" s="1"/>
  <c r="I322" i="142"/>
  <c r="I359" i="142" s="1"/>
  <c r="J62" i="142" s="1"/>
  <c r="J96" i="142" s="1"/>
  <c r="I329" i="142"/>
  <c r="I306" i="142"/>
  <c r="I343" i="142" s="1"/>
  <c r="J46" i="142" s="1"/>
  <c r="J80" i="142" s="1"/>
  <c r="I313" i="142"/>
  <c r="I332" i="142" s="1"/>
  <c r="I333" i="142" s="1"/>
  <c r="I323" i="142"/>
  <c r="I360" i="142" s="1"/>
  <c r="J63" i="142" s="1"/>
  <c r="J97" i="142" s="1"/>
  <c r="I304" i="142"/>
  <c r="I341" i="142" s="1"/>
  <c r="J44" i="142" s="1"/>
  <c r="O88" i="217"/>
  <c r="I34" i="132"/>
  <c r="O90" i="217" s="1"/>
  <c r="O121" i="217" s="1"/>
  <c r="I296" i="136"/>
  <c r="I371" i="136"/>
  <c r="I331" i="136"/>
  <c r="J115" i="151"/>
  <c r="J217" i="151" s="1"/>
  <c r="J251" i="151" s="1"/>
  <c r="J149" i="151"/>
  <c r="J183" i="151"/>
  <c r="J102" i="151"/>
  <c r="G15" i="204"/>
  <c r="G44" i="204" s="1"/>
  <c r="G57" i="204" s="1"/>
  <c r="G98" i="204" s="1"/>
  <c r="I34" i="102"/>
  <c r="J86" i="151"/>
  <c r="I371" i="135"/>
  <c r="I331" i="135"/>
  <c r="I296" i="135"/>
  <c r="J185" i="150"/>
  <c r="J117" i="150"/>
  <c r="J151" i="150"/>
  <c r="J187" i="150"/>
  <c r="J153" i="150"/>
  <c r="J119" i="150"/>
  <c r="J84" i="150"/>
  <c r="I283" i="148"/>
  <c r="I294" i="148"/>
  <c r="I30" i="130"/>
  <c r="I27" i="130"/>
  <c r="I283" i="145"/>
  <c r="I294" i="145"/>
  <c r="I340" i="151"/>
  <c r="I314" i="151"/>
  <c r="I356" i="150"/>
  <c r="I330" i="150"/>
  <c r="J100" i="150"/>
  <c r="J197" i="150"/>
  <c r="J129" i="150"/>
  <c r="J163" i="150"/>
  <c r="I332" i="150"/>
  <c r="I333" i="150" s="1"/>
  <c r="J102" i="150"/>
  <c r="I279" i="141"/>
  <c r="I14" i="130"/>
  <c r="I12" i="130" s="1"/>
  <c r="I294" i="140"/>
  <c r="I224" i="148"/>
  <c r="I328" i="162"/>
  <c r="I365" i="162" s="1"/>
  <c r="J68" i="162" s="1"/>
  <c r="I309" i="162"/>
  <c r="I346" i="162" s="1"/>
  <c r="J49" i="162" s="1"/>
  <c r="I319" i="162"/>
  <c r="I329" i="162"/>
  <c r="I307" i="162"/>
  <c r="I344" i="162" s="1"/>
  <c r="J47" i="162" s="1"/>
  <c r="I310" i="162"/>
  <c r="I347" i="162" s="1"/>
  <c r="J50" i="162" s="1"/>
  <c r="J84" i="162" s="1"/>
  <c r="I324" i="162"/>
  <c r="I361" i="162" s="1"/>
  <c r="J64" i="162" s="1"/>
  <c r="I305" i="162"/>
  <c r="I342" i="162" s="1"/>
  <c r="J45" i="162" s="1"/>
  <c r="I312" i="162"/>
  <c r="I349" i="162" s="1"/>
  <c r="J52" i="162" s="1"/>
  <c r="I325" i="162"/>
  <c r="I362" i="162" s="1"/>
  <c r="J65" i="162" s="1"/>
  <c r="I303" i="162"/>
  <c r="I306" i="162"/>
  <c r="I343" i="162" s="1"/>
  <c r="J46" i="162" s="1"/>
  <c r="J80" i="162" s="1"/>
  <c r="I24" i="128"/>
  <c r="I74" i="128" s="1"/>
  <c r="I320" i="162"/>
  <c r="I357" i="162" s="1"/>
  <c r="J60" i="162" s="1"/>
  <c r="I331" i="162"/>
  <c r="I308" i="162"/>
  <c r="I345" i="162" s="1"/>
  <c r="J48" i="162" s="1"/>
  <c r="I322" i="162"/>
  <c r="I359" i="162" s="1"/>
  <c r="J62" i="162" s="1"/>
  <c r="I326" i="162"/>
  <c r="I363" i="162" s="1"/>
  <c r="J66" i="162" s="1"/>
  <c r="J100" i="162" s="1"/>
  <c r="I327" i="162"/>
  <c r="I364" i="162" s="1"/>
  <c r="J67" i="162" s="1"/>
  <c r="I313" i="162"/>
  <c r="I332" i="162" s="1"/>
  <c r="I323" i="162"/>
  <c r="I360" i="162" s="1"/>
  <c r="J63" i="162" s="1"/>
  <c r="J97" i="162" s="1"/>
  <c r="I304" i="162"/>
  <c r="I341" i="162" s="1"/>
  <c r="J44" i="162" s="1"/>
  <c r="I311" i="162"/>
  <c r="I348" i="162" s="1"/>
  <c r="J51" i="162" s="1"/>
  <c r="J85" i="162" s="1"/>
  <c r="I321" i="162"/>
  <c r="I358" i="162" s="1"/>
  <c r="J61" i="162" s="1"/>
  <c r="L72" i="218"/>
  <c r="F273" i="211"/>
  <c r="I371" i="149"/>
  <c r="I296" i="149"/>
  <c r="J114" i="151"/>
  <c r="J182" i="151"/>
  <c r="J148" i="151"/>
  <c r="J165" i="151"/>
  <c r="J199" i="151"/>
  <c r="J131" i="151"/>
  <c r="J130" i="151"/>
  <c r="J164" i="151"/>
  <c r="J198" i="151"/>
  <c r="J95" i="151"/>
  <c r="J79" i="151"/>
  <c r="I331" i="86"/>
  <c r="I296" i="86"/>
  <c r="I371" i="86"/>
  <c r="J130" i="150" l="1"/>
  <c r="J150" i="150"/>
  <c r="I332" i="147"/>
  <c r="I333" i="147" s="1"/>
  <c r="J82" i="147"/>
  <c r="I332" i="146"/>
  <c r="I333" i="146" s="1"/>
  <c r="J116" i="150"/>
  <c r="J235" i="150"/>
  <c r="J269" i="150" s="1"/>
  <c r="J80" i="146"/>
  <c r="J222" i="150"/>
  <c r="J256" i="150" s="1"/>
  <c r="J232" i="151"/>
  <c r="J266" i="151" s="1"/>
  <c r="J221" i="151"/>
  <c r="J255" i="151" s="1"/>
  <c r="J96" i="144"/>
  <c r="J233" i="151"/>
  <c r="J267" i="151" s="1"/>
  <c r="J216" i="151"/>
  <c r="J250" i="151" s="1"/>
  <c r="J96" i="162"/>
  <c r="J86" i="162"/>
  <c r="J234" i="151"/>
  <c r="J268" i="151" s="1"/>
  <c r="J232" i="150"/>
  <c r="J266" i="150" s="1"/>
  <c r="J98" i="142"/>
  <c r="J166" i="142" s="1"/>
  <c r="J85" i="142"/>
  <c r="J99" i="144"/>
  <c r="J133" i="144" s="1"/>
  <c r="J218" i="150"/>
  <c r="J252" i="150" s="1"/>
  <c r="J101" i="162"/>
  <c r="J83" i="162"/>
  <c r="J81" i="142"/>
  <c r="J183" i="142" s="1"/>
  <c r="J102" i="142"/>
  <c r="J85" i="144"/>
  <c r="J98" i="147"/>
  <c r="J85" i="147"/>
  <c r="J187" i="147" s="1"/>
  <c r="J82" i="146"/>
  <c r="J81" i="162"/>
  <c r="J183" i="162" s="1"/>
  <c r="J102" i="162"/>
  <c r="L86" i="218"/>
  <c r="L85" i="218"/>
  <c r="I25" i="102"/>
  <c r="G15" i="195"/>
  <c r="G44" i="195" s="1"/>
  <c r="G57" i="195" s="1"/>
  <c r="G98" i="195" s="1"/>
  <c r="J149" i="162"/>
  <c r="J115" i="162"/>
  <c r="J132" i="142"/>
  <c r="I356" i="142"/>
  <c r="I330" i="142"/>
  <c r="J170" i="144"/>
  <c r="J136" i="144"/>
  <c r="J204" i="144"/>
  <c r="O242" i="217"/>
  <c r="O272" i="217"/>
  <c r="J200" i="147"/>
  <c r="J132" i="147"/>
  <c r="J166" i="147"/>
  <c r="J153" i="146"/>
  <c r="J187" i="146"/>
  <c r="J119" i="146"/>
  <c r="I324" i="149"/>
  <c r="I361" i="149" s="1"/>
  <c r="J64" i="149" s="1"/>
  <c r="I305" i="149"/>
  <c r="I342" i="149" s="1"/>
  <c r="J45" i="149" s="1"/>
  <c r="I312" i="149"/>
  <c r="I349" i="149" s="1"/>
  <c r="J52" i="149" s="1"/>
  <c r="I326" i="149"/>
  <c r="I363" i="149" s="1"/>
  <c r="J66" i="149" s="1"/>
  <c r="I303" i="149"/>
  <c r="I310" i="149"/>
  <c r="I347" i="149" s="1"/>
  <c r="J50" i="149" s="1"/>
  <c r="I320" i="149"/>
  <c r="I357" i="149" s="1"/>
  <c r="J60" i="149" s="1"/>
  <c r="I327" i="149"/>
  <c r="I364" i="149" s="1"/>
  <c r="J67" i="149" s="1"/>
  <c r="J101" i="149" s="1"/>
  <c r="I308" i="149"/>
  <c r="I345" i="149" s="1"/>
  <c r="J48" i="149" s="1"/>
  <c r="I322" i="149"/>
  <c r="I359" i="149" s="1"/>
  <c r="J62" i="149" s="1"/>
  <c r="I329" i="149"/>
  <c r="I306" i="149"/>
  <c r="I343" i="149" s="1"/>
  <c r="J46" i="149" s="1"/>
  <c r="J80" i="149" s="1"/>
  <c r="I31" i="128"/>
  <c r="I81" i="128" s="1"/>
  <c r="I313" i="149"/>
  <c r="I332" i="149" s="1"/>
  <c r="I323" i="149"/>
  <c r="I360" i="149" s="1"/>
  <c r="J63" i="149" s="1"/>
  <c r="I304" i="149"/>
  <c r="I341" i="149" s="1"/>
  <c r="J44" i="149" s="1"/>
  <c r="I311" i="149"/>
  <c r="I348" i="149" s="1"/>
  <c r="J51" i="149" s="1"/>
  <c r="I325" i="149"/>
  <c r="I362" i="149" s="1"/>
  <c r="J65" i="149" s="1"/>
  <c r="I328" i="149"/>
  <c r="I365" i="149" s="1"/>
  <c r="J68" i="149" s="1"/>
  <c r="I309" i="149"/>
  <c r="I346" i="149" s="1"/>
  <c r="J49" i="149" s="1"/>
  <c r="I319" i="149"/>
  <c r="I331" i="149"/>
  <c r="I307" i="149"/>
  <c r="I344" i="149" s="1"/>
  <c r="J47" i="149" s="1"/>
  <c r="I321" i="149"/>
  <c r="I358" i="149" s="1"/>
  <c r="J61" i="149" s="1"/>
  <c r="J95" i="149" s="1"/>
  <c r="J95" i="162"/>
  <c r="I333" i="162"/>
  <c r="J82" i="162"/>
  <c r="J182" i="162"/>
  <c r="J114" i="162"/>
  <c r="J148" i="162"/>
  <c r="J79" i="162"/>
  <c r="J59" i="150"/>
  <c r="I366" i="150"/>
  <c r="J69" i="150" s="1"/>
  <c r="I322" i="135"/>
  <c r="I359" i="135" s="1"/>
  <c r="J62" i="135" s="1"/>
  <c r="I325" i="135"/>
  <c r="I362" i="135" s="1"/>
  <c r="J65" i="135" s="1"/>
  <c r="I328" i="135"/>
  <c r="I365" i="135" s="1"/>
  <c r="J68" i="135" s="1"/>
  <c r="I305" i="135"/>
  <c r="I342" i="135" s="1"/>
  <c r="J45" i="135" s="1"/>
  <c r="I312" i="135"/>
  <c r="I349" i="135" s="1"/>
  <c r="J52" i="135" s="1"/>
  <c r="I310" i="135"/>
  <c r="I347" i="135" s="1"/>
  <c r="J50" i="135" s="1"/>
  <c r="I304" i="135"/>
  <c r="I341" i="135" s="1"/>
  <c r="J44" i="135" s="1"/>
  <c r="I303" i="135"/>
  <c r="I306" i="135"/>
  <c r="I343" i="135" s="1"/>
  <c r="J46" i="135" s="1"/>
  <c r="I311" i="135"/>
  <c r="I348" i="135" s="1"/>
  <c r="J51" i="135" s="1"/>
  <c r="J85" i="135" s="1"/>
  <c r="I321" i="135"/>
  <c r="I358" i="135" s="1"/>
  <c r="J61" i="135" s="1"/>
  <c r="I324" i="135"/>
  <c r="I361" i="135" s="1"/>
  <c r="J64" i="135" s="1"/>
  <c r="I327" i="135"/>
  <c r="I364" i="135" s="1"/>
  <c r="J67" i="135" s="1"/>
  <c r="I308" i="135"/>
  <c r="I345" i="135" s="1"/>
  <c r="J48" i="135" s="1"/>
  <c r="I307" i="135"/>
  <c r="I344" i="135" s="1"/>
  <c r="J47" i="135" s="1"/>
  <c r="J81" i="135" s="1"/>
  <c r="I320" i="135"/>
  <c r="I357" i="135" s="1"/>
  <c r="J60" i="135" s="1"/>
  <c r="I326" i="135"/>
  <c r="I363" i="135" s="1"/>
  <c r="J66" i="135" s="1"/>
  <c r="J100" i="135" s="1"/>
  <c r="I319" i="135"/>
  <c r="I17" i="128"/>
  <c r="I67" i="128" s="1"/>
  <c r="I323" i="135"/>
  <c r="I360" i="135" s="1"/>
  <c r="J63" i="135" s="1"/>
  <c r="J97" i="135" s="1"/>
  <c r="J165" i="135" s="1"/>
  <c r="I309" i="135"/>
  <c r="I346" i="135" s="1"/>
  <c r="J49" i="135" s="1"/>
  <c r="J83" i="135" s="1"/>
  <c r="J170" i="151"/>
  <c r="J136" i="151"/>
  <c r="J204" i="151"/>
  <c r="O119" i="217"/>
  <c r="O92" i="217"/>
  <c r="O123" i="217" s="1"/>
  <c r="O270" i="217"/>
  <c r="J182" i="142"/>
  <c r="J114" i="142"/>
  <c r="J148" i="142"/>
  <c r="J169" i="142"/>
  <c r="J203" i="142"/>
  <c r="J135" i="142"/>
  <c r="J168" i="142"/>
  <c r="J202" i="142"/>
  <c r="J134" i="142"/>
  <c r="J95" i="142"/>
  <c r="J83" i="142"/>
  <c r="I24" i="102"/>
  <c r="G15" i="194"/>
  <c r="G44" i="194" s="1"/>
  <c r="G57" i="194" s="1"/>
  <c r="G98" i="194" s="1"/>
  <c r="J203" i="150"/>
  <c r="J135" i="150"/>
  <c r="J169" i="150"/>
  <c r="I366" i="151"/>
  <c r="J69" i="151" s="1"/>
  <c r="J59" i="151"/>
  <c r="J134" i="151"/>
  <c r="J168" i="151"/>
  <c r="J202" i="151"/>
  <c r="J186" i="151"/>
  <c r="J152" i="151"/>
  <c r="J118" i="151"/>
  <c r="J151" i="151"/>
  <c r="J117" i="151"/>
  <c r="J185" i="151"/>
  <c r="I328" i="137"/>
  <c r="I365" i="137" s="1"/>
  <c r="J68" i="137" s="1"/>
  <c r="I305" i="137"/>
  <c r="I342" i="137" s="1"/>
  <c r="J45" i="137" s="1"/>
  <c r="I312" i="137"/>
  <c r="I349" i="137" s="1"/>
  <c r="J52" i="137" s="1"/>
  <c r="I322" i="137"/>
  <c r="I359" i="137" s="1"/>
  <c r="J62" i="137" s="1"/>
  <c r="I325" i="137"/>
  <c r="I362" i="137" s="1"/>
  <c r="J65" i="137" s="1"/>
  <c r="I319" i="137"/>
  <c r="I306" i="137"/>
  <c r="I343" i="137" s="1"/>
  <c r="J46" i="137" s="1"/>
  <c r="I324" i="137"/>
  <c r="I361" i="137" s="1"/>
  <c r="J64" i="137" s="1"/>
  <c r="I327" i="137"/>
  <c r="I364" i="137" s="1"/>
  <c r="J67" i="137" s="1"/>
  <c r="I308" i="137"/>
  <c r="I345" i="137" s="1"/>
  <c r="J48" i="137" s="1"/>
  <c r="I311" i="137"/>
  <c r="I348" i="137" s="1"/>
  <c r="J51" i="137" s="1"/>
  <c r="I321" i="137"/>
  <c r="I358" i="137" s="1"/>
  <c r="J61" i="137" s="1"/>
  <c r="I19" i="128"/>
  <c r="I69" i="128" s="1"/>
  <c r="I326" i="137"/>
  <c r="I363" i="137" s="1"/>
  <c r="J66" i="137" s="1"/>
  <c r="J100" i="137" s="1"/>
  <c r="J168" i="137" s="1"/>
  <c r="I320" i="137"/>
  <c r="I357" i="137" s="1"/>
  <c r="J60" i="137" s="1"/>
  <c r="I323" i="137"/>
  <c r="I360" i="137" s="1"/>
  <c r="J63" i="137" s="1"/>
  <c r="J97" i="137" s="1"/>
  <c r="J199" i="137" s="1"/>
  <c r="I304" i="137"/>
  <c r="I341" i="137" s="1"/>
  <c r="J44" i="137" s="1"/>
  <c r="I307" i="137"/>
  <c r="I344" i="137" s="1"/>
  <c r="J47" i="137" s="1"/>
  <c r="J81" i="137" s="1"/>
  <c r="J183" i="137" s="1"/>
  <c r="I310" i="137"/>
  <c r="I347" i="137" s="1"/>
  <c r="J50" i="137" s="1"/>
  <c r="I309" i="137"/>
  <c r="I346" i="137" s="1"/>
  <c r="J49" i="137" s="1"/>
  <c r="I303" i="137"/>
  <c r="I332" i="144"/>
  <c r="I333" i="144" s="1"/>
  <c r="I340" i="144"/>
  <c r="I314" i="144"/>
  <c r="J100" i="144"/>
  <c r="J148" i="144"/>
  <c r="J114" i="144"/>
  <c r="J182" i="144"/>
  <c r="I356" i="144"/>
  <c r="I330" i="144"/>
  <c r="I324" i="134"/>
  <c r="I361" i="134" s="1"/>
  <c r="J64" i="134" s="1"/>
  <c r="I327" i="134"/>
  <c r="I364" i="134" s="1"/>
  <c r="J67" i="134" s="1"/>
  <c r="I308" i="134"/>
  <c r="I345" i="134" s="1"/>
  <c r="J48" i="134" s="1"/>
  <c r="I311" i="134"/>
  <c r="I348" i="134" s="1"/>
  <c r="J51" i="134" s="1"/>
  <c r="I321" i="134"/>
  <c r="I358" i="134" s="1"/>
  <c r="J61" i="134" s="1"/>
  <c r="I326" i="134"/>
  <c r="I363" i="134" s="1"/>
  <c r="J66" i="134" s="1"/>
  <c r="I328" i="134"/>
  <c r="I365" i="134" s="1"/>
  <c r="J68" i="134" s="1"/>
  <c r="I312" i="134"/>
  <c r="I349" i="134" s="1"/>
  <c r="J52" i="134" s="1"/>
  <c r="J86" i="134" s="1"/>
  <c r="J154" i="134" s="1"/>
  <c r="I325" i="134"/>
  <c r="I362" i="134" s="1"/>
  <c r="J65" i="134" s="1"/>
  <c r="J99" i="134" s="1"/>
  <c r="I320" i="134"/>
  <c r="I357" i="134" s="1"/>
  <c r="J60" i="134" s="1"/>
  <c r="I323" i="134"/>
  <c r="I360" i="134" s="1"/>
  <c r="J63" i="134" s="1"/>
  <c r="I304" i="134"/>
  <c r="I341" i="134" s="1"/>
  <c r="J44" i="134" s="1"/>
  <c r="I307" i="134"/>
  <c r="I344" i="134" s="1"/>
  <c r="J47" i="134" s="1"/>
  <c r="I310" i="134"/>
  <c r="I347" i="134" s="1"/>
  <c r="J50" i="134" s="1"/>
  <c r="I16" i="128"/>
  <c r="I66" i="128" s="1"/>
  <c r="I319" i="134"/>
  <c r="I306" i="134"/>
  <c r="I343" i="134" s="1"/>
  <c r="J46" i="134" s="1"/>
  <c r="I305" i="134"/>
  <c r="I342" i="134" s="1"/>
  <c r="J45" i="134" s="1"/>
  <c r="I322" i="134"/>
  <c r="I359" i="134" s="1"/>
  <c r="J62" i="134" s="1"/>
  <c r="J96" i="134" s="1"/>
  <c r="J198" i="134" s="1"/>
  <c r="I309" i="134"/>
  <c r="I346" i="134" s="1"/>
  <c r="J49" i="134" s="1"/>
  <c r="J83" i="134" s="1"/>
  <c r="J151" i="134" s="1"/>
  <c r="I303" i="134"/>
  <c r="G104" i="203"/>
  <c r="G32" i="205" s="1"/>
  <c r="G105" i="203"/>
  <c r="G32" i="207" s="1"/>
  <c r="G103" i="203"/>
  <c r="J148" i="147"/>
  <c r="J114" i="147"/>
  <c r="J182" i="147"/>
  <c r="J169" i="147"/>
  <c r="J203" i="147"/>
  <c r="J135" i="147"/>
  <c r="J202" i="147"/>
  <c r="J134" i="147"/>
  <c r="J168" i="147"/>
  <c r="J95" i="147"/>
  <c r="J83" i="147"/>
  <c r="I30" i="102"/>
  <c r="G15" i="200"/>
  <c r="G44" i="200" s="1"/>
  <c r="G57" i="200" s="1"/>
  <c r="G98" i="200" s="1"/>
  <c r="J183" i="146"/>
  <c r="J115" i="146"/>
  <c r="J149" i="146"/>
  <c r="J148" i="146"/>
  <c r="J182" i="146"/>
  <c r="J114" i="146"/>
  <c r="J203" i="146"/>
  <c r="J135" i="146"/>
  <c r="J169" i="146"/>
  <c r="J84" i="146"/>
  <c r="I29" i="102"/>
  <c r="G15" i="199"/>
  <c r="G44" i="199" s="1"/>
  <c r="G57" i="199" s="1"/>
  <c r="G98" i="199" s="1"/>
  <c r="J199" i="162"/>
  <c r="J165" i="162"/>
  <c r="J131" i="162"/>
  <c r="J188" i="162"/>
  <c r="J120" i="162"/>
  <c r="J154" i="162"/>
  <c r="I296" i="148"/>
  <c r="I371" i="148"/>
  <c r="J120" i="151"/>
  <c r="J154" i="151"/>
  <c r="J188" i="151"/>
  <c r="I340" i="142"/>
  <c r="I314" i="142"/>
  <c r="I296" i="139"/>
  <c r="I331" i="139"/>
  <c r="I371" i="139"/>
  <c r="J183" i="150"/>
  <c r="J115" i="150"/>
  <c r="J149" i="150"/>
  <c r="J151" i="144"/>
  <c r="J185" i="144"/>
  <c r="J117" i="144"/>
  <c r="J201" i="144"/>
  <c r="I340" i="147"/>
  <c r="I314" i="147"/>
  <c r="I356" i="147"/>
  <c r="I330" i="147"/>
  <c r="J163" i="146"/>
  <c r="J197" i="146"/>
  <c r="J129" i="146"/>
  <c r="J86" i="146"/>
  <c r="J147" i="151"/>
  <c r="J181" i="151"/>
  <c r="J113" i="151"/>
  <c r="J153" i="162"/>
  <c r="J119" i="162"/>
  <c r="J187" i="162"/>
  <c r="J203" i="162"/>
  <c r="J169" i="162"/>
  <c r="J135" i="162"/>
  <c r="I340" i="162"/>
  <c r="I314" i="162"/>
  <c r="J98" i="162"/>
  <c r="I356" i="162"/>
  <c r="I330" i="162"/>
  <c r="I296" i="140"/>
  <c r="I371" i="140"/>
  <c r="J170" i="150"/>
  <c r="J136" i="150"/>
  <c r="J204" i="150"/>
  <c r="J231" i="150"/>
  <c r="J265" i="150" s="1"/>
  <c r="J186" i="150"/>
  <c r="J152" i="150"/>
  <c r="J118" i="150"/>
  <c r="I51" i="95"/>
  <c r="I76" i="95" s="1"/>
  <c r="I107" i="102"/>
  <c r="J86" i="142"/>
  <c r="J204" i="142"/>
  <c r="J170" i="142"/>
  <c r="J136" i="142"/>
  <c r="J165" i="150"/>
  <c r="J199" i="150"/>
  <c r="J131" i="150"/>
  <c r="J216" i="150"/>
  <c r="J250" i="150" s="1"/>
  <c r="J201" i="151"/>
  <c r="J167" i="151"/>
  <c r="J133" i="151"/>
  <c r="I27" i="102"/>
  <c r="G15" i="197"/>
  <c r="G44" i="197" s="1"/>
  <c r="G57" i="197" s="1"/>
  <c r="G98" i="197" s="1"/>
  <c r="J97" i="144"/>
  <c r="J82" i="144"/>
  <c r="J81" i="144"/>
  <c r="J101" i="144"/>
  <c r="J187" i="144"/>
  <c r="J119" i="144"/>
  <c r="J153" i="144"/>
  <c r="I50" i="95"/>
  <c r="I75" i="95" s="1"/>
  <c r="I106" i="102"/>
  <c r="J218" i="151"/>
  <c r="J252" i="151" s="1"/>
  <c r="J86" i="147"/>
  <c r="J81" i="147"/>
  <c r="J102" i="147"/>
  <c r="J83" i="146"/>
  <c r="J79" i="146"/>
  <c r="J99" i="146"/>
  <c r="I340" i="146"/>
  <c r="I314" i="146"/>
  <c r="J164" i="162"/>
  <c r="J198" i="162"/>
  <c r="J130" i="162"/>
  <c r="J170" i="162"/>
  <c r="J136" i="162"/>
  <c r="J204" i="162"/>
  <c r="J238" i="162" s="1"/>
  <c r="J272" i="162" s="1"/>
  <c r="I294" i="141"/>
  <c r="I22" i="130"/>
  <c r="I34" i="130" s="1"/>
  <c r="I283" i="141"/>
  <c r="I296" i="145"/>
  <c r="I371" i="145"/>
  <c r="J116" i="142"/>
  <c r="J150" i="142"/>
  <c r="J184" i="142"/>
  <c r="J153" i="142"/>
  <c r="J119" i="142"/>
  <c r="J187" i="142"/>
  <c r="J164" i="144"/>
  <c r="J130" i="144"/>
  <c r="J198" i="144"/>
  <c r="J184" i="147"/>
  <c r="J116" i="147"/>
  <c r="J150" i="147"/>
  <c r="J150" i="146"/>
  <c r="J184" i="146"/>
  <c r="J116" i="146"/>
  <c r="J163" i="151"/>
  <c r="J129" i="151"/>
  <c r="J197" i="151"/>
  <c r="J168" i="162"/>
  <c r="J134" i="162"/>
  <c r="J202" i="162"/>
  <c r="J99" i="162"/>
  <c r="J186" i="162"/>
  <c r="J118" i="162"/>
  <c r="J152" i="162"/>
  <c r="J185" i="162"/>
  <c r="J117" i="162"/>
  <c r="J151" i="162"/>
  <c r="J134" i="150"/>
  <c r="J202" i="150"/>
  <c r="J168" i="150"/>
  <c r="J43" i="151"/>
  <c r="I350" i="151"/>
  <c r="I351" i="151" s="1"/>
  <c r="J221" i="150"/>
  <c r="J255" i="150" s="1"/>
  <c r="J219" i="150"/>
  <c r="J253" i="150" s="1"/>
  <c r="G103" i="204"/>
  <c r="G104" i="204"/>
  <c r="G33" i="205" s="1"/>
  <c r="G105" i="204"/>
  <c r="G33" i="207" s="1"/>
  <c r="I311" i="136"/>
  <c r="I348" i="136" s="1"/>
  <c r="J51" i="136" s="1"/>
  <c r="I321" i="136"/>
  <c r="I358" i="136" s="1"/>
  <c r="J61" i="136" s="1"/>
  <c r="I324" i="136"/>
  <c r="I361" i="136" s="1"/>
  <c r="J64" i="136" s="1"/>
  <c r="I327" i="136"/>
  <c r="I364" i="136" s="1"/>
  <c r="J67" i="136" s="1"/>
  <c r="I308" i="136"/>
  <c r="I345" i="136" s="1"/>
  <c r="J48" i="136" s="1"/>
  <c r="I303" i="136"/>
  <c r="I319" i="136"/>
  <c r="I328" i="136"/>
  <c r="I365" i="136" s="1"/>
  <c r="J68" i="136" s="1"/>
  <c r="J102" i="136" s="1"/>
  <c r="I18" i="128"/>
  <c r="I68" i="128" s="1"/>
  <c r="I307" i="136"/>
  <c r="I344" i="136" s="1"/>
  <c r="J47" i="136" s="1"/>
  <c r="I310" i="136"/>
  <c r="I347" i="136" s="1"/>
  <c r="J50" i="136" s="1"/>
  <c r="I320" i="136"/>
  <c r="I357" i="136" s="1"/>
  <c r="J60" i="136" s="1"/>
  <c r="I323" i="136"/>
  <c r="I360" i="136" s="1"/>
  <c r="J63" i="136" s="1"/>
  <c r="I304" i="136"/>
  <c r="I341" i="136" s="1"/>
  <c r="J44" i="136" s="1"/>
  <c r="I326" i="136"/>
  <c r="I363" i="136" s="1"/>
  <c r="J66" i="136" s="1"/>
  <c r="I309" i="136"/>
  <c r="I346" i="136" s="1"/>
  <c r="J49" i="136" s="1"/>
  <c r="I325" i="136"/>
  <c r="I362" i="136" s="1"/>
  <c r="J65" i="136" s="1"/>
  <c r="J99" i="136" s="1"/>
  <c r="J201" i="136" s="1"/>
  <c r="I312" i="136"/>
  <c r="I349" i="136" s="1"/>
  <c r="J52" i="136" s="1"/>
  <c r="I306" i="136"/>
  <c r="I343" i="136" s="1"/>
  <c r="J46" i="136" s="1"/>
  <c r="I322" i="136"/>
  <c r="I359" i="136" s="1"/>
  <c r="J62" i="136" s="1"/>
  <c r="I305" i="136"/>
  <c r="I342" i="136" s="1"/>
  <c r="J45" i="136" s="1"/>
  <c r="J165" i="142"/>
  <c r="J131" i="142"/>
  <c r="J199" i="142"/>
  <c r="J130" i="142"/>
  <c r="J164" i="142"/>
  <c r="J198" i="142"/>
  <c r="J186" i="142"/>
  <c r="J118" i="142"/>
  <c r="J152" i="142"/>
  <c r="J79" i="142"/>
  <c r="J99" i="142"/>
  <c r="I350" i="150"/>
  <c r="J43" i="150"/>
  <c r="J237" i="151"/>
  <c r="J271" i="151" s="1"/>
  <c r="I311" i="138"/>
  <c r="I348" i="138" s="1"/>
  <c r="J51" i="138" s="1"/>
  <c r="I321" i="138"/>
  <c r="I358" i="138" s="1"/>
  <c r="J61" i="138" s="1"/>
  <c r="I324" i="138"/>
  <c r="I361" i="138" s="1"/>
  <c r="J64" i="138" s="1"/>
  <c r="I327" i="138"/>
  <c r="I364" i="138" s="1"/>
  <c r="J67" i="138" s="1"/>
  <c r="I308" i="138"/>
  <c r="I345" i="138" s="1"/>
  <c r="J48" i="138" s="1"/>
  <c r="I303" i="138"/>
  <c r="I305" i="138"/>
  <c r="I342" i="138" s="1"/>
  <c r="J45" i="138" s="1"/>
  <c r="I20" i="128"/>
  <c r="I70" i="128" s="1"/>
  <c r="I307" i="138"/>
  <c r="I344" i="138" s="1"/>
  <c r="J47" i="138" s="1"/>
  <c r="I310" i="138"/>
  <c r="I347" i="138" s="1"/>
  <c r="J50" i="138" s="1"/>
  <c r="I320" i="138"/>
  <c r="I357" i="138" s="1"/>
  <c r="J60" i="138" s="1"/>
  <c r="I323" i="138"/>
  <c r="I360" i="138" s="1"/>
  <c r="J63" i="138" s="1"/>
  <c r="I304" i="138"/>
  <c r="I341" i="138" s="1"/>
  <c r="J44" i="138" s="1"/>
  <c r="I306" i="138"/>
  <c r="I343" i="138" s="1"/>
  <c r="J46" i="138" s="1"/>
  <c r="I319" i="138"/>
  <c r="I322" i="138"/>
  <c r="I359" i="138" s="1"/>
  <c r="J62" i="138" s="1"/>
  <c r="I328" i="138"/>
  <c r="I365" i="138" s="1"/>
  <c r="J68" i="138" s="1"/>
  <c r="J102" i="138" s="1"/>
  <c r="J170" i="138" s="1"/>
  <c r="I312" i="138"/>
  <c r="I349" i="138" s="1"/>
  <c r="J52" i="138" s="1"/>
  <c r="I326" i="138"/>
  <c r="I363" i="138" s="1"/>
  <c r="J66" i="138" s="1"/>
  <c r="I309" i="138"/>
  <c r="I346" i="138" s="1"/>
  <c r="J49" i="138" s="1"/>
  <c r="I325" i="138"/>
  <c r="I362" i="138" s="1"/>
  <c r="J65" i="138" s="1"/>
  <c r="I371" i="143"/>
  <c r="I296" i="143"/>
  <c r="J188" i="144"/>
  <c r="J154" i="144"/>
  <c r="J120" i="144"/>
  <c r="J95" i="144"/>
  <c r="J98" i="144"/>
  <c r="J79" i="144"/>
  <c r="J84" i="144"/>
  <c r="J215" i="150"/>
  <c r="J249" i="150" s="1"/>
  <c r="J165" i="147"/>
  <c r="J199" i="147"/>
  <c r="J131" i="147"/>
  <c r="J164" i="147"/>
  <c r="J198" i="147"/>
  <c r="J130" i="147"/>
  <c r="J186" i="147"/>
  <c r="J152" i="147"/>
  <c r="J118" i="147"/>
  <c r="J79" i="147"/>
  <c r="J99" i="147"/>
  <c r="J136" i="146"/>
  <c r="J204" i="146"/>
  <c r="J170" i="146"/>
  <c r="J200" i="146"/>
  <c r="J166" i="146"/>
  <c r="J132" i="146"/>
  <c r="I356" i="146"/>
  <c r="I330" i="146"/>
  <c r="J96" i="146"/>
  <c r="J97" i="146"/>
  <c r="J100" i="146"/>
  <c r="J183" i="135"/>
  <c r="J153" i="135"/>
  <c r="J187" i="135"/>
  <c r="J119" i="135"/>
  <c r="J164" i="134"/>
  <c r="J165" i="137"/>
  <c r="J168" i="135"/>
  <c r="J202" i="135"/>
  <c r="J134" i="135"/>
  <c r="J185" i="135"/>
  <c r="J117" i="135"/>
  <c r="J151" i="135"/>
  <c r="J134" i="137"/>
  <c r="I15" i="128"/>
  <c r="I326" i="86"/>
  <c r="I363" i="86" s="1"/>
  <c r="J66" i="86" s="1"/>
  <c r="I322" i="86"/>
  <c r="I359" i="86" s="1"/>
  <c r="J62" i="86" s="1"/>
  <c r="I311" i="86"/>
  <c r="I348" i="86" s="1"/>
  <c r="I307" i="86"/>
  <c r="I344" i="86" s="1"/>
  <c r="I303" i="86"/>
  <c r="I325" i="86"/>
  <c r="I362" i="86" s="1"/>
  <c r="J65" i="86" s="1"/>
  <c r="I321" i="86"/>
  <c r="I358" i="86" s="1"/>
  <c r="J61" i="86" s="1"/>
  <c r="I310" i="86"/>
  <c r="I347" i="86" s="1"/>
  <c r="I306" i="86"/>
  <c r="I343" i="86" s="1"/>
  <c r="I328" i="86"/>
  <c r="I365" i="86" s="1"/>
  <c r="J68" i="86" s="1"/>
  <c r="I324" i="86"/>
  <c r="I361" i="86" s="1"/>
  <c r="J64" i="86" s="1"/>
  <c r="I320" i="86"/>
  <c r="I357" i="86" s="1"/>
  <c r="J60" i="86" s="1"/>
  <c r="I309" i="86"/>
  <c r="I346" i="86" s="1"/>
  <c r="I305" i="86"/>
  <c r="I342" i="86" s="1"/>
  <c r="I327" i="86"/>
  <c r="I364" i="86" s="1"/>
  <c r="J67" i="86" s="1"/>
  <c r="I323" i="86"/>
  <c r="I360" i="86" s="1"/>
  <c r="J63" i="86" s="1"/>
  <c r="I319" i="86"/>
  <c r="I312" i="86"/>
  <c r="I349" i="86" s="1"/>
  <c r="I308" i="86"/>
  <c r="I345" i="86" s="1"/>
  <c r="I304" i="86"/>
  <c r="I341" i="86" s="1"/>
  <c r="J170" i="136"/>
  <c r="J204" i="136"/>
  <c r="J136" i="136"/>
  <c r="J149" i="137"/>
  <c r="J221" i="146" l="1"/>
  <c r="J255" i="146" s="1"/>
  <c r="J238" i="144"/>
  <c r="J272" i="144" s="1"/>
  <c r="J236" i="142"/>
  <c r="J270" i="142" s="1"/>
  <c r="J95" i="135"/>
  <c r="J115" i="137"/>
  <c r="J79" i="136"/>
  <c r="J220" i="162"/>
  <c r="J254" i="162" s="1"/>
  <c r="J153" i="147"/>
  <c r="J149" i="142"/>
  <c r="J188" i="134"/>
  <c r="J185" i="134"/>
  <c r="J130" i="134"/>
  <c r="J233" i="147"/>
  <c r="J267" i="147" s="1"/>
  <c r="J99" i="138"/>
  <c r="J167" i="138" s="1"/>
  <c r="J96" i="136"/>
  <c r="J119" i="147"/>
  <c r="J115" i="142"/>
  <c r="J217" i="142" s="1"/>
  <c r="J251" i="142" s="1"/>
  <c r="J167" i="144"/>
  <c r="J79" i="134"/>
  <c r="J100" i="134"/>
  <c r="J83" i="137"/>
  <c r="J185" i="137" s="1"/>
  <c r="J120" i="134"/>
  <c r="J222" i="134" s="1"/>
  <c r="J256" i="134" s="1"/>
  <c r="J202" i="137"/>
  <c r="J117" i="134"/>
  <c r="J220" i="142"/>
  <c r="J254" i="142" s="1"/>
  <c r="J236" i="150"/>
  <c r="J270" i="150" s="1"/>
  <c r="J231" i="151"/>
  <c r="J265" i="151" s="1"/>
  <c r="J216" i="142"/>
  <c r="J250" i="142" s="1"/>
  <c r="J80" i="135"/>
  <c r="J234" i="146"/>
  <c r="J268" i="146" s="1"/>
  <c r="J218" i="146"/>
  <c r="J252" i="146" s="1"/>
  <c r="J233" i="150"/>
  <c r="J267" i="150" s="1"/>
  <c r="J231" i="146"/>
  <c r="J265" i="146" s="1"/>
  <c r="J97" i="136"/>
  <c r="J199" i="136" s="1"/>
  <c r="J82" i="136"/>
  <c r="J150" i="136" s="1"/>
  <c r="J102" i="135"/>
  <c r="J204" i="135" s="1"/>
  <c r="J95" i="137"/>
  <c r="J197" i="137" s="1"/>
  <c r="J96" i="138"/>
  <c r="J84" i="136"/>
  <c r="J221" i="144"/>
  <c r="J255" i="144" s="1"/>
  <c r="J237" i="147"/>
  <c r="J271" i="147" s="1"/>
  <c r="I367" i="151"/>
  <c r="J99" i="135"/>
  <c r="J81" i="149"/>
  <c r="J102" i="149"/>
  <c r="J97" i="149"/>
  <c r="J131" i="149" s="1"/>
  <c r="J200" i="142"/>
  <c r="J98" i="138"/>
  <c r="J236" i="162"/>
  <c r="J270" i="162" s="1"/>
  <c r="J235" i="144"/>
  <c r="J269" i="144" s="1"/>
  <c r="J237" i="146"/>
  <c r="J271" i="146" s="1"/>
  <c r="J85" i="136"/>
  <c r="J232" i="162"/>
  <c r="J266" i="162" s="1"/>
  <c r="J70" i="150"/>
  <c r="J216" i="162"/>
  <c r="J250" i="162" s="1"/>
  <c r="J85" i="149"/>
  <c r="J82" i="149"/>
  <c r="J98" i="149"/>
  <c r="J200" i="149" s="1"/>
  <c r="J81" i="138"/>
  <c r="J183" i="138" s="1"/>
  <c r="J82" i="138"/>
  <c r="J85" i="138"/>
  <c r="J221" i="147"/>
  <c r="J255" i="147" s="1"/>
  <c r="J222" i="162"/>
  <c r="J256" i="162" s="1"/>
  <c r="J84" i="134"/>
  <c r="J101" i="134"/>
  <c r="J203" i="134" s="1"/>
  <c r="J96" i="137"/>
  <c r="J217" i="162"/>
  <c r="J251" i="162" s="1"/>
  <c r="I366" i="146"/>
  <c r="J69" i="146" s="1"/>
  <c r="J59" i="146"/>
  <c r="I367" i="146"/>
  <c r="J181" i="147"/>
  <c r="J113" i="147"/>
  <c r="J147" i="147"/>
  <c r="J147" i="144"/>
  <c r="J113" i="144"/>
  <c r="J181" i="144"/>
  <c r="I368" i="150"/>
  <c r="I370" i="150" s="1"/>
  <c r="J53" i="150"/>
  <c r="J290" i="150" s="1"/>
  <c r="I19" i="102"/>
  <c r="G15" i="189"/>
  <c r="G44" i="189" s="1"/>
  <c r="G57" i="189" s="1"/>
  <c r="G98" i="189" s="1"/>
  <c r="J43" i="162"/>
  <c r="I350" i="162"/>
  <c r="G104" i="200"/>
  <c r="G29" i="205" s="1"/>
  <c r="G105" i="200"/>
  <c r="G29" i="207" s="1"/>
  <c r="G30" i="209" s="1"/>
  <c r="G262" i="209" s="1"/>
  <c r="G31" i="210" s="1"/>
  <c r="G70" i="211" s="1"/>
  <c r="G103" i="200"/>
  <c r="J98" i="137"/>
  <c r="I18" i="102"/>
  <c r="G15" i="188"/>
  <c r="G44" i="188" s="1"/>
  <c r="G57" i="188" s="1"/>
  <c r="G98" i="188" s="1"/>
  <c r="I356" i="149"/>
  <c r="I330" i="149"/>
  <c r="G15" i="202"/>
  <c r="G44" i="202" s="1"/>
  <c r="G57" i="202" s="1"/>
  <c r="G98" i="202" s="1"/>
  <c r="I32" i="102"/>
  <c r="I340" i="149"/>
  <c r="I314" i="149"/>
  <c r="G103" i="195"/>
  <c r="G105" i="195"/>
  <c r="G24" i="207" s="1"/>
  <c r="G25" i="209" s="1"/>
  <c r="G257" i="209" s="1"/>
  <c r="G26" i="210" s="1"/>
  <c r="G65" i="211" s="1"/>
  <c r="G104" i="195"/>
  <c r="G24" i="205" s="1"/>
  <c r="J170" i="135"/>
  <c r="J181" i="134"/>
  <c r="J167" i="136"/>
  <c r="J153" i="138"/>
  <c r="J134" i="134"/>
  <c r="J163" i="135"/>
  <c r="J163" i="137"/>
  <c r="J131" i="146"/>
  <c r="J165" i="146"/>
  <c r="J199" i="146"/>
  <c r="J238" i="146"/>
  <c r="J272" i="146" s="1"/>
  <c r="J220" i="147"/>
  <c r="J254" i="147" s="1"/>
  <c r="J232" i="147"/>
  <c r="J266" i="147" s="1"/>
  <c r="J200" i="144"/>
  <c r="J132" i="144"/>
  <c r="J166" i="144"/>
  <c r="J83" i="138"/>
  <c r="J97" i="138"/>
  <c r="G15" i="191"/>
  <c r="G44" i="191" s="1"/>
  <c r="G57" i="191" s="1"/>
  <c r="G98" i="191" s="1"/>
  <c r="I21" i="102"/>
  <c r="J101" i="138"/>
  <c r="J201" i="142"/>
  <c r="J133" i="142"/>
  <c r="J167" i="142"/>
  <c r="J233" i="142"/>
  <c r="J267" i="142" s="1"/>
  <c r="J83" i="136"/>
  <c r="J101" i="136"/>
  <c r="G34" i="209"/>
  <c r="G266" i="209" s="1"/>
  <c r="G35" i="210" s="1"/>
  <c r="G74" i="211" s="1"/>
  <c r="J219" i="162"/>
  <c r="J253" i="162" s="1"/>
  <c r="J221" i="142"/>
  <c r="J255" i="142" s="1"/>
  <c r="J181" i="146"/>
  <c r="J113" i="146"/>
  <c r="J147" i="146"/>
  <c r="J188" i="147"/>
  <c r="J120" i="147"/>
  <c r="J154" i="147"/>
  <c r="I366" i="162"/>
  <c r="J69" i="162" s="1"/>
  <c r="J59" i="162"/>
  <c r="J221" i="162"/>
  <c r="J255" i="162" s="1"/>
  <c r="J43" i="147"/>
  <c r="I350" i="147"/>
  <c r="I351" i="147" s="1"/>
  <c r="J219" i="144"/>
  <c r="J253" i="144" s="1"/>
  <c r="J217" i="150"/>
  <c r="J251" i="150" s="1"/>
  <c r="I21" i="128"/>
  <c r="I71" i="128" s="1"/>
  <c r="I309" i="139"/>
  <c r="I346" i="139" s="1"/>
  <c r="J49" i="139" s="1"/>
  <c r="I319" i="139"/>
  <c r="I326" i="139"/>
  <c r="I363" i="139" s="1"/>
  <c r="J66" i="139" s="1"/>
  <c r="I303" i="139"/>
  <c r="I306" i="139"/>
  <c r="I343" i="139" s="1"/>
  <c r="J46" i="139" s="1"/>
  <c r="I323" i="139"/>
  <c r="I360" i="139" s="1"/>
  <c r="J63" i="139" s="1"/>
  <c r="I328" i="139"/>
  <c r="I365" i="139" s="1"/>
  <c r="J68" i="139" s="1"/>
  <c r="I305" i="139"/>
  <c r="I342" i="139" s="1"/>
  <c r="J45" i="139" s="1"/>
  <c r="I312" i="139"/>
  <c r="I349" i="139" s="1"/>
  <c r="J52" i="139" s="1"/>
  <c r="I322" i="139"/>
  <c r="I359" i="139" s="1"/>
  <c r="J62" i="139" s="1"/>
  <c r="I325" i="139"/>
  <c r="I362" i="139" s="1"/>
  <c r="J65" i="139" s="1"/>
  <c r="I304" i="139"/>
  <c r="I341" i="139" s="1"/>
  <c r="J44" i="139" s="1"/>
  <c r="I310" i="139"/>
  <c r="I347" i="139" s="1"/>
  <c r="J50" i="139" s="1"/>
  <c r="J84" i="139" s="1"/>
  <c r="I324" i="139"/>
  <c r="I361" i="139" s="1"/>
  <c r="J64" i="139" s="1"/>
  <c r="J98" i="139" s="1"/>
  <c r="I327" i="139"/>
  <c r="I364" i="139" s="1"/>
  <c r="J67" i="139" s="1"/>
  <c r="J101" i="139" s="1"/>
  <c r="I308" i="139"/>
  <c r="I345" i="139" s="1"/>
  <c r="J48" i="139" s="1"/>
  <c r="I311" i="139"/>
  <c r="I348" i="139" s="1"/>
  <c r="J51" i="139" s="1"/>
  <c r="J85" i="139" s="1"/>
  <c r="I321" i="139"/>
  <c r="I358" i="139" s="1"/>
  <c r="J61" i="139" s="1"/>
  <c r="I320" i="139"/>
  <c r="I357" i="139" s="1"/>
  <c r="J60" i="139" s="1"/>
  <c r="I307" i="139"/>
  <c r="I344" i="139" s="1"/>
  <c r="J47" i="139" s="1"/>
  <c r="J118" i="146"/>
  <c r="J186" i="146"/>
  <c r="J152" i="146"/>
  <c r="J216" i="146"/>
  <c r="J250" i="146" s="1"/>
  <c r="J217" i="146"/>
  <c r="J251" i="146" s="1"/>
  <c r="I47" i="95"/>
  <c r="I72" i="95" s="1"/>
  <c r="I103" i="102"/>
  <c r="I313" i="134"/>
  <c r="I314" i="134" s="1"/>
  <c r="I340" i="134"/>
  <c r="J80" i="134"/>
  <c r="J81" i="134"/>
  <c r="J133" i="134"/>
  <c r="J201" i="134"/>
  <c r="J167" i="134"/>
  <c r="J95" i="134"/>
  <c r="J98" i="134"/>
  <c r="J216" i="144"/>
  <c r="J250" i="144" s="1"/>
  <c r="J43" i="144"/>
  <c r="I350" i="144"/>
  <c r="J84" i="137"/>
  <c r="J85" i="137"/>
  <c r="J80" i="137"/>
  <c r="J86" i="137"/>
  <c r="J219" i="151"/>
  <c r="J253" i="151" s="1"/>
  <c r="J117" i="142"/>
  <c r="J151" i="142"/>
  <c r="J185" i="142"/>
  <c r="I329" i="135"/>
  <c r="I330" i="135" s="1"/>
  <c r="I356" i="135"/>
  <c r="J82" i="135"/>
  <c r="J84" i="135"/>
  <c r="J93" i="150"/>
  <c r="J94" i="150"/>
  <c r="J129" i="149"/>
  <c r="J163" i="149"/>
  <c r="J197" i="149"/>
  <c r="J83" i="149"/>
  <c r="J114" i="149"/>
  <c r="J182" i="149"/>
  <c r="J148" i="149"/>
  <c r="J169" i="149"/>
  <c r="J135" i="149"/>
  <c r="J203" i="149"/>
  <c r="J100" i="149"/>
  <c r="I366" i="142"/>
  <c r="J69" i="142" s="1"/>
  <c r="J70" i="142" s="1"/>
  <c r="J59" i="142"/>
  <c r="I98" i="102"/>
  <c r="I42" i="95"/>
  <c r="I67" i="95" s="1"/>
  <c r="J116" i="138"/>
  <c r="J184" i="138"/>
  <c r="J115" i="147"/>
  <c r="J149" i="147"/>
  <c r="J183" i="147"/>
  <c r="I328" i="148"/>
  <c r="I365" i="148" s="1"/>
  <c r="J68" i="148" s="1"/>
  <c r="I309" i="148"/>
  <c r="I346" i="148" s="1"/>
  <c r="J49" i="148" s="1"/>
  <c r="I319" i="148"/>
  <c r="I331" i="148"/>
  <c r="I307" i="148"/>
  <c r="I344" i="148" s="1"/>
  <c r="J47" i="148" s="1"/>
  <c r="I310" i="148"/>
  <c r="I347" i="148" s="1"/>
  <c r="J50" i="148" s="1"/>
  <c r="J84" i="148" s="1"/>
  <c r="I324" i="148"/>
  <c r="I361" i="148" s="1"/>
  <c r="J64" i="148" s="1"/>
  <c r="I305" i="148"/>
  <c r="I342" i="148" s="1"/>
  <c r="J45" i="148" s="1"/>
  <c r="I312" i="148"/>
  <c r="I349" i="148" s="1"/>
  <c r="J52" i="148" s="1"/>
  <c r="I326" i="148"/>
  <c r="I363" i="148" s="1"/>
  <c r="J66" i="148" s="1"/>
  <c r="I303" i="148"/>
  <c r="I306" i="148"/>
  <c r="I343" i="148" s="1"/>
  <c r="J46" i="148" s="1"/>
  <c r="J80" i="148" s="1"/>
  <c r="I30" i="128"/>
  <c r="I80" i="128" s="1"/>
  <c r="I320" i="148"/>
  <c r="I357" i="148" s="1"/>
  <c r="J60" i="148" s="1"/>
  <c r="I327" i="148"/>
  <c r="I364" i="148" s="1"/>
  <c r="J67" i="148" s="1"/>
  <c r="I308" i="148"/>
  <c r="I345" i="148" s="1"/>
  <c r="J48" i="148" s="1"/>
  <c r="I322" i="148"/>
  <c r="I359" i="148" s="1"/>
  <c r="J62" i="148" s="1"/>
  <c r="I325" i="148"/>
  <c r="I362" i="148" s="1"/>
  <c r="J65" i="148" s="1"/>
  <c r="J99" i="148" s="1"/>
  <c r="I329" i="148"/>
  <c r="I313" i="148"/>
  <c r="I323" i="148"/>
  <c r="I360" i="148" s="1"/>
  <c r="J63" i="148" s="1"/>
  <c r="J97" i="148" s="1"/>
  <c r="I304" i="148"/>
  <c r="I341" i="148" s="1"/>
  <c r="J44" i="148" s="1"/>
  <c r="I311" i="148"/>
  <c r="I348" i="148" s="1"/>
  <c r="J51" i="148" s="1"/>
  <c r="I321" i="148"/>
  <c r="I358" i="148" s="1"/>
  <c r="J61" i="148" s="1"/>
  <c r="I102" i="102"/>
  <c r="I46" i="95"/>
  <c r="I71" i="95" s="1"/>
  <c r="I97" i="102"/>
  <c r="I41" i="95"/>
  <c r="I66" i="95" s="1"/>
  <c r="J197" i="162"/>
  <c r="J129" i="162"/>
  <c r="J163" i="162"/>
  <c r="J150" i="149"/>
  <c r="J184" i="149"/>
  <c r="J116" i="149"/>
  <c r="J136" i="135"/>
  <c r="J133" i="136"/>
  <c r="J131" i="137"/>
  <c r="J150" i="138"/>
  <c r="J129" i="137"/>
  <c r="J151" i="137"/>
  <c r="J164" i="146"/>
  <c r="J198" i="146"/>
  <c r="J130" i="146"/>
  <c r="J197" i="144"/>
  <c r="J129" i="144"/>
  <c r="J163" i="144"/>
  <c r="I323" i="143"/>
  <c r="I360" i="143" s="1"/>
  <c r="J63" i="143" s="1"/>
  <c r="I304" i="143"/>
  <c r="I341" i="143" s="1"/>
  <c r="J44" i="143" s="1"/>
  <c r="I311" i="143"/>
  <c r="I348" i="143" s="1"/>
  <c r="J51" i="143" s="1"/>
  <c r="I325" i="143"/>
  <c r="I362" i="143" s="1"/>
  <c r="J65" i="143" s="1"/>
  <c r="I328" i="143"/>
  <c r="I365" i="143" s="1"/>
  <c r="J68" i="143" s="1"/>
  <c r="I309" i="143"/>
  <c r="I346" i="143" s="1"/>
  <c r="J49" i="143" s="1"/>
  <c r="I319" i="143"/>
  <c r="I331" i="143"/>
  <c r="I307" i="143"/>
  <c r="I344" i="143" s="1"/>
  <c r="J47" i="143" s="1"/>
  <c r="I321" i="143"/>
  <c r="I358" i="143" s="1"/>
  <c r="J61" i="143" s="1"/>
  <c r="I324" i="143"/>
  <c r="I361" i="143" s="1"/>
  <c r="J64" i="143" s="1"/>
  <c r="I305" i="143"/>
  <c r="I342" i="143" s="1"/>
  <c r="J45" i="143" s="1"/>
  <c r="I25" i="128"/>
  <c r="I75" i="128" s="1"/>
  <c r="I312" i="143"/>
  <c r="I349" i="143" s="1"/>
  <c r="J52" i="143" s="1"/>
  <c r="J86" i="143" s="1"/>
  <c r="I326" i="143"/>
  <c r="I363" i="143" s="1"/>
  <c r="J66" i="143" s="1"/>
  <c r="I303" i="143"/>
  <c r="I310" i="143"/>
  <c r="I347" i="143" s="1"/>
  <c r="J50" i="143" s="1"/>
  <c r="I320" i="143"/>
  <c r="I357" i="143" s="1"/>
  <c r="J60" i="143" s="1"/>
  <c r="I327" i="143"/>
  <c r="I364" i="143" s="1"/>
  <c r="J67" i="143" s="1"/>
  <c r="J101" i="143" s="1"/>
  <c r="I308" i="143"/>
  <c r="I345" i="143" s="1"/>
  <c r="J48" i="143" s="1"/>
  <c r="I322" i="143"/>
  <c r="I359" i="143" s="1"/>
  <c r="J62" i="143" s="1"/>
  <c r="I329" i="143"/>
  <c r="I306" i="143"/>
  <c r="I343" i="143" s="1"/>
  <c r="J46" i="143" s="1"/>
  <c r="I313" i="143"/>
  <c r="J100" i="138"/>
  <c r="I356" i="138"/>
  <c r="I329" i="138"/>
  <c r="I330" i="138" s="1"/>
  <c r="J79" i="138"/>
  <c r="I351" i="150"/>
  <c r="J113" i="142"/>
  <c r="J181" i="142"/>
  <c r="J147" i="142"/>
  <c r="J232" i="142"/>
  <c r="J266" i="142" s="1"/>
  <c r="J80" i="136"/>
  <c r="J100" i="136"/>
  <c r="I356" i="136"/>
  <c r="I329" i="136"/>
  <c r="I330" i="136" s="1"/>
  <c r="J98" i="136"/>
  <c r="J201" i="162"/>
  <c r="J133" i="162"/>
  <c r="J167" i="162"/>
  <c r="J232" i="144"/>
  <c r="J266" i="144" s="1"/>
  <c r="J218" i="142"/>
  <c r="J252" i="142" s="1"/>
  <c r="J185" i="146"/>
  <c r="J151" i="146"/>
  <c r="J117" i="146"/>
  <c r="J135" i="144"/>
  <c r="J203" i="144"/>
  <c r="J169" i="144"/>
  <c r="J165" i="144"/>
  <c r="J199" i="144"/>
  <c r="J131" i="144"/>
  <c r="J238" i="142"/>
  <c r="J272" i="142" s="1"/>
  <c r="J120" i="142"/>
  <c r="J154" i="142"/>
  <c r="J188" i="142"/>
  <c r="J132" i="162"/>
  <c r="J166" i="162"/>
  <c r="J200" i="162"/>
  <c r="J154" i="146"/>
  <c r="J188" i="146"/>
  <c r="J120" i="146"/>
  <c r="J222" i="151"/>
  <c r="J256" i="151" s="1"/>
  <c r="J233" i="162"/>
  <c r="J267" i="162" s="1"/>
  <c r="J185" i="147"/>
  <c r="J117" i="147"/>
  <c r="J151" i="147"/>
  <c r="J236" i="147"/>
  <c r="J270" i="147" s="1"/>
  <c r="J216" i="147"/>
  <c r="J250" i="147" s="1"/>
  <c r="G32" i="206"/>
  <c r="G106" i="203"/>
  <c r="G111" i="203" s="1"/>
  <c r="I329" i="134"/>
  <c r="I330" i="134" s="1"/>
  <c r="I356" i="134"/>
  <c r="J85" i="134"/>
  <c r="J82" i="137"/>
  <c r="I356" i="137"/>
  <c r="I329" i="137"/>
  <c r="I330" i="137" s="1"/>
  <c r="J79" i="137"/>
  <c r="J93" i="151"/>
  <c r="J94" i="151"/>
  <c r="J237" i="150"/>
  <c r="J271" i="150" s="1"/>
  <c r="J163" i="142"/>
  <c r="J129" i="142"/>
  <c r="J197" i="142"/>
  <c r="J231" i="142" s="1"/>
  <c r="J265" i="142" s="1"/>
  <c r="J101" i="135"/>
  <c r="J86" i="135"/>
  <c r="J96" i="135"/>
  <c r="J147" i="162"/>
  <c r="J181" i="162"/>
  <c r="J113" i="162"/>
  <c r="J184" i="162"/>
  <c r="J150" i="162"/>
  <c r="J116" i="162"/>
  <c r="J149" i="149"/>
  <c r="J183" i="149"/>
  <c r="J115" i="149"/>
  <c r="J217" i="149" s="1"/>
  <c r="J251" i="149" s="1"/>
  <c r="J170" i="149"/>
  <c r="J136" i="149"/>
  <c r="J204" i="149"/>
  <c r="J165" i="149"/>
  <c r="J86" i="149"/>
  <c r="J234" i="147"/>
  <c r="J268" i="147" s="1"/>
  <c r="J234" i="142"/>
  <c r="J268" i="142" s="1"/>
  <c r="J202" i="146"/>
  <c r="J134" i="146"/>
  <c r="J168" i="146"/>
  <c r="J136" i="138"/>
  <c r="J204" i="138"/>
  <c r="J238" i="138" s="1"/>
  <c r="J272" i="138" s="1"/>
  <c r="J116" i="136"/>
  <c r="J184" i="136"/>
  <c r="J77" i="151"/>
  <c r="J78" i="151"/>
  <c r="I329" i="145"/>
  <c r="I306" i="145"/>
  <c r="I343" i="145" s="1"/>
  <c r="J46" i="145" s="1"/>
  <c r="I313" i="145"/>
  <c r="I323" i="145"/>
  <c r="I360" i="145" s="1"/>
  <c r="J63" i="145" s="1"/>
  <c r="I304" i="145"/>
  <c r="I341" i="145" s="1"/>
  <c r="J44" i="145" s="1"/>
  <c r="I311" i="145"/>
  <c r="I348" i="145" s="1"/>
  <c r="J51" i="145" s="1"/>
  <c r="I309" i="145"/>
  <c r="I346" i="145" s="1"/>
  <c r="J49" i="145" s="1"/>
  <c r="I331" i="145"/>
  <c r="I321" i="145"/>
  <c r="I358" i="145" s="1"/>
  <c r="J61" i="145" s="1"/>
  <c r="I324" i="145"/>
  <c r="I361" i="145" s="1"/>
  <c r="J64" i="145" s="1"/>
  <c r="I305" i="145"/>
  <c r="I342" i="145" s="1"/>
  <c r="J45" i="145" s="1"/>
  <c r="I312" i="145"/>
  <c r="I349" i="145" s="1"/>
  <c r="J52" i="145" s="1"/>
  <c r="I326" i="145"/>
  <c r="I363" i="145" s="1"/>
  <c r="J66" i="145" s="1"/>
  <c r="I303" i="145"/>
  <c r="I325" i="145"/>
  <c r="I362" i="145" s="1"/>
  <c r="J65" i="145" s="1"/>
  <c r="I27" i="128"/>
  <c r="I77" i="128" s="1"/>
  <c r="I310" i="145"/>
  <c r="I347" i="145" s="1"/>
  <c r="J50" i="145" s="1"/>
  <c r="I320" i="145"/>
  <c r="I357" i="145" s="1"/>
  <c r="J60" i="145" s="1"/>
  <c r="I327" i="145"/>
  <c r="I364" i="145" s="1"/>
  <c r="J67" i="145" s="1"/>
  <c r="I308" i="145"/>
  <c r="I345" i="145" s="1"/>
  <c r="J48" i="145" s="1"/>
  <c r="I322" i="145"/>
  <c r="I359" i="145" s="1"/>
  <c r="J62" i="145" s="1"/>
  <c r="J96" i="145" s="1"/>
  <c r="I328" i="145"/>
  <c r="I365" i="145" s="1"/>
  <c r="J68" i="145" s="1"/>
  <c r="I319" i="145"/>
  <c r="I307" i="145"/>
  <c r="I344" i="145" s="1"/>
  <c r="J47" i="145" s="1"/>
  <c r="J133" i="146"/>
  <c r="J201" i="146"/>
  <c r="J167" i="146"/>
  <c r="J184" i="144"/>
  <c r="J116" i="144"/>
  <c r="J150" i="144"/>
  <c r="I44" i="95"/>
  <c r="I69" i="95" s="1"/>
  <c r="I100" i="102"/>
  <c r="J169" i="134"/>
  <c r="J135" i="134"/>
  <c r="O299" i="217"/>
  <c r="O618" i="217"/>
  <c r="J149" i="135"/>
  <c r="J115" i="135"/>
  <c r="J187" i="149"/>
  <c r="J119" i="149"/>
  <c r="J153" i="149"/>
  <c r="J132" i="149"/>
  <c r="J119" i="136"/>
  <c r="J118" i="134"/>
  <c r="J117" i="137"/>
  <c r="J167" i="147"/>
  <c r="J201" i="147"/>
  <c r="J133" i="147"/>
  <c r="J118" i="144"/>
  <c r="J186" i="144"/>
  <c r="J152" i="144"/>
  <c r="J222" i="144"/>
  <c r="J256" i="144" s="1"/>
  <c r="J86" i="138"/>
  <c r="J80" i="138"/>
  <c r="J84" i="138"/>
  <c r="I313" i="138"/>
  <c r="I332" i="138" s="1"/>
  <c r="I333" i="138" s="1"/>
  <c r="I340" i="138"/>
  <c r="J95" i="138"/>
  <c r="J77" i="150"/>
  <c r="J78" i="150"/>
  <c r="J86" i="136"/>
  <c r="J81" i="136"/>
  <c r="I340" i="136"/>
  <c r="I313" i="136"/>
  <c r="J95" i="136"/>
  <c r="G33" i="206"/>
  <c r="H92" i="208" s="1"/>
  <c r="G106" i="204"/>
  <c r="G111" i="204" s="1"/>
  <c r="J53" i="151"/>
  <c r="J290" i="151" s="1"/>
  <c r="I368" i="151"/>
  <c r="I370" i="151" s="1"/>
  <c r="J218" i="147"/>
  <c r="J252" i="147" s="1"/>
  <c r="I371" i="141"/>
  <c r="I296" i="141"/>
  <c r="I350" i="146"/>
  <c r="I351" i="146" s="1"/>
  <c r="J43" i="146"/>
  <c r="J204" i="147"/>
  <c r="J170" i="147"/>
  <c r="J136" i="147"/>
  <c r="J149" i="144"/>
  <c r="J183" i="144"/>
  <c r="J115" i="144"/>
  <c r="G103" i="197"/>
  <c r="G104" i="197"/>
  <c r="G105" i="197"/>
  <c r="G149" i="197" s="1"/>
  <c r="J235" i="151"/>
  <c r="J269" i="151" s="1"/>
  <c r="J220" i="150"/>
  <c r="J254" i="150" s="1"/>
  <c r="J238" i="150"/>
  <c r="J272" i="150" s="1"/>
  <c r="I33" i="128"/>
  <c r="I83" i="128" s="1"/>
  <c r="I328" i="140"/>
  <c r="I365" i="140" s="1"/>
  <c r="J68" i="140" s="1"/>
  <c r="I324" i="140"/>
  <c r="I361" i="140" s="1"/>
  <c r="J64" i="140" s="1"/>
  <c r="I320" i="140"/>
  <c r="I357" i="140" s="1"/>
  <c r="J60" i="140" s="1"/>
  <c r="I309" i="140"/>
  <c r="I346" i="140" s="1"/>
  <c r="I305" i="140"/>
  <c r="I342" i="140" s="1"/>
  <c r="I331" i="140"/>
  <c r="I326" i="140"/>
  <c r="I363" i="140" s="1"/>
  <c r="J66" i="140" s="1"/>
  <c r="I322" i="140"/>
  <c r="I359" i="140" s="1"/>
  <c r="J62" i="140" s="1"/>
  <c r="J96" i="140" s="1"/>
  <c r="I311" i="140"/>
  <c r="I348" i="140" s="1"/>
  <c r="I307" i="140"/>
  <c r="I344" i="140" s="1"/>
  <c r="I303" i="140"/>
  <c r="I312" i="140"/>
  <c r="I349" i="140" s="1"/>
  <c r="J52" i="140" s="1"/>
  <c r="I308" i="140"/>
  <c r="I345" i="140" s="1"/>
  <c r="J48" i="140" s="1"/>
  <c r="I304" i="140"/>
  <c r="I341" i="140" s="1"/>
  <c r="J44" i="140" s="1"/>
  <c r="I325" i="140"/>
  <c r="I362" i="140" s="1"/>
  <c r="J65" i="140" s="1"/>
  <c r="I321" i="140"/>
  <c r="I358" i="140" s="1"/>
  <c r="J61" i="140" s="1"/>
  <c r="J95" i="140" s="1"/>
  <c r="I310" i="140"/>
  <c r="I347" i="140" s="1"/>
  <c r="J50" i="140" s="1"/>
  <c r="I306" i="140"/>
  <c r="I343" i="140" s="1"/>
  <c r="J46" i="140" s="1"/>
  <c r="I327" i="140"/>
  <c r="I364" i="140" s="1"/>
  <c r="J67" i="140" s="1"/>
  <c r="J101" i="140" s="1"/>
  <c r="I323" i="140"/>
  <c r="I360" i="140" s="1"/>
  <c r="J63" i="140" s="1"/>
  <c r="J97" i="140" s="1"/>
  <c r="I319" i="140"/>
  <c r="J237" i="162"/>
  <c r="J271" i="162" s="1"/>
  <c r="J215" i="151"/>
  <c r="J249" i="151" s="1"/>
  <c r="J59" i="147"/>
  <c r="I366" i="147"/>
  <c r="J69" i="147" s="1"/>
  <c r="I367" i="147"/>
  <c r="I350" i="142"/>
  <c r="I351" i="142" s="1"/>
  <c r="J43" i="142"/>
  <c r="G103" i="199"/>
  <c r="G104" i="199"/>
  <c r="G105" i="199"/>
  <c r="G149" i="199" s="1"/>
  <c r="J197" i="147"/>
  <c r="J129" i="147"/>
  <c r="J163" i="147"/>
  <c r="H91" i="208"/>
  <c r="G33" i="209"/>
  <c r="G265" i="209" s="1"/>
  <c r="G34" i="210" s="1"/>
  <c r="G73" i="211" s="1"/>
  <c r="I17" i="102"/>
  <c r="G15" i="187"/>
  <c r="G44" i="187" s="1"/>
  <c r="G57" i="187" s="1"/>
  <c r="G98" i="187" s="1"/>
  <c r="J97" i="134"/>
  <c r="J102" i="134"/>
  <c r="J82" i="134"/>
  <c r="J59" i="144"/>
  <c r="I366" i="144"/>
  <c r="J69" i="144" s="1"/>
  <c r="J70" i="144" s="1"/>
  <c r="J168" i="144"/>
  <c r="J202" i="144"/>
  <c r="J134" i="144"/>
  <c r="I313" i="137"/>
  <c r="I340" i="137"/>
  <c r="G15" i="190"/>
  <c r="G44" i="190" s="1"/>
  <c r="G57" i="190" s="1"/>
  <c r="G98" i="190" s="1"/>
  <c r="I20" i="102"/>
  <c r="J101" i="137"/>
  <c r="J99" i="137"/>
  <c r="J102" i="137"/>
  <c r="J220" i="151"/>
  <c r="J254" i="151" s="1"/>
  <c r="J236" i="151"/>
  <c r="J270" i="151" s="1"/>
  <c r="J70" i="151"/>
  <c r="G105" i="194"/>
  <c r="G23" i="207" s="1"/>
  <c r="G24" i="209" s="1"/>
  <c r="G256" i="209" s="1"/>
  <c r="G25" i="210" s="1"/>
  <c r="G64" i="211" s="1"/>
  <c r="G103" i="194"/>
  <c r="G104" i="194"/>
  <c r="G23" i="205" s="1"/>
  <c r="J237" i="142"/>
  <c r="J271" i="142" s="1"/>
  <c r="J238" i="151"/>
  <c r="J272" i="151" s="1"/>
  <c r="J131" i="135"/>
  <c r="J199" i="135"/>
  <c r="J98" i="135"/>
  <c r="I313" i="135"/>
  <c r="I340" i="135"/>
  <c r="J79" i="135"/>
  <c r="I367" i="150"/>
  <c r="J99" i="149"/>
  <c r="I333" i="149"/>
  <c r="J96" i="149"/>
  <c r="J84" i="149"/>
  <c r="J79" i="149"/>
  <c r="O301" i="217"/>
  <c r="O624" i="217"/>
  <c r="J231" i="137"/>
  <c r="J265" i="137" s="1"/>
  <c r="J221" i="135"/>
  <c r="J255" i="135" s="1"/>
  <c r="J102" i="86"/>
  <c r="J170" i="86" s="1"/>
  <c r="J99" i="86"/>
  <c r="J167" i="86" s="1"/>
  <c r="J96" i="86"/>
  <c r="J164" i="86" s="1"/>
  <c r="J44" i="86"/>
  <c r="J97" i="86"/>
  <c r="J50" i="86"/>
  <c r="J47" i="86"/>
  <c r="I65" i="128"/>
  <c r="J236" i="137"/>
  <c r="J270" i="137" s="1"/>
  <c r="J219" i="135"/>
  <c r="J253" i="135" s="1"/>
  <c r="J236" i="135"/>
  <c r="J270" i="135" s="1"/>
  <c r="J233" i="137"/>
  <c r="J267" i="137" s="1"/>
  <c r="J232" i="134"/>
  <c r="J266" i="134" s="1"/>
  <c r="J217" i="137"/>
  <c r="J251" i="137" s="1"/>
  <c r="J238" i="136"/>
  <c r="J272" i="136" s="1"/>
  <c r="J48" i="86"/>
  <c r="J101" i="86"/>
  <c r="J98" i="86"/>
  <c r="J95" i="86"/>
  <c r="J51" i="86"/>
  <c r="J219" i="134"/>
  <c r="J253" i="134" s="1"/>
  <c r="J52" i="86"/>
  <c r="J45" i="86"/>
  <c r="J198" i="86"/>
  <c r="J130" i="86"/>
  <c r="I356" i="86"/>
  <c r="I329" i="86"/>
  <c r="I330" i="86" s="1"/>
  <c r="J49" i="86"/>
  <c r="J46" i="86"/>
  <c r="I340" i="86"/>
  <c r="I313" i="86"/>
  <c r="J100" i="86"/>
  <c r="J98" i="145" l="1"/>
  <c r="J238" i="135"/>
  <c r="J272" i="135" s="1"/>
  <c r="J147" i="136"/>
  <c r="J113" i="136"/>
  <c r="J82" i="143"/>
  <c r="J82" i="148"/>
  <c r="J184" i="148" s="1"/>
  <c r="J148" i="135"/>
  <c r="J182" i="135"/>
  <c r="J114" i="135"/>
  <c r="J218" i="144"/>
  <c r="J252" i="144" s="1"/>
  <c r="J166" i="149"/>
  <c r="J81" i="145"/>
  <c r="J86" i="145"/>
  <c r="J98" i="143"/>
  <c r="J200" i="143" s="1"/>
  <c r="J133" i="138"/>
  <c r="J202" i="134"/>
  <c r="J168" i="134"/>
  <c r="J129" i="135"/>
  <c r="J197" i="135"/>
  <c r="I332" i="137"/>
  <c r="I333" i="137" s="1"/>
  <c r="J201" i="138"/>
  <c r="J235" i="138" s="1"/>
  <c r="J269" i="138" s="1"/>
  <c r="J237" i="134"/>
  <c r="J271" i="134" s="1"/>
  <c r="J199" i="149"/>
  <c r="J233" i="149" s="1"/>
  <c r="J267" i="149" s="1"/>
  <c r="I332" i="136"/>
  <c r="I333" i="136" s="1"/>
  <c r="J101" i="145"/>
  <c r="J99" i="145"/>
  <c r="J79" i="145"/>
  <c r="J181" i="136"/>
  <c r="J147" i="134"/>
  <c r="J113" i="134"/>
  <c r="J215" i="134" s="1"/>
  <c r="J249" i="134" s="1"/>
  <c r="J198" i="136"/>
  <c r="J164" i="136"/>
  <c r="J130" i="136"/>
  <c r="J79" i="143"/>
  <c r="J95" i="148"/>
  <c r="I332" i="148"/>
  <c r="I333" i="148" s="1"/>
  <c r="J70" i="146"/>
  <c r="J215" i="142"/>
  <c r="J249" i="142" s="1"/>
  <c r="J70" i="162"/>
  <c r="J238" i="147"/>
  <c r="J272" i="147" s="1"/>
  <c r="J235" i="147"/>
  <c r="J269" i="147" s="1"/>
  <c r="J165" i="136"/>
  <c r="J233" i="136" s="1"/>
  <c r="J267" i="136" s="1"/>
  <c r="J131" i="136"/>
  <c r="I332" i="143"/>
  <c r="I333" i="143" s="1"/>
  <c r="J99" i="143"/>
  <c r="J167" i="143" s="1"/>
  <c r="J232" i="146"/>
  <c r="J266" i="146" s="1"/>
  <c r="J99" i="139"/>
  <c r="J83" i="145"/>
  <c r="I332" i="145"/>
  <c r="J219" i="147"/>
  <c r="J253" i="147" s="1"/>
  <c r="J235" i="134"/>
  <c r="J269" i="134" s="1"/>
  <c r="J80" i="139"/>
  <c r="J83" i="139"/>
  <c r="J235" i="142"/>
  <c r="J269" i="142" s="1"/>
  <c r="J234" i="144"/>
  <c r="J268" i="144" s="1"/>
  <c r="J233" i="146"/>
  <c r="J267" i="146" s="1"/>
  <c r="J235" i="136"/>
  <c r="J269" i="136" s="1"/>
  <c r="J119" i="138"/>
  <c r="J221" i="138" s="1"/>
  <c r="J255" i="138" s="1"/>
  <c r="J187" i="138"/>
  <c r="J215" i="147"/>
  <c r="J249" i="147" s="1"/>
  <c r="J186" i="134"/>
  <c r="J152" i="134"/>
  <c r="J220" i="134" s="1"/>
  <c r="J254" i="134" s="1"/>
  <c r="J187" i="136"/>
  <c r="J153" i="136"/>
  <c r="J221" i="136" s="1"/>
  <c r="J255" i="136" s="1"/>
  <c r="J132" i="138"/>
  <c r="J166" i="138"/>
  <c r="J200" i="138"/>
  <c r="I314" i="138"/>
  <c r="J95" i="145"/>
  <c r="J79" i="148"/>
  <c r="J149" i="138"/>
  <c r="J115" i="138"/>
  <c r="J217" i="138" s="1"/>
  <c r="J251" i="138" s="1"/>
  <c r="J133" i="135"/>
  <c r="J167" i="135"/>
  <c r="J201" i="135"/>
  <c r="J186" i="136"/>
  <c r="J118" i="136"/>
  <c r="J152" i="136"/>
  <c r="J236" i="146"/>
  <c r="J270" i="146" s="1"/>
  <c r="J130" i="137"/>
  <c r="J164" i="137"/>
  <c r="J198" i="137"/>
  <c r="J232" i="137" s="1"/>
  <c r="J266" i="137" s="1"/>
  <c r="J198" i="138"/>
  <c r="J164" i="138"/>
  <c r="J130" i="138"/>
  <c r="J43" i="135"/>
  <c r="I350" i="135"/>
  <c r="J165" i="134"/>
  <c r="J199" i="134"/>
  <c r="J131" i="134"/>
  <c r="J267" i="140"/>
  <c r="J131" i="140"/>
  <c r="J199" i="140"/>
  <c r="J233" i="140" s="1"/>
  <c r="J165" i="140"/>
  <c r="I350" i="138"/>
  <c r="J43" i="138"/>
  <c r="I314" i="136"/>
  <c r="J181" i="145"/>
  <c r="J113" i="145"/>
  <c r="J147" i="145"/>
  <c r="J201" i="143"/>
  <c r="J133" i="143"/>
  <c r="J150" i="148"/>
  <c r="J148" i="137"/>
  <c r="J114" i="137"/>
  <c r="J182" i="137"/>
  <c r="J129" i="134"/>
  <c r="J197" i="134"/>
  <c r="J163" i="134"/>
  <c r="J102" i="139"/>
  <c r="I368" i="162"/>
  <c r="I370" i="162" s="1"/>
  <c r="J53" i="162"/>
  <c r="J290" i="162" s="1"/>
  <c r="J181" i="149"/>
  <c r="J113" i="149"/>
  <c r="J147" i="149"/>
  <c r="J133" i="149"/>
  <c r="J201" i="149"/>
  <c r="J167" i="149"/>
  <c r="I314" i="135"/>
  <c r="I332" i="135"/>
  <c r="I333" i="135" s="1"/>
  <c r="G262" i="211"/>
  <c r="M73" i="218" s="1"/>
  <c r="G237" i="211"/>
  <c r="J136" i="137"/>
  <c r="J204" i="137"/>
  <c r="J170" i="137"/>
  <c r="G104" i="190"/>
  <c r="G19" i="205" s="1"/>
  <c r="G103" i="190"/>
  <c r="G105" i="190"/>
  <c r="G19" i="207" s="1"/>
  <c r="G20" i="209" s="1"/>
  <c r="G252" i="209" s="1"/>
  <c r="G21" i="210" s="1"/>
  <c r="G60" i="211" s="1"/>
  <c r="J236" i="144"/>
  <c r="J270" i="144" s="1"/>
  <c r="J93" i="144"/>
  <c r="J94" i="144"/>
  <c r="G103" i="187"/>
  <c r="G104" i="187"/>
  <c r="G16" i="205" s="1"/>
  <c r="G105" i="187"/>
  <c r="G16" i="207" s="1"/>
  <c r="G17" i="209" s="1"/>
  <c r="G249" i="209" s="1"/>
  <c r="G18" i="210" s="1"/>
  <c r="G57" i="211" s="1"/>
  <c r="G141" i="199"/>
  <c r="G153" i="199" s="1"/>
  <c r="G28" i="205" s="1"/>
  <c r="G148" i="199"/>
  <c r="J53" i="142"/>
  <c r="J290" i="142" s="1"/>
  <c r="I368" i="142"/>
  <c r="I370" i="142" s="1"/>
  <c r="J203" i="140"/>
  <c r="J169" i="140"/>
  <c r="J135" i="140"/>
  <c r="J99" i="140"/>
  <c r="I313" i="140"/>
  <c r="I340" i="140"/>
  <c r="J100" i="140"/>
  <c r="G148" i="197"/>
  <c r="G141" i="197"/>
  <c r="G153" i="197" s="1"/>
  <c r="G26" i="205" s="1"/>
  <c r="G112" i="204"/>
  <c r="G113" i="204"/>
  <c r="G115" i="204" s="1"/>
  <c r="I350" i="136"/>
  <c r="J43" i="136"/>
  <c r="J54" i="150"/>
  <c r="I314" i="137"/>
  <c r="J217" i="135"/>
  <c r="J251" i="135" s="1"/>
  <c r="J235" i="146"/>
  <c r="J269" i="146" s="1"/>
  <c r="J102" i="145"/>
  <c r="I340" i="145"/>
  <c r="I314" i="145"/>
  <c r="J132" i="145"/>
  <c r="J200" i="145"/>
  <c r="J166" i="145"/>
  <c r="J85" i="145"/>
  <c r="J80" i="145"/>
  <c r="J145" i="151"/>
  <c r="J179" i="151"/>
  <c r="J111" i="151"/>
  <c r="J238" i="149"/>
  <c r="J272" i="149" s="1"/>
  <c r="J130" i="135"/>
  <c r="J198" i="135"/>
  <c r="J164" i="135"/>
  <c r="J103" i="151"/>
  <c r="J104" i="151" s="1"/>
  <c r="J161" i="151"/>
  <c r="J195" i="151"/>
  <c r="J127" i="151"/>
  <c r="J150" i="137"/>
  <c r="J116" i="137"/>
  <c r="J184" i="137"/>
  <c r="G113" i="203"/>
  <c r="G115" i="203" s="1"/>
  <c r="G112" i="203"/>
  <c r="J234" i="162"/>
  <c r="J268" i="162" s="1"/>
  <c r="J233" i="144"/>
  <c r="J267" i="144" s="1"/>
  <c r="J235" i="162"/>
  <c r="J269" i="162" s="1"/>
  <c r="J202" i="136"/>
  <c r="J134" i="136"/>
  <c r="J168" i="136"/>
  <c r="J80" i="143"/>
  <c r="J203" i="143"/>
  <c r="J135" i="143"/>
  <c r="J169" i="143"/>
  <c r="J100" i="143"/>
  <c r="J166" i="143"/>
  <c r="I356" i="143"/>
  <c r="I330" i="143"/>
  <c r="J85" i="143"/>
  <c r="J218" i="138"/>
  <c r="J252" i="138" s="1"/>
  <c r="J85" i="148"/>
  <c r="J101" i="148"/>
  <c r="I340" i="148"/>
  <c r="I314" i="148"/>
  <c r="J98" i="148"/>
  <c r="I356" i="148"/>
  <c r="I330" i="148"/>
  <c r="J202" i="149"/>
  <c r="J168" i="149"/>
  <c r="J134" i="149"/>
  <c r="J216" i="149"/>
  <c r="J250" i="149" s="1"/>
  <c r="J185" i="149"/>
  <c r="J117" i="149"/>
  <c r="J151" i="149"/>
  <c r="J162" i="150"/>
  <c r="J128" i="150"/>
  <c r="J196" i="150"/>
  <c r="I366" i="135"/>
  <c r="J59" i="135"/>
  <c r="J219" i="142"/>
  <c r="J253" i="142" s="1"/>
  <c r="J187" i="137"/>
  <c r="J153" i="137"/>
  <c r="J119" i="137"/>
  <c r="J77" i="144"/>
  <c r="J78" i="144"/>
  <c r="J182" i="134"/>
  <c r="J114" i="134"/>
  <c r="J148" i="134"/>
  <c r="J95" i="139"/>
  <c r="J132" i="139"/>
  <c r="J166" i="139"/>
  <c r="J200" i="139"/>
  <c r="J96" i="139"/>
  <c r="J97" i="139"/>
  <c r="I329" i="139"/>
  <c r="I330" i="139" s="1"/>
  <c r="I356" i="139"/>
  <c r="J215" i="146"/>
  <c r="J249" i="146" s="1"/>
  <c r="G247" i="211"/>
  <c r="G272" i="211"/>
  <c r="M83" i="218" s="1"/>
  <c r="J169" i="138"/>
  <c r="J203" i="138"/>
  <c r="J135" i="138"/>
  <c r="J117" i="138"/>
  <c r="J151" i="138"/>
  <c r="J185" i="138"/>
  <c r="G263" i="211"/>
  <c r="M74" i="218" s="1"/>
  <c r="G238" i="211"/>
  <c r="I105" i="102"/>
  <c r="I49" i="95"/>
  <c r="I74" i="95" s="1"/>
  <c r="G105" i="188"/>
  <c r="G17" i="207" s="1"/>
  <c r="G18" i="209" s="1"/>
  <c r="G250" i="209" s="1"/>
  <c r="G19" i="210" s="1"/>
  <c r="G58" i="211" s="1"/>
  <c r="G256" i="211" s="1"/>
  <c r="M67" i="218" s="1"/>
  <c r="G103" i="188"/>
  <c r="G104" i="188"/>
  <c r="G17" i="205" s="1"/>
  <c r="G243" i="211"/>
  <c r="G268" i="211"/>
  <c r="M79" i="218" s="1"/>
  <c r="J77" i="162"/>
  <c r="J54" i="162"/>
  <c r="J78" i="162"/>
  <c r="J93" i="146"/>
  <c r="J94" i="146"/>
  <c r="I93" i="102"/>
  <c r="I37" i="95"/>
  <c r="I62" i="95" s="1"/>
  <c r="J93" i="147"/>
  <c r="J94" i="147"/>
  <c r="J198" i="140"/>
  <c r="J232" i="140" s="1"/>
  <c r="J266" i="140" s="1"/>
  <c r="J130" i="140"/>
  <c r="J164" i="140"/>
  <c r="I15" i="102"/>
  <c r="G15" i="185"/>
  <c r="G44" i="185" s="1"/>
  <c r="G57" i="185" s="1"/>
  <c r="G98" i="185" s="1"/>
  <c r="I22" i="128"/>
  <c r="I327" i="141"/>
  <c r="I364" i="141" s="1"/>
  <c r="J67" i="141" s="1"/>
  <c r="I331" i="141"/>
  <c r="I329" i="141"/>
  <c r="I313" i="141"/>
  <c r="I303" i="141"/>
  <c r="I328" i="141"/>
  <c r="I365" i="141" s="1"/>
  <c r="J68" i="141" s="1"/>
  <c r="I323" i="141"/>
  <c r="I360" i="141" s="1"/>
  <c r="J63" i="141" s="1"/>
  <c r="I326" i="141"/>
  <c r="I363" i="141" s="1"/>
  <c r="J66" i="141" s="1"/>
  <c r="I325" i="141"/>
  <c r="I362" i="141" s="1"/>
  <c r="J65" i="141" s="1"/>
  <c r="I309" i="141"/>
  <c r="I346" i="141" s="1"/>
  <c r="J49" i="141" s="1"/>
  <c r="I306" i="141"/>
  <c r="I343" i="141" s="1"/>
  <c r="I324" i="141"/>
  <c r="I361" i="141" s="1"/>
  <c r="J64" i="141" s="1"/>
  <c r="I319" i="141"/>
  <c r="I322" i="141"/>
  <c r="I359" i="141" s="1"/>
  <c r="J62" i="141" s="1"/>
  <c r="I321" i="141"/>
  <c r="I358" i="141" s="1"/>
  <c r="J61" i="141" s="1"/>
  <c r="I308" i="141"/>
  <c r="I345" i="141" s="1"/>
  <c r="I305" i="141"/>
  <c r="I342" i="141" s="1"/>
  <c r="I320" i="141"/>
  <c r="I357" i="141" s="1"/>
  <c r="J60" i="141" s="1"/>
  <c r="I312" i="141"/>
  <c r="I349" i="141" s="1"/>
  <c r="I311" i="141"/>
  <c r="I348" i="141" s="1"/>
  <c r="J51" i="141" s="1"/>
  <c r="I310" i="141"/>
  <c r="I347" i="141" s="1"/>
  <c r="J50" i="141" s="1"/>
  <c r="J84" i="141" s="1"/>
  <c r="I307" i="141"/>
  <c r="I344" i="141" s="1"/>
  <c r="I304" i="141"/>
  <c r="I341" i="141" s="1"/>
  <c r="J87" i="150"/>
  <c r="J88" i="150" s="1"/>
  <c r="J112" i="150"/>
  <c r="J146" i="150"/>
  <c r="J180" i="150"/>
  <c r="J169" i="145"/>
  <c r="J203" i="145"/>
  <c r="J135" i="145"/>
  <c r="J185" i="145"/>
  <c r="J151" i="145"/>
  <c r="J117" i="145"/>
  <c r="J54" i="151"/>
  <c r="J128" i="151"/>
  <c r="J196" i="151"/>
  <c r="J162" i="151"/>
  <c r="J181" i="138"/>
  <c r="J147" i="138"/>
  <c r="J113" i="138"/>
  <c r="J113" i="143"/>
  <c r="J181" i="143"/>
  <c r="J147" i="143"/>
  <c r="J129" i="148"/>
  <c r="J163" i="148"/>
  <c r="J197" i="148"/>
  <c r="J182" i="148"/>
  <c r="J148" i="148"/>
  <c r="J114" i="148"/>
  <c r="J115" i="134"/>
  <c r="J183" i="134"/>
  <c r="J149" i="134"/>
  <c r="J201" i="139"/>
  <c r="J167" i="139"/>
  <c r="J133" i="139"/>
  <c r="J131" i="138"/>
  <c r="J199" i="138"/>
  <c r="J165" i="138"/>
  <c r="J59" i="149"/>
  <c r="I366" i="149"/>
  <c r="J69" i="149" s="1"/>
  <c r="J70" i="149" s="1"/>
  <c r="N560" i="217"/>
  <c r="J186" i="149"/>
  <c r="J118" i="149"/>
  <c r="J152" i="149"/>
  <c r="J132" i="135"/>
  <c r="J166" i="135"/>
  <c r="J200" i="135"/>
  <c r="J201" i="137"/>
  <c r="J133" i="137"/>
  <c r="J167" i="137"/>
  <c r="I350" i="137"/>
  <c r="J43" i="137"/>
  <c r="J150" i="134"/>
  <c r="J184" i="134"/>
  <c r="J116" i="134"/>
  <c r="I34" i="95"/>
  <c r="I59" i="95" s="1"/>
  <c r="I90" i="102"/>
  <c r="G147" i="199"/>
  <c r="G140" i="199"/>
  <c r="G152" i="199" s="1"/>
  <c r="G106" i="199"/>
  <c r="J80" i="140"/>
  <c r="O516" i="217"/>
  <c r="J47" i="140"/>
  <c r="J81" i="140" s="1"/>
  <c r="J98" i="140"/>
  <c r="G140" i="197"/>
  <c r="G152" i="197" s="1"/>
  <c r="G106" i="197"/>
  <c r="G147" i="197"/>
  <c r="J77" i="146"/>
  <c r="J78" i="146"/>
  <c r="J183" i="136"/>
  <c r="J115" i="136"/>
  <c r="J149" i="136"/>
  <c r="J179" i="150"/>
  <c r="J111" i="150"/>
  <c r="J145" i="150"/>
  <c r="J118" i="138"/>
  <c r="J186" i="138"/>
  <c r="J152" i="138"/>
  <c r="J220" i="144"/>
  <c r="J254" i="144" s="1"/>
  <c r="J164" i="145"/>
  <c r="J198" i="145"/>
  <c r="J130" i="145"/>
  <c r="J84" i="145"/>
  <c r="J100" i="145"/>
  <c r="J163" i="145"/>
  <c r="J197" i="145"/>
  <c r="J129" i="145"/>
  <c r="J215" i="162"/>
  <c r="J249" i="162" s="1"/>
  <c r="J188" i="135"/>
  <c r="J154" i="135"/>
  <c r="J120" i="135"/>
  <c r="J181" i="137"/>
  <c r="J147" i="137"/>
  <c r="J113" i="137"/>
  <c r="J153" i="134"/>
  <c r="J187" i="134"/>
  <c r="J119" i="134"/>
  <c r="J222" i="146"/>
  <c r="J256" i="146" s="1"/>
  <c r="J222" i="142"/>
  <c r="J256" i="142" s="1"/>
  <c r="J219" i="146"/>
  <c r="J253" i="146" s="1"/>
  <c r="J166" i="136"/>
  <c r="J132" i="136"/>
  <c r="J200" i="136"/>
  <c r="J114" i="136"/>
  <c r="J148" i="136"/>
  <c r="J182" i="136"/>
  <c r="J59" i="138"/>
  <c r="I366" i="138"/>
  <c r="J120" i="143"/>
  <c r="J154" i="143"/>
  <c r="J188" i="143"/>
  <c r="J95" i="143"/>
  <c r="J83" i="143"/>
  <c r="J231" i="144"/>
  <c r="J265" i="144" s="1"/>
  <c r="J218" i="149"/>
  <c r="J252" i="149" s="1"/>
  <c r="J201" i="148"/>
  <c r="J133" i="148"/>
  <c r="J167" i="148"/>
  <c r="J100" i="148"/>
  <c r="J152" i="148"/>
  <c r="J118" i="148"/>
  <c r="J186" i="148"/>
  <c r="J83" i="148"/>
  <c r="J217" i="147"/>
  <c r="J251" i="147" s="1"/>
  <c r="I367" i="142"/>
  <c r="J237" i="149"/>
  <c r="J271" i="149" s="1"/>
  <c r="J231" i="149"/>
  <c r="J265" i="149" s="1"/>
  <c r="J161" i="150"/>
  <c r="J171" i="150" s="1"/>
  <c r="J172" i="150" s="1"/>
  <c r="J195" i="150"/>
  <c r="J127" i="150"/>
  <c r="J137" i="150" s="1"/>
  <c r="J138" i="150" s="1"/>
  <c r="J103" i="150"/>
  <c r="J104" i="150" s="1"/>
  <c r="J186" i="137"/>
  <c r="J152" i="137"/>
  <c r="J118" i="137"/>
  <c r="I350" i="134"/>
  <c r="J43" i="134"/>
  <c r="J220" i="146"/>
  <c r="J254" i="146" s="1"/>
  <c r="J187" i="139"/>
  <c r="J153" i="139"/>
  <c r="J119" i="139"/>
  <c r="J186" i="139"/>
  <c r="J118" i="139"/>
  <c r="J152" i="139"/>
  <c r="J86" i="139"/>
  <c r="J182" i="139"/>
  <c r="J114" i="139"/>
  <c r="J148" i="139"/>
  <c r="J185" i="139"/>
  <c r="J151" i="139"/>
  <c r="J117" i="139"/>
  <c r="I367" i="162"/>
  <c r="J222" i="147"/>
  <c r="J256" i="147" s="1"/>
  <c r="I94" i="102"/>
  <c r="I38" i="95"/>
  <c r="I63" i="95" s="1"/>
  <c r="G24" i="206"/>
  <c r="H83" i="208" s="1"/>
  <c r="G106" i="195"/>
  <c r="G111" i="195" s="1"/>
  <c r="G104" i="202"/>
  <c r="G31" i="205" s="1"/>
  <c r="G103" i="202"/>
  <c r="G105" i="202"/>
  <c r="G31" i="207" s="1"/>
  <c r="G32" i="209" s="1"/>
  <c r="G264" i="209" s="1"/>
  <c r="G33" i="210" s="1"/>
  <c r="G72" i="211" s="1"/>
  <c r="I91" i="102"/>
  <c r="I35" i="95"/>
  <c r="I60" i="95" s="1"/>
  <c r="G105" i="189"/>
  <c r="G18" i="207" s="1"/>
  <c r="G19" i="209" s="1"/>
  <c r="G251" i="209" s="1"/>
  <c r="G20" i="210" s="1"/>
  <c r="G59" i="211" s="1"/>
  <c r="G232" i="211" s="1"/>
  <c r="G103" i="189"/>
  <c r="G104" i="189"/>
  <c r="G18" i="205" s="1"/>
  <c r="G23" i="206"/>
  <c r="H82" i="208" s="1"/>
  <c r="G106" i="194"/>
  <c r="G111" i="194" s="1"/>
  <c r="J77" i="142"/>
  <c r="J78" i="142"/>
  <c r="J197" i="140"/>
  <c r="J163" i="140"/>
  <c r="J129" i="140"/>
  <c r="O517" i="217"/>
  <c r="J49" i="140"/>
  <c r="J83" i="140" s="1"/>
  <c r="J188" i="138"/>
  <c r="J120" i="138"/>
  <c r="J154" i="138"/>
  <c r="I356" i="145"/>
  <c r="I330" i="145"/>
  <c r="J167" i="145"/>
  <c r="J133" i="145"/>
  <c r="J201" i="145"/>
  <c r="J120" i="149"/>
  <c r="J188" i="149"/>
  <c r="J154" i="149"/>
  <c r="I366" i="137"/>
  <c r="J69" i="137" s="1"/>
  <c r="J59" i="137"/>
  <c r="I366" i="136"/>
  <c r="J59" i="136"/>
  <c r="J150" i="143"/>
  <c r="J184" i="143"/>
  <c r="J116" i="143"/>
  <c r="I340" i="143"/>
  <c r="I314" i="143"/>
  <c r="J147" i="148"/>
  <c r="J113" i="148"/>
  <c r="J181" i="148"/>
  <c r="J116" i="135"/>
  <c r="J184" i="135"/>
  <c r="J150" i="135"/>
  <c r="J53" i="144"/>
  <c r="J290" i="144" s="1"/>
  <c r="I368" i="144"/>
  <c r="I370" i="144" s="1"/>
  <c r="J203" i="139"/>
  <c r="J169" i="139"/>
  <c r="J135" i="139"/>
  <c r="J100" i="139"/>
  <c r="J77" i="147"/>
  <c r="J78" i="147"/>
  <c r="J185" i="136"/>
  <c r="J117" i="136"/>
  <c r="J151" i="136"/>
  <c r="I350" i="149"/>
  <c r="J43" i="149"/>
  <c r="G106" i="200"/>
  <c r="G111" i="200" s="1"/>
  <c r="G29" i="206"/>
  <c r="H88" i="208" s="1"/>
  <c r="I351" i="135"/>
  <c r="J164" i="149"/>
  <c r="J130" i="149"/>
  <c r="J198" i="149"/>
  <c r="J181" i="135"/>
  <c r="J147" i="135"/>
  <c r="J113" i="135"/>
  <c r="J233" i="135"/>
  <c r="J267" i="135" s="1"/>
  <c r="J169" i="137"/>
  <c r="J203" i="137"/>
  <c r="J135" i="137"/>
  <c r="I367" i="144"/>
  <c r="J136" i="134"/>
  <c r="J204" i="134"/>
  <c r="J170" i="134"/>
  <c r="G246" i="211"/>
  <c r="G271" i="211"/>
  <c r="M82" i="218" s="1"/>
  <c r="J231" i="147"/>
  <c r="J265" i="147" s="1"/>
  <c r="J70" i="147"/>
  <c r="I356" i="140"/>
  <c r="I329" i="140"/>
  <c r="I330" i="140" s="1"/>
  <c r="O518" i="217"/>
  <c r="J51" i="140"/>
  <c r="J85" i="140" s="1"/>
  <c r="O515" i="217"/>
  <c r="J45" i="140"/>
  <c r="J79" i="140" s="1"/>
  <c r="J102" i="140"/>
  <c r="J217" i="144"/>
  <c r="J251" i="144" s="1"/>
  <c r="J53" i="146"/>
  <c r="J290" i="146" s="1"/>
  <c r="I368" i="146"/>
  <c r="I370" i="146" s="1"/>
  <c r="J129" i="136"/>
  <c r="J163" i="136"/>
  <c r="J197" i="136"/>
  <c r="J154" i="136"/>
  <c r="J120" i="136"/>
  <c r="J188" i="136"/>
  <c r="J163" i="138"/>
  <c r="J197" i="138"/>
  <c r="J129" i="138"/>
  <c r="J182" i="138"/>
  <c r="J114" i="138"/>
  <c r="J148" i="138"/>
  <c r="J234" i="149"/>
  <c r="J268" i="149" s="1"/>
  <c r="J221" i="149"/>
  <c r="J255" i="149" s="1"/>
  <c r="J115" i="145"/>
  <c r="J183" i="145"/>
  <c r="J149" i="145"/>
  <c r="J82" i="145"/>
  <c r="I28" i="102"/>
  <c r="G15" i="198"/>
  <c r="G44" i="198" s="1"/>
  <c r="G57" i="198" s="1"/>
  <c r="G98" i="198" s="1"/>
  <c r="J188" i="145"/>
  <c r="J120" i="145"/>
  <c r="J154" i="145"/>
  <c r="I333" i="145"/>
  <c r="J97" i="145"/>
  <c r="J87" i="151"/>
  <c r="J88" i="151" s="1"/>
  <c r="J180" i="151"/>
  <c r="J189" i="151" s="1"/>
  <c r="J112" i="151"/>
  <c r="J146" i="151"/>
  <c r="J155" i="151" s="1"/>
  <c r="J218" i="136"/>
  <c r="J252" i="136" s="1"/>
  <c r="J218" i="162"/>
  <c r="J252" i="162" s="1"/>
  <c r="J135" i="135"/>
  <c r="J203" i="135"/>
  <c r="J169" i="135"/>
  <c r="I366" i="134"/>
  <c r="J59" i="134"/>
  <c r="J237" i="144"/>
  <c r="J271" i="144" s="1"/>
  <c r="J202" i="138"/>
  <c r="J168" i="138"/>
  <c r="J134" i="138"/>
  <c r="J96" i="143"/>
  <c r="J84" i="143"/>
  <c r="G15" i="196"/>
  <c r="G44" i="196" s="1"/>
  <c r="G57" i="196" s="1"/>
  <c r="G98" i="196" s="1"/>
  <c r="I26" i="102"/>
  <c r="I66" i="102" s="1"/>
  <c r="J81" i="143"/>
  <c r="J102" i="143"/>
  <c r="J97" i="143"/>
  <c r="J219" i="137"/>
  <c r="J253" i="137" s="1"/>
  <c r="J231" i="162"/>
  <c r="J265" i="162" s="1"/>
  <c r="J199" i="148"/>
  <c r="J131" i="148"/>
  <c r="J165" i="148"/>
  <c r="J96" i="148"/>
  <c r="I31" i="102"/>
  <c r="G15" i="201"/>
  <c r="G44" i="201" s="1"/>
  <c r="G57" i="201" s="1"/>
  <c r="G98" i="201" s="1"/>
  <c r="J86" i="148"/>
  <c r="J81" i="148"/>
  <c r="J102" i="148"/>
  <c r="J93" i="142"/>
  <c r="J94" i="142"/>
  <c r="J118" i="135"/>
  <c r="J186" i="135"/>
  <c r="J152" i="135"/>
  <c r="J188" i="137"/>
  <c r="J154" i="137"/>
  <c r="J120" i="137"/>
  <c r="I351" i="144"/>
  <c r="J200" i="134"/>
  <c r="J132" i="134"/>
  <c r="J166" i="134"/>
  <c r="I332" i="134"/>
  <c r="I333" i="134" s="1"/>
  <c r="J81" i="139"/>
  <c r="J82" i="139"/>
  <c r="J79" i="139"/>
  <c r="I313" i="139"/>
  <c r="I332" i="139" s="1"/>
  <c r="I333" i="139" s="1"/>
  <c r="I340" i="139"/>
  <c r="G15" i="192"/>
  <c r="G44" i="192" s="1"/>
  <c r="G57" i="192" s="1"/>
  <c r="G98" i="192" s="1"/>
  <c r="I22" i="102"/>
  <c r="I368" i="147"/>
  <c r="I370" i="147" s="1"/>
  <c r="J53" i="147"/>
  <c r="J290" i="147" s="1"/>
  <c r="J93" i="162"/>
  <c r="J94" i="162"/>
  <c r="J203" i="136"/>
  <c r="J169" i="136"/>
  <c r="J135" i="136"/>
  <c r="G105" i="191"/>
  <c r="G20" i="207" s="1"/>
  <c r="G21" i="209" s="1"/>
  <c r="G253" i="209" s="1"/>
  <c r="G22" i="210" s="1"/>
  <c r="G61" i="211" s="1"/>
  <c r="G234" i="211" s="1"/>
  <c r="G103" i="191"/>
  <c r="G104" i="191"/>
  <c r="G20" i="205" s="1"/>
  <c r="J200" i="137"/>
  <c r="J166" i="137"/>
  <c r="J132" i="137"/>
  <c r="I351" i="162"/>
  <c r="I36" i="95"/>
  <c r="I61" i="95" s="1"/>
  <c r="I92" i="102"/>
  <c r="J215" i="144"/>
  <c r="J249" i="144" s="1"/>
  <c r="J136" i="86"/>
  <c r="J85" i="86"/>
  <c r="J119" i="86" s="1"/>
  <c r="J82" i="86"/>
  <c r="J184" i="86" s="1"/>
  <c r="J80" i="86"/>
  <c r="J182" i="86" s="1"/>
  <c r="J86" i="86"/>
  <c r="J120" i="86" s="1"/>
  <c r="J204" i="86"/>
  <c r="J83" i="86"/>
  <c r="J151" i="86" s="1"/>
  <c r="J133" i="86"/>
  <c r="J201" i="86"/>
  <c r="J79" i="86"/>
  <c r="J113" i="86" s="1"/>
  <c r="J232" i="86"/>
  <c r="J266" i="86" s="1"/>
  <c r="J43" i="86"/>
  <c r="J77" i="86" s="1"/>
  <c r="I350" i="86"/>
  <c r="J200" i="86"/>
  <c r="J132" i="86"/>
  <c r="J166" i="86"/>
  <c r="J199" i="86"/>
  <c r="J131" i="86"/>
  <c r="J165" i="86"/>
  <c r="G255" i="211"/>
  <c r="M66" i="218" s="1"/>
  <c r="G230" i="211"/>
  <c r="J181" i="86"/>
  <c r="J187" i="86"/>
  <c r="J203" i="86"/>
  <c r="J135" i="86"/>
  <c r="J169" i="86"/>
  <c r="I16" i="102"/>
  <c r="G15" i="186"/>
  <c r="G44" i="186" s="1"/>
  <c r="G57" i="186" s="1"/>
  <c r="G98" i="186" s="1"/>
  <c r="J84" i="86"/>
  <c r="J168" i="86"/>
  <c r="J202" i="86"/>
  <c r="J134" i="86"/>
  <c r="J59" i="86"/>
  <c r="I366" i="86"/>
  <c r="G257" i="211"/>
  <c r="M68" i="218" s="1"/>
  <c r="I332" i="86"/>
  <c r="I333" i="86" s="1"/>
  <c r="I314" i="86"/>
  <c r="J163" i="86"/>
  <c r="J197" i="86"/>
  <c r="J129" i="86"/>
  <c r="G233" i="211"/>
  <c r="G258" i="211"/>
  <c r="M69" i="218" s="1"/>
  <c r="J81" i="86"/>
  <c r="J215" i="138" l="1"/>
  <c r="J249" i="138" s="1"/>
  <c r="J216" i="135"/>
  <c r="J250" i="135" s="1"/>
  <c r="J116" i="148"/>
  <c r="J132" i="143"/>
  <c r="J238" i="137"/>
  <c r="J272" i="137" s="1"/>
  <c r="J236" i="134"/>
  <c r="J270" i="134" s="1"/>
  <c r="J215" i="136"/>
  <c r="J249" i="136" s="1"/>
  <c r="J232" i="136"/>
  <c r="J266" i="136" s="1"/>
  <c r="J231" i="135"/>
  <c r="J265" i="135" s="1"/>
  <c r="J238" i="86"/>
  <c r="J272" i="86" s="1"/>
  <c r="J219" i="149"/>
  <c r="J253" i="149" s="1"/>
  <c r="J232" i="149"/>
  <c r="J266" i="149" s="1"/>
  <c r="J218" i="148"/>
  <c r="J252" i="148" s="1"/>
  <c r="J230" i="151"/>
  <c r="J264" i="151" s="1"/>
  <c r="J235" i="143"/>
  <c r="J269" i="143" s="1"/>
  <c r="J232" i="138"/>
  <c r="J266" i="138" s="1"/>
  <c r="G154" i="197"/>
  <c r="J219" i="139"/>
  <c r="J253" i="139" s="1"/>
  <c r="J220" i="137"/>
  <c r="J254" i="137" s="1"/>
  <c r="G154" i="199"/>
  <c r="J221" i="137"/>
  <c r="J255" i="137" s="1"/>
  <c r="J218" i="137"/>
  <c r="J252" i="137" s="1"/>
  <c r="J215" i="145"/>
  <c r="J249" i="145" s="1"/>
  <c r="G259" i="211"/>
  <c r="M70" i="218" s="1"/>
  <c r="J222" i="137"/>
  <c r="J256" i="137" s="1"/>
  <c r="J233" i="148"/>
  <c r="J267" i="148" s="1"/>
  <c r="J222" i="145"/>
  <c r="J256" i="145" s="1"/>
  <c r="J222" i="136"/>
  <c r="J256" i="136" s="1"/>
  <c r="J70" i="137"/>
  <c r="J235" i="145"/>
  <c r="J269" i="145" s="1"/>
  <c r="J232" i="145"/>
  <c r="J266" i="145" s="1"/>
  <c r="J95" i="141"/>
  <c r="J97" i="141"/>
  <c r="J220" i="136"/>
  <c r="J254" i="136" s="1"/>
  <c r="M84" i="218"/>
  <c r="I314" i="139"/>
  <c r="J222" i="149"/>
  <c r="J256" i="149" s="1"/>
  <c r="J216" i="136"/>
  <c r="J250" i="136" s="1"/>
  <c r="N562" i="217"/>
  <c r="J219" i="138"/>
  <c r="J253" i="138" s="1"/>
  <c r="J232" i="135"/>
  <c r="J266" i="135" s="1"/>
  <c r="J185" i="86"/>
  <c r="J234" i="136"/>
  <c r="J268" i="136" s="1"/>
  <c r="J222" i="135"/>
  <c r="J256" i="135" s="1"/>
  <c r="J237" i="145"/>
  <c r="J271" i="145" s="1"/>
  <c r="J99" i="141"/>
  <c r="J101" i="141"/>
  <c r="J235" i="135"/>
  <c r="J269" i="135" s="1"/>
  <c r="J234" i="138"/>
  <c r="J268" i="138" s="1"/>
  <c r="G158" i="197"/>
  <c r="G26" i="207"/>
  <c r="G103" i="192"/>
  <c r="G104" i="192"/>
  <c r="G21" i="205" s="1"/>
  <c r="G105" i="192"/>
  <c r="G21" i="207" s="1"/>
  <c r="G22" i="209" s="1"/>
  <c r="G254" i="209" s="1"/>
  <c r="G23" i="210" s="1"/>
  <c r="G62" i="211" s="1"/>
  <c r="J113" i="139"/>
  <c r="J181" i="139"/>
  <c r="J147" i="139"/>
  <c r="J170" i="148"/>
  <c r="J204" i="148"/>
  <c r="J136" i="148"/>
  <c r="I104" i="102"/>
  <c r="I48" i="95"/>
  <c r="I73" i="95" s="1"/>
  <c r="J136" i="143"/>
  <c r="J204" i="143"/>
  <c r="J170" i="143"/>
  <c r="J151" i="140"/>
  <c r="J185" i="140"/>
  <c r="J117" i="140"/>
  <c r="J219" i="140" s="1"/>
  <c r="J253" i="140" s="1"/>
  <c r="J145" i="142"/>
  <c r="J111" i="142"/>
  <c r="J179" i="142"/>
  <c r="G18" i="206"/>
  <c r="H77" i="208" s="1"/>
  <c r="G106" i="189"/>
  <c r="G111" i="189" s="1"/>
  <c r="I351" i="134"/>
  <c r="J53" i="134"/>
  <c r="I368" i="134"/>
  <c r="I370" i="134" s="1"/>
  <c r="J213" i="150"/>
  <c r="J78" i="86"/>
  <c r="J87" i="86" s="1"/>
  <c r="J88" i="86" s="1"/>
  <c r="J183" i="148"/>
  <c r="J149" i="148"/>
  <c r="J115" i="148"/>
  <c r="J198" i="148"/>
  <c r="J130" i="148"/>
  <c r="J164" i="148"/>
  <c r="J149" i="143"/>
  <c r="J115" i="143"/>
  <c r="J183" i="143"/>
  <c r="J53" i="149"/>
  <c r="J290" i="149" s="1"/>
  <c r="I368" i="149"/>
  <c r="I370" i="149" s="1"/>
  <c r="I350" i="143"/>
  <c r="I351" i="143" s="1"/>
  <c r="J43" i="143"/>
  <c r="J93" i="136"/>
  <c r="J94" i="136"/>
  <c r="G31" i="206"/>
  <c r="H90" i="208" s="1"/>
  <c r="G106" i="202"/>
  <c r="G111" i="202" s="1"/>
  <c r="J220" i="139"/>
  <c r="J254" i="139" s="1"/>
  <c r="J151" i="148"/>
  <c r="J117" i="148"/>
  <c r="J185" i="148"/>
  <c r="J168" i="148"/>
  <c r="J134" i="148"/>
  <c r="J202" i="148"/>
  <c r="J236" i="148" s="1"/>
  <c r="J270" i="148" s="1"/>
  <c r="J189" i="150"/>
  <c r="J197" i="141"/>
  <c r="J129" i="141"/>
  <c r="J163" i="141"/>
  <c r="J46" i="141"/>
  <c r="N557" i="217"/>
  <c r="G105" i="185"/>
  <c r="G14" i="207" s="1"/>
  <c r="G104" i="185"/>
  <c r="G14" i="205" s="1"/>
  <c r="G103" i="185"/>
  <c r="G28" i="207"/>
  <c r="G158" i="199"/>
  <c r="J195" i="146"/>
  <c r="J127" i="146"/>
  <c r="J161" i="146"/>
  <c r="J165" i="139"/>
  <c r="J199" i="139"/>
  <c r="J131" i="139"/>
  <c r="J187" i="143"/>
  <c r="J153" i="143"/>
  <c r="J119" i="143"/>
  <c r="J229" i="151"/>
  <c r="J205" i="151"/>
  <c r="J206" i="151" s="1"/>
  <c r="J213" i="151"/>
  <c r="J187" i="145"/>
  <c r="J119" i="145"/>
  <c r="J153" i="145"/>
  <c r="J77" i="136"/>
  <c r="J78" i="136"/>
  <c r="O514" i="217"/>
  <c r="J43" i="140"/>
  <c r="I350" i="140"/>
  <c r="J204" i="139"/>
  <c r="J170" i="139"/>
  <c r="J136" i="139"/>
  <c r="G231" i="211"/>
  <c r="J116" i="86"/>
  <c r="J234" i="137"/>
  <c r="J268" i="137" s="1"/>
  <c r="G20" i="206"/>
  <c r="H79" i="208" s="1"/>
  <c r="G106" i="191"/>
  <c r="G111" i="191" s="1"/>
  <c r="J237" i="136"/>
  <c r="J271" i="136" s="1"/>
  <c r="I350" i="139"/>
  <c r="I351" i="139" s="1"/>
  <c r="J43" i="139"/>
  <c r="J183" i="139"/>
  <c r="J149" i="139"/>
  <c r="J115" i="139"/>
  <c r="J234" i="134"/>
  <c r="J268" i="134" s="1"/>
  <c r="J103" i="142"/>
  <c r="J104" i="142" s="1"/>
  <c r="J162" i="142"/>
  <c r="J196" i="142"/>
  <c r="J128" i="142"/>
  <c r="J188" i="148"/>
  <c r="J154" i="148"/>
  <c r="J120" i="148"/>
  <c r="I43" i="95"/>
  <c r="I68" i="95" s="1"/>
  <c r="I99" i="102"/>
  <c r="J236" i="138"/>
  <c r="J270" i="138" s="1"/>
  <c r="J93" i="134"/>
  <c r="J94" i="134"/>
  <c r="J121" i="151"/>
  <c r="J214" i="151"/>
  <c r="J248" i="151" s="1"/>
  <c r="G103" i="198"/>
  <c r="G104" i="198"/>
  <c r="G27" i="205" s="1"/>
  <c r="G105" i="198"/>
  <c r="G27" i="207" s="1"/>
  <c r="G28" i="209" s="1"/>
  <c r="G260" i="209" s="1"/>
  <c r="G29" i="210" s="1"/>
  <c r="G68" i="211" s="1"/>
  <c r="J231" i="138"/>
  <c r="J265" i="138" s="1"/>
  <c r="J147" i="140"/>
  <c r="J181" i="140"/>
  <c r="J113" i="140"/>
  <c r="J215" i="140" s="1"/>
  <c r="J249" i="140" s="1"/>
  <c r="J82" i="140"/>
  <c r="J215" i="135"/>
  <c r="J249" i="135" s="1"/>
  <c r="G113" i="200"/>
  <c r="G115" i="200" s="1"/>
  <c r="G112" i="200"/>
  <c r="J54" i="147"/>
  <c r="J218" i="135"/>
  <c r="J252" i="135" s="1"/>
  <c r="J215" i="148"/>
  <c r="J249" i="148" s="1"/>
  <c r="J218" i="143"/>
  <c r="J252" i="143" s="1"/>
  <c r="J69" i="136"/>
  <c r="J70" i="136" s="1"/>
  <c r="I367" i="136"/>
  <c r="J222" i="138"/>
  <c r="J256" i="138" s="1"/>
  <c r="J87" i="142"/>
  <c r="J88" i="142" s="1"/>
  <c r="J112" i="142"/>
  <c r="J146" i="142"/>
  <c r="J155" i="142" s="1"/>
  <c r="J180" i="142"/>
  <c r="J189" i="142" s="1"/>
  <c r="J185" i="143"/>
  <c r="J151" i="143"/>
  <c r="J117" i="143"/>
  <c r="J222" i="143"/>
  <c r="J256" i="143" s="1"/>
  <c r="J215" i="137"/>
  <c r="J249" i="137" s="1"/>
  <c r="J186" i="145"/>
  <c r="J118" i="145"/>
  <c r="J152" i="145"/>
  <c r="J54" i="146"/>
  <c r="G26" i="206"/>
  <c r="G155" i="197"/>
  <c r="O575" i="217"/>
  <c r="G28" i="206"/>
  <c r="G155" i="199"/>
  <c r="J77" i="137"/>
  <c r="J78" i="137"/>
  <c r="J235" i="137"/>
  <c r="J269" i="137" s="1"/>
  <c r="J217" i="134"/>
  <c r="J251" i="134" s="1"/>
  <c r="J231" i="148"/>
  <c r="J265" i="148" s="1"/>
  <c r="J155" i="150"/>
  <c r="J280" i="150" s="1"/>
  <c r="J32" i="131" s="1"/>
  <c r="J47" i="141"/>
  <c r="J81" i="141" s="1"/>
  <c r="N558" i="217"/>
  <c r="J96" i="141"/>
  <c r="J102" i="141"/>
  <c r="O328" i="217"/>
  <c r="I88" i="102"/>
  <c r="I32" i="95"/>
  <c r="J146" i="162"/>
  <c r="J180" i="162"/>
  <c r="J112" i="162"/>
  <c r="J237" i="138"/>
  <c r="J271" i="138" s="1"/>
  <c r="J198" i="139"/>
  <c r="J130" i="139"/>
  <c r="J164" i="139"/>
  <c r="J129" i="139"/>
  <c r="J197" i="139"/>
  <c r="J163" i="139"/>
  <c r="J146" i="144"/>
  <c r="J112" i="144"/>
  <c r="J180" i="144"/>
  <c r="J69" i="135"/>
  <c r="J70" i="135" s="1"/>
  <c r="I367" i="135"/>
  <c r="J236" i="149"/>
  <c r="J270" i="149" s="1"/>
  <c r="I366" i="148"/>
  <c r="J69" i="148" s="1"/>
  <c r="J59" i="148"/>
  <c r="J169" i="148"/>
  <c r="J203" i="148"/>
  <c r="J135" i="148"/>
  <c r="J237" i="143"/>
  <c r="J271" i="143" s="1"/>
  <c r="J236" i="136"/>
  <c r="J270" i="136" s="1"/>
  <c r="G117" i="203"/>
  <c r="G114" i="203"/>
  <c r="G116" i="203" s="1"/>
  <c r="G118" i="203" s="1"/>
  <c r="J171" i="151"/>
  <c r="J172" i="151" s="1"/>
  <c r="J190" i="151"/>
  <c r="J234" i="145"/>
  <c r="J268" i="145" s="1"/>
  <c r="J43" i="145"/>
  <c r="I350" i="145"/>
  <c r="I351" i="145" s="1"/>
  <c r="I368" i="136"/>
  <c r="I370" i="136" s="1"/>
  <c r="I351" i="136"/>
  <c r="J53" i="136"/>
  <c r="J290" i="136" s="1"/>
  <c r="I332" i="140"/>
  <c r="I333" i="140" s="1"/>
  <c r="I314" i="140"/>
  <c r="G16" i="206"/>
  <c r="H75" i="208" s="1"/>
  <c r="G106" i="187"/>
  <c r="G111" i="187" s="1"/>
  <c r="N561" i="217"/>
  <c r="O527" i="217" s="1"/>
  <c r="J231" i="134"/>
  <c r="J265" i="134" s="1"/>
  <c r="J216" i="137"/>
  <c r="J250" i="137" s="1"/>
  <c r="J78" i="138"/>
  <c r="J77" i="138"/>
  <c r="J78" i="135"/>
  <c r="J77" i="135"/>
  <c r="J195" i="162"/>
  <c r="J161" i="162"/>
  <c r="J127" i="162"/>
  <c r="J103" i="162"/>
  <c r="J104" i="162" s="1"/>
  <c r="J186" i="143"/>
  <c r="J118" i="143"/>
  <c r="J152" i="143"/>
  <c r="J150" i="145"/>
  <c r="J184" i="145"/>
  <c r="J116" i="145"/>
  <c r="J187" i="140"/>
  <c r="J119" i="140"/>
  <c r="J221" i="140" s="1"/>
  <c r="J255" i="140" s="1"/>
  <c r="J153" i="140"/>
  <c r="J77" i="149"/>
  <c r="J78" i="149"/>
  <c r="J168" i="139"/>
  <c r="J134" i="139"/>
  <c r="J202" i="139"/>
  <c r="J59" i="145"/>
  <c r="I366" i="145"/>
  <c r="J69" i="145" s="1"/>
  <c r="G245" i="211"/>
  <c r="G270" i="211"/>
  <c r="M81" i="218" s="1"/>
  <c r="J69" i="138"/>
  <c r="J70" i="138" s="1"/>
  <c r="I367" i="138"/>
  <c r="J182" i="140"/>
  <c r="J114" i="140"/>
  <c r="J148" i="140"/>
  <c r="J150" i="86"/>
  <c r="J116" i="139"/>
  <c r="J184" i="139"/>
  <c r="J150" i="139"/>
  <c r="J220" i="135"/>
  <c r="J254" i="135" s="1"/>
  <c r="J198" i="143"/>
  <c r="J130" i="143"/>
  <c r="J164" i="143"/>
  <c r="J237" i="135"/>
  <c r="J271" i="135" s="1"/>
  <c r="J165" i="145"/>
  <c r="J199" i="145"/>
  <c r="J131" i="145"/>
  <c r="J170" i="140"/>
  <c r="J204" i="140"/>
  <c r="J136" i="140"/>
  <c r="I366" i="140"/>
  <c r="J59" i="140"/>
  <c r="J87" i="147"/>
  <c r="J88" i="147" s="1"/>
  <c r="J146" i="147"/>
  <c r="J180" i="147"/>
  <c r="J112" i="147"/>
  <c r="J231" i="140"/>
  <c r="J265" i="140" s="1"/>
  <c r="G113" i="194"/>
  <c r="G115" i="194" s="1"/>
  <c r="G112" i="194"/>
  <c r="J216" i="139"/>
  <c r="J250" i="139" s="1"/>
  <c r="J235" i="148"/>
  <c r="J269" i="148" s="1"/>
  <c r="J94" i="138"/>
  <c r="J93" i="138"/>
  <c r="J202" i="145"/>
  <c r="J134" i="145"/>
  <c r="J168" i="145"/>
  <c r="J220" i="138"/>
  <c r="J254" i="138" s="1"/>
  <c r="J190" i="150"/>
  <c r="J87" i="146"/>
  <c r="J88" i="146" s="1"/>
  <c r="J146" i="146"/>
  <c r="J180" i="146"/>
  <c r="J112" i="146"/>
  <c r="G150" i="197"/>
  <c r="G111" i="197"/>
  <c r="J183" i="140"/>
  <c r="J115" i="140"/>
  <c r="J149" i="140"/>
  <c r="G111" i="199"/>
  <c r="G150" i="199"/>
  <c r="J93" i="149"/>
  <c r="J94" i="149"/>
  <c r="J44" i="141"/>
  <c r="N555" i="217"/>
  <c r="J52" i="141"/>
  <c r="J86" i="141" s="1"/>
  <c r="N563" i="217"/>
  <c r="O528" i="217" s="1"/>
  <c r="J199" i="141"/>
  <c r="J165" i="141"/>
  <c r="J131" i="141"/>
  <c r="J94" i="135"/>
  <c r="J93" i="135"/>
  <c r="I350" i="148"/>
  <c r="J43" i="148"/>
  <c r="J86" i="140"/>
  <c r="I368" i="135"/>
  <c r="I370" i="135" s="1"/>
  <c r="J53" i="135"/>
  <c r="J162" i="162"/>
  <c r="J196" i="162"/>
  <c r="J128" i="162"/>
  <c r="I95" i="102"/>
  <c r="I39" i="95"/>
  <c r="I64" i="95" s="1"/>
  <c r="J195" i="142"/>
  <c r="J161" i="142"/>
  <c r="J127" i="142"/>
  <c r="G104" i="201"/>
  <c r="G30" i="205" s="1"/>
  <c r="G103" i="201"/>
  <c r="G105" i="201"/>
  <c r="G30" i="207" s="1"/>
  <c r="G31" i="209" s="1"/>
  <c r="G263" i="209" s="1"/>
  <c r="G32" i="210" s="1"/>
  <c r="G71" i="211" s="1"/>
  <c r="J199" i="143"/>
  <c r="J165" i="143"/>
  <c r="J131" i="143"/>
  <c r="G104" i="196"/>
  <c r="G105" i="196"/>
  <c r="G149" i="196" s="1"/>
  <c r="G103" i="196"/>
  <c r="J69" i="134"/>
  <c r="J70" i="134" s="1"/>
  <c r="I367" i="134"/>
  <c r="I101" i="102"/>
  <c r="I45" i="95"/>
  <c r="I70" i="95" s="1"/>
  <c r="J217" i="145"/>
  <c r="J251" i="145" s="1"/>
  <c r="J216" i="138"/>
  <c r="J250" i="138" s="1"/>
  <c r="J231" i="136"/>
  <c r="J265" i="136" s="1"/>
  <c r="O574" i="217"/>
  <c r="J84" i="140"/>
  <c r="J238" i="134"/>
  <c r="J272" i="134" s="1"/>
  <c r="J237" i="137"/>
  <c r="J271" i="137" s="1"/>
  <c r="I351" i="149"/>
  <c r="J219" i="136"/>
  <c r="J253" i="136" s="1"/>
  <c r="J145" i="147"/>
  <c r="J179" i="147"/>
  <c r="J111" i="147"/>
  <c r="J237" i="139"/>
  <c r="J271" i="139" s="1"/>
  <c r="J94" i="137"/>
  <c r="J93" i="137"/>
  <c r="J54" i="142"/>
  <c r="G113" i="195"/>
  <c r="G115" i="195" s="1"/>
  <c r="G112" i="195"/>
  <c r="J120" i="139"/>
  <c r="J154" i="139"/>
  <c r="J188" i="139"/>
  <c r="J221" i="139"/>
  <c r="J255" i="139" s="1"/>
  <c r="J77" i="134"/>
  <c r="J78" i="134"/>
  <c r="J229" i="150"/>
  <c r="J220" i="148"/>
  <c r="J254" i="148" s="1"/>
  <c r="J197" i="143"/>
  <c r="J163" i="143"/>
  <c r="J129" i="143"/>
  <c r="J221" i="134"/>
  <c r="J255" i="134" s="1"/>
  <c r="J231" i="145"/>
  <c r="J265" i="145" s="1"/>
  <c r="J217" i="136"/>
  <c r="J251" i="136" s="1"/>
  <c r="J179" i="146"/>
  <c r="J111" i="146"/>
  <c r="J145" i="146"/>
  <c r="J166" i="140"/>
  <c r="J200" i="140"/>
  <c r="J132" i="140"/>
  <c r="J218" i="134"/>
  <c r="J252" i="134" s="1"/>
  <c r="J53" i="137"/>
  <c r="I368" i="137"/>
  <c r="I370" i="137" s="1"/>
  <c r="I351" i="137"/>
  <c r="J234" i="135"/>
  <c r="J268" i="135" s="1"/>
  <c r="J220" i="149"/>
  <c r="J254" i="149" s="1"/>
  <c r="I367" i="149"/>
  <c r="J233" i="138"/>
  <c r="J267" i="138" s="1"/>
  <c r="J235" i="139"/>
  <c r="J269" i="139" s="1"/>
  <c r="J216" i="148"/>
  <c r="J250" i="148" s="1"/>
  <c r="J215" i="143"/>
  <c r="J249" i="143" s="1"/>
  <c r="J219" i="145"/>
  <c r="J253" i="145" s="1"/>
  <c r="J121" i="150"/>
  <c r="J282" i="150" s="1"/>
  <c r="J32" i="132" s="1"/>
  <c r="J214" i="150"/>
  <c r="J248" i="150" s="1"/>
  <c r="J186" i="141"/>
  <c r="J152" i="141"/>
  <c r="J118" i="141"/>
  <c r="J45" i="141"/>
  <c r="J79" i="141" s="1"/>
  <c r="N556" i="217"/>
  <c r="O525" i="217" s="1"/>
  <c r="I356" i="141"/>
  <c r="I330" i="141"/>
  <c r="J167" i="141"/>
  <c r="J201" i="141"/>
  <c r="J133" i="141"/>
  <c r="I340" i="141"/>
  <c r="I314" i="141"/>
  <c r="J203" i="141"/>
  <c r="J135" i="141"/>
  <c r="J169" i="141"/>
  <c r="J196" i="147"/>
  <c r="J128" i="147"/>
  <c r="J162" i="147"/>
  <c r="I366" i="139"/>
  <c r="J69" i="139" s="1"/>
  <c r="J59" i="139"/>
  <c r="J234" i="139"/>
  <c r="J268" i="139" s="1"/>
  <c r="J54" i="144"/>
  <c r="J205" i="150"/>
  <c r="J206" i="150" s="1"/>
  <c r="J230" i="150"/>
  <c r="J264" i="150" s="1"/>
  <c r="J132" i="148"/>
  <c r="J200" i="148"/>
  <c r="J166" i="148"/>
  <c r="J119" i="148"/>
  <c r="J153" i="148"/>
  <c r="J187" i="148"/>
  <c r="I366" i="143"/>
  <c r="J69" i="143" s="1"/>
  <c r="J59" i="143"/>
  <c r="J202" i="143"/>
  <c r="J168" i="143"/>
  <c r="J134" i="143"/>
  <c r="J148" i="143"/>
  <c r="J182" i="143"/>
  <c r="J114" i="143"/>
  <c r="J156" i="151"/>
  <c r="J167" i="140"/>
  <c r="J201" i="140"/>
  <c r="J235" i="140" s="1"/>
  <c r="J269" i="140" s="1"/>
  <c r="J133" i="140"/>
  <c r="J237" i="140"/>
  <c r="J271" i="140" s="1"/>
  <c r="J103" i="144"/>
  <c r="J104" i="144" s="1"/>
  <c r="J128" i="144"/>
  <c r="J162" i="144"/>
  <c r="J196" i="144"/>
  <c r="G106" i="190"/>
  <c r="G111" i="190" s="1"/>
  <c r="G19" i="206"/>
  <c r="H78" i="208" s="1"/>
  <c r="J53" i="138"/>
  <c r="I351" i="138"/>
  <c r="I368" i="138"/>
  <c r="I370" i="138" s="1"/>
  <c r="J233" i="134"/>
  <c r="J267" i="134" s="1"/>
  <c r="J85" i="141"/>
  <c r="J48" i="141"/>
  <c r="J83" i="141" s="1"/>
  <c r="N559" i="217"/>
  <c r="J98" i="141"/>
  <c r="J100" i="141"/>
  <c r="I332" i="141"/>
  <c r="I333" i="141" s="1"/>
  <c r="I72" i="128"/>
  <c r="I35" i="128"/>
  <c r="J195" i="147"/>
  <c r="J127" i="147"/>
  <c r="J137" i="147" s="1"/>
  <c r="J138" i="147" s="1"/>
  <c r="J161" i="147"/>
  <c r="J103" i="147"/>
  <c r="J104" i="147" s="1"/>
  <c r="J103" i="146"/>
  <c r="J104" i="146" s="1"/>
  <c r="J128" i="146"/>
  <c r="J137" i="146" s="1"/>
  <c r="J138" i="146" s="1"/>
  <c r="J162" i="146"/>
  <c r="J171" i="146" s="1"/>
  <c r="J172" i="146" s="1"/>
  <c r="J196" i="146"/>
  <c r="J179" i="162"/>
  <c r="J111" i="162"/>
  <c r="J145" i="162"/>
  <c r="J87" i="162"/>
  <c r="J88" i="162" s="1"/>
  <c r="G17" i="206"/>
  <c r="H76" i="208" s="1"/>
  <c r="G106" i="188"/>
  <c r="G111" i="188" s="1"/>
  <c r="J216" i="134"/>
  <c r="J250" i="134" s="1"/>
  <c r="J111" i="144"/>
  <c r="J145" i="144"/>
  <c r="J179" i="144"/>
  <c r="J87" i="144"/>
  <c r="J88" i="144" s="1"/>
  <c r="J234" i="143"/>
  <c r="J268" i="143" s="1"/>
  <c r="J137" i="151"/>
  <c r="J138" i="151" s="1"/>
  <c r="J182" i="145"/>
  <c r="J114" i="145"/>
  <c r="J148" i="145"/>
  <c r="J170" i="145"/>
  <c r="J204" i="145"/>
  <c r="J136" i="145"/>
  <c r="G114" i="204"/>
  <c r="G116" i="204" s="1"/>
  <c r="G118" i="204" s="1"/>
  <c r="G117" i="204"/>
  <c r="J202" i="140"/>
  <c r="J134" i="140"/>
  <c r="J168" i="140"/>
  <c r="J195" i="144"/>
  <c r="J127" i="144"/>
  <c r="J161" i="144"/>
  <c r="J171" i="144" s="1"/>
  <c r="J172" i="144" s="1"/>
  <c r="J235" i="149"/>
  <c r="J269" i="149" s="1"/>
  <c r="J215" i="149"/>
  <c r="J249" i="149" s="1"/>
  <c r="I367" i="137"/>
  <c r="J148" i="86"/>
  <c r="J117" i="86"/>
  <c r="J219" i="86" s="1"/>
  <c r="J253" i="86" s="1"/>
  <c r="J153" i="86"/>
  <c r="J188" i="86"/>
  <c r="J154" i="86"/>
  <c r="J114" i="86"/>
  <c r="J147" i="86"/>
  <c r="J215" i="86" s="1"/>
  <c r="J249" i="86" s="1"/>
  <c r="J235" i="86"/>
  <c r="J269" i="86" s="1"/>
  <c r="J231" i="86"/>
  <c r="J265" i="86" s="1"/>
  <c r="J236" i="86"/>
  <c r="J270" i="86" s="1"/>
  <c r="J234" i="86"/>
  <c r="J268" i="86" s="1"/>
  <c r="I367" i="86"/>
  <c r="J69" i="86"/>
  <c r="J70" i="86" s="1"/>
  <c r="J145" i="86"/>
  <c r="J179" i="86"/>
  <c r="J111" i="86"/>
  <c r="J93" i="86"/>
  <c r="J94" i="86"/>
  <c r="G105" i="186"/>
  <c r="G15" i="207" s="1"/>
  <c r="G103" i="186"/>
  <c r="G104" i="186"/>
  <c r="G15" i="205" s="1"/>
  <c r="J237" i="86"/>
  <c r="J271" i="86" s="1"/>
  <c r="J233" i="86"/>
  <c r="J267" i="86" s="1"/>
  <c r="J149" i="86"/>
  <c r="J183" i="86"/>
  <c r="J115" i="86"/>
  <c r="J146" i="86"/>
  <c r="I89" i="102"/>
  <c r="I33" i="95"/>
  <c r="I58" i="95" s="1"/>
  <c r="J152" i="86"/>
  <c r="J186" i="86"/>
  <c r="J118" i="86"/>
  <c r="J221" i="86"/>
  <c r="J255" i="86" s="1"/>
  <c r="J53" i="86"/>
  <c r="I368" i="86"/>
  <c r="I370" i="86" s="1"/>
  <c r="I351" i="86"/>
  <c r="J217" i="143" l="1"/>
  <c r="J251" i="143" s="1"/>
  <c r="I367" i="148"/>
  <c r="J214" i="146"/>
  <c r="J248" i="146" s="1"/>
  <c r="J214" i="147"/>
  <c r="J248" i="147" s="1"/>
  <c r="J232" i="143"/>
  <c r="J266" i="143" s="1"/>
  <c r="J218" i="139"/>
  <c r="J252" i="139" s="1"/>
  <c r="J230" i="147"/>
  <c r="J264" i="147" s="1"/>
  <c r="J236" i="145"/>
  <c r="J270" i="145" s="1"/>
  <c r="I367" i="145"/>
  <c r="J220" i="141"/>
  <c r="J254" i="141" s="1"/>
  <c r="J214" i="144"/>
  <c r="J248" i="144" s="1"/>
  <c r="J232" i="148"/>
  <c r="J266" i="148" s="1"/>
  <c r="J222" i="86"/>
  <c r="J256" i="86" s="1"/>
  <c r="J70" i="143"/>
  <c r="J231" i="143"/>
  <c r="J265" i="143" s="1"/>
  <c r="J222" i="139"/>
  <c r="J256" i="139" s="1"/>
  <c r="J218" i="86"/>
  <c r="J252" i="86" s="1"/>
  <c r="J229" i="146"/>
  <c r="J219" i="148"/>
  <c r="J253" i="148" s="1"/>
  <c r="J216" i="143"/>
  <c r="J250" i="143" s="1"/>
  <c r="J216" i="86"/>
  <c r="J250" i="86" s="1"/>
  <c r="J236" i="139"/>
  <c r="J270" i="139" s="1"/>
  <c r="J171" i="162"/>
  <c r="J172" i="162" s="1"/>
  <c r="J217" i="148"/>
  <c r="J251" i="148" s="1"/>
  <c r="J215" i="139"/>
  <c r="J249" i="139" s="1"/>
  <c r="J189" i="144"/>
  <c r="J190" i="144"/>
  <c r="J155" i="162"/>
  <c r="J280" i="162" s="1"/>
  <c r="J24" i="131" s="1"/>
  <c r="J93" i="139"/>
  <c r="J94" i="139"/>
  <c r="J181" i="141"/>
  <c r="J113" i="141"/>
  <c r="J147" i="141"/>
  <c r="J87" i="134"/>
  <c r="J88" i="134" s="1"/>
  <c r="J179" i="134"/>
  <c r="J145" i="134"/>
  <c r="J111" i="134"/>
  <c r="J127" i="137"/>
  <c r="J103" i="137"/>
  <c r="J104" i="137" s="1"/>
  <c r="J161" i="137"/>
  <c r="J195" i="137"/>
  <c r="G30" i="206"/>
  <c r="H89" i="208" s="1"/>
  <c r="G106" i="201"/>
  <c r="G111" i="201" s="1"/>
  <c r="J53" i="148"/>
  <c r="J290" i="148" s="1"/>
  <c r="I368" i="148"/>
  <c r="I370" i="148" s="1"/>
  <c r="I57" i="95"/>
  <c r="AH34" i="95"/>
  <c r="J149" i="141"/>
  <c r="J183" i="141"/>
  <c r="J115" i="141"/>
  <c r="G114" i="200"/>
  <c r="G116" i="200" s="1"/>
  <c r="G118" i="200" s="1"/>
  <c r="G117" i="200"/>
  <c r="J77" i="140"/>
  <c r="J78" i="140"/>
  <c r="J112" i="86"/>
  <c r="G113" i="190"/>
  <c r="G115" i="190" s="1"/>
  <c r="G112" i="190"/>
  <c r="J236" i="143"/>
  <c r="J270" i="143" s="1"/>
  <c r="I350" i="141"/>
  <c r="J43" i="141"/>
  <c r="N554" i="217"/>
  <c r="J128" i="137"/>
  <c r="J162" i="137"/>
  <c r="J196" i="137"/>
  <c r="G106" i="196"/>
  <c r="G147" i="196"/>
  <c r="G140" i="196"/>
  <c r="G152" i="196" s="1"/>
  <c r="J229" i="142"/>
  <c r="J205" i="162"/>
  <c r="J206" i="162" s="1"/>
  <c r="J230" i="162"/>
  <c r="J264" i="162" s="1"/>
  <c r="J233" i="141"/>
  <c r="J267" i="141" s="1"/>
  <c r="G113" i="199"/>
  <c r="G115" i="199" s="1"/>
  <c r="G112" i="199"/>
  <c r="J189" i="146"/>
  <c r="G117" i="194"/>
  <c r="G114" i="194"/>
  <c r="G116" i="194" s="1"/>
  <c r="G118" i="194" s="1"/>
  <c r="J69" i="140"/>
  <c r="J70" i="140" s="1"/>
  <c r="I367" i="140"/>
  <c r="J229" i="162"/>
  <c r="G113" i="187"/>
  <c r="G115" i="187" s="1"/>
  <c r="G112" i="187"/>
  <c r="I368" i="145"/>
  <c r="I370" i="145" s="1"/>
  <c r="J53" i="145"/>
  <c r="J290" i="145" s="1"/>
  <c r="J121" i="162"/>
  <c r="J214" i="162"/>
  <c r="J248" i="162" s="1"/>
  <c r="J164" i="141"/>
  <c r="J198" i="141"/>
  <c r="J130" i="141"/>
  <c r="G266" i="211"/>
  <c r="M77" i="218" s="1"/>
  <c r="G241" i="211"/>
  <c r="O529" i="217"/>
  <c r="O573" i="217"/>
  <c r="J263" i="146"/>
  <c r="J77" i="143"/>
  <c r="J78" i="143"/>
  <c r="J122" i="150"/>
  <c r="J190" i="142"/>
  <c r="G106" i="192"/>
  <c r="G111" i="192" s="1"/>
  <c r="G21" i="206"/>
  <c r="H80" i="208" s="1"/>
  <c r="J180" i="86"/>
  <c r="J137" i="144"/>
  <c r="J138" i="144" s="1"/>
  <c r="J236" i="140"/>
  <c r="J270" i="140" s="1"/>
  <c r="J216" i="145"/>
  <c r="J250" i="145" s="1"/>
  <c r="J213" i="144"/>
  <c r="J121" i="144"/>
  <c r="J282" i="144" s="1"/>
  <c r="J26" i="132" s="1"/>
  <c r="J82" i="141"/>
  <c r="J230" i="144"/>
  <c r="J264" i="144" s="1"/>
  <c r="I367" i="143"/>
  <c r="J171" i="147"/>
  <c r="J172" i="147" s="1"/>
  <c r="I366" i="141"/>
  <c r="J69" i="141" s="1"/>
  <c r="J59" i="141"/>
  <c r="J239" i="150"/>
  <c r="J240" i="150" s="1"/>
  <c r="J263" i="150"/>
  <c r="J273" i="150" s="1"/>
  <c r="J274" i="150" s="1"/>
  <c r="J281" i="151"/>
  <c r="J33" i="133" s="1"/>
  <c r="J233" i="143"/>
  <c r="J267" i="143" s="1"/>
  <c r="I351" i="148"/>
  <c r="J128" i="135"/>
  <c r="J162" i="135"/>
  <c r="J196" i="135"/>
  <c r="J196" i="149"/>
  <c r="J162" i="149"/>
  <c r="J128" i="149"/>
  <c r="G112" i="197"/>
  <c r="G113" i="197"/>
  <c r="G115" i="197" s="1"/>
  <c r="J155" i="146"/>
  <c r="J280" i="146" s="1"/>
  <c r="J28" i="131" s="1"/>
  <c r="J196" i="138"/>
  <c r="J162" i="138"/>
  <c r="J128" i="138"/>
  <c r="J155" i="147"/>
  <c r="J145" i="149"/>
  <c r="J179" i="149"/>
  <c r="J111" i="149"/>
  <c r="J145" i="135"/>
  <c r="J179" i="135"/>
  <c r="J111" i="135"/>
  <c r="J87" i="135"/>
  <c r="J88" i="135" s="1"/>
  <c r="J77" i="145"/>
  <c r="J54" i="145"/>
  <c r="J78" i="145"/>
  <c r="J93" i="148"/>
  <c r="J94" i="148"/>
  <c r="J189" i="162"/>
  <c r="J281" i="162" s="1"/>
  <c r="J24" i="133" s="1"/>
  <c r="O616" i="217"/>
  <c r="O620" i="217" s="1"/>
  <c r="O357" i="217"/>
  <c r="J111" i="137"/>
  <c r="J145" i="137"/>
  <c r="J179" i="137"/>
  <c r="J87" i="137"/>
  <c r="J88" i="137" s="1"/>
  <c r="G156" i="197"/>
  <c r="J220" i="145"/>
  <c r="J254" i="145" s="1"/>
  <c r="J219" i="143"/>
  <c r="J253" i="143" s="1"/>
  <c r="J196" i="134"/>
  <c r="J162" i="134"/>
  <c r="J128" i="134"/>
  <c r="J137" i="142"/>
  <c r="J138" i="142" s="1"/>
  <c r="G113" i="191"/>
  <c r="G115" i="191" s="1"/>
  <c r="G112" i="191"/>
  <c r="J54" i="136"/>
  <c r="J238" i="139"/>
  <c r="J272" i="139" s="1"/>
  <c r="J112" i="136"/>
  <c r="J146" i="136"/>
  <c r="J180" i="136"/>
  <c r="J239" i="151"/>
  <c r="J240" i="151" s="1"/>
  <c r="J263" i="151"/>
  <c r="J273" i="151" s="1"/>
  <c r="J274" i="151" s="1"/>
  <c r="H87" i="208"/>
  <c r="G29" i="209"/>
  <c r="G261" i="209" s="1"/>
  <c r="G30" i="210" s="1"/>
  <c r="G69" i="211" s="1"/>
  <c r="J231" i="141"/>
  <c r="J265" i="141" s="1"/>
  <c r="J162" i="136"/>
  <c r="J196" i="136"/>
  <c r="J128" i="136"/>
  <c r="J53" i="143"/>
  <c r="J290" i="143" s="1"/>
  <c r="I368" i="143"/>
  <c r="I370" i="143" s="1"/>
  <c r="J280" i="151"/>
  <c r="J33" i="131" s="1"/>
  <c r="J223" i="150"/>
  <c r="J224" i="150" s="1"/>
  <c r="J247" i="150"/>
  <c r="J257" i="150" s="1"/>
  <c r="J258" i="150" s="1"/>
  <c r="G112" i="189"/>
  <c r="G113" i="189"/>
  <c r="G115" i="189" s="1"/>
  <c r="J213" i="142"/>
  <c r="J121" i="142"/>
  <c r="J282" i="142" s="1"/>
  <c r="J23" i="132" s="1"/>
  <c r="J238" i="148"/>
  <c r="J272" i="148" s="1"/>
  <c r="G27" i="209"/>
  <c r="G259" i="209" s="1"/>
  <c r="G28" i="210" s="1"/>
  <c r="G67" i="211" s="1"/>
  <c r="H85" i="208"/>
  <c r="G112" i="188"/>
  <c r="G113" i="188"/>
  <c r="G115" i="188" s="1"/>
  <c r="J132" i="141"/>
  <c r="J200" i="141"/>
  <c r="J166" i="141"/>
  <c r="J54" i="137"/>
  <c r="J290" i="137"/>
  <c r="J213" i="146"/>
  <c r="J121" i="146"/>
  <c r="J282" i="146" s="1"/>
  <c r="J28" i="132" s="1"/>
  <c r="J213" i="147"/>
  <c r="J121" i="147"/>
  <c r="J282" i="147" s="1"/>
  <c r="J29" i="132" s="1"/>
  <c r="J93" i="140"/>
  <c r="J94" i="140"/>
  <c r="J93" i="145"/>
  <c r="J94" i="145"/>
  <c r="J87" i="149"/>
  <c r="J88" i="149" s="1"/>
  <c r="J112" i="149"/>
  <c r="J146" i="149"/>
  <c r="J155" i="149" s="1"/>
  <c r="J180" i="149"/>
  <c r="J179" i="138"/>
  <c r="J87" i="138"/>
  <c r="J88" i="138" s="1"/>
  <c r="J111" i="138"/>
  <c r="J145" i="138"/>
  <c r="J117" i="141"/>
  <c r="J151" i="141"/>
  <c r="J185" i="141"/>
  <c r="J171" i="142"/>
  <c r="J172" i="142" s="1"/>
  <c r="I368" i="139"/>
  <c r="I370" i="139" s="1"/>
  <c r="J53" i="139"/>
  <c r="J290" i="139" s="1"/>
  <c r="J223" i="151"/>
  <c r="J247" i="151"/>
  <c r="J257" i="151" s="1"/>
  <c r="J258" i="151" s="1"/>
  <c r="O415" i="217"/>
  <c r="G35" i="205"/>
  <c r="J54" i="134"/>
  <c r="J290" i="134"/>
  <c r="J155" i="144"/>
  <c r="J280" i="144" s="1"/>
  <c r="J26" i="131" s="1"/>
  <c r="J213" i="162"/>
  <c r="J122" i="162"/>
  <c r="G15" i="193"/>
  <c r="G44" i="193" s="1"/>
  <c r="G57" i="193" s="1"/>
  <c r="G98" i="193" s="1"/>
  <c r="I23" i="102"/>
  <c r="I85" i="128"/>
  <c r="J234" i="148"/>
  <c r="J268" i="148" s="1"/>
  <c r="J70" i="139"/>
  <c r="G114" i="195"/>
  <c r="G116" i="195" s="1"/>
  <c r="G118" i="195" s="1"/>
  <c r="G117" i="195"/>
  <c r="J188" i="140"/>
  <c r="J154" i="140"/>
  <c r="J120" i="140"/>
  <c r="J195" i="135"/>
  <c r="J103" i="135"/>
  <c r="J104" i="135" s="1"/>
  <c r="J161" i="135"/>
  <c r="J127" i="135"/>
  <c r="J137" i="135" s="1"/>
  <c r="J138" i="135" s="1"/>
  <c r="J78" i="141"/>
  <c r="J195" i="138"/>
  <c r="J161" i="138"/>
  <c r="J127" i="138"/>
  <c r="J103" i="138"/>
  <c r="J104" i="138" s="1"/>
  <c r="J189" i="147"/>
  <c r="J190" i="147" s="1"/>
  <c r="J54" i="149"/>
  <c r="J112" i="138"/>
  <c r="J180" i="138"/>
  <c r="J146" i="138"/>
  <c r="J146" i="137"/>
  <c r="J112" i="137"/>
  <c r="J180" i="137"/>
  <c r="J282" i="151"/>
  <c r="J33" i="132" s="1"/>
  <c r="J221" i="145"/>
  <c r="J255" i="145" s="1"/>
  <c r="O386" i="217"/>
  <c r="H73" i="208"/>
  <c r="G35" i="207"/>
  <c r="G15" i="209"/>
  <c r="G247" i="209" s="1"/>
  <c r="G16" i="210" s="1"/>
  <c r="G55" i="211" s="1"/>
  <c r="O576" i="217"/>
  <c r="O577" i="217"/>
  <c r="J238" i="143"/>
  <c r="J272" i="143" s="1"/>
  <c r="J229" i="144"/>
  <c r="J205" i="144"/>
  <c r="J206" i="144" s="1"/>
  <c r="J238" i="145"/>
  <c r="J272" i="145" s="1"/>
  <c r="J205" i="146"/>
  <c r="J206" i="146" s="1"/>
  <c r="J230" i="146"/>
  <c r="J264" i="146" s="1"/>
  <c r="J229" i="147"/>
  <c r="J205" i="147"/>
  <c r="J206" i="147" s="1"/>
  <c r="J168" i="141"/>
  <c r="J202" i="141"/>
  <c r="J134" i="141"/>
  <c r="J119" i="141"/>
  <c r="J153" i="141"/>
  <c r="J187" i="141"/>
  <c r="J54" i="138"/>
  <c r="J290" i="138"/>
  <c r="J93" i="143"/>
  <c r="J94" i="143"/>
  <c r="J221" i="148"/>
  <c r="J255" i="148" s="1"/>
  <c r="I367" i="139"/>
  <c r="J237" i="141"/>
  <c r="J271" i="141" s="1"/>
  <c r="J235" i="141"/>
  <c r="J269" i="141" s="1"/>
  <c r="J234" i="140"/>
  <c r="J268" i="140" s="1"/>
  <c r="J156" i="146"/>
  <c r="J156" i="150"/>
  <c r="J180" i="134"/>
  <c r="J146" i="134"/>
  <c r="J112" i="134"/>
  <c r="J152" i="140"/>
  <c r="J118" i="140"/>
  <c r="J186" i="140"/>
  <c r="G148" i="196"/>
  <c r="G141" i="196"/>
  <c r="G153" i="196" s="1"/>
  <c r="G25" i="205" s="1"/>
  <c r="G269" i="211"/>
  <c r="M80" i="218" s="1"/>
  <c r="G244" i="211"/>
  <c r="J290" i="135"/>
  <c r="J54" i="135"/>
  <c r="J77" i="148"/>
  <c r="J54" i="148"/>
  <c r="J78" i="148"/>
  <c r="J154" i="141"/>
  <c r="J188" i="141"/>
  <c r="J120" i="141"/>
  <c r="J127" i="149"/>
  <c r="J161" i="149"/>
  <c r="J195" i="149"/>
  <c r="J103" i="149"/>
  <c r="J104" i="149" s="1"/>
  <c r="J217" i="140"/>
  <c r="J251" i="140" s="1"/>
  <c r="J238" i="140"/>
  <c r="J272" i="140" s="1"/>
  <c r="J233" i="145"/>
  <c r="J267" i="145" s="1"/>
  <c r="J216" i="140"/>
  <c r="J250" i="140" s="1"/>
  <c r="J70" i="145"/>
  <c r="J218" i="145"/>
  <c r="J252" i="145" s="1"/>
  <c r="J220" i="143"/>
  <c r="J254" i="143" s="1"/>
  <c r="J137" i="162"/>
  <c r="J138" i="162" s="1"/>
  <c r="J180" i="135"/>
  <c r="J112" i="135"/>
  <c r="J146" i="135"/>
  <c r="J237" i="148"/>
  <c r="J271" i="148" s="1"/>
  <c r="J70" i="148"/>
  <c r="J231" i="139"/>
  <c r="J265" i="139" s="1"/>
  <c r="J232" i="139"/>
  <c r="J266" i="139" s="1"/>
  <c r="J170" i="141"/>
  <c r="J204" i="141"/>
  <c r="J136" i="141"/>
  <c r="O526" i="217"/>
  <c r="G156" i="199"/>
  <c r="J214" i="142"/>
  <c r="J248" i="142" s="1"/>
  <c r="J184" i="140"/>
  <c r="J150" i="140"/>
  <c r="J116" i="140"/>
  <c r="G27" i="206"/>
  <c r="H86" i="208" s="1"/>
  <c r="G106" i="198"/>
  <c r="G111" i="198" s="1"/>
  <c r="J127" i="134"/>
  <c r="J137" i="134" s="1"/>
  <c r="J138" i="134" s="1"/>
  <c r="J103" i="134"/>
  <c r="J104" i="134" s="1"/>
  <c r="J161" i="134"/>
  <c r="J195" i="134"/>
  <c r="J222" i="148"/>
  <c r="J256" i="148" s="1"/>
  <c r="J205" i="142"/>
  <c r="J206" i="142" s="1"/>
  <c r="J230" i="142"/>
  <c r="J264" i="142" s="1"/>
  <c r="J217" i="139"/>
  <c r="J251" i="139" s="1"/>
  <c r="J78" i="139"/>
  <c r="J77" i="139"/>
  <c r="J54" i="139"/>
  <c r="I351" i="140"/>
  <c r="I368" i="140"/>
  <c r="I370" i="140" s="1"/>
  <c r="J53" i="140"/>
  <c r="J145" i="136"/>
  <c r="J111" i="136"/>
  <c r="J179" i="136"/>
  <c r="J189" i="136" s="1"/>
  <c r="J190" i="136" s="1"/>
  <c r="J87" i="136"/>
  <c r="J88" i="136" s="1"/>
  <c r="J122" i="151"/>
  <c r="J221" i="143"/>
  <c r="J255" i="143" s="1"/>
  <c r="J233" i="139"/>
  <c r="J267" i="139" s="1"/>
  <c r="G14" i="206"/>
  <c r="G106" i="185"/>
  <c r="G111" i="185" s="1"/>
  <c r="J80" i="141"/>
  <c r="J281" i="150"/>
  <c r="J32" i="133" s="1"/>
  <c r="G113" i="202"/>
  <c r="G115" i="202" s="1"/>
  <c r="G112" i="202"/>
  <c r="J103" i="136"/>
  <c r="J104" i="136" s="1"/>
  <c r="J127" i="136"/>
  <c r="J137" i="136" s="1"/>
  <c r="J138" i="136" s="1"/>
  <c r="J161" i="136"/>
  <c r="J195" i="136"/>
  <c r="J156" i="142"/>
  <c r="G260" i="211"/>
  <c r="M71" i="218" s="1"/>
  <c r="G235" i="211"/>
  <c r="J217" i="86"/>
  <c r="J251" i="86" s="1"/>
  <c r="J220" i="86"/>
  <c r="J254" i="86" s="1"/>
  <c r="J290" i="86"/>
  <c r="J54" i="86"/>
  <c r="G16" i="209"/>
  <c r="G248" i="209" s="1"/>
  <c r="J213" i="86"/>
  <c r="J121" i="86"/>
  <c r="J196" i="86"/>
  <c r="J128" i="86"/>
  <c r="J162" i="86"/>
  <c r="J189" i="86"/>
  <c r="J195" i="86"/>
  <c r="J127" i="86"/>
  <c r="J103" i="86"/>
  <c r="J104" i="86" s="1"/>
  <c r="J161" i="86"/>
  <c r="G15" i="206"/>
  <c r="G106" i="186"/>
  <c r="G111" i="186" s="1"/>
  <c r="J155" i="86"/>
  <c r="J214" i="134" l="1"/>
  <c r="J248" i="134" s="1"/>
  <c r="J222" i="141"/>
  <c r="J256" i="141" s="1"/>
  <c r="J221" i="141"/>
  <c r="J255" i="141" s="1"/>
  <c r="J273" i="146"/>
  <c r="J274" i="146" s="1"/>
  <c r="J122" i="142"/>
  <c r="J230" i="135"/>
  <c r="J264" i="135" s="1"/>
  <c r="J281" i="146"/>
  <c r="J28" i="133" s="1"/>
  <c r="J239" i="146"/>
  <c r="J240" i="146" s="1"/>
  <c r="J189" i="134"/>
  <c r="J234" i="141"/>
  <c r="J268" i="141" s="1"/>
  <c r="J281" i="142"/>
  <c r="J23" i="133" s="1"/>
  <c r="G154" i="196"/>
  <c r="J279" i="151"/>
  <c r="J155" i="137"/>
  <c r="J189" i="135"/>
  <c r="J70" i="141"/>
  <c r="J137" i="138"/>
  <c r="J138" i="138" s="1"/>
  <c r="J190" i="146"/>
  <c r="J156" i="144"/>
  <c r="J122" i="146"/>
  <c r="J230" i="136"/>
  <c r="J264" i="136" s="1"/>
  <c r="J122" i="144"/>
  <c r="J214" i="86"/>
  <c r="J248" i="86" s="1"/>
  <c r="J171" i="137"/>
  <c r="J172" i="137" s="1"/>
  <c r="J215" i="141"/>
  <c r="J249" i="141" s="1"/>
  <c r="J156" i="162"/>
  <c r="G158" i="196"/>
  <c r="G25" i="207"/>
  <c r="J182" i="141"/>
  <c r="J148" i="141"/>
  <c r="J114" i="141"/>
  <c r="J121" i="136"/>
  <c r="J282" i="136" s="1"/>
  <c r="J18" i="132" s="1"/>
  <c r="J213" i="136"/>
  <c r="G112" i="198"/>
  <c r="G113" i="198"/>
  <c r="G115" i="198" s="1"/>
  <c r="J180" i="141"/>
  <c r="J112" i="141"/>
  <c r="J146" i="141"/>
  <c r="J229" i="135"/>
  <c r="J205" i="135"/>
  <c r="J206" i="135" s="1"/>
  <c r="J213" i="138"/>
  <c r="J121" i="138"/>
  <c r="J223" i="146"/>
  <c r="J279" i="146" s="1"/>
  <c r="J247" i="146"/>
  <c r="J257" i="146" s="1"/>
  <c r="J258" i="146" s="1"/>
  <c r="G114" i="191"/>
  <c r="G116" i="191" s="1"/>
  <c r="G118" i="191" s="1"/>
  <c r="G117" i="191"/>
  <c r="J116" i="141"/>
  <c r="J184" i="141"/>
  <c r="J150" i="141"/>
  <c r="I368" i="141"/>
  <c r="I370" i="141" s="1"/>
  <c r="J53" i="141"/>
  <c r="J290" i="141" s="1"/>
  <c r="J190" i="135"/>
  <c r="J122" i="136"/>
  <c r="J229" i="136"/>
  <c r="J205" i="136"/>
  <c r="G112" i="185"/>
  <c r="G113" i="185"/>
  <c r="G115" i="185" s="1"/>
  <c r="J155" i="136"/>
  <c r="J171" i="134"/>
  <c r="J172" i="134" s="1"/>
  <c r="J229" i="149"/>
  <c r="J205" i="149"/>
  <c r="J206" i="149" s="1"/>
  <c r="J179" i="148"/>
  <c r="J111" i="148"/>
  <c r="J145" i="148"/>
  <c r="J220" i="140"/>
  <c r="J254" i="140" s="1"/>
  <c r="J239" i="147"/>
  <c r="J240" i="147" s="1"/>
  <c r="J263" i="147"/>
  <c r="J273" i="147" s="1"/>
  <c r="J274" i="147" s="1"/>
  <c r="J214" i="137"/>
  <c r="J248" i="137" s="1"/>
  <c r="J214" i="138"/>
  <c r="J248" i="138" s="1"/>
  <c r="J222" i="140"/>
  <c r="J256" i="140" s="1"/>
  <c r="G105" i="193"/>
  <c r="G22" i="207" s="1"/>
  <c r="G104" i="193"/>
  <c r="G22" i="205" s="1"/>
  <c r="G36" i="205" s="1"/>
  <c r="O417" i="217" s="1"/>
  <c r="G103" i="193"/>
  <c r="J214" i="149"/>
  <c r="J248" i="149" s="1"/>
  <c r="J223" i="147"/>
  <c r="J247" i="147"/>
  <c r="J257" i="147" s="1"/>
  <c r="J258" i="147" s="1"/>
  <c r="J162" i="148"/>
  <c r="J128" i="148"/>
  <c r="J196" i="148"/>
  <c r="J155" i="135"/>
  <c r="J156" i="135" s="1"/>
  <c r="J230" i="138"/>
  <c r="J264" i="138" s="1"/>
  <c r="J190" i="162"/>
  <c r="J180" i="143"/>
  <c r="J112" i="143"/>
  <c r="J146" i="143"/>
  <c r="O524" i="217"/>
  <c r="N564" i="217"/>
  <c r="G112" i="201"/>
  <c r="G113" i="201"/>
  <c r="G115" i="201" s="1"/>
  <c r="J190" i="134"/>
  <c r="J171" i="136"/>
  <c r="J172" i="136" s="1"/>
  <c r="O444" i="217"/>
  <c r="O479" i="217" s="1"/>
  <c r="G35" i="206"/>
  <c r="J54" i="140"/>
  <c r="J290" i="140"/>
  <c r="J87" i="139"/>
  <c r="J88" i="139" s="1"/>
  <c r="J179" i="139"/>
  <c r="J145" i="139"/>
  <c r="J111" i="139"/>
  <c r="J218" i="140"/>
  <c r="J252" i="140" s="1"/>
  <c r="J238" i="141"/>
  <c r="J272" i="141" s="1"/>
  <c r="J196" i="143"/>
  <c r="J128" i="143"/>
  <c r="J162" i="143"/>
  <c r="J236" i="141"/>
  <c r="J270" i="141" s="1"/>
  <c r="J239" i="144"/>
  <c r="J240" i="144" s="1"/>
  <c r="J263" i="144"/>
  <c r="J273" i="144" s="1"/>
  <c r="J274" i="144" s="1"/>
  <c r="G253" i="211"/>
  <c r="M64" i="218" s="1"/>
  <c r="G228" i="211"/>
  <c r="J171" i="138"/>
  <c r="J172" i="138" s="1"/>
  <c r="J171" i="135"/>
  <c r="J172" i="135" s="1"/>
  <c r="J219" i="141"/>
  <c r="J253" i="141" s="1"/>
  <c r="J189" i="138"/>
  <c r="J195" i="140"/>
  <c r="J103" i="140"/>
  <c r="J104" i="140" s="1"/>
  <c r="J161" i="140"/>
  <c r="J127" i="140"/>
  <c r="G265" i="211"/>
  <c r="M76" i="218" s="1"/>
  <c r="G240" i="211"/>
  <c r="J223" i="142"/>
  <c r="J224" i="142" s="1"/>
  <c r="J247" i="142"/>
  <c r="J257" i="142" s="1"/>
  <c r="J258" i="142" s="1"/>
  <c r="J280" i="142"/>
  <c r="J23" i="131" s="1"/>
  <c r="J195" i="148"/>
  <c r="J103" i="148"/>
  <c r="J104" i="148" s="1"/>
  <c r="J161" i="148"/>
  <c r="J127" i="148"/>
  <c r="J280" i="147"/>
  <c r="J29" i="131" s="1"/>
  <c r="J171" i="149"/>
  <c r="J172" i="149" s="1"/>
  <c r="I367" i="141"/>
  <c r="G113" i="192"/>
  <c r="G115" i="192" s="1"/>
  <c r="G112" i="192"/>
  <c r="J54" i="143"/>
  <c r="J282" i="162"/>
  <c r="J24" i="132" s="1"/>
  <c r="J239" i="142"/>
  <c r="J240" i="142" s="1"/>
  <c r="J263" i="142"/>
  <c r="J273" i="142" s="1"/>
  <c r="J274" i="142" s="1"/>
  <c r="J230" i="137"/>
  <c r="J264" i="137" s="1"/>
  <c r="I351" i="141"/>
  <c r="G114" i="190"/>
  <c r="G116" i="190" s="1"/>
  <c r="G118" i="190" s="1"/>
  <c r="G117" i="190"/>
  <c r="J180" i="140"/>
  <c r="J146" i="140"/>
  <c r="J112" i="140"/>
  <c r="J217" i="141"/>
  <c r="J251" i="141" s="1"/>
  <c r="J137" i="137"/>
  <c r="J138" i="137" s="1"/>
  <c r="J162" i="139"/>
  <c r="J196" i="139"/>
  <c r="J128" i="139"/>
  <c r="J205" i="134"/>
  <c r="J206" i="134" s="1"/>
  <c r="J229" i="134"/>
  <c r="I96" i="102"/>
  <c r="I40" i="95"/>
  <c r="I65" i="95" s="1"/>
  <c r="I35" i="102"/>
  <c r="I67" i="102"/>
  <c r="J283" i="151"/>
  <c r="J294" i="151"/>
  <c r="J33" i="130"/>
  <c r="J195" i="145"/>
  <c r="J127" i="145"/>
  <c r="J161" i="145"/>
  <c r="J103" i="145"/>
  <c r="J104" i="145" s="1"/>
  <c r="G117" i="189"/>
  <c r="G114" i="189"/>
  <c r="G116" i="189" s="1"/>
  <c r="G118" i="189" s="1"/>
  <c r="G114" i="197"/>
  <c r="G116" i="197" s="1"/>
  <c r="G118" i="197" s="1"/>
  <c r="G117" i="197"/>
  <c r="J223" i="144"/>
  <c r="J279" i="144" s="1"/>
  <c r="J247" i="144"/>
  <c r="J257" i="144" s="1"/>
  <c r="J258" i="144" s="1"/>
  <c r="J155" i="134"/>
  <c r="J280" i="134" s="1"/>
  <c r="J16" i="131" s="1"/>
  <c r="G114" i="202"/>
  <c r="G116" i="202" s="1"/>
  <c r="G118" i="202" s="1"/>
  <c r="G117" i="202"/>
  <c r="J214" i="135"/>
  <c r="J248" i="135" s="1"/>
  <c r="O477" i="217"/>
  <c r="J162" i="140"/>
  <c r="J196" i="140"/>
  <c r="J128" i="140"/>
  <c r="J214" i="136"/>
  <c r="J248" i="136" s="1"/>
  <c r="J230" i="134"/>
  <c r="J264" i="134" s="1"/>
  <c r="J213" i="137"/>
  <c r="J121" i="137"/>
  <c r="J179" i="145"/>
  <c r="J145" i="145"/>
  <c r="J111" i="145"/>
  <c r="J87" i="145"/>
  <c r="J88" i="145" s="1"/>
  <c r="J156" i="149"/>
  <c r="G117" i="187"/>
  <c r="G114" i="187"/>
  <c r="G116" i="187" s="1"/>
  <c r="G118" i="187" s="1"/>
  <c r="G117" i="199"/>
  <c r="G114" i="199"/>
  <c r="G116" i="199" s="1"/>
  <c r="G118" i="199" s="1"/>
  <c r="G150" i="196"/>
  <c r="G111" i="196"/>
  <c r="J156" i="137"/>
  <c r="J180" i="139"/>
  <c r="J146" i="139"/>
  <c r="J112" i="139"/>
  <c r="J137" i="149"/>
  <c r="J138" i="149" s="1"/>
  <c r="J87" i="148"/>
  <c r="J88" i="148" s="1"/>
  <c r="J146" i="148"/>
  <c r="J180" i="148"/>
  <c r="J189" i="148" s="1"/>
  <c r="J112" i="148"/>
  <c r="J195" i="143"/>
  <c r="J229" i="143" s="1"/>
  <c r="J263" i="143" s="1"/>
  <c r="J127" i="143"/>
  <c r="J161" i="143"/>
  <c r="J103" i="143"/>
  <c r="J104" i="143" s="1"/>
  <c r="J281" i="147"/>
  <c r="J29" i="133" s="1"/>
  <c r="J205" i="138"/>
  <c r="J206" i="138" s="1"/>
  <c r="J229" i="138"/>
  <c r="J223" i="162"/>
  <c r="J247" i="162"/>
  <c r="J257" i="162" s="1"/>
  <c r="J258" i="162" s="1"/>
  <c r="J224" i="151"/>
  <c r="J155" i="138"/>
  <c r="J189" i="149"/>
  <c r="J281" i="149" s="1"/>
  <c r="J31" i="133" s="1"/>
  <c r="J128" i="145"/>
  <c r="J162" i="145"/>
  <c r="J171" i="145" s="1"/>
  <c r="J172" i="145" s="1"/>
  <c r="J196" i="145"/>
  <c r="J122" i="147"/>
  <c r="G114" i="188"/>
  <c r="G116" i="188" s="1"/>
  <c r="G118" i="188" s="1"/>
  <c r="G117" i="188"/>
  <c r="J279" i="150"/>
  <c r="G267" i="211"/>
  <c r="M78" i="218" s="1"/>
  <c r="G242" i="211"/>
  <c r="J189" i="137"/>
  <c r="J180" i="145"/>
  <c r="J189" i="145" s="1"/>
  <c r="J112" i="145"/>
  <c r="J146" i="145"/>
  <c r="J121" i="135"/>
  <c r="J213" i="135"/>
  <c r="J213" i="149"/>
  <c r="J121" i="149"/>
  <c r="J122" i="149" s="1"/>
  <c r="J230" i="149"/>
  <c r="J264" i="149" s="1"/>
  <c r="J156" i="147"/>
  <c r="J93" i="141"/>
  <c r="J94" i="141"/>
  <c r="J145" i="143"/>
  <c r="J179" i="143"/>
  <c r="J111" i="143"/>
  <c r="J87" i="143"/>
  <c r="J88" i="143" s="1"/>
  <c r="J232" i="141"/>
  <c r="J266" i="141" s="1"/>
  <c r="J239" i="162"/>
  <c r="J240" i="162" s="1"/>
  <c r="J263" i="162"/>
  <c r="J273" i="162" s="1"/>
  <c r="J274" i="162" s="1"/>
  <c r="G25" i="206"/>
  <c r="G155" i="196"/>
  <c r="G156" i="196" s="1"/>
  <c r="J77" i="141"/>
  <c r="J54" i="141"/>
  <c r="J179" i="140"/>
  <c r="J111" i="140"/>
  <c r="J87" i="140"/>
  <c r="J88" i="140" s="1"/>
  <c r="J145" i="140"/>
  <c r="J155" i="140" s="1"/>
  <c r="J205" i="137"/>
  <c r="J206" i="137" s="1"/>
  <c r="J229" i="137"/>
  <c r="J121" i="134"/>
  <c r="J282" i="134" s="1"/>
  <c r="J16" i="132" s="1"/>
  <c r="J213" i="134"/>
  <c r="J195" i="139"/>
  <c r="J161" i="139"/>
  <c r="J171" i="139" s="1"/>
  <c r="J172" i="139" s="1"/>
  <c r="J127" i="139"/>
  <c r="J103" i="139"/>
  <c r="J104" i="139" s="1"/>
  <c r="J281" i="144"/>
  <c r="J26" i="133" s="1"/>
  <c r="J171" i="86"/>
  <c r="J172" i="86" s="1"/>
  <c r="J137" i="86"/>
  <c r="J138" i="86" s="1"/>
  <c r="G113" i="186"/>
  <c r="G115" i="186" s="1"/>
  <c r="G112" i="186"/>
  <c r="J190" i="86"/>
  <c r="J156" i="86"/>
  <c r="J229" i="86"/>
  <c r="J205" i="86"/>
  <c r="J206" i="86" s="1"/>
  <c r="J122" i="86"/>
  <c r="H74" i="208"/>
  <c r="J230" i="86"/>
  <c r="J264" i="86" s="1"/>
  <c r="J223" i="86"/>
  <c r="J247" i="86"/>
  <c r="J257" i="86" s="1"/>
  <c r="J258" i="86" s="1"/>
  <c r="G17" i="210"/>
  <c r="G56" i="211" s="1"/>
  <c r="J214" i="148" l="1"/>
  <c r="J248" i="148" s="1"/>
  <c r="J280" i="137"/>
  <c r="J19" i="131" s="1"/>
  <c r="J281" i="137"/>
  <c r="J19" i="133" s="1"/>
  <c r="J171" i="143"/>
  <c r="J172" i="143" s="1"/>
  <c r="J279" i="162"/>
  <c r="J279" i="147"/>
  <c r="J230" i="145"/>
  <c r="J264" i="145" s="1"/>
  <c r="I68" i="102"/>
  <c r="J294" i="147"/>
  <c r="J29" i="130"/>
  <c r="J283" i="147"/>
  <c r="J282" i="138"/>
  <c r="J20" i="132" s="1"/>
  <c r="J122" i="138"/>
  <c r="H84" i="208"/>
  <c r="G26" i="209"/>
  <c r="G258" i="209" s="1"/>
  <c r="G27" i="210" s="1"/>
  <c r="G66" i="211" s="1"/>
  <c r="J137" i="139"/>
  <c r="J138" i="139" s="1"/>
  <c r="J128" i="141"/>
  <c r="J196" i="141"/>
  <c r="J162" i="141"/>
  <c r="J122" i="135"/>
  <c r="J282" i="135"/>
  <c r="J17" i="132" s="1"/>
  <c r="J239" i="138"/>
  <c r="J240" i="138" s="1"/>
  <c r="J263" i="138"/>
  <c r="J273" i="138" s="1"/>
  <c r="J274" i="138" s="1"/>
  <c r="J190" i="145"/>
  <c r="J229" i="145"/>
  <c r="J205" i="145"/>
  <c r="J206" i="145" s="1"/>
  <c r="J230" i="139"/>
  <c r="J264" i="139" s="1"/>
  <c r="J214" i="140"/>
  <c r="J248" i="140" s="1"/>
  <c r="J137" i="143"/>
  <c r="J138" i="143" s="1"/>
  <c r="J213" i="139"/>
  <c r="J121" i="139"/>
  <c r="J122" i="139" s="1"/>
  <c r="G114" i="201"/>
  <c r="G116" i="201" s="1"/>
  <c r="G118" i="201" s="1"/>
  <c r="G117" i="201"/>
  <c r="J214" i="143"/>
  <c r="J248" i="143" s="1"/>
  <c r="J171" i="148"/>
  <c r="J172" i="148" s="1"/>
  <c r="J213" i="148"/>
  <c r="J121" i="148"/>
  <c r="J122" i="148" s="1"/>
  <c r="J206" i="136"/>
  <c r="J281" i="136"/>
  <c r="J18" i="133" s="1"/>
  <c r="J223" i="138"/>
  <c r="J247" i="138"/>
  <c r="J257" i="138" s="1"/>
  <c r="J258" i="138" s="1"/>
  <c r="J214" i="141"/>
  <c r="J248" i="141" s="1"/>
  <c r="J223" i="136"/>
  <c r="J247" i="136"/>
  <c r="J257" i="136" s="1"/>
  <c r="J258" i="136" s="1"/>
  <c r="J247" i="134"/>
  <c r="J257" i="134" s="1"/>
  <c r="J258" i="134" s="1"/>
  <c r="J223" i="134"/>
  <c r="J247" i="135"/>
  <c r="J257" i="135" s="1"/>
  <c r="J258" i="135" s="1"/>
  <c r="J223" i="135"/>
  <c r="J294" i="162"/>
  <c r="J283" i="162"/>
  <c r="J24" i="130"/>
  <c r="J137" i="148"/>
  <c r="J138" i="148" s="1"/>
  <c r="G23" i="209"/>
  <c r="G255" i="209" s="1"/>
  <c r="G36" i="207"/>
  <c r="G114" i="185"/>
  <c r="G117" i="185"/>
  <c r="G114" i="198"/>
  <c r="G116" i="198" s="1"/>
  <c r="G118" i="198" s="1"/>
  <c r="G117" i="198"/>
  <c r="J263" i="137"/>
  <c r="J273" i="137" s="1"/>
  <c r="J274" i="137" s="1"/>
  <c r="J239" i="137"/>
  <c r="J240" i="137" s="1"/>
  <c r="J213" i="140"/>
  <c r="J121" i="140"/>
  <c r="J87" i="141"/>
  <c r="J88" i="141" s="1"/>
  <c r="J179" i="141"/>
  <c r="J111" i="141"/>
  <c r="J145" i="141"/>
  <c r="J213" i="143"/>
  <c r="J121" i="143"/>
  <c r="J282" i="143" s="1"/>
  <c r="J25" i="132" s="1"/>
  <c r="J122" i="143"/>
  <c r="J195" i="141"/>
  <c r="J127" i="141"/>
  <c r="J161" i="141"/>
  <c r="J103" i="141"/>
  <c r="J104" i="141" s="1"/>
  <c r="J282" i="149"/>
  <c r="J31" i="132" s="1"/>
  <c r="J155" i="145"/>
  <c r="J280" i="145" s="1"/>
  <c r="J27" i="131" s="1"/>
  <c r="J137" i="145"/>
  <c r="J138" i="145" s="1"/>
  <c r="J214" i="139"/>
  <c r="J248" i="139" s="1"/>
  <c r="G112" i="196"/>
  <c r="G113" i="196"/>
  <c r="G115" i="196" s="1"/>
  <c r="J282" i="137"/>
  <c r="J19" i="132" s="1"/>
  <c r="J122" i="137"/>
  <c r="O473" i="217"/>
  <c r="J224" i="144"/>
  <c r="J190" i="149"/>
  <c r="J280" i="149"/>
  <c r="J31" i="131" s="1"/>
  <c r="J239" i="134"/>
  <c r="J240" i="134" s="1"/>
  <c r="J263" i="134"/>
  <c r="J273" i="134" s="1"/>
  <c r="J274" i="134" s="1"/>
  <c r="G114" i="192"/>
  <c r="G116" i="192" s="1"/>
  <c r="G118" i="192" s="1"/>
  <c r="G117" i="192"/>
  <c r="J137" i="140"/>
  <c r="J138" i="140" s="1"/>
  <c r="J205" i="140"/>
  <c r="J206" i="140" s="1"/>
  <c r="J229" i="140"/>
  <c r="J205" i="143"/>
  <c r="J206" i="143" s="1"/>
  <c r="J230" i="143"/>
  <c r="J264" i="143" s="1"/>
  <c r="J273" i="143" s="1"/>
  <c r="J274" i="143" s="1"/>
  <c r="J155" i="139"/>
  <c r="J280" i="139" s="1"/>
  <c r="J21" i="131" s="1"/>
  <c r="J280" i="135"/>
  <c r="J17" i="131" s="1"/>
  <c r="G22" i="206"/>
  <c r="G106" i="193"/>
  <c r="G111" i="193" s="1"/>
  <c r="J190" i="148"/>
  <c r="J156" i="136"/>
  <c r="J280" i="136"/>
  <c r="J18" i="131" s="1"/>
  <c r="J239" i="136"/>
  <c r="J240" i="136" s="1"/>
  <c r="J263" i="136"/>
  <c r="J273" i="136" s="1"/>
  <c r="J274" i="136" s="1"/>
  <c r="J218" i="141"/>
  <c r="J252" i="141" s="1"/>
  <c r="J224" i="146"/>
  <c r="J281" i="135"/>
  <c r="J17" i="133" s="1"/>
  <c r="J190" i="137"/>
  <c r="J156" i="140"/>
  <c r="J155" i="143"/>
  <c r="J280" i="143" s="1"/>
  <c r="J25" i="131" s="1"/>
  <c r="J281" i="145"/>
  <c r="J27" i="133" s="1"/>
  <c r="J32" i="130"/>
  <c r="J283" i="150"/>
  <c r="J294" i="150"/>
  <c r="J280" i="138"/>
  <c r="J20" i="131" s="1"/>
  <c r="J156" i="138"/>
  <c r="J239" i="143"/>
  <c r="J240" i="143" s="1"/>
  <c r="J296" i="151"/>
  <c r="J371" i="151"/>
  <c r="J239" i="149"/>
  <c r="J240" i="149" s="1"/>
  <c r="J263" i="149"/>
  <c r="J273" i="149" s="1"/>
  <c r="J274" i="149" s="1"/>
  <c r="J205" i="139"/>
  <c r="J206" i="139" s="1"/>
  <c r="J229" i="139"/>
  <c r="J189" i="140"/>
  <c r="J189" i="143"/>
  <c r="J281" i="143" s="1"/>
  <c r="J25" i="133" s="1"/>
  <c r="J223" i="149"/>
  <c r="J224" i="149" s="1"/>
  <c r="J247" i="149"/>
  <c r="J257" i="149" s="1"/>
  <c r="J258" i="149" s="1"/>
  <c r="J214" i="145"/>
  <c r="J248" i="145" s="1"/>
  <c r="J224" i="162"/>
  <c r="J155" i="148"/>
  <c r="J280" i="148" s="1"/>
  <c r="J30" i="131" s="1"/>
  <c r="J213" i="145"/>
  <c r="J121" i="145"/>
  <c r="J122" i="145" s="1"/>
  <c r="J247" i="137"/>
  <c r="J257" i="137" s="1"/>
  <c r="J258" i="137" s="1"/>
  <c r="J223" i="137"/>
  <c r="J230" i="140"/>
  <c r="J264" i="140" s="1"/>
  <c r="J156" i="134"/>
  <c r="J26" i="130"/>
  <c r="J294" i="144"/>
  <c r="J283" i="144"/>
  <c r="O330" i="217"/>
  <c r="I52" i="95"/>
  <c r="I38" i="102"/>
  <c r="I108" i="102"/>
  <c r="J229" i="148"/>
  <c r="J205" i="148"/>
  <c r="J206" i="148" s="1"/>
  <c r="J279" i="142"/>
  <c r="J171" i="140"/>
  <c r="J172" i="140" s="1"/>
  <c r="J190" i="138"/>
  <c r="J281" i="138"/>
  <c r="J20" i="133" s="1"/>
  <c r="J189" i="139"/>
  <c r="J281" i="139" s="1"/>
  <c r="J21" i="133" s="1"/>
  <c r="O585" i="217"/>
  <c r="O584" i="217"/>
  <c r="O587" i="217"/>
  <c r="O586" i="217"/>
  <c r="O583" i="217"/>
  <c r="O530" i="217"/>
  <c r="J230" i="148"/>
  <c r="J264" i="148" s="1"/>
  <c r="J224" i="147"/>
  <c r="G116" i="185"/>
  <c r="G118" i="185" s="1"/>
  <c r="J122" i="134"/>
  <c r="J283" i="146"/>
  <c r="J294" i="146"/>
  <c r="J28" i="130"/>
  <c r="J239" i="135"/>
  <c r="J240" i="135" s="1"/>
  <c r="J263" i="135"/>
  <c r="J273" i="135" s="1"/>
  <c r="J274" i="135" s="1"/>
  <c r="J216" i="141"/>
  <c r="J250" i="141" s="1"/>
  <c r="J281" i="134"/>
  <c r="J16" i="133" s="1"/>
  <c r="G37" i="205"/>
  <c r="J282" i="86"/>
  <c r="J15" i="132" s="1"/>
  <c r="J280" i="86"/>
  <c r="G229" i="211"/>
  <c r="G254" i="211"/>
  <c r="J281" i="86"/>
  <c r="J15" i="133" s="1"/>
  <c r="G117" i="186"/>
  <c r="G114" i="186"/>
  <c r="G116" i="186" s="1"/>
  <c r="G118" i="186" s="1"/>
  <c r="J224" i="86"/>
  <c r="J239" i="86"/>
  <c r="J240" i="86" s="1"/>
  <c r="J263" i="86"/>
  <c r="J273" i="86" s="1"/>
  <c r="J274" i="86" s="1"/>
  <c r="J15" i="131"/>
  <c r="J279" i="134" l="1"/>
  <c r="J16" i="130" s="1"/>
  <c r="J282" i="140"/>
  <c r="J122" i="140"/>
  <c r="J296" i="147"/>
  <c r="J371" i="147"/>
  <c r="O588" i="217"/>
  <c r="J239" i="148"/>
  <c r="J240" i="148" s="1"/>
  <c r="J263" i="148"/>
  <c r="J273" i="148" s="1"/>
  <c r="J274" i="148" s="1"/>
  <c r="O622" i="217"/>
  <c r="O626" i="217" s="1"/>
  <c r="O359" i="217"/>
  <c r="J279" i="149"/>
  <c r="J263" i="139"/>
  <c r="J273" i="139" s="1"/>
  <c r="J274" i="139" s="1"/>
  <c r="J239" i="139"/>
  <c r="J240" i="139" s="1"/>
  <c r="H81" i="208"/>
  <c r="G36" i="206"/>
  <c r="G117" i="196"/>
  <c r="G114" i="196"/>
  <c r="G116" i="196" s="1"/>
  <c r="G118" i="196" s="1"/>
  <c r="J213" i="141"/>
  <c r="J121" i="141"/>
  <c r="J223" i="140"/>
  <c r="J247" i="140"/>
  <c r="J257" i="140" s="1"/>
  <c r="J258" i="140" s="1"/>
  <c r="G24" i="210"/>
  <c r="G63" i="211" s="1"/>
  <c r="G267" i="209"/>
  <c r="G36" i="210" s="1"/>
  <c r="G75" i="211" s="1"/>
  <c r="J296" i="162"/>
  <c r="J371" i="162"/>
  <c r="J282" i="139"/>
  <c r="J21" i="132" s="1"/>
  <c r="J171" i="141"/>
  <c r="J172" i="141" s="1"/>
  <c r="G264" i="211"/>
  <c r="M75" i="218" s="1"/>
  <c r="G239" i="211"/>
  <c r="J156" i="148"/>
  <c r="J281" i="140"/>
  <c r="J14" i="133" s="1"/>
  <c r="P211" i="217" s="1"/>
  <c r="J190" i="140"/>
  <c r="J155" i="141"/>
  <c r="J156" i="141" s="1"/>
  <c r="J283" i="134"/>
  <c r="J296" i="146"/>
  <c r="J371" i="146"/>
  <c r="J190" i="139"/>
  <c r="J282" i="145"/>
  <c r="J27" i="132" s="1"/>
  <c r="J190" i="143"/>
  <c r="J312" i="151"/>
  <c r="J349" i="151" s="1"/>
  <c r="K52" i="151" s="1"/>
  <c r="J326" i="151"/>
  <c r="J363" i="151" s="1"/>
  <c r="K66" i="151" s="1"/>
  <c r="J303" i="151"/>
  <c r="J321" i="151"/>
  <c r="J358" i="151" s="1"/>
  <c r="K61" i="151" s="1"/>
  <c r="J324" i="151"/>
  <c r="J361" i="151" s="1"/>
  <c r="K64" i="151" s="1"/>
  <c r="K98" i="151" s="1"/>
  <c r="J305" i="151"/>
  <c r="J342" i="151" s="1"/>
  <c r="K45" i="151" s="1"/>
  <c r="J323" i="151"/>
  <c r="J360" i="151" s="1"/>
  <c r="K63" i="151" s="1"/>
  <c r="J329" i="151"/>
  <c r="J313" i="151"/>
  <c r="J332" i="151" s="1"/>
  <c r="J319" i="151"/>
  <c r="J307" i="151"/>
  <c r="J344" i="151" s="1"/>
  <c r="K47" i="151" s="1"/>
  <c r="J328" i="151"/>
  <c r="J365" i="151" s="1"/>
  <c r="K68" i="151" s="1"/>
  <c r="J327" i="151"/>
  <c r="J364" i="151" s="1"/>
  <c r="K67" i="151" s="1"/>
  <c r="J308" i="151"/>
  <c r="J345" i="151" s="1"/>
  <c r="K48" i="151" s="1"/>
  <c r="K82" i="151" s="1"/>
  <c r="J322" i="151"/>
  <c r="J359" i="151" s="1"/>
  <c r="K62" i="151" s="1"/>
  <c r="K96" i="151" s="1"/>
  <c r="J34" i="128"/>
  <c r="J84" i="128" s="1"/>
  <c r="J310" i="151"/>
  <c r="J347" i="151" s="1"/>
  <c r="K50" i="151" s="1"/>
  <c r="J320" i="151"/>
  <c r="J357" i="151" s="1"/>
  <c r="K60" i="151" s="1"/>
  <c r="J304" i="151"/>
  <c r="J341" i="151" s="1"/>
  <c r="K44" i="151" s="1"/>
  <c r="J311" i="151"/>
  <c r="J348" i="151" s="1"/>
  <c r="K51" i="151" s="1"/>
  <c r="J306" i="151"/>
  <c r="J343" i="151" s="1"/>
  <c r="K46" i="151" s="1"/>
  <c r="J331" i="151"/>
  <c r="J325" i="151"/>
  <c r="J362" i="151" s="1"/>
  <c r="K65" i="151" s="1"/>
  <c r="K99" i="151" s="1"/>
  <c r="J309" i="151"/>
  <c r="J346" i="151" s="1"/>
  <c r="K49" i="151" s="1"/>
  <c r="J280" i="140"/>
  <c r="J14" i="131" s="1"/>
  <c r="P152" i="217" s="1"/>
  <c r="P181" i="217" s="1"/>
  <c r="J223" i="143"/>
  <c r="J279" i="143" s="1"/>
  <c r="J247" i="143"/>
  <c r="J257" i="143" s="1"/>
  <c r="J258" i="143" s="1"/>
  <c r="J189" i="141"/>
  <c r="J190" i="141" s="1"/>
  <c r="J279" i="135"/>
  <c r="J224" i="138"/>
  <c r="J279" i="138"/>
  <c r="J282" i="148"/>
  <c r="J30" i="132" s="1"/>
  <c r="J223" i="139"/>
  <c r="J279" i="139" s="1"/>
  <c r="J247" i="139"/>
  <c r="J257" i="139" s="1"/>
  <c r="J258" i="139" s="1"/>
  <c r="J224" i="139"/>
  <c r="J205" i="141"/>
  <c r="J206" i="141" s="1"/>
  <c r="J230" i="141"/>
  <c r="J264" i="141" s="1"/>
  <c r="J224" i="134"/>
  <c r="AH35" i="95"/>
  <c r="I77" i="95"/>
  <c r="G112" i="193"/>
  <c r="G113" i="193"/>
  <c r="G115" i="193" s="1"/>
  <c r="G37" i="207"/>
  <c r="O388" i="217"/>
  <c r="J283" i="142"/>
  <c r="J23" i="130"/>
  <c r="J294" i="142"/>
  <c r="J296" i="144"/>
  <c r="J371" i="144"/>
  <c r="J224" i="137"/>
  <c r="J279" i="137"/>
  <c r="J223" i="145"/>
  <c r="J224" i="145" s="1"/>
  <c r="J247" i="145"/>
  <c r="J257" i="145" s="1"/>
  <c r="J258" i="145" s="1"/>
  <c r="J156" i="145"/>
  <c r="J296" i="150"/>
  <c r="J371" i="150"/>
  <c r="J156" i="143"/>
  <c r="J156" i="139"/>
  <c r="J239" i="140"/>
  <c r="J240" i="140" s="1"/>
  <c r="J263" i="140"/>
  <c r="J273" i="140" s="1"/>
  <c r="J274" i="140" s="1"/>
  <c r="J281" i="148"/>
  <c r="J30" i="133" s="1"/>
  <c r="J229" i="141"/>
  <c r="J279" i="136"/>
  <c r="J224" i="136"/>
  <c r="J223" i="148"/>
  <c r="J247" i="148"/>
  <c r="J257" i="148" s="1"/>
  <c r="J258" i="148" s="1"/>
  <c r="J239" i="145"/>
  <c r="J240" i="145" s="1"/>
  <c r="J263" i="145"/>
  <c r="J273" i="145" s="1"/>
  <c r="J274" i="145" s="1"/>
  <c r="J137" i="141"/>
  <c r="J138" i="141" s="1"/>
  <c r="J224" i="135"/>
  <c r="M65" i="218"/>
  <c r="J279" i="86"/>
  <c r="K85" i="151" l="1"/>
  <c r="J294" i="134"/>
  <c r="J282" i="141"/>
  <c r="J22" i="132" s="1"/>
  <c r="K79" i="151"/>
  <c r="K100" i="151"/>
  <c r="K134" i="151" s="1"/>
  <c r="J280" i="141"/>
  <c r="J22" i="131" s="1"/>
  <c r="O481" i="217"/>
  <c r="K202" i="151"/>
  <c r="O446" i="217"/>
  <c r="O483" i="217" s="1"/>
  <c r="G37" i="206"/>
  <c r="H93" i="208" s="1"/>
  <c r="J283" i="136"/>
  <c r="J294" i="136"/>
  <c r="J18" i="130"/>
  <c r="J32" i="128"/>
  <c r="J82" i="128" s="1"/>
  <c r="J313" i="150"/>
  <c r="J323" i="150"/>
  <c r="J360" i="150" s="1"/>
  <c r="K63" i="150" s="1"/>
  <c r="J304" i="150"/>
  <c r="J341" i="150" s="1"/>
  <c r="K44" i="150" s="1"/>
  <c r="J311" i="150"/>
  <c r="J348" i="150" s="1"/>
  <c r="K51" i="150" s="1"/>
  <c r="J325" i="150"/>
  <c r="J362" i="150" s="1"/>
  <c r="K65" i="150" s="1"/>
  <c r="J324" i="150"/>
  <c r="J361" i="150" s="1"/>
  <c r="K64" i="150" s="1"/>
  <c r="K98" i="150" s="1"/>
  <c r="J312" i="150"/>
  <c r="J349" i="150" s="1"/>
  <c r="K52" i="150" s="1"/>
  <c r="J303" i="150"/>
  <c r="J320" i="150"/>
  <c r="J357" i="150" s="1"/>
  <c r="K60" i="150" s="1"/>
  <c r="J308" i="150"/>
  <c r="J345" i="150" s="1"/>
  <c r="K48" i="150" s="1"/>
  <c r="J329" i="150"/>
  <c r="J328" i="150"/>
  <c r="J365" i="150" s="1"/>
  <c r="K68" i="150" s="1"/>
  <c r="J309" i="150"/>
  <c r="J346" i="150" s="1"/>
  <c r="K49" i="150" s="1"/>
  <c r="J319" i="150"/>
  <c r="J331" i="150"/>
  <c r="J307" i="150"/>
  <c r="J344" i="150" s="1"/>
  <c r="K47" i="150" s="1"/>
  <c r="J321" i="150"/>
  <c r="J358" i="150" s="1"/>
  <c r="K61" i="150" s="1"/>
  <c r="K95" i="150" s="1"/>
  <c r="J305" i="150"/>
  <c r="J342" i="150" s="1"/>
  <c r="K45" i="150" s="1"/>
  <c r="K79" i="150" s="1"/>
  <c r="J326" i="150"/>
  <c r="J363" i="150" s="1"/>
  <c r="K66" i="150" s="1"/>
  <c r="K100" i="150" s="1"/>
  <c r="J310" i="150"/>
  <c r="J347" i="150" s="1"/>
  <c r="K50" i="150" s="1"/>
  <c r="K84" i="150" s="1"/>
  <c r="J327" i="150"/>
  <c r="J364" i="150" s="1"/>
  <c r="K67" i="150" s="1"/>
  <c r="K101" i="150" s="1"/>
  <c r="J322" i="150"/>
  <c r="J359" i="150" s="1"/>
  <c r="K62" i="150" s="1"/>
  <c r="K96" i="150" s="1"/>
  <c r="J306" i="150"/>
  <c r="J343" i="150" s="1"/>
  <c r="K46" i="150" s="1"/>
  <c r="J279" i="145"/>
  <c r="J324" i="144"/>
  <c r="J361" i="144" s="1"/>
  <c r="K64" i="144" s="1"/>
  <c r="J305" i="144"/>
  <c r="J342" i="144" s="1"/>
  <c r="K45" i="144" s="1"/>
  <c r="J312" i="144"/>
  <c r="J349" i="144" s="1"/>
  <c r="K52" i="144" s="1"/>
  <c r="J322" i="144"/>
  <c r="J359" i="144" s="1"/>
  <c r="K62" i="144" s="1"/>
  <c r="J329" i="144"/>
  <c r="J306" i="144"/>
  <c r="J343" i="144" s="1"/>
  <c r="K46" i="144" s="1"/>
  <c r="K80" i="144" s="1"/>
  <c r="J331" i="144"/>
  <c r="J323" i="144"/>
  <c r="J360" i="144" s="1"/>
  <c r="K63" i="144" s="1"/>
  <c r="K97" i="144" s="1"/>
  <c r="J307" i="144"/>
  <c r="J344" i="144" s="1"/>
  <c r="K47" i="144" s="1"/>
  <c r="J328" i="144"/>
  <c r="J365" i="144" s="1"/>
  <c r="K68" i="144" s="1"/>
  <c r="K102" i="144" s="1"/>
  <c r="J319" i="144"/>
  <c r="J303" i="144"/>
  <c r="J26" i="128"/>
  <c r="J76" i="128" s="1"/>
  <c r="J320" i="144"/>
  <c r="J357" i="144" s="1"/>
  <c r="K60" i="144" s="1"/>
  <c r="J327" i="144"/>
  <c r="J364" i="144" s="1"/>
  <c r="K67" i="144" s="1"/>
  <c r="J308" i="144"/>
  <c r="J345" i="144" s="1"/>
  <c r="K48" i="144" s="1"/>
  <c r="K82" i="144" s="1"/>
  <c r="J311" i="144"/>
  <c r="J348" i="144" s="1"/>
  <c r="K51" i="144" s="1"/>
  <c r="J325" i="144"/>
  <c r="J362" i="144" s="1"/>
  <c r="K65" i="144" s="1"/>
  <c r="K99" i="144" s="1"/>
  <c r="J313" i="144"/>
  <c r="J332" i="144" s="1"/>
  <c r="J333" i="144" s="1"/>
  <c r="J304" i="144"/>
  <c r="J341" i="144" s="1"/>
  <c r="K44" i="144" s="1"/>
  <c r="J321" i="144"/>
  <c r="J358" i="144" s="1"/>
  <c r="K61" i="144" s="1"/>
  <c r="J309" i="144"/>
  <c r="J346" i="144" s="1"/>
  <c r="K49" i="144" s="1"/>
  <c r="J326" i="144"/>
  <c r="J363" i="144" s="1"/>
  <c r="K66" i="144" s="1"/>
  <c r="J310" i="144"/>
  <c r="J347" i="144" s="1"/>
  <c r="K50" i="144" s="1"/>
  <c r="J294" i="138"/>
  <c r="J283" i="138"/>
  <c r="J20" i="130"/>
  <c r="J281" i="141"/>
  <c r="J22" i="133" s="1"/>
  <c r="J34" i="133" s="1"/>
  <c r="P213" i="217" s="1"/>
  <c r="K80" i="151"/>
  <c r="K84" i="151"/>
  <c r="K101" i="151"/>
  <c r="J333" i="151"/>
  <c r="K166" i="151"/>
  <c r="K200" i="151"/>
  <c r="K132" i="151"/>
  <c r="K86" i="151"/>
  <c r="J223" i="141"/>
  <c r="J224" i="141" s="1"/>
  <c r="J247" i="141"/>
  <c r="J257" i="141" s="1"/>
  <c r="J258" i="141" s="1"/>
  <c r="J325" i="147"/>
  <c r="J362" i="147" s="1"/>
  <c r="K65" i="147" s="1"/>
  <c r="J328" i="147"/>
  <c r="J365" i="147" s="1"/>
  <c r="K68" i="147" s="1"/>
  <c r="J309" i="147"/>
  <c r="J346" i="147" s="1"/>
  <c r="K49" i="147" s="1"/>
  <c r="J319" i="147"/>
  <c r="J331" i="147"/>
  <c r="J307" i="147"/>
  <c r="J344" i="147" s="1"/>
  <c r="K47" i="147" s="1"/>
  <c r="J29" i="128"/>
  <c r="J79" i="128" s="1"/>
  <c r="J322" i="147"/>
  <c r="J359" i="147" s="1"/>
  <c r="K62" i="147" s="1"/>
  <c r="J313" i="147"/>
  <c r="J311" i="147"/>
  <c r="J348" i="147" s="1"/>
  <c r="K51" i="147" s="1"/>
  <c r="K85" i="147" s="1"/>
  <c r="J321" i="147"/>
  <c r="J358" i="147" s="1"/>
  <c r="K61" i="147" s="1"/>
  <c r="J324" i="147"/>
  <c r="J361" i="147" s="1"/>
  <c r="K64" i="147" s="1"/>
  <c r="J305" i="147"/>
  <c r="J342" i="147" s="1"/>
  <c r="K45" i="147" s="1"/>
  <c r="J312" i="147"/>
  <c r="J349" i="147" s="1"/>
  <c r="K52" i="147" s="1"/>
  <c r="K86" i="147" s="1"/>
  <c r="J326" i="147"/>
  <c r="J363" i="147" s="1"/>
  <c r="K66" i="147" s="1"/>
  <c r="K100" i="147" s="1"/>
  <c r="J303" i="147"/>
  <c r="J310" i="147"/>
  <c r="J347" i="147" s="1"/>
  <c r="K50" i="147" s="1"/>
  <c r="K84" i="147" s="1"/>
  <c r="J327" i="147"/>
  <c r="J364" i="147" s="1"/>
  <c r="K67" i="147" s="1"/>
  <c r="K101" i="147" s="1"/>
  <c r="J329" i="147"/>
  <c r="J323" i="147"/>
  <c r="J360" i="147" s="1"/>
  <c r="K63" i="147" s="1"/>
  <c r="K97" i="147" s="1"/>
  <c r="J320" i="147"/>
  <c r="J357" i="147" s="1"/>
  <c r="K60" i="147" s="1"/>
  <c r="J308" i="147"/>
  <c r="J345" i="147" s="1"/>
  <c r="K48" i="147" s="1"/>
  <c r="K82" i="147" s="1"/>
  <c r="J306" i="147"/>
  <c r="J343" i="147" s="1"/>
  <c r="K46" i="147" s="1"/>
  <c r="K80" i="147" s="1"/>
  <c r="J304" i="147"/>
  <c r="J341" i="147" s="1"/>
  <c r="K44" i="147" s="1"/>
  <c r="K150" i="151"/>
  <c r="K116" i="151"/>
  <c r="K218" i="151" s="1"/>
  <c r="K252" i="151" s="1"/>
  <c r="K184" i="151"/>
  <c r="J356" i="151"/>
  <c r="J330" i="151"/>
  <c r="G236" i="211"/>
  <c r="G248" i="211" s="1"/>
  <c r="G261" i="211"/>
  <c r="J283" i="149"/>
  <c r="J294" i="149"/>
  <c r="J31" i="130"/>
  <c r="J279" i="148"/>
  <c r="J239" i="141"/>
  <c r="J240" i="141" s="1"/>
  <c r="J263" i="141"/>
  <c r="J273" i="141" s="1"/>
  <c r="J274" i="141" s="1"/>
  <c r="J19" i="130"/>
  <c r="J283" i="137"/>
  <c r="J294" i="137"/>
  <c r="J296" i="142"/>
  <c r="J371" i="142"/>
  <c r="K83" i="151"/>
  <c r="K119" i="151"/>
  <c r="K153" i="151"/>
  <c r="K187" i="151"/>
  <c r="H15" i="204"/>
  <c r="H44" i="204" s="1"/>
  <c r="H57" i="204" s="1"/>
  <c r="H98" i="204" s="1"/>
  <c r="J34" i="102"/>
  <c r="K102" i="151"/>
  <c r="K95" i="151"/>
  <c r="J28" i="128"/>
  <c r="J78" i="128" s="1"/>
  <c r="J311" i="146"/>
  <c r="J348" i="146" s="1"/>
  <c r="K51" i="146" s="1"/>
  <c r="J325" i="146"/>
  <c r="J362" i="146" s="1"/>
  <c r="K65" i="146" s="1"/>
  <c r="J328" i="146"/>
  <c r="J365" i="146" s="1"/>
  <c r="K68" i="146" s="1"/>
  <c r="J309" i="146"/>
  <c r="J346" i="146" s="1"/>
  <c r="K49" i="146" s="1"/>
  <c r="J319" i="146"/>
  <c r="J303" i="146"/>
  <c r="J310" i="146"/>
  <c r="J347" i="146" s="1"/>
  <c r="K50" i="146" s="1"/>
  <c r="J327" i="146"/>
  <c r="J364" i="146" s="1"/>
  <c r="K67" i="146" s="1"/>
  <c r="J322" i="146"/>
  <c r="J359" i="146" s="1"/>
  <c r="K62" i="146" s="1"/>
  <c r="J306" i="146"/>
  <c r="J343" i="146" s="1"/>
  <c r="K46" i="146" s="1"/>
  <c r="J323" i="146"/>
  <c r="J360" i="146" s="1"/>
  <c r="K63" i="146" s="1"/>
  <c r="J331" i="146"/>
  <c r="J307" i="146"/>
  <c r="J344" i="146" s="1"/>
  <c r="K47" i="146" s="1"/>
  <c r="K81" i="146" s="1"/>
  <c r="J321" i="146"/>
  <c r="J358" i="146" s="1"/>
  <c r="K61" i="146" s="1"/>
  <c r="J324" i="146"/>
  <c r="J361" i="146" s="1"/>
  <c r="K64" i="146" s="1"/>
  <c r="K98" i="146" s="1"/>
  <c r="J305" i="146"/>
  <c r="J342" i="146" s="1"/>
  <c r="K45" i="146" s="1"/>
  <c r="J312" i="146"/>
  <c r="J349" i="146" s="1"/>
  <c r="K52" i="146" s="1"/>
  <c r="K86" i="146" s="1"/>
  <c r="J326" i="146"/>
  <c r="J363" i="146" s="1"/>
  <c r="K66" i="146" s="1"/>
  <c r="K100" i="146" s="1"/>
  <c r="J320" i="146"/>
  <c r="J357" i="146" s="1"/>
  <c r="K60" i="146" s="1"/>
  <c r="J308" i="146"/>
  <c r="J345" i="146" s="1"/>
  <c r="K48" i="146" s="1"/>
  <c r="J329" i="146"/>
  <c r="J313" i="146"/>
  <c r="J304" i="146"/>
  <c r="J341" i="146" s="1"/>
  <c r="K44" i="146" s="1"/>
  <c r="J323" i="162"/>
  <c r="J360" i="162" s="1"/>
  <c r="K63" i="162" s="1"/>
  <c r="K97" i="162" s="1"/>
  <c r="J304" i="162"/>
  <c r="J341" i="162" s="1"/>
  <c r="K44" i="162" s="1"/>
  <c r="J322" i="162"/>
  <c r="J359" i="162" s="1"/>
  <c r="K62" i="162" s="1"/>
  <c r="J321" i="162"/>
  <c r="J358" i="162" s="1"/>
  <c r="K61" i="162" s="1"/>
  <c r="J324" i="162"/>
  <c r="J361" i="162" s="1"/>
  <c r="K64" i="162" s="1"/>
  <c r="K98" i="162" s="1"/>
  <c r="J305" i="162"/>
  <c r="J342" i="162" s="1"/>
  <c r="K45" i="162" s="1"/>
  <c r="K79" i="162" s="1"/>
  <c r="J331" i="162"/>
  <c r="J327" i="162"/>
  <c r="J364" i="162" s="1"/>
  <c r="K67" i="162" s="1"/>
  <c r="J306" i="162"/>
  <c r="J343" i="162" s="1"/>
  <c r="K46" i="162" s="1"/>
  <c r="J326" i="162"/>
  <c r="J363" i="162" s="1"/>
  <c r="K66" i="162" s="1"/>
  <c r="J308" i="162"/>
  <c r="J345" i="162" s="1"/>
  <c r="K48" i="162" s="1"/>
  <c r="J303" i="162"/>
  <c r="J309" i="162"/>
  <c r="J346" i="162" s="1"/>
  <c r="K49" i="162" s="1"/>
  <c r="K83" i="162" s="1"/>
  <c r="J24" i="128"/>
  <c r="J74" i="128" s="1"/>
  <c r="J319" i="162"/>
  <c r="J329" i="162"/>
  <c r="J311" i="162"/>
  <c r="J348" i="162" s="1"/>
  <c r="K51" i="162" s="1"/>
  <c r="J310" i="162"/>
  <c r="J347" i="162" s="1"/>
  <c r="K50" i="162" s="1"/>
  <c r="J320" i="162"/>
  <c r="J357" i="162" s="1"/>
  <c r="K60" i="162" s="1"/>
  <c r="J312" i="162"/>
  <c r="J349" i="162" s="1"/>
  <c r="K52" i="162" s="1"/>
  <c r="J307" i="162"/>
  <c r="J344" i="162" s="1"/>
  <c r="K47" i="162" s="1"/>
  <c r="K81" i="162" s="1"/>
  <c r="J313" i="162"/>
  <c r="J332" i="162" s="1"/>
  <c r="J333" i="162" s="1"/>
  <c r="J325" i="162"/>
  <c r="J362" i="162" s="1"/>
  <c r="K65" i="162" s="1"/>
  <c r="J328" i="162"/>
  <c r="J365" i="162" s="1"/>
  <c r="K68" i="162" s="1"/>
  <c r="K102" i="162" s="1"/>
  <c r="J279" i="140"/>
  <c r="J224" i="140"/>
  <c r="J294" i="143"/>
  <c r="J25" i="130"/>
  <c r="J283" i="143"/>
  <c r="K147" i="151"/>
  <c r="K181" i="151"/>
  <c r="K113" i="151"/>
  <c r="J224" i="148"/>
  <c r="G114" i="193"/>
  <c r="G116" i="193" s="1"/>
  <c r="G118" i="193" s="1"/>
  <c r="G117" i="193"/>
  <c r="J21" i="130"/>
  <c r="J294" i="139"/>
  <c r="J283" i="139"/>
  <c r="J294" i="135"/>
  <c r="J17" i="130"/>
  <c r="J283" i="135"/>
  <c r="J224" i="143"/>
  <c r="K167" i="151"/>
  <c r="K133" i="151"/>
  <c r="K201" i="151"/>
  <c r="K130" i="151"/>
  <c r="K164" i="151"/>
  <c r="K198" i="151"/>
  <c r="K81" i="151"/>
  <c r="K97" i="151"/>
  <c r="J340" i="151"/>
  <c r="J314" i="151"/>
  <c r="P240" i="217"/>
  <c r="J122" i="141"/>
  <c r="J34" i="131"/>
  <c r="P154" i="217" s="1"/>
  <c r="P183" i="217" s="1"/>
  <c r="J14" i="132"/>
  <c r="J283" i="140"/>
  <c r="J15" i="130"/>
  <c r="J294" i="86"/>
  <c r="J283" i="86"/>
  <c r="K168" i="151" l="1"/>
  <c r="K84" i="146"/>
  <c r="K99" i="162"/>
  <c r="J296" i="134"/>
  <c r="J371" i="134"/>
  <c r="J331" i="134"/>
  <c r="K84" i="162"/>
  <c r="K86" i="162"/>
  <c r="K100" i="162"/>
  <c r="K96" i="146"/>
  <c r="K85" i="146"/>
  <c r="K221" i="151"/>
  <c r="K255" i="151" s="1"/>
  <c r="K96" i="147"/>
  <c r="K95" i="162"/>
  <c r="K102" i="146"/>
  <c r="K81" i="147"/>
  <c r="K84" i="144"/>
  <c r="K96" i="144"/>
  <c r="K81" i="150"/>
  <c r="K102" i="150"/>
  <c r="K134" i="162"/>
  <c r="K202" i="162"/>
  <c r="K168" i="162"/>
  <c r="K188" i="146"/>
  <c r="K120" i="146"/>
  <c r="K154" i="146"/>
  <c r="K119" i="146"/>
  <c r="K153" i="146"/>
  <c r="K187" i="146"/>
  <c r="J296" i="137"/>
  <c r="J331" i="137"/>
  <c r="J371" i="137"/>
  <c r="K198" i="147"/>
  <c r="K164" i="147"/>
  <c r="K130" i="147"/>
  <c r="K116" i="144"/>
  <c r="K184" i="144"/>
  <c r="K150" i="144"/>
  <c r="J340" i="144"/>
  <c r="J314" i="144"/>
  <c r="K118" i="150"/>
  <c r="K152" i="150"/>
  <c r="K186" i="150"/>
  <c r="K85" i="150"/>
  <c r="K232" i="151"/>
  <c r="K266" i="151" s="1"/>
  <c r="K235" i="151"/>
  <c r="K269" i="151" s="1"/>
  <c r="J371" i="139"/>
  <c r="J296" i="139"/>
  <c r="J331" i="139"/>
  <c r="J14" i="130"/>
  <c r="J12" i="130" s="1"/>
  <c r="J294" i="140"/>
  <c r="K149" i="162"/>
  <c r="K183" i="162"/>
  <c r="K115" i="162"/>
  <c r="K85" i="162"/>
  <c r="K185" i="162"/>
  <c r="K117" i="162"/>
  <c r="K151" i="162"/>
  <c r="K80" i="162"/>
  <c r="K166" i="162"/>
  <c r="K200" i="162"/>
  <c r="K132" i="162"/>
  <c r="K199" i="162"/>
  <c r="K131" i="162"/>
  <c r="K165" i="162"/>
  <c r="K82" i="146"/>
  <c r="K79" i="146"/>
  <c r="K101" i="146"/>
  <c r="K83" i="146"/>
  <c r="J29" i="102"/>
  <c r="H15" i="199"/>
  <c r="H44" i="199" s="1"/>
  <c r="H57" i="199" s="1"/>
  <c r="H98" i="199" s="1"/>
  <c r="H103" i="204"/>
  <c r="H104" i="204"/>
  <c r="H33" i="205" s="1"/>
  <c r="H105" i="204"/>
  <c r="H33" i="207" s="1"/>
  <c r="H34" i="209" s="1"/>
  <c r="H266" i="209" s="1"/>
  <c r="H35" i="210" s="1"/>
  <c r="H74" i="211" s="1"/>
  <c r="K185" i="151"/>
  <c r="K117" i="151"/>
  <c r="K151" i="151"/>
  <c r="J294" i="148"/>
  <c r="J30" i="130"/>
  <c r="J283" i="148"/>
  <c r="M72" i="218"/>
  <c r="G273" i="211"/>
  <c r="K148" i="147"/>
  <c r="K114" i="147"/>
  <c r="K182" i="147"/>
  <c r="K202" i="147"/>
  <c r="K236" i="147" s="1"/>
  <c r="K270" i="147" s="1"/>
  <c r="K134" i="147"/>
  <c r="K168" i="147"/>
  <c r="K95" i="147"/>
  <c r="H15" i="200"/>
  <c r="H44" i="200" s="1"/>
  <c r="H57" i="200" s="1"/>
  <c r="H98" i="200" s="1"/>
  <c r="J30" i="102"/>
  <c r="K83" i="147"/>
  <c r="K234" i="151"/>
  <c r="K268" i="151" s="1"/>
  <c r="K118" i="151"/>
  <c r="K220" i="151" s="1"/>
  <c r="K254" i="151" s="1"/>
  <c r="K152" i="151"/>
  <c r="K186" i="151"/>
  <c r="K100" i="144"/>
  <c r="K101" i="144"/>
  <c r="J356" i="144"/>
  <c r="J330" i="144"/>
  <c r="K86" i="144"/>
  <c r="K80" i="150"/>
  <c r="K202" i="150"/>
  <c r="K134" i="150"/>
  <c r="K168" i="150"/>
  <c r="K86" i="150"/>
  <c r="P88" i="217"/>
  <c r="J34" i="132"/>
  <c r="P90" i="217" s="1"/>
  <c r="P121" i="217" s="1"/>
  <c r="K152" i="162"/>
  <c r="K186" i="162"/>
  <c r="K118" i="162"/>
  <c r="K113" i="162"/>
  <c r="K181" i="162"/>
  <c r="K147" i="162"/>
  <c r="K198" i="146"/>
  <c r="K130" i="146"/>
  <c r="K164" i="146"/>
  <c r="J107" i="102"/>
  <c r="J51" i="95"/>
  <c r="J76" i="95" s="1"/>
  <c r="K59" i="151"/>
  <c r="J366" i="151"/>
  <c r="K69" i="151" s="1"/>
  <c r="K98" i="147"/>
  <c r="J356" i="147"/>
  <c r="J330" i="147"/>
  <c r="K135" i="151"/>
  <c r="K169" i="151"/>
  <c r="K203" i="151"/>
  <c r="K131" i="144"/>
  <c r="K165" i="144"/>
  <c r="K199" i="144"/>
  <c r="J294" i="145"/>
  <c r="J27" i="130"/>
  <c r="J283" i="145"/>
  <c r="K136" i="150"/>
  <c r="K170" i="150"/>
  <c r="K204" i="150"/>
  <c r="K43" i="151"/>
  <c r="J350" i="151"/>
  <c r="J351" i="151" s="1"/>
  <c r="K215" i="151"/>
  <c r="K249" i="151" s="1"/>
  <c r="K204" i="162"/>
  <c r="K170" i="162"/>
  <c r="K136" i="162"/>
  <c r="K188" i="162"/>
  <c r="K120" i="162"/>
  <c r="K154" i="162"/>
  <c r="J340" i="162"/>
  <c r="J314" i="162"/>
  <c r="K101" i="162"/>
  <c r="K197" i="162"/>
  <c r="K163" i="162"/>
  <c r="K129" i="162"/>
  <c r="K166" i="146"/>
  <c r="K132" i="146"/>
  <c r="K200" i="146"/>
  <c r="K97" i="146"/>
  <c r="K186" i="146"/>
  <c r="K152" i="146"/>
  <c r="K118" i="146"/>
  <c r="K170" i="146"/>
  <c r="K204" i="146"/>
  <c r="K136" i="146"/>
  <c r="K197" i="151"/>
  <c r="K129" i="151"/>
  <c r="K163" i="151"/>
  <c r="K184" i="147"/>
  <c r="K150" i="147"/>
  <c r="K116" i="147"/>
  <c r="K169" i="147"/>
  <c r="K135" i="147"/>
  <c r="K203" i="147"/>
  <c r="K154" i="147"/>
  <c r="K188" i="147"/>
  <c r="K120" i="147"/>
  <c r="K187" i="147"/>
  <c r="K119" i="147"/>
  <c r="K153" i="147"/>
  <c r="K149" i="147"/>
  <c r="K115" i="147"/>
  <c r="K217" i="147" s="1"/>
  <c r="K251" i="147" s="1"/>
  <c r="K183" i="147"/>
  <c r="K102" i="147"/>
  <c r="J279" i="141"/>
  <c r="K182" i="151"/>
  <c r="K114" i="151"/>
  <c r="K148" i="151"/>
  <c r="J371" i="138"/>
  <c r="J331" i="138"/>
  <c r="J296" i="138"/>
  <c r="K83" i="144"/>
  <c r="K201" i="144"/>
  <c r="K133" i="144"/>
  <c r="K167" i="144"/>
  <c r="K136" i="144"/>
  <c r="K170" i="144"/>
  <c r="K204" i="144"/>
  <c r="K114" i="144"/>
  <c r="K216" i="144" s="1"/>
  <c r="K250" i="144" s="1"/>
  <c r="K182" i="144"/>
  <c r="K148" i="144"/>
  <c r="K79" i="144"/>
  <c r="K198" i="150"/>
  <c r="K232" i="150" s="1"/>
  <c r="K266" i="150" s="1"/>
  <c r="K164" i="150"/>
  <c r="K130" i="150"/>
  <c r="K147" i="150"/>
  <c r="K113" i="150"/>
  <c r="K181" i="150"/>
  <c r="J356" i="150"/>
  <c r="J330" i="150"/>
  <c r="K82" i="150"/>
  <c r="K200" i="150"/>
  <c r="K166" i="150"/>
  <c r="K132" i="150"/>
  <c r="K97" i="150"/>
  <c r="J296" i="136"/>
  <c r="J371" i="136"/>
  <c r="J331" i="136"/>
  <c r="K236" i="151"/>
  <c r="K270" i="151" s="1"/>
  <c r="K183" i="151"/>
  <c r="K115" i="151"/>
  <c r="K149" i="151"/>
  <c r="J25" i="102"/>
  <c r="H15" i="195"/>
  <c r="H44" i="195" s="1"/>
  <c r="H57" i="195" s="1"/>
  <c r="H98" i="195" s="1"/>
  <c r="K183" i="146"/>
  <c r="K115" i="146"/>
  <c r="K149" i="146"/>
  <c r="J356" i="146"/>
  <c r="J330" i="146"/>
  <c r="K131" i="147"/>
  <c r="K165" i="147"/>
  <c r="K199" i="147"/>
  <c r="J340" i="147"/>
  <c r="J314" i="147"/>
  <c r="K118" i="144"/>
  <c r="K186" i="144"/>
  <c r="K152" i="144"/>
  <c r="K198" i="144"/>
  <c r="K164" i="144"/>
  <c r="K130" i="144"/>
  <c r="K149" i="150"/>
  <c r="K115" i="150"/>
  <c r="K217" i="150" s="1"/>
  <c r="K251" i="150" s="1"/>
  <c r="K183" i="150"/>
  <c r="J340" i="150"/>
  <c r="J314" i="150"/>
  <c r="J33" i="102"/>
  <c r="H15" i="203"/>
  <c r="H44" i="203" s="1"/>
  <c r="H57" i="203" s="1"/>
  <c r="H98" i="203" s="1"/>
  <c r="K199" i="151"/>
  <c r="K165" i="151"/>
  <c r="K131" i="151"/>
  <c r="J296" i="135"/>
  <c r="J371" i="135"/>
  <c r="J331" i="135"/>
  <c r="J296" i="143"/>
  <c r="J371" i="143"/>
  <c r="K201" i="162"/>
  <c r="K167" i="162"/>
  <c r="K133" i="162"/>
  <c r="J356" i="162"/>
  <c r="J330" i="162"/>
  <c r="K82" i="162"/>
  <c r="K96" i="162"/>
  <c r="J332" i="146"/>
  <c r="J333" i="146" s="1"/>
  <c r="K168" i="146"/>
  <c r="K202" i="146"/>
  <c r="K134" i="146"/>
  <c r="K95" i="146"/>
  <c r="K80" i="146"/>
  <c r="J340" i="146"/>
  <c r="J314" i="146"/>
  <c r="K99" i="146"/>
  <c r="K136" i="151"/>
  <c r="K204" i="151"/>
  <c r="K170" i="151"/>
  <c r="J321" i="142"/>
  <c r="J358" i="142" s="1"/>
  <c r="K61" i="142" s="1"/>
  <c r="J324" i="142"/>
  <c r="J361" i="142" s="1"/>
  <c r="K64" i="142" s="1"/>
  <c r="J305" i="142"/>
  <c r="J342" i="142" s="1"/>
  <c r="K45" i="142" s="1"/>
  <c r="J312" i="142"/>
  <c r="J349" i="142" s="1"/>
  <c r="K52" i="142" s="1"/>
  <c r="J326" i="142"/>
  <c r="J363" i="142" s="1"/>
  <c r="K66" i="142" s="1"/>
  <c r="J303" i="142"/>
  <c r="J306" i="142"/>
  <c r="J343" i="142" s="1"/>
  <c r="K46" i="142" s="1"/>
  <c r="K80" i="142" s="1"/>
  <c r="J304" i="142"/>
  <c r="J341" i="142" s="1"/>
  <c r="K44" i="142" s="1"/>
  <c r="J325" i="142"/>
  <c r="J362" i="142" s="1"/>
  <c r="K65" i="142" s="1"/>
  <c r="K99" i="142" s="1"/>
  <c r="J309" i="142"/>
  <c r="J346" i="142" s="1"/>
  <c r="K49" i="142" s="1"/>
  <c r="J331" i="142"/>
  <c r="J23" i="128"/>
  <c r="J73" i="128" s="1"/>
  <c r="J310" i="142"/>
  <c r="J347" i="142" s="1"/>
  <c r="K50" i="142" s="1"/>
  <c r="K84" i="142" s="1"/>
  <c r="J320" i="142"/>
  <c r="J357" i="142" s="1"/>
  <c r="K60" i="142" s="1"/>
  <c r="J327" i="142"/>
  <c r="J364" i="142" s="1"/>
  <c r="K67" i="142" s="1"/>
  <c r="J308" i="142"/>
  <c r="J345" i="142" s="1"/>
  <c r="K48" i="142" s="1"/>
  <c r="J322" i="142"/>
  <c r="J359" i="142" s="1"/>
  <c r="K62" i="142" s="1"/>
  <c r="K96" i="142" s="1"/>
  <c r="J329" i="142"/>
  <c r="J313" i="142"/>
  <c r="J332" i="142" s="1"/>
  <c r="J333" i="142" s="1"/>
  <c r="J323" i="142"/>
  <c r="J360" i="142" s="1"/>
  <c r="K63" i="142" s="1"/>
  <c r="J311" i="142"/>
  <c r="J348" i="142" s="1"/>
  <c r="K51" i="142" s="1"/>
  <c r="K85" i="142" s="1"/>
  <c r="J328" i="142"/>
  <c r="J365" i="142" s="1"/>
  <c r="K68" i="142" s="1"/>
  <c r="J319" i="142"/>
  <c r="J307" i="142"/>
  <c r="J344" i="142" s="1"/>
  <c r="K47" i="142" s="1"/>
  <c r="J371" i="149"/>
  <c r="J296" i="149"/>
  <c r="K152" i="147"/>
  <c r="K186" i="147"/>
  <c r="K118" i="147"/>
  <c r="K79" i="147"/>
  <c r="J332" i="147"/>
  <c r="J333" i="147" s="1"/>
  <c r="K99" i="147"/>
  <c r="K188" i="151"/>
  <c r="K154" i="151"/>
  <c r="K120" i="151"/>
  <c r="P272" i="217"/>
  <c r="P242" i="217"/>
  <c r="K95" i="144"/>
  <c r="K85" i="144"/>
  <c r="H15" i="197"/>
  <c r="H44" i="197" s="1"/>
  <c r="H57" i="197" s="1"/>
  <c r="H98" i="197" s="1"/>
  <c r="J27" i="102"/>
  <c r="K81" i="144"/>
  <c r="K98" i="144"/>
  <c r="K169" i="150"/>
  <c r="K203" i="150"/>
  <c r="K135" i="150"/>
  <c r="K197" i="150"/>
  <c r="K163" i="150"/>
  <c r="K129" i="150"/>
  <c r="K83" i="150"/>
  <c r="K99" i="150"/>
  <c r="J332" i="150"/>
  <c r="J333" i="150" s="1"/>
  <c r="O475" i="217"/>
  <c r="J296" i="86"/>
  <c r="J371" i="86"/>
  <c r="J331" i="86"/>
  <c r="K217" i="162" l="1"/>
  <c r="K251" i="162" s="1"/>
  <c r="K236" i="162"/>
  <c r="K270" i="162" s="1"/>
  <c r="K101" i="142"/>
  <c r="J319" i="134"/>
  <c r="J326" i="134"/>
  <c r="J363" i="134" s="1"/>
  <c r="K66" i="134" s="1"/>
  <c r="J303" i="134"/>
  <c r="J306" i="134"/>
  <c r="J343" i="134" s="1"/>
  <c r="K46" i="134" s="1"/>
  <c r="J309" i="134"/>
  <c r="J346" i="134" s="1"/>
  <c r="K49" i="134" s="1"/>
  <c r="J307" i="134"/>
  <c r="J344" i="134" s="1"/>
  <c r="K47" i="134" s="1"/>
  <c r="K81" i="134" s="1"/>
  <c r="J16" i="128"/>
  <c r="J66" i="128" s="1"/>
  <c r="J312" i="134"/>
  <c r="J349" i="134" s="1"/>
  <c r="K52" i="134" s="1"/>
  <c r="J322" i="134"/>
  <c r="J359" i="134" s="1"/>
  <c r="K62" i="134" s="1"/>
  <c r="J325" i="134"/>
  <c r="J362" i="134" s="1"/>
  <c r="K65" i="134" s="1"/>
  <c r="J328" i="134"/>
  <c r="J365" i="134" s="1"/>
  <c r="K68" i="134" s="1"/>
  <c r="J305" i="134"/>
  <c r="J342" i="134" s="1"/>
  <c r="K45" i="134" s="1"/>
  <c r="J323" i="134"/>
  <c r="J360" i="134" s="1"/>
  <c r="K63" i="134" s="1"/>
  <c r="K97" i="134" s="1"/>
  <c r="J310" i="134"/>
  <c r="J347" i="134" s="1"/>
  <c r="K50" i="134" s="1"/>
  <c r="K84" i="134" s="1"/>
  <c r="J327" i="134"/>
  <c r="J364" i="134" s="1"/>
  <c r="K67" i="134" s="1"/>
  <c r="K101" i="134" s="1"/>
  <c r="J308" i="134"/>
  <c r="J345" i="134" s="1"/>
  <c r="K48" i="134" s="1"/>
  <c r="K82" i="134" s="1"/>
  <c r="J311" i="134"/>
  <c r="J348" i="134" s="1"/>
  <c r="K51" i="134" s="1"/>
  <c r="J321" i="134"/>
  <c r="J358" i="134" s="1"/>
  <c r="K61" i="134" s="1"/>
  <c r="K95" i="134" s="1"/>
  <c r="J324" i="134"/>
  <c r="J361" i="134" s="1"/>
  <c r="K64" i="134" s="1"/>
  <c r="K98" i="134" s="1"/>
  <c r="J304" i="134"/>
  <c r="J341" i="134" s="1"/>
  <c r="K44" i="134" s="1"/>
  <c r="J320" i="134"/>
  <c r="J357" i="134" s="1"/>
  <c r="K60" i="134" s="1"/>
  <c r="K238" i="151"/>
  <c r="K272" i="151" s="1"/>
  <c r="K236" i="146"/>
  <c r="K270" i="146" s="1"/>
  <c r="K217" i="151"/>
  <c r="K251" i="151" s="1"/>
  <c r="K215" i="150"/>
  <c r="K249" i="150" s="1"/>
  <c r="K232" i="147"/>
  <c r="K266" i="147" s="1"/>
  <c r="K95" i="142"/>
  <c r="K216" i="147"/>
  <c r="K250" i="147" s="1"/>
  <c r="K232" i="144"/>
  <c r="K266" i="144" s="1"/>
  <c r="K217" i="146"/>
  <c r="K251" i="146" s="1"/>
  <c r="K79" i="142"/>
  <c r="K238" i="146"/>
  <c r="K272" i="146" s="1"/>
  <c r="K222" i="162"/>
  <c r="K256" i="162" s="1"/>
  <c r="K70" i="151"/>
  <c r="K183" i="144"/>
  <c r="K149" i="144"/>
  <c r="K115" i="144"/>
  <c r="K113" i="147"/>
  <c r="K147" i="147"/>
  <c r="K181" i="147"/>
  <c r="J356" i="142"/>
  <c r="J330" i="142"/>
  <c r="K182" i="142"/>
  <c r="K114" i="142"/>
  <c r="K148" i="142"/>
  <c r="J296" i="145"/>
  <c r="J371" i="145"/>
  <c r="K154" i="150"/>
  <c r="K188" i="150"/>
  <c r="K120" i="150"/>
  <c r="K182" i="150"/>
  <c r="K148" i="150"/>
  <c r="K114" i="150"/>
  <c r="K169" i="144"/>
  <c r="K135" i="144"/>
  <c r="K203" i="144"/>
  <c r="K150" i="134"/>
  <c r="K231" i="150"/>
  <c r="K265" i="150" s="1"/>
  <c r="K237" i="150"/>
  <c r="K271" i="150" s="1"/>
  <c r="J100" i="102"/>
  <c r="J44" i="95"/>
  <c r="J69" i="95" s="1"/>
  <c r="K220" i="147"/>
  <c r="K254" i="147" s="1"/>
  <c r="J319" i="149"/>
  <c r="J331" i="149"/>
  <c r="J307" i="149"/>
  <c r="J344" i="149" s="1"/>
  <c r="K47" i="149" s="1"/>
  <c r="J321" i="149"/>
  <c r="J358" i="149" s="1"/>
  <c r="K61" i="149" s="1"/>
  <c r="J324" i="149"/>
  <c r="J361" i="149" s="1"/>
  <c r="K64" i="149" s="1"/>
  <c r="J305" i="149"/>
  <c r="J342" i="149" s="1"/>
  <c r="K45" i="149" s="1"/>
  <c r="J308" i="149"/>
  <c r="J345" i="149" s="1"/>
  <c r="K48" i="149" s="1"/>
  <c r="K82" i="149" s="1"/>
  <c r="J313" i="149"/>
  <c r="J31" i="128"/>
  <c r="J81" i="128" s="1"/>
  <c r="J312" i="149"/>
  <c r="J349" i="149" s="1"/>
  <c r="K52" i="149" s="1"/>
  <c r="J326" i="149"/>
  <c r="J363" i="149" s="1"/>
  <c r="K66" i="149" s="1"/>
  <c r="J303" i="149"/>
  <c r="J310" i="149"/>
  <c r="J347" i="149" s="1"/>
  <c r="K50" i="149" s="1"/>
  <c r="J320" i="149"/>
  <c r="J357" i="149" s="1"/>
  <c r="K60" i="149" s="1"/>
  <c r="J327" i="149"/>
  <c r="J364" i="149" s="1"/>
  <c r="K67" i="149" s="1"/>
  <c r="K101" i="149" s="1"/>
  <c r="J322" i="149"/>
  <c r="J359" i="149" s="1"/>
  <c r="K62" i="149" s="1"/>
  <c r="K96" i="149" s="1"/>
  <c r="J329" i="149"/>
  <c r="J306" i="149"/>
  <c r="J343" i="149" s="1"/>
  <c r="K46" i="149" s="1"/>
  <c r="K80" i="149" s="1"/>
  <c r="J323" i="149"/>
  <c r="J360" i="149" s="1"/>
  <c r="K63" i="149" s="1"/>
  <c r="J304" i="149"/>
  <c r="J341" i="149" s="1"/>
  <c r="K44" i="149" s="1"/>
  <c r="J311" i="149"/>
  <c r="J348" i="149" s="1"/>
  <c r="K51" i="149" s="1"/>
  <c r="K85" i="149" s="1"/>
  <c r="J325" i="149"/>
  <c r="J362" i="149" s="1"/>
  <c r="K65" i="149" s="1"/>
  <c r="J328" i="149"/>
  <c r="J365" i="149" s="1"/>
  <c r="K68" i="149" s="1"/>
  <c r="K102" i="149" s="1"/>
  <c r="J309" i="149"/>
  <c r="J346" i="149" s="1"/>
  <c r="K49" i="149" s="1"/>
  <c r="K102" i="142"/>
  <c r="K83" i="142"/>
  <c r="J340" i="142"/>
  <c r="J314" i="142"/>
  <c r="K98" i="142"/>
  <c r="K148" i="146"/>
  <c r="K182" i="146"/>
  <c r="K114" i="146"/>
  <c r="J350" i="147"/>
  <c r="K43" i="147"/>
  <c r="K181" i="144"/>
  <c r="K147" i="144"/>
  <c r="K113" i="144"/>
  <c r="K238" i="144"/>
  <c r="K272" i="144" s="1"/>
  <c r="J321" i="138"/>
  <c r="J358" i="138" s="1"/>
  <c r="K61" i="138" s="1"/>
  <c r="J324" i="138"/>
  <c r="J361" i="138" s="1"/>
  <c r="K64" i="138" s="1"/>
  <c r="J327" i="138"/>
  <c r="J364" i="138" s="1"/>
  <c r="K67" i="138" s="1"/>
  <c r="J308" i="138"/>
  <c r="J345" i="138" s="1"/>
  <c r="K48" i="138" s="1"/>
  <c r="J311" i="138"/>
  <c r="J348" i="138" s="1"/>
  <c r="K51" i="138" s="1"/>
  <c r="J325" i="138"/>
  <c r="J362" i="138" s="1"/>
  <c r="K65" i="138" s="1"/>
  <c r="K99" i="138" s="1"/>
  <c r="J312" i="138"/>
  <c r="J349" i="138" s="1"/>
  <c r="K52" i="138" s="1"/>
  <c r="J310" i="138"/>
  <c r="J347" i="138" s="1"/>
  <c r="K50" i="138" s="1"/>
  <c r="J320" i="138"/>
  <c r="J357" i="138" s="1"/>
  <c r="K60" i="138" s="1"/>
  <c r="J323" i="138"/>
  <c r="J360" i="138" s="1"/>
  <c r="K63" i="138" s="1"/>
  <c r="J304" i="138"/>
  <c r="J341" i="138" s="1"/>
  <c r="K44" i="138" s="1"/>
  <c r="J307" i="138"/>
  <c r="J344" i="138" s="1"/>
  <c r="K47" i="138" s="1"/>
  <c r="J305" i="138"/>
  <c r="J342" i="138" s="1"/>
  <c r="K45" i="138" s="1"/>
  <c r="J20" i="128"/>
  <c r="J70" i="128" s="1"/>
  <c r="J306" i="138"/>
  <c r="J343" i="138" s="1"/>
  <c r="K46" i="138" s="1"/>
  <c r="J309" i="138"/>
  <c r="J346" i="138" s="1"/>
  <c r="K49" i="138" s="1"/>
  <c r="K83" i="138" s="1"/>
  <c r="K151" i="138" s="1"/>
  <c r="J319" i="138"/>
  <c r="J326" i="138"/>
  <c r="J363" i="138" s="1"/>
  <c r="K66" i="138" s="1"/>
  <c r="K100" i="138" s="1"/>
  <c r="J303" i="138"/>
  <c r="J328" i="138"/>
  <c r="J365" i="138" s="1"/>
  <c r="K68" i="138" s="1"/>
  <c r="J322" i="138"/>
  <c r="J359" i="138" s="1"/>
  <c r="K62" i="138" s="1"/>
  <c r="K96" i="138" s="1"/>
  <c r="K216" i="151"/>
  <c r="K250" i="151" s="1"/>
  <c r="K221" i="147"/>
  <c r="K255" i="147" s="1"/>
  <c r="K218" i="147"/>
  <c r="K252" i="147" s="1"/>
  <c r="K199" i="146"/>
  <c r="K131" i="146"/>
  <c r="K165" i="146"/>
  <c r="K231" i="162"/>
  <c r="K265" i="162" s="1"/>
  <c r="J368" i="151"/>
  <c r="J370" i="151" s="1"/>
  <c r="K53" i="151"/>
  <c r="K290" i="151" s="1"/>
  <c r="K233" i="144"/>
  <c r="K267" i="144" s="1"/>
  <c r="K237" i="151"/>
  <c r="K271" i="151" s="1"/>
  <c r="K59" i="147"/>
  <c r="J366" i="147"/>
  <c r="K69" i="147" s="1"/>
  <c r="K93" i="151"/>
  <c r="K94" i="151"/>
  <c r="K215" i="162"/>
  <c r="K249" i="162" s="1"/>
  <c r="K120" i="144"/>
  <c r="K154" i="144"/>
  <c r="K188" i="144"/>
  <c r="K202" i="144"/>
  <c r="K168" i="144"/>
  <c r="K134" i="144"/>
  <c r="K197" i="147"/>
  <c r="K163" i="147"/>
  <c r="K129" i="147"/>
  <c r="M85" i="218"/>
  <c r="M86" i="218"/>
  <c r="K219" i="151"/>
  <c r="K253" i="151" s="1"/>
  <c r="K185" i="146"/>
  <c r="K117" i="146"/>
  <c r="K151" i="146"/>
  <c r="K234" i="162"/>
  <c r="K268" i="162" s="1"/>
  <c r="K219" i="162"/>
  <c r="K253" i="162" s="1"/>
  <c r="K221" i="146"/>
  <c r="K255" i="146" s="1"/>
  <c r="K185" i="150"/>
  <c r="K151" i="150"/>
  <c r="K117" i="150"/>
  <c r="K129" i="144"/>
  <c r="K197" i="144"/>
  <c r="K163" i="144"/>
  <c r="K135" i="142"/>
  <c r="K169" i="142"/>
  <c r="K203" i="142"/>
  <c r="K150" i="162"/>
  <c r="K184" i="162"/>
  <c r="K116" i="162"/>
  <c r="J50" i="95"/>
  <c r="J75" i="95" s="1"/>
  <c r="J106" i="102"/>
  <c r="K131" i="150"/>
  <c r="K165" i="150"/>
  <c r="K199" i="150"/>
  <c r="K43" i="162"/>
  <c r="J350" i="162"/>
  <c r="H104" i="200"/>
  <c r="H29" i="205" s="1"/>
  <c r="H105" i="200"/>
  <c r="H29" i="207" s="1"/>
  <c r="H30" i="209" s="1"/>
  <c r="H262" i="209" s="1"/>
  <c r="H31" i="210" s="1"/>
  <c r="H70" i="211" s="1"/>
  <c r="H103" i="200"/>
  <c r="J371" i="148"/>
  <c r="J296" i="148"/>
  <c r="J46" i="95"/>
  <c r="J71" i="95" s="1"/>
  <c r="J102" i="102"/>
  <c r="K201" i="150"/>
  <c r="K167" i="150"/>
  <c r="K133" i="150"/>
  <c r="H104" i="197"/>
  <c r="H105" i="197"/>
  <c r="H149" i="197" s="1"/>
  <c r="H103" i="197"/>
  <c r="P624" i="217"/>
  <c r="P301" i="217"/>
  <c r="K167" i="147"/>
  <c r="K201" i="147"/>
  <c r="K133" i="147"/>
  <c r="K187" i="142"/>
  <c r="K153" i="142"/>
  <c r="K119" i="142"/>
  <c r="K198" i="142"/>
  <c r="K164" i="142"/>
  <c r="K130" i="142"/>
  <c r="K118" i="142"/>
  <c r="K152" i="142"/>
  <c r="K186" i="142"/>
  <c r="K167" i="142"/>
  <c r="K201" i="142"/>
  <c r="K133" i="142"/>
  <c r="K100" i="142"/>
  <c r="K163" i="142"/>
  <c r="K197" i="142"/>
  <c r="K129" i="142"/>
  <c r="K201" i="146"/>
  <c r="K167" i="146"/>
  <c r="K133" i="146"/>
  <c r="K197" i="146"/>
  <c r="K231" i="146" s="1"/>
  <c r="K265" i="146" s="1"/>
  <c r="K129" i="146"/>
  <c r="K163" i="146"/>
  <c r="J366" i="162"/>
  <c r="K69" i="162" s="1"/>
  <c r="K59" i="162"/>
  <c r="K235" i="162"/>
  <c r="K269" i="162" s="1"/>
  <c r="K233" i="151"/>
  <c r="K267" i="151" s="1"/>
  <c r="K43" i="150"/>
  <c r="J350" i="150"/>
  <c r="J351" i="150" s="1"/>
  <c r="K233" i="147"/>
  <c r="K267" i="147" s="1"/>
  <c r="J366" i="146"/>
  <c r="K69" i="146" s="1"/>
  <c r="K59" i="146"/>
  <c r="J366" i="150"/>
  <c r="K69" i="150" s="1"/>
  <c r="K59" i="150"/>
  <c r="K237" i="147"/>
  <c r="K271" i="147" s="1"/>
  <c r="K231" i="151"/>
  <c r="K265" i="151" s="1"/>
  <c r="K220" i="146"/>
  <c r="K254" i="146" s="1"/>
  <c r="K234" i="146"/>
  <c r="K268" i="146" s="1"/>
  <c r="K135" i="162"/>
  <c r="K203" i="162"/>
  <c r="K169" i="162"/>
  <c r="K238" i="162"/>
  <c r="K272" i="162" s="1"/>
  <c r="K77" i="151"/>
  <c r="K54" i="151"/>
  <c r="K78" i="151"/>
  <c r="K132" i="147"/>
  <c r="K166" i="147"/>
  <c r="K200" i="147"/>
  <c r="K232" i="146"/>
  <c r="K266" i="146" s="1"/>
  <c r="K220" i="162"/>
  <c r="K254" i="162" s="1"/>
  <c r="P119" i="217"/>
  <c r="P92" i="217"/>
  <c r="P123" i="217" s="1"/>
  <c r="P270" i="217"/>
  <c r="K185" i="147"/>
  <c r="K117" i="147"/>
  <c r="K151" i="147"/>
  <c r="H33" i="206"/>
  <c r="I92" i="208" s="1"/>
  <c r="H106" i="204"/>
  <c r="H111" i="204" s="1"/>
  <c r="K203" i="146"/>
  <c r="K169" i="146"/>
  <c r="K135" i="146"/>
  <c r="J327" i="139"/>
  <c r="J364" i="139" s="1"/>
  <c r="K67" i="139" s="1"/>
  <c r="J308" i="139"/>
  <c r="J345" i="139" s="1"/>
  <c r="K48" i="139" s="1"/>
  <c r="J311" i="139"/>
  <c r="J348" i="139" s="1"/>
  <c r="K51" i="139" s="1"/>
  <c r="J321" i="139"/>
  <c r="J358" i="139" s="1"/>
  <c r="K61" i="139" s="1"/>
  <c r="J324" i="139"/>
  <c r="J361" i="139" s="1"/>
  <c r="K64" i="139" s="1"/>
  <c r="J322" i="139"/>
  <c r="J359" i="139" s="1"/>
  <c r="K62" i="139" s="1"/>
  <c r="J325" i="139"/>
  <c r="J362" i="139" s="1"/>
  <c r="K65" i="139" s="1"/>
  <c r="K99" i="139" s="1"/>
  <c r="J323" i="139"/>
  <c r="J360" i="139" s="1"/>
  <c r="K63" i="139" s="1"/>
  <c r="K97" i="139" s="1"/>
  <c r="J304" i="139"/>
  <c r="J341" i="139" s="1"/>
  <c r="K44" i="139" s="1"/>
  <c r="J307" i="139"/>
  <c r="J344" i="139" s="1"/>
  <c r="K47" i="139" s="1"/>
  <c r="J310" i="139"/>
  <c r="J347" i="139" s="1"/>
  <c r="K50" i="139" s="1"/>
  <c r="J320" i="139"/>
  <c r="J357" i="139" s="1"/>
  <c r="K60" i="139" s="1"/>
  <c r="J21" i="128"/>
  <c r="J71" i="128" s="1"/>
  <c r="J305" i="139"/>
  <c r="J342" i="139" s="1"/>
  <c r="K45" i="139" s="1"/>
  <c r="K79" i="139" s="1"/>
  <c r="J319" i="139"/>
  <c r="J326" i="139"/>
  <c r="J363" i="139" s="1"/>
  <c r="K66" i="139" s="1"/>
  <c r="K100" i="139" s="1"/>
  <c r="J303" i="139"/>
  <c r="J306" i="139"/>
  <c r="J343" i="139" s="1"/>
  <c r="K46" i="139" s="1"/>
  <c r="K80" i="139" s="1"/>
  <c r="J309" i="139"/>
  <c r="J346" i="139" s="1"/>
  <c r="K49" i="139" s="1"/>
  <c r="K83" i="139" s="1"/>
  <c r="K185" i="139" s="1"/>
  <c r="J312" i="139"/>
  <c r="J349" i="139" s="1"/>
  <c r="K52" i="139" s="1"/>
  <c r="K86" i="139" s="1"/>
  <c r="K154" i="139" s="1"/>
  <c r="J328" i="139"/>
  <c r="J365" i="139" s="1"/>
  <c r="K68" i="139" s="1"/>
  <c r="K102" i="139" s="1"/>
  <c r="K220" i="150"/>
  <c r="K254" i="150" s="1"/>
  <c r="J327" i="137"/>
  <c r="J364" i="137" s="1"/>
  <c r="K67" i="137" s="1"/>
  <c r="J308" i="137"/>
  <c r="J345" i="137" s="1"/>
  <c r="K48" i="137" s="1"/>
  <c r="J311" i="137"/>
  <c r="J348" i="137" s="1"/>
  <c r="K51" i="137" s="1"/>
  <c r="J321" i="137"/>
  <c r="J358" i="137" s="1"/>
  <c r="K61" i="137" s="1"/>
  <c r="J324" i="137"/>
  <c r="J361" i="137" s="1"/>
  <c r="K64" i="137" s="1"/>
  <c r="J19" i="128"/>
  <c r="J69" i="128" s="1"/>
  <c r="J328" i="137"/>
  <c r="J365" i="137" s="1"/>
  <c r="K68" i="137" s="1"/>
  <c r="J323" i="137"/>
  <c r="J360" i="137" s="1"/>
  <c r="K63" i="137" s="1"/>
  <c r="J304" i="137"/>
  <c r="J341" i="137" s="1"/>
  <c r="K44" i="137" s="1"/>
  <c r="J307" i="137"/>
  <c r="J344" i="137" s="1"/>
  <c r="K47" i="137" s="1"/>
  <c r="J310" i="137"/>
  <c r="J347" i="137" s="1"/>
  <c r="K50" i="137" s="1"/>
  <c r="J320" i="137"/>
  <c r="J357" i="137" s="1"/>
  <c r="K60" i="137" s="1"/>
  <c r="J322" i="137"/>
  <c r="J359" i="137" s="1"/>
  <c r="K62" i="137" s="1"/>
  <c r="K96" i="137" s="1"/>
  <c r="K164" i="137" s="1"/>
  <c r="J319" i="137"/>
  <c r="J326" i="137"/>
  <c r="J363" i="137" s="1"/>
  <c r="K66" i="137" s="1"/>
  <c r="J303" i="137"/>
  <c r="J306" i="137"/>
  <c r="J343" i="137" s="1"/>
  <c r="K46" i="137" s="1"/>
  <c r="J309" i="137"/>
  <c r="J346" i="137" s="1"/>
  <c r="K49" i="137" s="1"/>
  <c r="K83" i="137" s="1"/>
  <c r="J312" i="137"/>
  <c r="J349" i="137" s="1"/>
  <c r="K52" i="137" s="1"/>
  <c r="K86" i="137" s="1"/>
  <c r="J325" i="137"/>
  <c r="J362" i="137" s="1"/>
  <c r="K65" i="137" s="1"/>
  <c r="J305" i="137"/>
  <c r="J342" i="137" s="1"/>
  <c r="K45" i="137" s="1"/>
  <c r="K79" i="137" s="1"/>
  <c r="K181" i="137" s="1"/>
  <c r="K181" i="142"/>
  <c r="K147" i="142"/>
  <c r="K113" i="142"/>
  <c r="J350" i="146"/>
  <c r="K43" i="146"/>
  <c r="J25" i="128"/>
  <c r="J75" i="128" s="1"/>
  <c r="J311" i="143"/>
  <c r="J348" i="143" s="1"/>
  <c r="K51" i="143" s="1"/>
  <c r="J325" i="143"/>
  <c r="J362" i="143" s="1"/>
  <c r="K65" i="143" s="1"/>
  <c r="J328" i="143"/>
  <c r="J365" i="143" s="1"/>
  <c r="K68" i="143" s="1"/>
  <c r="J309" i="143"/>
  <c r="J346" i="143" s="1"/>
  <c r="K49" i="143" s="1"/>
  <c r="J319" i="143"/>
  <c r="J326" i="143"/>
  <c r="J363" i="143" s="1"/>
  <c r="K66" i="143" s="1"/>
  <c r="K100" i="143" s="1"/>
  <c r="J310" i="143"/>
  <c r="J347" i="143" s="1"/>
  <c r="K50" i="143" s="1"/>
  <c r="J320" i="143"/>
  <c r="J357" i="143" s="1"/>
  <c r="K60" i="143" s="1"/>
  <c r="J327" i="143"/>
  <c r="J364" i="143" s="1"/>
  <c r="K67" i="143" s="1"/>
  <c r="J322" i="143"/>
  <c r="J359" i="143" s="1"/>
  <c r="K62" i="143" s="1"/>
  <c r="J306" i="143"/>
  <c r="J343" i="143" s="1"/>
  <c r="K46" i="143" s="1"/>
  <c r="J323" i="143"/>
  <c r="J360" i="143" s="1"/>
  <c r="K63" i="143" s="1"/>
  <c r="J331" i="143"/>
  <c r="J307" i="143"/>
  <c r="J344" i="143" s="1"/>
  <c r="K47" i="143" s="1"/>
  <c r="J321" i="143"/>
  <c r="J358" i="143" s="1"/>
  <c r="K61" i="143" s="1"/>
  <c r="K95" i="143" s="1"/>
  <c r="J324" i="143"/>
  <c r="J361" i="143" s="1"/>
  <c r="K64" i="143" s="1"/>
  <c r="K98" i="143" s="1"/>
  <c r="J305" i="143"/>
  <c r="J342" i="143" s="1"/>
  <c r="K45" i="143" s="1"/>
  <c r="J312" i="143"/>
  <c r="J349" i="143" s="1"/>
  <c r="K52" i="143" s="1"/>
  <c r="J303" i="143"/>
  <c r="J308" i="143"/>
  <c r="J345" i="143" s="1"/>
  <c r="K48" i="143" s="1"/>
  <c r="J329" i="143"/>
  <c r="J313" i="143"/>
  <c r="J304" i="143"/>
  <c r="J341" i="143" s="1"/>
  <c r="K44" i="143" s="1"/>
  <c r="J98" i="102"/>
  <c r="J42" i="95"/>
  <c r="J67" i="95" s="1"/>
  <c r="K150" i="150"/>
  <c r="K116" i="150"/>
  <c r="K184" i="150"/>
  <c r="K185" i="144"/>
  <c r="K117" i="144"/>
  <c r="K151" i="144"/>
  <c r="K136" i="147"/>
  <c r="K170" i="147"/>
  <c r="K204" i="147"/>
  <c r="H272" i="211"/>
  <c r="N83" i="218" s="1"/>
  <c r="H247" i="211"/>
  <c r="K116" i="146"/>
  <c r="K150" i="146"/>
  <c r="K184" i="146"/>
  <c r="J350" i="144"/>
  <c r="K43" i="144"/>
  <c r="K132" i="144"/>
  <c r="K166" i="144"/>
  <c r="K200" i="144"/>
  <c r="K187" i="144"/>
  <c r="K119" i="144"/>
  <c r="K153" i="144"/>
  <c r="K222" i="151"/>
  <c r="K256" i="151" s="1"/>
  <c r="K81" i="142"/>
  <c r="K97" i="142"/>
  <c r="K82" i="142"/>
  <c r="J24" i="102"/>
  <c r="H15" i="194"/>
  <c r="H44" i="194" s="1"/>
  <c r="H57" i="194" s="1"/>
  <c r="H98" i="194" s="1"/>
  <c r="K86" i="142"/>
  <c r="K130" i="162"/>
  <c r="K198" i="162"/>
  <c r="K164" i="162"/>
  <c r="J310" i="135"/>
  <c r="J347" i="135" s="1"/>
  <c r="K50" i="135" s="1"/>
  <c r="J320" i="135"/>
  <c r="J357" i="135" s="1"/>
  <c r="K60" i="135" s="1"/>
  <c r="J323" i="135"/>
  <c r="J360" i="135" s="1"/>
  <c r="K63" i="135" s="1"/>
  <c r="J304" i="135"/>
  <c r="J341" i="135" s="1"/>
  <c r="K44" i="135" s="1"/>
  <c r="J307" i="135"/>
  <c r="J344" i="135" s="1"/>
  <c r="K47" i="135" s="1"/>
  <c r="J324" i="135"/>
  <c r="J361" i="135" s="1"/>
  <c r="K64" i="135" s="1"/>
  <c r="K98" i="135" s="1"/>
  <c r="J308" i="135"/>
  <c r="J345" i="135" s="1"/>
  <c r="K48" i="135" s="1"/>
  <c r="J17" i="128"/>
  <c r="J67" i="128" s="1"/>
  <c r="J306" i="135"/>
  <c r="J343" i="135" s="1"/>
  <c r="K46" i="135" s="1"/>
  <c r="J309" i="135"/>
  <c r="J346" i="135" s="1"/>
  <c r="K49" i="135" s="1"/>
  <c r="K83" i="135" s="1"/>
  <c r="K185" i="135" s="1"/>
  <c r="J319" i="135"/>
  <c r="J326" i="135"/>
  <c r="J363" i="135" s="1"/>
  <c r="K66" i="135" s="1"/>
  <c r="J303" i="135"/>
  <c r="J321" i="135"/>
  <c r="J358" i="135" s="1"/>
  <c r="K61" i="135" s="1"/>
  <c r="K95" i="135" s="1"/>
  <c r="K163" i="135" s="1"/>
  <c r="J325" i="135"/>
  <c r="J362" i="135" s="1"/>
  <c r="K65" i="135" s="1"/>
  <c r="J328" i="135"/>
  <c r="J365" i="135" s="1"/>
  <c r="K68" i="135" s="1"/>
  <c r="J305" i="135"/>
  <c r="J342" i="135" s="1"/>
  <c r="K45" i="135" s="1"/>
  <c r="K79" i="135" s="1"/>
  <c r="K181" i="135" s="1"/>
  <c r="J312" i="135"/>
  <c r="J349" i="135" s="1"/>
  <c r="K52" i="135" s="1"/>
  <c r="K86" i="135" s="1"/>
  <c r="J322" i="135"/>
  <c r="J359" i="135" s="1"/>
  <c r="K62" i="135" s="1"/>
  <c r="J327" i="135"/>
  <c r="J364" i="135" s="1"/>
  <c r="K67" i="135" s="1"/>
  <c r="K101" i="135" s="1"/>
  <c r="K203" i="135" s="1"/>
  <c r="J311" i="135"/>
  <c r="J348" i="135" s="1"/>
  <c r="K51" i="135" s="1"/>
  <c r="K85" i="135" s="1"/>
  <c r="H103" i="203"/>
  <c r="H104" i="203"/>
  <c r="H32" i="205" s="1"/>
  <c r="H105" i="203"/>
  <c r="H32" i="207" s="1"/>
  <c r="H33" i="209" s="1"/>
  <c r="H265" i="209" s="1"/>
  <c r="H34" i="210" s="1"/>
  <c r="H73" i="211" s="1"/>
  <c r="K220" i="144"/>
  <c r="K254" i="144" s="1"/>
  <c r="H105" i="195"/>
  <c r="H24" i="207" s="1"/>
  <c r="H103" i="195"/>
  <c r="H104" i="195"/>
  <c r="H24" i="205" s="1"/>
  <c r="J325" i="136"/>
  <c r="J362" i="136" s="1"/>
  <c r="K65" i="136" s="1"/>
  <c r="J328" i="136"/>
  <c r="J365" i="136" s="1"/>
  <c r="K68" i="136" s="1"/>
  <c r="J305" i="136"/>
  <c r="J342" i="136" s="1"/>
  <c r="K45" i="136" s="1"/>
  <c r="J312" i="136"/>
  <c r="J349" i="136" s="1"/>
  <c r="K52" i="136" s="1"/>
  <c r="J322" i="136"/>
  <c r="J359" i="136" s="1"/>
  <c r="K62" i="136" s="1"/>
  <c r="J306" i="136"/>
  <c r="J343" i="136" s="1"/>
  <c r="K46" i="136" s="1"/>
  <c r="K80" i="136" s="1"/>
  <c r="K148" i="136" s="1"/>
  <c r="J303" i="136"/>
  <c r="J321" i="136"/>
  <c r="J358" i="136" s="1"/>
  <c r="K61" i="136" s="1"/>
  <c r="J324" i="136"/>
  <c r="J361" i="136" s="1"/>
  <c r="K64" i="136" s="1"/>
  <c r="J327" i="136"/>
  <c r="J364" i="136" s="1"/>
  <c r="K67" i="136" s="1"/>
  <c r="J308" i="136"/>
  <c r="J345" i="136" s="1"/>
  <c r="K48" i="136" s="1"/>
  <c r="J311" i="136"/>
  <c r="J348" i="136" s="1"/>
  <c r="K51" i="136" s="1"/>
  <c r="K85" i="136" s="1"/>
  <c r="K153" i="136" s="1"/>
  <c r="J18" i="128"/>
  <c r="J68" i="128" s="1"/>
  <c r="J319" i="136"/>
  <c r="J310" i="136"/>
  <c r="J347" i="136" s="1"/>
  <c r="K50" i="136" s="1"/>
  <c r="J320" i="136"/>
  <c r="J357" i="136" s="1"/>
  <c r="K60" i="136" s="1"/>
  <c r="J323" i="136"/>
  <c r="J360" i="136" s="1"/>
  <c r="K63" i="136" s="1"/>
  <c r="K97" i="136" s="1"/>
  <c r="J304" i="136"/>
  <c r="J341" i="136" s="1"/>
  <c r="K44" i="136" s="1"/>
  <c r="J307" i="136"/>
  <c r="J344" i="136" s="1"/>
  <c r="K47" i="136" s="1"/>
  <c r="J309" i="136"/>
  <c r="J346" i="136" s="1"/>
  <c r="K49" i="136" s="1"/>
  <c r="K83" i="136" s="1"/>
  <c r="J326" i="136"/>
  <c r="J363" i="136" s="1"/>
  <c r="K66" i="136" s="1"/>
  <c r="K100" i="136" s="1"/>
  <c r="K234" i="150"/>
  <c r="K268" i="150" s="1"/>
  <c r="K235" i="144"/>
  <c r="K269" i="144" s="1"/>
  <c r="J22" i="130"/>
  <c r="J34" i="130" s="1"/>
  <c r="J294" i="141"/>
  <c r="J283" i="141"/>
  <c r="K222" i="147"/>
  <c r="K256" i="147" s="1"/>
  <c r="K238" i="150"/>
  <c r="K272" i="150" s="1"/>
  <c r="J367" i="151"/>
  <c r="K236" i="150"/>
  <c r="K270" i="150" s="1"/>
  <c r="K59" i="144"/>
  <c r="J366" i="144"/>
  <c r="K69" i="144" s="1"/>
  <c r="K70" i="144" s="1"/>
  <c r="J103" i="102"/>
  <c r="J47" i="95"/>
  <c r="J72" i="95" s="1"/>
  <c r="H105" i="199"/>
  <c r="H149" i="199" s="1"/>
  <c r="H104" i="199"/>
  <c r="H103" i="199"/>
  <c r="K181" i="146"/>
  <c r="K147" i="146"/>
  <c r="K113" i="146"/>
  <c r="K233" i="162"/>
  <c r="K267" i="162" s="1"/>
  <c r="K182" i="162"/>
  <c r="K114" i="162"/>
  <c r="K148" i="162"/>
  <c r="K119" i="162"/>
  <c r="K153" i="162"/>
  <c r="K187" i="162"/>
  <c r="J371" i="140"/>
  <c r="J296" i="140"/>
  <c r="K153" i="150"/>
  <c r="K187" i="150"/>
  <c r="K119" i="150"/>
  <c r="K218" i="144"/>
  <c r="K252" i="144" s="1"/>
  <c r="K222" i="146"/>
  <c r="K256" i="146" s="1"/>
  <c r="K169" i="135"/>
  <c r="K119" i="136"/>
  <c r="K118" i="134"/>
  <c r="K202" i="136"/>
  <c r="K135" i="135"/>
  <c r="K237" i="135" s="1"/>
  <c r="K271" i="135" s="1"/>
  <c r="K187" i="136"/>
  <c r="K151" i="139"/>
  <c r="K117" i="139"/>
  <c r="K163" i="134"/>
  <c r="K170" i="139"/>
  <c r="K117" i="138"/>
  <c r="K185" i="138"/>
  <c r="K147" i="137"/>
  <c r="K185" i="136"/>
  <c r="K117" i="136"/>
  <c r="K151" i="136"/>
  <c r="K182" i="139"/>
  <c r="K114" i="139"/>
  <c r="K148" i="139"/>
  <c r="K154" i="137"/>
  <c r="K188" i="137"/>
  <c r="K120" i="137"/>
  <c r="K165" i="134"/>
  <c r="K199" i="134"/>
  <c r="K131" i="134"/>
  <c r="J15" i="128"/>
  <c r="J325" i="86"/>
  <c r="J362" i="86" s="1"/>
  <c r="K65" i="86" s="1"/>
  <c r="J321" i="86"/>
  <c r="J358" i="86" s="1"/>
  <c r="K61" i="86" s="1"/>
  <c r="J310" i="86"/>
  <c r="J347" i="86" s="1"/>
  <c r="J306" i="86"/>
  <c r="J343" i="86" s="1"/>
  <c r="J328" i="86"/>
  <c r="J365" i="86" s="1"/>
  <c r="K68" i="86" s="1"/>
  <c r="J324" i="86"/>
  <c r="J361" i="86" s="1"/>
  <c r="K64" i="86" s="1"/>
  <c r="J320" i="86"/>
  <c r="J357" i="86" s="1"/>
  <c r="K60" i="86" s="1"/>
  <c r="J309" i="86"/>
  <c r="J346" i="86" s="1"/>
  <c r="J305" i="86"/>
  <c r="J342" i="86" s="1"/>
  <c r="J327" i="86"/>
  <c r="J364" i="86" s="1"/>
  <c r="K67" i="86" s="1"/>
  <c r="J323" i="86"/>
  <c r="J360" i="86" s="1"/>
  <c r="K63" i="86" s="1"/>
  <c r="J319" i="86"/>
  <c r="J312" i="86"/>
  <c r="J349" i="86" s="1"/>
  <c r="J308" i="86"/>
  <c r="J345" i="86" s="1"/>
  <c r="J304" i="86"/>
  <c r="J341" i="86" s="1"/>
  <c r="J326" i="86"/>
  <c r="J363" i="86" s="1"/>
  <c r="K66" i="86" s="1"/>
  <c r="J322" i="86"/>
  <c r="J359" i="86" s="1"/>
  <c r="K62" i="86" s="1"/>
  <c r="J311" i="86"/>
  <c r="J348" i="86" s="1"/>
  <c r="J307" i="86"/>
  <c r="J344" i="86" s="1"/>
  <c r="J303" i="86"/>
  <c r="K151" i="135"/>
  <c r="K201" i="139"/>
  <c r="K133" i="139"/>
  <c r="K167" i="139"/>
  <c r="K167" i="138"/>
  <c r="K201" i="138"/>
  <c r="K133" i="138"/>
  <c r="K181" i="139"/>
  <c r="K113" i="139"/>
  <c r="K147" i="139"/>
  <c r="K114" i="136"/>
  <c r="K221" i="136" l="1"/>
  <c r="K255" i="136" s="1"/>
  <c r="K100" i="135"/>
  <c r="K85" i="138"/>
  <c r="K153" i="138" s="1"/>
  <c r="K231" i="144"/>
  <c r="K265" i="144" s="1"/>
  <c r="K221" i="144"/>
  <c r="K255" i="144" s="1"/>
  <c r="K98" i="137"/>
  <c r="K234" i="147"/>
  <c r="K268" i="147" s="1"/>
  <c r="K129" i="134"/>
  <c r="K197" i="134"/>
  <c r="K186" i="134"/>
  <c r="K152" i="134"/>
  <c r="K220" i="134" s="1"/>
  <c r="K254" i="134" s="1"/>
  <c r="K99" i="134"/>
  <c r="K183" i="134"/>
  <c r="K115" i="134"/>
  <c r="K149" i="134"/>
  <c r="K100" i="134"/>
  <c r="K85" i="134"/>
  <c r="K96" i="134"/>
  <c r="K83" i="134"/>
  <c r="J356" i="134"/>
  <c r="J329" i="134"/>
  <c r="J330" i="134" s="1"/>
  <c r="J367" i="147"/>
  <c r="K80" i="138"/>
  <c r="K148" i="138" s="1"/>
  <c r="K86" i="138"/>
  <c r="K215" i="144"/>
  <c r="K249" i="144" s="1"/>
  <c r="K116" i="134"/>
  <c r="K184" i="134"/>
  <c r="K79" i="134"/>
  <c r="K86" i="134"/>
  <c r="K80" i="134"/>
  <c r="K70" i="147"/>
  <c r="K132" i="134"/>
  <c r="K200" i="134"/>
  <c r="K166" i="134"/>
  <c r="K135" i="134"/>
  <c r="K169" i="134"/>
  <c r="K203" i="134"/>
  <c r="K102" i="134"/>
  <c r="J17" i="102"/>
  <c r="H15" i="187"/>
  <c r="H44" i="187" s="1"/>
  <c r="H57" i="187" s="1"/>
  <c r="H98" i="187" s="1"/>
  <c r="J340" i="134"/>
  <c r="J313" i="134"/>
  <c r="K219" i="150"/>
  <c r="K253" i="150" s="1"/>
  <c r="K222" i="144"/>
  <c r="K256" i="144" s="1"/>
  <c r="K101" i="136"/>
  <c r="K232" i="142"/>
  <c r="K266" i="142" s="1"/>
  <c r="K101" i="137"/>
  <c r="K169" i="137" s="1"/>
  <c r="K219" i="139"/>
  <c r="K253" i="139" s="1"/>
  <c r="K218" i="146"/>
  <c r="K252" i="146" s="1"/>
  <c r="K79" i="143"/>
  <c r="K101" i="143"/>
  <c r="K85" i="143"/>
  <c r="K187" i="143" s="1"/>
  <c r="K215" i="142"/>
  <c r="K249" i="142" s="1"/>
  <c r="K70" i="146"/>
  <c r="K221" i="142"/>
  <c r="K255" i="142" s="1"/>
  <c r="K97" i="149"/>
  <c r="K131" i="149" s="1"/>
  <c r="K100" i="149"/>
  <c r="K81" i="149"/>
  <c r="K222" i="150"/>
  <c r="K256" i="150" s="1"/>
  <c r="K215" i="147"/>
  <c r="K249" i="147" s="1"/>
  <c r="K216" i="162"/>
  <c r="K250" i="162" s="1"/>
  <c r="K234" i="144"/>
  <c r="K268" i="144" s="1"/>
  <c r="K82" i="143"/>
  <c r="K184" i="143" s="1"/>
  <c r="K97" i="143"/>
  <c r="K131" i="143" s="1"/>
  <c r="K84" i="137"/>
  <c r="K118" i="137" s="1"/>
  <c r="K99" i="149"/>
  <c r="K216" i="150"/>
  <c r="K250" i="150" s="1"/>
  <c r="K217" i="144"/>
  <c r="K251" i="144" s="1"/>
  <c r="K101" i="138"/>
  <c r="K221" i="162"/>
  <c r="K255" i="162" s="1"/>
  <c r="K203" i="136"/>
  <c r="K169" i="136"/>
  <c r="H25" i="209"/>
  <c r="H257" i="209" s="1"/>
  <c r="H26" i="210" s="1"/>
  <c r="H65" i="211" s="1"/>
  <c r="H106" i="203"/>
  <c r="H111" i="203" s="1"/>
  <c r="H32" i="206"/>
  <c r="I91" i="208" s="1"/>
  <c r="K181" i="143"/>
  <c r="K113" i="143"/>
  <c r="K147" i="143"/>
  <c r="J356" i="143"/>
  <c r="J330" i="143"/>
  <c r="J368" i="146"/>
  <c r="J370" i="146" s="1"/>
  <c r="K53" i="146"/>
  <c r="K290" i="146" s="1"/>
  <c r="K87" i="151"/>
  <c r="K88" i="151" s="1"/>
  <c r="K146" i="151"/>
  <c r="K180" i="151"/>
  <c r="K112" i="151"/>
  <c r="K93" i="150"/>
  <c r="K94" i="150"/>
  <c r="K203" i="149"/>
  <c r="K169" i="149"/>
  <c r="K135" i="149"/>
  <c r="K150" i="149"/>
  <c r="K116" i="149"/>
  <c r="K184" i="149"/>
  <c r="J320" i="145"/>
  <c r="J357" i="145" s="1"/>
  <c r="K60" i="145" s="1"/>
  <c r="J327" i="145"/>
  <c r="J364" i="145" s="1"/>
  <c r="K67" i="145" s="1"/>
  <c r="J308" i="145"/>
  <c r="J345" i="145" s="1"/>
  <c r="K48" i="145" s="1"/>
  <c r="J322" i="145"/>
  <c r="J359" i="145" s="1"/>
  <c r="K62" i="145" s="1"/>
  <c r="J329" i="145"/>
  <c r="J306" i="145"/>
  <c r="J343" i="145" s="1"/>
  <c r="K46" i="145" s="1"/>
  <c r="J328" i="145"/>
  <c r="J365" i="145" s="1"/>
  <c r="K68" i="145" s="1"/>
  <c r="K102" i="145" s="1"/>
  <c r="J331" i="145"/>
  <c r="J312" i="145"/>
  <c r="J349" i="145" s="1"/>
  <c r="K52" i="145" s="1"/>
  <c r="J310" i="145"/>
  <c r="J347" i="145" s="1"/>
  <c r="K50" i="145" s="1"/>
  <c r="J27" i="128"/>
  <c r="J77" i="128" s="1"/>
  <c r="J313" i="145"/>
  <c r="J323" i="145"/>
  <c r="J360" i="145" s="1"/>
  <c r="K63" i="145" s="1"/>
  <c r="J304" i="145"/>
  <c r="J341" i="145" s="1"/>
  <c r="K44" i="145" s="1"/>
  <c r="J311" i="145"/>
  <c r="J348" i="145" s="1"/>
  <c r="K51" i="145" s="1"/>
  <c r="K85" i="145" s="1"/>
  <c r="J325" i="145"/>
  <c r="J362" i="145" s="1"/>
  <c r="K65" i="145" s="1"/>
  <c r="J309" i="145"/>
  <c r="J346" i="145" s="1"/>
  <c r="K49" i="145" s="1"/>
  <c r="J307" i="145"/>
  <c r="J344" i="145" s="1"/>
  <c r="K47" i="145" s="1"/>
  <c r="K81" i="145" s="1"/>
  <c r="J305" i="145"/>
  <c r="J342" i="145" s="1"/>
  <c r="K45" i="145" s="1"/>
  <c r="K79" i="145" s="1"/>
  <c r="J303" i="145"/>
  <c r="J319" i="145"/>
  <c r="J321" i="145"/>
  <c r="J358" i="145" s="1"/>
  <c r="K61" i="145" s="1"/>
  <c r="K95" i="145" s="1"/>
  <c r="J324" i="145"/>
  <c r="J361" i="145" s="1"/>
  <c r="K64" i="145" s="1"/>
  <c r="J326" i="145"/>
  <c r="J363" i="145" s="1"/>
  <c r="K66" i="145" s="1"/>
  <c r="K100" i="145" s="1"/>
  <c r="K182" i="136"/>
  <c r="K130" i="137"/>
  <c r="K120" i="138"/>
  <c r="K135" i="137"/>
  <c r="K203" i="138"/>
  <c r="K120" i="139"/>
  <c r="K113" i="137"/>
  <c r="K215" i="137" s="1"/>
  <c r="K249" i="137" s="1"/>
  <c r="K135" i="136"/>
  <c r="K221" i="150"/>
  <c r="K255" i="150" s="1"/>
  <c r="K215" i="146"/>
  <c r="K249" i="146" s="1"/>
  <c r="H148" i="199"/>
  <c r="H141" i="199"/>
  <c r="H153" i="199" s="1"/>
  <c r="H28" i="205" s="1"/>
  <c r="J367" i="144"/>
  <c r="J371" i="141"/>
  <c r="J296" i="141"/>
  <c r="K168" i="136"/>
  <c r="K236" i="136" s="1"/>
  <c r="K270" i="136" s="1"/>
  <c r="K134" i="136"/>
  <c r="K165" i="136"/>
  <c r="K199" i="136"/>
  <c r="K131" i="136"/>
  <c r="J19" i="102"/>
  <c r="H15" i="189"/>
  <c r="H44" i="189" s="1"/>
  <c r="H57" i="189" s="1"/>
  <c r="H98" i="189" s="1"/>
  <c r="K98" i="136"/>
  <c r="K96" i="136"/>
  <c r="K99" i="136"/>
  <c r="K187" i="135"/>
  <c r="K153" i="135"/>
  <c r="K119" i="135"/>
  <c r="K147" i="135"/>
  <c r="K113" i="135"/>
  <c r="K215" i="135" s="1"/>
  <c r="K249" i="135" s="1"/>
  <c r="J313" i="135"/>
  <c r="J340" i="135"/>
  <c r="K80" i="135"/>
  <c r="K81" i="135"/>
  <c r="K84" i="135"/>
  <c r="K120" i="142"/>
  <c r="K188" i="142"/>
  <c r="K154" i="142"/>
  <c r="K184" i="142"/>
  <c r="K116" i="142"/>
  <c r="K150" i="142"/>
  <c r="K53" i="144"/>
  <c r="K290" i="144" s="1"/>
  <c r="J368" i="144"/>
  <c r="J370" i="144" s="1"/>
  <c r="K116" i="143"/>
  <c r="K132" i="143"/>
  <c r="K200" i="143"/>
  <c r="K166" i="143"/>
  <c r="K165" i="143"/>
  <c r="K199" i="143"/>
  <c r="K83" i="143"/>
  <c r="J26" i="102"/>
  <c r="H15" i="196"/>
  <c r="H44" i="196" s="1"/>
  <c r="H57" i="196" s="1"/>
  <c r="H98" i="196" s="1"/>
  <c r="K99" i="137"/>
  <c r="J313" i="137"/>
  <c r="J340" i="137"/>
  <c r="K97" i="137"/>
  <c r="K95" i="137"/>
  <c r="J356" i="139"/>
  <c r="J329" i="139"/>
  <c r="J330" i="139" s="1"/>
  <c r="K84" i="139"/>
  <c r="K85" i="139"/>
  <c r="K237" i="162"/>
  <c r="K271" i="162" s="1"/>
  <c r="K70" i="150"/>
  <c r="K70" i="162"/>
  <c r="K231" i="142"/>
  <c r="K265" i="142" s="1"/>
  <c r="K235" i="142"/>
  <c r="K269" i="142" s="1"/>
  <c r="K220" i="142"/>
  <c r="K254" i="142" s="1"/>
  <c r="K235" i="147"/>
  <c r="K269" i="147" s="1"/>
  <c r="H140" i="197"/>
  <c r="H152" i="197" s="1"/>
  <c r="H26" i="206" s="1"/>
  <c r="H147" i="197"/>
  <c r="H106" i="197"/>
  <c r="H243" i="211"/>
  <c r="H268" i="211"/>
  <c r="N79" i="218" s="1"/>
  <c r="K77" i="162"/>
  <c r="K78" i="162"/>
  <c r="K236" i="144"/>
  <c r="K270" i="144" s="1"/>
  <c r="K134" i="138"/>
  <c r="K168" i="138"/>
  <c r="K202" i="138"/>
  <c r="J21" i="102"/>
  <c r="H15" i="191"/>
  <c r="H44" i="191" s="1"/>
  <c r="H57" i="191" s="1"/>
  <c r="H98" i="191" s="1"/>
  <c r="K97" i="138"/>
  <c r="K98" i="138"/>
  <c r="K53" i="147"/>
  <c r="K290" i="147" s="1"/>
  <c r="J368" i="147"/>
  <c r="J370" i="147" s="1"/>
  <c r="K132" i="142"/>
  <c r="K166" i="142"/>
  <c r="K200" i="142"/>
  <c r="K201" i="149"/>
  <c r="K167" i="149"/>
  <c r="K133" i="149"/>
  <c r="K148" i="149"/>
  <c r="K114" i="149"/>
  <c r="K182" i="149"/>
  <c r="K86" i="149"/>
  <c r="K79" i="149"/>
  <c r="K59" i="142"/>
  <c r="J366" i="142"/>
  <c r="K69" i="142" s="1"/>
  <c r="J33" i="128"/>
  <c r="J83" i="128" s="1"/>
  <c r="J327" i="140"/>
  <c r="J364" i="140" s="1"/>
  <c r="K67" i="140" s="1"/>
  <c r="J323" i="140"/>
  <c r="J360" i="140" s="1"/>
  <c r="K63" i="140" s="1"/>
  <c r="J319" i="140"/>
  <c r="J312" i="140"/>
  <c r="J349" i="140" s="1"/>
  <c r="K52" i="140" s="1"/>
  <c r="J308" i="140"/>
  <c r="J345" i="140" s="1"/>
  <c r="K48" i="140" s="1"/>
  <c r="J304" i="140"/>
  <c r="J341" i="140" s="1"/>
  <c r="K44" i="140" s="1"/>
  <c r="J325" i="140"/>
  <c r="J362" i="140" s="1"/>
  <c r="K65" i="140" s="1"/>
  <c r="J321" i="140"/>
  <c r="J358" i="140" s="1"/>
  <c r="K61" i="140" s="1"/>
  <c r="J310" i="140"/>
  <c r="J347" i="140" s="1"/>
  <c r="K50" i="140" s="1"/>
  <c r="J306" i="140"/>
  <c r="J343" i="140" s="1"/>
  <c r="K46" i="140" s="1"/>
  <c r="J331" i="140"/>
  <c r="J328" i="140"/>
  <c r="J365" i="140" s="1"/>
  <c r="K68" i="140" s="1"/>
  <c r="J324" i="140"/>
  <c r="J361" i="140" s="1"/>
  <c r="K64" i="140" s="1"/>
  <c r="K98" i="140" s="1"/>
  <c r="J320" i="140"/>
  <c r="J357" i="140" s="1"/>
  <c r="K60" i="140" s="1"/>
  <c r="J309" i="140"/>
  <c r="J346" i="140" s="1"/>
  <c r="J305" i="140"/>
  <c r="J342" i="140" s="1"/>
  <c r="J326" i="140"/>
  <c r="J363" i="140" s="1"/>
  <c r="K66" i="140" s="1"/>
  <c r="K100" i="140" s="1"/>
  <c r="J322" i="140"/>
  <c r="J359" i="140" s="1"/>
  <c r="K62" i="140" s="1"/>
  <c r="K96" i="140" s="1"/>
  <c r="J311" i="140"/>
  <c r="J348" i="140" s="1"/>
  <c r="J307" i="140"/>
  <c r="J344" i="140" s="1"/>
  <c r="J303" i="140"/>
  <c r="K102" i="136"/>
  <c r="K120" i="135"/>
  <c r="K154" i="135"/>
  <c r="K188" i="135"/>
  <c r="K166" i="135"/>
  <c r="K200" i="135"/>
  <c r="K132" i="135"/>
  <c r="J97" i="102"/>
  <c r="J41" i="95"/>
  <c r="J66" i="95" s="1"/>
  <c r="K119" i="143"/>
  <c r="K80" i="137"/>
  <c r="K134" i="139"/>
  <c r="K202" i="139"/>
  <c r="K95" i="139"/>
  <c r="P618" i="217"/>
  <c r="P299" i="217"/>
  <c r="K77" i="150"/>
  <c r="K78" i="150"/>
  <c r="J368" i="162"/>
  <c r="J370" i="162" s="1"/>
  <c r="K53" i="162"/>
  <c r="K290" i="162" s="1"/>
  <c r="J340" i="138"/>
  <c r="J313" i="138"/>
  <c r="K77" i="147"/>
  <c r="K78" i="147"/>
  <c r="K185" i="142"/>
  <c r="K151" i="142"/>
  <c r="K117" i="142"/>
  <c r="K165" i="149"/>
  <c r="K199" i="149"/>
  <c r="K149" i="149"/>
  <c r="K183" i="149"/>
  <c r="K115" i="149"/>
  <c r="J314" i="137"/>
  <c r="K198" i="137"/>
  <c r="K166" i="137"/>
  <c r="K203" i="137"/>
  <c r="K117" i="135"/>
  <c r="K188" i="139"/>
  <c r="K222" i="139" s="1"/>
  <c r="K256" i="139" s="1"/>
  <c r="K129" i="135"/>
  <c r="K168" i="139"/>
  <c r="K95" i="136"/>
  <c r="K86" i="136"/>
  <c r="H246" i="211"/>
  <c r="H271" i="211"/>
  <c r="N82" i="218" s="1"/>
  <c r="K102" i="135"/>
  <c r="J18" i="102"/>
  <c r="H15" i="188"/>
  <c r="H44" i="188" s="1"/>
  <c r="H57" i="188" s="1"/>
  <c r="H98" i="188" s="1"/>
  <c r="K199" i="142"/>
  <c r="K131" i="142"/>
  <c r="K165" i="142"/>
  <c r="K218" i="150"/>
  <c r="K252" i="150" s="1"/>
  <c r="J340" i="143"/>
  <c r="J314" i="143"/>
  <c r="K129" i="143"/>
  <c r="K197" i="143"/>
  <c r="K163" i="143"/>
  <c r="K80" i="143"/>
  <c r="K84" i="143"/>
  <c r="K102" i="143"/>
  <c r="J351" i="146"/>
  <c r="K100" i="137"/>
  <c r="K186" i="137"/>
  <c r="K152" i="137"/>
  <c r="K220" i="137" s="1"/>
  <c r="K254" i="137" s="1"/>
  <c r="K102" i="137"/>
  <c r="K85" i="137"/>
  <c r="K81" i="139"/>
  <c r="K96" i="139"/>
  <c r="K82" i="139"/>
  <c r="K237" i="146"/>
  <c r="K271" i="146" s="1"/>
  <c r="K219" i="147"/>
  <c r="K253" i="147" s="1"/>
  <c r="K111" i="151"/>
  <c r="K145" i="151"/>
  <c r="K179" i="151"/>
  <c r="J367" i="146"/>
  <c r="K235" i="150"/>
  <c r="K269" i="150" s="1"/>
  <c r="J331" i="148"/>
  <c r="J319" i="148"/>
  <c r="J326" i="148"/>
  <c r="J363" i="148" s="1"/>
  <c r="K66" i="148" s="1"/>
  <c r="J303" i="148"/>
  <c r="J306" i="148"/>
  <c r="J343" i="148" s="1"/>
  <c r="K46" i="148" s="1"/>
  <c r="J313" i="148"/>
  <c r="J324" i="148"/>
  <c r="J361" i="148" s="1"/>
  <c r="K64" i="148" s="1"/>
  <c r="J30" i="128"/>
  <c r="J80" i="128" s="1"/>
  <c r="J304" i="148"/>
  <c r="J341" i="148" s="1"/>
  <c r="K44" i="148" s="1"/>
  <c r="J310" i="148"/>
  <c r="J347" i="148" s="1"/>
  <c r="K50" i="148" s="1"/>
  <c r="J329" i="148"/>
  <c r="J312" i="148"/>
  <c r="J349" i="148" s="1"/>
  <c r="K52" i="148" s="1"/>
  <c r="J322" i="148"/>
  <c r="J359" i="148" s="1"/>
  <c r="K62" i="148" s="1"/>
  <c r="J325" i="148"/>
  <c r="J362" i="148" s="1"/>
  <c r="K65" i="148" s="1"/>
  <c r="J328" i="148"/>
  <c r="J365" i="148" s="1"/>
  <c r="K68" i="148" s="1"/>
  <c r="J309" i="148"/>
  <c r="J346" i="148" s="1"/>
  <c r="K49" i="148" s="1"/>
  <c r="J327" i="148"/>
  <c r="J364" i="148" s="1"/>
  <c r="K67" i="148" s="1"/>
  <c r="J308" i="148"/>
  <c r="J345" i="148" s="1"/>
  <c r="K48" i="148" s="1"/>
  <c r="J311" i="148"/>
  <c r="J348" i="148" s="1"/>
  <c r="K51" i="148" s="1"/>
  <c r="J321" i="148"/>
  <c r="J358" i="148" s="1"/>
  <c r="K61" i="148" s="1"/>
  <c r="J305" i="148"/>
  <c r="J342" i="148" s="1"/>
  <c r="K45" i="148" s="1"/>
  <c r="K79" i="148" s="1"/>
  <c r="J323" i="148"/>
  <c r="J360" i="148" s="1"/>
  <c r="K63" i="148" s="1"/>
  <c r="K97" i="148" s="1"/>
  <c r="J307" i="148"/>
  <c r="J344" i="148" s="1"/>
  <c r="K47" i="148" s="1"/>
  <c r="J320" i="148"/>
  <c r="J357" i="148" s="1"/>
  <c r="K60" i="148" s="1"/>
  <c r="K233" i="150"/>
  <c r="K267" i="150" s="1"/>
  <c r="K237" i="142"/>
  <c r="K271" i="142" s="1"/>
  <c r="K231" i="147"/>
  <c r="K265" i="147" s="1"/>
  <c r="K196" i="151"/>
  <c r="K162" i="151"/>
  <c r="K128" i="151"/>
  <c r="K93" i="147"/>
  <c r="K94" i="147"/>
  <c r="K233" i="146"/>
  <c r="K267" i="146" s="1"/>
  <c r="K130" i="138"/>
  <c r="K198" i="138"/>
  <c r="K164" i="138"/>
  <c r="J356" i="138"/>
  <c r="J329" i="138"/>
  <c r="J330" i="138" s="1"/>
  <c r="K79" i="138"/>
  <c r="K119" i="138"/>
  <c r="K187" i="138"/>
  <c r="K95" i="138"/>
  <c r="K216" i="146"/>
  <c r="K250" i="146" s="1"/>
  <c r="K170" i="142"/>
  <c r="K204" i="142"/>
  <c r="K136" i="142"/>
  <c r="K187" i="149"/>
  <c r="K119" i="149"/>
  <c r="K153" i="149"/>
  <c r="K84" i="149"/>
  <c r="H15" i="202"/>
  <c r="H44" i="202" s="1"/>
  <c r="H57" i="202" s="1"/>
  <c r="H98" i="202" s="1"/>
  <c r="J32" i="102"/>
  <c r="K98" i="149"/>
  <c r="J356" i="149"/>
  <c r="J330" i="149"/>
  <c r="K237" i="144"/>
  <c r="K271" i="144" s="1"/>
  <c r="K216" i="142"/>
  <c r="K250" i="142" s="1"/>
  <c r="H140" i="199"/>
  <c r="H152" i="199" s="1"/>
  <c r="H28" i="206" s="1"/>
  <c r="H106" i="199"/>
  <c r="H147" i="199"/>
  <c r="J356" i="136"/>
  <c r="J329" i="136"/>
  <c r="J330" i="136" s="1"/>
  <c r="K77" i="144"/>
  <c r="K54" i="144"/>
  <c r="K78" i="144"/>
  <c r="K169" i="143"/>
  <c r="K203" i="143"/>
  <c r="K135" i="143"/>
  <c r="K165" i="139"/>
  <c r="K131" i="139"/>
  <c r="K93" i="162"/>
  <c r="K94" i="162"/>
  <c r="H29" i="206"/>
  <c r="I88" i="208" s="1"/>
  <c r="H106" i="200"/>
  <c r="H111" i="200" s="1"/>
  <c r="K204" i="149"/>
  <c r="K170" i="149"/>
  <c r="K136" i="149"/>
  <c r="K168" i="149"/>
  <c r="K202" i="149"/>
  <c r="K134" i="149"/>
  <c r="K197" i="135"/>
  <c r="K199" i="139"/>
  <c r="K233" i="139" s="1"/>
  <c r="K267" i="139" s="1"/>
  <c r="K93" i="144"/>
  <c r="K94" i="144"/>
  <c r="K81" i="136"/>
  <c r="K84" i="136"/>
  <c r="K82" i="136"/>
  <c r="J313" i="136"/>
  <c r="J340" i="136"/>
  <c r="K79" i="136"/>
  <c r="H24" i="206"/>
  <c r="I83" i="208" s="1"/>
  <c r="H106" i="195"/>
  <c r="H111" i="195" s="1"/>
  <c r="K96" i="135"/>
  <c r="K99" i="135"/>
  <c r="J356" i="135"/>
  <c r="J329" i="135"/>
  <c r="J330" i="135" s="1"/>
  <c r="K82" i="135"/>
  <c r="K97" i="135"/>
  <c r="K232" i="162"/>
  <c r="K266" i="162" s="1"/>
  <c r="H105" i="194"/>
  <c r="H23" i="207" s="1"/>
  <c r="H24" i="209" s="1"/>
  <c r="H256" i="209" s="1"/>
  <c r="H25" i="210" s="1"/>
  <c r="H64" i="211" s="1"/>
  <c r="H104" i="194"/>
  <c r="H23" i="205" s="1"/>
  <c r="H103" i="194"/>
  <c r="K149" i="142"/>
  <c r="K183" i="142"/>
  <c r="K115" i="142"/>
  <c r="J351" i="144"/>
  <c r="K238" i="147"/>
  <c r="K272" i="147" s="1"/>
  <c r="K219" i="144"/>
  <c r="K253" i="144" s="1"/>
  <c r="J332" i="143"/>
  <c r="J333" i="143" s="1"/>
  <c r="K86" i="143"/>
  <c r="K81" i="143"/>
  <c r="K96" i="143"/>
  <c r="K168" i="143"/>
  <c r="K134" i="143"/>
  <c r="K202" i="143"/>
  <c r="K99" i="143"/>
  <c r="K77" i="146"/>
  <c r="K54" i="146"/>
  <c r="K78" i="146"/>
  <c r="K151" i="137"/>
  <c r="K117" i="137"/>
  <c r="K185" i="137"/>
  <c r="J356" i="137"/>
  <c r="J329" i="137"/>
  <c r="J330" i="137" s="1"/>
  <c r="K81" i="137"/>
  <c r="J20" i="102"/>
  <c r="H15" i="190"/>
  <c r="H44" i="190" s="1"/>
  <c r="H57" i="190" s="1"/>
  <c r="H98" i="190" s="1"/>
  <c r="K82" i="137"/>
  <c r="K136" i="139"/>
  <c r="K204" i="139"/>
  <c r="J340" i="139"/>
  <c r="J313" i="139"/>
  <c r="J22" i="102"/>
  <c r="H15" i="192"/>
  <c r="H44" i="192" s="1"/>
  <c r="H57" i="192" s="1"/>
  <c r="H98" i="192" s="1"/>
  <c r="K98" i="139"/>
  <c r="K101" i="139"/>
  <c r="H112" i="204"/>
  <c r="H113" i="204"/>
  <c r="H115" i="204" s="1"/>
  <c r="J367" i="150"/>
  <c r="K93" i="146"/>
  <c r="K94" i="146"/>
  <c r="J368" i="150"/>
  <c r="J370" i="150" s="1"/>
  <c r="K53" i="150"/>
  <c r="K290" i="150" s="1"/>
  <c r="J367" i="162"/>
  <c r="K235" i="146"/>
  <c r="K269" i="146" s="1"/>
  <c r="K202" i="142"/>
  <c r="K168" i="142"/>
  <c r="K134" i="142"/>
  <c r="H141" i="197"/>
  <c r="H153" i="197" s="1"/>
  <c r="H26" i="205" s="1"/>
  <c r="H148" i="197"/>
  <c r="H154" i="197" s="1"/>
  <c r="J351" i="162"/>
  <c r="K218" i="162"/>
  <c r="K252" i="162" s="1"/>
  <c r="K219" i="146"/>
  <c r="K253" i="146" s="1"/>
  <c r="K103" i="151"/>
  <c r="K104" i="151" s="1"/>
  <c r="K195" i="151"/>
  <c r="K127" i="151"/>
  <c r="K161" i="151"/>
  <c r="K171" i="151" s="1"/>
  <c r="K172" i="151" s="1"/>
  <c r="K102" i="138"/>
  <c r="K81" i="138"/>
  <c r="K84" i="138"/>
  <c r="K82" i="138"/>
  <c r="J351" i="147"/>
  <c r="K43" i="142"/>
  <c r="J350" i="142"/>
  <c r="J351" i="142" s="1"/>
  <c r="K83" i="149"/>
  <c r="K198" i="149"/>
  <c r="K164" i="149"/>
  <c r="K130" i="149"/>
  <c r="J340" i="149"/>
  <c r="J314" i="149"/>
  <c r="J332" i="149"/>
  <c r="J333" i="149" s="1"/>
  <c r="K95" i="149"/>
  <c r="K232" i="137"/>
  <c r="K266" i="137" s="1"/>
  <c r="K96" i="86"/>
  <c r="K130" i="86" s="1"/>
  <c r="K215" i="139"/>
  <c r="K249" i="139" s="1"/>
  <c r="K100" i="86"/>
  <c r="K202" i="86" s="1"/>
  <c r="K231" i="135"/>
  <c r="K265" i="135" s="1"/>
  <c r="K235" i="139"/>
  <c r="K269" i="139" s="1"/>
  <c r="K222" i="137"/>
  <c r="K256" i="137" s="1"/>
  <c r="K233" i="134"/>
  <c r="K267" i="134" s="1"/>
  <c r="K216" i="136"/>
  <c r="K250" i="136" s="1"/>
  <c r="K219" i="138"/>
  <c r="K253" i="138" s="1"/>
  <c r="K235" i="138"/>
  <c r="K269" i="138" s="1"/>
  <c r="K97" i="86"/>
  <c r="K165" i="86" s="1"/>
  <c r="K216" i="139"/>
  <c r="K250" i="139" s="1"/>
  <c r="K237" i="137"/>
  <c r="K271" i="137" s="1"/>
  <c r="K51" i="86"/>
  <c r="K48" i="86"/>
  <c r="K101" i="86"/>
  <c r="K98" i="86"/>
  <c r="K95" i="86"/>
  <c r="K219" i="135"/>
  <c r="K253" i="135" s="1"/>
  <c r="K198" i="86"/>
  <c r="K52" i="86"/>
  <c r="K45" i="86"/>
  <c r="K102" i="86"/>
  <c r="K99" i="86"/>
  <c r="J340" i="86"/>
  <c r="J313" i="86"/>
  <c r="J329" i="86"/>
  <c r="J330" i="86" s="1"/>
  <c r="J356" i="86"/>
  <c r="K49" i="86"/>
  <c r="K46" i="86"/>
  <c r="J65" i="128"/>
  <c r="K47" i="86"/>
  <c r="K44" i="86"/>
  <c r="K199" i="86"/>
  <c r="K131" i="86"/>
  <c r="K50" i="86"/>
  <c r="K219" i="136"/>
  <c r="K253" i="136" s="1"/>
  <c r="J332" i="145" l="1"/>
  <c r="J333" i="145" s="1"/>
  <c r="K134" i="135"/>
  <c r="K168" i="135"/>
  <c r="K202" i="135"/>
  <c r="K236" i="135" s="1"/>
  <c r="K270" i="135" s="1"/>
  <c r="K137" i="151"/>
  <c r="K138" i="151" s="1"/>
  <c r="J332" i="136"/>
  <c r="J333" i="136" s="1"/>
  <c r="K153" i="143"/>
  <c r="K150" i="143"/>
  <c r="K182" i="138"/>
  <c r="K164" i="86"/>
  <c r="K236" i="143"/>
  <c r="K270" i="143" s="1"/>
  <c r="K236" i="149"/>
  <c r="K270" i="149" s="1"/>
  <c r="K238" i="149"/>
  <c r="K272" i="149" s="1"/>
  <c r="K237" i="143"/>
  <c r="K271" i="143" s="1"/>
  <c r="K232" i="138"/>
  <c r="K266" i="138" s="1"/>
  <c r="K81" i="148"/>
  <c r="K85" i="148"/>
  <c r="K54" i="147"/>
  <c r="K83" i="145"/>
  <c r="K114" i="138"/>
  <c r="K231" i="134"/>
  <c r="K265" i="134" s="1"/>
  <c r="K221" i="143"/>
  <c r="K255" i="143" s="1"/>
  <c r="K81" i="86"/>
  <c r="K218" i="134"/>
  <c r="K252" i="134" s="1"/>
  <c r="K132" i="137"/>
  <c r="K200" i="137"/>
  <c r="K234" i="137" s="1"/>
  <c r="K268" i="137" s="1"/>
  <c r="J314" i="134"/>
  <c r="J332" i="134"/>
  <c r="J333" i="134" s="1"/>
  <c r="K136" i="134"/>
  <c r="K170" i="134"/>
  <c r="K204" i="134"/>
  <c r="K148" i="134"/>
  <c r="K182" i="134"/>
  <c r="K114" i="134"/>
  <c r="K216" i="134" s="1"/>
  <c r="K250" i="134" s="1"/>
  <c r="K164" i="134"/>
  <c r="K198" i="134"/>
  <c r="K130" i="134"/>
  <c r="K217" i="134"/>
  <c r="K251" i="134" s="1"/>
  <c r="J350" i="134"/>
  <c r="K43" i="134"/>
  <c r="K237" i="134"/>
  <c r="K271" i="134" s="1"/>
  <c r="K234" i="134"/>
  <c r="K268" i="134" s="1"/>
  <c r="K188" i="134"/>
  <c r="K154" i="134"/>
  <c r="K120" i="134"/>
  <c r="K187" i="134"/>
  <c r="K153" i="134"/>
  <c r="K119" i="134"/>
  <c r="H105" i="187"/>
  <c r="H16" i="207" s="1"/>
  <c r="H17" i="209" s="1"/>
  <c r="H249" i="209" s="1"/>
  <c r="H18" i="210" s="1"/>
  <c r="H57" i="211" s="1"/>
  <c r="H104" i="187"/>
  <c r="H16" i="205" s="1"/>
  <c r="H103" i="187"/>
  <c r="K181" i="134"/>
  <c r="K147" i="134"/>
  <c r="K113" i="134"/>
  <c r="K188" i="138"/>
  <c r="K154" i="138"/>
  <c r="K59" i="134"/>
  <c r="J366" i="134"/>
  <c r="K168" i="134"/>
  <c r="K202" i="134"/>
  <c r="K134" i="134"/>
  <c r="K133" i="134"/>
  <c r="K201" i="134"/>
  <c r="K167" i="134"/>
  <c r="K86" i="86"/>
  <c r="J90" i="102"/>
  <c r="J34" i="95"/>
  <c r="J59" i="95" s="1"/>
  <c r="K185" i="134"/>
  <c r="K117" i="134"/>
  <c r="K219" i="134" s="1"/>
  <c r="K253" i="134" s="1"/>
  <c r="K151" i="134"/>
  <c r="K102" i="148"/>
  <c r="K99" i="145"/>
  <c r="K98" i="148"/>
  <c r="K100" i="148"/>
  <c r="K134" i="148" s="1"/>
  <c r="J332" i="135"/>
  <c r="J333" i="135" s="1"/>
  <c r="K233" i="136"/>
  <c r="K267" i="136" s="1"/>
  <c r="K98" i="145"/>
  <c r="K219" i="142"/>
  <c r="K253" i="142" s="1"/>
  <c r="K54" i="162"/>
  <c r="K222" i="142"/>
  <c r="K256" i="142" s="1"/>
  <c r="K238" i="142"/>
  <c r="K272" i="142" s="1"/>
  <c r="K96" i="148"/>
  <c r="K169" i="138"/>
  <c r="K135" i="138"/>
  <c r="H154" i="199"/>
  <c r="H155" i="199" s="1"/>
  <c r="K231" i="143"/>
  <c r="K265" i="143" s="1"/>
  <c r="K96" i="145"/>
  <c r="K197" i="149"/>
  <c r="K129" i="149"/>
  <c r="K163" i="149"/>
  <c r="K185" i="149"/>
  <c r="K151" i="149"/>
  <c r="K117" i="149"/>
  <c r="K229" i="151"/>
  <c r="K205" i="151"/>
  <c r="K206" i="151" s="1"/>
  <c r="K43" i="139"/>
  <c r="J350" i="139"/>
  <c r="K59" i="137"/>
  <c r="J366" i="137"/>
  <c r="K69" i="137" s="1"/>
  <c r="K87" i="146"/>
  <c r="K88" i="146" s="1"/>
  <c r="K180" i="146"/>
  <c r="K112" i="146"/>
  <c r="K146" i="146"/>
  <c r="K115" i="143"/>
  <c r="K183" i="143"/>
  <c r="K149" i="143"/>
  <c r="H111" i="199"/>
  <c r="H150" i="199"/>
  <c r="K195" i="147"/>
  <c r="K161" i="147"/>
  <c r="K127" i="147"/>
  <c r="K103" i="147"/>
  <c r="K104" i="147" s="1"/>
  <c r="K119" i="148"/>
  <c r="K153" i="148"/>
  <c r="K187" i="148"/>
  <c r="K168" i="148"/>
  <c r="K202" i="148"/>
  <c r="K184" i="139"/>
  <c r="K116" i="139"/>
  <c r="K150" i="139"/>
  <c r="K170" i="137"/>
  <c r="K136" i="137"/>
  <c r="K204" i="137"/>
  <c r="K43" i="143"/>
  <c r="J350" i="143"/>
  <c r="K170" i="135"/>
  <c r="K136" i="135"/>
  <c r="K204" i="135"/>
  <c r="K43" i="138"/>
  <c r="J350" i="138"/>
  <c r="K197" i="139"/>
  <c r="K129" i="139"/>
  <c r="K163" i="139"/>
  <c r="K168" i="140"/>
  <c r="K202" i="140"/>
  <c r="K236" i="140" s="1"/>
  <c r="K270" i="140" s="1"/>
  <c r="K134" i="140"/>
  <c r="K93" i="142"/>
  <c r="K94" i="142"/>
  <c r="K199" i="138"/>
  <c r="K165" i="138"/>
  <c r="K131" i="138"/>
  <c r="H150" i="197"/>
  <c r="H111" i="197"/>
  <c r="K202" i="145"/>
  <c r="K134" i="145"/>
  <c r="K168" i="145"/>
  <c r="K130" i="145"/>
  <c r="K164" i="145"/>
  <c r="K198" i="145"/>
  <c r="H238" i="211"/>
  <c r="H263" i="211"/>
  <c r="N74" i="218" s="1"/>
  <c r="K83" i="86"/>
  <c r="K168" i="86"/>
  <c r="K116" i="138"/>
  <c r="K150" i="138"/>
  <c r="K184" i="138"/>
  <c r="K236" i="142"/>
  <c r="K270" i="142" s="1"/>
  <c r="H105" i="192"/>
  <c r="H21" i="207" s="1"/>
  <c r="H22" i="209" s="1"/>
  <c r="H254" i="209" s="1"/>
  <c r="H23" i="210" s="1"/>
  <c r="H62" i="211" s="1"/>
  <c r="H104" i="192"/>
  <c r="H21" i="205" s="1"/>
  <c r="H103" i="192"/>
  <c r="K238" i="139"/>
  <c r="K272" i="139" s="1"/>
  <c r="J37" i="95"/>
  <c r="J62" i="95" s="1"/>
  <c r="J93" i="102"/>
  <c r="K188" i="143"/>
  <c r="K154" i="143"/>
  <c r="K120" i="143"/>
  <c r="H23" i="206"/>
  <c r="I82" i="208" s="1"/>
  <c r="H106" i="194"/>
  <c r="H111" i="194" s="1"/>
  <c r="K199" i="135"/>
  <c r="K131" i="135"/>
  <c r="K165" i="135"/>
  <c r="K201" i="135"/>
  <c r="K133" i="135"/>
  <c r="K167" i="135"/>
  <c r="K113" i="136"/>
  <c r="K147" i="136"/>
  <c r="K181" i="136"/>
  <c r="K118" i="136"/>
  <c r="K186" i="136"/>
  <c r="K152" i="136"/>
  <c r="H112" i="200"/>
  <c r="H113" i="200"/>
  <c r="H115" i="200" s="1"/>
  <c r="K59" i="149"/>
  <c r="J366" i="149"/>
  <c r="K69" i="149" s="1"/>
  <c r="J367" i="149"/>
  <c r="K186" i="149"/>
  <c r="K152" i="149"/>
  <c r="K118" i="149"/>
  <c r="K197" i="138"/>
  <c r="K129" i="138"/>
  <c r="K163" i="138"/>
  <c r="K131" i="148"/>
  <c r="K199" i="148"/>
  <c r="K165" i="148"/>
  <c r="K82" i="148"/>
  <c r="K99" i="148"/>
  <c r="K84" i="148"/>
  <c r="J332" i="148"/>
  <c r="J356" i="148"/>
  <c r="J330" i="148"/>
  <c r="K213" i="151"/>
  <c r="K121" i="151"/>
  <c r="K282" i="151" s="1"/>
  <c r="K33" i="132" s="1"/>
  <c r="K164" i="139"/>
  <c r="K130" i="139"/>
  <c r="K198" i="139"/>
  <c r="K170" i="143"/>
  <c r="K136" i="143"/>
  <c r="K204" i="143"/>
  <c r="K233" i="142"/>
  <c r="K267" i="142" s="1"/>
  <c r="K145" i="150"/>
  <c r="K179" i="150"/>
  <c r="K111" i="150"/>
  <c r="K87" i="150"/>
  <c r="K88" i="150" s="1"/>
  <c r="K236" i="139"/>
  <c r="K270" i="139" s="1"/>
  <c r="P516" i="217"/>
  <c r="K47" i="140"/>
  <c r="K81" i="140" s="1"/>
  <c r="P515" i="217"/>
  <c r="K45" i="140"/>
  <c r="K79" i="140" s="1"/>
  <c r="K102" i="140"/>
  <c r="K95" i="140"/>
  <c r="J15" i="102"/>
  <c r="H15" i="185"/>
  <c r="H44" i="185" s="1"/>
  <c r="H57" i="185" s="1"/>
  <c r="H98" i="185" s="1"/>
  <c r="K181" i="149"/>
  <c r="K113" i="149"/>
  <c r="K147" i="149"/>
  <c r="K216" i="149"/>
  <c r="K250" i="149" s="1"/>
  <c r="K235" i="149"/>
  <c r="K269" i="149" s="1"/>
  <c r="H104" i="191"/>
  <c r="H20" i="205" s="1"/>
  <c r="H105" i="191"/>
  <c r="H20" i="207" s="1"/>
  <c r="H21" i="209" s="1"/>
  <c r="H253" i="209" s="1"/>
  <c r="H22" i="210" s="1"/>
  <c r="H61" i="211" s="1"/>
  <c r="H103" i="191"/>
  <c r="K145" i="162"/>
  <c r="K179" i="162"/>
  <c r="K111" i="162"/>
  <c r="K87" i="162"/>
  <c r="K88" i="162" s="1"/>
  <c r="J366" i="139"/>
  <c r="K59" i="139"/>
  <c r="J332" i="137"/>
  <c r="J333" i="137" s="1"/>
  <c r="K117" i="143"/>
  <c r="K185" i="143"/>
  <c r="K151" i="143"/>
  <c r="K149" i="135"/>
  <c r="K115" i="135"/>
  <c r="K183" i="135"/>
  <c r="H104" i="189"/>
  <c r="H18" i="205" s="1"/>
  <c r="H103" i="189"/>
  <c r="H105" i="189"/>
  <c r="H18" i="207" s="1"/>
  <c r="H19" i="209" s="1"/>
  <c r="H251" i="209" s="1"/>
  <c r="H20" i="210" s="1"/>
  <c r="H59" i="211" s="1"/>
  <c r="K166" i="145"/>
  <c r="K132" i="145"/>
  <c r="K200" i="145"/>
  <c r="K234" i="145" s="1"/>
  <c r="K268" i="145" s="1"/>
  <c r="K181" i="145"/>
  <c r="K147" i="145"/>
  <c r="K113" i="145"/>
  <c r="K187" i="145"/>
  <c r="K119" i="145"/>
  <c r="K153" i="145"/>
  <c r="H15" i="198"/>
  <c r="H44" i="198" s="1"/>
  <c r="H57" i="198" s="1"/>
  <c r="H98" i="198" s="1"/>
  <c r="J28" i="102"/>
  <c r="K136" i="145"/>
  <c r="K170" i="145"/>
  <c r="K204" i="145"/>
  <c r="K82" i="145"/>
  <c r="K218" i="149"/>
  <c r="K252" i="149" s="1"/>
  <c r="K237" i="149"/>
  <c r="K271" i="149" s="1"/>
  <c r="K195" i="150"/>
  <c r="K161" i="150"/>
  <c r="K127" i="150"/>
  <c r="K103" i="150"/>
  <c r="K104" i="150" s="1"/>
  <c r="K59" i="143"/>
  <c r="J366" i="143"/>
  <c r="K69" i="143" s="1"/>
  <c r="H105" i="190"/>
  <c r="H19" i="207" s="1"/>
  <c r="H20" i="209" s="1"/>
  <c r="H252" i="209" s="1"/>
  <c r="H21" i="210" s="1"/>
  <c r="H60" i="211" s="1"/>
  <c r="H103" i="190"/>
  <c r="H104" i="190"/>
  <c r="H19" i="205" s="1"/>
  <c r="K59" i="135"/>
  <c r="J366" i="135"/>
  <c r="K69" i="135" s="1"/>
  <c r="K116" i="136"/>
  <c r="K184" i="136"/>
  <c r="K150" i="136"/>
  <c r="K103" i="162"/>
  <c r="K104" i="162" s="1"/>
  <c r="K161" i="162"/>
  <c r="K127" i="162"/>
  <c r="K195" i="162"/>
  <c r="K87" i="144"/>
  <c r="K88" i="144" s="1"/>
  <c r="K145" i="144"/>
  <c r="K179" i="144"/>
  <c r="K111" i="144"/>
  <c r="K147" i="138"/>
  <c r="K181" i="138"/>
  <c r="K113" i="138"/>
  <c r="K204" i="148"/>
  <c r="K136" i="148"/>
  <c r="K170" i="148"/>
  <c r="H155" i="197"/>
  <c r="H158" i="197"/>
  <c r="H26" i="207"/>
  <c r="J340" i="140"/>
  <c r="J313" i="140"/>
  <c r="J99" i="102"/>
  <c r="J43" i="95"/>
  <c r="J68" i="95" s="1"/>
  <c r="K152" i="135"/>
  <c r="K118" i="135"/>
  <c r="K186" i="135"/>
  <c r="K200" i="136"/>
  <c r="K166" i="136"/>
  <c r="K132" i="136"/>
  <c r="K133" i="145"/>
  <c r="K167" i="145"/>
  <c r="K201" i="145"/>
  <c r="J351" i="138"/>
  <c r="K232" i="149"/>
  <c r="K266" i="149" s="1"/>
  <c r="K53" i="142"/>
  <c r="K290" i="142" s="1"/>
  <c r="J368" i="142"/>
  <c r="J370" i="142" s="1"/>
  <c r="K118" i="138"/>
  <c r="K186" i="138"/>
  <c r="K152" i="138"/>
  <c r="K162" i="146"/>
  <c r="K128" i="146"/>
  <c r="K196" i="146"/>
  <c r="H117" i="204"/>
  <c r="H114" i="204"/>
  <c r="H116" i="204" s="1"/>
  <c r="H118" i="204" s="1"/>
  <c r="J95" i="102"/>
  <c r="J39" i="95"/>
  <c r="J64" i="95" s="1"/>
  <c r="K183" i="137"/>
  <c r="K149" i="137"/>
  <c r="K115" i="137"/>
  <c r="K219" i="137"/>
  <c r="K253" i="137" s="1"/>
  <c r="K111" i="146"/>
  <c r="K145" i="146"/>
  <c r="K179" i="146"/>
  <c r="K217" i="142"/>
  <c r="K251" i="142" s="1"/>
  <c r="K184" i="135"/>
  <c r="K150" i="135"/>
  <c r="K116" i="135"/>
  <c r="K130" i="135"/>
  <c r="K198" i="135"/>
  <c r="K164" i="135"/>
  <c r="K43" i="136"/>
  <c r="J350" i="136"/>
  <c r="K115" i="136"/>
  <c r="K217" i="136" s="1"/>
  <c r="K251" i="136" s="1"/>
  <c r="K183" i="136"/>
  <c r="K149" i="136"/>
  <c r="K180" i="144"/>
  <c r="K112" i="144"/>
  <c r="K146" i="144"/>
  <c r="J366" i="136"/>
  <c r="K59" i="136"/>
  <c r="K132" i="149"/>
  <c r="K200" i="149"/>
  <c r="K166" i="149"/>
  <c r="K59" i="138"/>
  <c r="J366" i="138"/>
  <c r="K113" i="148"/>
  <c r="K147" i="148"/>
  <c r="K181" i="148"/>
  <c r="K101" i="148"/>
  <c r="K130" i="148"/>
  <c r="K198" i="148"/>
  <c r="K164" i="148"/>
  <c r="K80" i="148"/>
  <c r="J333" i="148"/>
  <c r="K149" i="139"/>
  <c r="K115" i="139"/>
  <c r="K183" i="139"/>
  <c r="K186" i="143"/>
  <c r="K118" i="143"/>
  <c r="K152" i="143"/>
  <c r="H103" i="188"/>
  <c r="H105" i="188"/>
  <c r="H17" i="207" s="1"/>
  <c r="H18" i="209" s="1"/>
  <c r="H250" i="209" s="1"/>
  <c r="H19" i="210" s="1"/>
  <c r="H58" i="211" s="1"/>
  <c r="H104" i="188"/>
  <c r="H17" i="205" s="1"/>
  <c r="J314" i="136"/>
  <c r="K233" i="149"/>
  <c r="K267" i="149" s="1"/>
  <c r="K145" i="147"/>
  <c r="K179" i="147"/>
  <c r="K111" i="147"/>
  <c r="K87" i="147"/>
  <c r="K88" i="147" s="1"/>
  <c r="K234" i="135"/>
  <c r="K268" i="135" s="1"/>
  <c r="K222" i="135"/>
  <c r="K256" i="135" s="1"/>
  <c r="P518" i="217"/>
  <c r="K51" i="140"/>
  <c r="K85" i="140" s="1"/>
  <c r="P517" i="217"/>
  <c r="K49" i="140"/>
  <c r="K83" i="140" s="1"/>
  <c r="K99" i="140"/>
  <c r="J329" i="140"/>
  <c r="J330" i="140" s="1"/>
  <c r="J356" i="140"/>
  <c r="J367" i="142"/>
  <c r="K154" i="149"/>
  <c r="K120" i="149"/>
  <c r="K188" i="149"/>
  <c r="K234" i="142"/>
  <c r="K268" i="142" s="1"/>
  <c r="J38" i="95"/>
  <c r="J63" i="95" s="1"/>
  <c r="J94" i="102"/>
  <c r="K119" i="139"/>
  <c r="K187" i="139"/>
  <c r="K153" i="139"/>
  <c r="K163" i="137"/>
  <c r="K129" i="137"/>
  <c r="K197" i="137"/>
  <c r="K167" i="137"/>
  <c r="K133" i="137"/>
  <c r="K201" i="137"/>
  <c r="K148" i="135"/>
  <c r="K182" i="135"/>
  <c r="K114" i="135"/>
  <c r="K133" i="136"/>
  <c r="K167" i="136"/>
  <c r="K201" i="136"/>
  <c r="J36" i="95"/>
  <c r="J61" i="95" s="1"/>
  <c r="J92" i="102"/>
  <c r="K197" i="145"/>
  <c r="K163" i="145"/>
  <c r="K129" i="145"/>
  <c r="K183" i="145"/>
  <c r="K115" i="145"/>
  <c r="K149" i="145"/>
  <c r="K84" i="145"/>
  <c r="K80" i="145"/>
  <c r="K101" i="145"/>
  <c r="K214" i="151"/>
  <c r="K248" i="151" s="1"/>
  <c r="H112" i="203"/>
  <c r="H113" i="203"/>
  <c r="H115" i="203" s="1"/>
  <c r="K237" i="136"/>
  <c r="K271" i="136" s="1"/>
  <c r="K170" i="138"/>
  <c r="K204" i="138"/>
  <c r="K136" i="138"/>
  <c r="K200" i="139"/>
  <c r="K132" i="139"/>
  <c r="K166" i="139"/>
  <c r="K195" i="144"/>
  <c r="K161" i="144"/>
  <c r="K127" i="144"/>
  <c r="K103" i="144"/>
  <c r="K104" i="144" s="1"/>
  <c r="H103" i="202"/>
  <c r="H104" i="202"/>
  <c r="H31" i="205" s="1"/>
  <c r="H105" i="202"/>
  <c r="H31" i="207" s="1"/>
  <c r="H32" i="209" s="1"/>
  <c r="H264" i="209" s="1"/>
  <c r="H33" i="210" s="1"/>
  <c r="H72" i="211" s="1"/>
  <c r="K183" i="148"/>
  <c r="K115" i="148"/>
  <c r="K149" i="148"/>
  <c r="K132" i="148"/>
  <c r="K166" i="148"/>
  <c r="K200" i="148"/>
  <c r="K197" i="136"/>
  <c r="K129" i="136"/>
  <c r="K163" i="136"/>
  <c r="K180" i="147"/>
  <c r="K112" i="147"/>
  <c r="K146" i="147"/>
  <c r="K155" i="147" s="1"/>
  <c r="K54" i="150"/>
  <c r="K268" i="140"/>
  <c r="K132" i="140"/>
  <c r="K200" i="140"/>
  <c r="K234" i="140" s="1"/>
  <c r="K166" i="140"/>
  <c r="K101" i="140"/>
  <c r="J350" i="137"/>
  <c r="K43" i="137"/>
  <c r="J319" i="141"/>
  <c r="J311" i="141"/>
  <c r="J348" i="141" s="1"/>
  <c r="J310" i="141"/>
  <c r="J347" i="141" s="1"/>
  <c r="J313" i="141"/>
  <c r="J305" i="141"/>
  <c r="J342" i="141" s="1"/>
  <c r="J303" i="141"/>
  <c r="J326" i="141"/>
  <c r="J363" i="141" s="1"/>
  <c r="K66" i="141" s="1"/>
  <c r="J324" i="141"/>
  <c r="J361" i="141" s="1"/>
  <c r="K64" i="141" s="1"/>
  <c r="J308" i="141"/>
  <c r="J345" i="141" s="1"/>
  <c r="J322" i="141"/>
  <c r="J359" i="141" s="1"/>
  <c r="K62" i="141" s="1"/>
  <c r="J320" i="141"/>
  <c r="J357" i="141" s="1"/>
  <c r="K60" i="141" s="1"/>
  <c r="J306" i="141"/>
  <c r="J343" i="141" s="1"/>
  <c r="J22" i="128"/>
  <c r="J331" i="141"/>
  <c r="J329" i="141"/>
  <c r="J328" i="141"/>
  <c r="J365" i="141" s="1"/>
  <c r="K68" i="141" s="1"/>
  <c r="J309" i="141"/>
  <c r="J346" i="141" s="1"/>
  <c r="J304" i="141"/>
  <c r="J341" i="141" s="1"/>
  <c r="J327" i="141"/>
  <c r="J364" i="141" s="1"/>
  <c r="K67" i="141" s="1"/>
  <c r="K101" i="141" s="1"/>
  <c r="J325" i="141"/>
  <c r="J362" i="141" s="1"/>
  <c r="K65" i="141" s="1"/>
  <c r="K99" i="141" s="1"/>
  <c r="J312" i="141"/>
  <c r="J349" i="141" s="1"/>
  <c r="J323" i="141"/>
  <c r="J360" i="141" s="1"/>
  <c r="K63" i="141" s="1"/>
  <c r="K97" i="141" s="1"/>
  <c r="J321" i="141"/>
  <c r="J358" i="141" s="1"/>
  <c r="K61" i="141" s="1"/>
  <c r="K95" i="141" s="1"/>
  <c r="J307" i="141"/>
  <c r="J344" i="141" s="1"/>
  <c r="J340" i="145"/>
  <c r="J314" i="145"/>
  <c r="K162" i="150"/>
  <c r="K196" i="150"/>
  <c r="K128" i="150"/>
  <c r="K155" i="151"/>
  <c r="K280" i="151" s="1"/>
  <c r="K33" i="131" s="1"/>
  <c r="J367" i="135"/>
  <c r="J350" i="149"/>
  <c r="J351" i="149" s="1"/>
  <c r="K43" i="149"/>
  <c r="K77" i="142"/>
  <c r="K54" i="142"/>
  <c r="K78" i="142"/>
  <c r="K183" i="138"/>
  <c r="K115" i="138"/>
  <c r="K149" i="138"/>
  <c r="K195" i="146"/>
  <c r="K127" i="146"/>
  <c r="K137" i="146" s="1"/>
  <c r="K138" i="146" s="1"/>
  <c r="K161" i="146"/>
  <c r="K103" i="146"/>
  <c r="K104" i="146" s="1"/>
  <c r="K169" i="139"/>
  <c r="K135" i="139"/>
  <c r="K203" i="139"/>
  <c r="J314" i="139"/>
  <c r="J332" i="139"/>
  <c r="J333" i="139" s="1"/>
  <c r="K116" i="137"/>
  <c r="K150" i="137"/>
  <c r="K184" i="137"/>
  <c r="K201" i="143"/>
  <c r="K133" i="143"/>
  <c r="K167" i="143"/>
  <c r="K198" i="143"/>
  <c r="K164" i="143"/>
  <c r="K130" i="143"/>
  <c r="H262" i="211"/>
  <c r="N73" i="218" s="1"/>
  <c r="H237" i="211"/>
  <c r="H113" i="195"/>
  <c r="H115" i="195" s="1"/>
  <c r="H112" i="195"/>
  <c r="K196" i="144"/>
  <c r="K128" i="144"/>
  <c r="K162" i="144"/>
  <c r="K171" i="144" s="1"/>
  <c r="K162" i="162"/>
  <c r="K196" i="162"/>
  <c r="K128" i="162"/>
  <c r="K137" i="162" s="1"/>
  <c r="K138" i="162" s="1"/>
  <c r="J49" i="95"/>
  <c r="J74" i="95" s="1"/>
  <c r="J105" i="102"/>
  <c r="K221" i="149"/>
  <c r="K255" i="149" s="1"/>
  <c r="K221" i="138"/>
  <c r="K255" i="138" s="1"/>
  <c r="K128" i="147"/>
  <c r="K196" i="147"/>
  <c r="K162" i="147"/>
  <c r="K230" i="151"/>
  <c r="K264" i="151" s="1"/>
  <c r="K95" i="148"/>
  <c r="K83" i="148"/>
  <c r="K86" i="148"/>
  <c r="J31" i="102"/>
  <c r="H15" i="201"/>
  <c r="H44" i="201" s="1"/>
  <c r="H57" i="201" s="1"/>
  <c r="H98" i="201" s="1"/>
  <c r="J340" i="148"/>
  <c r="J314" i="148"/>
  <c r="K119" i="137"/>
  <c r="K153" i="137"/>
  <c r="K187" i="137"/>
  <c r="K168" i="137"/>
  <c r="K134" i="137"/>
  <c r="K202" i="137"/>
  <c r="K182" i="143"/>
  <c r="K148" i="143"/>
  <c r="K114" i="143"/>
  <c r="J91" i="102"/>
  <c r="J35" i="95"/>
  <c r="J60" i="95" s="1"/>
  <c r="K188" i="136"/>
  <c r="K120" i="136"/>
  <c r="K154" i="136"/>
  <c r="K217" i="149"/>
  <c r="K251" i="149" s="1"/>
  <c r="J332" i="138"/>
  <c r="J333" i="138" s="1"/>
  <c r="J314" i="138"/>
  <c r="K146" i="150"/>
  <c r="K180" i="150"/>
  <c r="K112" i="150"/>
  <c r="K182" i="137"/>
  <c r="K148" i="137"/>
  <c r="K114" i="137"/>
  <c r="K136" i="136"/>
  <c r="K170" i="136"/>
  <c r="K204" i="136"/>
  <c r="K198" i="140"/>
  <c r="K164" i="140"/>
  <c r="K130" i="140"/>
  <c r="K80" i="140"/>
  <c r="K97" i="140"/>
  <c r="K70" i="142"/>
  <c r="K132" i="138"/>
  <c r="K166" i="138"/>
  <c r="K200" i="138"/>
  <c r="K236" i="138"/>
  <c r="K270" i="138" s="1"/>
  <c r="K146" i="162"/>
  <c r="K155" i="162" s="1"/>
  <c r="K180" i="162"/>
  <c r="K112" i="162"/>
  <c r="K186" i="139"/>
  <c r="K118" i="139"/>
  <c r="K152" i="139"/>
  <c r="K131" i="137"/>
  <c r="K199" i="137"/>
  <c r="K165" i="137"/>
  <c r="H104" i="196"/>
  <c r="H105" i="196"/>
  <c r="H149" i="196" s="1"/>
  <c r="H103" i="196"/>
  <c r="K233" i="143"/>
  <c r="K267" i="143" s="1"/>
  <c r="K234" i="143"/>
  <c r="K268" i="143" s="1"/>
  <c r="K218" i="143"/>
  <c r="K252" i="143" s="1"/>
  <c r="K218" i="142"/>
  <c r="K252" i="142" s="1"/>
  <c r="J350" i="135"/>
  <c r="K43" i="135"/>
  <c r="K221" i="135"/>
  <c r="K255" i="135" s="1"/>
  <c r="K130" i="136"/>
  <c r="K198" i="136"/>
  <c r="K232" i="136" s="1"/>
  <c r="K266" i="136" s="1"/>
  <c r="K164" i="136"/>
  <c r="J314" i="135"/>
  <c r="J356" i="145"/>
  <c r="J330" i="145"/>
  <c r="K117" i="145"/>
  <c r="K151" i="145"/>
  <c r="K185" i="145"/>
  <c r="K97" i="145"/>
  <c r="K86" i="145"/>
  <c r="K216" i="138"/>
  <c r="K250" i="138" s="1"/>
  <c r="K189" i="151"/>
  <c r="K281" i="151" s="1"/>
  <c r="K33" i="133" s="1"/>
  <c r="K215" i="143"/>
  <c r="K249" i="143" s="1"/>
  <c r="K84" i="86"/>
  <c r="K152" i="86" s="1"/>
  <c r="K134" i="86"/>
  <c r="K80" i="86"/>
  <c r="K114" i="86" s="1"/>
  <c r="K233" i="86"/>
  <c r="K267" i="86" s="1"/>
  <c r="K183" i="86"/>
  <c r="K115" i="86"/>
  <c r="K149" i="86"/>
  <c r="H256" i="211"/>
  <c r="N67" i="218" s="1"/>
  <c r="H231" i="211"/>
  <c r="J16" i="102"/>
  <c r="H15" i="186"/>
  <c r="H44" i="186" s="1"/>
  <c r="H57" i="186" s="1"/>
  <c r="H98" i="186" s="1"/>
  <c r="K151" i="86"/>
  <c r="K185" i="86"/>
  <c r="K117" i="86"/>
  <c r="J314" i="86"/>
  <c r="J332" i="86"/>
  <c r="J333" i="86" s="1"/>
  <c r="K167" i="86"/>
  <c r="K201" i="86"/>
  <c r="K133" i="86"/>
  <c r="K188" i="86"/>
  <c r="K120" i="86"/>
  <c r="K154" i="86"/>
  <c r="K232" i="86"/>
  <c r="K266" i="86" s="1"/>
  <c r="K82" i="86"/>
  <c r="H257" i="211"/>
  <c r="N68" i="218" s="1"/>
  <c r="H232" i="211"/>
  <c r="K43" i="86"/>
  <c r="K77" i="86" s="1"/>
  <c r="J350" i="86"/>
  <c r="H230" i="211"/>
  <c r="H255" i="211"/>
  <c r="N66" i="218" s="1"/>
  <c r="K170" i="86"/>
  <c r="K204" i="86"/>
  <c r="K136" i="86"/>
  <c r="K163" i="86"/>
  <c r="K197" i="86"/>
  <c r="K129" i="86"/>
  <c r="H258" i="211"/>
  <c r="N69" i="218" s="1"/>
  <c r="H233" i="211"/>
  <c r="H260" i="211"/>
  <c r="N71" i="218" s="1"/>
  <c r="H235" i="211"/>
  <c r="H234" i="211"/>
  <c r="H259" i="211"/>
  <c r="N70" i="218" s="1"/>
  <c r="K182" i="86"/>
  <c r="K59" i="86"/>
  <c r="J366" i="86"/>
  <c r="K236" i="86"/>
  <c r="K270" i="86" s="1"/>
  <c r="K79" i="86"/>
  <c r="K166" i="86"/>
  <c r="K200" i="86"/>
  <c r="K132" i="86"/>
  <c r="K85" i="86"/>
  <c r="K203" i="86"/>
  <c r="K135" i="86"/>
  <c r="K169" i="86"/>
  <c r="K233" i="137" l="1"/>
  <c r="K267" i="137" s="1"/>
  <c r="K214" i="144"/>
  <c r="K248" i="144" s="1"/>
  <c r="K70" i="137"/>
  <c r="H28" i="207"/>
  <c r="K238" i="134"/>
  <c r="K272" i="134" s="1"/>
  <c r="K69" i="134"/>
  <c r="K70" i="134" s="1"/>
  <c r="J367" i="134"/>
  <c r="K215" i="134"/>
  <c r="K249" i="134" s="1"/>
  <c r="K94" i="134"/>
  <c r="K93" i="134"/>
  <c r="K222" i="134"/>
  <c r="K256" i="134" s="1"/>
  <c r="H158" i="199"/>
  <c r="K236" i="134"/>
  <c r="K270" i="134" s="1"/>
  <c r="K222" i="138"/>
  <c r="K256" i="138" s="1"/>
  <c r="K221" i="134"/>
  <c r="K255" i="134" s="1"/>
  <c r="K77" i="134"/>
  <c r="K78" i="134"/>
  <c r="K232" i="134"/>
  <c r="K266" i="134" s="1"/>
  <c r="K220" i="139"/>
  <c r="K254" i="139" s="1"/>
  <c r="K235" i="134"/>
  <c r="K269" i="134" s="1"/>
  <c r="H16" i="206"/>
  <c r="I75" i="208" s="1"/>
  <c r="H106" i="187"/>
  <c r="H111" i="187" s="1"/>
  <c r="J368" i="134"/>
  <c r="J370" i="134" s="1"/>
  <c r="J351" i="134"/>
  <c r="K53" i="134"/>
  <c r="K218" i="138"/>
  <c r="K252" i="138" s="1"/>
  <c r="K230" i="150"/>
  <c r="K264" i="150" s="1"/>
  <c r="K102" i="141"/>
  <c r="K238" i="143"/>
  <c r="K272" i="143" s="1"/>
  <c r="K218" i="139"/>
  <c r="K252" i="139" s="1"/>
  <c r="K96" i="141"/>
  <c r="K235" i="137"/>
  <c r="K269" i="137" s="1"/>
  <c r="K221" i="139"/>
  <c r="K255" i="139" s="1"/>
  <c r="K235" i="145"/>
  <c r="K269" i="145" s="1"/>
  <c r="K218" i="136"/>
  <c r="K252" i="136" s="1"/>
  <c r="K238" i="135"/>
  <c r="K272" i="135" s="1"/>
  <c r="K235" i="143"/>
  <c r="K269" i="143" s="1"/>
  <c r="K122" i="151"/>
  <c r="K237" i="138"/>
  <c r="K271" i="138" s="1"/>
  <c r="K137" i="144"/>
  <c r="K138" i="144" s="1"/>
  <c r="K217" i="139"/>
  <c r="K251" i="139" s="1"/>
  <c r="K238" i="148"/>
  <c r="K272" i="148" s="1"/>
  <c r="K171" i="150"/>
  <c r="K172" i="150" s="1"/>
  <c r="K214" i="150"/>
  <c r="K248" i="150" s="1"/>
  <c r="K217" i="145"/>
  <c r="K251" i="145" s="1"/>
  <c r="K232" i="148"/>
  <c r="K266" i="148" s="1"/>
  <c r="K220" i="135"/>
  <c r="K254" i="135" s="1"/>
  <c r="K215" i="149"/>
  <c r="K249" i="149" s="1"/>
  <c r="K233" i="148"/>
  <c r="K267" i="148" s="1"/>
  <c r="K231" i="138"/>
  <c r="K265" i="138" s="1"/>
  <c r="K233" i="135"/>
  <c r="K267" i="135" s="1"/>
  <c r="K236" i="148"/>
  <c r="K270" i="148" s="1"/>
  <c r="J48" i="95"/>
  <c r="J73" i="95" s="1"/>
  <c r="J104" i="102"/>
  <c r="K198" i="141"/>
  <c r="K130" i="141"/>
  <c r="K164" i="141"/>
  <c r="J366" i="140"/>
  <c r="K59" i="140"/>
  <c r="K213" i="147"/>
  <c r="K121" i="147"/>
  <c r="K122" i="147" s="1"/>
  <c r="K93" i="143"/>
  <c r="K94" i="143"/>
  <c r="H106" i="191"/>
  <c r="H111" i="191" s="1"/>
  <c r="H20" i="206"/>
  <c r="I79" i="208" s="1"/>
  <c r="K204" i="140"/>
  <c r="K238" i="140" s="1"/>
  <c r="K272" i="140" s="1"/>
  <c r="K170" i="140"/>
  <c r="K136" i="140"/>
  <c r="K213" i="150"/>
  <c r="K121" i="150"/>
  <c r="K122" i="150" s="1"/>
  <c r="H114" i="200"/>
  <c r="H116" i="200" s="1"/>
  <c r="H118" i="200" s="1"/>
  <c r="H117" i="200"/>
  <c r="K196" i="142"/>
  <c r="K128" i="142"/>
  <c r="K162" i="142"/>
  <c r="J368" i="143"/>
  <c r="J370" i="143" s="1"/>
  <c r="K53" i="143"/>
  <c r="K290" i="143" s="1"/>
  <c r="K137" i="147"/>
  <c r="K138" i="147" s="1"/>
  <c r="K155" i="146"/>
  <c r="H29" i="209"/>
  <c r="H261" i="209" s="1"/>
  <c r="H30" i="210" s="1"/>
  <c r="H69" i="211" s="1"/>
  <c r="I87" i="208"/>
  <c r="J366" i="145"/>
  <c r="K69" i="145" s="1"/>
  <c r="K70" i="145" s="1"/>
  <c r="K59" i="145"/>
  <c r="H106" i="196"/>
  <c r="H140" i="196"/>
  <c r="H152" i="196" s="1"/>
  <c r="H147" i="196"/>
  <c r="K232" i="140"/>
  <c r="K266" i="140" s="1"/>
  <c r="K216" i="137"/>
  <c r="K250" i="137" s="1"/>
  <c r="K120" i="148"/>
  <c r="K154" i="148"/>
  <c r="K188" i="148"/>
  <c r="K232" i="143"/>
  <c r="K266" i="143" s="1"/>
  <c r="K205" i="146"/>
  <c r="K206" i="146" s="1"/>
  <c r="K229" i="146"/>
  <c r="K112" i="142"/>
  <c r="K146" i="142"/>
  <c r="K180" i="142"/>
  <c r="K77" i="149"/>
  <c r="K78" i="149"/>
  <c r="J350" i="145"/>
  <c r="J351" i="145" s="1"/>
  <c r="K43" i="145"/>
  <c r="K52" i="141"/>
  <c r="O563" i="217"/>
  <c r="K49" i="141"/>
  <c r="O560" i="217"/>
  <c r="J72" i="128"/>
  <c r="J35" i="128"/>
  <c r="K48" i="141"/>
  <c r="O559" i="217"/>
  <c r="K45" i="141"/>
  <c r="O556" i="217"/>
  <c r="J356" i="141"/>
  <c r="J330" i="141"/>
  <c r="K234" i="148"/>
  <c r="K268" i="148" s="1"/>
  <c r="K217" i="148"/>
  <c r="K251" i="148" s="1"/>
  <c r="H31" i="206"/>
  <c r="I90" i="208" s="1"/>
  <c r="H106" i="202"/>
  <c r="H111" i="202" s="1"/>
  <c r="K172" i="144"/>
  <c r="K234" i="139"/>
  <c r="K268" i="139" s="1"/>
  <c r="K169" i="145"/>
  <c r="K135" i="145"/>
  <c r="K203" i="145"/>
  <c r="K216" i="135"/>
  <c r="K250" i="135" s="1"/>
  <c r="K222" i="149"/>
  <c r="K256" i="149" s="1"/>
  <c r="P576" i="217"/>
  <c r="K189" i="147"/>
  <c r="K220" i="143"/>
  <c r="K254" i="143" s="1"/>
  <c r="K93" i="138"/>
  <c r="K94" i="138"/>
  <c r="K94" i="136"/>
  <c r="K93" i="136"/>
  <c r="K53" i="136"/>
  <c r="J351" i="136"/>
  <c r="J368" i="136"/>
  <c r="J370" i="136" s="1"/>
  <c r="K213" i="146"/>
  <c r="J314" i="140"/>
  <c r="J332" i="140"/>
  <c r="J333" i="140" s="1"/>
  <c r="H156" i="197"/>
  <c r="K215" i="138"/>
  <c r="K249" i="138" s="1"/>
  <c r="K213" i="144"/>
  <c r="K121" i="144"/>
  <c r="K282" i="144" s="1"/>
  <c r="K26" i="132" s="1"/>
  <c r="K70" i="135"/>
  <c r="K205" i="150"/>
  <c r="K206" i="150" s="1"/>
  <c r="K229" i="150"/>
  <c r="K238" i="145"/>
  <c r="K272" i="145" s="1"/>
  <c r="H104" i="198"/>
  <c r="H27" i="205" s="1"/>
  <c r="H105" i="198"/>
  <c r="H27" i="207" s="1"/>
  <c r="H28" i="209" s="1"/>
  <c r="H260" i="209" s="1"/>
  <c r="H29" i="210" s="1"/>
  <c r="H68" i="211" s="1"/>
  <c r="H103" i="198"/>
  <c r="K215" i="145"/>
  <c r="K249" i="145" s="1"/>
  <c r="K93" i="139"/>
  <c r="K94" i="139"/>
  <c r="K213" i="162"/>
  <c r="K121" i="162"/>
  <c r="P328" i="217"/>
  <c r="J88" i="102"/>
  <c r="J32" i="95"/>
  <c r="K181" i="140"/>
  <c r="K147" i="140"/>
  <c r="K113" i="140"/>
  <c r="K189" i="150"/>
  <c r="K133" i="148"/>
  <c r="K201" i="148"/>
  <c r="K167" i="148"/>
  <c r="K220" i="149"/>
  <c r="K254" i="149" s="1"/>
  <c r="K70" i="149"/>
  <c r="K235" i="135"/>
  <c r="K269" i="135" s="1"/>
  <c r="H112" i="194"/>
  <c r="H113" i="194"/>
  <c r="H115" i="194" s="1"/>
  <c r="H106" i="192"/>
  <c r="H111" i="192" s="1"/>
  <c r="H21" i="206"/>
  <c r="I80" i="208" s="1"/>
  <c r="K232" i="145"/>
  <c r="K266" i="145" s="1"/>
  <c r="K195" i="142"/>
  <c r="K161" i="142"/>
  <c r="K171" i="142" s="1"/>
  <c r="K172" i="142" s="1"/>
  <c r="K127" i="142"/>
  <c r="K103" i="142"/>
  <c r="K104" i="142" s="1"/>
  <c r="K231" i="139"/>
  <c r="K265" i="139" s="1"/>
  <c r="K77" i="143"/>
  <c r="K54" i="143"/>
  <c r="K78" i="143"/>
  <c r="K221" i="148"/>
  <c r="K255" i="148" s="1"/>
  <c r="K171" i="147"/>
  <c r="K172" i="147" s="1"/>
  <c r="K121" i="146"/>
  <c r="K282" i="146" s="1"/>
  <c r="K28" i="132" s="1"/>
  <c r="K214" i="146"/>
  <c r="K248" i="146" s="1"/>
  <c r="K94" i="137"/>
  <c r="K93" i="137"/>
  <c r="K239" i="151"/>
  <c r="K240" i="151" s="1"/>
  <c r="K263" i="151"/>
  <c r="K273" i="151" s="1"/>
  <c r="K274" i="151" s="1"/>
  <c r="J351" i="135"/>
  <c r="K53" i="135"/>
  <c r="J368" i="135"/>
  <c r="J370" i="135" s="1"/>
  <c r="K199" i="141"/>
  <c r="K131" i="141"/>
  <c r="K165" i="141"/>
  <c r="K51" i="141"/>
  <c r="O562" i="217"/>
  <c r="P528" i="217" s="1"/>
  <c r="K156" i="151"/>
  <c r="K203" i="148"/>
  <c r="K135" i="148"/>
  <c r="K169" i="148"/>
  <c r="H19" i="206"/>
  <c r="I78" i="208" s="1"/>
  <c r="H106" i="190"/>
  <c r="H111" i="190" s="1"/>
  <c r="J101" i="102"/>
  <c r="J45" i="95"/>
  <c r="J70" i="95" s="1"/>
  <c r="H105" i="185"/>
  <c r="H14" i="207" s="1"/>
  <c r="H104" i="185"/>
  <c r="H14" i="205" s="1"/>
  <c r="H103" i="185"/>
  <c r="K186" i="148"/>
  <c r="K152" i="148"/>
  <c r="K118" i="148"/>
  <c r="K214" i="162"/>
  <c r="K248" i="162" s="1"/>
  <c r="K234" i="138"/>
  <c r="K268" i="138" s="1"/>
  <c r="K165" i="140"/>
  <c r="K199" i="140"/>
  <c r="K131" i="140"/>
  <c r="K238" i="136"/>
  <c r="K272" i="136" s="1"/>
  <c r="K236" i="137"/>
  <c r="K270" i="137" s="1"/>
  <c r="J350" i="148"/>
  <c r="K43" i="148"/>
  <c r="K117" i="148"/>
  <c r="K151" i="148"/>
  <c r="K185" i="148"/>
  <c r="K205" i="162"/>
  <c r="K206" i="162" s="1"/>
  <c r="K230" i="162"/>
  <c r="K264" i="162" s="1"/>
  <c r="K230" i="144"/>
  <c r="K264" i="144" s="1"/>
  <c r="K237" i="139"/>
  <c r="K271" i="139" s="1"/>
  <c r="K53" i="149"/>
  <c r="K290" i="149" s="1"/>
  <c r="J368" i="149"/>
  <c r="J370" i="149" s="1"/>
  <c r="K47" i="141"/>
  <c r="O558" i="217"/>
  <c r="P526" i="217" s="1"/>
  <c r="K133" i="141"/>
  <c r="K201" i="141"/>
  <c r="K235" i="141" s="1"/>
  <c r="K269" i="141" s="1"/>
  <c r="K167" i="141"/>
  <c r="K204" i="141"/>
  <c r="K170" i="141"/>
  <c r="K136" i="141"/>
  <c r="K46" i="141"/>
  <c r="K80" i="141" s="1"/>
  <c r="O557" i="217"/>
  <c r="K98" i="141"/>
  <c r="J332" i="141"/>
  <c r="J333" i="141" s="1"/>
  <c r="K77" i="137"/>
  <c r="K78" i="137"/>
  <c r="K156" i="147"/>
  <c r="K205" i="144"/>
  <c r="K206" i="144" s="1"/>
  <c r="K229" i="144"/>
  <c r="K114" i="145"/>
  <c r="K182" i="145"/>
  <c r="K148" i="145"/>
  <c r="K231" i="145"/>
  <c r="K265" i="145" s="1"/>
  <c r="K235" i="136"/>
  <c r="K269" i="136" s="1"/>
  <c r="K201" i="140"/>
  <c r="K133" i="140"/>
  <c r="K167" i="140"/>
  <c r="K153" i="140"/>
  <c r="K119" i="140"/>
  <c r="K221" i="140" s="1"/>
  <c r="K255" i="140" s="1"/>
  <c r="K187" i="140"/>
  <c r="K69" i="136"/>
  <c r="K70" i="136" s="1"/>
  <c r="J367" i="136"/>
  <c r="K78" i="136"/>
  <c r="K77" i="136"/>
  <c r="K218" i="135"/>
  <c r="K252" i="135" s="1"/>
  <c r="K230" i="146"/>
  <c r="K264" i="146" s="1"/>
  <c r="K234" i="136"/>
  <c r="K268" i="136" s="1"/>
  <c r="P514" i="217"/>
  <c r="J350" i="140"/>
  <c r="K43" i="140"/>
  <c r="K189" i="144"/>
  <c r="K229" i="162"/>
  <c r="K94" i="135"/>
  <c r="K93" i="135"/>
  <c r="J367" i="143"/>
  <c r="J367" i="139"/>
  <c r="K69" i="139"/>
  <c r="K70" i="139" s="1"/>
  <c r="K189" i="162"/>
  <c r="K281" i="162" s="1"/>
  <c r="K24" i="133" s="1"/>
  <c r="K86" i="140"/>
  <c r="P574" i="217"/>
  <c r="K155" i="150"/>
  <c r="K280" i="150" s="1"/>
  <c r="K32" i="131" s="1"/>
  <c r="K59" i="148"/>
  <c r="J366" i="148"/>
  <c r="K69" i="148" s="1"/>
  <c r="K184" i="148"/>
  <c r="K116" i="148"/>
  <c r="K150" i="148"/>
  <c r="K93" i="149"/>
  <c r="K94" i="149"/>
  <c r="K215" i="136"/>
  <c r="K249" i="136" s="1"/>
  <c r="K236" i="145"/>
  <c r="K270" i="145" s="1"/>
  <c r="K82" i="140"/>
  <c r="J368" i="138"/>
  <c r="J370" i="138" s="1"/>
  <c r="K53" i="138"/>
  <c r="K238" i="137"/>
  <c r="K272" i="137" s="1"/>
  <c r="K229" i="147"/>
  <c r="K205" i="147"/>
  <c r="K206" i="147" s="1"/>
  <c r="K189" i="146"/>
  <c r="K281" i="146" s="1"/>
  <c r="K28" i="133" s="1"/>
  <c r="K53" i="139"/>
  <c r="J368" i="139"/>
  <c r="J370" i="139" s="1"/>
  <c r="J351" i="139"/>
  <c r="K219" i="149"/>
  <c r="K253" i="149" s="1"/>
  <c r="H156" i="199"/>
  <c r="K165" i="145"/>
  <c r="K199" i="145"/>
  <c r="K131" i="145"/>
  <c r="K182" i="140"/>
  <c r="K114" i="140"/>
  <c r="K148" i="140"/>
  <c r="K190" i="151"/>
  <c r="K44" i="141"/>
  <c r="O555" i="217"/>
  <c r="J340" i="141"/>
  <c r="J314" i="141"/>
  <c r="K169" i="140"/>
  <c r="K203" i="140"/>
  <c r="K135" i="140"/>
  <c r="K185" i="140"/>
  <c r="K151" i="140"/>
  <c r="K117" i="140"/>
  <c r="J367" i="138"/>
  <c r="K69" i="138"/>
  <c r="K70" i="138" s="1"/>
  <c r="K156" i="146"/>
  <c r="K84" i="140"/>
  <c r="K184" i="145"/>
  <c r="K116" i="145"/>
  <c r="K150" i="145"/>
  <c r="H106" i="189"/>
  <c r="H111" i="189" s="1"/>
  <c r="H18" i="206"/>
  <c r="I77" i="208" s="1"/>
  <c r="P575" i="217"/>
  <c r="K223" i="151"/>
  <c r="K279" i="151" s="1"/>
  <c r="K247" i="151"/>
  <c r="K257" i="151" s="1"/>
  <c r="K258" i="151" s="1"/>
  <c r="H113" i="199"/>
  <c r="H115" i="199" s="1"/>
  <c r="H112" i="199"/>
  <c r="K120" i="145"/>
  <c r="K188" i="145"/>
  <c r="K154" i="145"/>
  <c r="K219" i="145"/>
  <c r="K253" i="145" s="1"/>
  <c r="K78" i="135"/>
  <c r="K77" i="135"/>
  <c r="H148" i="196"/>
  <c r="H141" i="196"/>
  <c r="H153" i="196" s="1"/>
  <c r="H25" i="205" s="1"/>
  <c r="K222" i="136"/>
  <c r="K256" i="136" s="1"/>
  <c r="K216" i="143"/>
  <c r="K250" i="143" s="1"/>
  <c r="K221" i="137"/>
  <c r="K255" i="137" s="1"/>
  <c r="H103" i="201"/>
  <c r="H104" i="201"/>
  <c r="H30" i="205" s="1"/>
  <c r="H105" i="201"/>
  <c r="H30" i="207" s="1"/>
  <c r="H31" i="209" s="1"/>
  <c r="H263" i="209" s="1"/>
  <c r="H32" i="210" s="1"/>
  <c r="H71" i="211" s="1"/>
  <c r="K197" i="148"/>
  <c r="K163" i="148"/>
  <c r="K129" i="148"/>
  <c r="K230" i="147"/>
  <c r="K264" i="147" s="1"/>
  <c r="K171" i="162"/>
  <c r="K172" i="162" s="1"/>
  <c r="H117" i="195"/>
  <c r="H114" i="195"/>
  <c r="H116" i="195" s="1"/>
  <c r="H118" i="195" s="1"/>
  <c r="K218" i="137"/>
  <c r="K252" i="137" s="1"/>
  <c r="K171" i="146"/>
  <c r="K172" i="146" s="1"/>
  <c r="K217" i="138"/>
  <c r="K251" i="138" s="1"/>
  <c r="K111" i="142"/>
  <c r="K179" i="142"/>
  <c r="K145" i="142"/>
  <c r="K87" i="142"/>
  <c r="K88" i="142" s="1"/>
  <c r="K197" i="141"/>
  <c r="K129" i="141"/>
  <c r="K163" i="141"/>
  <c r="K169" i="141"/>
  <c r="K135" i="141"/>
  <c r="K203" i="141"/>
  <c r="K100" i="141"/>
  <c r="K50" i="141"/>
  <c r="K84" i="141" s="1"/>
  <c r="O561" i="217"/>
  <c r="K53" i="137"/>
  <c r="J368" i="137"/>
  <c r="J370" i="137" s="1"/>
  <c r="K214" i="147"/>
  <c r="K248" i="147" s="1"/>
  <c r="K231" i="136"/>
  <c r="K265" i="136" s="1"/>
  <c r="H270" i="211"/>
  <c r="N81" i="218" s="1"/>
  <c r="H245" i="211"/>
  <c r="K238" i="138"/>
  <c r="K272" i="138" s="1"/>
  <c r="H114" i="203"/>
  <c r="H116" i="203" s="1"/>
  <c r="H118" i="203" s="1"/>
  <c r="H117" i="203"/>
  <c r="K118" i="145"/>
  <c r="K186" i="145"/>
  <c r="K152" i="145"/>
  <c r="J66" i="102"/>
  <c r="K231" i="137"/>
  <c r="K265" i="137" s="1"/>
  <c r="P577" i="217"/>
  <c r="H106" i="188"/>
  <c r="H111" i="188" s="1"/>
  <c r="H17" i="206"/>
  <c r="I76" i="208" s="1"/>
  <c r="K182" i="148"/>
  <c r="K148" i="148"/>
  <c r="K114" i="148"/>
  <c r="K215" i="148"/>
  <c r="K249" i="148" s="1"/>
  <c r="K234" i="149"/>
  <c r="K268" i="149" s="1"/>
  <c r="K232" i="135"/>
  <c r="K266" i="135" s="1"/>
  <c r="K190" i="146"/>
  <c r="K217" i="137"/>
  <c r="K251" i="137" s="1"/>
  <c r="K220" i="138"/>
  <c r="K254" i="138" s="1"/>
  <c r="J367" i="137"/>
  <c r="I85" i="208"/>
  <c r="H27" i="209"/>
  <c r="H259" i="209" s="1"/>
  <c r="H28" i="210" s="1"/>
  <c r="H67" i="211" s="1"/>
  <c r="K155" i="144"/>
  <c r="K280" i="144" s="1"/>
  <c r="K26" i="131" s="1"/>
  <c r="K70" i="143"/>
  <c r="K137" i="150"/>
  <c r="K138" i="150" s="1"/>
  <c r="K221" i="145"/>
  <c r="K255" i="145" s="1"/>
  <c r="K217" i="135"/>
  <c r="K251" i="135" s="1"/>
  <c r="K219" i="143"/>
  <c r="K253" i="143" s="1"/>
  <c r="K156" i="162"/>
  <c r="K197" i="140"/>
  <c r="K231" i="140" s="1"/>
  <c r="K265" i="140" s="1"/>
  <c r="K129" i="140"/>
  <c r="K163" i="140"/>
  <c r="K183" i="140"/>
  <c r="K115" i="140"/>
  <c r="K149" i="140"/>
  <c r="K232" i="139"/>
  <c r="K266" i="139" s="1"/>
  <c r="K220" i="136"/>
  <c r="K254" i="136" s="1"/>
  <c r="K222" i="143"/>
  <c r="K256" i="143" s="1"/>
  <c r="H113" i="197"/>
  <c r="H115" i="197" s="1"/>
  <c r="H112" i="197"/>
  <c r="K233" i="138"/>
  <c r="K267" i="138" s="1"/>
  <c r="K78" i="138"/>
  <c r="K77" i="138"/>
  <c r="J351" i="143"/>
  <c r="K217" i="143"/>
  <c r="K251" i="143" s="1"/>
  <c r="K78" i="139"/>
  <c r="K77" i="139"/>
  <c r="K231" i="149"/>
  <c r="K265" i="149" s="1"/>
  <c r="J351" i="137"/>
  <c r="K148" i="86"/>
  <c r="K216" i="86" s="1"/>
  <c r="K250" i="86" s="1"/>
  <c r="K118" i="86"/>
  <c r="K220" i="86" s="1"/>
  <c r="K254" i="86" s="1"/>
  <c r="K186" i="86"/>
  <c r="K78" i="86"/>
  <c r="K180" i="86" s="1"/>
  <c r="K219" i="86"/>
  <c r="K253" i="86" s="1"/>
  <c r="K217" i="86"/>
  <c r="K251" i="86" s="1"/>
  <c r="K237" i="86"/>
  <c r="K271" i="86" s="1"/>
  <c r="J367" i="86"/>
  <c r="K69" i="86"/>
  <c r="K70" i="86" s="1"/>
  <c r="K231" i="86"/>
  <c r="K265" i="86" s="1"/>
  <c r="J368" i="86"/>
  <c r="J370" i="86" s="1"/>
  <c r="J351" i="86"/>
  <c r="K53" i="86"/>
  <c r="K187" i="86"/>
  <c r="K119" i="86"/>
  <c r="K153" i="86"/>
  <c r="K147" i="86"/>
  <c r="K181" i="86"/>
  <c r="K113" i="86"/>
  <c r="K93" i="86"/>
  <c r="K94" i="86"/>
  <c r="K179" i="86"/>
  <c r="K111" i="86"/>
  <c r="K145" i="86"/>
  <c r="K184" i="86"/>
  <c r="K116" i="86"/>
  <c r="K150" i="86"/>
  <c r="H104" i="186"/>
  <c r="H15" i="205" s="1"/>
  <c r="H105" i="186"/>
  <c r="H15" i="207" s="1"/>
  <c r="H103" i="186"/>
  <c r="K222" i="86"/>
  <c r="K256" i="86" s="1"/>
  <c r="K235" i="86"/>
  <c r="K269" i="86" s="1"/>
  <c r="J89" i="102"/>
  <c r="J33" i="95"/>
  <c r="J58" i="95" s="1"/>
  <c r="K234" i="86"/>
  <c r="K268" i="86" s="1"/>
  <c r="K238" i="86"/>
  <c r="K272" i="86" s="1"/>
  <c r="N84" i="218"/>
  <c r="K54" i="134" l="1"/>
  <c r="K290" i="134"/>
  <c r="K146" i="134"/>
  <c r="K180" i="134"/>
  <c r="K112" i="134"/>
  <c r="K214" i="134" s="1"/>
  <c r="K248" i="134" s="1"/>
  <c r="K128" i="134"/>
  <c r="K162" i="134"/>
  <c r="K196" i="134"/>
  <c r="K230" i="134" s="1"/>
  <c r="K264" i="134" s="1"/>
  <c r="K111" i="134"/>
  <c r="K87" i="134"/>
  <c r="K88" i="134" s="1"/>
  <c r="K145" i="134"/>
  <c r="K155" i="134" s="1"/>
  <c r="K179" i="134"/>
  <c r="K189" i="134" s="1"/>
  <c r="H113" i="187"/>
  <c r="H115" i="187" s="1"/>
  <c r="H112" i="187"/>
  <c r="K161" i="134"/>
  <c r="K171" i="134" s="1"/>
  <c r="K172" i="134" s="1"/>
  <c r="K195" i="134"/>
  <c r="K127" i="134"/>
  <c r="K137" i="134" s="1"/>
  <c r="K138" i="134" s="1"/>
  <c r="K103" i="134"/>
  <c r="K104" i="134" s="1"/>
  <c r="K231" i="148"/>
  <c r="K265" i="148" s="1"/>
  <c r="K218" i="148"/>
  <c r="K252" i="148" s="1"/>
  <c r="K281" i="144"/>
  <c r="K26" i="133" s="1"/>
  <c r="K235" i="148"/>
  <c r="K269" i="148" s="1"/>
  <c r="H154" i="196"/>
  <c r="K122" i="144"/>
  <c r="J367" i="148"/>
  <c r="P527" i="217"/>
  <c r="K54" i="149"/>
  <c r="J367" i="145"/>
  <c r="K231" i="141"/>
  <c r="K265" i="141" s="1"/>
  <c r="K190" i="144"/>
  <c r="K232" i="141"/>
  <c r="K266" i="141" s="1"/>
  <c r="H25" i="207"/>
  <c r="H158" i="196"/>
  <c r="K161" i="135"/>
  <c r="K195" i="135"/>
  <c r="K127" i="135"/>
  <c r="K103" i="135"/>
  <c r="K104" i="135" s="1"/>
  <c r="K77" i="148"/>
  <c r="K78" i="148"/>
  <c r="P386" i="217"/>
  <c r="H35" i="207"/>
  <c r="H15" i="209"/>
  <c r="H247" i="209" s="1"/>
  <c r="H16" i="210" s="1"/>
  <c r="H55" i="211" s="1"/>
  <c r="K290" i="135"/>
  <c r="K54" i="135"/>
  <c r="K196" i="139"/>
  <c r="K128" i="139"/>
  <c r="K162" i="139"/>
  <c r="K223" i="144"/>
  <c r="K247" i="144"/>
  <c r="K257" i="144" s="1"/>
  <c r="K258" i="144" s="1"/>
  <c r="K128" i="138"/>
  <c r="K196" i="138"/>
  <c r="K162" i="138"/>
  <c r="H113" i="202"/>
  <c r="H115" i="202" s="1"/>
  <c r="H112" i="202"/>
  <c r="K223" i="150"/>
  <c r="K247" i="150"/>
  <c r="K257" i="150" s="1"/>
  <c r="K258" i="150" s="1"/>
  <c r="H114" i="197"/>
  <c r="H117" i="197"/>
  <c r="K156" i="144"/>
  <c r="K220" i="145"/>
  <c r="K254" i="145" s="1"/>
  <c r="K134" i="141"/>
  <c r="K168" i="141"/>
  <c r="K202" i="141"/>
  <c r="K213" i="142"/>
  <c r="K112" i="135"/>
  <c r="K214" i="135" s="1"/>
  <c r="K248" i="135" s="1"/>
  <c r="K146" i="135"/>
  <c r="K180" i="135"/>
  <c r="K222" i="145"/>
  <c r="K256" i="145" s="1"/>
  <c r="K224" i="151"/>
  <c r="H112" i="189"/>
  <c r="H113" i="189"/>
  <c r="H115" i="189" s="1"/>
  <c r="K186" i="140"/>
  <c r="K118" i="140"/>
  <c r="K152" i="140"/>
  <c r="K219" i="140"/>
  <c r="K253" i="140" s="1"/>
  <c r="K290" i="139"/>
  <c r="K54" i="139"/>
  <c r="K70" i="148"/>
  <c r="K196" i="135"/>
  <c r="K128" i="135"/>
  <c r="K162" i="135"/>
  <c r="K77" i="140"/>
  <c r="K78" i="140"/>
  <c r="K235" i="140"/>
  <c r="K269" i="140" s="1"/>
  <c r="K216" i="145"/>
  <c r="K250" i="145" s="1"/>
  <c r="K111" i="137"/>
  <c r="K87" i="137"/>
  <c r="K88" i="137" s="1"/>
  <c r="K145" i="137"/>
  <c r="K179" i="137"/>
  <c r="K148" i="141"/>
  <c r="K182" i="141"/>
  <c r="K114" i="141"/>
  <c r="K81" i="141"/>
  <c r="K219" i="148"/>
  <c r="K253" i="148" s="1"/>
  <c r="J368" i="148"/>
  <c r="J370" i="148" s="1"/>
  <c r="K53" i="148"/>
  <c r="K290" i="148" s="1"/>
  <c r="K233" i="140"/>
  <c r="K267" i="140" s="1"/>
  <c r="K233" i="141"/>
  <c r="K267" i="141" s="1"/>
  <c r="K162" i="137"/>
  <c r="K128" i="137"/>
  <c r="K196" i="137"/>
  <c r="H113" i="192"/>
  <c r="H115" i="192" s="1"/>
  <c r="H112" i="192"/>
  <c r="P616" i="217"/>
  <c r="P620" i="217" s="1"/>
  <c r="P357" i="217"/>
  <c r="K103" i="139"/>
  <c r="K104" i="139" s="1"/>
  <c r="K127" i="139"/>
  <c r="K137" i="139" s="1"/>
  <c r="K138" i="139" s="1"/>
  <c r="K161" i="139"/>
  <c r="K171" i="139" s="1"/>
  <c r="K172" i="139" s="1"/>
  <c r="K195" i="139"/>
  <c r="K122" i="146"/>
  <c r="K290" i="136"/>
  <c r="K54" i="136"/>
  <c r="K127" i="138"/>
  <c r="K137" i="138" s="1"/>
  <c r="K138" i="138" s="1"/>
  <c r="K103" i="138"/>
  <c r="K104" i="138" s="1"/>
  <c r="K195" i="138"/>
  <c r="K161" i="138"/>
  <c r="K171" i="138" s="1"/>
  <c r="K172" i="138" s="1"/>
  <c r="J366" i="141"/>
  <c r="K69" i="141" s="1"/>
  <c r="K59" i="141"/>
  <c r="K82" i="141"/>
  <c r="K83" i="141"/>
  <c r="K77" i="145"/>
  <c r="K78" i="145"/>
  <c r="K179" i="149"/>
  <c r="K145" i="149"/>
  <c r="K111" i="149"/>
  <c r="K87" i="149"/>
  <c r="K88" i="149" s="1"/>
  <c r="K239" i="146"/>
  <c r="K240" i="146" s="1"/>
  <c r="K263" i="146"/>
  <c r="K273" i="146" s="1"/>
  <c r="K274" i="146" s="1"/>
  <c r="K93" i="145"/>
  <c r="K94" i="145"/>
  <c r="K280" i="146"/>
  <c r="K28" i="131" s="1"/>
  <c r="K69" i="140"/>
  <c r="K70" i="140" s="1"/>
  <c r="J367" i="140"/>
  <c r="K186" i="141"/>
  <c r="K152" i="141"/>
  <c r="K118" i="141"/>
  <c r="K220" i="141" s="1"/>
  <c r="K254" i="141" s="1"/>
  <c r="H269" i="211"/>
  <c r="N80" i="218" s="1"/>
  <c r="H244" i="211"/>
  <c r="K111" i="135"/>
  <c r="K87" i="135"/>
  <c r="K88" i="135" s="1"/>
  <c r="K145" i="135"/>
  <c r="K155" i="135" s="1"/>
  <c r="K156" i="135" s="1"/>
  <c r="K179" i="135"/>
  <c r="K239" i="147"/>
  <c r="K240" i="147" s="1"/>
  <c r="K263" i="147"/>
  <c r="K273" i="147" s="1"/>
  <c r="K274" i="147" s="1"/>
  <c r="K146" i="136"/>
  <c r="K180" i="136"/>
  <c r="K112" i="136"/>
  <c r="K239" i="144"/>
  <c r="K240" i="144" s="1"/>
  <c r="K263" i="144"/>
  <c r="K273" i="144" s="1"/>
  <c r="K274" i="144" s="1"/>
  <c r="K146" i="137"/>
  <c r="K180" i="137"/>
  <c r="K112" i="137"/>
  <c r="K214" i="137" s="1"/>
  <c r="K248" i="137" s="1"/>
  <c r="K195" i="137"/>
  <c r="K161" i="137"/>
  <c r="K171" i="137" s="1"/>
  <c r="K172" i="137" s="1"/>
  <c r="K127" i="137"/>
  <c r="K103" i="137"/>
  <c r="K104" i="137" s="1"/>
  <c r="H266" i="211"/>
  <c r="N77" i="218" s="1"/>
  <c r="H241" i="211"/>
  <c r="K121" i="142"/>
  <c r="K214" i="142"/>
  <c r="K248" i="142" s="1"/>
  <c r="K127" i="143"/>
  <c r="K161" i="143"/>
  <c r="K103" i="143"/>
  <c r="K104" i="143" s="1"/>
  <c r="K195" i="143"/>
  <c r="K111" i="139"/>
  <c r="K87" i="139"/>
  <c r="K88" i="139" s="1"/>
  <c r="K145" i="139"/>
  <c r="K179" i="139"/>
  <c r="K179" i="138"/>
  <c r="K111" i="138"/>
  <c r="K87" i="138"/>
  <c r="K88" i="138" s="1"/>
  <c r="K145" i="138"/>
  <c r="H116" i="197"/>
  <c r="H118" i="197" s="1"/>
  <c r="H265" i="211"/>
  <c r="N76" i="218" s="1"/>
  <c r="H240" i="211"/>
  <c r="K290" i="137"/>
  <c r="K54" i="137"/>
  <c r="H106" i="201"/>
  <c r="H111" i="201" s="1"/>
  <c r="H30" i="206"/>
  <c r="I89" i="208" s="1"/>
  <c r="H114" i="199"/>
  <c r="H116" i="199" s="1"/>
  <c r="H118" i="199" s="1"/>
  <c r="H117" i="199"/>
  <c r="K294" i="151"/>
  <c r="K33" i="130"/>
  <c r="K283" i="151"/>
  <c r="K237" i="140"/>
  <c r="K271" i="140" s="1"/>
  <c r="J350" i="141"/>
  <c r="K43" i="141"/>
  <c r="K78" i="141" s="1"/>
  <c r="O554" i="217"/>
  <c r="K54" i="138"/>
  <c r="K290" i="138"/>
  <c r="K93" i="148"/>
  <c r="K94" i="148"/>
  <c r="K154" i="140"/>
  <c r="K188" i="140"/>
  <c r="K120" i="140"/>
  <c r="K239" i="162"/>
  <c r="K240" i="162" s="1"/>
  <c r="K263" i="162"/>
  <c r="K273" i="162" s="1"/>
  <c r="K274" i="162" s="1"/>
  <c r="J368" i="140"/>
  <c r="J370" i="140" s="1"/>
  <c r="K53" i="140"/>
  <c r="J351" i="140"/>
  <c r="K280" i="147"/>
  <c r="K29" i="131" s="1"/>
  <c r="K238" i="141"/>
  <c r="K272" i="141" s="1"/>
  <c r="H14" i="206"/>
  <c r="H106" i="185"/>
  <c r="H111" i="185" s="1"/>
  <c r="K85" i="141"/>
  <c r="K87" i="143"/>
  <c r="K88" i="143" s="1"/>
  <c r="K112" i="143"/>
  <c r="K180" i="143"/>
  <c r="K146" i="143"/>
  <c r="K205" i="142"/>
  <c r="K206" i="142" s="1"/>
  <c r="K229" i="142"/>
  <c r="K190" i="150"/>
  <c r="K281" i="150"/>
  <c r="K32" i="133" s="1"/>
  <c r="K122" i="162"/>
  <c r="K282" i="162"/>
  <c r="K24" i="132" s="1"/>
  <c r="K223" i="146"/>
  <c r="K247" i="146"/>
  <c r="K257" i="146" s="1"/>
  <c r="K258" i="146" s="1"/>
  <c r="K103" i="136"/>
  <c r="K104" i="136" s="1"/>
  <c r="K161" i="136"/>
  <c r="K195" i="136"/>
  <c r="K127" i="136"/>
  <c r="P525" i="217"/>
  <c r="J368" i="145"/>
  <c r="J370" i="145" s="1"/>
  <c r="K53" i="145"/>
  <c r="K290" i="145" s="1"/>
  <c r="K189" i="142"/>
  <c r="K281" i="142" s="1"/>
  <c r="K23" i="133" s="1"/>
  <c r="K222" i="148"/>
  <c r="K256" i="148" s="1"/>
  <c r="H25" i="206"/>
  <c r="H155" i="196"/>
  <c r="K137" i="142"/>
  <c r="K138" i="142" s="1"/>
  <c r="H112" i="191"/>
  <c r="H113" i="191"/>
  <c r="H115" i="191" s="1"/>
  <c r="K282" i="147"/>
  <c r="K29" i="132" s="1"/>
  <c r="K150" i="140"/>
  <c r="K184" i="140"/>
  <c r="K116" i="140"/>
  <c r="K195" i="149"/>
  <c r="K229" i="149" s="1"/>
  <c r="K127" i="149"/>
  <c r="K161" i="149"/>
  <c r="K111" i="143"/>
  <c r="K145" i="143"/>
  <c r="K179" i="143"/>
  <c r="H267" i="211"/>
  <c r="N78" i="218" s="1"/>
  <c r="H242" i="211"/>
  <c r="K93" i="140"/>
  <c r="K94" i="140"/>
  <c r="K146" i="139"/>
  <c r="K180" i="139"/>
  <c r="K112" i="139"/>
  <c r="K214" i="139" s="1"/>
  <c r="K248" i="139" s="1"/>
  <c r="K146" i="138"/>
  <c r="K112" i="138"/>
  <c r="K180" i="138"/>
  <c r="K217" i="140"/>
  <c r="K251" i="140" s="1"/>
  <c r="K216" i="148"/>
  <c r="K250" i="148" s="1"/>
  <c r="H113" i="188"/>
  <c r="H115" i="188" s="1"/>
  <c r="H112" i="188"/>
  <c r="K237" i="141"/>
  <c r="K271" i="141" s="1"/>
  <c r="K218" i="145"/>
  <c r="K252" i="145" s="1"/>
  <c r="K216" i="140"/>
  <c r="K250" i="140" s="1"/>
  <c r="K233" i="145"/>
  <c r="K267" i="145" s="1"/>
  <c r="K103" i="149"/>
  <c r="K104" i="149" s="1"/>
  <c r="K128" i="149"/>
  <c r="K137" i="149" s="1"/>
  <c r="K138" i="149" s="1"/>
  <c r="K162" i="149"/>
  <c r="K171" i="149" s="1"/>
  <c r="K172" i="149" s="1"/>
  <c r="K196" i="149"/>
  <c r="K156" i="150"/>
  <c r="K190" i="162"/>
  <c r="P529" i="217"/>
  <c r="P573" i="217"/>
  <c r="K87" i="136"/>
  <c r="K88" i="136" s="1"/>
  <c r="K145" i="136"/>
  <c r="K179" i="136"/>
  <c r="K111" i="136"/>
  <c r="K132" i="141"/>
  <c r="K200" i="141"/>
  <c r="K166" i="141"/>
  <c r="J351" i="148"/>
  <c r="K220" i="148"/>
  <c r="K254" i="148" s="1"/>
  <c r="P415" i="217"/>
  <c r="H35" i="205"/>
  <c r="H113" i="190"/>
  <c r="H115" i="190" s="1"/>
  <c r="H112" i="190"/>
  <c r="K237" i="148"/>
  <c r="K271" i="148" s="1"/>
  <c r="H114" i="194"/>
  <c r="H116" i="194" s="1"/>
  <c r="H118" i="194" s="1"/>
  <c r="H117" i="194"/>
  <c r="K215" i="140"/>
  <c r="K249" i="140" s="1"/>
  <c r="AI34" i="95"/>
  <c r="J57" i="95"/>
  <c r="K223" i="162"/>
  <c r="K247" i="162"/>
  <c r="K257" i="162" s="1"/>
  <c r="K258" i="162" s="1"/>
  <c r="H27" i="206"/>
  <c r="I86" i="208" s="1"/>
  <c r="H106" i="198"/>
  <c r="H111" i="198" s="1"/>
  <c r="K239" i="150"/>
  <c r="K240" i="150" s="1"/>
  <c r="K263" i="150"/>
  <c r="K273" i="150" s="1"/>
  <c r="K274" i="150" s="1"/>
  <c r="K162" i="136"/>
  <c r="K128" i="136"/>
  <c r="K196" i="136"/>
  <c r="K190" i="147"/>
  <c r="K281" i="147"/>
  <c r="K29" i="133" s="1"/>
  <c r="K237" i="145"/>
  <c r="K271" i="145" s="1"/>
  <c r="K79" i="141"/>
  <c r="J23" i="102"/>
  <c r="H15" i="193"/>
  <c r="H44" i="193" s="1"/>
  <c r="H57" i="193" s="1"/>
  <c r="H98" i="193" s="1"/>
  <c r="J85" i="128"/>
  <c r="K86" i="141"/>
  <c r="K146" i="149"/>
  <c r="K180" i="149"/>
  <c r="K112" i="149"/>
  <c r="K155" i="142"/>
  <c r="K280" i="142" s="1"/>
  <c r="K23" i="131" s="1"/>
  <c r="H111" i="196"/>
  <c r="H150" i="196"/>
  <c r="K230" i="142"/>
  <c r="K264" i="142" s="1"/>
  <c r="K282" i="150"/>
  <c r="K32" i="132" s="1"/>
  <c r="K128" i="143"/>
  <c r="K196" i="143"/>
  <c r="K162" i="143"/>
  <c r="K223" i="147"/>
  <c r="K279" i="147" s="1"/>
  <c r="K247" i="147"/>
  <c r="K257" i="147" s="1"/>
  <c r="K258" i="147" s="1"/>
  <c r="K280" i="162"/>
  <c r="K24" i="131" s="1"/>
  <c r="K146" i="86"/>
  <c r="K87" i="86"/>
  <c r="K88" i="86" s="1"/>
  <c r="K112" i="86"/>
  <c r="K121" i="86" s="1"/>
  <c r="K215" i="86"/>
  <c r="K249" i="86" s="1"/>
  <c r="K189" i="86"/>
  <c r="K156" i="134"/>
  <c r="K280" i="134"/>
  <c r="K16" i="131" s="1"/>
  <c r="K218" i="86"/>
  <c r="K252" i="86" s="1"/>
  <c r="K162" i="86"/>
  <c r="K196" i="86"/>
  <c r="K128" i="86"/>
  <c r="K221" i="86"/>
  <c r="K255" i="86" s="1"/>
  <c r="K213" i="86"/>
  <c r="K195" i="86"/>
  <c r="K127" i="86"/>
  <c r="K103" i="86"/>
  <c r="K104" i="86" s="1"/>
  <c r="K161" i="86"/>
  <c r="K171" i="86" s="1"/>
  <c r="K172" i="86" s="1"/>
  <c r="H15" i="206"/>
  <c r="H106" i="186"/>
  <c r="H111" i="186" s="1"/>
  <c r="K190" i="86"/>
  <c r="K290" i="86"/>
  <c r="K54" i="86"/>
  <c r="H16" i="209"/>
  <c r="H248" i="209" s="1"/>
  <c r="K155" i="86"/>
  <c r="K190" i="134"/>
  <c r="K230" i="136" l="1"/>
  <c r="K264" i="136" s="1"/>
  <c r="K214" i="136"/>
  <c r="K248" i="136" s="1"/>
  <c r="K205" i="134"/>
  <c r="K229" i="134"/>
  <c r="J367" i="141"/>
  <c r="H114" i="187"/>
  <c r="H116" i="187" s="1"/>
  <c r="H118" i="187" s="1"/>
  <c r="H117" i="187"/>
  <c r="K121" i="134"/>
  <c r="K213" i="134"/>
  <c r="K214" i="86"/>
  <c r="K248" i="86" s="1"/>
  <c r="K230" i="138"/>
  <c r="K264" i="138" s="1"/>
  <c r="K224" i="147"/>
  <c r="K156" i="142"/>
  <c r="K137" i="136"/>
  <c r="K138" i="136" s="1"/>
  <c r="K155" i="143"/>
  <c r="K171" i="135"/>
  <c r="K189" i="143"/>
  <c r="K155" i="139"/>
  <c r="K280" i="139" s="1"/>
  <c r="K21" i="131" s="1"/>
  <c r="K279" i="150"/>
  <c r="K146" i="141"/>
  <c r="K112" i="141"/>
  <c r="K180" i="141"/>
  <c r="J40" i="95"/>
  <c r="J65" i="95" s="1"/>
  <c r="J96" i="102"/>
  <c r="J67" i="102"/>
  <c r="J35" i="102"/>
  <c r="K87" i="145"/>
  <c r="K88" i="145" s="1"/>
  <c r="K112" i="145"/>
  <c r="K146" i="145"/>
  <c r="K180" i="145"/>
  <c r="K155" i="137"/>
  <c r="K280" i="137" s="1"/>
  <c r="K19" i="131" s="1"/>
  <c r="K294" i="150"/>
  <c r="K32" i="130"/>
  <c r="K283" i="150"/>
  <c r="K279" i="144"/>
  <c r="K29" i="130"/>
  <c r="K283" i="147"/>
  <c r="K294" i="147"/>
  <c r="K120" i="141"/>
  <c r="K154" i="141"/>
  <c r="K188" i="141"/>
  <c r="K113" i="141"/>
  <c r="K147" i="141"/>
  <c r="K181" i="141"/>
  <c r="K224" i="162"/>
  <c r="K279" i="162"/>
  <c r="K213" i="136"/>
  <c r="K121" i="136"/>
  <c r="K205" i="149"/>
  <c r="K206" i="149" s="1"/>
  <c r="K230" i="149"/>
  <c r="K264" i="149" s="1"/>
  <c r="K196" i="140"/>
  <c r="K162" i="140"/>
  <c r="K128" i="140"/>
  <c r="K263" i="149"/>
  <c r="K218" i="140"/>
  <c r="K252" i="140" s="1"/>
  <c r="H156" i="196"/>
  <c r="K205" i="136"/>
  <c r="K206" i="136" s="1"/>
  <c r="K229" i="136"/>
  <c r="K224" i="146"/>
  <c r="K279" i="146"/>
  <c r="H112" i="185"/>
  <c r="H113" i="185"/>
  <c r="H115" i="185" s="1"/>
  <c r="K53" i="141"/>
  <c r="K290" i="141" s="1"/>
  <c r="J368" i="141"/>
  <c r="J370" i="141" s="1"/>
  <c r="K296" i="151"/>
  <c r="K371" i="151"/>
  <c r="H112" i="201"/>
  <c r="H113" i="201"/>
  <c r="H115" i="201" s="1"/>
  <c r="K121" i="138"/>
  <c r="K213" i="138"/>
  <c r="K282" i="142"/>
  <c r="K23" i="132" s="1"/>
  <c r="K137" i="137"/>
  <c r="K138" i="137" s="1"/>
  <c r="K213" i="149"/>
  <c r="K121" i="149"/>
  <c r="K282" i="149" s="1"/>
  <c r="K31" i="132" s="1"/>
  <c r="K54" i="145"/>
  <c r="K229" i="138"/>
  <c r="K205" i="138"/>
  <c r="K206" i="138" s="1"/>
  <c r="H117" i="192"/>
  <c r="H114" i="192"/>
  <c r="H116" i="192" s="1"/>
  <c r="H118" i="192" s="1"/>
  <c r="K216" i="141"/>
  <c r="K250" i="141" s="1"/>
  <c r="K146" i="140"/>
  <c r="K180" i="140"/>
  <c r="K112" i="140"/>
  <c r="K230" i="135"/>
  <c r="K264" i="135" s="1"/>
  <c r="K122" i="142"/>
  <c r="H117" i="202"/>
  <c r="H114" i="202"/>
  <c r="H116" i="202" s="1"/>
  <c r="H118" i="202" s="1"/>
  <c r="P477" i="217"/>
  <c r="K190" i="142"/>
  <c r="K150" i="141"/>
  <c r="K116" i="141"/>
  <c r="K184" i="141"/>
  <c r="K156" i="139"/>
  <c r="K214" i="149"/>
  <c r="K248" i="149" s="1"/>
  <c r="H113" i="198"/>
  <c r="H115" i="198" s="1"/>
  <c r="H112" i="198"/>
  <c r="K189" i="136"/>
  <c r="K281" i="136" s="1"/>
  <c r="K18" i="133" s="1"/>
  <c r="H114" i="188"/>
  <c r="H116" i="188" s="1"/>
  <c r="H118" i="188" s="1"/>
  <c r="H117" i="188"/>
  <c r="K161" i="140"/>
  <c r="K171" i="140" s="1"/>
  <c r="K172" i="140" s="1"/>
  <c r="K195" i="140"/>
  <c r="K127" i="140"/>
  <c r="K137" i="140" s="1"/>
  <c r="K138" i="140" s="1"/>
  <c r="K103" i="140"/>
  <c r="K104" i="140" s="1"/>
  <c r="K190" i="143"/>
  <c r="K171" i="136"/>
  <c r="K172" i="136" s="1"/>
  <c r="K239" i="142"/>
  <c r="K240" i="142" s="1"/>
  <c r="K263" i="142"/>
  <c r="K273" i="142" s="1"/>
  <c r="K274" i="142" s="1"/>
  <c r="K214" i="143"/>
  <c r="K248" i="143" s="1"/>
  <c r="P444" i="217"/>
  <c r="P479" i="217" s="1"/>
  <c r="H35" i="206"/>
  <c r="K290" i="140"/>
  <c r="K54" i="140"/>
  <c r="K222" i="140"/>
  <c r="K256" i="140" s="1"/>
  <c r="K128" i="148"/>
  <c r="K196" i="148"/>
  <c r="K162" i="148"/>
  <c r="O564" i="217"/>
  <c r="P524" i="217"/>
  <c r="K189" i="138"/>
  <c r="K281" i="138" s="1"/>
  <c r="K20" i="133" s="1"/>
  <c r="K213" i="139"/>
  <c r="K121" i="139"/>
  <c r="K171" i="143"/>
  <c r="K172" i="143" s="1"/>
  <c r="K213" i="135"/>
  <c r="K121" i="135"/>
  <c r="K155" i="149"/>
  <c r="K280" i="149" s="1"/>
  <c r="K31" i="131" s="1"/>
  <c r="K145" i="145"/>
  <c r="K111" i="145"/>
  <c r="K179" i="145"/>
  <c r="K93" i="141"/>
  <c r="K94" i="141"/>
  <c r="K121" i="137"/>
  <c r="K213" i="137"/>
  <c r="K145" i="140"/>
  <c r="K111" i="140"/>
  <c r="K179" i="140"/>
  <c r="K189" i="140" s="1"/>
  <c r="K87" i="140"/>
  <c r="K88" i="140" s="1"/>
  <c r="K223" i="142"/>
  <c r="K224" i="142" s="1"/>
  <c r="K247" i="142"/>
  <c r="K257" i="142" s="1"/>
  <c r="K258" i="142" s="1"/>
  <c r="I73" i="208"/>
  <c r="K146" i="148"/>
  <c r="K180" i="148"/>
  <c r="K112" i="148"/>
  <c r="K214" i="148" s="1"/>
  <c r="K248" i="148" s="1"/>
  <c r="K137" i="135"/>
  <c r="K138" i="135" s="1"/>
  <c r="H112" i="196"/>
  <c r="H113" i="196"/>
  <c r="H115" i="196" s="1"/>
  <c r="H117" i="190"/>
  <c r="H114" i="190"/>
  <c r="H116" i="190" s="1"/>
  <c r="H118" i="190" s="1"/>
  <c r="K213" i="143"/>
  <c r="K121" i="143"/>
  <c r="K122" i="143"/>
  <c r="K153" i="141"/>
  <c r="K119" i="141"/>
  <c r="K187" i="141"/>
  <c r="K77" i="141"/>
  <c r="K54" i="141"/>
  <c r="K205" i="143"/>
  <c r="K206" i="143" s="1"/>
  <c r="K229" i="143"/>
  <c r="K161" i="145"/>
  <c r="K195" i="145"/>
  <c r="K103" i="145"/>
  <c r="K104" i="145" s="1"/>
  <c r="K127" i="145"/>
  <c r="K179" i="148"/>
  <c r="K87" i="148"/>
  <c r="K88" i="148" s="1"/>
  <c r="K145" i="148"/>
  <c r="K111" i="148"/>
  <c r="K230" i="143"/>
  <c r="K264" i="143" s="1"/>
  <c r="H105" i="193"/>
  <c r="H22" i="207" s="1"/>
  <c r="H104" i="193"/>
  <c r="H22" i="205" s="1"/>
  <c r="H36" i="205" s="1"/>
  <c r="H103" i="193"/>
  <c r="K234" i="141"/>
  <c r="K268" i="141" s="1"/>
  <c r="K155" i="136"/>
  <c r="K280" i="136" s="1"/>
  <c r="K18" i="131" s="1"/>
  <c r="K214" i="138"/>
  <c r="K248" i="138" s="1"/>
  <c r="K156" i="143"/>
  <c r="H117" i="191"/>
  <c r="H114" i="191"/>
  <c r="H116" i="191" s="1"/>
  <c r="H118" i="191" s="1"/>
  <c r="K161" i="148"/>
  <c r="K171" i="148" s="1"/>
  <c r="K172" i="148" s="1"/>
  <c r="K103" i="148"/>
  <c r="K104" i="148" s="1"/>
  <c r="K195" i="148"/>
  <c r="K127" i="148"/>
  <c r="J351" i="141"/>
  <c r="K155" i="138"/>
  <c r="K189" i="139"/>
  <c r="K137" i="143"/>
  <c r="K138" i="143" s="1"/>
  <c r="K229" i="137"/>
  <c r="K205" i="137"/>
  <c r="K206" i="137" s="1"/>
  <c r="K189" i="135"/>
  <c r="K190" i="135"/>
  <c r="K128" i="145"/>
  <c r="K196" i="145"/>
  <c r="K162" i="145"/>
  <c r="K189" i="149"/>
  <c r="K281" i="149" s="1"/>
  <c r="K31" i="133" s="1"/>
  <c r="K151" i="141"/>
  <c r="K185" i="141"/>
  <c r="K117" i="141"/>
  <c r="K70" i="141"/>
  <c r="K205" i="139"/>
  <c r="K206" i="139" s="1"/>
  <c r="K229" i="139"/>
  <c r="K230" i="137"/>
  <c r="K264" i="137" s="1"/>
  <c r="K115" i="141"/>
  <c r="K149" i="141"/>
  <c r="K183" i="141"/>
  <c r="K189" i="137"/>
  <c r="K220" i="140"/>
  <c r="K254" i="140" s="1"/>
  <c r="H114" i="189"/>
  <c r="H116" i="189" s="1"/>
  <c r="H118" i="189" s="1"/>
  <c r="H117" i="189"/>
  <c r="K236" i="141"/>
  <c r="K270" i="141" s="1"/>
  <c r="K224" i="150"/>
  <c r="K224" i="144"/>
  <c r="K230" i="139"/>
  <c r="K264" i="139" s="1"/>
  <c r="H228" i="211"/>
  <c r="H253" i="211"/>
  <c r="N64" i="218" s="1"/>
  <c r="K54" i="148"/>
  <c r="K205" i="135"/>
  <c r="K206" i="135" s="1"/>
  <c r="K229" i="135"/>
  <c r="I84" i="208"/>
  <c r="H26" i="209"/>
  <c r="H258" i="209" s="1"/>
  <c r="H27" i="210" s="1"/>
  <c r="H66" i="211" s="1"/>
  <c r="I74" i="208"/>
  <c r="K137" i="86"/>
  <c r="K138" i="86" s="1"/>
  <c r="K223" i="86"/>
  <c r="K247" i="86"/>
  <c r="K257" i="86" s="1"/>
  <c r="K258" i="86" s="1"/>
  <c r="K156" i="86"/>
  <c r="K280" i="86"/>
  <c r="H17" i="210"/>
  <c r="H56" i="211" s="1"/>
  <c r="H112" i="186"/>
  <c r="H113" i="186"/>
  <c r="H115" i="186" s="1"/>
  <c r="K229" i="86"/>
  <c r="K205" i="86"/>
  <c r="K122" i="86"/>
  <c r="K230" i="86"/>
  <c r="K264" i="86" s="1"/>
  <c r="K223" i="134" l="1"/>
  <c r="K247" i="134"/>
  <c r="K257" i="134" s="1"/>
  <c r="K258" i="134" s="1"/>
  <c r="K282" i="134"/>
  <c r="K16" i="132" s="1"/>
  <c r="K122" i="134"/>
  <c r="K239" i="134"/>
  <c r="K240" i="134" s="1"/>
  <c r="K263" i="134"/>
  <c r="K273" i="134" s="1"/>
  <c r="K274" i="134" s="1"/>
  <c r="K206" i="134"/>
  <c r="K281" i="134"/>
  <c r="K16" i="133" s="1"/>
  <c r="K230" i="145"/>
  <c r="K264" i="145" s="1"/>
  <c r="K190" i="149"/>
  <c r="K137" i="145"/>
  <c r="K138" i="145" s="1"/>
  <c r="K282" i="143"/>
  <c r="K25" i="132" s="1"/>
  <c r="K230" i="148"/>
  <c r="K264" i="148" s="1"/>
  <c r="K218" i="141"/>
  <c r="K252" i="141" s="1"/>
  <c r="K156" i="149"/>
  <c r="K156" i="136"/>
  <c r="K155" i="145"/>
  <c r="K282" i="135"/>
  <c r="K17" i="132" s="1"/>
  <c r="K172" i="135"/>
  <c r="K280" i="135"/>
  <c r="K17" i="131" s="1"/>
  <c r="H117" i="198"/>
  <c r="H114" i="198"/>
  <c r="H116" i="198" s="1"/>
  <c r="H118" i="198" s="1"/>
  <c r="K122" i="135"/>
  <c r="K214" i="140"/>
  <c r="K248" i="140" s="1"/>
  <c r="K239" i="138"/>
  <c r="K240" i="138" s="1"/>
  <c r="K263" i="138"/>
  <c r="K273" i="138" s="1"/>
  <c r="K274" i="138" s="1"/>
  <c r="K223" i="149"/>
  <c r="K224" i="149" s="1"/>
  <c r="K247" i="149"/>
  <c r="K257" i="149" s="1"/>
  <c r="K258" i="149" s="1"/>
  <c r="K122" i="138"/>
  <c r="K282" i="138"/>
  <c r="K20" i="132" s="1"/>
  <c r="K331" i="151"/>
  <c r="K307" i="151"/>
  <c r="K344" i="151" s="1"/>
  <c r="L47" i="151" s="1"/>
  <c r="K325" i="151"/>
  <c r="K362" i="151" s="1"/>
  <c r="L65" i="151" s="1"/>
  <c r="K328" i="151"/>
  <c r="K365" i="151" s="1"/>
  <c r="L68" i="151" s="1"/>
  <c r="K309" i="151"/>
  <c r="K346" i="151" s="1"/>
  <c r="L49" i="151" s="1"/>
  <c r="K319" i="151"/>
  <c r="K34" i="128"/>
  <c r="K84" i="128" s="1"/>
  <c r="K308" i="151"/>
  <c r="K345" i="151" s="1"/>
  <c r="L48" i="151" s="1"/>
  <c r="K323" i="151"/>
  <c r="K360" i="151" s="1"/>
  <c r="L63" i="151" s="1"/>
  <c r="K326" i="151"/>
  <c r="K363" i="151" s="1"/>
  <c r="L66" i="151" s="1"/>
  <c r="K303" i="151"/>
  <c r="K321" i="151"/>
  <c r="K358" i="151" s="1"/>
  <c r="L61" i="151" s="1"/>
  <c r="K324" i="151"/>
  <c r="K361" i="151" s="1"/>
  <c r="L64" i="151" s="1"/>
  <c r="L98" i="151" s="1"/>
  <c r="K305" i="151"/>
  <c r="K342" i="151" s="1"/>
  <c r="L45" i="151" s="1"/>
  <c r="K312" i="151"/>
  <c r="K349" i="151" s="1"/>
  <c r="L52" i="151" s="1"/>
  <c r="K322" i="151"/>
  <c r="K359" i="151" s="1"/>
  <c r="L62" i="151" s="1"/>
  <c r="L96" i="151" s="1"/>
  <c r="K310" i="151"/>
  <c r="K347" i="151" s="1"/>
  <c r="L50" i="151" s="1"/>
  <c r="L84" i="151" s="1"/>
  <c r="K320" i="151"/>
  <c r="K357" i="151" s="1"/>
  <c r="L60" i="151" s="1"/>
  <c r="K327" i="151"/>
  <c r="K364" i="151" s="1"/>
  <c r="L67" i="151" s="1"/>
  <c r="K311" i="151"/>
  <c r="K348" i="151" s="1"/>
  <c r="L51" i="151" s="1"/>
  <c r="K329" i="151"/>
  <c r="K306" i="151"/>
  <c r="K343" i="151" s="1"/>
  <c r="L46" i="151" s="1"/>
  <c r="L80" i="151" s="1"/>
  <c r="K313" i="151"/>
  <c r="K304" i="151"/>
  <c r="K341" i="151" s="1"/>
  <c r="L44" i="151" s="1"/>
  <c r="H114" i="185"/>
  <c r="H116" i="185" s="1"/>
  <c r="H118" i="185" s="1"/>
  <c r="H117" i="185"/>
  <c r="K239" i="136"/>
  <c r="K240" i="136" s="1"/>
  <c r="K263" i="136"/>
  <c r="K273" i="136" s="1"/>
  <c r="K274" i="136" s="1"/>
  <c r="K273" i="149"/>
  <c r="K274" i="149" s="1"/>
  <c r="K230" i="140"/>
  <c r="K264" i="140" s="1"/>
  <c r="K247" i="136"/>
  <c r="K257" i="136" s="1"/>
  <c r="K258" i="136" s="1"/>
  <c r="K223" i="136"/>
  <c r="K222" i="141"/>
  <c r="K256" i="141" s="1"/>
  <c r="K283" i="144"/>
  <c r="K26" i="130"/>
  <c r="K294" i="144"/>
  <c r="K156" i="137"/>
  <c r="K214" i="145"/>
  <c r="K248" i="145" s="1"/>
  <c r="J68" i="102"/>
  <c r="K214" i="141"/>
  <c r="K248" i="141" s="1"/>
  <c r="H264" i="211"/>
  <c r="N75" i="218" s="1"/>
  <c r="H239" i="211"/>
  <c r="K156" i="138"/>
  <c r="K280" i="138"/>
  <c r="K20" i="131" s="1"/>
  <c r="K205" i="148"/>
  <c r="K206" i="148" s="1"/>
  <c r="K229" i="148"/>
  <c r="H23" i="209"/>
  <c r="H255" i="209" s="1"/>
  <c r="H36" i="207"/>
  <c r="K155" i="148"/>
  <c r="K280" i="148" s="1"/>
  <c r="K30" i="131" s="1"/>
  <c r="K239" i="143"/>
  <c r="K240" i="143" s="1"/>
  <c r="K263" i="143"/>
  <c r="K273" i="143" s="1"/>
  <c r="K274" i="143" s="1"/>
  <c r="K247" i="137"/>
  <c r="K257" i="137" s="1"/>
  <c r="K258" i="137" s="1"/>
  <c r="K223" i="137"/>
  <c r="K247" i="138"/>
  <c r="K257" i="138" s="1"/>
  <c r="K258" i="138" s="1"/>
  <c r="K223" i="138"/>
  <c r="K279" i="138" s="1"/>
  <c r="K20" i="130" s="1"/>
  <c r="K296" i="150"/>
  <c r="K371" i="150"/>
  <c r="J108" i="102"/>
  <c r="J52" i="95"/>
  <c r="J38" i="102"/>
  <c r="P330" i="217"/>
  <c r="K263" i="137"/>
  <c r="K273" i="137" s="1"/>
  <c r="K274" i="137" s="1"/>
  <c r="K239" i="137"/>
  <c r="K240" i="137" s="1"/>
  <c r="K282" i="137"/>
  <c r="K19" i="132" s="1"/>
  <c r="K122" i="137"/>
  <c r="K239" i="135"/>
  <c r="K240" i="135" s="1"/>
  <c r="K263" i="135"/>
  <c r="K273" i="135" s="1"/>
  <c r="K274" i="135" s="1"/>
  <c r="K190" i="137"/>
  <c r="K281" i="137"/>
  <c r="K19" i="133" s="1"/>
  <c r="K219" i="141"/>
  <c r="K253" i="141" s="1"/>
  <c r="H106" i="193"/>
  <c r="H111" i="193" s="1"/>
  <c r="H22" i="206"/>
  <c r="K189" i="148"/>
  <c r="K229" i="145"/>
  <c r="K205" i="145"/>
  <c r="K206" i="145" s="1"/>
  <c r="K223" i="143"/>
  <c r="K247" i="143"/>
  <c r="K257" i="143" s="1"/>
  <c r="K258" i="143" s="1"/>
  <c r="H117" i="196"/>
  <c r="H114" i="196"/>
  <c r="H116" i="196" s="1"/>
  <c r="H118" i="196" s="1"/>
  <c r="K279" i="142"/>
  <c r="K162" i="141"/>
  <c r="K128" i="141"/>
  <c r="K196" i="141"/>
  <c r="K213" i="145"/>
  <c r="K121" i="145"/>
  <c r="K282" i="145" s="1"/>
  <c r="K27" i="132" s="1"/>
  <c r="K247" i="139"/>
  <c r="K257" i="139" s="1"/>
  <c r="K258" i="139" s="1"/>
  <c r="K223" i="139"/>
  <c r="K229" i="140"/>
  <c r="K205" i="140"/>
  <c r="K206" i="140" s="1"/>
  <c r="K281" i="143"/>
  <c r="K25" i="133" s="1"/>
  <c r="K24" i="130"/>
  <c r="K283" i="162"/>
  <c r="K294" i="162"/>
  <c r="K215" i="141"/>
  <c r="K249" i="141" s="1"/>
  <c r="K371" i="147"/>
  <c r="K296" i="147"/>
  <c r="K190" i="140"/>
  <c r="K282" i="136"/>
  <c r="K18" i="132" s="1"/>
  <c r="K122" i="136"/>
  <c r="K217" i="141"/>
  <c r="K251" i="141" s="1"/>
  <c r="K221" i="141"/>
  <c r="K255" i="141" s="1"/>
  <c r="K213" i="140"/>
  <c r="K121" i="140"/>
  <c r="K282" i="139"/>
  <c r="K21" i="132" s="1"/>
  <c r="K122" i="139"/>
  <c r="P586" i="217"/>
  <c r="P530" i="217"/>
  <c r="P585" i="217"/>
  <c r="P587" i="217"/>
  <c r="P583" i="217"/>
  <c r="P584" i="217"/>
  <c r="K263" i="139"/>
  <c r="K273" i="139" s="1"/>
  <c r="K274" i="139" s="1"/>
  <c r="K239" i="139"/>
  <c r="K240" i="139" s="1"/>
  <c r="K281" i="135"/>
  <c r="K17" i="133" s="1"/>
  <c r="K190" i="139"/>
  <c r="K281" i="139"/>
  <c r="K21" i="133" s="1"/>
  <c r="K137" i="148"/>
  <c r="K138" i="148" s="1"/>
  <c r="P417" i="217"/>
  <c r="H37" i="205"/>
  <c r="K121" i="148"/>
  <c r="K282" i="148" s="1"/>
  <c r="K30" i="132" s="1"/>
  <c r="K213" i="148"/>
  <c r="K171" i="145"/>
  <c r="K172" i="145" s="1"/>
  <c r="K145" i="141"/>
  <c r="K155" i="141" s="1"/>
  <c r="K179" i="141"/>
  <c r="K189" i="141" s="1"/>
  <c r="K111" i="141"/>
  <c r="K121" i="141" s="1"/>
  <c r="K280" i="143"/>
  <c r="K25" i="131" s="1"/>
  <c r="K155" i="140"/>
  <c r="K161" i="141"/>
  <c r="K171" i="141" s="1"/>
  <c r="K172" i="141" s="1"/>
  <c r="K195" i="141"/>
  <c r="K127" i="141"/>
  <c r="K103" i="141"/>
  <c r="K104" i="141" s="1"/>
  <c r="K156" i="145"/>
  <c r="K223" i="135"/>
  <c r="K247" i="135"/>
  <c r="K257" i="135" s="1"/>
  <c r="K258" i="135" s="1"/>
  <c r="K190" i="138"/>
  <c r="K190" i="136"/>
  <c r="P473" i="217"/>
  <c r="K122" i="149"/>
  <c r="H114" i="201"/>
  <c r="H116" i="201" s="1"/>
  <c r="H118" i="201" s="1"/>
  <c r="H117" i="201"/>
  <c r="K28" i="130"/>
  <c r="K283" i="146"/>
  <c r="K294" i="146"/>
  <c r="K189" i="145"/>
  <c r="K281" i="145" s="1"/>
  <c r="K27" i="133" s="1"/>
  <c r="K239" i="149"/>
  <c r="K240" i="149" s="1"/>
  <c r="K87" i="141"/>
  <c r="K88" i="141" s="1"/>
  <c r="K282" i="86"/>
  <c r="K15" i="132" s="1"/>
  <c r="K239" i="86"/>
  <c r="K240" i="86" s="1"/>
  <c r="K263" i="86"/>
  <c r="K273" i="86" s="1"/>
  <c r="K274" i="86" s="1"/>
  <c r="H254" i="211"/>
  <c r="H229" i="211"/>
  <c r="K15" i="131"/>
  <c r="H114" i="186"/>
  <c r="H116" i="186" s="1"/>
  <c r="H118" i="186" s="1"/>
  <c r="H117" i="186"/>
  <c r="K224" i="86"/>
  <c r="K206" i="86"/>
  <c r="K281" i="86"/>
  <c r="K15" i="133" s="1"/>
  <c r="L82" i="151" l="1"/>
  <c r="L101" i="151"/>
  <c r="K224" i="134"/>
  <c r="K279" i="134"/>
  <c r="L95" i="151"/>
  <c r="K280" i="141"/>
  <c r="K22" i="131" s="1"/>
  <c r="K122" i="145"/>
  <c r="L100" i="151"/>
  <c r="K122" i="148"/>
  <c r="L97" i="151"/>
  <c r="L83" i="151"/>
  <c r="L102" i="151"/>
  <c r="K279" i="149"/>
  <c r="K205" i="141"/>
  <c r="K206" i="141" s="1"/>
  <c r="K229" i="141"/>
  <c r="K239" i="145"/>
  <c r="K240" i="145" s="1"/>
  <c r="K263" i="145"/>
  <c r="K273" i="145" s="1"/>
  <c r="K274" i="145" s="1"/>
  <c r="AI35" i="95"/>
  <c r="J77" i="95"/>
  <c r="K190" i="148"/>
  <c r="K281" i="148"/>
  <c r="K30" i="133" s="1"/>
  <c r="K224" i="138"/>
  <c r="H24" i="210"/>
  <c r="H63" i="211" s="1"/>
  <c r="H267" i="209"/>
  <c r="H36" i="210" s="1"/>
  <c r="H75" i="211" s="1"/>
  <c r="K296" i="144"/>
  <c r="K371" i="144"/>
  <c r="K224" i="136"/>
  <c r="K279" i="136"/>
  <c r="L85" i="151"/>
  <c r="L130" i="151"/>
  <c r="L198" i="151"/>
  <c r="L164" i="151"/>
  <c r="L129" i="151"/>
  <c r="L197" i="151"/>
  <c r="L163" i="151"/>
  <c r="L184" i="151"/>
  <c r="L150" i="151"/>
  <c r="L116" i="151"/>
  <c r="L204" i="151"/>
  <c r="L136" i="151"/>
  <c r="L170" i="151"/>
  <c r="K294" i="149"/>
  <c r="K31" i="130"/>
  <c r="K283" i="149"/>
  <c r="K283" i="138"/>
  <c r="K156" i="140"/>
  <c r="K280" i="140"/>
  <c r="K14" i="131" s="1"/>
  <c r="Q152" i="217" s="1"/>
  <c r="Q181" i="217" s="1"/>
  <c r="K190" i="141"/>
  <c r="K223" i="148"/>
  <c r="K224" i="148" s="1"/>
  <c r="K247" i="148"/>
  <c r="K257" i="148" s="1"/>
  <c r="K258" i="148" s="1"/>
  <c r="K223" i="140"/>
  <c r="K247" i="140"/>
  <c r="K257" i="140" s="1"/>
  <c r="K258" i="140" s="1"/>
  <c r="K280" i="145"/>
  <c r="K27" i="131" s="1"/>
  <c r="K34" i="131" s="1"/>
  <c r="Q154" i="217" s="1"/>
  <c r="Q183" i="217" s="1"/>
  <c r="K281" i="140"/>
  <c r="K14" i="133" s="1"/>
  <c r="Q211" i="217" s="1"/>
  <c r="K224" i="139"/>
  <c r="K279" i="139"/>
  <c r="K223" i="145"/>
  <c r="K279" i="145" s="1"/>
  <c r="K247" i="145"/>
  <c r="K257" i="145" s="1"/>
  <c r="K258" i="145" s="1"/>
  <c r="K23" i="130"/>
  <c r="K283" i="142"/>
  <c r="K294" i="142"/>
  <c r="K224" i="143"/>
  <c r="K279" i="143"/>
  <c r="I81" i="208"/>
  <c r="H36" i="206"/>
  <c r="P622" i="217"/>
  <c r="P626" i="217" s="1"/>
  <c r="P359" i="217"/>
  <c r="K279" i="137"/>
  <c r="K224" i="137"/>
  <c r="K156" i="148"/>
  <c r="K239" i="148"/>
  <c r="K240" i="148" s="1"/>
  <c r="K263" i="148"/>
  <c r="K273" i="148" s="1"/>
  <c r="K274" i="148" s="1"/>
  <c r="K332" i="151"/>
  <c r="K333" i="151" s="1"/>
  <c r="L135" i="151"/>
  <c r="L203" i="151"/>
  <c r="L169" i="151"/>
  <c r="L86" i="151"/>
  <c r="K340" i="151"/>
  <c r="K314" i="151"/>
  <c r="K34" i="102"/>
  <c r="I15" i="204"/>
  <c r="I44" i="204" s="1"/>
  <c r="I57" i="204" s="1"/>
  <c r="I98" i="204" s="1"/>
  <c r="L99" i="151"/>
  <c r="K190" i="145"/>
  <c r="K371" i="162"/>
  <c r="K296" i="162"/>
  <c r="P388" i="217"/>
  <c r="H37" i="207"/>
  <c r="L118" i="151"/>
  <c r="L152" i="151"/>
  <c r="L186" i="151"/>
  <c r="L132" i="151"/>
  <c r="L200" i="151"/>
  <c r="L166" i="151"/>
  <c r="L199" i="151"/>
  <c r="L131" i="151"/>
  <c r="L165" i="151"/>
  <c r="L185" i="151"/>
  <c r="L117" i="151"/>
  <c r="L151" i="151"/>
  <c r="K294" i="138"/>
  <c r="K371" i="138" s="1"/>
  <c r="K371" i="146"/>
  <c r="K296" i="146"/>
  <c r="K213" i="141"/>
  <c r="K122" i="141"/>
  <c r="P588" i="217"/>
  <c r="K122" i="140"/>
  <c r="K282" i="140"/>
  <c r="K281" i="141"/>
  <c r="K22" i="133" s="1"/>
  <c r="K328" i="147"/>
  <c r="K365" i="147" s="1"/>
  <c r="L68" i="147" s="1"/>
  <c r="K309" i="147"/>
  <c r="K346" i="147" s="1"/>
  <c r="L49" i="147" s="1"/>
  <c r="K319" i="147"/>
  <c r="K331" i="147"/>
  <c r="K307" i="147"/>
  <c r="K344" i="147" s="1"/>
  <c r="L47" i="147" s="1"/>
  <c r="K321" i="147"/>
  <c r="K358" i="147" s="1"/>
  <c r="L61" i="147" s="1"/>
  <c r="K323" i="147"/>
  <c r="K360" i="147" s="1"/>
  <c r="L63" i="147" s="1"/>
  <c r="K325" i="147"/>
  <c r="K362" i="147" s="1"/>
  <c r="L65" i="147" s="1"/>
  <c r="K324" i="147"/>
  <c r="K361" i="147" s="1"/>
  <c r="L64" i="147" s="1"/>
  <c r="K305" i="147"/>
  <c r="K342" i="147" s="1"/>
  <c r="L45" i="147" s="1"/>
  <c r="K312" i="147"/>
  <c r="K349" i="147" s="1"/>
  <c r="L52" i="147" s="1"/>
  <c r="K326" i="147"/>
  <c r="K363" i="147" s="1"/>
  <c r="L66" i="147" s="1"/>
  <c r="L100" i="147" s="1"/>
  <c r="K303" i="147"/>
  <c r="K310" i="147"/>
  <c r="K347" i="147" s="1"/>
  <c r="L50" i="147" s="1"/>
  <c r="L84" i="147" s="1"/>
  <c r="K29" i="128"/>
  <c r="K79" i="128" s="1"/>
  <c r="K311" i="147"/>
  <c r="K348" i="147" s="1"/>
  <c r="L51" i="147" s="1"/>
  <c r="K320" i="147"/>
  <c r="K357" i="147" s="1"/>
  <c r="L60" i="147" s="1"/>
  <c r="K327" i="147"/>
  <c r="K364" i="147" s="1"/>
  <c r="L67" i="147" s="1"/>
  <c r="K308" i="147"/>
  <c r="K345" i="147" s="1"/>
  <c r="L48" i="147" s="1"/>
  <c r="K322" i="147"/>
  <c r="K359" i="147" s="1"/>
  <c r="L62" i="147" s="1"/>
  <c r="K329" i="147"/>
  <c r="K306" i="147"/>
  <c r="K343" i="147" s="1"/>
  <c r="L46" i="147" s="1"/>
  <c r="L80" i="147" s="1"/>
  <c r="K313" i="147"/>
  <c r="K304" i="147"/>
  <c r="K341" i="147" s="1"/>
  <c r="L44" i="147" s="1"/>
  <c r="K239" i="140"/>
  <c r="K240" i="140" s="1"/>
  <c r="K263" i="140"/>
  <c r="K273" i="140" s="1"/>
  <c r="K274" i="140" s="1"/>
  <c r="K279" i="135"/>
  <c r="K224" i="135"/>
  <c r="K137" i="141"/>
  <c r="K138" i="141" s="1"/>
  <c r="K156" i="141"/>
  <c r="K230" i="141"/>
  <c r="K264" i="141" s="1"/>
  <c r="H112" i="193"/>
  <c r="H113" i="193"/>
  <c r="H115" i="193" s="1"/>
  <c r="K327" i="150"/>
  <c r="K364" i="150" s="1"/>
  <c r="L67" i="150" s="1"/>
  <c r="K308" i="150"/>
  <c r="K345" i="150" s="1"/>
  <c r="L48" i="150" s="1"/>
  <c r="K322" i="150"/>
  <c r="K359" i="150" s="1"/>
  <c r="L62" i="150" s="1"/>
  <c r="K329" i="150"/>
  <c r="K306" i="150"/>
  <c r="K343" i="150" s="1"/>
  <c r="L46" i="150" s="1"/>
  <c r="K313" i="150"/>
  <c r="K312" i="150"/>
  <c r="K349" i="150" s="1"/>
  <c r="L52" i="150" s="1"/>
  <c r="K303" i="150"/>
  <c r="K320" i="150"/>
  <c r="K357" i="150" s="1"/>
  <c r="L60" i="150" s="1"/>
  <c r="K323" i="150"/>
  <c r="K360" i="150" s="1"/>
  <c r="L63" i="150" s="1"/>
  <c r="K304" i="150"/>
  <c r="K341" i="150" s="1"/>
  <c r="L44" i="150" s="1"/>
  <c r="K311" i="150"/>
  <c r="K348" i="150" s="1"/>
  <c r="L51" i="150" s="1"/>
  <c r="K325" i="150"/>
  <c r="K362" i="150" s="1"/>
  <c r="L65" i="150" s="1"/>
  <c r="K328" i="150"/>
  <c r="K365" i="150" s="1"/>
  <c r="L68" i="150" s="1"/>
  <c r="L102" i="150" s="1"/>
  <c r="K309" i="150"/>
  <c r="K346" i="150" s="1"/>
  <c r="L49" i="150" s="1"/>
  <c r="L83" i="150" s="1"/>
  <c r="K32" i="128"/>
  <c r="K82" i="128" s="1"/>
  <c r="K326" i="150"/>
  <c r="K363" i="150" s="1"/>
  <c r="L66" i="150" s="1"/>
  <c r="L100" i="150" s="1"/>
  <c r="K310" i="150"/>
  <c r="K347" i="150" s="1"/>
  <c r="L50" i="150" s="1"/>
  <c r="K319" i="150"/>
  <c r="K331" i="150"/>
  <c r="K307" i="150"/>
  <c r="K344" i="150" s="1"/>
  <c r="L47" i="150" s="1"/>
  <c r="L81" i="150" s="1"/>
  <c r="K321" i="150"/>
  <c r="K358" i="150" s="1"/>
  <c r="L61" i="150" s="1"/>
  <c r="L95" i="150" s="1"/>
  <c r="K324" i="150"/>
  <c r="K361" i="150" s="1"/>
  <c r="L64" i="150" s="1"/>
  <c r="L98" i="150" s="1"/>
  <c r="K305" i="150"/>
  <c r="K342" i="150" s="1"/>
  <c r="L45" i="150" s="1"/>
  <c r="L182" i="151"/>
  <c r="L114" i="151"/>
  <c r="L148" i="151"/>
  <c r="L79" i="151"/>
  <c r="L134" i="151"/>
  <c r="L202" i="151"/>
  <c r="L168" i="151"/>
  <c r="K356" i="151"/>
  <c r="K330" i="151"/>
  <c r="L81" i="151"/>
  <c r="K279" i="86"/>
  <c r="K15" i="130" s="1"/>
  <c r="K331" i="138"/>
  <c r="N65" i="218"/>
  <c r="K34" i="133" l="1"/>
  <c r="Q213" i="217" s="1"/>
  <c r="K294" i="86"/>
  <c r="L79" i="150"/>
  <c r="L101" i="147"/>
  <c r="K294" i="134"/>
  <c r="K16" i="130"/>
  <c r="K283" i="134"/>
  <c r="L82" i="147"/>
  <c r="K283" i="86"/>
  <c r="L96" i="150"/>
  <c r="L218" i="151"/>
  <c r="L252" i="151" s="1"/>
  <c r="L234" i="151"/>
  <c r="L268" i="151" s="1"/>
  <c r="L220" i="151"/>
  <c r="L254" i="151" s="1"/>
  <c r="K332" i="147"/>
  <c r="K333" i="147" s="1"/>
  <c r="L86" i="147"/>
  <c r="L97" i="147"/>
  <c r="L85" i="150"/>
  <c r="L119" i="150" s="1"/>
  <c r="L79" i="147"/>
  <c r="L95" i="147"/>
  <c r="L238" i="151"/>
  <c r="L272" i="151" s="1"/>
  <c r="L232" i="151"/>
  <c r="L266" i="151" s="1"/>
  <c r="L181" i="150"/>
  <c r="L113" i="150"/>
  <c r="L147" i="150"/>
  <c r="L153" i="150"/>
  <c r="L150" i="147"/>
  <c r="L116" i="147"/>
  <c r="L184" i="147"/>
  <c r="L165" i="147"/>
  <c r="L199" i="147"/>
  <c r="L131" i="147"/>
  <c r="K14" i="132"/>
  <c r="K223" i="141"/>
  <c r="K224" i="141" s="1"/>
  <c r="K247" i="141"/>
  <c r="K257" i="141" s="1"/>
  <c r="K258" i="141" s="1"/>
  <c r="K107" i="102"/>
  <c r="K51" i="95"/>
  <c r="K76" i="95" s="1"/>
  <c r="K294" i="145"/>
  <c r="K283" i="145"/>
  <c r="K27" i="130"/>
  <c r="K283" i="136"/>
  <c r="K294" i="136"/>
  <c r="K18" i="130"/>
  <c r="L149" i="151"/>
  <c r="L183" i="151"/>
  <c r="L115" i="151"/>
  <c r="L166" i="150"/>
  <c r="L132" i="150"/>
  <c r="L200" i="150"/>
  <c r="L117" i="150"/>
  <c r="L185" i="150"/>
  <c r="L151" i="150"/>
  <c r="L86" i="150"/>
  <c r="H114" i="193"/>
  <c r="H116" i="193" s="1"/>
  <c r="H118" i="193" s="1"/>
  <c r="H117" i="193"/>
  <c r="L203" i="147"/>
  <c r="L135" i="147"/>
  <c r="L169" i="147"/>
  <c r="L147" i="147"/>
  <c r="L181" i="147"/>
  <c r="L113" i="147"/>
  <c r="L83" i="147"/>
  <c r="K329" i="146"/>
  <c r="K306" i="146"/>
  <c r="K343" i="146" s="1"/>
  <c r="L46" i="146" s="1"/>
  <c r="K313" i="146"/>
  <c r="K323" i="146"/>
  <c r="K360" i="146" s="1"/>
  <c r="L63" i="146" s="1"/>
  <c r="K304" i="146"/>
  <c r="K341" i="146" s="1"/>
  <c r="L44" i="146" s="1"/>
  <c r="K307" i="146"/>
  <c r="K344" i="146" s="1"/>
  <c r="L47" i="146" s="1"/>
  <c r="L81" i="146" s="1"/>
  <c r="K320" i="146"/>
  <c r="K357" i="146" s="1"/>
  <c r="L60" i="146" s="1"/>
  <c r="K311" i="146"/>
  <c r="K348" i="146" s="1"/>
  <c r="L51" i="146" s="1"/>
  <c r="K325" i="146"/>
  <c r="K362" i="146" s="1"/>
  <c r="L65" i="146" s="1"/>
  <c r="K328" i="146"/>
  <c r="K365" i="146" s="1"/>
  <c r="L68" i="146" s="1"/>
  <c r="K309" i="146"/>
  <c r="K346" i="146" s="1"/>
  <c r="L49" i="146" s="1"/>
  <c r="K319" i="146"/>
  <c r="K326" i="146"/>
  <c r="K363" i="146" s="1"/>
  <c r="L66" i="146" s="1"/>
  <c r="L100" i="146" s="1"/>
  <c r="K303" i="146"/>
  <c r="K331" i="146"/>
  <c r="K310" i="146"/>
  <c r="K347" i="146" s="1"/>
  <c r="L50" i="146" s="1"/>
  <c r="L84" i="146" s="1"/>
  <c r="K327" i="146"/>
  <c r="K364" i="146" s="1"/>
  <c r="L67" i="146" s="1"/>
  <c r="L101" i="146" s="1"/>
  <c r="K308" i="146"/>
  <c r="K345" i="146" s="1"/>
  <c r="L48" i="146" s="1"/>
  <c r="L82" i="146" s="1"/>
  <c r="K28" i="128"/>
  <c r="K78" i="128" s="1"/>
  <c r="K321" i="146"/>
  <c r="K358" i="146" s="1"/>
  <c r="L61" i="146" s="1"/>
  <c r="L95" i="146" s="1"/>
  <c r="K324" i="146"/>
  <c r="K361" i="146" s="1"/>
  <c r="L64" i="146" s="1"/>
  <c r="L98" i="146" s="1"/>
  <c r="K305" i="146"/>
  <c r="K342" i="146" s="1"/>
  <c r="L45" i="146" s="1"/>
  <c r="L79" i="146" s="1"/>
  <c r="K312" i="146"/>
  <c r="K349" i="146" s="1"/>
  <c r="L52" i="146" s="1"/>
  <c r="K322" i="146"/>
  <c r="K359" i="146" s="1"/>
  <c r="L62" i="146" s="1"/>
  <c r="L96" i="146" s="1"/>
  <c r="H236" i="211"/>
  <c r="H248" i="211" s="1"/>
  <c r="H261" i="211"/>
  <c r="K239" i="141"/>
  <c r="K240" i="141" s="1"/>
  <c r="K263" i="141"/>
  <c r="K273" i="141" s="1"/>
  <c r="K274" i="141" s="1"/>
  <c r="K296" i="138"/>
  <c r="K320" i="138" s="1"/>
  <c r="K357" i="138" s="1"/>
  <c r="L60" i="138" s="1"/>
  <c r="Q242" i="217"/>
  <c r="L216" i="151"/>
  <c r="L250" i="151" s="1"/>
  <c r="L163" i="150"/>
  <c r="L129" i="150"/>
  <c r="L197" i="150"/>
  <c r="L84" i="150"/>
  <c r="L170" i="150"/>
  <c r="L136" i="150"/>
  <c r="L204" i="150"/>
  <c r="L97" i="150"/>
  <c r="K332" i="150"/>
  <c r="K333" i="150" s="1"/>
  <c r="L82" i="150"/>
  <c r="K283" i="135"/>
  <c r="K294" i="135"/>
  <c r="K17" i="130"/>
  <c r="K340" i="147"/>
  <c r="K314" i="147"/>
  <c r="L98" i="147"/>
  <c r="L81" i="147"/>
  <c r="L102" i="147"/>
  <c r="L219" i="151"/>
  <c r="L253" i="151" s="1"/>
  <c r="L233" i="151"/>
  <c r="L267" i="151" s="1"/>
  <c r="P481" i="217"/>
  <c r="L133" i="151"/>
  <c r="L201" i="151"/>
  <c r="L167" i="151"/>
  <c r="K350" i="151"/>
  <c r="L43" i="151"/>
  <c r="K224" i="140"/>
  <c r="K279" i="140"/>
  <c r="L153" i="151"/>
  <c r="L187" i="151"/>
  <c r="L119" i="151"/>
  <c r="K33" i="102"/>
  <c r="I15" i="203"/>
  <c r="I44" i="203" s="1"/>
  <c r="I57" i="203" s="1"/>
  <c r="I98" i="203" s="1"/>
  <c r="K340" i="150"/>
  <c r="K314" i="150"/>
  <c r="K30" i="102"/>
  <c r="I15" i="200"/>
  <c r="I44" i="200" s="1"/>
  <c r="I57" i="200" s="1"/>
  <c r="I98" i="200" s="1"/>
  <c r="L188" i="147"/>
  <c r="L154" i="147"/>
  <c r="L120" i="147"/>
  <c r="K356" i="147"/>
  <c r="K330" i="147"/>
  <c r="K294" i="137"/>
  <c r="K19" i="130"/>
  <c r="K283" i="137"/>
  <c r="L236" i="151"/>
  <c r="L270" i="151" s="1"/>
  <c r="K356" i="150"/>
  <c r="K330" i="150"/>
  <c r="L198" i="150"/>
  <c r="L164" i="150"/>
  <c r="L130" i="150"/>
  <c r="L114" i="147"/>
  <c r="L148" i="147"/>
  <c r="L182" i="147"/>
  <c r="L186" i="147"/>
  <c r="L118" i="147"/>
  <c r="L152" i="147"/>
  <c r="L163" i="147"/>
  <c r="L197" i="147"/>
  <c r="L129" i="147"/>
  <c r="L237" i="151"/>
  <c r="L271" i="151" s="1"/>
  <c r="K25" i="130"/>
  <c r="K283" i="143"/>
  <c r="K294" i="143"/>
  <c r="K283" i="139"/>
  <c r="K21" i="130"/>
  <c r="K294" i="139"/>
  <c r="K279" i="148"/>
  <c r="K371" i="149"/>
  <c r="K296" i="149"/>
  <c r="L231" i="151"/>
  <c r="L265" i="151" s="1"/>
  <c r="K366" i="151"/>
  <c r="L69" i="151" s="1"/>
  <c r="L59" i="151"/>
  <c r="K367" i="151"/>
  <c r="L113" i="151"/>
  <c r="L181" i="151"/>
  <c r="L147" i="151"/>
  <c r="L115" i="150"/>
  <c r="L183" i="150"/>
  <c r="L149" i="150"/>
  <c r="L168" i="150"/>
  <c r="L134" i="150"/>
  <c r="L202" i="150"/>
  <c r="L99" i="150"/>
  <c r="L80" i="150"/>
  <c r="L101" i="150"/>
  <c r="L96" i="147"/>
  <c r="L85" i="147"/>
  <c r="L202" i="147"/>
  <c r="L134" i="147"/>
  <c r="L168" i="147"/>
  <c r="L99" i="147"/>
  <c r="K331" i="162"/>
  <c r="K307" i="162"/>
  <c r="K344" i="162" s="1"/>
  <c r="L47" i="162" s="1"/>
  <c r="K306" i="162"/>
  <c r="K343" i="162" s="1"/>
  <c r="L46" i="162" s="1"/>
  <c r="K320" i="162"/>
  <c r="K357" i="162" s="1"/>
  <c r="L60" i="162" s="1"/>
  <c r="K323" i="162"/>
  <c r="K360" i="162" s="1"/>
  <c r="L63" i="162" s="1"/>
  <c r="K304" i="162"/>
  <c r="K341" i="162" s="1"/>
  <c r="L44" i="162" s="1"/>
  <c r="K24" i="128"/>
  <c r="K74" i="128" s="1"/>
  <c r="K327" i="162"/>
  <c r="K364" i="162" s="1"/>
  <c r="L67" i="162" s="1"/>
  <c r="K303" i="162"/>
  <c r="K328" i="162"/>
  <c r="K365" i="162" s="1"/>
  <c r="L68" i="162" s="1"/>
  <c r="K313" i="162"/>
  <c r="K319" i="162"/>
  <c r="K325" i="162"/>
  <c r="K362" i="162" s="1"/>
  <c r="L65" i="162" s="1"/>
  <c r="K311" i="162"/>
  <c r="K348" i="162" s="1"/>
  <c r="L51" i="162" s="1"/>
  <c r="K310" i="162"/>
  <c r="K347" i="162" s="1"/>
  <c r="L50" i="162" s="1"/>
  <c r="K324" i="162"/>
  <c r="K361" i="162" s="1"/>
  <c r="L64" i="162" s="1"/>
  <c r="K305" i="162"/>
  <c r="K342" i="162" s="1"/>
  <c r="L45" i="162" s="1"/>
  <c r="L79" i="162" s="1"/>
  <c r="K308" i="162"/>
  <c r="K345" i="162" s="1"/>
  <c r="L48" i="162" s="1"/>
  <c r="L82" i="162" s="1"/>
  <c r="K329" i="162"/>
  <c r="K322" i="162"/>
  <c r="K359" i="162" s="1"/>
  <c r="L62" i="162" s="1"/>
  <c r="K321" i="162"/>
  <c r="K358" i="162" s="1"/>
  <c r="L61" i="162" s="1"/>
  <c r="K326" i="162"/>
  <c r="K363" i="162" s="1"/>
  <c r="L66" i="162" s="1"/>
  <c r="K309" i="162"/>
  <c r="K346" i="162" s="1"/>
  <c r="L49" i="162" s="1"/>
  <c r="K312" i="162"/>
  <c r="K349" i="162" s="1"/>
  <c r="L52" i="162" s="1"/>
  <c r="I105" i="204"/>
  <c r="I33" i="207" s="1"/>
  <c r="I103" i="204"/>
  <c r="I104" i="204"/>
  <c r="I33" i="205" s="1"/>
  <c r="L154" i="151"/>
  <c r="L188" i="151"/>
  <c r="L120" i="151"/>
  <c r="P446" i="217"/>
  <c r="P483" i="217" s="1"/>
  <c r="H37" i="206"/>
  <c r="I93" i="208" s="1"/>
  <c r="K371" i="142"/>
  <c r="K296" i="142"/>
  <c r="K224" i="145"/>
  <c r="Q240" i="217"/>
  <c r="K26" i="128"/>
  <c r="K76" i="128" s="1"/>
  <c r="K319" i="144"/>
  <c r="K326" i="144"/>
  <c r="K363" i="144" s="1"/>
  <c r="L66" i="144" s="1"/>
  <c r="K303" i="144"/>
  <c r="K310" i="144"/>
  <c r="K347" i="144" s="1"/>
  <c r="L50" i="144" s="1"/>
  <c r="K320" i="144"/>
  <c r="K357" i="144" s="1"/>
  <c r="L60" i="144" s="1"/>
  <c r="K308" i="144"/>
  <c r="K345" i="144" s="1"/>
  <c r="L48" i="144" s="1"/>
  <c r="K328" i="144"/>
  <c r="K365" i="144" s="1"/>
  <c r="L68" i="144" s="1"/>
  <c r="K331" i="144"/>
  <c r="K312" i="144"/>
  <c r="K349" i="144" s="1"/>
  <c r="L52" i="144" s="1"/>
  <c r="K322" i="144"/>
  <c r="K359" i="144" s="1"/>
  <c r="L62" i="144" s="1"/>
  <c r="K329" i="144"/>
  <c r="K306" i="144"/>
  <c r="K343" i="144" s="1"/>
  <c r="L46" i="144" s="1"/>
  <c r="K313" i="144"/>
  <c r="K332" i="144" s="1"/>
  <c r="K327" i="144"/>
  <c r="K364" i="144" s="1"/>
  <c r="L67" i="144" s="1"/>
  <c r="L101" i="144" s="1"/>
  <c r="K311" i="144"/>
  <c r="K348" i="144" s="1"/>
  <c r="L51" i="144" s="1"/>
  <c r="L85" i="144" s="1"/>
  <c r="K325" i="144"/>
  <c r="K362" i="144" s="1"/>
  <c r="L65" i="144" s="1"/>
  <c r="K309" i="144"/>
  <c r="K346" i="144" s="1"/>
  <c r="L49" i="144" s="1"/>
  <c r="K323" i="144"/>
  <c r="K360" i="144" s="1"/>
  <c r="L63" i="144" s="1"/>
  <c r="L97" i="144" s="1"/>
  <c r="K304" i="144"/>
  <c r="K341" i="144" s="1"/>
  <c r="L44" i="144" s="1"/>
  <c r="K307" i="144"/>
  <c r="K344" i="144" s="1"/>
  <c r="L47" i="144" s="1"/>
  <c r="L81" i="144" s="1"/>
  <c r="K321" i="144"/>
  <c r="K358" i="144" s="1"/>
  <c r="L61" i="144" s="1"/>
  <c r="L95" i="144" s="1"/>
  <c r="K324" i="144"/>
  <c r="K361" i="144" s="1"/>
  <c r="L64" i="144" s="1"/>
  <c r="L98" i="144" s="1"/>
  <c r="K305" i="144"/>
  <c r="K342" i="144" s="1"/>
  <c r="L45" i="144" s="1"/>
  <c r="L79" i="144" s="1"/>
  <c r="K282" i="141"/>
  <c r="K22" i="132" s="1"/>
  <c r="K328" i="138"/>
  <c r="K365" i="138" s="1"/>
  <c r="L68" i="138" s="1"/>
  <c r="K324" i="138"/>
  <c r="K361" i="138" s="1"/>
  <c r="L64" i="138" s="1"/>
  <c r="K305" i="138"/>
  <c r="K342" i="138" s="1"/>
  <c r="L45" i="138" s="1"/>
  <c r="K327" i="138"/>
  <c r="K364" i="138" s="1"/>
  <c r="L67" i="138" s="1"/>
  <c r="K312" i="138"/>
  <c r="K349" i="138" s="1"/>
  <c r="L52" i="138" s="1"/>
  <c r="K308" i="138"/>
  <c r="K345" i="138" s="1"/>
  <c r="L48" i="138" s="1"/>
  <c r="K322" i="138"/>
  <c r="K359" i="138" s="1"/>
  <c r="L62" i="138" s="1"/>
  <c r="K311" i="138"/>
  <c r="K348" i="138" s="1"/>
  <c r="L51" i="138" s="1"/>
  <c r="K325" i="138"/>
  <c r="K362" i="138" s="1"/>
  <c r="L65" i="138" s="1"/>
  <c r="K321" i="138"/>
  <c r="K358" i="138" s="1"/>
  <c r="L61" i="138" s="1"/>
  <c r="K296" i="86"/>
  <c r="K371" i="86"/>
  <c r="K331" i="86"/>
  <c r="L86" i="162" l="1"/>
  <c r="L215" i="151"/>
  <c r="L249" i="151" s="1"/>
  <c r="L187" i="150"/>
  <c r="L221" i="150" s="1"/>
  <c r="L255" i="150" s="1"/>
  <c r="L215" i="150"/>
  <c r="L249" i="150" s="1"/>
  <c r="L83" i="162"/>
  <c r="L185" i="162" s="1"/>
  <c r="L231" i="147"/>
  <c r="L265" i="147" s="1"/>
  <c r="K331" i="134"/>
  <c r="K296" i="134"/>
  <c r="K371" i="134"/>
  <c r="L98" i="162"/>
  <c r="L86" i="146"/>
  <c r="K333" i="144"/>
  <c r="L100" i="162"/>
  <c r="L202" i="162" s="1"/>
  <c r="P475" i="217"/>
  <c r="L96" i="162"/>
  <c r="L101" i="162"/>
  <c r="L222" i="147"/>
  <c r="L256" i="147" s="1"/>
  <c r="L96" i="144"/>
  <c r="L198" i="144" s="1"/>
  <c r="L82" i="144"/>
  <c r="L100" i="144"/>
  <c r="L80" i="162"/>
  <c r="L148" i="162" s="1"/>
  <c r="L221" i="151"/>
  <c r="L255" i="151" s="1"/>
  <c r="L86" i="144"/>
  <c r="L217" i="150"/>
  <c r="L251" i="150" s="1"/>
  <c r="L238" i="150"/>
  <c r="L272" i="150" s="1"/>
  <c r="L231" i="150"/>
  <c r="L265" i="150" s="1"/>
  <c r="L102" i="146"/>
  <c r="L237" i="147"/>
  <c r="L271" i="147" s="1"/>
  <c r="L165" i="144"/>
  <c r="L131" i="144"/>
  <c r="L199" i="144"/>
  <c r="L130" i="144"/>
  <c r="L134" i="144"/>
  <c r="L168" i="144"/>
  <c r="L202" i="144"/>
  <c r="L154" i="162"/>
  <c r="L188" i="162"/>
  <c r="L120" i="162"/>
  <c r="L132" i="162"/>
  <c r="L200" i="162"/>
  <c r="L166" i="162"/>
  <c r="K356" i="162"/>
  <c r="K330" i="162"/>
  <c r="L187" i="147"/>
  <c r="L119" i="147"/>
  <c r="L153" i="147"/>
  <c r="K322" i="149"/>
  <c r="K359" i="149" s="1"/>
  <c r="L62" i="149" s="1"/>
  <c r="K329" i="149"/>
  <c r="K306" i="149"/>
  <c r="K343" i="149" s="1"/>
  <c r="L46" i="149" s="1"/>
  <c r="K313" i="149"/>
  <c r="K323" i="149"/>
  <c r="K360" i="149" s="1"/>
  <c r="L63" i="149" s="1"/>
  <c r="L97" i="149" s="1"/>
  <c r="K304" i="149"/>
  <c r="K341" i="149" s="1"/>
  <c r="L44" i="149" s="1"/>
  <c r="K307" i="149"/>
  <c r="K344" i="149" s="1"/>
  <c r="L47" i="149" s="1"/>
  <c r="L81" i="149" s="1"/>
  <c r="K305" i="149"/>
  <c r="K342" i="149" s="1"/>
  <c r="L45" i="149" s="1"/>
  <c r="K303" i="149"/>
  <c r="K327" i="149"/>
  <c r="K364" i="149" s="1"/>
  <c r="L67" i="149" s="1"/>
  <c r="K31" i="128"/>
  <c r="K81" i="128" s="1"/>
  <c r="K311" i="149"/>
  <c r="K348" i="149" s="1"/>
  <c r="L51" i="149" s="1"/>
  <c r="K325" i="149"/>
  <c r="K362" i="149" s="1"/>
  <c r="L65" i="149" s="1"/>
  <c r="K328" i="149"/>
  <c r="K365" i="149" s="1"/>
  <c r="L68" i="149" s="1"/>
  <c r="L102" i="149" s="1"/>
  <c r="K309" i="149"/>
  <c r="K346" i="149" s="1"/>
  <c r="L49" i="149" s="1"/>
  <c r="K319" i="149"/>
  <c r="K331" i="149"/>
  <c r="K321" i="149"/>
  <c r="K358" i="149" s="1"/>
  <c r="L61" i="149" s="1"/>
  <c r="K324" i="149"/>
  <c r="K361" i="149" s="1"/>
  <c r="L64" i="149" s="1"/>
  <c r="L98" i="149" s="1"/>
  <c r="K312" i="149"/>
  <c r="K349" i="149" s="1"/>
  <c r="L52" i="149" s="1"/>
  <c r="L86" i="149" s="1"/>
  <c r="K326" i="149"/>
  <c r="K363" i="149" s="1"/>
  <c r="L66" i="149" s="1"/>
  <c r="L100" i="149" s="1"/>
  <c r="K310" i="149"/>
  <c r="K347" i="149" s="1"/>
  <c r="L50" i="149" s="1"/>
  <c r="K320" i="149"/>
  <c r="K357" i="149" s="1"/>
  <c r="L60" i="149" s="1"/>
  <c r="K308" i="149"/>
  <c r="K345" i="149" s="1"/>
  <c r="L48" i="149" s="1"/>
  <c r="K103" i="102"/>
  <c r="K47" i="95"/>
  <c r="K72" i="95" s="1"/>
  <c r="L53" i="151"/>
  <c r="L290" i="151" s="1"/>
  <c r="K368" i="151"/>
  <c r="K370" i="151" s="1"/>
  <c r="L170" i="147"/>
  <c r="L204" i="147"/>
  <c r="L136" i="147"/>
  <c r="L181" i="146"/>
  <c r="L147" i="146"/>
  <c r="L113" i="146"/>
  <c r="L215" i="146" s="1"/>
  <c r="L249" i="146" s="1"/>
  <c r="L116" i="146"/>
  <c r="L150" i="146"/>
  <c r="L184" i="146"/>
  <c r="K340" i="146"/>
  <c r="K314" i="146"/>
  <c r="L115" i="146"/>
  <c r="L183" i="146"/>
  <c r="L149" i="146"/>
  <c r="L83" i="144"/>
  <c r="L120" i="144"/>
  <c r="L154" i="144"/>
  <c r="L188" i="144"/>
  <c r="K356" i="144"/>
  <c r="K330" i="144"/>
  <c r="L84" i="162"/>
  <c r="L114" i="162"/>
  <c r="L93" i="151"/>
  <c r="L94" i="151"/>
  <c r="K331" i="137"/>
  <c r="K371" i="137"/>
  <c r="K296" i="137"/>
  <c r="L149" i="147"/>
  <c r="L183" i="147"/>
  <c r="L115" i="147"/>
  <c r="L116" i="150"/>
  <c r="L184" i="150"/>
  <c r="L150" i="150"/>
  <c r="L166" i="146"/>
  <c r="L200" i="146"/>
  <c r="L132" i="146"/>
  <c r="L202" i="146"/>
  <c r="L168" i="146"/>
  <c r="L134" i="146"/>
  <c r="K306" i="138"/>
  <c r="K343" i="138" s="1"/>
  <c r="L46" i="138" s="1"/>
  <c r="L80" i="138" s="1"/>
  <c r="L182" i="138" s="1"/>
  <c r="K303" i="138"/>
  <c r="K326" i="138"/>
  <c r="K363" i="138" s="1"/>
  <c r="L66" i="138" s="1"/>
  <c r="K319" i="138"/>
  <c r="K309" i="138"/>
  <c r="K346" i="138" s="1"/>
  <c r="L49" i="138" s="1"/>
  <c r="K20" i="128"/>
  <c r="K70" i="128" s="1"/>
  <c r="K21" i="102" s="1"/>
  <c r="L149" i="144"/>
  <c r="L183" i="144"/>
  <c r="L115" i="144"/>
  <c r="L99" i="144"/>
  <c r="L80" i="144"/>
  <c r="L84" i="144"/>
  <c r="K27" i="102"/>
  <c r="I15" i="197"/>
  <c r="I44" i="197" s="1"/>
  <c r="I57" i="197" s="1"/>
  <c r="I98" i="197" s="1"/>
  <c r="K324" i="142"/>
  <c r="K361" i="142" s="1"/>
  <c r="L64" i="142" s="1"/>
  <c r="K305" i="142"/>
  <c r="K342" i="142" s="1"/>
  <c r="L45" i="142" s="1"/>
  <c r="K312" i="142"/>
  <c r="K349" i="142" s="1"/>
  <c r="L52" i="142" s="1"/>
  <c r="K326" i="142"/>
  <c r="K363" i="142" s="1"/>
  <c r="L66" i="142" s="1"/>
  <c r="K303" i="142"/>
  <c r="K310" i="142"/>
  <c r="K347" i="142" s="1"/>
  <c r="L50" i="142" s="1"/>
  <c r="K313" i="142"/>
  <c r="K304" i="142"/>
  <c r="K341" i="142" s="1"/>
  <c r="L44" i="142" s="1"/>
  <c r="K325" i="142"/>
  <c r="K362" i="142" s="1"/>
  <c r="L65" i="142" s="1"/>
  <c r="L99" i="142" s="1"/>
  <c r="K309" i="142"/>
  <c r="K346" i="142" s="1"/>
  <c r="L49" i="142" s="1"/>
  <c r="K331" i="142"/>
  <c r="K321" i="142"/>
  <c r="K358" i="142" s="1"/>
  <c r="L61" i="142" s="1"/>
  <c r="K320" i="142"/>
  <c r="K357" i="142" s="1"/>
  <c r="L60" i="142" s="1"/>
  <c r="K327" i="142"/>
  <c r="K364" i="142" s="1"/>
  <c r="L67" i="142" s="1"/>
  <c r="K308" i="142"/>
  <c r="K345" i="142" s="1"/>
  <c r="L48" i="142" s="1"/>
  <c r="K322" i="142"/>
  <c r="K359" i="142" s="1"/>
  <c r="L62" i="142" s="1"/>
  <c r="L96" i="142" s="1"/>
  <c r="K329" i="142"/>
  <c r="K306" i="142"/>
  <c r="K343" i="142" s="1"/>
  <c r="L46" i="142" s="1"/>
  <c r="L80" i="142" s="1"/>
  <c r="K23" i="128"/>
  <c r="K73" i="128" s="1"/>
  <c r="K323" i="142"/>
  <c r="K360" i="142" s="1"/>
  <c r="L63" i="142" s="1"/>
  <c r="L97" i="142" s="1"/>
  <c r="K311" i="142"/>
  <c r="K348" i="142" s="1"/>
  <c r="L51" i="142" s="1"/>
  <c r="K328" i="142"/>
  <c r="K365" i="142" s="1"/>
  <c r="L68" i="142" s="1"/>
  <c r="L102" i="142" s="1"/>
  <c r="K319" i="142"/>
  <c r="K307" i="142"/>
  <c r="K344" i="142" s="1"/>
  <c r="L47" i="142" s="1"/>
  <c r="L222" i="151"/>
  <c r="L256" i="151" s="1"/>
  <c r="I33" i="206"/>
  <c r="I106" i="204"/>
  <c r="I111" i="204" s="1"/>
  <c r="L168" i="162"/>
  <c r="L184" i="162"/>
  <c r="L150" i="162"/>
  <c r="L116" i="162"/>
  <c r="L85" i="162"/>
  <c r="L102" i="162"/>
  <c r="L81" i="162"/>
  <c r="L201" i="150"/>
  <c r="L133" i="150"/>
  <c r="L167" i="150"/>
  <c r="L70" i="151"/>
  <c r="K30" i="130"/>
  <c r="K283" i="148"/>
  <c r="K294" i="148"/>
  <c r="K296" i="143"/>
  <c r="K371" i="143"/>
  <c r="L232" i="150"/>
  <c r="L266" i="150" s="1"/>
  <c r="K350" i="150"/>
  <c r="K351" i="150" s="1"/>
  <c r="L43" i="150"/>
  <c r="K351" i="151"/>
  <c r="L235" i="151"/>
  <c r="L269" i="151" s="1"/>
  <c r="L132" i="147"/>
  <c r="L166" i="147"/>
  <c r="L200" i="147"/>
  <c r="L198" i="146"/>
  <c r="L130" i="146"/>
  <c r="L164" i="146"/>
  <c r="L163" i="146"/>
  <c r="L197" i="146"/>
  <c r="L129" i="146"/>
  <c r="L152" i="146"/>
  <c r="L118" i="146"/>
  <c r="L186" i="146"/>
  <c r="K356" i="146"/>
  <c r="K330" i="146"/>
  <c r="L85" i="146"/>
  <c r="L97" i="146"/>
  <c r="L117" i="147"/>
  <c r="L151" i="147"/>
  <c r="L185" i="147"/>
  <c r="L219" i="150"/>
  <c r="L253" i="150" s="1"/>
  <c r="L217" i="151"/>
  <c r="L251" i="151" s="1"/>
  <c r="K371" i="136"/>
  <c r="K296" i="136"/>
  <c r="K331" i="136"/>
  <c r="K371" i="145"/>
  <c r="K296" i="145"/>
  <c r="L218" i="147"/>
  <c r="L252" i="147" s="1"/>
  <c r="L132" i="144"/>
  <c r="L166" i="144"/>
  <c r="L200" i="144"/>
  <c r="L203" i="144"/>
  <c r="L135" i="144"/>
  <c r="L169" i="144"/>
  <c r="L116" i="144"/>
  <c r="L150" i="144"/>
  <c r="L184" i="144"/>
  <c r="L198" i="162"/>
  <c r="L164" i="162"/>
  <c r="L130" i="162"/>
  <c r="L203" i="162"/>
  <c r="L169" i="162"/>
  <c r="L135" i="162"/>
  <c r="L133" i="147"/>
  <c r="L201" i="147"/>
  <c r="L167" i="147"/>
  <c r="L182" i="150"/>
  <c r="L148" i="150"/>
  <c r="L114" i="150"/>
  <c r="K106" i="102"/>
  <c r="K50" i="95"/>
  <c r="K75" i="95" s="1"/>
  <c r="K14" i="130"/>
  <c r="K294" i="140"/>
  <c r="L43" i="147"/>
  <c r="K350" i="147"/>
  <c r="K351" i="147" s="1"/>
  <c r="N72" i="218"/>
  <c r="H273" i="211"/>
  <c r="L204" i="146"/>
  <c r="L170" i="146"/>
  <c r="L136" i="146"/>
  <c r="L80" i="146"/>
  <c r="K283" i="140"/>
  <c r="L163" i="144"/>
  <c r="L129" i="144"/>
  <c r="L197" i="144"/>
  <c r="L117" i="162"/>
  <c r="K332" i="162"/>
  <c r="K333" i="162" s="1"/>
  <c r="K25" i="102"/>
  <c r="I15" i="195"/>
  <c r="I44" i="195" s="1"/>
  <c r="I57" i="195" s="1"/>
  <c r="I98" i="195" s="1"/>
  <c r="L164" i="147"/>
  <c r="L198" i="147"/>
  <c r="L130" i="147"/>
  <c r="L59" i="150"/>
  <c r="K366" i="150"/>
  <c r="L69" i="150" s="1"/>
  <c r="L203" i="146"/>
  <c r="L135" i="146"/>
  <c r="L169" i="146"/>
  <c r="L99" i="146"/>
  <c r="Q88" i="217"/>
  <c r="K34" i="132"/>
  <c r="Q90" i="217" s="1"/>
  <c r="K310" i="138"/>
  <c r="K347" i="138" s="1"/>
  <c r="L50" i="138" s="1"/>
  <c r="L85" i="138" s="1"/>
  <c r="K307" i="138"/>
  <c r="K344" i="138" s="1"/>
  <c r="L47" i="138" s="1"/>
  <c r="L81" i="138" s="1"/>
  <c r="K304" i="138"/>
  <c r="K341" i="138" s="1"/>
  <c r="L44" i="138" s="1"/>
  <c r="L79" i="138" s="1"/>
  <c r="K323" i="138"/>
  <c r="K360" i="138" s="1"/>
  <c r="L63" i="138" s="1"/>
  <c r="L181" i="144"/>
  <c r="L113" i="144"/>
  <c r="L147" i="144"/>
  <c r="L153" i="144"/>
  <c r="L187" i="144"/>
  <c r="L119" i="144"/>
  <c r="L102" i="144"/>
  <c r="K340" i="144"/>
  <c r="K314" i="144"/>
  <c r="J92" i="208"/>
  <c r="I34" i="209"/>
  <c r="I266" i="209" s="1"/>
  <c r="I35" i="210" s="1"/>
  <c r="I74" i="211" s="1"/>
  <c r="L95" i="162"/>
  <c r="L113" i="162"/>
  <c r="L181" i="162"/>
  <c r="L147" i="162"/>
  <c r="L99" i="162"/>
  <c r="K340" i="162"/>
  <c r="K314" i="162"/>
  <c r="L97" i="162"/>
  <c r="L236" i="147"/>
  <c r="L270" i="147" s="1"/>
  <c r="L169" i="150"/>
  <c r="L203" i="150"/>
  <c r="L135" i="150"/>
  <c r="L236" i="150"/>
  <c r="L270" i="150" s="1"/>
  <c r="K296" i="139"/>
  <c r="K331" i="139"/>
  <c r="K371" i="139"/>
  <c r="L220" i="147"/>
  <c r="L254" i="147" s="1"/>
  <c r="L216" i="147"/>
  <c r="L250" i="147" s="1"/>
  <c r="L59" i="147"/>
  <c r="K366" i="147"/>
  <c r="L69" i="147" s="1"/>
  <c r="I105" i="200"/>
  <c r="I29" i="207" s="1"/>
  <c r="I104" i="200"/>
  <c r="I29" i="205" s="1"/>
  <c r="I103" i="200"/>
  <c r="I105" i="203"/>
  <c r="I32" i="207" s="1"/>
  <c r="I33" i="209" s="1"/>
  <c r="I265" i="209" s="1"/>
  <c r="I34" i="210" s="1"/>
  <c r="I73" i="211" s="1"/>
  <c r="I104" i="203"/>
  <c r="I32" i="205" s="1"/>
  <c r="I103" i="203"/>
  <c r="L77" i="151"/>
  <c r="L78" i="151"/>
  <c r="K331" i="135"/>
  <c r="K296" i="135"/>
  <c r="K371" i="135"/>
  <c r="L199" i="150"/>
  <c r="L165" i="150"/>
  <c r="L131" i="150"/>
  <c r="L186" i="150"/>
  <c r="L118" i="150"/>
  <c r="L152" i="150"/>
  <c r="L188" i="146"/>
  <c r="L120" i="146"/>
  <c r="L154" i="146"/>
  <c r="K29" i="102"/>
  <c r="I15" i="199"/>
  <c r="I44" i="199" s="1"/>
  <c r="I57" i="199" s="1"/>
  <c r="I98" i="199" s="1"/>
  <c r="L83" i="146"/>
  <c r="K332" i="146"/>
  <c r="K333" i="146" s="1"/>
  <c r="L215" i="147"/>
  <c r="L249" i="147" s="1"/>
  <c r="L154" i="150"/>
  <c r="L120" i="150"/>
  <c r="L188" i="150"/>
  <c r="L234" i="150"/>
  <c r="L268" i="150" s="1"/>
  <c r="K279" i="141"/>
  <c r="L233" i="147"/>
  <c r="L267" i="147" s="1"/>
  <c r="L99" i="138"/>
  <c r="L167" i="138" s="1"/>
  <c r="L95" i="138"/>
  <c r="L197" i="138" s="1"/>
  <c r="K15" i="128"/>
  <c r="K328" i="86"/>
  <c r="K365" i="86" s="1"/>
  <c r="L68" i="86" s="1"/>
  <c r="K324" i="86"/>
  <c r="K361" i="86" s="1"/>
  <c r="L64" i="86" s="1"/>
  <c r="K320" i="86"/>
  <c r="K357" i="86" s="1"/>
  <c r="L60" i="86" s="1"/>
  <c r="K309" i="86"/>
  <c r="K346" i="86" s="1"/>
  <c r="K305" i="86"/>
  <c r="K342" i="86" s="1"/>
  <c r="K327" i="86"/>
  <c r="K364" i="86" s="1"/>
  <c r="L67" i="86" s="1"/>
  <c r="K323" i="86"/>
  <c r="K360" i="86" s="1"/>
  <c r="L63" i="86" s="1"/>
  <c r="K319" i="86"/>
  <c r="K312" i="86"/>
  <c r="K349" i="86" s="1"/>
  <c r="K308" i="86"/>
  <c r="K345" i="86" s="1"/>
  <c r="K304" i="86"/>
  <c r="K341" i="86" s="1"/>
  <c r="K326" i="86"/>
  <c r="K363" i="86" s="1"/>
  <c r="L66" i="86" s="1"/>
  <c r="K322" i="86"/>
  <c r="K359" i="86" s="1"/>
  <c r="L62" i="86" s="1"/>
  <c r="K311" i="86"/>
  <c r="K348" i="86" s="1"/>
  <c r="K307" i="86"/>
  <c r="K344" i="86" s="1"/>
  <c r="K303" i="86"/>
  <c r="K325" i="86"/>
  <c r="K362" i="86" s="1"/>
  <c r="L65" i="86" s="1"/>
  <c r="K321" i="86"/>
  <c r="K358" i="86" s="1"/>
  <c r="L61" i="86" s="1"/>
  <c r="K310" i="86"/>
  <c r="K347" i="86" s="1"/>
  <c r="K306" i="86"/>
  <c r="K343" i="86" s="1"/>
  <c r="L97" i="138"/>
  <c r="L101" i="138"/>
  <c r="L98" i="138"/>
  <c r="L96" i="138"/>
  <c r="L86" i="138"/>
  <c r="L102" i="138"/>
  <c r="K340" i="138"/>
  <c r="L100" i="138"/>
  <c r="K356" i="138"/>
  <c r="I15" i="191"/>
  <c r="I44" i="191" s="1"/>
  <c r="I57" i="191" s="1"/>
  <c r="I98" i="191" s="1"/>
  <c r="L100" i="142" l="1"/>
  <c r="L217" i="144"/>
  <c r="L251" i="144" s="1"/>
  <c r="L236" i="146"/>
  <c r="L270" i="146" s="1"/>
  <c r="L151" i="162"/>
  <c r="L182" i="162"/>
  <c r="L134" i="162"/>
  <c r="K332" i="142"/>
  <c r="K333" i="142" s="1"/>
  <c r="K16" i="128"/>
  <c r="K66" i="128" s="1"/>
  <c r="K307" i="134"/>
  <c r="K344" i="134" s="1"/>
  <c r="L47" i="134" s="1"/>
  <c r="K310" i="134"/>
  <c r="K347" i="134" s="1"/>
  <c r="L50" i="134" s="1"/>
  <c r="K320" i="134"/>
  <c r="K357" i="134" s="1"/>
  <c r="L60" i="134" s="1"/>
  <c r="K323" i="134"/>
  <c r="K360" i="134" s="1"/>
  <c r="L63" i="134" s="1"/>
  <c r="K304" i="134"/>
  <c r="K341" i="134" s="1"/>
  <c r="L44" i="134" s="1"/>
  <c r="K326" i="134"/>
  <c r="K363" i="134" s="1"/>
  <c r="L66" i="134" s="1"/>
  <c r="K303" i="134"/>
  <c r="K306" i="134"/>
  <c r="K343" i="134" s="1"/>
  <c r="L46" i="134" s="1"/>
  <c r="K309" i="134"/>
  <c r="K346" i="134" s="1"/>
  <c r="L49" i="134" s="1"/>
  <c r="K319" i="134"/>
  <c r="K322" i="134"/>
  <c r="K359" i="134" s="1"/>
  <c r="L62" i="134" s="1"/>
  <c r="K325" i="134"/>
  <c r="K362" i="134" s="1"/>
  <c r="L65" i="134" s="1"/>
  <c r="K328" i="134"/>
  <c r="K365" i="134" s="1"/>
  <c r="L68" i="134" s="1"/>
  <c r="K305" i="134"/>
  <c r="K342" i="134" s="1"/>
  <c r="L45" i="134" s="1"/>
  <c r="L79" i="134" s="1"/>
  <c r="K312" i="134"/>
  <c r="K349" i="134" s="1"/>
  <c r="L52" i="134" s="1"/>
  <c r="K311" i="134"/>
  <c r="K348" i="134" s="1"/>
  <c r="L51" i="134" s="1"/>
  <c r="L85" i="134" s="1"/>
  <c r="K321" i="134"/>
  <c r="K358" i="134" s="1"/>
  <c r="L61" i="134" s="1"/>
  <c r="K324" i="134"/>
  <c r="K361" i="134" s="1"/>
  <c r="L64" i="134" s="1"/>
  <c r="L98" i="134" s="1"/>
  <c r="K327" i="134"/>
  <c r="K364" i="134" s="1"/>
  <c r="L67" i="134" s="1"/>
  <c r="L101" i="134" s="1"/>
  <c r="L135" i="134" s="1"/>
  <c r="K308" i="134"/>
  <c r="K345" i="134" s="1"/>
  <c r="L48" i="134" s="1"/>
  <c r="L82" i="134" s="1"/>
  <c r="L237" i="150"/>
  <c r="L271" i="150" s="1"/>
  <c r="K367" i="150"/>
  <c r="L95" i="142"/>
  <c r="L197" i="142" s="1"/>
  <c r="L216" i="162"/>
  <c r="L250" i="162" s="1"/>
  <c r="L80" i="149"/>
  <c r="L221" i="147"/>
  <c r="L255" i="147" s="1"/>
  <c r="L83" i="149"/>
  <c r="L117" i="149" s="1"/>
  <c r="L86" i="142"/>
  <c r="L221" i="144"/>
  <c r="L255" i="144" s="1"/>
  <c r="L237" i="144"/>
  <c r="L271" i="144" s="1"/>
  <c r="L220" i="146"/>
  <c r="L254" i="146" s="1"/>
  <c r="L234" i="147"/>
  <c r="L268" i="147" s="1"/>
  <c r="L101" i="142"/>
  <c r="L79" i="142"/>
  <c r="K329" i="138"/>
  <c r="K330" i="138" s="1"/>
  <c r="L164" i="144"/>
  <c r="L232" i="144" s="1"/>
  <c r="L266" i="144" s="1"/>
  <c r="L237" i="146"/>
  <c r="L271" i="146" s="1"/>
  <c r="L234" i="144"/>
  <c r="L268" i="144" s="1"/>
  <c r="L222" i="162"/>
  <c r="L256" i="162" s="1"/>
  <c r="L222" i="150"/>
  <c r="L256" i="150" s="1"/>
  <c r="L233" i="144"/>
  <c r="L267" i="144" s="1"/>
  <c r="L82" i="142"/>
  <c r="L84" i="138"/>
  <c r="L118" i="138" s="1"/>
  <c r="L101" i="149"/>
  <c r="L115" i="138"/>
  <c r="L149" i="138"/>
  <c r="L183" i="138"/>
  <c r="L217" i="138" s="1"/>
  <c r="L251" i="138" s="1"/>
  <c r="K102" i="102"/>
  <c r="K46" i="95"/>
  <c r="K71" i="95" s="1"/>
  <c r="I32" i="206"/>
  <c r="J91" i="208" s="1"/>
  <c r="I106" i="203"/>
  <c r="I111" i="203" s="1"/>
  <c r="L93" i="147"/>
  <c r="L94" i="147"/>
  <c r="K98" i="102"/>
  <c r="K42" i="95"/>
  <c r="K67" i="95" s="1"/>
  <c r="K18" i="128"/>
  <c r="K68" i="128" s="1"/>
  <c r="K309" i="136"/>
  <c r="K346" i="136" s="1"/>
  <c r="L49" i="136" s="1"/>
  <c r="K319" i="136"/>
  <c r="K326" i="136"/>
  <c r="K363" i="136" s="1"/>
  <c r="L66" i="136" s="1"/>
  <c r="K303" i="136"/>
  <c r="K306" i="136"/>
  <c r="K343" i="136" s="1"/>
  <c r="L46" i="136" s="1"/>
  <c r="K324" i="136"/>
  <c r="K361" i="136" s="1"/>
  <c r="L64" i="136" s="1"/>
  <c r="K311" i="136"/>
  <c r="K348" i="136" s="1"/>
  <c r="L51" i="136" s="1"/>
  <c r="K323" i="136"/>
  <c r="K360" i="136" s="1"/>
  <c r="L63" i="136" s="1"/>
  <c r="K307" i="136"/>
  <c r="K344" i="136" s="1"/>
  <c r="L47" i="136" s="1"/>
  <c r="L81" i="136" s="1"/>
  <c r="L183" i="136" s="1"/>
  <c r="K328" i="136"/>
  <c r="K365" i="136" s="1"/>
  <c r="L68" i="136" s="1"/>
  <c r="K305" i="136"/>
  <c r="K342" i="136" s="1"/>
  <c r="L45" i="136" s="1"/>
  <c r="K312" i="136"/>
  <c r="K349" i="136" s="1"/>
  <c r="L52" i="136" s="1"/>
  <c r="K322" i="136"/>
  <c r="K359" i="136" s="1"/>
  <c r="L62" i="136" s="1"/>
  <c r="K325" i="136"/>
  <c r="K362" i="136" s="1"/>
  <c r="L65" i="136" s="1"/>
  <c r="L99" i="136" s="1"/>
  <c r="K327" i="136"/>
  <c r="K364" i="136" s="1"/>
  <c r="L67" i="136" s="1"/>
  <c r="L101" i="136" s="1"/>
  <c r="K308" i="136"/>
  <c r="K345" i="136" s="1"/>
  <c r="L48" i="136" s="1"/>
  <c r="K321" i="136"/>
  <c r="K358" i="136" s="1"/>
  <c r="L61" i="136" s="1"/>
  <c r="L95" i="136" s="1"/>
  <c r="L197" i="136" s="1"/>
  <c r="K320" i="136"/>
  <c r="K357" i="136" s="1"/>
  <c r="L60" i="136" s="1"/>
  <c r="K304" i="136"/>
  <c r="K341" i="136" s="1"/>
  <c r="L44" i="136" s="1"/>
  <c r="K310" i="136"/>
  <c r="K347" i="136" s="1"/>
  <c r="L50" i="136" s="1"/>
  <c r="L187" i="146"/>
  <c r="L119" i="146"/>
  <c r="L153" i="146"/>
  <c r="I112" i="204"/>
  <c r="I113" i="204"/>
  <c r="I115" i="204" s="1"/>
  <c r="K356" i="142"/>
  <c r="K330" i="142"/>
  <c r="K24" i="102"/>
  <c r="I15" i="194"/>
  <c r="I44" i="194" s="1"/>
  <c r="I57" i="194" s="1"/>
  <c r="I98" i="194" s="1"/>
  <c r="L188" i="142"/>
  <c r="L120" i="142"/>
  <c r="L154" i="142"/>
  <c r="K366" i="144"/>
  <c r="L69" i="144" s="1"/>
  <c r="L70" i="144" s="1"/>
  <c r="L59" i="144"/>
  <c r="L117" i="144"/>
  <c r="L185" i="144"/>
  <c r="L151" i="144"/>
  <c r="K32" i="102"/>
  <c r="I15" i="202"/>
  <c r="I44" i="202" s="1"/>
  <c r="I57" i="202" s="1"/>
  <c r="I98" i="202" s="1"/>
  <c r="L114" i="149"/>
  <c r="L182" i="149"/>
  <c r="L148" i="149"/>
  <c r="L59" i="162"/>
  <c r="K366" i="162"/>
  <c r="L69" i="162" s="1"/>
  <c r="L133" i="138"/>
  <c r="K22" i="130"/>
  <c r="K283" i="141"/>
  <c r="K294" i="141"/>
  <c r="L117" i="146"/>
  <c r="L185" i="146"/>
  <c r="L151" i="146"/>
  <c r="L233" i="150"/>
  <c r="L267" i="150" s="1"/>
  <c r="L53" i="147"/>
  <c r="L290" i="147" s="1"/>
  <c r="K368" i="147"/>
  <c r="K370" i="147" s="1"/>
  <c r="L187" i="162"/>
  <c r="L153" i="162"/>
  <c r="L119" i="162"/>
  <c r="L182" i="142"/>
  <c r="L148" i="142"/>
  <c r="L114" i="142"/>
  <c r="L83" i="142"/>
  <c r="L84" i="142"/>
  <c r="L186" i="144"/>
  <c r="L118" i="144"/>
  <c r="L152" i="144"/>
  <c r="L162" i="151"/>
  <c r="L196" i="151"/>
  <c r="L128" i="151"/>
  <c r="L238" i="147"/>
  <c r="L272" i="147" s="1"/>
  <c r="L84" i="149"/>
  <c r="L170" i="149"/>
  <c r="L204" i="149"/>
  <c r="L136" i="149"/>
  <c r="L83" i="138"/>
  <c r="L151" i="138" s="1"/>
  <c r="L82" i="138"/>
  <c r="L222" i="146"/>
  <c r="L256" i="146" s="1"/>
  <c r="L54" i="151"/>
  <c r="I246" i="211"/>
  <c r="I271" i="211"/>
  <c r="O82" i="218" s="1"/>
  <c r="K367" i="147"/>
  <c r="L167" i="162"/>
  <c r="L201" i="162"/>
  <c r="L133" i="162"/>
  <c r="L197" i="162"/>
  <c r="L163" i="162"/>
  <c r="L129" i="162"/>
  <c r="K350" i="144"/>
  <c r="K351" i="144" s="1"/>
  <c r="L43" i="144"/>
  <c r="L70" i="150"/>
  <c r="L231" i="144"/>
  <c r="L265" i="144" s="1"/>
  <c r="L148" i="146"/>
  <c r="L114" i="146"/>
  <c r="L216" i="146" s="1"/>
  <c r="L250" i="146" s="1"/>
  <c r="L182" i="146"/>
  <c r="L77" i="147"/>
  <c r="L54" i="147"/>
  <c r="L78" i="147"/>
  <c r="L232" i="162"/>
  <c r="L266" i="162" s="1"/>
  <c r="L219" i="147"/>
  <c r="L253" i="147" s="1"/>
  <c r="L59" i="146"/>
  <c r="K366" i="146"/>
  <c r="L69" i="146" s="1"/>
  <c r="L70" i="146" s="1"/>
  <c r="L77" i="150"/>
  <c r="L78" i="150"/>
  <c r="K25" i="128"/>
  <c r="K75" i="128" s="1"/>
  <c r="K310" i="143"/>
  <c r="K347" i="143" s="1"/>
  <c r="L50" i="143" s="1"/>
  <c r="K320" i="143"/>
  <c r="K357" i="143" s="1"/>
  <c r="L60" i="143" s="1"/>
  <c r="K327" i="143"/>
  <c r="K364" i="143" s="1"/>
  <c r="L67" i="143" s="1"/>
  <c r="K308" i="143"/>
  <c r="K345" i="143" s="1"/>
  <c r="L48" i="143" s="1"/>
  <c r="K322" i="143"/>
  <c r="K359" i="143" s="1"/>
  <c r="L62" i="143" s="1"/>
  <c r="K328" i="143"/>
  <c r="K365" i="143" s="1"/>
  <c r="L68" i="143" s="1"/>
  <c r="K319" i="143"/>
  <c r="K307" i="143"/>
  <c r="K344" i="143" s="1"/>
  <c r="L47" i="143" s="1"/>
  <c r="K321" i="143"/>
  <c r="K358" i="143" s="1"/>
  <c r="L61" i="143" s="1"/>
  <c r="L95" i="143" s="1"/>
  <c r="K305" i="143"/>
  <c r="K342" i="143" s="1"/>
  <c r="L45" i="143" s="1"/>
  <c r="K326" i="143"/>
  <c r="K363" i="143" s="1"/>
  <c r="L66" i="143" s="1"/>
  <c r="K329" i="143"/>
  <c r="K306" i="143"/>
  <c r="K343" i="143" s="1"/>
  <c r="L46" i="143" s="1"/>
  <c r="L80" i="143" s="1"/>
  <c r="K313" i="143"/>
  <c r="K332" i="143" s="1"/>
  <c r="K323" i="143"/>
  <c r="K360" i="143" s="1"/>
  <c r="L63" i="143" s="1"/>
  <c r="K304" i="143"/>
  <c r="K341" i="143" s="1"/>
  <c r="L44" i="143" s="1"/>
  <c r="K311" i="143"/>
  <c r="K348" i="143" s="1"/>
  <c r="L51" i="143" s="1"/>
  <c r="L85" i="143" s="1"/>
  <c r="K325" i="143"/>
  <c r="K362" i="143" s="1"/>
  <c r="L65" i="143" s="1"/>
  <c r="K309" i="143"/>
  <c r="K346" i="143" s="1"/>
  <c r="L49" i="143" s="1"/>
  <c r="L83" i="143" s="1"/>
  <c r="K331" i="143"/>
  <c r="K324" i="143"/>
  <c r="K361" i="143" s="1"/>
  <c r="L64" i="143" s="1"/>
  <c r="K312" i="143"/>
  <c r="K349" i="143" s="1"/>
  <c r="L52" i="143" s="1"/>
  <c r="K303" i="143"/>
  <c r="L183" i="162"/>
  <c r="L115" i="162"/>
  <c r="L149" i="162"/>
  <c r="L218" i="162"/>
  <c r="L252" i="162" s="1"/>
  <c r="L236" i="162"/>
  <c r="L270" i="162" s="1"/>
  <c r="L85" i="142"/>
  <c r="L201" i="142"/>
  <c r="L167" i="142"/>
  <c r="L133" i="142"/>
  <c r="K340" i="142"/>
  <c r="K314" i="142"/>
  <c r="L98" i="142"/>
  <c r="L182" i="144"/>
  <c r="L114" i="144"/>
  <c r="L148" i="144"/>
  <c r="L234" i="146"/>
  <c r="L268" i="146" s="1"/>
  <c r="L218" i="150"/>
  <c r="L252" i="150" s="1"/>
  <c r="K19" i="128"/>
  <c r="K69" i="128" s="1"/>
  <c r="K307" i="137"/>
  <c r="K344" i="137" s="1"/>
  <c r="L47" i="137" s="1"/>
  <c r="K310" i="137"/>
  <c r="K347" i="137" s="1"/>
  <c r="L50" i="137" s="1"/>
  <c r="K320" i="137"/>
  <c r="K357" i="137" s="1"/>
  <c r="L60" i="137" s="1"/>
  <c r="K323" i="137"/>
  <c r="K360" i="137" s="1"/>
  <c r="L63" i="137" s="1"/>
  <c r="K304" i="137"/>
  <c r="K341" i="137" s="1"/>
  <c r="L44" i="137" s="1"/>
  <c r="K328" i="137"/>
  <c r="K365" i="137" s="1"/>
  <c r="L68" i="137" s="1"/>
  <c r="K327" i="137"/>
  <c r="K364" i="137" s="1"/>
  <c r="L67" i="137" s="1"/>
  <c r="K326" i="137"/>
  <c r="K363" i="137" s="1"/>
  <c r="L66" i="137" s="1"/>
  <c r="K303" i="137"/>
  <c r="K306" i="137"/>
  <c r="K343" i="137" s="1"/>
  <c r="L46" i="137" s="1"/>
  <c r="K309" i="137"/>
  <c r="K346" i="137" s="1"/>
  <c r="L49" i="137" s="1"/>
  <c r="K319" i="137"/>
  <c r="K322" i="137"/>
  <c r="K359" i="137" s="1"/>
  <c r="L62" i="137" s="1"/>
  <c r="K325" i="137"/>
  <c r="K362" i="137" s="1"/>
  <c r="L65" i="137" s="1"/>
  <c r="K305" i="137"/>
  <c r="K342" i="137" s="1"/>
  <c r="L45" i="137" s="1"/>
  <c r="K312" i="137"/>
  <c r="K349" i="137" s="1"/>
  <c r="L52" i="137" s="1"/>
  <c r="K311" i="137"/>
  <c r="K348" i="137" s="1"/>
  <c r="L51" i="137" s="1"/>
  <c r="K321" i="137"/>
  <c r="K358" i="137" s="1"/>
  <c r="L61" i="137" s="1"/>
  <c r="L95" i="137" s="1"/>
  <c r="K324" i="137"/>
  <c r="K361" i="137" s="1"/>
  <c r="L64" i="137" s="1"/>
  <c r="K308" i="137"/>
  <c r="K345" i="137" s="1"/>
  <c r="L48" i="137" s="1"/>
  <c r="L127" i="151"/>
  <c r="L137" i="151" s="1"/>
  <c r="L138" i="151" s="1"/>
  <c r="L195" i="151"/>
  <c r="L161" i="151"/>
  <c r="L103" i="151"/>
  <c r="L104" i="151" s="1"/>
  <c r="L118" i="162"/>
  <c r="L152" i="162"/>
  <c r="L186" i="162"/>
  <c r="L218" i="146"/>
  <c r="L252" i="146" s="1"/>
  <c r="L168" i="149"/>
  <c r="L202" i="149"/>
  <c r="L134" i="149"/>
  <c r="L99" i="149"/>
  <c r="K340" i="149"/>
  <c r="K314" i="149"/>
  <c r="L131" i="149"/>
  <c r="L165" i="149"/>
  <c r="L199" i="149"/>
  <c r="L96" i="149"/>
  <c r="L234" i="162"/>
  <c r="L268" i="162" s="1"/>
  <c r="Q119" i="217"/>
  <c r="Q92" i="217"/>
  <c r="Q123" i="217" s="1"/>
  <c r="Q270" i="217"/>
  <c r="K12" i="130"/>
  <c r="K34" i="130"/>
  <c r="L136" i="162"/>
  <c r="L170" i="162"/>
  <c r="L204" i="162"/>
  <c r="L116" i="142"/>
  <c r="L184" i="142"/>
  <c r="L150" i="142"/>
  <c r="K100" i="102"/>
  <c r="K44" i="95"/>
  <c r="K69" i="95" s="1"/>
  <c r="L200" i="149"/>
  <c r="L132" i="149"/>
  <c r="L166" i="149"/>
  <c r="L115" i="149"/>
  <c r="L183" i="149"/>
  <c r="L149" i="149"/>
  <c r="L220" i="150"/>
  <c r="L254" i="150" s="1"/>
  <c r="L146" i="151"/>
  <c r="L180" i="151"/>
  <c r="L112" i="151"/>
  <c r="I30" i="209"/>
  <c r="I262" i="209" s="1"/>
  <c r="I31" i="210" s="1"/>
  <c r="I70" i="211" s="1"/>
  <c r="K21" i="128"/>
  <c r="K71" i="128" s="1"/>
  <c r="K307" i="139"/>
  <c r="K344" i="139" s="1"/>
  <c r="L47" i="139" s="1"/>
  <c r="K310" i="139"/>
  <c r="K347" i="139" s="1"/>
  <c r="L50" i="139" s="1"/>
  <c r="K320" i="139"/>
  <c r="K357" i="139" s="1"/>
  <c r="L60" i="139" s="1"/>
  <c r="K323" i="139"/>
  <c r="K360" i="139" s="1"/>
  <c r="L63" i="139" s="1"/>
  <c r="K304" i="139"/>
  <c r="K341" i="139" s="1"/>
  <c r="L44" i="139" s="1"/>
  <c r="K328" i="139"/>
  <c r="K365" i="139" s="1"/>
  <c r="L68" i="139" s="1"/>
  <c r="K324" i="139"/>
  <c r="K361" i="139" s="1"/>
  <c r="L64" i="139" s="1"/>
  <c r="K326" i="139"/>
  <c r="K363" i="139" s="1"/>
  <c r="L66" i="139" s="1"/>
  <c r="K303" i="139"/>
  <c r="K306" i="139"/>
  <c r="K343" i="139" s="1"/>
  <c r="L46" i="139" s="1"/>
  <c r="K309" i="139"/>
  <c r="K346" i="139" s="1"/>
  <c r="L49" i="139" s="1"/>
  <c r="K319" i="139"/>
  <c r="K322" i="139"/>
  <c r="K359" i="139" s="1"/>
  <c r="L62" i="139" s="1"/>
  <c r="K325" i="139"/>
  <c r="K362" i="139" s="1"/>
  <c r="L65" i="139" s="1"/>
  <c r="K305" i="139"/>
  <c r="K342" i="139" s="1"/>
  <c r="L45" i="139" s="1"/>
  <c r="L79" i="139" s="1"/>
  <c r="L147" i="139" s="1"/>
  <c r="K312" i="139"/>
  <c r="K349" i="139" s="1"/>
  <c r="L52" i="139" s="1"/>
  <c r="K311" i="139"/>
  <c r="K348" i="139" s="1"/>
  <c r="L51" i="139" s="1"/>
  <c r="K321" i="139"/>
  <c r="K358" i="139" s="1"/>
  <c r="L61" i="139" s="1"/>
  <c r="K327" i="139"/>
  <c r="K364" i="139" s="1"/>
  <c r="L67" i="139" s="1"/>
  <c r="L101" i="139" s="1"/>
  <c r="K308" i="139"/>
  <c r="K345" i="139" s="1"/>
  <c r="L48" i="139" s="1"/>
  <c r="L82" i="139" s="1"/>
  <c r="L43" i="162"/>
  <c r="K350" i="162"/>
  <c r="L215" i="144"/>
  <c r="L249" i="144" s="1"/>
  <c r="L133" i="146"/>
  <c r="L167" i="146"/>
  <c r="L201" i="146"/>
  <c r="L232" i="147"/>
  <c r="L266" i="147" s="1"/>
  <c r="L238" i="146"/>
  <c r="L272" i="146" s="1"/>
  <c r="L218" i="144"/>
  <c r="L252" i="144" s="1"/>
  <c r="K27" i="128"/>
  <c r="K77" i="128" s="1"/>
  <c r="K312" i="145"/>
  <c r="K349" i="145" s="1"/>
  <c r="L52" i="145" s="1"/>
  <c r="K326" i="145"/>
  <c r="K363" i="145" s="1"/>
  <c r="L66" i="145" s="1"/>
  <c r="K303" i="145"/>
  <c r="K310" i="145"/>
  <c r="K347" i="145" s="1"/>
  <c r="L50" i="145" s="1"/>
  <c r="K320" i="145"/>
  <c r="K357" i="145" s="1"/>
  <c r="L60" i="145" s="1"/>
  <c r="K331" i="145"/>
  <c r="K324" i="145"/>
  <c r="K361" i="145" s="1"/>
  <c r="L64" i="145" s="1"/>
  <c r="K327" i="145"/>
  <c r="K364" i="145" s="1"/>
  <c r="L67" i="145" s="1"/>
  <c r="K308" i="145"/>
  <c r="K345" i="145" s="1"/>
  <c r="L48" i="145" s="1"/>
  <c r="K322" i="145"/>
  <c r="K359" i="145" s="1"/>
  <c r="L62" i="145" s="1"/>
  <c r="K329" i="145"/>
  <c r="K306" i="145"/>
  <c r="K343" i="145" s="1"/>
  <c r="L46" i="145" s="1"/>
  <c r="K313" i="145"/>
  <c r="K319" i="145"/>
  <c r="K321" i="145"/>
  <c r="K358" i="145" s="1"/>
  <c r="L61" i="145" s="1"/>
  <c r="K323" i="145"/>
  <c r="K360" i="145" s="1"/>
  <c r="L63" i="145" s="1"/>
  <c r="K304" i="145"/>
  <c r="K341" i="145" s="1"/>
  <c r="L44" i="145" s="1"/>
  <c r="K311" i="145"/>
  <c r="K348" i="145" s="1"/>
  <c r="L51" i="145" s="1"/>
  <c r="L85" i="145" s="1"/>
  <c r="K325" i="145"/>
  <c r="K362" i="145" s="1"/>
  <c r="L65" i="145" s="1"/>
  <c r="L99" i="145" s="1"/>
  <c r="K328" i="145"/>
  <c r="K365" i="145" s="1"/>
  <c r="L68" i="145" s="1"/>
  <c r="L102" i="145" s="1"/>
  <c r="K309" i="145"/>
  <c r="K346" i="145" s="1"/>
  <c r="L49" i="145" s="1"/>
  <c r="L83" i="145" s="1"/>
  <c r="K307" i="145"/>
  <c r="K344" i="145" s="1"/>
  <c r="L47" i="145" s="1"/>
  <c r="L81" i="145" s="1"/>
  <c r="K305" i="145"/>
  <c r="K342" i="145" s="1"/>
  <c r="L45" i="145" s="1"/>
  <c r="L235" i="150"/>
  <c r="L269" i="150" s="1"/>
  <c r="L204" i="142"/>
  <c r="L136" i="142"/>
  <c r="L170" i="142"/>
  <c r="L169" i="142"/>
  <c r="L203" i="142"/>
  <c r="L135" i="142"/>
  <c r="L113" i="142"/>
  <c r="L147" i="142"/>
  <c r="L181" i="142"/>
  <c r="L43" i="146"/>
  <c r="K350" i="146"/>
  <c r="L95" i="149"/>
  <c r="L169" i="149"/>
  <c r="L135" i="149"/>
  <c r="L203" i="149"/>
  <c r="K313" i="138"/>
  <c r="I104" i="199"/>
  <c r="I105" i="199"/>
  <c r="I149" i="199" s="1"/>
  <c r="I103" i="199"/>
  <c r="K17" i="128"/>
  <c r="K67" i="128" s="1"/>
  <c r="K309" i="135"/>
  <c r="K346" i="135" s="1"/>
  <c r="L49" i="135" s="1"/>
  <c r="K319" i="135"/>
  <c r="K326" i="135"/>
  <c r="K363" i="135" s="1"/>
  <c r="L66" i="135" s="1"/>
  <c r="K303" i="135"/>
  <c r="K306" i="135"/>
  <c r="K343" i="135" s="1"/>
  <c r="L46" i="135" s="1"/>
  <c r="K324" i="135"/>
  <c r="K361" i="135" s="1"/>
  <c r="L64" i="135" s="1"/>
  <c r="K327" i="135"/>
  <c r="K364" i="135" s="1"/>
  <c r="L67" i="135" s="1"/>
  <c r="L101" i="135" s="1"/>
  <c r="K311" i="135"/>
  <c r="K348" i="135" s="1"/>
  <c r="L51" i="135" s="1"/>
  <c r="K321" i="135"/>
  <c r="K358" i="135" s="1"/>
  <c r="L61" i="135" s="1"/>
  <c r="K323" i="135"/>
  <c r="K360" i="135" s="1"/>
  <c r="L63" i="135" s="1"/>
  <c r="K310" i="135"/>
  <c r="K347" i="135" s="1"/>
  <c r="L50" i="135" s="1"/>
  <c r="K328" i="135"/>
  <c r="K365" i="135" s="1"/>
  <c r="L68" i="135" s="1"/>
  <c r="L102" i="135" s="1"/>
  <c r="K305" i="135"/>
  <c r="K342" i="135" s="1"/>
  <c r="L45" i="135" s="1"/>
  <c r="K312" i="135"/>
  <c r="K349" i="135" s="1"/>
  <c r="L52" i="135" s="1"/>
  <c r="L86" i="135" s="1"/>
  <c r="L154" i="135" s="1"/>
  <c r="K322" i="135"/>
  <c r="K359" i="135" s="1"/>
  <c r="L62" i="135" s="1"/>
  <c r="K325" i="135"/>
  <c r="K362" i="135" s="1"/>
  <c r="L65" i="135" s="1"/>
  <c r="K308" i="135"/>
  <c r="K345" i="135" s="1"/>
  <c r="L48" i="135" s="1"/>
  <c r="K320" i="135"/>
  <c r="K357" i="135" s="1"/>
  <c r="L60" i="135" s="1"/>
  <c r="K304" i="135"/>
  <c r="K341" i="135" s="1"/>
  <c r="L44" i="135" s="1"/>
  <c r="K307" i="135"/>
  <c r="K344" i="135" s="1"/>
  <c r="L47" i="135" s="1"/>
  <c r="L145" i="151"/>
  <c r="L179" i="151"/>
  <c r="L111" i="151"/>
  <c r="L87" i="151"/>
  <c r="L88" i="151" s="1"/>
  <c r="I29" i="206"/>
  <c r="J88" i="208" s="1"/>
  <c r="I106" i="200"/>
  <c r="I111" i="200" s="1"/>
  <c r="L70" i="147"/>
  <c r="L199" i="162"/>
  <c r="L165" i="162"/>
  <c r="L131" i="162"/>
  <c r="L215" i="162"/>
  <c r="L249" i="162" s="1"/>
  <c r="I247" i="211"/>
  <c r="I272" i="211"/>
  <c r="O83" i="218" s="1"/>
  <c r="L204" i="144"/>
  <c r="L136" i="144"/>
  <c r="L170" i="144"/>
  <c r="Q121" i="217"/>
  <c r="Q272" i="217"/>
  <c r="L93" i="150"/>
  <c r="L94" i="150"/>
  <c r="I103" i="195"/>
  <c r="I104" i="195"/>
  <c r="I24" i="205" s="1"/>
  <c r="I105" i="195"/>
  <c r="I24" i="207" s="1"/>
  <c r="I25" i="209" s="1"/>
  <c r="I257" i="209" s="1"/>
  <c r="I26" i="210" s="1"/>
  <c r="I65" i="211" s="1"/>
  <c r="L219" i="162"/>
  <c r="L253" i="162" s="1"/>
  <c r="N86" i="218"/>
  <c r="N85" i="218"/>
  <c r="K296" i="140"/>
  <c r="K371" i="140"/>
  <c r="L216" i="150"/>
  <c r="L250" i="150" s="1"/>
  <c r="L235" i="147"/>
  <c r="L269" i="147" s="1"/>
  <c r="L237" i="162"/>
  <c r="L271" i="162" s="1"/>
  <c r="L165" i="146"/>
  <c r="L131" i="146"/>
  <c r="L199" i="146"/>
  <c r="L231" i="146"/>
  <c r="L265" i="146" s="1"/>
  <c r="L232" i="146"/>
  <c r="L266" i="146" s="1"/>
  <c r="L53" i="150"/>
  <c r="L290" i="150" s="1"/>
  <c r="K368" i="150"/>
  <c r="K370" i="150" s="1"/>
  <c r="K371" i="148"/>
  <c r="K296" i="148"/>
  <c r="L81" i="142"/>
  <c r="L165" i="142"/>
  <c r="L131" i="142"/>
  <c r="L199" i="142"/>
  <c r="L164" i="142"/>
  <c r="L130" i="142"/>
  <c r="L198" i="142"/>
  <c r="L163" i="142"/>
  <c r="L202" i="142"/>
  <c r="L134" i="142"/>
  <c r="L168" i="142"/>
  <c r="I103" i="197"/>
  <c r="I104" i="197"/>
  <c r="I105" i="197"/>
  <c r="I149" i="197" s="1"/>
  <c r="L133" i="144"/>
  <c r="L167" i="144"/>
  <c r="L201" i="144"/>
  <c r="L217" i="147"/>
  <c r="L251" i="147" s="1"/>
  <c r="L222" i="144"/>
  <c r="L256" i="144" s="1"/>
  <c r="L217" i="146"/>
  <c r="L251" i="146" s="1"/>
  <c r="L82" i="149"/>
  <c r="L188" i="149"/>
  <c r="L120" i="149"/>
  <c r="L154" i="149"/>
  <c r="K356" i="149"/>
  <c r="K330" i="149"/>
  <c r="L85" i="149"/>
  <c r="L79" i="149"/>
  <c r="K332" i="149"/>
  <c r="K333" i="149" s="1"/>
  <c r="L236" i="144"/>
  <c r="L270" i="144" s="1"/>
  <c r="L201" i="138"/>
  <c r="L133" i="136"/>
  <c r="L148" i="138"/>
  <c r="L163" i="138"/>
  <c r="L99" i="86"/>
  <c r="L133" i="86" s="1"/>
  <c r="L114" i="138"/>
  <c r="L129" i="138"/>
  <c r="L100" i="86"/>
  <c r="L134" i="86" s="1"/>
  <c r="L97" i="86"/>
  <c r="L165" i="86" s="1"/>
  <c r="L113" i="139"/>
  <c r="L43" i="138"/>
  <c r="K350" i="138"/>
  <c r="L147" i="138"/>
  <c r="L181" i="138"/>
  <c r="L113" i="138"/>
  <c r="L163" i="137"/>
  <c r="L197" i="137"/>
  <c r="L129" i="137"/>
  <c r="L181" i="134"/>
  <c r="L113" i="134"/>
  <c r="L147" i="134"/>
  <c r="L149" i="136"/>
  <c r="L150" i="138"/>
  <c r="L184" i="138"/>
  <c r="L116" i="138"/>
  <c r="L153" i="134"/>
  <c r="L187" i="134"/>
  <c r="L119" i="134"/>
  <c r="L165" i="138"/>
  <c r="L199" i="138"/>
  <c r="L131" i="138"/>
  <c r="L95" i="86"/>
  <c r="L51" i="86"/>
  <c r="L48" i="86"/>
  <c r="L101" i="86"/>
  <c r="L98" i="86"/>
  <c r="K314" i="138"/>
  <c r="L154" i="138"/>
  <c r="L188" i="138"/>
  <c r="L120" i="138"/>
  <c r="L235" i="138"/>
  <c r="L269" i="138" s="1"/>
  <c r="L187" i="138"/>
  <c r="L119" i="138"/>
  <c r="L153" i="138"/>
  <c r="L96" i="86"/>
  <c r="L52" i="86"/>
  <c r="L86" i="86" s="1"/>
  <c r="L45" i="86"/>
  <c r="L102" i="86"/>
  <c r="I104" i="191"/>
  <c r="I20" i="205" s="1"/>
  <c r="I105" i="191"/>
  <c r="I20" i="207" s="1"/>
  <c r="I103" i="191"/>
  <c r="K366" i="138"/>
  <c r="L59" i="138"/>
  <c r="L198" i="138"/>
  <c r="L130" i="138"/>
  <c r="L164" i="138"/>
  <c r="L166" i="138"/>
  <c r="L200" i="138"/>
  <c r="L132" i="138"/>
  <c r="L200" i="134"/>
  <c r="L132" i="134"/>
  <c r="L166" i="134"/>
  <c r="L46" i="86"/>
  <c r="K313" i="86"/>
  <c r="K340" i="86"/>
  <c r="K356" i="86"/>
  <c r="K329" i="86"/>
  <c r="K330" i="86" s="1"/>
  <c r="L49" i="86"/>
  <c r="K65" i="128"/>
  <c r="K94" i="102"/>
  <c r="K38" i="95"/>
  <c r="K63" i="95" s="1"/>
  <c r="L202" i="138"/>
  <c r="L134" i="138"/>
  <c r="L168" i="138"/>
  <c r="L203" i="136"/>
  <c r="L135" i="136"/>
  <c r="L169" i="136"/>
  <c r="L170" i="138"/>
  <c r="L204" i="138"/>
  <c r="L136" i="138"/>
  <c r="L169" i="138"/>
  <c r="L203" i="138"/>
  <c r="L135" i="138"/>
  <c r="L170" i="135"/>
  <c r="L204" i="135"/>
  <c r="L136" i="135"/>
  <c r="L169" i="135"/>
  <c r="L203" i="135"/>
  <c r="L135" i="135"/>
  <c r="L50" i="86"/>
  <c r="L47" i="86"/>
  <c r="L44" i="86"/>
  <c r="L82" i="135" l="1"/>
  <c r="L237" i="142"/>
  <c r="L271" i="142" s="1"/>
  <c r="L98" i="139"/>
  <c r="L220" i="162"/>
  <c r="L254" i="162" s="1"/>
  <c r="L85" i="137"/>
  <c r="L86" i="136"/>
  <c r="L97" i="145"/>
  <c r="K332" i="138"/>
  <c r="K333" i="138" s="1"/>
  <c r="L181" i="139"/>
  <c r="L129" i="142"/>
  <c r="L81" i="135"/>
  <c r="L95" i="139"/>
  <c r="L171" i="151"/>
  <c r="L172" i="151" s="1"/>
  <c r="L98" i="137"/>
  <c r="L151" i="149"/>
  <c r="L201" i="86"/>
  <c r="L166" i="139"/>
  <c r="L84" i="135"/>
  <c r="L102" i="137"/>
  <c r="L203" i="134"/>
  <c r="L185" i="149"/>
  <c r="L222" i="142"/>
  <c r="L256" i="142" s="1"/>
  <c r="L152" i="138"/>
  <c r="L95" i="134"/>
  <c r="L102" i="134"/>
  <c r="L169" i="134"/>
  <c r="L237" i="134" s="1"/>
  <c r="L271" i="134" s="1"/>
  <c r="L235" i="142"/>
  <c r="L269" i="142" s="1"/>
  <c r="L79" i="143"/>
  <c r="L98" i="136"/>
  <c r="L186" i="138"/>
  <c r="K356" i="134"/>
  <c r="K329" i="134"/>
  <c r="K330" i="134" s="1"/>
  <c r="L100" i="134"/>
  <c r="L84" i="134"/>
  <c r="L83" i="134"/>
  <c r="L81" i="134"/>
  <c r="L184" i="134"/>
  <c r="L116" i="134"/>
  <c r="L150" i="134"/>
  <c r="L99" i="134"/>
  <c r="L80" i="134"/>
  <c r="L97" i="134"/>
  <c r="K17" i="102"/>
  <c r="I15" i="187"/>
  <c r="I44" i="187" s="1"/>
  <c r="I57" i="187" s="1"/>
  <c r="I98" i="187" s="1"/>
  <c r="L86" i="134"/>
  <c r="L96" i="134"/>
  <c r="K340" i="134"/>
  <c r="K313" i="134"/>
  <c r="L86" i="143"/>
  <c r="L101" i="145"/>
  <c r="L135" i="145" s="1"/>
  <c r="L99" i="139"/>
  <c r="L167" i="139" s="1"/>
  <c r="L235" i="144"/>
  <c r="L269" i="144" s="1"/>
  <c r="L96" i="135"/>
  <c r="L97" i="143"/>
  <c r="L131" i="143" s="1"/>
  <c r="L70" i="162"/>
  <c r="L216" i="138"/>
  <c r="L250" i="138" s="1"/>
  <c r="L218" i="142"/>
  <c r="L252" i="142" s="1"/>
  <c r="L80" i="136"/>
  <c r="L148" i="136" s="1"/>
  <c r="L83" i="136"/>
  <c r="L233" i="142"/>
  <c r="L267" i="142" s="1"/>
  <c r="L80" i="139"/>
  <c r="L102" i="139"/>
  <c r="L204" i="139" s="1"/>
  <c r="L84" i="139"/>
  <c r="L238" i="162"/>
  <c r="L272" i="162" s="1"/>
  <c r="L215" i="142"/>
  <c r="L249" i="142" s="1"/>
  <c r="L79" i="145"/>
  <c r="L181" i="145" s="1"/>
  <c r="L95" i="145"/>
  <c r="L98" i="145"/>
  <c r="L100" i="143"/>
  <c r="L101" i="143"/>
  <c r="L169" i="143" s="1"/>
  <c r="L216" i="149"/>
  <c r="L250" i="149" s="1"/>
  <c r="L97" i="135"/>
  <c r="L165" i="135" s="1"/>
  <c r="L98" i="135"/>
  <c r="L166" i="135" s="1"/>
  <c r="L96" i="137"/>
  <c r="L198" i="137" s="1"/>
  <c r="L81" i="137"/>
  <c r="L99" i="143"/>
  <c r="L53" i="146"/>
  <c r="L290" i="146" s="1"/>
  <c r="K368" i="146"/>
  <c r="K370" i="146" s="1"/>
  <c r="L197" i="145"/>
  <c r="L129" i="145"/>
  <c r="L163" i="145"/>
  <c r="K340" i="145"/>
  <c r="K314" i="145"/>
  <c r="K368" i="162"/>
  <c r="K370" i="162" s="1"/>
  <c r="L53" i="162"/>
  <c r="L290" i="162" s="1"/>
  <c r="L187" i="137"/>
  <c r="L163" i="139"/>
  <c r="L133" i="139"/>
  <c r="L182" i="139"/>
  <c r="L149" i="137"/>
  <c r="L131" i="135"/>
  <c r="L120" i="135"/>
  <c r="L152" i="139"/>
  <c r="L117" i="138"/>
  <c r="K366" i="149"/>
  <c r="L69" i="149" s="1"/>
  <c r="L59" i="149"/>
  <c r="L116" i="149"/>
  <c r="L184" i="149"/>
  <c r="L150" i="149"/>
  <c r="I141" i="197"/>
  <c r="I153" i="197" s="1"/>
  <c r="I26" i="205" s="1"/>
  <c r="I148" i="197"/>
  <c r="L236" i="142"/>
  <c r="L270" i="142" s="1"/>
  <c r="K326" i="148"/>
  <c r="K363" i="148" s="1"/>
  <c r="L66" i="148" s="1"/>
  <c r="K303" i="148"/>
  <c r="K306" i="148"/>
  <c r="K343" i="148" s="1"/>
  <c r="L46" i="148" s="1"/>
  <c r="K313" i="148"/>
  <c r="K323" i="148"/>
  <c r="K360" i="148" s="1"/>
  <c r="L63" i="148" s="1"/>
  <c r="K304" i="148"/>
  <c r="K341" i="148" s="1"/>
  <c r="L44" i="148" s="1"/>
  <c r="K311" i="148"/>
  <c r="K348" i="148" s="1"/>
  <c r="L51" i="148" s="1"/>
  <c r="K305" i="148"/>
  <c r="K342" i="148" s="1"/>
  <c r="L45" i="148" s="1"/>
  <c r="K329" i="148"/>
  <c r="K310" i="148"/>
  <c r="K347" i="148" s="1"/>
  <c r="L50" i="148" s="1"/>
  <c r="K327" i="148"/>
  <c r="K364" i="148" s="1"/>
  <c r="L67" i="148" s="1"/>
  <c r="K30" i="128"/>
  <c r="K80" i="128" s="1"/>
  <c r="K322" i="148"/>
  <c r="K359" i="148" s="1"/>
  <c r="L62" i="148" s="1"/>
  <c r="K325" i="148"/>
  <c r="K362" i="148" s="1"/>
  <c r="L65" i="148" s="1"/>
  <c r="K328" i="148"/>
  <c r="K365" i="148" s="1"/>
  <c r="L68" i="148" s="1"/>
  <c r="L102" i="148" s="1"/>
  <c r="K309" i="148"/>
  <c r="K346" i="148" s="1"/>
  <c r="L49" i="148" s="1"/>
  <c r="K319" i="148"/>
  <c r="K331" i="148"/>
  <c r="K321" i="148"/>
  <c r="K358" i="148" s="1"/>
  <c r="L61" i="148" s="1"/>
  <c r="K324" i="148"/>
  <c r="K361" i="148" s="1"/>
  <c r="L64" i="148" s="1"/>
  <c r="K312" i="148"/>
  <c r="K349" i="148" s="1"/>
  <c r="L52" i="148" s="1"/>
  <c r="L86" i="148" s="1"/>
  <c r="K307" i="148"/>
  <c r="K344" i="148" s="1"/>
  <c r="L47" i="148" s="1"/>
  <c r="L81" i="148" s="1"/>
  <c r="K320" i="148"/>
  <c r="K357" i="148" s="1"/>
  <c r="L60" i="148" s="1"/>
  <c r="K308" i="148"/>
  <c r="K345" i="148" s="1"/>
  <c r="L48" i="148" s="1"/>
  <c r="L103" i="150"/>
  <c r="L104" i="150" s="1"/>
  <c r="L196" i="150"/>
  <c r="L128" i="150"/>
  <c r="L162" i="150"/>
  <c r="L233" i="162"/>
  <c r="L267" i="162" s="1"/>
  <c r="L155" i="151"/>
  <c r="L280" i="151" s="1"/>
  <c r="L33" i="131" s="1"/>
  <c r="L116" i="135"/>
  <c r="L150" i="135"/>
  <c r="L184" i="135"/>
  <c r="L79" i="135"/>
  <c r="L95" i="135"/>
  <c r="L80" i="135"/>
  <c r="L83" i="135"/>
  <c r="I141" i="199"/>
  <c r="I153" i="199" s="1"/>
  <c r="I28" i="205" s="1"/>
  <c r="I148" i="199"/>
  <c r="L77" i="146"/>
  <c r="L54" i="146"/>
  <c r="L78" i="146"/>
  <c r="L149" i="145"/>
  <c r="L183" i="145"/>
  <c r="L115" i="145"/>
  <c r="L119" i="145"/>
  <c r="L187" i="145"/>
  <c r="L153" i="145"/>
  <c r="K356" i="145"/>
  <c r="K330" i="145"/>
  <c r="L96" i="145"/>
  <c r="L100" i="145"/>
  <c r="L77" i="162"/>
  <c r="L54" i="162"/>
  <c r="L78" i="162"/>
  <c r="L85" i="139"/>
  <c r="L96" i="139"/>
  <c r="K340" i="139"/>
  <c r="K313" i="139"/>
  <c r="L81" i="139"/>
  <c r="L121" i="151"/>
  <c r="L282" i="151" s="1"/>
  <c r="L33" i="132" s="1"/>
  <c r="L214" i="151"/>
  <c r="L248" i="151" s="1"/>
  <c r="L82" i="137"/>
  <c r="L86" i="137"/>
  <c r="K356" i="137"/>
  <c r="K329" i="137"/>
  <c r="K330" i="137" s="1"/>
  <c r="L100" i="137"/>
  <c r="L97" i="137"/>
  <c r="I15" i="190"/>
  <c r="I44" i="190" s="1"/>
  <c r="I57" i="190" s="1"/>
  <c r="I98" i="190" s="1"/>
  <c r="K20" i="102"/>
  <c r="L216" i="144"/>
  <c r="L250" i="144" s="1"/>
  <c r="L43" i="142"/>
  <c r="K350" i="142"/>
  <c r="K351" i="142" s="1"/>
  <c r="L154" i="143"/>
  <c r="L120" i="143"/>
  <c r="L188" i="143"/>
  <c r="L201" i="143"/>
  <c r="L167" i="143"/>
  <c r="L133" i="143"/>
  <c r="K333" i="143"/>
  <c r="L147" i="143"/>
  <c r="L113" i="143"/>
  <c r="L181" i="143"/>
  <c r="L102" i="143"/>
  <c r="L54" i="150"/>
  <c r="L93" i="146"/>
  <c r="L94" i="146"/>
  <c r="L77" i="144"/>
  <c r="L78" i="144"/>
  <c r="L231" i="162"/>
  <c r="L265" i="162" s="1"/>
  <c r="L186" i="149"/>
  <c r="L118" i="149"/>
  <c r="L152" i="149"/>
  <c r="L152" i="142"/>
  <c r="L118" i="142"/>
  <c r="L186" i="142"/>
  <c r="L93" i="162"/>
  <c r="L94" i="162"/>
  <c r="I103" i="202"/>
  <c r="I104" i="202"/>
  <c r="I31" i="205" s="1"/>
  <c r="I105" i="202"/>
  <c r="I31" i="207" s="1"/>
  <c r="I32" i="209" s="1"/>
  <c r="I264" i="209" s="1"/>
  <c r="I33" i="210" s="1"/>
  <c r="I72" i="211" s="1"/>
  <c r="L219" i="144"/>
  <c r="L253" i="144" s="1"/>
  <c r="K41" i="95"/>
  <c r="K66" i="95" s="1"/>
  <c r="K97" i="102"/>
  <c r="I117" i="204"/>
  <c r="I114" i="204"/>
  <c r="I116" i="204" s="1"/>
  <c r="I118" i="204" s="1"/>
  <c r="L84" i="136"/>
  <c r="L82" i="136"/>
  <c r="L97" i="136"/>
  <c r="K313" i="136"/>
  <c r="K340" i="136"/>
  <c r="K19" i="102"/>
  <c r="I15" i="189"/>
  <c r="I44" i="189" s="1"/>
  <c r="I57" i="189" s="1"/>
  <c r="I98" i="189" s="1"/>
  <c r="L161" i="147"/>
  <c r="L195" i="147"/>
  <c r="L127" i="147"/>
  <c r="L103" i="147"/>
  <c r="L104" i="147" s="1"/>
  <c r="L149" i="142"/>
  <c r="L115" i="142"/>
  <c r="L183" i="142"/>
  <c r="I24" i="206"/>
  <c r="J83" i="208" s="1"/>
  <c r="I106" i="195"/>
  <c r="I111" i="195" s="1"/>
  <c r="K356" i="135"/>
  <c r="K329" i="135"/>
  <c r="K330" i="135" s="1"/>
  <c r="L132" i="145"/>
  <c r="L200" i="145"/>
  <c r="L166" i="145"/>
  <c r="K313" i="137"/>
  <c r="K332" i="137" s="1"/>
  <c r="K333" i="137" s="1"/>
  <c r="K340" i="137"/>
  <c r="L185" i="143"/>
  <c r="L117" i="143"/>
  <c r="L151" i="143"/>
  <c r="L134" i="143"/>
  <c r="L168" i="143"/>
  <c r="L202" i="143"/>
  <c r="K356" i="143"/>
  <c r="K330" i="143"/>
  <c r="L180" i="147"/>
  <c r="L146" i="147"/>
  <c r="L112" i="147"/>
  <c r="L205" i="151"/>
  <c r="L206" i="151" s="1"/>
  <c r="L230" i="151"/>
  <c r="L264" i="151" s="1"/>
  <c r="L96" i="136"/>
  <c r="L131" i="86"/>
  <c r="L201" i="139"/>
  <c r="L235" i="139" s="1"/>
  <c r="L269" i="139" s="1"/>
  <c r="L199" i="135"/>
  <c r="K314" i="137"/>
  <c r="L188" i="135"/>
  <c r="L222" i="135" s="1"/>
  <c r="L256" i="135" s="1"/>
  <c r="L115" i="136"/>
  <c r="L217" i="136" s="1"/>
  <c r="L251" i="136" s="1"/>
  <c r="L185" i="138"/>
  <c r="L132" i="135"/>
  <c r="L147" i="149"/>
  <c r="L181" i="149"/>
  <c r="L113" i="149"/>
  <c r="I140" i="197"/>
  <c r="I152" i="197" s="1"/>
  <c r="I147" i="197"/>
  <c r="I154" i="197" s="1"/>
  <c r="I106" i="197"/>
  <c r="L232" i="142"/>
  <c r="L266" i="142" s="1"/>
  <c r="K33" i="128"/>
  <c r="K83" i="128" s="1"/>
  <c r="K331" i="140"/>
  <c r="K326" i="140"/>
  <c r="K363" i="140" s="1"/>
  <c r="L66" i="140" s="1"/>
  <c r="K322" i="140"/>
  <c r="K359" i="140" s="1"/>
  <c r="L62" i="140" s="1"/>
  <c r="K311" i="140"/>
  <c r="K348" i="140" s="1"/>
  <c r="K307" i="140"/>
  <c r="K344" i="140" s="1"/>
  <c r="K303" i="140"/>
  <c r="K328" i="140"/>
  <c r="K365" i="140" s="1"/>
  <c r="L68" i="140" s="1"/>
  <c r="K324" i="140"/>
  <c r="K361" i="140" s="1"/>
  <c r="L64" i="140" s="1"/>
  <c r="K320" i="140"/>
  <c r="K357" i="140" s="1"/>
  <c r="L60" i="140" s="1"/>
  <c r="K309" i="140"/>
  <c r="K346" i="140" s="1"/>
  <c r="K305" i="140"/>
  <c r="K342" i="140" s="1"/>
  <c r="K325" i="140"/>
  <c r="K362" i="140" s="1"/>
  <c r="L65" i="140" s="1"/>
  <c r="L99" i="140" s="1"/>
  <c r="K321" i="140"/>
  <c r="K358" i="140" s="1"/>
  <c r="L61" i="140" s="1"/>
  <c r="L95" i="140" s="1"/>
  <c r="K310" i="140"/>
  <c r="K347" i="140" s="1"/>
  <c r="L50" i="140" s="1"/>
  <c r="K306" i="140"/>
  <c r="K343" i="140" s="1"/>
  <c r="L46" i="140" s="1"/>
  <c r="K327" i="140"/>
  <c r="K364" i="140" s="1"/>
  <c r="L67" i="140" s="1"/>
  <c r="L101" i="140" s="1"/>
  <c r="K323" i="140"/>
  <c r="K360" i="140" s="1"/>
  <c r="L63" i="140" s="1"/>
  <c r="L97" i="140" s="1"/>
  <c r="K319" i="140"/>
  <c r="K312" i="140"/>
  <c r="K349" i="140" s="1"/>
  <c r="L52" i="140" s="1"/>
  <c r="K308" i="140"/>
  <c r="K345" i="140" s="1"/>
  <c r="L48" i="140" s="1"/>
  <c r="K304" i="140"/>
  <c r="K341" i="140" s="1"/>
  <c r="L44" i="140" s="1"/>
  <c r="I238" i="211"/>
  <c r="I263" i="211"/>
  <c r="O74" i="218" s="1"/>
  <c r="L195" i="150"/>
  <c r="L161" i="150"/>
  <c r="L127" i="150"/>
  <c r="L99" i="135"/>
  <c r="L85" i="135"/>
  <c r="K340" i="135"/>
  <c r="K313" i="135"/>
  <c r="K332" i="135" s="1"/>
  <c r="K333" i="135" s="1"/>
  <c r="I15" i="188"/>
  <c r="I44" i="188" s="1"/>
  <c r="I57" i="188" s="1"/>
  <c r="I98" i="188" s="1"/>
  <c r="K18" i="102"/>
  <c r="L197" i="149"/>
  <c r="L129" i="149"/>
  <c r="L163" i="149"/>
  <c r="L238" i="142"/>
  <c r="L272" i="142" s="1"/>
  <c r="L185" i="145"/>
  <c r="L151" i="145"/>
  <c r="L117" i="145"/>
  <c r="K332" i="145"/>
  <c r="K333" i="145" s="1"/>
  <c r="L82" i="145"/>
  <c r="L86" i="145"/>
  <c r="L116" i="139"/>
  <c r="L184" i="139"/>
  <c r="L150" i="139"/>
  <c r="L86" i="139"/>
  <c r="K329" i="139"/>
  <c r="K330" i="139" s="1"/>
  <c r="K356" i="139"/>
  <c r="L100" i="139"/>
  <c r="L97" i="139"/>
  <c r="K22" i="102"/>
  <c r="I15" i="192"/>
  <c r="I44" i="192" s="1"/>
  <c r="I57" i="192" s="1"/>
  <c r="I98" i="192" s="1"/>
  <c r="L234" i="149"/>
  <c r="L268" i="149" s="1"/>
  <c r="Q299" i="217"/>
  <c r="Q618" i="217"/>
  <c r="L164" i="149"/>
  <c r="L198" i="149"/>
  <c r="L130" i="149"/>
  <c r="L236" i="149"/>
  <c r="L270" i="149" s="1"/>
  <c r="L79" i="137"/>
  <c r="L83" i="137"/>
  <c r="L101" i="137"/>
  <c r="L187" i="142"/>
  <c r="L119" i="142"/>
  <c r="L153" i="142"/>
  <c r="L217" i="162"/>
  <c r="L251" i="162" s="1"/>
  <c r="L98" i="143"/>
  <c r="L119" i="143"/>
  <c r="L153" i="143"/>
  <c r="L187" i="143"/>
  <c r="L182" i="143"/>
  <c r="L114" i="143"/>
  <c r="L148" i="143"/>
  <c r="L197" i="143"/>
  <c r="L129" i="143"/>
  <c r="L163" i="143"/>
  <c r="L96" i="143"/>
  <c r="L84" i="143"/>
  <c r="L145" i="150"/>
  <c r="L87" i="150"/>
  <c r="L88" i="150" s="1"/>
  <c r="L179" i="150"/>
  <c r="L111" i="150"/>
  <c r="L111" i="147"/>
  <c r="L87" i="147"/>
  <c r="L88" i="147" s="1"/>
  <c r="L145" i="147"/>
  <c r="L179" i="147"/>
  <c r="K368" i="144"/>
  <c r="K370" i="144" s="1"/>
  <c r="L53" i="144"/>
  <c r="L290" i="144" s="1"/>
  <c r="L185" i="142"/>
  <c r="L117" i="142"/>
  <c r="L151" i="142"/>
  <c r="L221" i="162"/>
  <c r="L255" i="162" s="1"/>
  <c r="L219" i="146"/>
  <c r="L253" i="146" s="1"/>
  <c r="K105" i="102"/>
  <c r="K49" i="95"/>
  <c r="K74" i="95" s="1"/>
  <c r="K367" i="144"/>
  <c r="L79" i="136"/>
  <c r="L85" i="136"/>
  <c r="L100" i="136"/>
  <c r="I113" i="203"/>
  <c r="I115" i="203" s="1"/>
  <c r="I112" i="203"/>
  <c r="L189" i="151"/>
  <c r="L281" i="151" s="1"/>
  <c r="L33" i="133" s="1"/>
  <c r="L201" i="145"/>
  <c r="L167" i="145"/>
  <c r="L133" i="145"/>
  <c r="L167" i="149"/>
  <c r="L201" i="149"/>
  <c r="L133" i="149"/>
  <c r="K340" i="143"/>
  <c r="K314" i="143"/>
  <c r="L203" i="143"/>
  <c r="L146" i="150"/>
  <c r="L180" i="150"/>
  <c r="L112" i="150"/>
  <c r="I105" i="194"/>
  <c r="I23" i="207" s="1"/>
  <c r="I24" i="209" s="1"/>
  <c r="I256" i="209" s="1"/>
  <c r="I25" i="210" s="1"/>
  <c r="I64" i="211" s="1"/>
  <c r="I104" i="194"/>
  <c r="I23" i="205" s="1"/>
  <c r="I103" i="194"/>
  <c r="L163" i="136"/>
  <c r="L129" i="136"/>
  <c r="L185" i="136"/>
  <c r="L117" i="136"/>
  <c r="L151" i="136"/>
  <c r="L128" i="147"/>
  <c r="L196" i="147"/>
  <c r="L162" i="147"/>
  <c r="K314" i="136"/>
  <c r="L200" i="135"/>
  <c r="L182" i="136"/>
  <c r="L231" i="138"/>
  <c r="L265" i="138" s="1"/>
  <c r="L119" i="149"/>
  <c r="L153" i="149"/>
  <c r="L187" i="149"/>
  <c r="L222" i="149"/>
  <c r="L256" i="149" s="1"/>
  <c r="L231" i="142"/>
  <c r="L265" i="142" s="1"/>
  <c r="L233" i="146"/>
  <c r="L267" i="146" s="1"/>
  <c r="Q624" i="217"/>
  <c r="Q301" i="217"/>
  <c r="L238" i="144"/>
  <c r="L272" i="144" s="1"/>
  <c r="I113" i="200"/>
  <c r="I115" i="200" s="1"/>
  <c r="I112" i="200"/>
  <c r="L213" i="151"/>
  <c r="L118" i="135"/>
  <c r="L152" i="135"/>
  <c r="L186" i="135"/>
  <c r="L100" i="135"/>
  <c r="I106" i="199"/>
  <c r="I147" i="199"/>
  <c r="I140" i="199"/>
  <c r="I152" i="199" s="1"/>
  <c r="L237" i="149"/>
  <c r="L271" i="149" s="1"/>
  <c r="K351" i="146"/>
  <c r="L204" i="145"/>
  <c r="L170" i="145"/>
  <c r="L136" i="145"/>
  <c r="L131" i="145"/>
  <c r="L165" i="145"/>
  <c r="L199" i="145"/>
  <c r="L80" i="145"/>
  <c r="L203" i="145"/>
  <c r="L84" i="145"/>
  <c r="I15" i="198"/>
  <c r="I44" i="198" s="1"/>
  <c r="I57" i="198" s="1"/>
  <c r="I98" i="198" s="1"/>
  <c r="K28" i="102"/>
  <c r="L235" i="146"/>
  <c r="L269" i="146" s="1"/>
  <c r="K351" i="162"/>
  <c r="L169" i="139"/>
  <c r="L135" i="139"/>
  <c r="L203" i="139"/>
  <c r="L83" i="139"/>
  <c r="I268" i="211"/>
  <c r="O79" i="218" s="1"/>
  <c r="I243" i="211"/>
  <c r="L217" i="149"/>
  <c r="L251" i="149" s="1"/>
  <c r="L233" i="149"/>
  <c r="L267" i="149" s="1"/>
  <c r="K350" i="149"/>
  <c r="K351" i="149" s="1"/>
  <c r="L43" i="149"/>
  <c r="L229" i="151"/>
  <c r="L99" i="137"/>
  <c r="L80" i="137"/>
  <c r="L84" i="137"/>
  <c r="L132" i="142"/>
  <c r="L200" i="142"/>
  <c r="L166" i="142"/>
  <c r="L81" i="143"/>
  <c r="L82" i="143"/>
  <c r="K26" i="102"/>
  <c r="I15" i="196"/>
  <c r="I44" i="196" s="1"/>
  <c r="I57" i="196" s="1"/>
  <c r="I98" i="196" s="1"/>
  <c r="K367" i="146"/>
  <c r="L235" i="162"/>
  <c r="L269" i="162" s="1"/>
  <c r="L238" i="149"/>
  <c r="L272" i="149" s="1"/>
  <c r="L220" i="144"/>
  <c r="L254" i="144" s="1"/>
  <c r="L216" i="142"/>
  <c r="L250" i="142" s="1"/>
  <c r="K371" i="141"/>
  <c r="K296" i="141"/>
  <c r="K367" i="162"/>
  <c r="L93" i="144"/>
  <c r="L94" i="144"/>
  <c r="K366" i="142"/>
  <c r="L69" i="142" s="1"/>
  <c r="L59" i="142"/>
  <c r="L221" i="146"/>
  <c r="L255" i="146" s="1"/>
  <c r="L201" i="136"/>
  <c r="L167" i="136"/>
  <c r="L102" i="136"/>
  <c r="K329" i="136"/>
  <c r="K330" i="136" s="1"/>
  <c r="K356" i="136"/>
  <c r="L199" i="86"/>
  <c r="L233" i="86" s="1"/>
  <c r="L267" i="86" s="1"/>
  <c r="L167" i="86"/>
  <c r="L168" i="86"/>
  <c r="L202" i="86"/>
  <c r="L84" i="86"/>
  <c r="L186" i="86" s="1"/>
  <c r="L234" i="135"/>
  <c r="L268" i="135" s="1"/>
  <c r="L80" i="86"/>
  <c r="L182" i="86" s="1"/>
  <c r="L83" i="86"/>
  <c r="L117" i="86" s="1"/>
  <c r="L221" i="138"/>
  <c r="L255" i="138" s="1"/>
  <c r="L233" i="135"/>
  <c r="L267" i="135" s="1"/>
  <c r="L233" i="138"/>
  <c r="L267" i="138" s="1"/>
  <c r="L221" i="134"/>
  <c r="L255" i="134" s="1"/>
  <c r="L237" i="138"/>
  <c r="L271" i="138" s="1"/>
  <c r="L231" i="137"/>
  <c r="L265" i="137" s="1"/>
  <c r="L237" i="135"/>
  <c r="L271" i="135" s="1"/>
  <c r="L81" i="86"/>
  <c r="L183" i="86" s="1"/>
  <c r="L236" i="138"/>
  <c r="L270" i="138" s="1"/>
  <c r="L238" i="135"/>
  <c r="L272" i="135" s="1"/>
  <c r="K16" i="102"/>
  <c r="I15" i="186"/>
  <c r="I44" i="186" s="1"/>
  <c r="I57" i="186" s="1"/>
  <c r="I98" i="186" s="1"/>
  <c r="L234" i="138"/>
  <c r="L268" i="138" s="1"/>
  <c r="I20" i="206"/>
  <c r="J79" i="208" s="1"/>
  <c r="I106" i="191"/>
  <c r="I111" i="191" s="1"/>
  <c r="L154" i="86"/>
  <c r="L188" i="86"/>
  <c r="L120" i="86"/>
  <c r="L219" i="138"/>
  <c r="L253" i="138" s="1"/>
  <c r="L238" i="138"/>
  <c r="L272" i="138" s="1"/>
  <c r="L237" i="136"/>
  <c r="L271" i="136" s="1"/>
  <c r="K366" i="86"/>
  <c r="L59" i="86"/>
  <c r="L234" i="134"/>
  <c r="L268" i="134" s="1"/>
  <c r="L232" i="138"/>
  <c r="L266" i="138" s="1"/>
  <c r="I21" i="209"/>
  <c r="I253" i="209" s="1"/>
  <c r="I22" i="210" s="1"/>
  <c r="I61" i="211" s="1"/>
  <c r="L170" i="86"/>
  <c r="L204" i="86"/>
  <c r="L136" i="86"/>
  <c r="L235" i="86"/>
  <c r="L269" i="86" s="1"/>
  <c r="L222" i="138"/>
  <c r="L256" i="138" s="1"/>
  <c r="L166" i="86"/>
  <c r="L200" i="86"/>
  <c r="L132" i="86"/>
  <c r="L85" i="86"/>
  <c r="L215" i="134"/>
  <c r="L249" i="134" s="1"/>
  <c r="L215" i="138"/>
  <c r="L249" i="138" s="1"/>
  <c r="L215" i="139"/>
  <c r="L249" i="139" s="1"/>
  <c r="L43" i="86"/>
  <c r="L77" i="86" s="1"/>
  <c r="K350" i="86"/>
  <c r="L93" i="138"/>
  <c r="L94" i="138"/>
  <c r="L79" i="86"/>
  <c r="L198" i="86"/>
  <c r="L130" i="86"/>
  <c r="L164" i="86"/>
  <c r="L169" i="86"/>
  <c r="L203" i="86"/>
  <c r="L135" i="86"/>
  <c r="L218" i="138"/>
  <c r="L252" i="138" s="1"/>
  <c r="K351" i="138"/>
  <c r="L53" i="138"/>
  <c r="K368" i="138"/>
  <c r="K370" i="138" s="1"/>
  <c r="K332" i="86"/>
  <c r="K333" i="86" s="1"/>
  <c r="K314" i="86"/>
  <c r="L69" i="138"/>
  <c r="L70" i="138" s="1"/>
  <c r="K367" i="138"/>
  <c r="L82" i="86"/>
  <c r="L197" i="86"/>
  <c r="L129" i="86"/>
  <c r="L163" i="86"/>
  <c r="L77" i="138"/>
  <c r="L78" i="138"/>
  <c r="L219" i="149" l="1"/>
  <c r="L253" i="149" s="1"/>
  <c r="L132" i="139"/>
  <c r="L200" i="139"/>
  <c r="L234" i="139" s="1"/>
  <c r="L268" i="139" s="1"/>
  <c r="L153" i="137"/>
  <c r="L119" i="137"/>
  <c r="L221" i="137" s="1"/>
  <c r="L255" i="137" s="1"/>
  <c r="L220" i="138"/>
  <c r="L254" i="138" s="1"/>
  <c r="L236" i="86"/>
  <c r="L270" i="86" s="1"/>
  <c r="L82" i="148"/>
  <c r="L120" i="136"/>
  <c r="L188" i="136"/>
  <c r="L154" i="136"/>
  <c r="L136" i="137"/>
  <c r="L170" i="137"/>
  <c r="L204" i="137"/>
  <c r="L238" i="137" s="1"/>
  <c r="L272" i="137" s="1"/>
  <c r="L169" i="145"/>
  <c r="L165" i="143"/>
  <c r="L113" i="145"/>
  <c r="L98" i="148"/>
  <c r="L200" i="148" s="1"/>
  <c r="L114" i="136"/>
  <c r="L216" i="136" s="1"/>
  <c r="L250" i="136" s="1"/>
  <c r="L200" i="137"/>
  <c r="L132" i="137"/>
  <c r="L166" i="137"/>
  <c r="L149" i="135"/>
  <c r="L183" i="135"/>
  <c r="L115" i="135"/>
  <c r="L122" i="151"/>
  <c r="K314" i="135"/>
  <c r="L135" i="143"/>
  <c r="L199" i="143"/>
  <c r="L147" i="145"/>
  <c r="L215" i="145" s="1"/>
  <c r="L249" i="145" s="1"/>
  <c r="L101" i="148"/>
  <c r="L166" i="136"/>
  <c r="L132" i="136"/>
  <c r="L200" i="136"/>
  <c r="L234" i="136" s="1"/>
  <c r="L268" i="136" s="1"/>
  <c r="L204" i="134"/>
  <c r="L170" i="134"/>
  <c r="L136" i="134"/>
  <c r="L129" i="134"/>
  <c r="L197" i="134"/>
  <c r="L163" i="134"/>
  <c r="L129" i="139"/>
  <c r="L197" i="139"/>
  <c r="L154" i="134"/>
  <c r="L188" i="134"/>
  <c r="L120" i="134"/>
  <c r="L182" i="134"/>
  <c r="L114" i="134"/>
  <c r="L148" i="134"/>
  <c r="L118" i="134"/>
  <c r="L186" i="134"/>
  <c r="L152" i="134"/>
  <c r="K332" i="134"/>
  <c r="K333" i="134" s="1"/>
  <c r="K314" i="134"/>
  <c r="I105" i="187"/>
  <c r="I16" i="207" s="1"/>
  <c r="I17" i="209" s="1"/>
  <c r="I249" i="209" s="1"/>
  <c r="I18" i="210" s="1"/>
  <c r="I57" i="211" s="1"/>
  <c r="I103" i="187"/>
  <c r="I104" i="187"/>
  <c r="I16" i="205" s="1"/>
  <c r="L167" i="134"/>
  <c r="L201" i="134"/>
  <c r="L133" i="134"/>
  <c r="L202" i="134"/>
  <c r="L134" i="134"/>
  <c r="L168" i="134"/>
  <c r="L43" i="134"/>
  <c r="K350" i="134"/>
  <c r="K90" i="102"/>
  <c r="K34" i="95"/>
  <c r="K59" i="95" s="1"/>
  <c r="L149" i="134"/>
  <c r="L115" i="134"/>
  <c r="L183" i="134"/>
  <c r="L164" i="134"/>
  <c r="L198" i="134"/>
  <c r="L130" i="134"/>
  <c r="L131" i="134"/>
  <c r="L199" i="134"/>
  <c r="L165" i="134"/>
  <c r="L218" i="134"/>
  <c r="L252" i="134" s="1"/>
  <c r="L151" i="134"/>
  <c r="L185" i="134"/>
  <c r="L117" i="134"/>
  <c r="L59" i="134"/>
  <c r="K366" i="134"/>
  <c r="L234" i="142"/>
  <c r="L268" i="142" s="1"/>
  <c r="I154" i="199"/>
  <c r="I28" i="207" s="1"/>
  <c r="L70" i="149"/>
  <c r="L79" i="148"/>
  <c r="L181" i="148" s="1"/>
  <c r="K332" i="148"/>
  <c r="K333" i="148" s="1"/>
  <c r="L198" i="135"/>
  <c r="L130" i="135"/>
  <c r="L164" i="135"/>
  <c r="K367" i="142"/>
  <c r="L237" i="139"/>
  <c r="L271" i="139" s="1"/>
  <c r="L233" i="145"/>
  <c r="L267" i="145" s="1"/>
  <c r="L231" i="136"/>
  <c r="L265" i="136" s="1"/>
  <c r="L235" i="149"/>
  <c r="L269" i="149" s="1"/>
  <c r="L215" i="143"/>
  <c r="L249" i="143" s="1"/>
  <c r="L231" i="145"/>
  <c r="L265" i="145" s="1"/>
  <c r="L115" i="137"/>
  <c r="L183" i="137"/>
  <c r="L118" i="139"/>
  <c r="L186" i="139"/>
  <c r="L235" i="136"/>
  <c r="L269" i="136" s="1"/>
  <c r="L231" i="143"/>
  <c r="L265" i="143" s="1"/>
  <c r="L164" i="137"/>
  <c r="L130" i="137"/>
  <c r="L170" i="139"/>
  <c r="L136" i="139"/>
  <c r="L230" i="147"/>
  <c r="L264" i="147" s="1"/>
  <c r="L220" i="149"/>
  <c r="L254" i="149" s="1"/>
  <c r="L148" i="139"/>
  <c r="L114" i="139"/>
  <c r="L216" i="143"/>
  <c r="L250" i="143" s="1"/>
  <c r="L236" i="143"/>
  <c r="L270" i="143" s="1"/>
  <c r="L219" i="143"/>
  <c r="L253" i="143" s="1"/>
  <c r="L234" i="145"/>
  <c r="L268" i="145" s="1"/>
  <c r="L218" i="135"/>
  <c r="L252" i="135" s="1"/>
  <c r="I158" i="199"/>
  <c r="I158" i="197"/>
  <c r="I26" i="207"/>
  <c r="L93" i="142"/>
  <c r="L94" i="142"/>
  <c r="I155" i="199"/>
  <c r="I28" i="206"/>
  <c r="L223" i="151"/>
  <c r="L247" i="151"/>
  <c r="L257" i="151" s="1"/>
  <c r="L258" i="151" s="1"/>
  <c r="L121" i="150"/>
  <c r="L122" i="150" s="1"/>
  <c r="L213" i="150"/>
  <c r="L154" i="139"/>
  <c r="L188" i="139"/>
  <c r="L120" i="139"/>
  <c r="L119" i="135"/>
  <c r="L187" i="135"/>
  <c r="L153" i="135"/>
  <c r="L131" i="140"/>
  <c r="L199" i="140"/>
  <c r="L233" i="140" s="1"/>
  <c r="L267" i="140" s="1"/>
  <c r="L165" i="140"/>
  <c r="Q516" i="217"/>
  <c r="L47" i="140"/>
  <c r="L81" i="140" s="1"/>
  <c r="L229" i="147"/>
  <c r="L205" i="147"/>
  <c r="L206" i="147" s="1"/>
  <c r="K314" i="139"/>
  <c r="K332" i="139"/>
  <c r="K333" i="139" s="1"/>
  <c r="L198" i="145"/>
  <c r="L164" i="145"/>
  <c r="L130" i="145"/>
  <c r="L171" i="150"/>
  <c r="L172" i="150" s="1"/>
  <c r="L83" i="148"/>
  <c r="L147" i="148"/>
  <c r="L59" i="136"/>
  <c r="K366" i="136"/>
  <c r="L70" i="142"/>
  <c r="K331" i="141"/>
  <c r="K325" i="141"/>
  <c r="K362" i="141" s="1"/>
  <c r="L65" i="141" s="1"/>
  <c r="K324" i="141"/>
  <c r="K361" i="141" s="1"/>
  <c r="L64" i="141" s="1"/>
  <c r="K327" i="141"/>
  <c r="K364" i="141" s="1"/>
  <c r="L67" i="141" s="1"/>
  <c r="K308" i="141"/>
  <c r="K345" i="141" s="1"/>
  <c r="K303" i="141"/>
  <c r="K326" i="141"/>
  <c r="K363" i="141" s="1"/>
  <c r="L66" i="141" s="1"/>
  <c r="K321" i="141"/>
  <c r="K358" i="141" s="1"/>
  <c r="L61" i="141" s="1"/>
  <c r="K320" i="141"/>
  <c r="K357" i="141" s="1"/>
  <c r="L60" i="141" s="1"/>
  <c r="K323" i="141"/>
  <c r="K360" i="141" s="1"/>
  <c r="L63" i="141" s="1"/>
  <c r="K305" i="141"/>
  <c r="K342" i="141" s="1"/>
  <c r="K311" i="141"/>
  <c r="K348" i="141" s="1"/>
  <c r="K22" i="128"/>
  <c r="K328" i="141"/>
  <c r="K365" i="141" s="1"/>
  <c r="L68" i="141" s="1"/>
  <c r="K309" i="141"/>
  <c r="K346" i="141" s="1"/>
  <c r="K312" i="141"/>
  <c r="K349" i="141" s="1"/>
  <c r="K307" i="141"/>
  <c r="K344" i="141" s="1"/>
  <c r="K322" i="141"/>
  <c r="K359" i="141" s="1"/>
  <c r="L62" i="141" s="1"/>
  <c r="K310" i="141"/>
  <c r="K347" i="141" s="1"/>
  <c r="K313" i="141"/>
  <c r="K319" i="141"/>
  <c r="K304" i="141"/>
  <c r="K341" i="141" s="1"/>
  <c r="K306" i="141"/>
  <c r="K343" i="141" s="1"/>
  <c r="K329" i="141"/>
  <c r="K99" i="102"/>
  <c r="K43" i="95"/>
  <c r="K68" i="95" s="1"/>
  <c r="L114" i="137"/>
  <c r="L148" i="137"/>
  <c r="L182" i="137"/>
  <c r="L77" i="149"/>
  <c r="L78" i="149"/>
  <c r="K101" i="102"/>
  <c r="K45" i="95"/>
  <c r="K70" i="95" s="1"/>
  <c r="L237" i="145"/>
  <c r="L271" i="145" s="1"/>
  <c r="L238" i="145"/>
  <c r="L272" i="145" s="1"/>
  <c r="I117" i="200"/>
  <c r="I114" i="200"/>
  <c r="I116" i="200" s="1"/>
  <c r="I118" i="200" s="1"/>
  <c r="I237" i="211"/>
  <c r="I262" i="211"/>
  <c r="O73" i="218" s="1"/>
  <c r="L233" i="143"/>
  <c r="L267" i="143" s="1"/>
  <c r="L202" i="136"/>
  <c r="L134" i="136"/>
  <c r="L168" i="136"/>
  <c r="L219" i="142"/>
  <c r="L253" i="142" s="1"/>
  <c r="L189" i="150"/>
  <c r="L164" i="143"/>
  <c r="L130" i="143"/>
  <c r="L198" i="143"/>
  <c r="L221" i="142"/>
  <c r="L255" i="142" s="1"/>
  <c r="L185" i="137"/>
  <c r="L117" i="137"/>
  <c r="L151" i="137"/>
  <c r="L232" i="149"/>
  <c r="L266" i="149" s="1"/>
  <c r="L168" i="139"/>
  <c r="L202" i="139"/>
  <c r="L134" i="139"/>
  <c r="L219" i="145"/>
  <c r="L253" i="145" s="1"/>
  <c r="I104" i="188"/>
  <c r="I17" i="205" s="1"/>
  <c r="I103" i="188"/>
  <c r="I105" i="188"/>
  <c r="I17" i="207" s="1"/>
  <c r="I18" i="209" s="1"/>
  <c r="I250" i="209" s="1"/>
  <c r="I19" i="210" s="1"/>
  <c r="I58" i="211" s="1"/>
  <c r="L133" i="135"/>
  <c r="L201" i="135"/>
  <c r="L167" i="135"/>
  <c r="L229" i="150"/>
  <c r="L205" i="150"/>
  <c r="L206" i="150" s="1"/>
  <c r="L82" i="140"/>
  <c r="L169" i="140"/>
  <c r="L135" i="140"/>
  <c r="L203" i="140"/>
  <c r="L201" i="140"/>
  <c r="L235" i="140" s="1"/>
  <c r="L269" i="140" s="1"/>
  <c r="L133" i="140"/>
  <c r="L167" i="140"/>
  <c r="L98" i="140"/>
  <c r="Q518" i="217"/>
  <c r="L51" i="140"/>
  <c r="L85" i="140" s="1"/>
  <c r="K15" i="102"/>
  <c r="I15" i="185"/>
  <c r="I44" i="185" s="1"/>
  <c r="I57" i="185" s="1"/>
  <c r="I98" i="185" s="1"/>
  <c r="I26" i="206"/>
  <c r="I155" i="197"/>
  <c r="L171" i="147"/>
  <c r="L172" i="147" s="1"/>
  <c r="K332" i="136"/>
  <c r="K333" i="136" s="1"/>
  <c r="I31" i="206"/>
  <c r="J90" i="208" s="1"/>
  <c r="I106" i="202"/>
  <c r="I111" i="202" s="1"/>
  <c r="L220" i="142"/>
  <c r="L254" i="142" s="1"/>
  <c r="L111" i="144"/>
  <c r="L145" i="144"/>
  <c r="L179" i="144"/>
  <c r="L235" i="143"/>
  <c r="L269" i="143" s="1"/>
  <c r="K37" i="95"/>
  <c r="K62" i="95" s="1"/>
  <c r="K93" i="102"/>
  <c r="K350" i="139"/>
  <c r="L43" i="139"/>
  <c r="L180" i="146"/>
  <c r="L146" i="146"/>
  <c r="L112" i="146"/>
  <c r="L113" i="135"/>
  <c r="L181" i="135"/>
  <c r="L147" i="135"/>
  <c r="L156" i="151"/>
  <c r="L137" i="150"/>
  <c r="L138" i="150" s="1"/>
  <c r="L95" i="148"/>
  <c r="L204" i="148"/>
  <c r="L136" i="148"/>
  <c r="L170" i="148"/>
  <c r="L203" i="148"/>
  <c r="L169" i="148"/>
  <c r="L135" i="148"/>
  <c r="L85" i="148"/>
  <c r="L80" i="148"/>
  <c r="L218" i="149"/>
  <c r="L252" i="149" s="1"/>
  <c r="L43" i="145"/>
  <c r="K350" i="145"/>
  <c r="I104" i="196"/>
  <c r="I105" i="196"/>
  <c r="I149" i="196" s="1"/>
  <c r="I103" i="196"/>
  <c r="L152" i="143"/>
  <c r="L186" i="143"/>
  <c r="L118" i="143"/>
  <c r="L128" i="144"/>
  <c r="L162" i="144"/>
  <c r="L196" i="144"/>
  <c r="L116" i="143"/>
  <c r="L184" i="143"/>
  <c r="L150" i="143"/>
  <c r="L167" i="137"/>
  <c r="L201" i="137"/>
  <c r="L133" i="137"/>
  <c r="L53" i="149"/>
  <c r="L290" i="149" s="1"/>
  <c r="K368" i="149"/>
  <c r="K370" i="149" s="1"/>
  <c r="I104" i="198"/>
  <c r="I27" i="205" s="1"/>
  <c r="I105" i="198"/>
  <c r="I27" i="207" s="1"/>
  <c r="I28" i="209" s="1"/>
  <c r="I260" i="209" s="1"/>
  <c r="I29" i="210" s="1"/>
  <c r="I68" i="211" s="1"/>
  <c r="I103" i="198"/>
  <c r="I150" i="199"/>
  <c r="I111" i="199"/>
  <c r="L220" i="135"/>
  <c r="L254" i="135" s="1"/>
  <c r="L214" i="150"/>
  <c r="L248" i="150" s="1"/>
  <c r="L235" i="145"/>
  <c r="L269" i="145" s="1"/>
  <c r="L153" i="136"/>
  <c r="L187" i="136"/>
  <c r="L119" i="136"/>
  <c r="L121" i="147"/>
  <c r="L213" i="147"/>
  <c r="L122" i="147"/>
  <c r="L221" i="143"/>
  <c r="L255" i="143" s="1"/>
  <c r="L147" i="137"/>
  <c r="L113" i="137"/>
  <c r="L181" i="137"/>
  <c r="I105" i="192"/>
  <c r="I21" i="207" s="1"/>
  <c r="I22" i="209" s="1"/>
  <c r="I254" i="209" s="1"/>
  <c r="I23" i="210" s="1"/>
  <c r="I62" i="211" s="1"/>
  <c r="I103" i="192"/>
  <c r="I104" i="192"/>
  <c r="I21" i="205" s="1"/>
  <c r="L59" i="139"/>
  <c r="K366" i="139"/>
  <c r="L116" i="145"/>
  <c r="L150" i="145"/>
  <c r="L184" i="145"/>
  <c r="L86" i="140"/>
  <c r="Q515" i="217"/>
  <c r="L45" i="140"/>
  <c r="L79" i="140" s="1"/>
  <c r="L102" i="140"/>
  <c r="L96" i="140"/>
  <c r="L215" i="149"/>
  <c r="L249" i="149" s="1"/>
  <c r="K350" i="137"/>
  <c r="L43" i="137"/>
  <c r="I104" i="189"/>
  <c r="I18" i="205" s="1"/>
  <c r="I105" i="189"/>
  <c r="I18" i="207" s="1"/>
  <c r="I19" i="209" s="1"/>
  <c r="I251" i="209" s="1"/>
  <c r="I20" i="210" s="1"/>
  <c r="I59" i="211" s="1"/>
  <c r="I103" i="189"/>
  <c r="L165" i="136"/>
  <c r="L199" i="136"/>
  <c r="L131" i="136"/>
  <c r="L128" i="162"/>
  <c r="L196" i="162"/>
  <c r="L162" i="162"/>
  <c r="L162" i="146"/>
  <c r="L128" i="146"/>
  <c r="L196" i="146"/>
  <c r="L136" i="143"/>
  <c r="L204" i="143"/>
  <c r="L170" i="143"/>
  <c r="K368" i="142"/>
  <c r="K370" i="142" s="1"/>
  <c r="L53" i="142"/>
  <c r="L290" i="142" s="1"/>
  <c r="I104" i="190"/>
  <c r="I19" i="205" s="1"/>
  <c r="I105" i="190"/>
  <c r="I19" i="207" s="1"/>
  <c r="I20" i="209" s="1"/>
  <c r="I252" i="209" s="1"/>
  <c r="I21" i="210" s="1"/>
  <c r="I60" i="211" s="1"/>
  <c r="I258" i="211" s="1"/>
  <c r="O69" i="218" s="1"/>
  <c r="I103" i="190"/>
  <c r="L59" i="137"/>
  <c r="K366" i="137"/>
  <c r="L164" i="139"/>
  <c r="L198" i="139"/>
  <c r="L130" i="139"/>
  <c r="L145" i="162"/>
  <c r="L179" i="162"/>
  <c r="L111" i="162"/>
  <c r="L87" i="162"/>
  <c r="L88" i="162" s="1"/>
  <c r="L59" i="145"/>
  <c r="K366" i="145"/>
  <c r="L69" i="145" s="1"/>
  <c r="L217" i="145"/>
  <c r="L251" i="145" s="1"/>
  <c r="L185" i="135"/>
  <c r="L117" i="135"/>
  <c r="L151" i="135"/>
  <c r="L230" i="150"/>
  <c r="L264" i="150" s="1"/>
  <c r="L183" i="148"/>
  <c r="L149" i="148"/>
  <c r="L115" i="148"/>
  <c r="L99" i="148"/>
  <c r="L84" i="148"/>
  <c r="K340" i="148"/>
  <c r="K314" i="148"/>
  <c r="K367" i="149"/>
  <c r="L118" i="137"/>
  <c r="L152" i="137"/>
  <c r="L186" i="137"/>
  <c r="L43" i="143"/>
  <c r="K350" i="143"/>
  <c r="K351" i="143" s="1"/>
  <c r="L155" i="147"/>
  <c r="L280" i="147" s="1"/>
  <c r="L29" i="131" s="1"/>
  <c r="L203" i="137"/>
  <c r="L169" i="137"/>
  <c r="L135" i="137"/>
  <c r="L165" i="139"/>
  <c r="L199" i="139"/>
  <c r="L131" i="139"/>
  <c r="L154" i="145"/>
  <c r="L120" i="145"/>
  <c r="L188" i="145"/>
  <c r="K91" i="102"/>
  <c r="K35" i="95"/>
  <c r="K60" i="95" s="1"/>
  <c r="L197" i="140"/>
  <c r="L163" i="140"/>
  <c r="L129" i="140"/>
  <c r="L198" i="136"/>
  <c r="L164" i="136"/>
  <c r="L130" i="136"/>
  <c r="I112" i="195"/>
  <c r="I113" i="195"/>
  <c r="I115" i="195" s="1"/>
  <c r="K350" i="136"/>
  <c r="L43" i="136"/>
  <c r="L152" i="136"/>
  <c r="L186" i="136"/>
  <c r="L118" i="136"/>
  <c r="L54" i="144"/>
  <c r="L168" i="137"/>
  <c r="L134" i="137"/>
  <c r="L202" i="137"/>
  <c r="L150" i="137"/>
  <c r="L184" i="137"/>
  <c r="L116" i="137"/>
  <c r="L112" i="162"/>
  <c r="L146" i="162"/>
  <c r="L155" i="162" s="1"/>
  <c r="L180" i="162"/>
  <c r="L129" i="135"/>
  <c r="L197" i="135"/>
  <c r="L163" i="135"/>
  <c r="L150" i="148"/>
  <c r="L116" i="148"/>
  <c r="L184" i="148"/>
  <c r="L166" i="148"/>
  <c r="I15" i="201"/>
  <c r="I44" i="201" s="1"/>
  <c r="I57" i="201" s="1"/>
  <c r="I98" i="201" s="1"/>
  <c r="K31" i="102"/>
  <c r="L136" i="136"/>
  <c r="L204" i="136"/>
  <c r="L170" i="136"/>
  <c r="L127" i="144"/>
  <c r="L161" i="144"/>
  <c r="L195" i="144"/>
  <c r="L103" i="144"/>
  <c r="L104" i="144" s="1"/>
  <c r="L149" i="143"/>
  <c r="L115" i="143"/>
  <c r="L183" i="143"/>
  <c r="L239" i="151"/>
  <c r="L240" i="151" s="1"/>
  <c r="L263" i="151"/>
  <c r="L273" i="151" s="1"/>
  <c r="L274" i="151" s="1"/>
  <c r="L185" i="139"/>
  <c r="L117" i="139"/>
  <c r="L151" i="139"/>
  <c r="L186" i="145"/>
  <c r="L118" i="145"/>
  <c r="L152" i="145"/>
  <c r="L182" i="145"/>
  <c r="L148" i="145"/>
  <c r="L114" i="145"/>
  <c r="L134" i="135"/>
  <c r="L168" i="135"/>
  <c r="L202" i="135"/>
  <c r="L221" i="149"/>
  <c r="L255" i="149" s="1"/>
  <c r="L219" i="136"/>
  <c r="L253" i="136" s="1"/>
  <c r="I106" i="194"/>
  <c r="I111" i="194" s="1"/>
  <c r="I23" i="206"/>
  <c r="J82" i="208" s="1"/>
  <c r="L237" i="143"/>
  <c r="L271" i="143" s="1"/>
  <c r="L190" i="151"/>
  <c r="I114" i="203"/>
  <c r="I116" i="203" s="1"/>
  <c r="I118" i="203" s="1"/>
  <c r="I117" i="203"/>
  <c r="L181" i="136"/>
  <c r="L113" i="136"/>
  <c r="L147" i="136"/>
  <c r="L189" i="147"/>
  <c r="L155" i="150"/>
  <c r="L280" i="150" s="1"/>
  <c r="L32" i="131" s="1"/>
  <c r="L166" i="143"/>
  <c r="L132" i="143"/>
  <c r="L200" i="143"/>
  <c r="K95" i="102"/>
  <c r="K39" i="95"/>
  <c r="K64" i="95" s="1"/>
  <c r="L218" i="139"/>
  <c r="L252" i="139" s="1"/>
  <c r="L231" i="149"/>
  <c r="L265" i="149" s="1"/>
  <c r="K350" i="135"/>
  <c r="L43" i="135"/>
  <c r="K356" i="140"/>
  <c r="K329" i="140"/>
  <c r="K330" i="140" s="1"/>
  <c r="Q517" i="217"/>
  <c r="L49" i="140"/>
  <c r="L83" i="140" s="1"/>
  <c r="K313" i="140"/>
  <c r="K340" i="140"/>
  <c r="L100" i="140"/>
  <c r="I150" i="197"/>
  <c r="I111" i="197"/>
  <c r="L214" i="147"/>
  <c r="L248" i="147" s="1"/>
  <c r="L59" i="143"/>
  <c r="K366" i="143"/>
  <c r="L69" i="143" s="1"/>
  <c r="K366" i="135"/>
  <c r="L59" i="135"/>
  <c r="L217" i="142"/>
  <c r="L251" i="142" s="1"/>
  <c r="L137" i="147"/>
  <c r="L138" i="147" s="1"/>
  <c r="K66" i="102"/>
  <c r="K36" i="95"/>
  <c r="K61" i="95" s="1"/>
  <c r="K92" i="102"/>
  <c r="L150" i="136"/>
  <c r="L184" i="136"/>
  <c r="L116" i="136"/>
  <c r="I245" i="211"/>
  <c r="I270" i="211"/>
  <c r="O81" i="218" s="1"/>
  <c r="L195" i="162"/>
  <c r="L127" i="162"/>
  <c r="L161" i="162"/>
  <c r="L171" i="162" s="1"/>
  <c r="L172" i="162" s="1"/>
  <c r="L103" i="162"/>
  <c r="L104" i="162" s="1"/>
  <c r="L87" i="144"/>
  <c r="L88" i="144" s="1"/>
  <c r="L112" i="144"/>
  <c r="L146" i="144"/>
  <c r="L180" i="144"/>
  <c r="L195" i="146"/>
  <c r="L161" i="146"/>
  <c r="L171" i="146" s="1"/>
  <c r="L172" i="146" s="1"/>
  <c r="L127" i="146"/>
  <c r="L103" i="146"/>
  <c r="L104" i="146" s="1"/>
  <c r="L222" i="143"/>
  <c r="L256" i="143" s="1"/>
  <c r="L77" i="142"/>
  <c r="L54" i="142"/>
  <c r="L78" i="142"/>
  <c r="L131" i="137"/>
  <c r="L199" i="137"/>
  <c r="L165" i="137"/>
  <c r="L188" i="137"/>
  <c r="L154" i="137"/>
  <c r="L120" i="137"/>
  <c r="L149" i="139"/>
  <c r="L115" i="139"/>
  <c r="L183" i="139"/>
  <c r="L153" i="139"/>
  <c r="L187" i="139"/>
  <c r="L119" i="139"/>
  <c r="L134" i="145"/>
  <c r="L202" i="145"/>
  <c r="L168" i="145"/>
  <c r="L221" i="145"/>
  <c r="L255" i="145" s="1"/>
  <c r="L145" i="146"/>
  <c r="L179" i="146"/>
  <c r="L111" i="146"/>
  <c r="L87" i="146"/>
  <c r="L88" i="146" s="1"/>
  <c r="L182" i="135"/>
  <c r="L148" i="135"/>
  <c r="L114" i="135"/>
  <c r="L120" i="148"/>
  <c r="L188" i="148"/>
  <c r="L154" i="148"/>
  <c r="K356" i="148"/>
  <c r="K330" i="148"/>
  <c r="L96" i="148"/>
  <c r="L97" i="148"/>
  <c r="L100" i="148"/>
  <c r="L93" i="149"/>
  <c r="L94" i="149"/>
  <c r="L151" i="86"/>
  <c r="L152" i="86"/>
  <c r="L118" i="86"/>
  <c r="L185" i="86"/>
  <c r="L148" i="86"/>
  <c r="L114" i="86"/>
  <c r="L231" i="86"/>
  <c r="L265" i="86" s="1"/>
  <c r="L149" i="86"/>
  <c r="L115" i="86"/>
  <c r="L222" i="86"/>
  <c r="L256" i="86" s="1"/>
  <c r="L146" i="138"/>
  <c r="L180" i="138"/>
  <c r="L112" i="138"/>
  <c r="L147" i="86"/>
  <c r="L181" i="86"/>
  <c r="L113" i="86"/>
  <c r="L78" i="86"/>
  <c r="L87" i="86" s="1"/>
  <c r="L88" i="86" s="1"/>
  <c r="I235" i="211"/>
  <c r="I260" i="211"/>
  <c r="O71" i="218" s="1"/>
  <c r="L179" i="138"/>
  <c r="L111" i="138"/>
  <c r="L87" i="138"/>
  <c r="L88" i="138" s="1"/>
  <c r="L145" i="138"/>
  <c r="I255" i="211"/>
  <c r="O66" i="218" s="1"/>
  <c r="I230" i="211"/>
  <c r="L162" i="138"/>
  <c r="L196" i="138"/>
  <c r="L128" i="138"/>
  <c r="K351" i="86"/>
  <c r="L53" i="86"/>
  <c r="K368" i="86"/>
  <c r="K370" i="86" s="1"/>
  <c r="L234" i="86"/>
  <c r="L268" i="86" s="1"/>
  <c r="L93" i="86"/>
  <c r="L94" i="86"/>
  <c r="L150" i="86"/>
  <c r="L184" i="86"/>
  <c r="L116" i="86"/>
  <c r="I257" i="211"/>
  <c r="O68" i="218" s="1"/>
  <c r="I232" i="211"/>
  <c r="L237" i="86"/>
  <c r="L271" i="86" s="1"/>
  <c r="L232" i="86"/>
  <c r="L266" i="86" s="1"/>
  <c r="L161" i="138"/>
  <c r="L195" i="138"/>
  <c r="L127" i="138"/>
  <c r="L103" i="138"/>
  <c r="L104" i="138" s="1"/>
  <c r="L179" i="86"/>
  <c r="L111" i="86"/>
  <c r="L145" i="86"/>
  <c r="L238" i="86"/>
  <c r="L272" i="86" s="1"/>
  <c r="I259" i="211"/>
  <c r="O70" i="218" s="1"/>
  <c r="I234" i="211"/>
  <c r="I231" i="211"/>
  <c r="I256" i="211"/>
  <c r="O67" i="218" s="1"/>
  <c r="L69" i="86"/>
  <c r="L70" i="86" s="1"/>
  <c r="K367" i="86"/>
  <c r="I104" i="186"/>
  <c r="I15" i="205" s="1"/>
  <c r="I105" i="186"/>
  <c r="I15" i="207" s="1"/>
  <c r="I103" i="186"/>
  <c r="L54" i="138"/>
  <c r="L290" i="138"/>
  <c r="L187" i="86"/>
  <c r="L119" i="86"/>
  <c r="L153" i="86"/>
  <c r="I112" i="191"/>
  <c r="I113" i="191"/>
  <c r="I115" i="191" s="1"/>
  <c r="K89" i="102"/>
  <c r="K33" i="95"/>
  <c r="K58" i="95" s="1"/>
  <c r="L220" i="143" l="1"/>
  <c r="L254" i="143" s="1"/>
  <c r="L96" i="141"/>
  <c r="L102" i="141"/>
  <c r="L220" i="134"/>
  <c r="L254" i="134" s="1"/>
  <c r="L222" i="134"/>
  <c r="L256" i="134" s="1"/>
  <c r="L231" i="139"/>
  <c r="L265" i="139" s="1"/>
  <c r="L217" i="135"/>
  <c r="L251" i="135" s="1"/>
  <c r="L222" i="136"/>
  <c r="L256" i="136" s="1"/>
  <c r="L219" i="86"/>
  <c r="L253" i="86" s="1"/>
  <c r="L220" i="139"/>
  <c r="L254" i="139" s="1"/>
  <c r="L281" i="147"/>
  <c r="L29" i="133" s="1"/>
  <c r="L132" i="148"/>
  <c r="L234" i="148" s="1"/>
  <c r="L268" i="148" s="1"/>
  <c r="L99" i="141"/>
  <c r="L167" i="141" s="1"/>
  <c r="L113" i="148"/>
  <c r="L231" i="134"/>
  <c r="L265" i="134" s="1"/>
  <c r="L234" i="137"/>
  <c r="L268" i="137" s="1"/>
  <c r="L222" i="148"/>
  <c r="L256" i="148" s="1"/>
  <c r="L189" i="144"/>
  <c r="L70" i="143"/>
  <c r="L217" i="143"/>
  <c r="L251" i="143" s="1"/>
  <c r="L218" i="137"/>
  <c r="L252" i="137" s="1"/>
  <c r="L233" i="134"/>
  <c r="L267" i="134" s="1"/>
  <c r="L235" i="134"/>
  <c r="L269" i="134" s="1"/>
  <c r="L238" i="134"/>
  <c r="L272" i="134" s="1"/>
  <c r="L155" i="138"/>
  <c r="L156" i="138" s="1"/>
  <c r="L238" i="139"/>
  <c r="L272" i="139" s="1"/>
  <c r="K367" i="134"/>
  <c r="L69" i="134"/>
  <c r="L70" i="134" s="1"/>
  <c r="L93" i="134"/>
  <c r="L94" i="134"/>
  <c r="L217" i="134"/>
  <c r="L251" i="134" s="1"/>
  <c r="K351" i="134"/>
  <c r="L53" i="134"/>
  <c r="K368" i="134"/>
  <c r="K370" i="134" s="1"/>
  <c r="L236" i="134"/>
  <c r="L270" i="134" s="1"/>
  <c r="L214" i="162"/>
  <c r="L248" i="162" s="1"/>
  <c r="L219" i="134"/>
  <c r="L253" i="134" s="1"/>
  <c r="L232" i="134"/>
  <c r="L266" i="134" s="1"/>
  <c r="L77" i="134"/>
  <c r="L78" i="134"/>
  <c r="I16" i="206"/>
  <c r="J75" i="208" s="1"/>
  <c r="I106" i="187"/>
  <c r="I111" i="187" s="1"/>
  <c r="L216" i="134"/>
  <c r="L250" i="134" s="1"/>
  <c r="L236" i="137"/>
  <c r="L270" i="137" s="1"/>
  <c r="L214" i="144"/>
  <c r="L248" i="144" s="1"/>
  <c r="L218" i="136"/>
  <c r="L252" i="136" s="1"/>
  <c r="L232" i="135"/>
  <c r="L266" i="135" s="1"/>
  <c r="L220" i="136"/>
  <c r="L254" i="136" s="1"/>
  <c r="L222" i="145"/>
  <c r="L256" i="145" s="1"/>
  <c r="L236" i="136"/>
  <c r="L270" i="136" s="1"/>
  <c r="L215" i="148"/>
  <c r="L249" i="148" s="1"/>
  <c r="L217" i="137"/>
  <c r="L251" i="137" s="1"/>
  <c r="L215" i="136"/>
  <c r="L249" i="136" s="1"/>
  <c r="L219" i="139"/>
  <c r="L253" i="139" s="1"/>
  <c r="L232" i="143"/>
  <c r="L266" i="143" s="1"/>
  <c r="I156" i="199"/>
  <c r="L216" i="139"/>
  <c r="L250" i="139" s="1"/>
  <c r="L232" i="137"/>
  <c r="L266" i="137" s="1"/>
  <c r="L221" i="139"/>
  <c r="L255" i="139" s="1"/>
  <c r="L234" i="143"/>
  <c r="L268" i="143" s="1"/>
  <c r="L190" i="147"/>
  <c r="L216" i="145"/>
  <c r="L250" i="145" s="1"/>
  <c r="L218" i="143"/>
  <c r="L252" i="143" s="1"/>
  <c r="L220" i="86"/>
  <c r="L254" i="86" s="1"/>
  <c r="L216" i="135"/>
  <c r="L250" i="135" s="1"/>
  <c r="K367" i="143"/>
  <c r="L232" i="145"/>
  <c r="L266" i="145" s="1"/>
  <c r="K332" i="140"/>
  <c r="K333" i="140" s="1"/>
  <c r="K314" i="140"/>
  <c r="L77" i="143"/>
  <c r="L78" i="143"/>
  <c r="L186" i="148"/>
  <c r="L118" i="148"/>
  <c r="L152" i="148"/>
  <c r="I18" i="206"/>
  <c r="J77" i="208" s="1"/>
  <c r="I106" i="189"/>
  <c r="I111" i="189" s="1"/>
  <c r="L249" i="140"/>
  <c r="L181" i="140"/>
  <c r="L113" i="140"/>
  <c r="L215" i="140" s="1"/>
  <c r="L147" i="140"/>
  <c r="I147" i="196"/>
  <c r="I140" i="196"/>
  <c r="I152" i="196" s="1"/>
  <c r="I106" i="196"/>
  <c r="L97" i="141"/>
  <c r="I233" i="211"/>
  <c r="L202" i="148"/>
  <c r="L134" i="148"/>
  <c r="L168" i="148"/>
  <c r="K366" i="148"/>
  <c r="L69" i="148" s="1"/>
  <c r="L59" i="148"/>
  <c r="L217" i="139"/>
  <c r="L251" i="139" s="1"/>
  <c r="L146" i="142"/>
  <c r="L180" i="142"/>
  <c r="L112" i="142"/>
  <c r="L229" i="146"/>
  <c r="L205" i="146"/>
  <c r="L206" i="146" s="1"/>
  <c r="L137" i="162"/>
  <c r="L138" i="162" s="1"/>
  <c r="L94" i="135"/>
  <c r="L93" i="135"/>
  <c r="L185" i="140"/>
  <c r="L117" i="140"/>
  <c r="L219" i="140" s="1"/>
  <c r="L253" i="140" s="1"/>
  <c r="L151" i="140"/>
  <c r="K366" i="140"/>
  <c r="L59" i="140"/>
  <c r="L220" i="145"/>
  <c r="L254" i="145" s="1"/>
  <c r="L229" i="144"/>
  <c r="L205" i="144"/>
  <c r="L206" i="144" s="1"/>
  <c r="L238" i="136"/>
  <c r="L272" i="136" s="1"/>
  <c r="L218" i="148"/>
  <c r="L252" i="148" s="1"/>
  <c r="L156" i="147"/>
  <c r="L167" i="148"/>
  <c r="L201" i="148"/>
  <c r="L133" i="148"/>
  <c r="L156" i="162"/>
  <c r="L69" i="137"/>
  <c r="L70" i="137" s="1"/>
  <c r="K367" i="137"/>
  <c r="L238" i="143"/>
  <c r="L272" i="143" s="1"/>
  <c r="L215" i="137"/>
  <c r="L249" i="137" s="1"/>
  <c r="L223" i="147"/>
  <c r="L224" i="147" s="1"/>
  <c r="L247" i="147"/>
  <c r="L257" i="147" s="1"/>
  <c r="L258" i="147" s="1"/>
  <c r="I112" i="199"/>
  <c r="I113" i="199"/>
  <c r="I115" i="199" s="1"/>
  <c r="L235" i="137"/>
  <c r="L269" i="137" s="1"/>
  <c r="L77" i="145"/>
  <c r="L78" i="145"/>
  <c r="L215" i="135"/>
  <c r="L249" i="135" s="1"/>
  <c r="L77" i="139"/>
  <c r="L78" i="139"/>
  <c r="L213" i="144"/>
  <c r="L121" i="144"/>
  <c r="L122" i="144" s="1"/>
  <c r="I105" i="185"/>
  <c r="I14" i="207" s="1"/>
  <c r="I103" i="185"/>
  <c r="I104" i="185"/>
  <c r="I14" i="205" s="1"/>
  <c r="L200" i="140"/>
  <c r="L132" i="140"/>
  <c r="L166" i="140"/>
  <c r="L239" i="150"/>
  <c r="L240" i="150" s="1"/>
  <c r="L263" i="150"/>
  <c r="L273" i="150" s="1"/>
  <c r="L274" i="150" s="1"/>
  <c r="K356" i="141"/>
  <c r="K330" i="141"/>
  <c r="L47" i="141"/>
  <c r="P558" i="217"/>
  <c r="K72" i="128"/>
  <c r="K35" i="128"/>
  <c r="L48" i="141"/>
  <c r="L82" i="141" s="1"/>
  <c r="P559" i="217"/>
  <c r="L149" i="140"/>
  <c r="L183" i="140"/>
  <c r="L115" i="140"/>
  <c r="L217" i="140" s="1"/>
  <c r="L251" i="140" s="1"/>
  <c r="L221" i="135"/>
  <c r="L255" i="135" s="1"/>
  <c r="L279" i="151"/>
  <c r="L162" i="142"/>
  <c r="L196" i="142"/>
  <c r="L128" i="142"/>
  <c r="I112" i="197"/>
  <c r="I113" i="197"/>
  <c r="I115" i="197" s="1"/>
  <c r="I104" i="201"/>
  <c r="I30" i="205" s="1"/>
  <c r="I105" i="201"/>
  <c r="I30" i="207" s="1"/>
  <c r="I103" i="201"/>
  <c r="L93" i="145"/>
  <c r="L94" i="145"/>
  <c r="L53" i="137"/>
  <c r="K368" i="137"/>
  <c r="K370" i="137" s="1"/>
  <c r="K351" i="137"/>
  <c r="L93" i="139"/>
  <c r="L94" i="139"/>
  <c r="K368" i="145"/>
  <c r="K370" i="145" s="1"/>
  <c r="L53" i="145"/>
  <c r="L290" i="145" s="1"/>
  <c r="L190" i="150"/>
  <c r="L281" i="150"/>
  <c r="L32" i="133" s="1"/>
  <c r="L198" i="141"/>
  <c r="L130" i="141"/>
  <c r="L164" i="141"/>
  <c r="L151" i="148"/>
  <c r="L117" i="148"/>
  <c r="L185" i="148"/>
  <c r="I27" i="209"/>
  <c r="I259" i="209" s="1"/>
  <c r="I28" i="210" s="1"/>
  <c r="I67" i="211" s="1"/>
  <c r="J85" i="208"/>
  <c r="L199" i="148"/>
  <c r="L165" i="148"/>
  <c r="L131" i="148"/>
  <c r="L121" i="146"/>
  <c r="L122" i="146" s="1"/>
  <c r="L213" i="146"/>
  <c r="L233" i="137"/>
  <c r="L267" i="137" s="1"/>
  <c r="L281" i="144"/>
  <c r="L26" i="133" s="1"/>
  <c r="L205" i="162"/>
  <c r="L206" i="162" s="1"/>
  <c r="L229" i="162"/>
  <c r="K367" i="135"/>
  <c r="L69" i="135"/>
  <c r="L70" i="135" s="1"/>
  <c r="L93" i="143"/>
  <c r="L94" i="143"/>
  <c r="L168" i="140"/>
  <c r="L202" i="140"/>
  <c r="L134" i="140"/>
  <c r="Q576" i="217"/>
  <c r="L77" i="135"/>
  <c r="L78" i="135"/>
  <c r="L236" i="135"/>
  <c r="L270" i="135" s="1"/>
  <c r="L189" i="162"/>
  <c r="I114" i="195"/>
  <c r="I116" i="195" s="1"/>
  <c r="I118" i="195" s="1"/>
  <c r="I117" i="195"/>
  <c r="L43" i="148"/>
  <c r="K350" i="148"/>
  <c r="L217" i="148"/>
  <c r="L251" i="148" s="1"/>
  <c r="K367" i="145"/>
  <c r="L93" i="137"/>
  <c r="L94" i="137"/>
  <c r="L233" i="136"/>
  <c r="L267" i="136" s="1"/>
  <c r="L164" i="140"/>
  <c r="L198" i="140"/>
  <c r="L130" i="140"/>
  <c r="L80" i="140"/>
  <c r="L218" i="145"/>
  <c r="L252" i="145" s="1"/>
  <c r="I21" i="206"/>
  <c r="J80" i="208" s="1"/>
  <c r="I106" i="192"/>
  <c r="I111" i="192" s="1"/>
  <c r="L282" i="147"/>
  <c r="L29" i="132" s="1"/>
  <c r="L230" i="144"/>
  <c r="L264" i="144" s="1"/>
  <c r="I148" i="196"/>
  <c r="I141" i="196"/>
  <c r="I153" i="196" s="1"/>
  <c r="I25" i="205" s="1"/>
  <c r="L238" i="148"/>
  <c r="L272" i="148" s="1"/>
  <c r="L214" i="146"/>
  <c r="L248" i="146" s="1"/>
  <c r="L53" i="139"/>
  <c r="K368" i="139"/>
  <c r="K370" i="139" s="1"/>
  <c r="K351" i="139"/>
  <c r="Q328" i="217"/>
  <c r="K88" i="102"/>
  <c r="K32" i="95"/>
  <c r="L237" i="140"/>
  <c r="L271" i="140" s="1"/>
  <c r="L184" i="140"/>
  <c r="L150" i="140"/>
  <c r="L116" i="140"/>
  <c r="I17" i="206"/>
  <c r="J76" i="208" s="1"/>
  <c r="I106" i="188"/>
  <c r="I111" i="188" s="1"/>
  <c r="L236" i="139"/>
  <c r="L270" i="139" s="1"/>
  <c r="L219" i="137"/>
  <c r="L253" i="137" s="1"/>
  <c r="L87" i="149"/>
  <c r="L88" i="149" s="1"/>
  <c r="L180" i="149"/>
  <c r="L112" i="149"/>
  <c r="L146" i="149"/>
  <c r="L216" i="137"/>
  <c r="L250" i="137" s="1"/>
  <c r="K332" i="141"/>
  <c r="K333" i="141" s="1"/>
  <c r="L52" i="141"/>
  <c r="P563" i="217"/>
  <c r="L51" i="141"/>
  <c r="P562" i="217"/>
  <c r="L95" i="141"/>
  <c r="L101" i="141"/>
  <c r="Q575" i="217"/>
  <c r="L222" i="139"/>
  <c r="L256" i="139" s="1"/>
  <c r="L223" i="150"/>
  <c r="L279" i="150" s="1"/>
  <c r="L247" i="150"/>
  <c r="L257" i="150" s="1"/>
  <c r="L258" i="150" s="1"/>
  <c r="L224" i="151"/>
  <c r="L161" i="142"/>
  <c r="L171" i="142" s="1"/>
  <c r="L172" i="142" s="1"/>
  <c r="L127" i="142"/>
  <c r="L195" i="142"/>
  <c r="L103" i="142"/>
  <c r="L104" i="142" s="1"/>
  <c r="L127" i="149"/>
  <c r="L103" i="149"/>
  <c r="L104" i="149" s="1"/>
  <c r="L161" i="149"/>
  <c r="L195" i="149"/>
  <c r="L53" i="136"/>
  <c r="K368" i="136"/>
  <c r="K370" i="136" s="1"/>
  <c r="I266" i="211"/>
  <c r="O77" i="218" s="1"/>
  <c r="I241" i="211"/>
  <c r="L153" i="148"/>
  <c r="L187" i="148"/>
  <c r="L119" i="148"/>
  <c r="L179" i="149"/>
  <c r="L111" i="149"/>
  <c r="L145" i="149"/>
  <c r="L44" i="141"/>
  <c r="P555" i="217"/>
  <c r="L204" i="141"/>
  <c r="L136" i="141"/>
  <c r="L170" i="141"/>
  <c r="K340" i="141"/>
  <c r="K314" i="141"/>
  <c r="L93" i="136"/>
  <c r="L94" i="136"/>
  <c r="L239" i="147"/>
  <c r="L240" i="147" s="1"/>
  <c r="L263" i="147"/>
  <c r="L273" i="147" s="1"/>
  <c r="L274" i="147" s="1"/>
  <c r="L196" i="149"/>
  <c r="L128" i="149"/>
  <c r="L162" i="149"/>
  <c r="L130" i="148"/>
  <c r="L198" i="148"/>
  <c r="L164" i="148"/>
  <c r="L189" i="146"/>
  <c r="L281" i="146" s="1"/>
  <c r="L28" i="133" s="1"/>
  <c r="L236" i="145"/>
  <c r="L270" i="145" s="1"/>
  <c r="L222" i="137"/>
  <c r="L256" i="137" s="1"/>
  <c r="L179" i="142"/>
  <c r="L111" i="142"/>
  <c r="L145" i="142"/>
  <c r="L87" i="142"/>
  <c r="L88" i="142" s="1"/>
  <c r="L137" i="146"/>
  <c r="L138" i="146" s="1"/>
  <c r="L155" i="144"/>
  <c r="Q514" i="217"/>
  <c r="Q577" i="217" s="1"/>
  <c r="K350" i="140"/>
  <c r="L43" i="140"/>
  <c r="L84" i="140"/>
  <c r="L53" i="135"/>
  <c r="K368" i="135"/>
  <c r="K370" i="135" s="1"/>
  <c r="K351" i="135"/>
  <c r="L156" i="150"/>
  <c r="I112" i="194"/>
  <c r="I113" i="194"/>
  <c r="I115" i="194" s="1"/>
  <c r="L137" i="144"/>
  <c r="L138" i="144" s="1"/>
  <c r="K104" i="102"/>
  <c r="K48" i="95"/>
  <c r="K73" i="95" s="1"/>
  <c r="L231" i="135"/>
  <c r="L265" i="135" s="1"/>
  <c r="L280" i="162"/>
  <c r="L24" i="131" s="1"/>
  <c r="L77" i="136"/>
  <c r="L78" i="136"/>
  <c r="L232" i="136"/>
  <c r="L266" i="136" s="1"/>
  <c r="L231" i="140"/>
  <c r="L265" i="140" s="1"/>
  <c r="L233" i="139"/>
  <c r="L267" i="139" s="1"/>
  <c r="L237" i="137"/>
  <c r="L271" i="137" s="1"/>
  <c r="L53" i="143"/>
  <c r="L290" i="143" s="1"/>
  <c r="K368" i="143"/>
  <c r="K370" i="143" s="1"/>
  <c r="L220" i="137"/>
  <c r="L254" i="137" s="1"/>
  <c r="L219" i="135"/>
  <c r="L253" i="135" s="1"/>
  <c r="L70" i="145"/>
  <c r="L121" i="162"/>
  <c r="L213" i="162"/>
  <c r="L232" i="139"/>
  <c r="L266" i="139" s="1"/>
  <c r="I19" i="206"/>
  <c r="J78" i="208" s="1"/>
  <c r="I106" i="190"/>
  <c r="I111" i="190" s="1"/>
  <c r="L230" i="146"/>
  <c r="L264" i="146" s="1"/>
  <c r="L230" i="162"/>
  <c r="L264" i="162" s="1"/>
  <c r="L78" i="137"/>
  <c r="L77" i="137"/>
  <c r="L204" i="140"/>
  <c r="L136" i="140"/>
  <c r="L170" i="140"/>
  <c r="L154" i="140"/>
  <c r="L120" i="140"/>
  <c r="L188" i="140"/>
  <c r="K367" i="139"/>
  <c r="L69" i="139"/>
  <c r="L70" i="139" s="1"/>
  <c r="L221" i="136"/>
  <c r="L255" i="136" s="1"/>
  <c r="I27" i="206"/>
  <c r="J86" i="208" s="1"/>
  <c r="I106" i="198"/>
  <c r="I111" i="198" s="1"/>
  <c r="L171" i="144"/>
  <c r="L172" i="144" s="1"/>
  <c r="K351" i="145"/>
  <c r="L148" i="148"/>
  <c r="L114" i="148"/>
  <c r="L182" i="148"/>
  <c r="L237" i="148"/>
  <c r="L271" i="148" s="1"/>
  <c r="L129" i="148"/>
  <c r="L197" i="148"/>
  <c r="L163" i="148"/>
  <c r="L155" i="146"/>
  <c r="L280" i="146" s="1"/>
  <c r="L28" i="131" s="1"/>
  <c r="L190" i="144"/>
  <c r="I113" i="202"/>
  <c r="I115" i="202" s="1"/>
  <c r="I112" i="202"/>
  <c r="I156" i="197"/>
  <c r="L153" i="140"/>
  <c r="L187" i="140"/>
  <c r="L119" i="140"/>
  <c r="L235" i="135"/>
  <c r="L269" i="135" s="1"/>
  <c r="L54" i="149"/>
  <c r="L46" i="141"/>
  <c r="P557" i="217"/>
  <c r="L50" i="141"/>
  <c r="P561" i="217"/>
  <c r="L49" i="141"/>
  <c r="P560" i="217"/>
  <c r="L45" i="141"/>
  <c r="P556" i="217"/>
  <c r="L100" i="141"/>
  <c r="L98" i="141"/>
  <c r="L69" i="136"/>
  <c r="L70" i="136" s="1"/>
  <c r="K367" i="136"/>
  <c r="L282" i="150"/>
  <c r="L32" i="132" s="1"/>
  <c r="K351" i="136"/>
  <c r="I29" i="209"/>
  <c r="I261" i="209" s="1"/>
  <c r="I30" i="210" s="1"/>
  <c r="I69" i="211" s="1"/>
  <c r="J87" i="208"/>
  <c r="L189" i="138"/>
  <c r="L190" i="138" s="1"/>
  <c r="L216" i="86"/>
  <c r="L250" i="86" s="1"/>
  <c r="L137" i="138"/>
  <c r="L138" i="138" s="1"/>
  <c r="O84" i="218"/>
  <c r="L171" i="138"/>
  <c r="L172" i="138" s="1"/>
  <c r="L217" i="86"/>
  <c r="L251" i="86" s="1"/>
  <c r="L230" i="138"/>
  <c r="L264" i="138" s="1"/>
  <c r="L214" i="138"/>
  <c r="L248" i="138" s="1"/>
  <c r="L218" i="86"/>
  <c r="L252" i="86" s="1"/>
  <c r="L146" i="86"/>
  <c r="L155" i="86" s="1"/>
  <c r="L180" i="86"/>
  <c r="L189" i="86" s="1"/>
  <c r="L112" i="86"/>
  <c r="L121" i="86" s="1"/>
  <c r="L215" i="86"/>
  <c r="L249" i="86" s="1"/>
  <c r="I114" i="191"/>
  <c r="I116" i="191" s="1"/>
  <c r="I118" i="191" s="1"/>
  <c r="I117" i="191"/>
  <c r="L229" i="138"/>
  <c r="L205" i="138"/>
  <c r="L206" i="138" s="1"/>
  <c r="L54" i="86"/>
  <c r="L290" i="86"/>
  <c r="L213" i="138"/>
  <c r="L121" i="138"/>
  <c r="L221" i="86"/>
  <c r="L255" i="86" s="1"/>
  <c r="I15" i="206"/>
  <c r="I106" i="186"/>
  <c r="I111" i="186" s="1"/>
  <c r="L213" i="86"/>
  <c r="L162" i="86"/>
  <c r="L196" i="86"/>
  <c r="L128" i="86"/>
  <c r="I16" i="209"/>
  <c r="I248" i="209" s="1"/>
  <c r="L161" i="86"/>
  <c r="L195" i="86"/>
  <c r="L127" i="86"/>
  <c r="L103" i="86"/>
  <c r="L104" i="86" s="1"/>
  <c r="L201" i="141" l="1"/>
  <c r="Q527" i="217"/>
  <c r="L282" i="162"/>
  <c r="L24" i="132" s="1"/>
  <c r="L133" i="141"/>
  <c r="L83" i="141"/>
  <c r="L224" i="150"/>
  <c r="L112" i="134"/>
  <c r="L146" i="134"/>
  <c r="L180" i="134"/>
  <c r="L145" i="134"/>
  <c r="L155" i="134" s="1"/>
  <c r="L156" i="134" s="1"/>
  <c r="L179" i="134"/>
  <c r="L111" i="134"/>
  <c r="L87" i="134"/>
  <c r="L88" i="134" s="1"/>
  <c r="I112" i="187"/>
  <c r="I113" i="187"/>
  <c r="I115" i="187" s="1"/>
  <c r="L196" i="134"/>
  <c r="L128" i="134"/>
  <c r="L162" i="134"/>
  <c r="L290" i="134"/>
  <c r="L54" i="134"/>
  <c r="L161" i="134"/>
  <c r="L195" i="134"/>
  <c r="L127" i="134"/>
  <c r="L137" i="134" s="1"/>
  <c r="L138" i="134" s="1"/>
  <c r="L103" i="134"/>
  <c r="L104" i="134" s="1"/>
  <c r="L233" i="148"/>
  <c r="L267" i="148" s="1"/>
  <c r="L235" i="141"/>
  <c r="L269" i="141" s="1"/>
  <c r="L221" i="148"/>
  <c r="L255" i="148" s="1"/>
  <c r="L229" i="142"/>
  <c r="L214" i="142"/>
  <c r="L248" i="142" s="1"/>
  <c r="K367" i="148"/>
  <c r="L232" i="148"/>
  <c r="L266" i="148" s="1"/>
  <c r="L230" i="149"/>
  <c r="L264" i="149" s="1"/>
  <c r="L281" i="162"/>
  <c r="L24" i="133" s="1"/>
  <c r="L70" i="148"/>
  <c r="L220" i="148"/>
  <c r="L254" i="148" s="1"/>
  <c r="L54" i="143"/>
  <c r="L79" i="141"/>
  <c r="L84" i="141"/>
  <c r="L280" i="144"/>
  <c r="L26" i="131" s="1"/>
  <c r="L190" i="146"/>
  <c r="L137" i="149"/>
  <c r="L138" i="149" s="1"/>
  <c r="I154" i="196"/>
  <c r="I158" i="196" s="1"/>
  <c r="L186" i="141"/>
  <c r="L152" i="141"/>
  <c r="L118" i="141"/>
  <c r="L155" i="142"/>
  <c r="L280" i="142" s="1"/>
  <c r="L23" i="131" s="1"/>
  <c r="Q357" i="217"/>
  <c r="Q616" i="217"/>
  <c r="Q620" i="217" s="1"/>
  <c r="L59" i="141"/>
  <c r="K366" i="141"/>
  <c r="L69" i="141" s="1"/>
  <c r="L70" i="141" s="1"/>
  <c r="L223" i="144"/>
  <c r="L224" i="144" s="1"/>
  <c r="L247" i="144"/>
  <c r="L257" i="144" s="1"/>
  <c r="L258" i="144" s="1"/>
  <c r="L131" i="141"/>
  <c r="L165" i="141"/>
  <c r="L199" i="141"/>
  <c r="L132" i="141"/>
  <c r="L200" i="141"/>
  <c r="L166" i="141"/>
  <c r="L221" i="140"/>
  <c r="L255" i="140" s="1"/>
  <c r="L222" i="140"/>
  <c r="L256" i="140" s="1"/>
  <c r="L180" i="137"/>
  <c r="L112" i="137"/>
  <c r="L146" i="137"/>
  <c r="L77" i="140"/>
  <c r="L78" i="140"/>
  <c r="L213" i="142"/>
  <c r="L121" i="142"/>
  <c r="L238" i="141"/>
  <c r="L272" i="141" s="1"/>
  <c r="L229" i="149"/>
  <c r="L205" i="149"/>
  <c r="L206" i="149" s="1"/>
  <c r="L203" i="141"/>
  <c r="L169" i="141"/>
  <c r="L135" i="141"/>
  <c r="L155" i="149"/>
  <c r="L156" i="149" s="1"/>
  <c r="L218" i="140"/>
  <c r="L252" i="140" s="1"/>
  <c r="L182" i="140"/>
  <c r="L114" i="140"/>
  <c r="L148" i="140"/>
  <c r="L77" i="148"/>
  <c r="L78" i="148"/>
  <c r="L196" i="143"/>
  <c r="L128" i="143"/>
  <c r="L162" i="143"/>
  <c r="L239" i="162"/>
  <c r="L240" i="162" s="1"/>
  <c r="L263" i="162"/>
  <c r="L273" i="162" s="1"/>
  <c r="L274" i="162" s="1"/>
  <c r="L232" i="141"/>
  <c r="L266" i="141" s="1"/>
  <c r="L103" i="145"/>
  <c r="L104" i="145" s="1"/>
  <c r="L161" i="145"/>
  <c r="L195" i="145"/>
  <c r="L127" i="145"/>
  <c r="L116" i="141"/>
  <c r="L150" i="141"/>
  <c r="L184" i="141"/>
  <c r="Q526" i="217"/>
  <c r="L234" i="140"/>
  <c r="L268" i="140" s="1"/>
  <c r="Q386" i="217"/>
  <c r="I15" i="209"/>
  <c r="I247" i="209" s="1"/>
  <c r="I16" i="210" s="1"/>
  <c r="I55" i="211" s="1"/>
  <c r="I35" i="207"/>
  <c r="L180" i="139"/>
  <c r="L112" i="139"/>
  <c r="L146" i="139"/>
  <c r="L54" i="145"/>
  <c r="L279" i="147"/>
  <c r="L235" i="148"/>
  <c r="L269" i="148" s="1"/>
  <c r="L93" i="140"/>
  <c r="L94" i="140"/>
  <c r="L93" i="148"/>
  <c r="L94" i="148"/>
  <c r="L236" i="148"/>
  <c r="L270" i="148" s="1"/>
  <c r="I112" i="189"/>
  <c r="I113" i="189"/>
  <c r="I115" i="189" s="1"/>
  <c r="L145" i="143"/>
  <c r="L111" i="143"/>
  <c r="L179" i="143"/>
  <c r="L87" i="143"/>
  <c r="L88" i="143" s="1"/>
  <c r="I112" i="190"/>
  <c r="I113" i="190"/>
  <c r="I115" i="190" s="1"/>
  <c r="L118" i="140"/>
  <c r="L186" i="140"/>
  <c r="L152" i="140"/>
  <c r="L85" i="141"/>
  <c r="L195" i="137"/>
  <c r="L127" i="137"/>
  <c r="L103" i="137"/>
  <c r="L104" i="137" s="1"/>
  <c r="L161" i="137"/>
  <c r="L53" i="148"/>
  <c r="L290" i="148" s="1"/>
  <c r="K368" i="148"/>
  <c r="K370" i="148" s="1"/>
  <c r="L156" i="144"/>
  <c r="L162" i="145"/>
  <c r="L196" i="145"/>
  <c r="L128" i="145"/>
  <c r="I14" i="206"/>
  <c r="I106" i="185"/>
  <c r="I111" i="185" s="1"/>
  <c r="L196" i="135"/>
  <c r="L128" i="135"/>
  <c r="L162" i="135"/>
  <c r="L168" i="141"/>
  <c r="L202" i="141"/>
  <c r="L134" i="141"/>
  <c r="L151" i="141"/>
  <c r="L117" i="141"/>
  <c r="L185" i="141"/>
  <c r="L80" i="141"/>
  <c r="I114" i="202"/>
  <c r="I117" i="202"/>
  <c r="L238" i="140"/>
  <c r="L272" i="140" s="1"/>
  <c r="K351" i="140"/>
  <c r="K368" i="140"/>
  <c r="K370" i="140" s="1"/>
  <c r="L53" i="140"/>
  <c r="L189" i="142"/>
  <c r="L190" i="142" s="1"/>
  <c r="K350" i="141"/>
  <c r="K351" i="141" s="1"/>
  <c r="L43" i="141"/>
  <c r="L78" i="141" s="1"/>
  <c r="P554" i="217"/>
  <c r="L213" i="149"/>
  <c r="L54" i="136"/>
  <c r="L290" i="136"/>
  <c r="L171" i="149"/>
  <c r="L172" i="149" s="1"/>
  <c r="L263" i="142"/>
  <c r="L294" i="150"/>
  <c r="L283" i="150"/>
  <c r="L32" i="130"/>
  <c r="L197" i="141"/>
  <c r="L129" i="141"/>
  <c r="L163" i="141"/>
  <c r="L86" i="141"/>
  <c r="L121" i="149"/>
  <c r="L282" i="149" s="1"/>
  <c r="L31" i="132" s="1"/>
  <c r="L214" i="149"/>
  <c r="L248" i="149" s="1"/>
  <c r="AJ34" i="95"/>
  <c r="K57" i="95"/>
  <c r="I112" i="192"/>
  <c r="I113" i="192"/>
  <c r="I115" i="192" s="1"/>
  <c r="L146" i="135"/>
  <c r="L180" i="135"/>
  <c r="L112" i="135"/>
  <c r="L236" i="140"/>
  <c r="L270" i="140" s="1"/>
  <c r="L103" i="143"/>
  <c r="L104" i="143" s="1"/>
  <c r="L161" i="143"/>
  <c r="L127" i="143"/>
  <c r="L137" i="143" s="1"/>
  <c r="L138" i="143" s="1"/>
  <c r="L195" i="143"/>
  <c r="L223" i="146"/>
  <c r="L224" i="146" s="1"/>
  <c r="L247" i="146"/>
  <c r="L257" i="146" s="1"/>
  <c r="L258" i="146" s="1"/>
  <c r="L219" i="148"/>
  <c r="L253" i="148" s="1"/>
  <c r="I30" i="206"/>
  <c r="I106" i="201"/>
  <c r="I111" i="201" s="1"/>
  <c r="I117" i="197"/>
  <c r="I114" i="197"/>
  <c r="I116" i="197" s="1"/>
  <c r="I118" i="197" s="1"/>
  <c r="L283" i="151"/>
  <c r="L33" i="130"/>
  <c r="L294" i="151"/>
  <c r="L81" i="141"/>
  <c r="L179" i="139"/>
  <c r="L145" i="139"/>
  <c r="L111" i="139"/>
  <c r="L87" i="139"/>
  <c r="L88" i="139" s="1"/>
  <c r="L179" i="145"/>
  <c r="L145" i="145"/>
  <c r="L111" i="145"/>
  <c r="I114" i="199"/>
  <c r="I116" i="199" s="1"/>
  <c r="I118" i="199" s="1"/>
  <c r="I117" i="199"/>
  <c r="L69" i="140"/>
  <c r="L70" i="140" s="1"/>
  <c r="K367" i="140"/>
  <c r="I150" i="196"/>
  <c r="I111" i="196"/>
  <c r="I267" i="211"/>
  <c r="O78" i="218" s="1"/>
  <c r="I242" i="211"/>
  <c r="L147" i="141"/>
  <c r="L113" i="141"/>
  <c r="L181" i="141"/>
  <c r="L87" i="137"/>
  <c r="L88" i="137" s="1"/>
  <c r="L145" i="137"/>
  <c r="L111" i="137"/>
  <c r="L179" i="137"/>
  <c r="L223" i="162"/>
  <c r="L247" i="162"/>
  <c r="L257" i="162" s="1"/>
  <c r="L258" i="162" s="1"/>
  <c r="L87" i="136"/>
  <c r="L88" i="136" s="1"/>
  <c r="L111" i="136"/>
  <c r="L145" i="136"/>
  <c r="L179" i="136"/>
  <c r="L127" i="136"/>
  <c r="L195" i="136"/>
  <c r="L103" i="136"/>
  <c r="L104" i="136" s="1"/>
  <c r="L161" i="136"/>
  <c r="I265" i="211"/>
  <c r="O76" i="218" s="1"/>
  <c r="I240" i="211"/>
  <c r="L161" i="139"/>
  <c r="L195" i="139"/>
  <c r="L103" i="139"/>
  <c r="L104" i="139" s="1"/>
  <c r="L127" i="139"/>
  <c r="L205" i="142"/>
  <c r="L206" i="142" s="1"/>
  <c r="L230" i="142"/>
  <c r="L264" i="142" s="1"/>
  <c r="I15" i="193"/>
  <c r="I44" i="193" s="1"/>
  <c r="I57" i="193" s="1"/>
  <c r="I98" i="193" s="1"/>
  <c r="K23" i="102"/>
  <c r="K85" i="128"/>
  <c r="L87" i="145"/>
  <c r="L88" i="145" s="1"/>
  <c r="L146" i="145"/>
  <c r="L180" i="145"/>
  <c r="L112" i="145"/>
  <c r="Q525" i="217"/>
  <c r="I116" i="202"/>
  <c r="I118" i="202" s="1"/>
  <c r="L231" i="148"/>
  <c r="L265" i="148" s="1"/>
  <c r="L216" i="148"/>
  <c r="L250" i="148" s="1"/>
  <c r="I112" i="198"/>
  <c r="I113" i="198"/>
  <c r="I115" i="198" s="1"/>
  <c r="L122" i="162"/>
  <c r="L146" i="136"/>
  <c r="L180" i="136"/>
  <c r="L112" i="136"/>
  <c r="I114" i="194"/>
  <c r="I116" i="194" s="1"/>
  <c r="I118" i="194" s="1"/>
  <c r="I117" i="194"/>
  <c r="L54" i="135"/>
  <c r="L290" i="135"/>
  <c r="Q573" i="217"/>
  <c r="Q529" i="217"/>
  <c r="L162" i="136"/>
  <c r="L128" i="136"/>
  <c r="L196" i="136"/>
  <c r="L156" i="146"/>
  <c r="Q528" i="217"/>
  <c r="L189" i="149"/>
  <c r="L281" i="149" s="1"/>
  <c r="L31" i="133" s="1"/>
  <c r="I112" i="188"/>
  <c r="I113" i="188"/>
  <c r="I115" i="188" s="1"/>
  <c r="L54" i="139"/>
  <c r="L290" i="139"/>
  <c r="L232" i="140"/>
  <c r="L266" i="140" s="1"/>
  <c r="L196" i="137"/>
  <c r="L128" i="137"/>
  <c r="L162" i="137"/>
  <c r="K351" i="148"/>
  <c r="L87" i="135"/>
  <c r="L88" i="135" s="1"/>
  <c r="L145" i="135"/>
  <c r="L111" i="135"/>
  <c r="L179" i="135"/>
  <c r="L282" i="146"/>
  <c r="L28" i="132" s="1"/>
  <c r="L128" i="139"/>
  <c r="L162" i="139"/>
  <c r="L196" i="139"/>
  <c r="L54" i="137"/>
  <c r="L290" i="137"/>
  <c r="I31" i="209"/>
  <c r="I263" i="209" s="1"/>
  <c r="I32" i="210" s="1"/>
  <c r="I71" i="211" s="1"/>
  <c r="J89" i="208"/>
  <c r="L137" i="142"/>
  <c r="L138" i="142" s="1"/>
  <c r="Q415" i="217"/>
  <c r="I35" i="205"/>
  <c r="L282" i="144"/>
  <c r="L26" i="132" s="1"/>
  <c r="Q574" i="217"/>
  <c r="L239" i="144"/>
  <c r="L240" i="144" s="1"/>
  <c r="L263" i="144"/>
  <c r="L273" i="144" s="1"/>
  <c r="L274" i="144" s="1"/>
  <c r="L195" i="135"/>
  <c r="L161" i="135"/>
  <c r="L127" i="135"/>
  <c r="L103" i="135"/>
  <c r="L104" i="135" s="1"/>
  <c r="L239" i="146"/>
  <c r="L240" i="146" s="1"/>
  <c r="L263" i="146"/>
  <c r="L273" i="146" s="1"/>
  <c r="L274" i="146" s="1"/>
  <c r="I25" i="206"/>
  <c r="I155" i="196"/>
  <c r="I156" i="196" s="1"/>
  <c r="L190" i="162"/>
  <c r="L146" i="143"/>
  <c r="L112" i="143"/>
  <c r="L180" i="143"/>
  <c r="L189" i="143" s="1"/>
  <c r="L280" i="138"/>
  <c r="L20" i="131" s="1"/>
  <c r="L137" i="86"/>
  <c r="L138" i="86" s="1"/>
  <c r="L281" i="138"/>
  <c r="L20" i="133" s="1"/>
  <c r="J74" i="208"/>
  <c r="L171" i="86"/>
  <c r="L172" i="86" s="1"/>
  <c r="L156" i="86"/>
  <c r="L190" i="86"/>
  <c r="L247" i="86"/>
  <c r="L229" i="86"/>
  <c r="L205" i="86"/>
  <c r="L206" i="86" s="1"/>
  <c r="I17" i="210"/>
  <c r="I56" i="211" s="1"/>
  <c r="L230" i="86"/>
  <c r="L264" i="86" s="1"/>
  <c r="I112" i="186"/>
  <c r="I113" i="186"/>
  <c r="I115" i="186" s="1"/>
  <c r="L239" i="138"/>
  <c r="L240" i="138" s="1"/>
  <c r="L263" i="138"/>
  <c r="L273" i="138" s="1"/>
  <c r="L274" i="138" s="1"/>
  <c r="L282" i="138"/>
  <c r="L20" i="132" s="1"/>
  <c r="L122" i="138"/>
  <c r="L122" i="86"/>
  <c r="L223" i="138"/>
  <c r="L247" i="138"/>
  <c r="L257" i="138" s="1"/>
  <c r="L258" i="138" s="1"/>
  <c r="L214" i="86"/>
  <c r="L248" i="86" s="1"/>
  <c r="L214" i="134" l="1"/>
  <c r="L248" i="134" s="1"/>
  <c r="L229" i="134"/>
  <c r="L205" i="134"/>
  <c r="L206" i="134" s="1"/>
  <c r="I117" i="187"/>
  <c r="I114" i="187"/>
  <c r="I116" i="187" s="1"/>
  <c r="I118" i="187" s="1"/>
  <c r="L279" i="162"/>
  <c r="L171" i="134"/>
  <c r="L230" i="134"/>
  <c r="L264" i="134" s="1"/>
  <c r="L121" i="134"/>
  <c r="L213" i="134"/>
  <c r="L155" i="143"/>
  <c r="L171" i="135"/>
  <c r="L172" i="135" s="1"/>
  <c r="L155" i="145"/>
  <c r="L156" i="145" s="1"/>
  <c r="L189" i="134"/>
  <c r="L281" i="134" s="1"/>
  <c r="L16" i="133" s="1"/>
  <c r="I25" i="207"/>
  <c r="I26" i="209" s="1"/>
  <c r="I258" i="209" s="1"/>
  <c r="I27" i="210" s="1"/>
  <c r="I66" i="211" s="1"/>
  <c r="L190" i="149"/>
  <c r="L230" i="137"/>
  <c r="L264" i="137" s="1"/>
  <c r="L214" i="136"/>
  <c r="L248" i="136" s="1"/>
  <c r="L137" i="139"/>
  <c r="L138" i="139" s="1"/>
  <c r="L239" i="142"/>
  <c r="L240" i="142" s="1"/>
  <c r="L234" i="141"/>
  <c r="L268" i="141" s="1"/>
  <c r="L137" i="137"/>
  <c r="L138" i="137" s="1"/>
  <c r="L218" i="141"/>
  <c r="L252" i="141" s="1"/>
  <c r="L54" i="148"/>
  <c r="K40" i="95"/>
  <c r="K65" i="95" s="1"/>
  <c r="K96" i="102"/>
  <c r="K67" i="102"/>
  <c r="K35" i="102"/>
  <c r="L205" i="136"/>
  <c r="L206" i="136" s="1"/>
  <c r="L229" i="136"/>
  <c r="P564" i="217"/>
  <c r="Q524" i="217"/>
  <c r="L182" i="141"/>
  <c r="L148" i="141"/>
  <c r="L114" i="141"/>
  <c r="L161" i="140"/>
  <c r="L127" i="140"/>
  <c r="L137" i="140" s="1"/>
  <c r="L138" i="140" s="1"/>
  <c r="L195" i="140"/>
  <c r="L103" i="140"/>
  <c r="L104" i="140" s="1"/>
  <c r="Q585" i="217"/>
  <c r="L282" i="142"/>
  <c r="L23" i="132" s="1"/>
  <c r="L205" i="135"/>
  <c r="L206" i="135" s="1"/>
  <c r="L229" i="135"/>
  <c r="L230" i="139"/>
  <c r="L264" i="139" s="1"/>
  <c r="L189" i="135"/>
  <c r="I117" i="188"/>
  <c r="I114" i="188"/>
  <c r="I116" i="188" s="1"/>
  <c r="I118" i="188" s="1"/>
  <c r="I117" i="198"/>
  <c r="I114" i="198"/>
  <c r="I116" i="198" s="1"/>
  <c r="I118" i="198" s="1"/>
  <c r="Q584" i="217"/>
  <c r="I103" i="193"/>
  <c r="I105" i="193"/>
  <c r="I22" i="207" s="1"/>
  <c r="I104" i="193"/>
  <c r="I22" i="205" s="1"/>
  <c r="I36" i="205" s="1"/>
  <c r="Q417" i="217" s="1"/>
  <c r="L137" i="136"/>
  <c r="L138" i="136" s="1"/>
  <c r="L189" i="137"/>
  <c r="L190" i="137" s="1"/>
  <c r="L213" i="145"/>
  <c r="L121" i="145"/>
  <c r="L122" i="145" s="1"/>
  <c r="L121" i="139"/>
  <c r="L213" i="139"/>
  <c r="L296" i="151"/>
  <c r="L371" i="151"/>
  <c r="A371" i="151" s="1"/>
  <c r="L229" i="143"/>
  <c r="L205" i="143"/>
  <c r="L206" i="143" s="1"/>
  <c r="L296" i="150"/>
  <c r="L371" i="150"/>
  <c r="A371" i="150" s="1"/>
  <c r="L281" i="142"/>
  <c r="L23" i="133" s="1"/>
  <c r="L236" i="141"/>
  <c r="L270" i="141" s="1"/>
  <c r="L230" i="135"/>
  <c r="L264" i="135" s="1"/>
  <c r="L230" i="145"/>
  <c r="L264" i="145" s="1"/>
  <c r="L229" i="137"/>
  <c r="L205" i="137"/>
  <c r="L206" i="137" s="1"/>
  <c r="L220" i="140"/>
  <c r="L254" i="140" s="1"/>
  <c r="L156" i="143"/>
  <c r="L128" i="148"/>
  <c r="L162" i="148"/>
  <c r="L196" i="148"/>
  <c r="L214" i="139"/>
  <c r="L248" i="139" s="1"/>
  <c r="I253" i="211"/>
  <c r="O64" i="218" s="1"/>
  <c r="I228" i="211"/>
  <c r="L137" i="145"/>
  <c r="L138" i="145" s="1"/>
  <c r="L111" i="148"/>
  <c r="L179" i="148"/>
  <c r="L145" i="148"/>
  <c r="L223" i="142"/>
  <c r="L279" i="142" s="1"/>
  <c r="L247" i="142"/>
  <c r="L257" i="142" s="1"/>
  <c r="L258" i="142" s="1"/>
  <c r="L214" i="137"/>
  <c r="L248" i="137" s="1"/>
  <c r="L233" i="141"/>
  <c r="L267" i="141" s="1"/>
  <c r="L93" i="141"/>
  <c r="L94" i="141"/>
  <c r="L156" i="142"/>
  <c r="L213" i="136"/>
  <c r="L121" i="136"/>
  <c r="L282" i="136" s="1"/>
  <c r="L18" i="132" s="1"/>
  <c r="L24" i="130"/>
  <c r="L283" i="162"/>
  <c r="L294" i="162"/>
  <c r="I117" i="190"/>
  <c r="I114" i="190"/>
  <c r="I116" i="190" s="1"/>
  <c r="I118" i="190" s="1"/>
  <c r="L213" i="143"/>
  <c r="L121" i="143"/>
  <c r="L282" i="143" s="1"/>
  <c r="L25" i="132" s="1"/>
  <c r="L239" i="149"/>
  <c r="L240" i="149" s="1"/>
  <c r="L263" i="149"/>
  <c r="L273" i="149" s="1"/>
  <c r="L274" i="149" s="1"/>
  <c r="I37" i="205"/>
  <c r="I269" i="211"/>
  <c r="O80" i="218" s="1"/>
  <c r="I244" i="211"/>
  <c r="L121" i="135"/>
  <c r="L213" i="135"/>
  <c r="L112" i="141"/>
  <c r="L146" i="141"/>
  <c r="L180" i="141"/>
  <c r="L229" i="139"/>
  <c r="L205" i="139"/>
  <c r="L206" i="139" s="1"/>
  <c r="L171" i="136"/>
  <c r="L172" i="136" s="1"/>
  <c r="L189" i="136"/>
  <c r="L213" i="137"/>
  <c r="L121" i="137"/>
  <c r="L215" i="141"/>
  <c r="L249" i="141" s="1"/>
  <c r="I113" i="196"/>
  <c r="I115" i="196" s="1"/>
  <c r="I112" i="196"/>
  <c r="L155" i="139"/>
  <c r="I112" i="201"/>
  <c r="I113" i="201"/>
  <c r="I115" i="201" s="1"/>
  <c r="L214" i="135"/>
  <c r="L248" i="135" s="1"/>
  <c r="I114" i="192"/>
  <c r="I116" i="192" s="1"/>
  <c r="I118" i="192" s="1"/>
  <c r="I117" i="192"/>
  <c r="L231" i="141"/>
  <c r="L265" i="141" s="1"/>
  <c r="L273" i="142"/>
  <c r="L274" i="142" s="1"/>
  <c r="L122" i="149"/>
  <c r="L77" i="141"/>
  <c r="L54" i="140"/>
  <c r="L290" i="140"/>
  <c r="L219" i="141"/>
  <c r="L253" i="141" s="1"/>
  <c r="I113" i="185"/>
  <c r="I115" i="185" s="1"/>
  <c r="I112" i="185"/>
  <c r="L171" i="137"/>
  <c r="L172" i="137" s="1"/>
  <c r="L187" i="141"/>
  <c r="L153" i="141"/>
  <c r="L119" i="141"/>
  <c r="L127" i="148"/>
  <c r="L137" i="148" s="1"/>
  <c r="L138" i="148" s="1"/>
  <c r="L103" i="148"/>
  <c r="L104" i="148" s="1"/>
  <c r="L195" i="148"/>
  <c r="L161" i="148"/>
  <c r="L171" i="148" s="1"/>
  <c r="L172" i="148" s="1"/>
  <c r="L29" i="130"/>
  <c r="L283" i="147"/>
  <c r="L294" i="147"/>
  <c r="Q477" i="217"/>
  <c r="L205" i="145"/>
  <c r="L206" i="145" s="1"/>
  <c r="L229" i="145"/>
  <c r="L230" i="143"/>
  <c r="L264" i="143" s="1"/>
  <c r="L237" i="141"/>
  <c r="L271" i="141" s="1"/>
  <c r="L146" i="140"/>
  <c r="L112" i="140"/>
  <c r="L180" i="140"/>
  <c r="L279" i="144"/>
  <c r="L183" i="141"/>
  <c r="L115" i="141"/>
  <c r="L149" i="141"/>
  <c r="L122" i="136"/>
  <c r="L214" i="143"/>
  <c r="L248" i="143" s="1"/>
  <c r="L137" i="135"/>
  <c r="L138" i="135" s="1"/>
  <c r="L155" i="135"/>
  <c r="L280" i="135" s="1"/>
  <c r="L17" i="131" s="1"/>
  <c r="Q587" i="217"/>
  <c r="L230" i="136"/>
  <c r="L264" i="136" s="1"/>
  <c r="L214" i="145"/>
  <c r="L248" i="145" s="1"/>
  <c r="L171" i="139"/>
  <c r="L172" i="139" s="1"/>
  <c r="L155" i="136"/>
  <c r="L224" i="162"/>
  <c r="L155" i="137"/>
  <c r="L280" i="137" s="1"/>
  <c r="L19" i="131" s="1"/>
  <c r="L189" i="145"/>
  <c r="L281" i="145" s="1"/>
  <c r="L27" i="133" s="1"/>
  <c r="L189" i="139"/>
  <c r="L281" i="139" s="1"/>
  <c r="L21" i="133" s="1"/>
  <c r="L279" i="146"/>
  <c r="L171" i="143"/>
  <c r="L172" i="143" s="1"/>
  <c r="L188" i="141"/>
  <c r="L154" i="141"/>
  <c r="L120" i="141"/>
  <c r="L223" i="149"/>
  <c r="L279" i="149" s="1"/>
  <c r="L247" i="149"/>
  <c r="L257" i="149" s="1"/>
  <c r="L258" i="149" s="1"/>
  <c r="K368" i="141"/>
  <c r="K370" i="141" s="1"/>
  <c r="L53" i="141"/>
  <c r="L290" i="141" s="1"/>
  <c r="Q444" i="217"/>
  <c r="Q479" i="217" s="1"/>
  <c r="I35" i="206"/>
  <c r="L190" i="143"/>
  <c r="I117" i="189"/>
  <c r="I114" i="189"/>
  <c r="I116" i="189" s="1"/>
  <c r="I118" i="189" s="1"/>
  <c r="L196" i="140"/>
  <c r="L230" i="140" s="1"/>
  <c r="L264" i="140" s="1"/>
  <c r="L128" i="140"/>
  <c r="L162" i="140"/>
  <c r="J73" i="208"/>
  <c r="L171" i="145"/>
  <c r="L172" i="145" s="1"/>
  <c r="L87" i="148"/>
  <c r="L88" i="148" s="1"/>
  <c r="L180" i="148"/>
  <c r="L189" i="148" s="1"/>
  <c r="L112" i="148"/>
  <c r="L146" i="148"/>
  <c r="L216" i="140"/>
  <c r="L250" i="140" s="1"/>
  <c r="L280" i="149"/>
  <c r="L31" i="131" s="1"/>
  <c r="L122" i="142"/>
  <c r="L145" i="140"/>
  <c r="L155" i="140" s="1"/>
  <c r="L179" i="140"/>
  <c r="L189" i="140" s="1"/>
  <c r="L111" i="140"/>
  <c r="L87" i="140"/>
  <c r="L88" i="140" s="1"/>
  <c r="K367" i="141"/>
  <c r="L220" i="141"/>
  <c r="L254" i="141" s="1"/>
  <c r="L282" i="86"/>
  <c r="L15" i="132" s="1"/>
  <c r="L280" i="86"/>
  <c r="L15" i="131" s="1"/>
  <c r="L223" i="86"/>
  <c r="I114" i="186"/>
  <c r="I116" i="186" s="1"/>
  <c r="I118" i="186" s="1"/>
  <c r="I117" i="186"/>
  <c r="I254" i="211"/>
  <c r="I229" i="211"/>
  <c r="L239" i="86"/>
  <c r="L240" i="86" s="1"/>
  <c r="L263" i="86"/>
  <c r="L273" i="86" s="1"/>
  <c r="L274" i="86" s="1"/>
  <c r="L281" i="86"/>
  <c r="L15" i="133" s="1"/>
  <c r="L279" i="138"/>
  <c r="L224" i="138"/>
  <c r="L257" i="86"/>
  <c r="L258" i="86" s="1"/>
  <c r="L281" i="135" l="1"/>
  <c r="L17" i="133" s="1"/>
  <c r="L190" i="134"/>
  <c r="L282" i="134"/>
  <c r="L16" i="132" s="1"/>
  <c r="L122" i="134"/>
  <c r="L155" i="148"/>
  <c r="L280" i="148" s="1"/>
  <c r="L30" i="131" s="1"/>
  <c r="L281" i="143"/>
  <c r="L25" i="133" s="1"/>
  <c r="J84" i="208"/>
  <c r="L172" i="134"/>
  <c r="L280" i="134"/>
  <c r="L16" i="131" s="1"/>
  <c r="L222" i="141"/>
  <c r="L256" i="141" s="1"/>
  <c r="L247" i="134"/>
  <c r="L257" i="134" s="1"/>
  <c r="L258" i="134" s="1"/>
  <c r="L223" i="134"/>
  <c r="L263" i="134"/>
  <c r="L273" i="134" s="1"/>
  <c r="L274" i="134" s="1"/>
  <c r="L239" i="134"/>
  <c r="L240" i="134" s="1"/>
  <c r="L280" i="139"/>
  <c r="L21" i="131" s="1"/>
  <c r="L230" i="148"/>
  <c r="L264" i="148" s="1"/>
  <c r="L224" i="149"/>
  <c r="L190" i="139"/>
  <c r="L221" i="141"/>
  <c r="L255" i="141" s="1"/>
  <c r="L156" i="140"/>
  <c r="L156" i="136"/>
  <c r="L280" i="136"/>
  <c r="L18" i="131" s="1"/>
  <c r="L296" i="147"/>
  <c r="L371" i="147"/>
  <c r="A371" i="147" s="1"/>
  <c r="I117" i="185"/>
  <c r="I114" i="185"/>
  <c r="L296" i="162"/>
  <c r="L371" i="162"/>
  <c r="A371" i="162" s="1"/>
  <c r="L213" i="148"/>
  <c r="I239" i="211"/>
  <c r="I264" i="211"/>
  <c r="O75" i="218" s="1"/>
  <c r="L213" i="140"/>
  <c r="L121" i="140"/>
  <c r="L121" i="148"/>
  <c r="L282" i="148" s="1"/>
  <c r="L30" i="132" s="1"/>
  <c r="L214" i="148"/>
  <c r="L248" i="148" s="1"/>
  <c r="L156" i="137"/>
  <c r="L156" i="135"/>
  <c r="L294" i="144"/>
  <c r="L26" i="130"/>
  <c r="L283" i="144"/>
  <c r="L205" i="148"/>
  <c r="L206" i="148" s="1"/>
  <c r="L229" i="148"/>
  <c r="I116" i="185"/>
  <c r="I118" i="185" s="1"/>
  <c r="L54" i="141"/>
  <c r="L122" i="137"/>
  <c r="L282" i="137"/>
  <c r="L19" i="132" s="1"/>
  <c r="L214" i="141"/>
  <c r="L248" i="141" s="1"/>
  <c r="L223" i="143"/>
  <c r="L247" i="143"/>
  <c r="L257" i="143" s="1"/>
  <c r="L258" i="143" s="1"/>
  <c r="L32" i="128"/>
  <c r="L82" i="128" s="1"/>
  <c r="L311" i="150"/>
  <c r="L348" i="150" s="1"/>
  <c r="M51" i="150" s="1"/>
  <c r="L325" i="150"/>
  <c r="L362" i="150" s="1"/>
  <c r="M65" i="150" s="1"/>
  <c r="L328" i="150"/>
  <c r="L365" i="150" s="1"/>
  <c r="M68" i="150" s="1"/>
  <c r="L309" i="150"/>
  <c r="L346" i="150" s="1"/>
  <c r="M49" i="150" s="1"/>
  <c r="L319" i="150"/>
  <c r="L322" i="150"/>
  <c r="L359" i="150" s="1"/>
  <c r="M62" i="150" s="1"/>
  <c r="L306" i="150"/>
  <c r="L343" i="150" s="1"/>
  <c r="M46" i="150" s="1"/>
  <c r="L313" i="150"/>
  <c r="L331" i="150"/>
  <c r="L307" i="150"/>
  <c r="L344" i="150" s="1"/>
  <c r="M47" i="150" s="1"/>
  <c r="L321" i="150"/>
  <c r="L358" i="150" s="1"/>
  <c r="M61" i="150" s="1"/>
  <c r="L324" i="150"/>
  <c r="L361" i="150" s="1"/>
  <c r="M64" i="150" s="1"/>
  <c r="L305" i="150"/>
  <c r="L342" i="150" s="1"/>
  <c r="M45" i="150" s="1"/>
  <c r="L312" i="150"/>
  <c r="L349" i="150" s="1"/>
  <c r="M52" i="150" s="1"/>
  <c r="M86" i="150" s="1"/>
  <c r="L329" i="150"/>
  <c r="L323" i="150"/>
  <c r="L360" i="150" s="1"/>
  <c r="M63" i="150" s="1"/>
  <c r="M97" i="150" s="1"/>
  <c r="L304" i="150"/>
  <c r="L341" i="150" s="1"/>
  <c r="M44" i="150" s="1"/>
  <c r="L326" i="150"/>
  <c r="L363" i="150" s="1"/>
  <c r="M66" i="150" s="1"/>
  <c r="M100" i="150" s="1"/>
  <c r="L303" i="150"/>
  <c r="L310" i="150"/>
  <c r="L347" i="150" s="1"/>
  <c r="M50" i="150" s="1"/>
  <c r="M84" i="150" s="1"/>
  <c r="L320" i="150"/>
  <c r="L357" i="150" s="1"/>
  <c r="M60" i="150" s="1"/>
  <c r="L327" i="150"/>
  <c r="L364" i="150" s="1"/>
  <c r="M67" i="150" s="1"/>
  <c r="M101" i="150" s="1"/>
  <c r="L308" i="150"/>
  <c r="L345" i="150" s="1"/>
  <c r="M48" i="150" s="1"/>
  <c r="M82" i="150" s="1"/>
  <c r="L321" i="151"/>
  <c r="L358" i="151" s="1"/>
  <c r="M61" i="151" s="1"/>
  <c r="L324" i="151"/>
  <c r="L361" i="151" s="1"/>
  <c r="M64" i="151" s="1"/>
  <c r="L305" i="151"/>
  <c r="L342" i="151" s="1"/>
  <c r="M45" i="151" s="1"/>
  <c r="L312" i="151"/>
  <c r="L349" i="151" s="1"/>
  <c r="M52" i="151" s="1"/>
  <c r="L326" i="151"/>
  <c r="L363" i="151" s="1"/>
  <c r="M66" i="151" s="1"/>
  <c r="L303" i="151"/>
  <c r="L325" i="151"/>
  <c r="L362" i="151" s="1"/>
  <c r="M65" i="151" s="1"/>
  <c r="M99" i="151" s="1"/>
  <c r="L328" i="151"/>
  <c r="L365" i="151" s="1"/>
  <c r="M68" i="151" s="1"/>
  <c r="L319" i="151"/>
  <c r="L307" i="151"/>
  <c r="L344" i="151" s="1"/>
  <c r="M47" i="151" s="1"/>
  <c r="L34" i="128"/>
  <c r="L84" i="128" s="1"/>
  <c r="L310" i="151"/>
  <c r="L347" i="151" s="1"/>
  <c r="M50" i="151" s="1"/>
  <c r="L320" i="151"/>
  <c r="L357" i="151" s="1"/>
  <c r="M60" i="151" s="1"/>
  <c r="L327" i="151"/>
  <c r="L364" i="151" s="1"/>
  <c r="M67" i="151" s="1"/>
  <c r="L308" i="151"/>
  <c r="L345" i="151" s="1"/>
  <c r="M48" i="151" s="1"/>
  <c r="M82" i="151" s="1"/>
  <c r="L322" i="151"/>
  <c r="L359" i="151" s="1"/>
  <c r="M62" i="151" s="1"/>
  <c r="L329" i="151"/>
  <c r="L366" i="151" s="1"/>
  <c r="M69" i="151" s="1"/>
  <c r="L306" i="151"/>
  <c r="L343" i="151" s="1"/>
  <c r="M46" i="151" s="1"/>
  <c r="M80" i="151" s="1"/>
  <c r="L313" i="151"/>
  <c r="L323" i="151"/>
  <c r="L360" i="151" s="1"/>
  <c r="M63" i="151" s="1"/>
  <c r="M97" i="151" s="1"/>
  <c r="L304" i="151"/>
  <c r="L341" i="151" s="1"/>
  <c r="M44" i="151" s="1"/>
  <c r="L311" i="151"/>
  <c r="L348" i="151" s="1"/>
  <c r="M51" i="151" s="1"/>
  <c r="L309" i="151"/>
  <c r="L346" i="151" s="1"/>
  <c r="M49" i="151" s="1"/>
  <c r="M83" i="151" s="1"/>
  <c r="L331" i="151"/>
  <c r="L282" i="145"/>
  <c r="L27" i="132" s="1"/>
  <c r="L280" i="145"/>
  <c r="L27" i="131" s="1"/>
  <c r="L171" i="140"/>
  <c r="L172" i="140" s="1"/>
  <c r="L294" i="146"/>
  <c r="L28" i="130"/>
  <c r="L283" i="146"/>
  <c r="L282" i="135"/>
  <c r="L17" i="132" s="1"/>
  <c r="L122" i="135"/>
  <c r="L247" i="136"/>
  <c r="L257" i="136" s="1"/>
  <c r="L258" i="136" s="1"/>
  <c r="L223" i="136"/>
  <c r="L190" i="140"/>
  <c r="L281" i="148"/>
  <c r="L30" i="133" s="1"/>
  <c r="Q473" i="217"/>
  <c r="L111" i="141"/>
  <c r="L121" i="141" s="1"/>
  <c r="L145" i="141"/>
  <c r="L179" i="141"/>
  <c r="I114" i="201"/>
  <c r="I116" i="201" s="1"/>
  <c r="I118" i="201" s="1"/>
  <c r="I117" i="201"/>
  <c r="I114" i="196"/>
  <c r="I116" i="196" s="1"/>
  <c r="I118" i="196" s="1"/>
  <c r="I117" i="196"/>
  <c r="L223" i="137"/>
  <c r="L247" i="137"/>
  <c r="L257" i="137" s="1"/>
  <c r="L258" i="137" s="1"/>
  <c r="L239" i="139"/>
  <c r="L240" i="139" s="1"/>
  <c r="L263" i="139"/>
  <c r="L273" i="139" s="1"/>
  <c r="L274" i="139" s="1"/>
  <c r="L87" i="141"/>
  <c r="L88" i="141" s="1"/>
  <c r="L196" i="141"/>
  <c r="L162" i="141"/>
  <c r="L128" i="141"/>
  <c r="L156" i="148"/>
  <c r="L247" i="139"/>
  <c r="L257" i="139" s="1"/>
  <c r="L258" i="139" s="1"/>
  <c r="L223" i="139"/>
  <c r="L223" i="145"/>
  <c r="L224" i="145" s="1"/>
  <c r="L247" i="145"/>
  <c r="L257" i="145" s="1"/>
  <c r="L258" i="145" s="1"/>
  <c r="L263" i="135"/>
  <c r="L273" i="135" s="1"/>
  <c r="L274" i="135" s="1"/>
  <c r="L239" i="135"/>
  <c r="L240" i="135" s="1"/>
  <c r="Q586" i="217"/>
  <c r="Q583" i="217"/>
  <c r="Q530" i="217"/>
  <c r="K108" i="102"/>
  <c r="K52" i="95"/>
  <c r="K38" i="102"/>
  <c r="Q330" i="217"/>
  <c r="L280" i="143"/>
  <c r="L25" i="131" s="1"/>
  <c r="L239" i="145"/>
  <c r="L240" i="145" s="1"/>
  <c r="L263" i="145"/>
  <c r="L273" i="145" s="1"/>
  <c r="L274" i="145" s="1"/>
  <c r="L155" i="141"/>
  <c r="L283" i="142"/>
  <c r="L294" i="142"/>
  <c r="L23" i="130"/>
  <c r="I106" i="193"/>
  <c r="I111" i="193" s="1"/>
  <c r="I22" i="206"/>
  <c r="L239" i="136"/>
  <c r="L240" i="136" s="1"/>
  <c r="L263" i="136"/>
  <c r="L273" i="136" s="1"/>
  <c r="L274" i="136" s="1"/>
  <c r="L294" i="149"/>
  <c r="L283" i="149"/>
  <c r="L31" i="130"/>
  <c r="L190" i="145"/>
  <c r="L217" i="141"/>
  <c r="L251" i="141" s="1"/>
  <c r="L214" i="140"/>
  <c r="L248" i="140" s="1"/>
  <c r="L156" i="139"/>
  <c r="L190" i="136"/>
  <c r="L281" i="136"/>
  <c r="L18" i="133" s="1"/>
  <c r="L189" i="141"/>
  <c r="L223" i="135"/>
  <c r="L247" i="135"/>
  <c r="L257" i="135" s="1"/>
  <c r="L258" i="135" s="1"/>
  <c r="L122" i="143"/>
  <c r="L195" i="141"/>
  <c r="L127" i="141"/>
  <c r="L137" i="141" s="1"/>
  <c r="L138" i="141" s="1"/>
  <c r="L103" i="141"/>
  <c r="L104" i="141" s="1"/>
  <c r="L161" i="141"/>
  <c r="L224" i="142"/>
  <c r="L190" i="148"/>
  <c r="L239" i="137"/>
  <c r="L240" i="137" s="1"/>
  <c r="L263" i="137"/>
  <c r="L273" i="137" s="1"/>
  <c r="L274" i="137" s="1"/>
  <c r="L239" i="143"/>
  <c r="L240" i="143" s="1"/>
  <c r="L263" i="143"/>
  <c r="L273" i="143" s="1"/>
  <c r="L274" i="143" s="1"/>
  <c r="L282" i="139"/>
  <c r="L21" i="132" s="1"/>
  <c r="L122" i="139"/>
  <c r="L281" i="137"/>
  <c r="L19" i="133" s="1"/>
  <c r="I23" i="209"/>
  <c r="I255" i="209" s="1"/>
  <c r="I36" i="207"/>
  <c r="L190" i="135"/>
  <c r="L205" i="140"/>
  <c r="L206" i="140" s="1"/>
  <c r="L229" i="140"/>
  <c r="L216" i="141"/>
  <c r="L250" i="141" s="1"/>
  <c r="K68" i="102"/>
  <c r="L20" i="130"/>
  <c r="L283" i="138"/>
  <c r="L294" i="138"/>
  <c r="O65" i="218"/>
  <c r="L279" i="86"/>
  <c r="L224" i="86"/>
  <c r="Q588" i="217" l="1"/>
  <c r="M102" i="151"/>
  <c r="M95" i="150"/>
  <c r="M80" i="150"/>
  <c r="L224" i="134"/>
  <c r="L279" i="134"/>
  <c r="L282" i="141"/>
  <c r="L22" i="132" s="1"/>
  <c r="L122" i="148"/>
  <c r="M100" i="151"/>
  <c r="M168" i="151" s="1"/>
  <c r="L332" i="150"/>
  <c r="L333" i="150" s="1"/>
  <c r="A333" i="150" s="1"/>
  <c r="M83" i="150"/>
  <c r="I112" i="193"/>
  <c r="I113" i="193"/>
  <c r="I115" i="193" s="1"/>
  <c r="Q622" i="217"/>
  <c r="Q626" i="217" s="1"/>
  <c r="Q359" i="217"/>
  <c r="M95" i="151"/>
  <c r="M98" i="150"/>
  <c r="L33" i="102"/>
  <c r="J15" i="203"/>
  <c r="J44" i="203" s="1"/>
  <c r="J57" i="203" s="1"/>
  <c r="J98" i="203" s="1"/>
  <c r="Q388" i="217"/>
  <c r="I37" i="207"/>
  <c r="L171" i="141"/>
  <c r="L172" i="141" s="1"/>
  <c r="L230" i="141"/>
  <c r="L264" i="141" s="1"/>
  <c r="L156" i="141"/>
  <c r="L296" i="146"/>
  <c r="L371" i="146"/>
  <c r="A371" i="146" s="1"/>
  <c r="M165" i="151"/>
  <c r="M199" i="151"/>
  <c r="M131" i="151"/>
  <c r="M96" i="151"/>
  <c r="M84" i="151"/>
  <c r="M170" i="151"/>
  <c r="M204" i="151"/>
  <c r="M136" i="151"/>
  <c r="M86" i="151"/>
  <c r="M184" i="150"/>
  <c r="M150" i="150"/>
  <c r="M116" i="150"/>
  <c r="L340" i="150"/>
  <c r="L314" i="150"/>
  <c r="M129" i="150"/>
  <c r="M163" i="150"/>
  <c r="M197" i="150"/>
  <c r="M114" i="150"/>
  <c r="M148" i="150"/>
  <c r="M182" i="150"/>
  <c r="M102" i="150"/>
  <c r="L239" i="148"/>
  <c r="L240" i="148" s="1"/>
  <c r="L263" i="148"/>
  <c r="L273" i="148" s="1"/>
  <c r="L274" i="148" s="1"/>
  <c r="L371" i="144"/>
  <c r="A371" i="144" s="1"/>
  <c r="L296" i="144"/>
  <c r="L223" i="148"/>
  <c r="L247" i="148"/>
  <c r="L257" i="148" s="1"/>
  <c r="L258" i="148" s="1"/>
  <c r="L205" i="141"/>
  <c r="L206" i="141" s="1"/>
  <c r="L229" i="141"/>
  <c r="L279" i="139"/>
  <c r="L224" i="139"/>
  <c r="L190" i="141"/>
  <c r="M134" i="151"/>
  <c r="M199" i="150"/>
  <c r="M165" i="150"/>
  <c r="M131" i="150"/>
  <c r="M185" i="150"/>
  <c r="M151" i="150"/>
  <c r="M117" i="150"/>
  <c r="L239" i="140"/>
  <c r="L240" i="140" s="1"/>
  <c r="L263" i="140"/>
  <c r="L273" i="140" s="1"/>
  <c r="L274" i="140" s="1"/>
  <c r="I24" i="210"/>
  <c r="I63" i="211" s="1"/>
  <c r="I267" i="209"/>
  <c r="I36" i="210" s="1"/>
  <c r="I75" i="211" s="1"/>
  <c r="L296" i="149"/>
  <c r="L371" i="149"/>
  <c r="A371" i="149" s="1"/>
  <c r="L296" i="142"/>
  <c r="L371" i="142"/>
  <c r="A371" i="142" s="1"/>
  <c r="K77" i="95"/>
  <c r="AJ35" i="95"/>
  <c r="L224" i="137"/>
  <c r="L279" i="137"/>
  <c r="L213" i="141"/>
  <c r="L122" i="141"/>
  <c r="L281" i="140"/>
  <c r="L14" i="133" s="1"/>
  <c r="M151" i="151"/>
  <c r="M117" i="151"/>
  <c r="M185" i="151"/>
  <c r="L332" i="151"/>
  <c r="L333" i="151" s="1"/>
  <c r="A333" i="151" s="1"/>
  <c r="M116" i="151"/>
  <c r="M150" i="151"/>
  <c r="M184" i="151"/>
  <c r="L34" i="102"/>
  <c r="J15" i="204"/>
  <c r="J44" i="204" s="1"/>
  <c r="J57" i="204" s="1"/>
  <c r="J98" i="204" s="1"/>
  <c r="M167" i="151"/>
  <c r="M133" i="151"/>
  <c r="M201" i="151"/>
  <c r="M79" i="151"/>
  <c r="M203" i="150"/>
  <c r="M135" i="150"/>
  <c r="M169" i="150"/>
  <c r="M202" i="150"/>
  <c r="M168" i="150"/>
  <c r="M134" i="150"/>
  <c r="M188" i="150"/>
  <c r="M120" i="150"/>
  <c r="M222" i="150" s="1"/>
  <c r="M256" i="150" s="1"/>
  <c r="M154" i="150"/>
  <c r="M81" i="150"/>
  <c r="M96" i="150"/>
  <c r="M99" i="150"/>
  <c r="L224" i="143"/>
  <c r="L279" i="143"/>
  <c r="L356" i="151"/>
  <c r="L330" i="151"/>
  <c r="M118" i="150"/>
  <c r="M152" i="150"/>
  <c r="M186" i="150"/>
  <c r="L223" i="140"/>
  <c r="L247" i="140"/>
  <c r="L257" i="140" s="1"/>
  <c r="L258" i="140" s="1"/>
  <c r="L279" i="135"/>
  <c r="L224" i="135"/>
  <c r="J81" i="208"/>
  <c r="I36" i="206"/>
  <c r="L279" i="145"/>
  <c r="L224" i="136"/>
  <c r="L279" i="136"/>
  <c r="M85" i="151"/>
  <c r="M182" i="151"/>
  <c r="M114" i="151"/>
  <c r="M148" i="151"/>
  <c r="M101" i="151"/>
  <c r="M81" i="151"/>
  <c r="L340" i="151"/>
  <c r="L314" i="151"/>
  <c r="M98" i="151"/>
  <c r="M79" i="150"/>
  <c r="L356" i="150"/>
  <c r="L330" i="150"/>
  <c r="M85" i="150"/>
  <c r="L282" i="140"/>
  <c r="L122" i="140"/>
  <c r="L324" i="162"/>
  <c r="L361" i="162" s="1"/>
  <c r="M64" i="162" s="1"/>
  <c r="L310" i="162"/>
  <c r="L347" i="162" s="1"/>
  <c r="M50" i="162" s="1"/>
  <c r="L313" i="162"/>
  <c r="L319" i="162"/>
  <c r="L327" i="162"/>
  <c r="L364" i="162" s="1"/>
  <c r="M67" i="162" s="1"/>
  <c r="L303" i="162"/>
  <c r="L323" i="162"/>
  <c r="L360" i="162" s="1"/>
  <c r="M63" i="162" s="1"/>
  <c r="L24" i="128"/>
  <c r="L74" i="128" s="1"/>
  <c r="L329" i="162"/>
  <c r="L306" i="162"/>
  <c r="L343" i="162" s="1"/>
  <c r="M46" i="162" s="1"/>
  <c r="L309" i="162"/>
  <c r="L346" i="162" s="1"/>
  <c r="M49" i="162" s="1"/>
  <c r="L312" i="162"/>
  <c r="L349" i="162" s="1"/>
  <c r="M52" i="162" s="1"/>
  <c r="L322" i="162"/>
  <c r="L359" i="162" s="1"/>
  <c r="M62" i="162" s="1"/>
  <c r="L328" i="162"/>
  <c r="L365" i="162" s="1"/>
  <c r="M68" i="162" s="1"/>
  <c r="L321" i="162"/>
  <c r="L358" i="162" s="1"/>
  <c r="M61" i="162" s="1"/>
  <c r="L320" i="162"/>
  <c r="L357" i="162" s="1"/>
  <c r="M60" i="162" s="1"/>
  <c r="L307" i="162"/>
  <c r="L344" i="162" s="1"/>
  <c r="M47" i="162" s="1"/>
  <c r="L331" i="162"/>
  <c r="L325" i="162"/>
  <c r="L362" i="162" s="1"/>
  <c r="M65" i="162" s="1"/>
  <c r="L326" i="162"/>
  <c r="L363" i="162" s="1"/>
  <c r="M66" i="162" s="1"/>
  <c r="L305" i="162"/>
  <c r="L342" i="162" s="1"/>
  <c r="M45" i="162" s="1"/>
  <c r="L308" i="162"/>
  <c r="L345" i="162" s="1"/>
  <c r="M48" i="162" s="1"/>
  <c r="L311" i="162"/>
  <c r="L348" i="162" s="1"/>
  <c r="M51" i="162" s="1"/>
  <c r="L304" i="162"/>
  <c r="L341" i="162" s="1"/>
  <c r="M44" i="162" s="1"/>
  <c r="L29" i="128"/>
  <c r="L79" i="128" s="1"/>
  <c r="L312" i="147"/>
  <c r="L349" i="147" s="1"/>
  <c r="M52" i="147" s="1"/>
  <c r="L326" i="147"/>
  <c r="L363" i="147" s="1"/>
  <c r="M66" i="147" s="1"/>
  <c r="L303" i="147"/>
  <c r="L310" i="147"/>
  <c r="L347" i="147" s="1"/>
  <c r="M50" i="147" s="1"/>
  <c r="L320" i="147"/>
  <c r="L357" i="147" s="1"/>
  <c r="M60" i="147" s="1"/>
  <c r="L319" i="147"/>
  <c r="L307" i="147"/>
  <c r="L344" i="147" s="1"/>
  <c r="M47" i="147" s="1"/>
  <c r="L305" i="147"/>
  <c r="L342" i="147" s="1"/>
  <c r="M45" i="147" s="1"/>
  <c r="L327" i="147"/>
  <c r="L364" i="147" s="1"/>
  <c r="M67" i="147" s="1"/>
  <c r="L308" i="147"/>
  <c r="L345" i="147" s="1"/>
  <c r="M48" i="147" s="1"/>
  <c r="L322" i="147"/>
  <c r="L359" i="147" s="1"/>
  <c r="M62" i="147" s="1"/>
  <c r="L329" i="147"/>
  <c r="L306" i="147"/>
  <c r="L343" i="147" s="1"/>
  <c r="M46" i="147" s="1"/>
  <c r="L313" i="147"/>
  <c r="L324" i="147"/>
  <c r="L361" i="147" s="1"/>
  <c r="M64" i="147" s="1"/>
  <c r="L323" i="147"/>
  <c r="L360" i="147" s="1"/>
  <c r="M63" i="147" s="1"/>
  <c r="L304" i="147"/>
  <c r="L341" i="147" s="1"/>
  <c r="M44" i="147" s="1"/>
  <c r="L311" i="147"/>
  <c r="L348" i="147" s="1"/>
  <c r="M51" i="147" s="1"/>
  <c r="L325" i="147"/>
  <c r="L362" i="147" s="1"/>
  <c r="M65" i="147" s="1"/>
  <c r="M99" i="147" s="1"/>
  <c r="L328" i="147"/>
  <c r="L365" i="147" s="1"/>
  <c r="M68" i="147" s="1"/>
  <c r="L309" i="147"/>
  <c r="L346" i="147" s="1"/>
  <c r="M49" i="147" s="1"/>
  <c r="L331" i="147"/>
  <c r="L321" i="147"/>
  <c r="L358" i="147" s="1"/>
  <c r="M61" i="147" s="1"/>
  <c r="L280" i="140"/>
  <c r="L14" i="131" s="1"/>
  <c r="L15" i="130"/>
  <c r="L294" i="86"/>
  <c r="L371" i="138"/>
  <c r="A371" i="138" s="1"/>
  <c r="L331" i="138"/>
  <c r="L296" i="138"/>
  <c r="L283" i="86"/>
  <c r="M85" i="147" l="1"/>
  <c r="M80" i="147"/>
  <c r="M99" i="162"/>
  <c r="M98" i="147"/>
  <c r="L332" i="147"/>
  <c r="M102" i="162"/>
  <c r="M202" i="151"/>
  <c r="L294" i="134"/>
  <c r="L16" i="130"/>
  <c r="L283" i="134"/>
  <c r="M100" i="162"/>
  <c r="M216" i="151"/>
  <c r="M250" i="151" s="1"/>
  <c r="M83" i="147"/>
  <c r="M101" i="147"/>
  <c r="M135" i="147" s="1"/>
  <c r="M86" i="147"/>
  <c r="M82" i="162"/>
  <c r="M80" i="162"/>
  <c r="M84" i="162"/>
  <c r="M118" i="162" s="1"/>
  <c r="M236" i="150"/>
  <c r="M270" i="150" s="1"/>
  <c r="M218" i="151"/>
  <c r="M252" i="151" s="1"/>
  <c r="M219" i="150"/>
  <c r="M253" i="150" s="1"/>
  <c r="L280" i="141"/>
  <c r="L22" i="131" s="1"/>
  <c r="L34" i="131" s="1"/>
  <c r="R154" i="217" s="1"/>
  <c r="R183" i="217" s="1"/>
  <c r="M114" i="147"/>
  <c r="M182" i="147"/>
  <c r="M148" i="147"/>
  <c r="M154" i="147"/>
  <c r="M120" i="147"/>
  <c r="M188" i="147"/>
  <c r="L350" i="151"/>
  <c r="M43" i="151"/>
  <c r="L331" i="146"/>
  <c r="L313" i="146"/>
  <c r="L323" i="146"/>
  <c r="L360" i="146" s="1"/>
  <c r="M63" i="146" s="1"/>
  <c r="L304" i="146"/>
  <c r="L341" i="146" s="1"/>
  <c r="M44" i="146" s="1"/>
  <c r="L307" i="146"/>
  <c r="L344" i="146" s="1"/>
  <c r="M47" i="146" s="1"/>
  <c r="L321" i="146"/>
  <c r="L358" i="146" s="1"/>
  <c r="M61" i="146" s="1"/>
  <c r="L327" i="146"/>
  <c r="L364" i="146" s="1"/>
  <c r="M67" i="146" s="1"/>
  <c r="L311" i="146"/>
  <c r="L348" i="146" s="1"/>
  <c r="M51" i="146" s="1"/>
  <c r="L328" i="146"/>
  <c r="L365" i="146" s="1"/>
  <c r="M68" i="146" s="1"/>
  <c r="L309" i="146"/>
  <c r="L346" i="146" s="1"/>
  <c r="M49" i="146" s="1"/>
  <c r="L319" i="146"/>
  <c r="L326" i="146"/>
  <c r="L363" i="146" s="1"/>
  <c r="M66" i="146" s="1"/>
  <c r="L303" i="146"/>
  <c r="L310" i="146"/>
  <c r="L347" i="146" s="1"/>
  <c r="M50" i="146" s="1"/>
  <c r="M84" i="146" s="1"/>
  <c r="L28" i="128"/>
  <c r="L78" i="128" s="1"/>
  <c r="L308" i="146"/>
  <c r="L345" i="146" s="1"/>
  <c r="M48" i="146" s="1"/>
  <c r="L324" i="146"/>
  <c r="L361" i="146" s="1"/>
  <c r="M64" i="146" s="1"/>
  <c r="L305" i="146"/>
  <c r="L342" i="146" s="1"/>
  <c r="M45" i="146" s="1"/>
  <c r="M79" i="146" s="1"/>
  <c r="L312" i="146"/>
  <c r="L349" i="146" s="1"/>
  <c r="M52" i="146" s="1"/>
  <c r="L322" i="146"/>
  <c r="L359" i="146" s="1"/>
  <c r="M62" i="146" s="1"/>
  <c r="M96" i="146" s="1"/>
  <c r="L329" i="146"/>
  <c r="L306" i="146"/>
  <c r="L343" i="146" s="1"/>
  <c r="M46" i="146" s="1"/>
  <c r="M80" i="146" s="1"/>
  <c r="L320" i="146"/>
  <c r="L357" i="146" s="1"/>
  <c r="M60" i="146" s="1"/>
  <c r="L325" i="146"/>
  <c r="L362" i="146" s="1"/>
  <c r="M65" i="146" s="1"/>
  <c r="R152" i="217"/>
  <c r="R181" i="217" s="1"/>
  <c r="M102" i="147"/>
  <c r="M97" i="147"/>
  <c r="M79" i="147"/>
  <c r="M84" i="147"/>
  <c r="J15" i="200"/>
  <c r="J44" i="200" s="1"/>
  <c r="J57" i="200" s="1"/>
  <c r="J98" i="200" s="1"/>
  <c r="L30" i="102"/>
  <c r="M79" i="162"/>
  <c r="M81" i="162"/>
  <c r="M96" i="162"/>
  <c r="M101" i="162"/>
  <c r="M98" i="162"/>
  <c r="M183" i="151"/>
  <c r="M115" i="151"/>
  <c r="M149" i="151"/>
  <c r="L294" i="145"/>
  <c r="L27" i="130"/>
  <c r="L283" i="145"/>
  <c r="L294" i="135"/>
  <c r="L283" i="135"/>
  <c r="L17" i="130"/>
  <c r="M198" i="150"/>
  <c r="M130" i="150"/>
  <c r="M164" i="150"/>
  <c r="M235" i="151"/>
  <c r="M269" i="151" s="1"/>
  <c r="L51" i="95"/>
  <c r="L76" i="95" s="1"/>
  <c r="L107" i="102"/>
  <c r="R211" i="217"/>
  <c r="L319" i="142"/>
  <c r="L331" i="142"/>
  <c r="L307" i="142"/>
  <c r="L344" i="142" s="1"/>
  <c r="M47" i="142" s="1"/>
  <c r="L321" i="142"/>
  <c r="L358" i="142" s="1"/>
  <c r="M61" i="142" s="1"/>
  <c r="L324" i="142"/>
  <c r="L361" i="142" s="1"/>
  <c r="M64" i="142" s="1"/>
  <c r="L305" i="142"/>
  <c r="L342" i="142" s="1"/>
  <c r="M45" i="142" s="1"/>
  <c r="L304" i="142"/>
  <c r="L341" i="142" s="1"/>
  <c r="M44" i="142" s="1"/>
  <c r="L328" i="142"/>
  <c r="L365" i="142" s="1"/>
  <c r="M68" i="142" s="1"/>
  <c r="L23" i="128"/>
  <c r="L73" i="128" s="1"/>
  <c r="L312" i="142"/>
  <c r="L349" i="142" s="1"/>
  <c r="M52" i="142" s="1"/>
  <c r="L326" i="142"/>
  <c r="L363" i="142" s="1"/>
  <c r="M66" i="142" s="1"/>
  <c r="L303" i="142"/>
  <c r="L310" i="142"/>
  <c r="L347" i="142" s="1"/>
  <c r="M50" i="142" s="1"/>
  <c r="L320" i="142"/>
  <c r="L357" i="142" s="1"/>
  <c r="M60" i="142" s="1"/>
  <c r="L323" i="142"/>
  <c r="L360" i="142" s="1"/>
  <c r="M63" i="142" s="1"/>
  <c r="L311" i="142"/>
  <c r="L348" i="142" s="1"/>
  <c r="M51" i="142" s="1"/>
  <c r="L325" i="142"/>
  <c r="L362" i="142" s="1"/>
  <c r="M65" i="142" s="1"/>
  <c r="M99" i="142" s="1"/>
  <c r="L309" i="142"/>
  <c r="L346" i="142" s="1"/>
  <c r="M49" i="142" s="1"/>
  <c r="L327" i="142"/>
  <c r="L364" i="142" s="1"/>
  <c r="M67" i="142" s="1"/>
  <c r="M101" i="142" s="1"/>
  <c r="L308" i="142"/>
  <c r="L345" i="142" s="1"/>
  <c r="M48" i="142" s="1"/>
  <c r="M82" i="142" s="1"/>
  <c r="L322" i="142"/>
  <c r="L359" i="142" s="1"/>
  <c r="M62" i="142" s="1"/>
  <c r="L329" i="142"/>
  <c r="L306" i="142"/>
  <c r="L343" i="142" s="1"/>
  <c r="M46" i="142" s="1"/>
  <c r="M80" i="142" s="1"/>
  <c r="L313" i="142"/>
  <c r="I261" i="211"/>
  <c r="I236" i="211"/>
  <c r="I248" i="211" s="1"/>
  <c r="M233" i="150"/>
  <c r="M267" i="150" s="1"/>
  <c r="L224" i="148"/>
  <c r="L279" i="148"/>
  <c r="M216" i="150"/>
  <c r="M250" i="150" s="1"/>
  <c r="M233" i="151"/>
  <c r="M267" i="151" s="1"/>
  <c r="Q481" i="217"/>
  <c r="M163" i="151"/>
  <c r="M129" i="151"/>
  <c r="M197" i="151"/>
  <c r="M204" i="162"/>
  <c r="M170" i="162"/>
  <c r="M136" i="162"/>
  <c r="L340" i="162"/>
  <c r="L314" i="162"/>
  <c r="M187" i="150"/>
  <c r="M153" i="150"/>
  <c r="M119" i="150"/>
  <c r="M59" i="151"/>
  <c r="L367" i="151"/>
  <c r="M201" i="150"/>
  <c r="M167" i="150"/>
  <c r="M133" i="150"/>
  <c r="M113" i="151"/>
  <c r="M147" i="151"/>
  <c r="M181" i="151"/>
  <c r="M166" i="150"/>
  <c r="M132" i="150"/>
  <c r="M200" i="150"/>
  <c r="M95" i="147"/>
  <c r="M201" i="147"/>
  <c r="M167" i="147"/>
  <c r="M133" i="147"/>
  <c r="M132" i="147"/>
  <c r="M166" i="147"/>
  <c r="M200" i="147"/>
  <c r="M96" i="147"/>
  <c r="M81" i="147"/>
  <c r="L340" i="147"/>
  <c r="L314" i="147"/>
  <c r="M202" i="162"/>
  <c r="M134" i="162"/>
  <c r="M168" i="162"/>
  <c r="M86" i="162"/>
  <c r="J15" i="195"/>
  <c r="J44" i="195" s="1"/>
  <c r="J57" i="195" s="1"/>
  <c r="J98" i="195" s="1"/>
  <c r="L25" i="102"/>
  <c r="L356" i="162"/>
  <c r="L330" i="162"/>
  <c r="L366" i="150"/>
  <c r="M69" i="150" s="1"/>
  <c r="M59" i="150"/>
  <c r="M132" i="151"/>
  <c r="M200" i="151"/>
  <c r="M166" i="151"/>
  <c r="M135" i="151"/>
  <c r="M203" i="151"/>
  <c r="M169" i="151"/>
  <c r="M187" i="151"/>
  <c r="M119" i="151"/>
  <c r="M153" i="151"/>
  <c r="Q446" i="217"/>
  <c r="Q483" i="217" s="1"/>
  <c r="I37" i="206"/>
  <c r="M220" i="150"/>
  <c r="M254" i="150" s="1"/>
  <c r="L283" i="143"/>
  <c r="L25" i="130"/>
  <c r="L294" i="143"/>
  <c r="M149" i="150"/>
  <c r="M183" i="150"/>
  <c r="M115" i="150"/>
  <c r="M219" i="151"/>
  <c r="M253" i="151" s="1"/>
  <c r="L239" i="141"/>
  <c r="L240" i="141" s="1"/>
  <c r="L263" i="141"/>
  <c r="L273" i="141" s="1"/>
  <c r="L274" i="141" s="1"/>
  <c r="L329" i="144"/>
  <c r="L307" i="144"/>
  <c r="L344" i="144" s="1"/>
  <c r="M47" i="144" s="1"/>
  <c r="L310" i="144"/>
  <c r="L347" i="144" s="1"/>
  <c r="M50" i="144" s="1"/>
  <c r="L320" i="144"/>
  <c r="L357" i="144" s="1"/>
  <c r="M60" i="144" s="1"/>
  <c r="L331" i="144"/>
  <c r="L312" i="144"/>
  <c r="L349" i="144" s="1"/>
  <c r="M52" i="144" s="1"/>
  <c r="L26" i="128"/>
  <c r="L76" i="128" s="1"/>
  <c r="L305" i="144"/>
  <c r="L342" i="144" s="1"/>
  <c r="M45" i="144" s="1"/>
  <c r="L319" i="144"/>
  <c r="L326" i="144"/>
  <c r="L363" i="144" s="1"/>
  <c r="M66" i="144" s="1"/>
  <c r="L303" i="144"/>
  <c r="L306" i="144"/>
  <c r="L343" i="144" s="1"/>
  <c r="M46" i="144" s="1"/>
  <c r="M80" i="144" s="1"/>
  <c r="L313" i="144"/>
  <c r="L332" i="144" s="1"/>
  <c r="L327" i="144"/>
  <c r="L364" i="144" s="1"/>
  <c r="M67" i="144" s="1"/>
  <c r="M101" i="144" s="1"/>
  <c r="L308" i="144"/>
  <c r="L345" i="144" s="1"/>
  <c r="M48" i="144" s="1"/>
  <c r="M82" i="144" s="1"/>
  <c r="L321" i="144"/>
  <c r="L358" i="144" s="1"/>
  <c r="M61" i="144" s="1"/>
  <c r="M95" i="144" s="1"/>
  <c r="L322" i="144"/>
  <c r="L359" i="144" s="1"/>
  <c r="M62" i="144" s="1"/>
  <c r="L325" i="144"/>
  <c r="L362" i="144" s="1"/>
  <c r="M65" i="144" s="1"/>
  <c r="L328" i="144"/>
  <c r="L365" i="144" s="1"/>
  <c r="M68" i="144" s="1"/>
  <c r="L309" i="144"/>
  <c r="L346" i="144" s="1"/>
  <c r="M49" i="144" s="1"/>
  <c r="L323" i="144"/>
  <c r="L360" i="144" s="1"/>
  <c r="M63" i="144" s="1"/>
  <c r="M97" i="144" s="1"/>
  <c r="L304" i="144"/>
  <c r="L341" i="144" s="1"/>
  <c r="M44" i="144" s="1"/>
  <c r="L311" i="144"/>
  <c r="L348" i="144" s="1"/>
  <c r="M51" i="144" s="1"/>
  <c r="M85" i="144" s="1"/>
  <c r="L324" i="144"/>
  <c r="L361" i="144" s="1"/>
  <c r="M64" i="144" s="1"/>
  <c r="M98" i="144" s="1"/>
  <c r="M204" i="150"/>
  <c r="M136" i="150"/>
  <c r="M170" i="150"/>
  <c r="M231" i="150"/>
  <c r="M265" i="150" s="1"/>
  <c r="L350" i="150"/>
  <c r="L351" i="150" s="1"/>
  <c r="M43" i="150"/>
  <c r="M188" i="151"/>
  <c r="M154" i="151"/>
  <c r="M120" i="151"/>
  <c r="M186" i="151"/>
  <c r="M118" i="151"/>
  <c r="M152" i="151"/>
  <c r="J103" i="203"/>
  <c r="J105" i="203"/>
  <c r="J32" i="207" s="1"/>
  <c r="J33" i="209" s="1"/>
  <c r="J265" i="209" s="1"/>
  <c r="J34" i="210" s="1"/>
  <c r="J73" i="211" s="1"/>
  <c r="J104" i="203"/>
  <c r="J32" i="205" s="1"/>
  <c r="I117" i="193"/>
  <c r="I114" i="193"/>
  <c r="I116" i="193" s="1"/>
  <c r="I118" i="193" s="1"/>
  <c r="M185" i="147"/>
  <c r="M151" i="147"/>
  <c r="M117" i="147"/>
  <c r="M150" i="162"/>
  <c r="M184" i="162"/>
  <c r="M116" i="162"/>
  <c r="M148" i="162"/>
  <c r="M114" i="162"/>
  <c r="M182" i="162"/>
  <c r="J105" i="204"/>
  <c r="J33" i="207" s="1"/>
  <c r="J34" i="209" s="1"/>
  <c r="J266" i="209" s="1"/>
  <c r="J35" i="210" s="1"/>
  <c r="J74" i="211" s="1"/>
  <c r="J103" i="204"/>
  <c r="J104" i="204"/>
  <c r="J33" i="205" s="1"/>
  <c r="L283" i="137"/>
  <c r="L294" i="137"/>
  <c r="L19" i="130"/>
  <c r="L21" i="130"/>
  <c r="L294" i="139"/>
  <c r="L283" i="139"/>
  <c r="J93" i="208"/>
  <c r="M153" i="147"/>
  <c r="M187" i="147"/>
  <c r="M119" i="147"/>
  <c r="L333" i="147"/>
  <c r="A333" i="147" s="1"/>
  <c r="M82" i="147"/>
  <c r="L356" i="147"/>
  <c r="L330" i="147"/>
  <c r="M100" i="147"/>
  <c r="M85" i="162"/>
  <c r="M201" i="162"/>
  <c r="M167" i="162"/>
  <c r="M133" i="162"/>
  <c r="M95" i="162"/>
  <c r="M83" i="162"/>
  <c r="M97" i="162"/>
  <c r="L332" i="162"/>
  <c r="L333" i="162" s="1"/>
  <c r="A333" i="162" s="1"/>
  <c r="L14" i="132"/>
  <c r="L283" i="140"/>
  <c r="M113" i="150"/>
  <c r="M181" i="150"/>
  <c r="M147" i="150"/>
  <c r="L18" i="130"/>
  <c r="L294" i="136"/>
  <c r="L283" i="136"/>
  <c r="L279" i="140"/>
  <c r="L224" i="140"/>
  <c r="M237" i="150"/>
  <c r="M271" i="150" s="1"/>
  <c r="L223" i="141"/>
  <c r="L224" i="141" s="1"/>
  <c r="L247" i="141"/>
  <c r="L257" i="141" s="1"/>
  <c r="L258" i="141" s="1"/>
  <c r="L321" i="149"/>
  <c r="L358" i="149" s="1"/>
  <c r="M61" i="149" s="1"/>
  <c r="L324" i="149"/>
  <c r="L361" i="149" s="1"/>
  <c r="M64" i="149" s="1"/>
  <c r="L305" i="149"/>
  <c r="L342" i="149" s="1"/>
  <c r="M45" i="149" s="1"/>
  <c r="L312" i="149"/>
  <c r="L349" i="149" s="1"/>
  <c r="M52" i="149" s="1"/>
  <c r="L326" i="149"/>
  <c r="L363" i="149" s="1"/>
  <c r="M66" i="149" s="1"/>
  <c r="L303" i="149"/>
  <c r="L325" i="149"/>
  <c r="L362" i="149" s="1"/>
  <c r="M65" i="149" s="1"/>
  <c r="L309" i="149"/>
  <c r="L346" i="149" s="1"/>
  <c r="M49" i="149" s="1"/>
  <c r="L307" i="149"/>
  <c r="L344" i="149" s="1"/>
  <c r="M47" i="149" s="1"/>
  <c r="L31" i="128"/>
  <c r="L81" i="128" s="1"/>
  <c r="L310" i="149"/>
  <c r="L347" i="149" s="1"/>
  <c r="M50" i="149" s="1"/>
  <c r="L320" i="149"/>
  <c r="L357" i="149" s="1"/>
  <c r="M60" i="149" s="1"/>
  <c r="L327" i="149"/>
  <c r="L364" i="149" s="1"/>
  <c r="M67" i="149" s="1"/>
  <c r="M101" i="149" s="1"/>
  <c r="L308" i="149"/>
  <c r="L345" i="149" s="1"/>
  <c r="M48" i="149" s="1"/>
  <c r="L322" i="149"/>
  <c r="L359" i="149" s="1"/>
  <c r="M62" i="149" s="1"/>
  <c r="M96" i="149" s="1"/>
  <c r="L319" i="149"/>
  <c r="L329" i="149"/>
  <c r="L306" i="149"/>
  <c r="L343" i="149" s="1"/>
  <c r="M46" i="149" s="1"/>
  <c r="L313" i="149"/>
  <c r="L323" i="149"/>
  <c r="L360" i="149" s="1"/>
  <c r="M63" i="149" s="1"/>
  <c r="L304" i="149"/>
  <c r="L341" i="149" s="1"/>
  <c r="M44" i="149" s="1"/>
  <c r="L311" i="149"/>
  <c r="L348" i="149" s="1"/>
  <c r="M51" i="149" s="1"/>
  <c r="L328" i="149"/>
  <c r="L365" i="149" s="1"/>
  <c r="M68" i="149" s="1"/>
  <c r="M102" i="149" s="1"/>
  <c r="L331" i="149"/>
  <c r="M236" i="151"/>
  <c r="M270" i="151" s="1"/>
  <c r="M218" i="150"/>
  <c r="M252" i="150" s="1"/>
  <c r="M238" i="151"/>
  <c r="M272" i="151" s="1"/>
  <c r="M198" i="151"/>
  <c r="M164" i="151"/>
  <c r="M130" i="151"/>
  <c r="L106" i="102"/>
  <c r="L50" i="95"/>
  <c r="L75" i="95" s="1"/>
  <c r="L281" i="141"/>
  <c r="L22" i="133" s="1"/>
  <c r="L34" i="133" s="1"/>
  <c r="R213" i="217" s="1"/>
  <c r="L20" i="128"/>
  <c r="L70" i="128" s="1"/>
  <c r="L327" i="138"/>
  <c r="L364" i="138" s="1"/>
  <c r="M67" i="138" s="1"/>
  <c r="L323" i="138"/>
  <c r="L360" i="138" s="1"/>
  <c r="M63" i="138" s="1"/>
  <c r="L319" i="138"/>
  <c r="L312" i="138"/>
  <c r="L349" i="138" s="1"/>
  <c r="M52" i="138" s="1"/>
  <c r="L308" i="138"/>
  <c r="L345" i="138" s="1"/>
  <c r="M48" i="138" s="1"/>
  <c r="L304" i="138"/>
  <c r="L341" i="138" s="1"/>
  <c r="M44" i="138" s="1"/>
  <c r="L326" i="138"/>
  <c r="L363" i="138" s="1"/>
  <c r="M66" i="138" s="1"/>
  <c r="L322" i="138"/>
  <c r="L359" i="138" s="1"/>
  <c r="M62" i="138" s="1"/>
  <c r="L311" i="138"/>
  <c r="L348" i="138" s="1"/>
  <c r="M51" i="138" s="1"/>
  <c r="L307" i="138"/>
  <c r="L344" i="138" s="1"/>
  <c r="M47" i="138" s="1"/>
  <c r="L303" i="138"/>
  <c r="L325" i="138"/>
  <c r="L362" i="138" s="1"/>
  <c r="M65" i="138" s="1"/>
  <c r="L321" i="138"/>
  <c r="L358" i="138" s="1"/>
  <c r="M61" i="138" s="1"/>
  <c r="L310" i="138"/>
  <c r="L347" i="138" s="1"/>
  <c r="M50" i="138" s="1"/>
  <c r="L306" i="138"/>
  <c r="L343" i="138" s="1"/>
  <c r="M46" i="138" s="1"/>
  <c r="L328" i="138"/>
  <c r="L365" i="138" s="1"/>
  <c r="M68" i="138" s="1"/>
  <c r="L324" i="138"/>
  <c r="L361" i="138" s="1"/>
  <c r="M64" i="138" s="1"/>
  <c r="L320" i="138"/>
  <c r="L357" i="138" s="1"/>
  <c r="M60" i="138" s="1"/>
  <c r="L309" i="138"/>
  <c r="L346" i="138" s="1"/>
  <c r="M49" i="138" s="1"/>
  <c r="L305" i="138"/>
  <c r="L342" i="138" s="1"/>
  <c r="M45" i="138" s="1"/>
  <c r="L371" i="86"/>
  <c r="L331" i="86"/>
  <c r="L296" i="86"/>
  <c r="M86" i="146" l="1"/>
  <c r="M216" i="147"/>
  <c r="M250" i="147" s="1"/>
  <c r="M203" i="147"/>
  <c r="M99" i="146"/>
  <c r="M82" i="146"/>
  <c r="M186" i="162"/>
  <c r="M220" i="162" s="1"/>
  <c r="M254" i="162" s="1"/>
  <c r="M152" i="162"/>
  <c r="M218" i="162"/>
  <c r="M252" i="162" s="1"/>
  <c r="M169" i="147"/>
  <c r="M234" i="150"/>
  <c r="M268" i="150" s="1"/>
  <c r="M235" i="150"/>
  <c r="M269" i="150" s="1"/>
  <c r="M232" i="150"/>
  <c r="M266" i="150" s="1"/>
  <c r="L296" i="134"/>
  <c r="L371" i="134"/>
  <c r="L331" i="134"/>
  <c r="M234" i="147"/>
  <c r="M268" i="147" s="1"/>
  <c r="M96" i="142"/>
  <c r="M97" i="149"/>
  <c r="M131" i="149" s="1"/>
  <c r="M83" i="149"/>
  <c r="M99" i="149"/>
  <c r="M102" i="144"/>
  <c r="M217" i="151"/>
  <c r="M251" i="151" s="1"/>
  <c r="M81" i="149"/>
  <c r="M232" i="151"/>
  <c r="M266" i="151" s="1"/>
  <c r="M86" i="149"/>
  <c r="M235" i="162"/>
  <c r="M269" i="162" s="1"/>
  <c r="M222" i="151"/>
  <c r="M256" i="151" s="1"/>
  <c r="M99" i="144"/>
  <c r="M81" i="144"/>
  <c r="M231" i="151"/>
  <c r="M265" i="151" s="1"/>
  <c r="L332" i="142"/>
  <c r="M95" i="142"/>
  <c r="L332" i="149"/>
  <c r="M79" i="149"/>
  <c r="M147" i="149" s="1"/>
  <c r="M101" i="146"/>
  <c r="M97" i="146"/>
  <c r="M84" i="144"/>
  <c r="M221" i="151"/>
  <c r="M255" i="151" s="1"/>
  <c r="L367" i="150"/>
  <c r="Q475" i="217"/>
  <c r="M84" i="142"/>
  <c r="M98" i="142"/>
  <c r="M166" i="142" s="1"/>
  <c r="R242" i="217"/>
  <c r="M165" i="149"/>
  <c r="M151" i="149"/>
  <c r="M185" i="149"/>
  <c r="M117" i="149"/>
  <c r="J247" i="211"/>
  <c r="J272" i="211"/>
  <c r="P83" i="218" s="1"/>
  <c r="M170" i="144"/>
  <c r="M136" i="144"/>
  <c r="M204" i="144"/>
  <c r="L340" i="144"/>
  <c r="L314" i="144"/>
  <c r="J15" i="197"/>
  <c r="J44" i="197" s="1"/>
  <c r="J57" i="197" s="1"/>
  <c r="J98" i="197" s="1"/>
  <c r="L27" i="102"/>
  <c r="M133" i="142"/>
  <c r="M201" i="142"/>
  <c r="M167" i="142"/>
  <c r="L24" i="102"/>
  <c r="J15" i="194"/>
  <c r="J44" i="194" s="1"/>
  <c r="J57" i="194" s="1"/>
  <c r="J98" i="194" s="1"/>
  <c r="M130" i="162"/>
  <c r="M164" i="162"/>
  <c r="M198" i="162"/>
  <c r="M154" i="146"/>
  <c r="M120" i="146"/>
  <c r="M188" i="146"/>
  <c r="M131" i="146"/>
  <c r="M199" i="146"/>
  <c r="M165" i="146"/>
  <c r="M77" i="151"/>
  <c r="M78" i="151"/>
  <c r="M170" i="149"/>
  <c r="M204" i="149"/>
  <c r="M136" i="149"/>
  <c r="L333" i="149"/>
  <c r="A333" i="149" s="1"/>
  <c r="M130" i="149"/>
  <c r="M198" i="149"/>
  <c r="M164" i="149"/>
  <c r="M84" i="149"/>
  <c r="M133" i="149"/>
  <c r="M167" i="149"/>
  <c r="M201" i="149"/>
  <c r="M181" i="149"/>
  <c r="L14" i="130"/>
  <c r="L294" i="140"/>
  <c r="R88" i="217"/>
  <c r="L34" i="132"/>
  <c r="R90" i="217" s="1"/>
  <c r="R121" i="217" s="1"/>
  <c r="M129" i="162"/>
  <c r="M163" i="162"/>
  <c r="M197" i="162"/>
  <c r="M187" i="162"/>
  <c r="M153" i="162"/>
  <c r="M119" i="162"/>
  <c r="M184" i="147"/>
  <c r="M116" i="147"/>
  <c r="M150" i="147"/>
  <c r="L331" i="139"/>
  <c r="L296" i="139"/>
  <c r="L371" i="139"/>
  <c r="A371" i="139" s="1"/>
  <c r="J32" i="206"/>
  <c r="K91" i="208" s="1"/>
  <c r="J106" i="203"/>
  <c r="J111" i="203" s="1"/>
  <c r="M77" i="150"/>
  <c r="M78" i="150"/>
  <c r="M167" i="144"/>
  <c r="M201" i="144"/>
  <c r="M133" i="144"/>
  <c r="M203" i="144"/>
  <c r="M135" i="144"/>
  <c r="M169" i="144"/>
  <c r="M100" i="144"/>
  <c r="M86" i="144"/>
  <c r="M115" i="144"/>
  <c r="M149" i="144"/>
  <c r="M183" i="144"/>
  <c r="L296" i="143"/>
  <c r="L371" i="143"/>
  <c r="A371" i="143" s="1"/>
  <c r="M93" i="150"/>
  <c r="M94" i="150"/>
  <c r="L42" i="95"/>
  <c r="L67" i="95" s="1"/>
  <c r="L98" i="102"/>
  <c r="M215" i="151"/>
  <c r="M249" i="151" s="1"/>
  <c r="M184" i="142"/>
  <c r="M116" i="142"/>
  <c r="M150" i="142"/>
  <c r="M85" i="142"/>
  <c r="L340" i="142"/>
  <c r="L314" i="142"/>
  <c r="M102" i="142"/>
  <c r="M129" i="142"/>
  <c r="M163" i="142"/>
  <c r="M197" i="142"/>
  <c r="M149" i="162"/>
  <c r="M183" i="162"/>
  <c r="M115" i="162"/>
  <c r="M118" i="147"/>
  <c r="M186" i="147"/>
  <c r="M152" i="147"/>
  <c r="M148" i="146"/>
  <c r="M114" i="146"/>
  <c r="M216" i="146" s="1"/>
  <c r="M250" i="146" s="1"/>
  <c r="M182" i="146"/>
  <c r="M113" i="146"/>
  <c r="M181" i="146"/>
  <c r="M147" i="146"/>
  <c r="M186" i="146"/>
  <c r="M118" i="146"/>
  <c r="M152" i="146"/>
  <c r="M83" i="146"/>
  <c r="M95" i="146"/>
  <c r="L332" i="146"/>
  <c r="L333" i="146" s="1"/>
  <c r="A333" i="146" s="1"/>
  <c r="L368" i="151"/>
  <c r="L370" i="151" s="1"/>
  <c r="A370" i="151" s="1"/>
  <c r="M53" i="151"/>
  <c r="M290" i="151" s="1"/>
  <c r="L356" i="149"/>
  <c r="L330" i="149"/>
  <c r="M120" i="149"/>
  <c r="M154" i="149"/>
  <c r="M188" i="149"/>
  <c r="M151" i="162"/>
  <c r="M117" i="162"/>
  <c r="M185" i="162"/>
  <c r="J271" i="211"/>
  <c r="P82" i="218" s="1"/>
  <c r="J246" i="211"/>
  <c r="M187" i="144"/>
  <c r="M119" i="144"/>
  <c r="M153" i="144"/>
  <c r="M186" i="144"/>
  <c r="M152" i="144"/>
  <c r="M118" i="144"/>
  <c r="O72" i="218"/>
  <c r="I273" i="211"/>
  <c r="M186" i="142"/>
  <c r="M118" i="142"/>
  <c r="M220" i="142" s="1"/>
  <c r="M254" i="142" s="1"/>
  <c r="M152" i="142"/>
  <c r="J105" i="200"/>
  <c r="J29" i="207" s="1"/>
  <c r="J30" i="209" s="1"/>
  <c r="J262" i="209" s="1"/>
  <c r="J31" i="210" s="1"/>
  <c r="J70" i="211" s="1"/>
  <c r="J104" i="200"/>
  <c r="J29" i="205" s="1"/>
  <c r="J103" i="200"/>
  <c r="M136" i="147"/>
  <c r="M204" i="147"/>
  <c r="M170" i="147"/>
  <c r="M203" i="146"/>
  <c r="M169" i="146"/>
  <c r="M135" i="146"/>
  <c r="M85" i="149"/>
  <c r="M80" i="149"/>
  <c r="M82" i="149"/>
  <c r="J15" i="202"/>
  <c r="J44" i="202" s="1"/>
  <c r="J57" i="202" s="1"/>
  <c r="J98" i="202" s="1"/>
  <c r="L32" i="102"/>
  <c r="L340" i="149"/>
  <c r="L314" i="149"/>
  <c r="M98" i="149"/>
  <c r="L279" i="141"/>
  <c r="M134" i="147"/>
  <c r="M168" i="147"/>
  <c r="M202" i="147"/>
  <c r="M236" i="147" s="1"/>
  <c r="M270" i="147" s="1"/>
  <c r="M216" i="162"/>
  <c r="M250" i="162" s="1"/>
  <c r="M219" i="147"/>
  <c r="M253" i="147" s="1"/>
  <c r="M53" i="150"/>
  <c r="M290" i="150" s="1"/>
  <c r="L368" i="150"/>
  <c r="L370" i="150" s="1"/>
  <c r="A370" i="150" s="1"/>
  <c r="M238" i="150"/>
  <c r="M272" i="150" s="1"/>
  <c r="M165" i="144"/>
  <c r="M131" i="144"/>
  <c r="M199" i="144"/>
  <c r="M233" i="144" s="1"/>
  <c r="M267" i="144" s="1"/>
  <c r="M96" i="144"/>
  <c r="L356" i="144"/>
  <c r="L330" i="144"/>
  <c r="L333" i="144"/>
  <c r="A333" i="144" s="1"/>
  <c r="M217" i="150"/>
  <c r="M251" i="150" s="1"/>
  <c r="M234" i="151"/>
  <c r="M268" i="151" s="1"/>
  <c r="M70" i="150"/>
  <c r="J103" i="195"/>
  <c r="J104" i="195"/>
  <c r="J24" i="205" s="1"/>
  <c r="J105" i="195"/>
  <c r="J24" i="207" s="1"/>
  <c r="J25" i="209" s="1"/>
  <c r="J257" i="209" s="1"/>
  <c r="J26" i="210" s="1"/>
  <c r="J65" i="211" s="1"/>
  <c r="L350" i="147"/>
  <c r="M43" i="147"/>
  <c r="L351" i="147"/>
  <c r="M235" i="147"/>
  <c r="M269" i="147" s="1"/>
  <c r="M93" i="151"/>
  <c r="M70" i="151"/>
  <c r="M94" i="151"/>
  <c r="M238" i="162"/>
  <c r="M272" i="162" s="1"/>
  <c r="M148" i="142"/>
  <c r="M182" i="142"/>
  <c r="M114" i="142"/>
  <c r="M203" i="142"/>
  <c r="M169" i="142"/>
  <c r="M135" i="142"/>
  <c r="M97" i="142"/>
  <c r="M100" i="142"/>
  <c r="M81" i="142"/>
  <c r="R270" i="217"/>
  <c r="R240" i="217"/>
  <c r="L296" i="145"/>
  <c r="L371" i="145"/>
  <c r="A371" i="145" s="1"/>
  <c r="M166" i="162"/>
  <c r="M200" i="162"/>
  <c r="M132" i="162"/>
  <c r="M147" i="162"/>
  <c r="M113" i="162"/>
  <c r="M181" i="162"/>
  <c r="M181" i="147"/>
  <c r="M147" i="147"/>
  <c r="M113" i="147"/>
  <c r="M98" i="146"/>
  <c r="L340" i="146"/>
  <c r="L314" i="146"/>
  <c r="M102" i="146"/>
  <c r="M81" i="146"/>
  <c r="M59" i="147"/>
  <c r="L366" i="147"/>
  <c r="M69" i="147" s="1"/>
  <c r="L371" i="137"/>
  <c r="A371" i="137" s="1"/>
  <c r="L331" i="137"/>
  <c r="L296" i="137"/>
  <c r="M116" i="144"/>
  <c r="M150" i="144"/>
  <c r="M184" i="144"/>
  <c r="M59" i="162"/>
  <c r="L366" i="162"/>
  <c r="M69" i="162" s="1"/>
  <c r="M130" i="147"/>
  <c r="M198" i="147"/>
  <c r="M164" i="147"/>
  <c r="L30" i="130"/>
  <c r="L283" i="148"/>
  <c r="L294" i="148"/>
  <c r="M198" i="142"/>
  <c r="M164" i="142"/>
  <c r="M130" i="142"/>
  <c r="M200" i="142"/>
  <c r="L356" i="142"/>
  <c r="L330" i="142"/>
  <c r="L29" i="102"/>
  <c r="J15" i="199"/>
  <c r="J44" i="199" s="1"/>
  <c r="J57" i="199" s="1"/>
  <c r="J98" i="199" s="1"/>
  <c r="L356" i="146"/>
  <c r="L330" i="146"/>
  <c r="M203" i="149"/>
  <c r="M135" i="149"/>
  <c r="M169" i="149"/>
  <c r="M183" i="149"/>
  <c r="M115" i="149"/>
  <c r="M149" i="149"/>
  <c r="M100" i="149"/>
  <c r="M95" i="149"/>
  <c r="L296" i="136"/>
  <c r="L371" i="136"/>
  <c r="A371" i="136" s="1"/>
  <c r="L331" i="136"/>
  <c r="M215" i="150"/>
  <c r="M249" i="150" s="1"/>
  <c r="M199" i="162"/>
  <c r="M131" i="162"/>
  <c r="M165" i="162"/>
  <c r="M221" i="147"/>
  <c r="M255" i="147" s="1"/>
  <c r="J106" i="204"/>
  <c r="J111" i="204" s="1"/>
  <c r="J33" i="206"/>
  <c r="K92" i="208" s="1"/>
  <c r="M237" i="147"/>
  <c r="M271" i="147" s="1"/>
  <c r="M220" i="151"/>
  <c r="M254" i="151" s="1"/>
  <c r="M166" i="144"/>
  <c r="M132" i="144"/>
  <c r="M200" i="144"/>
  <c r="M83" i="144"/>
  <c r="M163" i="144"/>
  <c r="M197" i="144"/>
  <c r="M231" i="144" s="1"/>
  <c r="M265" i="144" s="1"/>
  <c r="M129" i="144"/>
  <c r="M148" i="144"/>
  <c r="M114" i="144"/>
  <c r="M182" i="144"/>
  <c r="M79" i="144"/>
  <c r="M237" i="151"/>
  <c r="M271" i="151" s="1"/>
  <c r="M120" i="162"/>
  <c r="M188" i="162"/>
  <c r="M154" i="162"/>
  <c r="M236" i="162"/>
  <c r="M270" i="162" s="1"/>
  <c r="M183" i="147"/>
  <c r="M149" i="147"/>
  <c r="M115" i="147"/>
  <c r="M129" i="147"/>
  <c r="M163" i="147"/>
  <c r="M197" i="147"/>
  <c r="M221" i="150"/>
  <c r="M255" i="150" s="1"/>
  <c r="M43" i="162"/>
  <c r="L350" i="162"/>
  <c r="L351" i="162" s="1"/>
  <c r="M83" i="142"/>
  <c r="M86" i="142"/>
  <c r="M79" i="142"/>
  <c r="L333" i="142"/>
  <c r="A333" i="142" s="1"/>
  <c r="L371" i="135"/>
  <c r="A371" i="135" s="1"/>
  <c r="L331" i="135"/>
  <c r="L296" i="135"/>
  <c r="M169" i="162"/>
  <c r="M203" i="162"/>
  <c r="M135" i="162"/>
  <c r="L103" i="102"/>
  <c r="L47" i="95"/>
  <c r="L72" i="95" s="1"/>
  <c r="M165" i="147"/>
  <c r="M131" i="147"/>
  <c r="M199" i="147"/>
  <c r="M133" i="146"/>
  <c r="M167" i="146"/>
  <c r="M201" i="146"/>
  <c r="M130" i="146"/>
  <c r="M198" i="146"/>
  <c r="M164" i="146"/>
  <c r="M116" i="146"/>
  <c r="M150" i="146"/>
  <c r="M184" i="146"/>
  <c r="M100" i="146"/>
  <c r="M85" i="146"/>
  <c r="L351" i="151"/>
  <c r="M222" i="147"/>
  <c r="M256" i="147" s="1"/>
  <c r="M79" i="138"/>
  <c r="M98" i="138"/>
  <c r="M166" i="138" s="1"/>
  <c r="M101" i="138"/>
  <c r="M84" i="138"/>
  <c r="M152" i="138" s="1"/>
  <c r="M81" i="138"/>
  <c r="M115" i="138" s="1"/>
  <c r="M102" i="138"/>
  <c r="M170" i="138" s="1"/>
  <c r="M83" i="138"/>
  <c r="M185" i="138" s="1"/>
  <c r="M97" i="138"/>
  <c r="M131" i="138" s="1"/>
  <c r="M80" i="138"/>
  <c r="L340" i="138"/>
  <c r="L313" i="138"/>
  <c r="M100" i="138"/>
  <c r="L356" i="138"/>
  <c r="L329" i="138"/>
  <c r="L330" i="138" s="1"/>
  <c r="L15" i="128"/>
  <c r="L327" i="86"/>
  <c r="L364" i="86" s="1"/>
  <c r="M67" i="86" s="1"/>
  <c r="L323" i="86"/>
  <c r="L360" i="86" s="1"/>
  <c r="M63" i="86" s="1"/>
  <c r="L319" i="86"/>
  <c r="L312" i="86"/>
  <c r="L349" i="86" s="1"/>
  <c r="L308" i="86"/>
  <c r="L345" i="86" s="1"/>
  <c r="L304" i="86"/>
  <c r="L341" i="86" s="1"/>
  <c r="L326" i="86"/>
  <c r="L363" i="86" s="1"/>
  <c r="M66" i="86" s="1"/>
  <c r="L322" i="86"/>
  <c r="L359" i="86" s="1"/>
  <c r="M62" i="86" s="1"/>
  <c r="L311" i="86"/>
  <c r="L348" i="86" s="1"/>
  <c r="L307" i="86"/>
  <c r="L344" i="86" s="1"/>
  <c r="L303" i="86"/>
  <c r="L325" i="86"/>
  <c r="L362" i="86" s="1"/>
  <c r="M65" i="86" s="1"/>
  <c r="L321" i="86"/>
  <c r="L358" i="86" s="1"/>
  <c r="M61" i="86" s="1"/>
  <c r="L310" i="86"/>
  <c r="L347" i="86" s="1"/>
  <c r="L306" i="86"/>
  <c r="L343" i="86" s="1"/>
  <c r="L328" i="86"/>
  <c r="L365" i="86" s="1"/>
  <c r="M68" i="86" s="1"/>
  <c r="L324" i="86"/>
  <c r="L361" i="86" s="1"/>
  <c r="M64" i="86" s="1"/>
  <c r="L320" i="86"/>
  <c r="L357" i="86" s="1"/>
  <c r="M60" i="86" s="1"/>
  <c r="L309" i="86"/>
  <c r="L346" i="86" s="1"/>
  <c r="L305" i="86"/>
  <c r="L342" i="86" s="1"/>
  <c r="M183" i="138"/>
  <c r="M132" i="138"/>
  <c r="M95" i="138"/>
  <c r="M85" i="138"/>
  <c r="M82" i="138"/>
  <c r="M169" i="138"/>
  <c r="M203" i="138"/>
  <c r="M135" i="138"/>
  <c r="M181" i="138"/>
  <c r="M113" i="138"/>
  <c r="M147" i="138"/>
  <c r="M99" i="138"/>
  <c r="M96" i="138"/>
  <c r="M86" i="138"/>
  <c r="L21" i="102"/>
  <c r="J15" i="191"/>
  <c r="J44" i="191" s="1"/>
  <c r="J57" i="191" s="1"/>
  <c r="J98" i="191" s="1"/>
  <c r="M70" i="147" l="1"/>
  <c r="M200" i="138"/>
  <c r="M117" i="138"/>
  <c r="M132" i="142"/>
  <c r="M199" i="149"/>
  <c r="L310" i="134"/>
  <c r="L347" i="134" s="1"/>
  <c r="M50" i="134" s="1"/>
  <c r="L320" i="134"/>
  <c r="L357" i="134" s="1"/>
  <c r="M60" i="134" s="1"/>
  <c r="L323" i="134"/>
  <c r="L360" i="134" s="1"/>
  <c r="M63" i="134" s="1"/>
  <c r="L304" i="134"/>
  <c r="L341" i="134" s="1"/>
  <c r="M44" i="134" s="1"/>
  <c r="L307" i="134"/>
  <c r="L344" i="134" s="1"/>
  <c r="M47" i="134" s="1"/>
  <c r="L321" i="134"/>
  <c r="L358" i="134" s="1"/>
  <c r="M61" i="134" s="1"/>
  <c r="M95" i="134" s="1"/>
  <c r="L327" i="134"/>
  <c r="L364" i="134" s="1"/>
  <c r="M67" i="134" s="1"/>
  <c r="L311" i="134"/>
  <c r="L348" i="134" s="1"/>
  <c r="M51" i="134" s="1"/>
  <c r="L16" i="128"/>
  <c r="L66" i="128" s="1"/>
  <c r="L306" i="134"/>
  <c r="L343" i="134" s="1"/>
  <c r="M46" i="134" s="1"/>
  <c r="L309" i="134"/>
  <c r="L346" i="134" s="1"/>
  <c r="M49" i="134" s="1"/>
  <c r="L319" i="134"/>
  <c r="L326" i="134"/>
  <c r="L363" i="134" s="1"/>
  <c r="M66" i="134" s="1"/>
  <c r="L303" i="134"/>
  <c r="L324" i="134"/>
  <c r="L361" i="134" s="1"/>
  <c r="M64" i="134" s="1"/>
  <c r="M98" i="134" s="1"/>
  <c r="L308" i="134"/>
  <c r="L345" i="134" s="1"/>
  <c r="M48" i="134" s="1"/>
  <c r="L325" i="134"/>
  <c r="L362" i="134" s="1"/>
  <c r="M65" i="134" s="1"/>
  <c r="M99" i="134" s="1"/>
  <c r="M167" i="134" s="1"/>
  <c r="L328" i="134"/>
  <c r="L365" i="134" s="1"/>
  <c r="M68" i="134" s="1"/>
  <c r="M102" i="134" s="1"/>
  <c r="L305" i="134"/>
  <c r="L342" i="134" s="1"/>
  <c r="M45" i="134" s="1"/>
  <c r="M79" i="134" s="1"/>
  <c r="L312" i="134"/>
  <c r="L349" i="134" s="1"/>
  <c r="M52" i="134" s="1"/>
  <c r="M86" i="134" s="1"/>
  <c r="L322" i="134"/>
  <c r="L359" i="134" s="1"/>
  <c r="M62" i="134" s="1"/>
  <c r="M96" i="134" s="1"/>
  <c r="M130" i="134" s="1"/>
  <c r="M221" i="144"/>
  <c r="M255" i="144" s="1"/>
  <c r="M218" i="147"/>
  <c r="M252" i="147" s="1"/>
  <c r="M113" i="149"/>
  <c r="M233" i="146"/>
  <c r="M267" i="146" s="1"/>
  <c r="M232" i="146"/>
  <c r="M266" i="146" s="1"/>
  <c r="M219" i="149"/>
  <c r="M253" i="149" s="1"/>
  <c r="M233" i="149"/>
  <c r="M267" i="149" s="1"/>
  <c r="M220" i="146"/>
  <c r="M254" i="146" s="1"/>
  <c r="M215" i="146"/>
  <c r="M249" i="146" s="1"/>
  <c r="M235" i="144"/>
  <c r="M269" i="144" s="1"/>
  <c r="M232" i="147"/>
  <c r="M266" i="147" s="1"/>
  <c r="M217" i="147"/>
  <c r="M251" i="147" s="1"/>
  <c r="M218" i="142"/>
  <c r="M252" i="142" s="1"/>
  <c r="M234" i="142"/>
  <c r="M268" i="142" s="1"/>
  <c r="L367" i="162"/>
  <c r="M234" i="162"/>
  <c r="M268" i="162" s="1"/>
  <c r="M54" i="150"/>
  <c r="M215" i="149"/>
  <c r="M249" i="149" s="1"/>
  <c r="M238" i="149"/>
  <c r="M272" i="149" s="1"/>
  <c r="L46" i="95"/>
  <c r="L71" i="95" s="1"/>
  <c r="L102" i="102"/>
  <c r="M149" i="142"/>
  <c r="M183" i="142"/>
  <c r="M115" i="142"/>
  <c r="M77" i="147"/>
  <c r="M78" i="147"/>
  <c r="J24" i="206"/>
  <c r="K83" i="208" s="1"/>
  <c r="J106" i="195"/>
  <c r="J111" i="195" s="1"/>
  <c r="M132" i="149"/>
  <c r="M200" i="149"/>
  <c r="M166" i="149"/>
  <c r="J268" i="211"/>
  <c r="P79" i="218" s="1"/>
  <c r="J243" i="211"/>
  <c r="M187" i="142"/>
  <c r="M119" i="142"/>
  <c r="M153" i="142"/>
  <c r="M103" i="150"/>
  <c r="M104" i="150" s="1"/>
  <c r="M161" i="150"/>
  <c r="M195" i="150"/>
  <c r="M127" i="150"/>
  <c r="M111" i="151"/>
  <c r="M145" i="151"/>
  <c r="M179" i="151"/>
  <c r="J105" i="197"/>
  <c r="J149" i="197" s="1"/>
  <c r="J103" i="197"/>
  <c r="J104" i="197"/>
  <c r="M199" i="138"/>
  <c r="M233" i="147"/>
  <c r="M267" i="147" s="1"/>
  <c r="L319" i="135"/>
  <c r="L326" i="135"/>
  <c r="L363" i="135" s="1"/>
  <c r="M66" i="135" s="1"/>
  <c r="L303" i="135"/>
  <c r="L306" i="135"/>
  <c r="L343" i="135" s="1"/>
  <c r="M46" i="135" s="1"/>
  <c r="L309" i="135"/>
  <c r="L346" i="135" s="1"/>
  <c r="M49" i="135" s="1"/>
  <c r="L304" i="135"/>
  <c r="L341" i="135" s="1"/>
  <c r="M44" i="135" s="1"/>
  <c r="L320" i="135"/>
  <c r="L357" i="135" s="1"/>
  <c r="M60" i="135" s="1"/>
  <c r="L17" i="128"/>
  <c r="L67" i="128" s="1"/>
  <c r="L312" i="135"/>
  <c r="L349" i="135" s="1"/>
  <c r="M52" i="135" s="1"/>
  <c r="L322" i="135"/>
  <c r="L359" i="135" s="1"/>
  <c r="M62" i="135" s="1"/>
  <c r="L325" i="135"/>
  <c r="L362" i="135" s="1"/>
  <c r="M65" i="135" s="1"/>
  <c r="L328" i="135"/>
  <c r="L365" i="135" s="1"/>
  <c r="M68" i="135" s="1"/>
  <c r="L305" i="135"/>
  <c r="L342" i="135" s="1"/>
  <c r="M45" i="135" s="1"/>
  <c r="L323" i="135"/>
  <c r="L360" i="135" s="1"/>
  <c r="M63" i="135" s="1"/>
  <c r="M97" i="135" s="1"/>
  <c r="M165" i="135" s="1"/>
  <c r="L310" i="135"/>
  <c r="L347" i="135" s="1"/>
  <c r="M50" i="135" s="1"/>
  <c r="L327" i="135"/>
  <c r="L364" i="135" s="1"/>
  <c r="M67" i="135" s="1"/>
  <c r="L308" i="135"/>
  <c r="L345" i="135" s="1"/>
  <c r="M48" i="135" s="1"/>
  <c r="L311" i="135"/>
  <c r="L348" i="135" s="1"/>
  <c r="M51" i="135" s="1"/>
  <c r="L321" i="135"/>
  <c r="L358" i="135" s="1"/>
  <c r="M61" i="135" s="1"/>
  <c r="M95" i="135" s="1"/>
  <c r="M197" i="135" s="1"/>
  <c r="L324" i="135"/>
  <c r="L361" i="135" s="1"/>
  <c r="M64" i="135" s="1"/>
  <c r="L307" i="135"/>
  <c r="L344" i="135" s="1"/>
  <c r="M47" i="135" s="1"/>
  <c r="M81" i="135" s="1"/>
  <c r="M113" i="142"/>
  <c r="M181" i="142"/>
  <c r="M147" i="142"/>
  <c r="M231" i="147"/>
  <c r="M265" i="147" s="1"/>
  <c r="M181" i="144"/>
  <c r="M147" i="144"/>
  <c r="M113" i="144"/>
  <c r="M234" i="144"/>
  <c r="M268" i="144" s="1"/>
  <c r="M202" i="149"/>
  <c r="M134" i="149"/>
  <c r="M168" i="149"/>
  <c r="M232" i="142"/>
  <c r="M266" i="142" s="1"/>
  <c r="M70" i="162"/>
  <c r="M218" i="144"/>
  <c r="M252" i="144" s="1"/>
  <c r="L367" i="147"/>
  <c r="L350" i="146"/>
  <c r="L351" i="146" s="1"/>
  <c r="M43" i="146"/>
  <c r="L331" i="145"/>
  <c r="L307" i="145"/>
  <c r="L344" i="145" s="1"/>
  <c r="M47" i="145" s="1"/>
  <c r="L321" i="145"/>
  <c r="L358" i="145" s="1"/>
  <c r="M61" i="145" s="1"/>
  <c r="L324" i="145"/>
  <c r="L361" i="145" s="1"/>
  <c r="M64" i="145" s="1"/>
  <c r="L305" i="145"/>
  <c r="L342" i="145" s="1"/>
  <c r="M45" i="145" s="1"/>
  <c r="L312" i="145"/>
  <c r="L349" i="145" s="1"/>
  <c r="M52" i="145" s="1"/>
  <c r="L329" i="145"/>
  <c r="L313" i="145"/>
  <c r="L304" i="145"/>
  <c r="L341" i="145" s="1"/>
  <c r="M44" i="145" s="1"/>
  <c r="L27" i="128"/>
  <c r="L77" i="128" s="1"/>
  <c r="L325" i="145"/>
  <c r="L362" i="145" s="1"/>
  <c r="M65" i="145" s="1"/>
  <c r="L309" i="145"/>
  <c r="L346" i="145" s="1"/>
  <c r="M49" i="145" s="1"/>
  <c r="L326" i="145"/>
  <c r="L363" i="145" s="1"/>
  <c r="M66" i="145" s="1"/>
  <c r="L303" i="145"/>
  <c r="L310" i="145"/>
  <c r="L347" i="145" s="1"/>
  <c r="M50" i="145" s="1"/>
  <c r="L320" i="145"/>
  <c r="L357" i="145" s="1"/>
  <c r="M60" i="145" s="1"/>
  <c r="L327" i="145"/>
  <c r="L364" i="145" s="1"/>
  <c r="M67" i="145" s="1"/>
  <c r="M101" i="145" s="1"/>
  <c r="L308" i="145"/>
  <c r="L345" i="145" s="1"/>
  <c r="M48" i="145" s="1"/>
  <c r="M82" i="145" s="1"/>
  <c r="L322" i="145"/>
  <c r="L359" i="145" s="1"/>
  <c r="M62" i="145" s="1"/>
  <c r="M96" i="145" s="1"/>
  <c r="L306" i="145"/>
  <c r="L343" i="145" s="1"/>
  <c r="M46" i="145" s="1"/>
  <c r="M80" i="145" s="1"/>
  <c r="L323" i="145"/>
  <c r="L360" i="145" s="1"/>
  <c r="M63" i="145" s="1"/>
  <c r="L311" i="145"/>
  <c r="L348" i="145" s="1"/>
  <c r="M51" i="145" s="1"/>
  <c r="L328" i="145"/>
  <c r="L365" i="145" s="1"/>
  <c r="M68" i="145" s="1"/>
  <c r="M102" i="145" s="1"/>
  <c r="L319" i="145"/>
  <c r="M127" i="151"/>
  <c r="M195" i="151"/>
  <c r="M161" i="151"/>
  <c r="M103" i="151"/>
  <c r="M104" i="151" s="1"/>
  <c r="M53" i="147"/>
  <c r="M290" i="147" s="1"/>
  <c r="L368" i="147"/>
  <c r="L370" i="147" s="1"/>
  <c r="A370" i="147" s="1"/>
  <c r="M184" i="149"/>
  <c r="M116" i="149"/>
  <c r="M150" i="149"/>
  <c r="O86" i="218"/>
  <c r="O85" i="218"/>
  <c r="M59" i="149"/>
  <c r="L366" i="149"/>
  <c r="M69" i="149" s="1"/>
  <c r="L367" i="149"/>
  <c r="M129" i="146"/>
  <c r="M197" i="146"/>
  <c r="M163" i="146"/>
  <c r="M204" i="142"/>
  <c r="M136" i="142"/>
  <c r="M170" i="142"/>
  <c r="M217" i="144"/>
  <c r="M251" i="144" s="1"/>
  <c r="M179" i="150"/>
  <c r="M145" i="150"/>
  <c r="M111" i="150"/>
  <c r="L325" i="139"/>
  <c r="L362" i="139" s="1"/>
  <c r="M65" i="139" s="1"/>
  <c r="L328" i="139"/>
  <c r="L365" i="139" s="1"/>
  <c r="M68" i="139" s="1"/>
  <c r="L305" i="139"/>
  <c r="L342" i="139" s="1"/>
  <c r="M45" i="139" s="1"/>
  <c r="L312" i="139"/>
  <c r="L349" i="139" s="1"/>
  <c r="M52" i="139" s="1"/>
  <c r="L322" i="139"/>
  <c r="L359" i="139" s="1"/>
  <c r="M62" i="139" s="1"/>
  <c r="L306" i="139"/>
  <c r="L343" i="139" s="1"/>
  <c r="M46" i="139" s="1"/>
  <c r="M80" i="139" s="1"/>
  <c r="M148" i="139" s="1"/>
  <c r="L309" i="139"/>
  <c r="L346" i="139" s="1"/>
  <c r="M49" i="139" s="1"/>
  <c r="L303" i="139"/>
  <c r="L321" i="139"/>
  <c r="L358" i="139" s="1"/>
  <c r="M61" i="139" s="1"/>
  <c r="L324" i="139"/>
  <c r="L361" i="139" s="1"/>
  <c r="M64" i="139" s="1"/>
  <c r="L327" i="139"/>
  <c r="L364" i="139" s="1"/>
  <c r="M67" i="139" s="1"/>
  <c r="L308" i="139"/>
  <c r="L345" i="139" s="1"/>
  <c r="M48" i="139" s="1"/>
  <c r="L311" i="139"/>
  <c r="L348" i="139" s="1"/>
  <c r="M51" i="139" s="1"/>
  <c r="L21" i="128"/>
  <c r="L71" i="128" s="1"/>
  <c r="L319" i="139"/>
  <c r="L310" i="139"/>
  <c r="L347" i="139" s="1"/>
  <c r="M50" i="139" s="1"/>
  <c r="L320" i="139"/>
  <c r="L357" i="139" s="1"/>
  <c r="M60" i="139" s="1"/>
  <c r="L323" i="139"/>
  <c r="L360" i="139" s="1"/>
  <c r="M63" i="139" s="1"/>
  <c r="M97" i="139" s="1"/>
  <c r="M165" i="139" s="1"/>
  <c r="L304" i="139"/>
  <c r="L341" i="139" s="1"/>
  <c r="M44" i="139" s="1"/>
  <c r="L307" i="139"/>
  <c r="L344" i="139" s="1"/>
  <c r="M47" i="139" s="1"/>
  <c r="L326" i="139"/>
  <c r="L363" i="139" s="1"/>
  <c r="M66" i="139" s="1"/>
  <c r="M100" i="139" s="1"/>
  <c r="M202" i="139" s="1"/>
  <c r="M231" i="162"/>
  <c r="M265" i="162" s="1"/>
  <c r="R119" i="217"/>
  <c r="R92" i="217"/>
  <c r="R123" i="217" s="1"/>
  <c r="M222" i="146"/>
  <c r="M256" i="146" s="1"/>
  <c r="M235" i="142"/>
  <c r="M269" i="142" s="1"/>
  <c r="M120" i="142"/>
  <c r="M154" i="142"/>
  <c r="M188" i="142"/>
  <c r="L368" i="162"/>
  <c r="L370" i="162" s="1"/>
  <c r="A370" i="162" s="1"/>
  <c r="M53" i="162"/>
  <c r="M290" i="162" s="1"/>
  <c r="M222" i="162"/>
  <c r="M256" i="162" s="1"/>
  <c r="L366" i="146"/>
  <c r="M69" i="146" s="1"/>
  <c r="M59" i="146"/>
  <c r="L371" i="148"/>
  <c r="A371" i="148" s="1"/>
  <c r="L296" i="148"/>
  <c r="M93" i="162"/>
  <c r="M94" i="162"/>
  <c r="L19" i="128"/>
  <c r="L69" i="128" s="1"/>
  <c r="L306" i="137"/>
  <c r="L343" i="137" s="1"/>
  <c r="M46" i="137" s="1"/>
  <c r="L309" i="137"/>
  <c r="L346" i="137" s="1"/>
  <c r="M49" i="137" s="1"/>
  <c r="L319" i="137"/>
  <c r="L326" i="137"/>
  <c r="L363" i="137" s="1"/>
  <c r="M66" i="137" s="1"/>
  <c r="L303" i="137"/>
  <c r="L323" i="137"/>
  <c r="L360" i="137" s="1"/>
  <c r="M63" i="137" s="1"/>
  <c r="L307" i="137"/>
  <c r="L344" i="137" s="1"/>
  <c r="M47" i="137" s="1"/>
  <c r="L325" i="137"/>
  <c r="L362" i="137" s="1"/>
  <c r="M65" i="137" s="1"/>
  <c r="L328" i="137"/>
  <c r="L365" i="137" s="1"/>
  <c r="M68" i="137" s="1"/>
  <c r="L305" i="137"/>
  <c r="L342" i="137" s="1"/>
  <c r="M45" i="137" s="1"/>
  <c r="L312" i="137"/>
  <c r="L349" i="137" s="1"/>
  <c r="M52" i="137" s="1"/>
  <c r="L322" i="137"/>
  <c r="L359" i="137" s="1"/>
  <c r="M62" i="137" s="1"/>
  <c r="L320" i="137"/>
  <c r="L357" i="137" s="1"/>
  <c r="M60" i="137" s="1"/>
  <c r="L321" i="137"/>
  <c r="L358" i="137" s="1"/>
  <c r="M61" i="137" s="1"/>
  <c r="L324" i="137"/>
  <c r="L361" i="137" s="1"/>
  <c r="M64" i="137" s="1"/>
  <c r="L327" i="137"/>
  <c r="L364" i="137" s="1"/>
  <c r="M67" i="137" s="1"/>
  <c r="M101" i="137" s="1"/>
  <c r="L308" i="137"/>
  <c r="L345" i="137" s="1"/>
  <c r="M48" i="137" s="1"/>
  <c r="L311" i="137"/>
  <c r="L348" i="137" s="1"/>
  <c r="M51" i="137" s="1"/>
  <c r="L310" i="137"/>
  <c r="L347" i="137" s="1"/>
  <c r="M50" i="137" s="1"/>
  <c r="L304" i="137"/>
  <c r="L341" i="137" s="1"/>
  <c r="M44" i="137" s="1"/>
  <c r="M183" i="146"/>
  <c r="M115" i="146"/>
  <c r="M149" i="146"/>
  <c r="M132" i="146"/>
  <c r="M166" i="146"/>
  <c r="M200" i="146"/>
  <c r="M134" i="142"/>
  <c r="M168" i="142"/>
  <c r="M202" i="142"/>
  <c r="M237" i="142"/>
  <c r="M271" i="142" s="1"/>
  <c r="J238" i="211"/>
  <c r="J263" i="211"/>
  <c r="P74" i="218" s="1"/>
  <c r="M59" i="144"/>
  <c r="L366" i="144"/>
  <c r="M69" i="144" s="1"/>
  <c r="L350" i="149"/>
  <c r="L351" i="149" s="1"/>
  <c r="M43" i="149"/>
  <c r="M148" i="149"/>
  <c r="M182" i="149"/>
  <c r="M114" i="149"/>
  <c r="M237" i="146"/>
  <c r="M271" i="146" s="1"/>
  <c r="J106" i="200"/>
  <c r="J111" i="200" s="1"/>
  <c r="J29" i="206"/>
  <c r="K88" i="208" s="1"/>
  <c r="M220" i="144"/>
  <c r="M254" i="144" s="1"/>
  <c r="M117" i="146"/>
  <c r="M151" i="146"/>
  <c r="M185" i="146"/>
  <c r="M220" i="147"/>
  <c r="M254" i="147" s="1"/>
  <c r="M231" i="142"/>
  <c r="M265" i="142" s="1"/>
  <c r="L320" i="143"/>
  <c r="L357" i="143" s="1"/>
  <c r="M60" i="143" s="1"/>
  <c r="L327" i="143"/>
  <c r="L364" i="143" s="1"/>
  <c r="M67" i="143" s="1"/>
  <c r="L308" i="143"/>
  <c r="L345" i="143" s="1"/>
  <c r="M48" i="143" s="1"/>
  <c r="L322" i="143"/>
  <c r="L359" i="143" s="1"/>
  <c r="M62" i="143" s="1"/>
  <c r="L329" i="143"/>
  <c r="L306" i="143"/>
  <c r="L343" i="143" s="1"/>
  <c r="M46" i="143" s="1"/>
  <c r="L324" i="143"/>
  <c r="L361" i="143" s="1"/>
  <c r="M64" i="143" s="1"/>
  <c r="L326" i="143"/>
  <c r="L363" i="143" s="1"/>
  <c r="M66" i="143" s="1"/>
  <c r="L310" i="143"/>
  <c r="L347" i="143" s="1"/>
  <c r="M50" i="143" s="1"/>
  <c r="L25" i="128"/>
  <c r="L75" i="128" s="1"/>
  <c r="L313" i="143"/>
  <c r="L323" i="143"/>
  <c r="L360" i="143" s="1"/>
  <c r="M63" i="143" s="1"/>
  <c r="M97" i="143" s="1"/>
  <c r="L304" i="143"/>
  <c r="L341" i="143" s="1"/>
  <c r="M44" i="143" s="1"/>
  <c r="L311" i="143"/>
  <c r="L348" i="143" s="1"/>
  <c r="M51" i="143" s="1"/>
  <c r="M85" i="143" s="1"/>
  <c r="L325" i="143"/>
  <c r="L362" i="143" s="1"/>
  <c r="M65" i="143" s="1"/>
  <c r="M99" i="143" s="1"/>
  <c r="L303" i="143"/>
  <c r="L328" i="143"/>
  <c r="L365" i="143" s="1"/>
  <c r="M68" i="143" s="1"/>
  <c r="L309" i="143"/>
  <c r="L346" i="143" s="1"/>
  <c r="M49" i="143" s="1"/>
  <c r="L319" i="143"/>
  <c r="L331" i="143"/>
  <c r="L307" i="143"/>
  <c r="L344" i="143" s="1"/>
  <c r="M47" i="143" s="1"/>
  <c r="L321" i="143"/>
  <c r="L358" i="143" s="1"/>
  <c r="M61" i="143" s="1"/>
  <c r="M95" i="143" s="1"/>
  <c r="L305" i="143"/>
  <c r="L342" i="143" s="1"/>
  <c r="M45" i="143" s="1"/>
  <c r="M79" i="143" s="1"/>
  <c r="L312" i="143"/>
  <c r="L349" i="143" s="1"/>
  <c r="M52" i="143" s="1"/>
  <c r="M120" i="144"/>
  <c r="M188" i="144"/>
  <c r="M154" i="144"/>
  <c r="M237" i="144"/>
  <c r="M271" i="144" s="1"/>
  <c r="J113" i="203"/>
  <c r="J115" i="203" s="1"/>
  <c r="J112" i="203"/>
  <c r="M221" i="162"/>
  <c r="M255" i="162" s="1"/>
  <c r="L371" i="140"/>
  <c r="L296" i="140"/>
  <c r="M152" i="149"/>
  <c r="M186" i="149"/>
  <c r="M118" i="149"/>
  <c r="M87" i="151"/>
  <c r="M88" i="151" s="1"/>
  <c r="M112" i="151"/>
  <c r="M146" i="151"/>
  <c r="M155" i="151" s="1"/>
  <c r="M180" i="151"/>
  <c r="M189" i="151" s="1"/>
  <c r="J104" i="194"/>
  <c r="J23" i="205" s="1"/>
  <c r="J105" i="194"/>
  <c r="J23" i="207" s="1"/>
  <c r="J24" i="209" s="1"/>
  <c r="J256" i="209" s="1"/>
  <c r="J25" i="210" s="1"/>
  <c r="J64" i="211" s="1"/>
  <c r="J103" i="194"/>
  <c r="M43" i="144"/>
  <c r="L350" i="144"/>
  <c r="L351" i="144" s="1"/>
  <c r="R272" i="217"/>
  <c r="M185" i="142"/>
  <c r="M117" i="142"/>
  <c r="M151" i="142"/>
  <c r="M117" i="144"/>
  <c r="M151" i="144"/>
  <c r="M185" i="144"/>
  <c r="M197" i="149"/>
  <c r="M163" i="149"/>
  <c r="M129" i="149"/>
  <c r="J103" i="202"/>
  <c r="J105" i="202"/>
  <c r="J31" i="207" s="1"/>
  <c r="J32" i="209" s="1"/>
  <c r="J264" i="209" s="1"/>
  <c r="J33" i="210" s="1"/>
  <c r="J72" i="211" s="1"/>
  <c r="J104" i="202"/>
  <c r="J31" i="205" s="1"/>
  <c r="M119" i="146"/>
  <c r="M153" i="146"/>
  <c r="M187" i="146"/>
  <c r="M218" i="146"/>
  <c r="M252" i="146" s="1"/>
  <c r="M235" i="146"/>
  <c r="M269" i="146" s="1"/>
  <c r="M118" i="138"/>
  <c r="M202" i="146"/>
  <c r="M168" i="146"/>
  <c r="M134" i="146"/>
  <c r="M237" i="162"/>
  <c r="M271" i="162" s="1"/>
  <c r="M77" i="162"/>
  <c r="M54" i="162"/>
  <c r="M78" i="162"/>
  <c r="M216" i="144"/>
  <c r="M250" i="144" s="1"/>
  <c r="J113" i="204"/>
  <c r="J115" i="204" s="1"/>
  <c r="J112" i="204"/>
  <c r="M233" i="162"/>
  <c r="M267" i="162" s="1"/>
  <c r="L319" i="136"/>
  <c r="L326" i="136"/>
  <c r="L363" i="136" s="1"/>
  <c r="M66" i="136" s="1"/>
  <c r="L303" i="136"/>
  <c r="L306" i="136"/>
  <c r="L343" i="136" s="1"/>
  <c r="M46" i="136" s="1"/>
  <c r="L309" i="136"/>
  <c r="L346" i="136" s="1"/>
  <c r="M49" i="136" s="1"/>
  <c r="L307" i="136"/>
  <c r="L344" i="136" s="1"/>
  <c r="M47" i="136" s="1"/>
  <c r="L320" i="136"/>
  <c r="L357" i="136" s="1"/>
  <c r="M60" i="136" s="1"/>
  <c r="L18" i="128"/>
  <c r="L68" i="128" s="1"/>
  <c r="L312" i="136"/>
  <c r="L349" i="136" s="1"/>
  <c r="M52" i="136" s="1"/>
  <c r="L322" i="136"/>
  <c r="L359" i="136" s="1"/>
  <c r="M62" i="136" s="1"/>
  <c r="L325" i="136"/>
  <c r="L362" i="136" s="1"/>
  <c r="M65" i="136" s="1"/>
  <c r="L328" i="136"/>
  <c r="L365" i="136" s="1"/>
  <c r="M68" i="136" s="1"/>
  <c r="L305" i="136"/>
  <c r="L342" i="136" s="1"/>
  <c r="M45" i="136" s="1"/>
  <c r="L323" i="136"/>
  <c r="L360" i="136" s="1"/>
  <c r="M63" i="136" s="1"/>
  <c r="M97" i="136" s="1"/>
  <c r="M199" i="136" s="1"/>
  <c r="L310" i="136"/>
  <c r="L347" i="136" s="1"/>
  <c r="M50" i="136" s="1"/>
  <c r="L327" i="136"/>
  <c r="L364" i="136" s="1"/>
  <c r="M67" i="136" s="1"/>
  <c r="L308" i="136"/>
  <c r="L345" i="136" s="1"/>
  <c r="M48" i="136" s="1"/>
  <c r="L311" i="136"/>
  <c r="L348" i="136" s="1"/>
  <c r="M51" i="136" s="1"/>
  <c r="L321" i="136"/>
  <c r="L358" i="136" s="1"/>
  <c r="M61" i="136" s="1"/>
  <c r="M95" i="136" s="1"/>
  <c r="M163" i="136" s="1"/>
  <c r="L324" i="136"/>
  <c r="L361" i="136" s="1"/>
  <c r="M64" i="136" s="1"/>
  <c r="L304" i="136"/>
  <c r="L341" i="136" s="1"/>
  <c r="M44" i="136" s="1"/>
  <c r="M217" i="149"/>
  <c r="M251" i="149" s="1"/>
  <c r="M237" i="149"/>
  <c r="M271" i="149" s="1"/>
  <c r="J103" i="199"/>
  <c r="J104" i="199"/>
  <c r="J105" i="199"/>
  <c r="J149" i="199" s="1"/>
  <c r="L366" i="142"/>
  <c r="M69" i="142" s="1"/>
  <c r="M59" i="142"/>
  <c r="M93" i="147"/>
  <c r="M94" i="147"/>
  <c r="M170" i="146"/>
  <c r="M136" i="146"/>
  <c r="M204" i="146"/>
  <c r="M215" i="147"/>
  <c r="M249" i="147" s="1"/>
  <c r="M215" i="162"/>
  <c r="M249" i="162" s="1"/>
  <c r="R299" i="217"/>
  <c r="R618" i="217"/>
  <c r="M199" i="142"/>
  <c r="M165" i="142"/>
  <c r="M131" i="142"/>
  <c r="M216" i="142"/>
  <c r="M250" i="142" s="1"/>
  <c r="M128" i="151"/>
  <c r="M162" i="151"/>
  <c r="M196" i="151"/>
  <c r="M164" i="144"/>
  <c r="M198" i="144"/>
  <c r="M130" i="144"/>
  <c r="L22" i="130"/>
  <c r="L34" i="130" s="1"/>
  <c r="L283" i="141"/>
  <c r="L294" i="141"/>
  <c r="L105" i="102"/>
  <c r="L49" i="95"/>
  <c r="L74" i="95" s="1"/>
  <c r="M187" i="149"/>
  <c r="M119" i="149"/>
  <c r="M153" i="149"/>
  <c r="M238" i="147"/>
  <c r="M272" i="147" s="1"/>
  <c r="M219" i="162"/>
  <c r="M253" i="162" s="1"/>
  <c r="M222" i="149"/>
  <c r="M256" i="149" s="1"/>
  <c r="M217" i="162"/>
  <c r="M251" i="162" s="1"/>
  <c r="L350" i="142"/>
  <c r="M43" i="142"/>
  <c r="M196" i="150"/>
  <c r="M128" i="150"/>
  <c r="M162" i="150"/>
  <c r="M202" i="144"/>
  <c r="M134" i="144"/>
  <c r="M168" i="144"/>
  <c r="M87" i="150"/>
  <c r="M88" i="150" s="1"/>
  <c r="M180" i="150"/>
  <c r="M146" i="150"/>
  <c r="M112" i="150"/>
  <c r="L12" i="130"/>
  <c r="M235" i="149"/>
  <c r="M269" i="149" s="1"/>
  <c r="M232" i="149"/>
  <c r="M266" i="149" s="1"/>
  <c r="M54" i="151"/>
  <c r="M232" i="162"/>
  <c r="M266" i="162" s="1"/>
  <c r="L97" i="102"/>
  <c r="L41" i="95"/>
  <c r="L66" i="95" s="1"/>
  <c r="L100" i="102"/>
  <c r="L44" i="95"/>
  <c r="L69" i="95" s="1"/>
  <c r="M238" i="144"/>
  <c r="M272" i="144" s="1"/>
  <c r="M102" i="86"/>
  <c r="M204" i="86" s="1"/>
  <c r="M131" i="139"/>
  <c r="M136" i="138"/>
  <c r="M238" i="138" s="1"/>
  <c r="M272" i="138" s="1"/>
  <c r="M204" i="138"/>
  <c r="M97" i="86"/>
  <c r="M131" i="86" s="1"/>
  <c r="M165" i="138"/>
  <c r="M186" i="138"/>
  <c r="M115" i="135"/>
  <c r="M149" i="138"/>
  <c r="M151" i="138"/>
  <c r="M219" i="138" s="1"/>
  <c r="M253" i="138" s="1"/>
  <c r="M98" i="86"/>
  <c r="M166" i="86" s="1"/>
  <c r="M100" i="86"/>
  <c r="M168" i="86" s="1"/>
  <c r="M164" i="138"/>
  <c r="M198" i="138"/>
  <c r="M130" i="138"/>
  <c r="M203" i="137"/>
  <c r="M135" i="137"/>
  <c r="M169" i="137"/>
  <c r="M129" i="136"/>
  <c r="M237" i="138"/>
  <c r="M271" i="138" s="1"/>
  <c r="M153" i="138"/>
  <c r="M187" i="138"/>
  <c r="M119" i="138"/>
  <c r="M234" i="138"/>
  <c r="M268" i="138" s="1"/>
  <c r="M147" i="134"/>
  <c r="M181" i="134"/>
  <c r="M113" i="134"/>
  <c r="M165" i="136"/>
  <c r="M95" i="86"/>
  <c r="M51" i="86"/>
  <c r="M48" i="86"/>
  <c r="M101" i="86"/>
  <c r="L350" i="138"/>
  <c r="M43" i="138"/>
  <c r="J105" i="191"/>
  <c r="J20" i="207" s="1"/>
  <c r="J103" i="191"/>
  <c r="J104" i="191"/>
  <c r="J20" i="205" s="1"/>
  <c r="M201" i="138"/>
  <c r="M133" i="138"/>
  <c r="M167" i="138"/>
  <c r="M197" i="138"/>
  <c r="M129" i="138"/>
  <c r="M163" i="138"/>
  <c r="M188" i="134"/>
  <c r="M120" i="134"/>
  <c r="M154" i="134"/>
  <c r="M114" i="139"/>
  <c r="M45" i="86"/>
  <c r="M170" i="86"/>
  <c r="M99" i="86"/>
  <c r="M96" i="86"/>
  <c r="M52" i="86"/>
  <c r="L65" i="128"/>
  <c r="M59" i="138"/>
  <c r="L366" i="138"/>
  <c r="M182" i="138"/>
  <c r="M114" i="138"/>
  <c r="M148" i="138"/>
  <c r="L94" i="102"/>
  <c r="L38" i="95"/>
  <c r="L63" i="95" s="1"/>
  <c r="M133" i="134"/>
  <c r="M217" i="138"/>
  <c r="M251" i="138" s="1"/>
  <c r="M49" i="86"/>
  <c r="M83" i="86" s="1"/>
  <c r="M46" i="86"/>
  <c r="L340" i="86"/>
  <c r="L313" i="86"/>
  <c r="L356" i="86"/>
  <c r="L329" i="86"/>
  <c r="L330" i="86" s="1"/>
  <c r="M163" i="134"/>
  <c r="M197" i="134"/>
  <c r="M129" i="134"/>
  <c r="M168" i="138"/>
  <c r="M202" i="138"/>
  <c r="M134" i="138"/>
  <c r="M154" i="138"/>
  <c r="M188" i="138"/>
  <c r="M120" i="138"/>
  <c r="M215" i="138"/>
  <c r="M249" i="138" s="1"/>
  <c r="M150" i="138"/>
  <c r="M184" i="138"/>
  <c r="M116" i="138"/>
  <c r="M170" i="134"/>
  <c r="M204" i="134"/>
  <c r="M136" i="134"/>
  <c r="M131" i="135"/>
  <c r="M50" i="86"/>
  <c r="M47" i="86"/>
  <c r="M44" i="86"/>
  <c r="M166" i="134"/>
  <c r="M200" i="134"/>
  <c r="M132" i="134"/>
  <c r="L332" i="138"/>
  <c r="L333" i="138" s="1"/>
  <c r="A333" i="138" s="1"/>
  <c r="L314" i="138"/>
  <c r="M132" i="86" l="1"/>
  <c r="M81" i="143"/>
  <c r="M102" i="143"/>
  <c r="M85" i="137"/>
  <c r="M84" i="135"/>
  <c r="M220" i="149"/>
  <c r="M254" i="149" s="1"/>
  <c r="M86" i="143"/>
  <c r="M236" i="142"/>
  <c r="M270" i="142" s="1"/>
  <c r="M82" i="137"/>
  <c r="M184" i="137" s="1"/>
  <c r="M83" i="145"/>
  <c r="L332" i="145"/>
  <c r="L333" i="145" s="1"/>
  <c r="A333" i="145" s="1"/>
  <c r="M81" i="134"/>
  <c r="M115" i="134" s="1"/>
  <c r="M84" i="134"/>
  <c r="M238" i="146"/>
  <c r="M272" i="146" s="1"/>
  <c r="M183" i="134"/>
  <c r="M201" i="134"/>
  <c r="M235" i="134" s="1"/>
  <c r="M269" i="134" s="1"/>
  <c r="M136" i="86"/>
  <c r="M197" i="136"/>
  <c r="M85" i="136"/>
  <c r="M82" i="134"/>
  <c r="L329" i="134"/>
  <c r="L330" i="134" s="1"/>
  <c r="L356" i="134"/>
  <c r="M85" i="134"/>
  <c r="M150" i="137"/>
  <c r="M118" i="134"/>
  <c r="M149" i="134"/>
  <c r="M233" i="138"/>
  <c r="M267" i="138" s="1"/>
  <c r="L367" i="142"/>
  <c r="M83" i="134"/>
  <c r="M101" i="134"/>
  <c r="M97" i="134"/>
  <c r="M198" i="134"/>
  <c r="M232" i="134" s="1"/>
  <c r="M266" i="134" s="1"/>
  <c r="M164" i="134"/>
  <c r="M100" i="134"/>
  <c r="L17" i="102"/>
  <c r="J15" i="187"/>
  <c r="J44" i="187" s="1"/>
  <c r="J57" i="187" s="1"/>
  <c r="J98" i="187" s="1"/>
  <c r="M70" i="144"/>
  <c r="M234" i="146"/>
  <c r="M268" i="146" s="1"/>
  <c r="M217" i="146"/>
  <c r="M251" i="146" s="1"/>
  <c r="M95" i="137"/>
  <c r="M85" i="139"/>
  <c r="M187" i="139" s="1"/>
  <c r="L313" i="134"/>
  <c r="L332" i="134" s="1"/>
  <c r="L333" i="134" s="1"/>
  <c r="A333" i="134" s="1"/>
  <c r="L340" i="134"/>
  <c r="M80" i="134"/>
  <c r="M96" i="136"/>
  <c r="M81" i="136"/>
  <c r="M115" i="136" s="1"/>
  <c r="M97" i="137"/>
  <c r="M165" i="137" s="1"/>
  <c r="M230" i="151"/>
  <c r="M264" i="151" s="1"/>
  <c r="M102" i="139"/>
  <c r="M170" i="139" s="1"/>
  <c r="M214" i="150"/>
  <c r="M248" i="150" s="1"/>
  <c r="M79" i="137"/>
  <c r="M147" i="137" s="1"/>
  <c r="M83" i="137"/>
  <c r="M54" i="147"/>
  <c r="M100" i="143"/>
  <c r="M202" i="143" s="1"/>
  <c r="M96" i="143"/>
  <c r="M219" i="146"/>
  <c r="M253" i="146" s="1"/>
  <c r="M102" i="137"/>
  <c r="M98" i="145"/>
  <c r="M132" i="145" s="1"/>
  <c r="M99" i="135"/>
  <c r="M100" i="136"/>
  <c r="M202" i="136" s="1"/>
  <c r="M236" i="146"/>
  <c r="M270" i="146" s="1"/>
  <c r="L332" i="143"/>
  <c r="M82" i="143"/>
  <c r="M216" i="149"/>
  <c r="M250" i="149" s="1"/>
  <c r="M83" i="139"/>
  <c r="M183" i="136"/>
  <c r="M77" i="144"/>
  <c r="M78" i="144"/>
  <c r="M154" i="143"/>
  <c r="M120" i="143"/>
  <c r="M188" i="143"/>
  <c r="M134" i="143"/>
  <c r="M93" i="146"/>
  <c r="M94" i="146"/>
  <c r="M171" i="150"/>
  <c r="M172" i="150" s="1"/>
  <c r="M163" i="135"/>
  <c r="M131" i="136"/>
  <c r="M233" i="136" s="1"/>
  <c r="M267" i="136" s="1"/>
  <c r="M86" i="136"/>
  <c r="M161" i="147"/>
  <c r="M127" i="147"/>
  <c r="M195" i="147"/>
  <c r="M87" i="162"/>
  <c r="M88" i="162" s="1"/>
  <c r="M179" i="162"/>
  <c r="M145" i="162"/>
  <c r="M111" i="162"/>
  <c r="L340" i="143"/>
  <c r="L314" i="143"/>
  <c r="M165" i="143"/>
  <c r="M199" i="143"/>
  <c r="M131" i="143"/>
  <c r="M119" i="137"/>
  <c r="M153" i="137"/>
  <c r="M187" i="137"/>
  <c r="M195" i="162"/>
  <c r="M103" i="162"/>
  <c r="M104" i="162" s="1"/>
  <c r="M161" i="162"/>
  <c r="M127" i="162"/>
  <c r="L22" i="102"/>
  <c r="J15" i="192"/>
  <c r="J44" i="192" s="1"/>
  <c r="J57" i="192" s="1"/>
  <c r="J98" i="192" s="1"/>
  <c r="L356" i="145"/>
  <c r="L330" i="145"/>
  <c r="M185" i="145"/>
  <c r="M151" i="145"/>
  <c r="M117" i="145"/>
  <c r="M152" i="135"/>
  <c r="M186" i="135"/>
  <c r="M118" i="135"/>
  <c r="M180" i="147"/>
  <c r="M146" i="147"/>
  <c r="M112" i="147"/>
  <c r="M168" i="136"/>
  <c r="M163" i="137"/>
  <c r="M182" i="139"/>
  <c r="M136" i="139"/>
  <c r="M185" i="137"/>
  <c r="M82" i="136"/>
  <c r="M83" i="136"/>
  <c r="L329" i="136"/>
  <c r="L356" i="136"/>
  <c r="M59" i="136" s="1"/>
  <c r="M93" i="136" s="1"/>
  <c r="M201" i="143"/>
  <c r="M133" i="143"/>
  <c r="M167" i="143"/>
  <c r="L333" i="143"/>
  <c r="A333" i="143" s="1"/>
  <c r="M150" i="143"/>
  <c r="M184" i="143"/>
  <c r="M116" i="143"/>
  <c r="M77" i="149"/>
  <c r="M78" i="149"/>
  <c r="M93" i="144"/>
  <c r="M94" i="144"/>
  <c r="L340" i="137"/>
  <c r="L313" i="137"/>
  <c r="M70" i="146"/>
  <c r="M95" i="139"/>
  <c r="M96" i="139"/>
  <c r="M204" i="145"/>
  <c r="M170" i="145"/>
  <c r="M136" i="145"/>
  <c r="M164" i="145"/>
  <c r="M198" i="145"/>
  <c r="M130" i="145"/>
  <c r="M99" i="145"/>
  <c r="M77" i="146"/>
  <c r="M78" i="146"/>
  <c r="M236" i="149"/>
  <c r="M270" i="149" s="1"/>
  <c r="M215" i="142"/>
  <c r="M249" i="142" s="1"/>
  <c r="M100" i="135"/>
  <c r="M134" i="136"/>
  <c r="M199" i="135"/>
  <c r="M187" i="136"/>
  <c r="M202" i="86"/>
  <c r="M129" i="135"/>
  <c r="M116" i="137"/>
  <c r="M181" i="137"/>
  <c r="M167" i="135"/>
  <c r="M136" i="137"/>
  <c r="M153" i="139"/>
  <c r="M155" i="150"/>
  <c r="M230" i="150"/>
  <c r="M264" i="150" s="1"/>
  <c r="M171" i="151"/>
  <c r="M172" i="151" s="1"/>
  <c r="M93" i="142"/>
  <c r="M94" i="142"/>
  <c r="J147" i="199"/>
  <c r="J106" i="199"/>
  <c r="J140" i="199"/>
  <c r="J152" i="199" s="1"/>
  <c r="M98" i="136"/>
  <c r="M101" i="136"/>
  <c r="M102" i="136"/>
  <c r="L19" i="102"/>
  <c r="J15" i="189"/>
  <c r="J44" i="189" s="1"/>
  <c r="J57" i="189" s="1"/>
  <c r="J98" i="189" s="1"/>
  <c r="M80" i="136"/>
  <c r="M146" i="162"/>
  <c r="M112" i="162"/>
  <c r="M180" i="162"/>
  <c r="M221" i="146"/>
  <c r="M255" i="146" s="1"/>
  <c r="J245" i="211"/>
  <c r="J270" i="211"/>
  <c r="P81" i="218" s="1"/>
  <c r="M231" i="149"/>
  <c r="M265" i="149" s="1"/>
  <c r="J262" i="211"/>
  <c r="P73" i="218" s="1"/>
  <c r="J237" i="211"/>
  <c r="M214" i="151"/>
  <c r="M248" i="151" s="1"/>
  <c r="J114" i="203"/>
  <c r="J117" i="203"/>
  <c r="M197" i="143"/>
  <c r="M129" i="143"/>
  <c r="M163" i="143"/>
  <c r="M83" i="143"/>
  <c r="M119" i="143"/>
  <c r="M153" i="143"/>
  <c r="M187" i="143"/>
  <c r="J15" i="196"/>
  <c r="J44" i="196" s="1"/>
  <c r="J57" i="196" s="1"/>
  <c r="J98" i="196" s="1"/>
  <c r="L26" i="102"/>
  <c r="M80" i="143"/>
  <c r="M101" i="143"/>
  <c r="M53" i="149"/>
  <c r="M290" i="149" s="1"/>
  <c r="L368" i="149"/>
  <c r="L370" i="149" s="1"/>
  <c r="A370" i="149" s="1"/>
  <c r="M96" i="137"/>
  <c r="M99" i="137"/>
  <c r="M100" i="137"/>
  <c r="L20" i="102"/>
  <c r="J15" i="190"/>
  <c r="J44" i="190" s="1"/>
  <c r="J57" i="190" s="1"/>
  <c r="J98" i="190" s="1"/>
  <c r="M81" i="139"/>
  <c r="M84" i="139"/>
  <c r="M82" i="139"/>
  <c r="L313" i="139"/>
  <c r="L314" i="139" s="1"/>
  <c r="L340" i="139"/>
  <c r="M86" i="139"/>
  <c r="M70" i="149"/>
  <c r="M229" i="151"/>
  <c r="M205" i="151"/>
  <c r="M206" i="151" s="1"/>
  <c r="M85" i="145"/>
  <c r="M184" i="145"/>
  <c r="M150" i="145"/>
  <c r="M116" i="145"/>
  <c r="L340" i="145"/>
  <c r="L314" i="145"/>
  <c r="J15" i="198"/>
  <c r="J44" i="198" s="1"/>
  <c r="J57" i="198" s="1"/>
  <c r="J98" i="198" s="1"/>
  <c r="L28" i="102"/>
  <c r="M86" i="145"/>
  <c r="M81" i="145"/>
  <c r="M53" i="146"/>
  <c r="M290" i="146" s="1"/>
  <c r="L368" i="146"/>
  <c r="L370" i="146" s="1"/>
  <c r="A370" i="146" s="1"/>
  <c r="M183" i="135"/>
  <c r="M149" i="135"/>
  <c r="M82" i="135"/>
  <c r="M79" i="135"/>
  <c r="M86" i="135"/>
  <c r="M83" i="135"/>
  <c r="L356" i="135"/>
  <c r="L329" i="135"/>
  <c r="L330" i="135" s="1"/>
  <c r="J148" i="197"/>
  <c r="J141" i="197"/>
  <c r="J153" i="197" s="1"/>
  <c r="J26" i="205" s="1"/>
  <c r="M190" i="151"/>
  <c r="M137" i="150"/>
  <c r="M138" i="150" s="1"/>
  <c r="J112" i="195"/>
  <c r="J113" i="195"/>
  <c r="J115" i="195" s="1"/>
  <c r="M179" i="147"/>
  <c r="M87" i="147"/>
  <c r="M88" i="147" s="1"/>
  <c r="M111" i="147"/>
  <c r="M145" i="147"/>
  <c r="M77" i="142"/>
  <c r="M78" i="142"/>
  <c r="M130" i="143"/>
  <c r="M198" i="143"/>
  <c r="M164" i="143"/>
  <c r="M98" i="139"/>
  <c r="M156" i="150"/>
  <c r="M182" i="145"/>
  <c r="M114" i="145"/>
  <c r="M148" i="145"/>
  <c r="L340" i="135"/>
  <c r="L313" i="135"/>
  <c r="L332" i="135" s="1"/>
  <c r="L333" i="135" s="1"/>
  <c r="A333" i="135" s="1"/>
  <c r="M213" i="151"/>
  <c r="M121" i="151"/>
  <c r="M122" i="151" s="1"/>
  <c r="L314" i="137"/>
  <c r="M199" i="86"/>
  <c r="M134" i="86"/>
  <c r="M198" i="136"/>
  <c r="M113" i="137"/>
  <c r="M53" i="142"/>
  <c r="M290" i="142" s="1"/>
  <c r="L368" i="142"/>
  <c r="L370" i="142" s="1"/>
  <c r="A370" i="142" s="1"/>
  <c r="J141" i="199"/>
  <c r="J153" i="199" s="1"/>
  <c r="J28" i="205" s="1"/>
  <c r="J148" i="199"/>
  <c r="M79" i="136"/>
  <c r="M219" i="144"/>
  <c r="M253" i="144" s="1"/>
  <c r="R624" i="217"/>
  <c r="R301" i="217"/>
  <c r="J23" i="206"/>
  <c r="K82" i="208" s="1"/>
  <c r="J106" i="194"/>
  <c r="J111" i="194" s="1"/>
  <c r="M147" i="143"/>
  <c r="M181" i="143"/>
  <c r="M113" i="143"/>
  <c r="L356" i="143"/>
  <c r="L330" i="143"/>
  <c r="M98" i="143"/>
  <c r="M80" i="137"/>
  <c r="L331" i="148"/>
  <c r="L306" i="148"/>
  <c r="L343" i="148" s="1"/>
  <c r="M46" i="148" s="1"/>
  <c r="L313" i="148"/>
  <c r="L323" i="148"/>
  <c r="L360" i="148" s="1"/>
  <c r="M63" i="148" s="1"/>
  <c r="M97" i="148" s="1"/>
  <c r="L304" i="148"/>
  <c r="L341" i="148" s="1"/>
  <c r="M44" i="148" s="1"/>
  <c r="L311" i="148"/>
  <c r="L348" i="148" s="1"/>
  <c r="M51" i="148" s="1"/>
  <c r="L322" i="148"/>
  <c r="L359" i="148" s="1"/>
  <c r="M62" i="148" s="1"/>
  <c r="L325" i="148"/>
  <c r="L362" i="148" s="1"/>
  <c r="M65" i="148" s="1"/>
  <c r="L328" i="148"/>
  <c r="L365" i="148" s="1"/>
  <c r="M68" i="148" s="1"/>
  <c r="L309" i="148"/>
  <c r="L346" i="148" s="1"/>
  <c r="M49" i="148" s="1"/>
  <c r="L319" i="148"/>
  <c r="L329" i="148"/>
  <c r="L307" i="148"/>
  <c r="L344" i="148" s="1"/>
  <c r="M47" i="148" s="1"/>
  <c r="M81" i="148" s="1"/>
  <c r="L30" i="128"/>
  <c r="L80" i="128" s="1"/>
  <c r="L310" i="148"/>
  <c r="L347" i="148" s="1"/>
  <c r="M50" i="148" s="1"/>
  <c r="L327" i="148"/>
  <c r="L364" i="148" s="1"/>
  <c r="M67" i="148" s="1"/>
  <c r="L308" i="148"/>
  <c r="L345" i="148" s="1"/>
  <c r="M48" i="148" s="1"/>
  <c r="M82" i="148" s="1"/>
  <c r="L321" i="148"/>
  <c r="L358" i="148" s="1"/>
  <c r="M61" i="148" s="1"/>
  <c r="L324" i="148"/>
  <c r="L361" i="148" s="1"/>
  <c r="M64" i="148" s="1"/>
  <c r="L305" i="148"/>
  <c r="L342" i="148" s="1"/>
  <c r="M45" i="148" s="1"/>
  <c r="L312" i="148"/>
  <c r="L349" i="148" s="1"/>
  <c r="M52" i="148" s="1"/>
  <c r="M86" i="148" s="1"/>
  <c r="L326" i="148"/>
  <c r="L363" i="148" s="1"/>
  <c r="M66" i="148" s="1"/>
  <c r="L303" i="148"/>
  <c r="L320" i="148"/>
  <c r="L357" i="148" s="1"/>
  <c r="M60" i="148" s="1"/>
  <c r="M99" i="139"/>
  <c r="M238" i="142"/>
  <c r="M272" i="142" s="1"/>
  <c r="M84" i="145"/>
  <c r="M95" i="145"/>
  <c r="M85" i="135"/>
  <c r="M96" i="135"/>
  <c r="L314" i="135"/>
  <c r="M134" i="139"/>
  <c r="M168" i="139"/>
  <c r="M220" i="138"/>
  <c r="M254" i="138" s="1"/>
  <c r="M199" i="139"/>
  <c r="M233" i="139" s="1"/>
  <c r="M267" i="139" s="1"/>
  <c r="M119" i="139"/>
  <c r="M221" i="139" s="1"/>
  <c r="M255" i="139" s="1"/>
  <c r="M189" i="150"/>
  <c r="M190" i="150" s="1"/>
  <c r="M236" i="144"/>
  <c r="M270" i="144" s="1"/>
  <c r="L351" i="142"/>
  <c r="M221" i="149"/>
  <c r="M255" i="149" s="1"/>
  <c r="L371" i="141"/>
  <c r="A371" i="141" s="1"/>
  <c r="L296" i="141"/>
  <c r="M232" i="144"/>
  <c r="M266" i="144" s="1"/>
  <c r="M233" i="142"/>
  <c r="M267" i="142" s="1"/>
  <c r="M103" i="147"/>
  <c r="M104" i="147" s="1"/>
  <c r="M196" i="147"/>
  <c r="M162" i="147"/>
  <c r="M128" i="147"/>
  <c r="M137" i="147" s="1"/>
  <c r="M138" i="147" s="1"/>
  <c r="M70" i="142"/>
  <c r="M84" i="136"/>
  <c r="M99" i="136"/>
  <c r="M94" i="136"/>
  <c r="L313" i="136"/>
  <c r="L340" i="136"/>
  <c r="J114" i="204"/>
  <c r="J116" i="204" s="1"/>
  <c r="J118" i="204" s="1"/>
  <c r="J117" i="204"/>
  <c r="J31" i="206"/>
  <c r="K90" i="208" s="1"/>
  <c r="J106" i="202"/>
  <c r="J111" i="202" s="1"/>
  <c r="M219" i="142"/>
  <c r="M253" i="142" s="1"/>
  <c r="M53" i="144"/>
  <c r="M290" i="144" s="1"/>
  <c r="L368" i="144"/>
  <c r="L370" i="144" s="1"/>
  <c r="A370" i="144" s="1"/>
  <c r="L33" i="128"/>
  <c r="L83" i="128" s="1"/>
  <c r="L325" i="140"/>
  <c r="L362" i="140" s="1"/>
  <c r="M65" i="140" s="1"/>
  <c r="L321" i="140"/>
  <c r="L358" i="140" s="1"/>
  <c r="M61" i="140" s="1"/>
  <c r="M95" i="140" s="1"/>
  <c r="L310" i="140"/>
  <c r="L347" i="140" s="1"/>
  <c r="M50" i="140" s="1"/>
  <c r="L306" i="140"/>
  <c r="L343" i="140" s="1"/>
  <c r="M46" i="140" s="1"/>
  <c r="L327" i="140"/>
  <c r="L364" i="140" s="1"/>
  <c r="M67" i="140" s="1"/>
  <c r="L323" i="140"/>
  <c r="L360" i="140" s="1"/>
  <c r="M63" i="140" s="1"/>
  <c r="L319" i="140"/>
  <c r="L312" i="140"/>
  <c r="L349" i="140" s="1"/>
  <c r="M52" i="140" s="1"/>
  <c r="L308" i="140"/>
  <c r="L345" i="140" s="1"/>
  <c r="M48" i="140" s="1"/>
  <c r="L304" i="140"/>
  <c r="L341" i="140" s="1"/>
  <c r="M44" i="140" s="1"/>
  <c r="L309" i="140"/>
  <c r="L346" i="140" s="1"/>
  <c r="L305" i="140"/>
  <c r="L342" i="140" s="1"/>
  <c r="L326" i="140"/>
  <c r="L363" i="140" s="1"/>
  <c r="M66" i="140" s="1"/>
  <c r="M100" i="140" s="1"/>
  <c r="L322" i="140"/>
  <c r="L359" i="140" s="1"/>
  <c r="M62" i="140" s="1"/>
  <c r="M96" i="140" s="1"/>
  <c r="L311" i="140"/>
  <c r="L348" i="140" s="1"/>
  <c r="L307" i="140"/>
  <c r="L344" i="140" s="1"/>
  <c r="L303" i="140"/>
  <c r="L331" i="140"/>
  <c r="L328" i="140"/>
  <c r="L365" i="140" s="1"/>
  <c r="M68" i="140" s="1"/>
  <c r="M102" i="140" s="1"/>
  <c r="L324" i="140"/>
  <c r="L361" i="140" s="1"/>
  <c r="M64" i="140" s="1"/>
  <c r="L320" i="140"/>
  <c r="L357" i="140" s="1"/>
  <c r="M60" i="140" s="1"/>
  <c r="J116" i="203"/>
  <c r="J118" i="203" s="1"/>
  <c r="M222" i="144"/>
  <c r="M256" i="144" s="1"/>
  <c r="M183" i="143"/>
  <c r="M115" i="143"/>
  <c r="M149" i="143"/>
  <c r="M170" i="143"/>
  <c r="M204" i="143"/>
  <c r="M136" i="143"/>
  <c r="M84" i="143"/>
  <c r="J113" i="200"/>
  <c r="J115" i="200" s="1"/>
  <c r="J112" i="200"/>
  <c r="L367" i="144"/>
  <c r="M84" i="137"/>
  <c r="M98" i="137"/>
  <c r="M86" i="137"/>
  <c r="M81" i="137"/>
  <c r="L356" i="137"/>
  <c r="L329" i="137"/>
  <c r="L330" i="137" s="1"/>
  <c r="M128" i="162"/>
  <c r="M162" i="162"/>
  <c r="M196" i="162"/>
  <c r="L367" i="146"/>
  <c r="M222" i="142"/>
  <c r="M256" i="142" s="1"/>
  <c r="L329" i="139"/>
  <c r="L330" i="139" s="1"/>
  <c r="L356" i="139"/>
  <c r="M101" i="139"/>
  <c r="M79" i="139"/>
  <c r="M213" i="150"/>
  <c r="M121" i="150"/>
  <c r="M282" i="150" s="1"/>
  <c r="M32" i="132" s="1"/>
  <c r="M231" i="146"/>
  <c r="M265" i="146" s="1"/>
  <c r="M93" i="149"/>
  <c r="M94" i="149"/>
  <c r="M218" i="149"/>
  <c r="M252" i="149" s="1"/>
  <c r="M137" i="151"/>
  <c r="M138" i="151" s="1"/>
  <c r="M97" i="145"/>
  <c r="M135" i="145"/>
  <c r="M203" i="145"/>
  <c r="M169" i="145"/>
  <c r="M100" i="145"/>
  <c r="M79" i="145"/>
  <c r="M215" i="144"/>
  <c r="M249" i="144" s="1"/>
  <c r="M98" i="135"/>
  <c r="M101" i="135"/>
  <c r="M102" i="135"/>
  <c r="L18" i="102"/>
  <c r="J15" i="188"/>
  <c r="J44" i="188" s="1"/>
  <c r="J57" i="188" s="1"/>
  <c r="J98" i="188" s="1"/>
  <c r="M80" i="135"/>
  <c r="J106" i="197"/>
  <c r="J140" i="197"/>
  <c r="J152" i="197" s="1"/>
  <c r="J147" i="197"/>
  <c r="M156" i="151"/>
  <c r="M205" i="150"/>
  <c r="M206" i="150" s="1"/>
  <c r="M229" i="150"/>
  <c r="M221" i="142"/>
  <c r="M255" i="142" s="1"/>
  <c r="M234" i="149"/>
  <c r="M268" i="149" s="1"/>
  <c r="M217" i="142"/>
  <c r="M251" i="142" s="1"/>
  <c r="M86" i="86"/>
  <c r="M200" i="86"/>
  <c r="M234" i="86" s="1"/>
  <c r="M268" i="86" s="1"/>
  <c r="M165" i="86"/>
  <c r="M80" i="86"/>
  <c r="M114" i="86" s="1"/>
  <c r="M84" i="86"/>
  <c r="M152" i="86" s="1"/>
  <c r="M81" i="86"/>
  <c r="M183" i="86" s="1"/>
  <c r="M215" i="134"/>
  <c r="M249" i="134" s="1"/>
  <c r="M236" i="138"/>
  <c r="M270" i="138" s="1"/>
  <c r="M231" i="135"/>
  <c r="M265" i="135" s="1"/>
  <c r="M231" i="136"/>
  <c r="M265" i="136" s="1"/>
  <c r="M216" i="139"/>
  <c r="M250" i="139" s="1"/>
  <c r="M235" i="138"/>
  <c r="M269" i="138" s="1"/>
  <c r="M236" i="136"/>
  <c r="M270" i="136" s="1"/>
  <c r="M182" i="86"/>
  <c r="M148" i="86"/>
  <c r="M216" i="138"/>
  <c r="M250" i="138" s="1"/>
  <c r="M93" i="138"/>
  <c r="M94" i="138"/>
  <c r="L16" i="102"/>
  <c r="J15" i="186"/>
  <c r="J44" i="186" s="1"/>
  <c r="J57" i="186" s="1"/>
  <c r="J98" i="186" s="1"/>
  <c r="M201" i="86"/>
  <c r="M133" i="86"/>
  <c r="M167" i="86"/>
  <c r="M222" i="134"/>
  <c r="M256" i="134" s="1"/>
  <c r="M231" i="138"/>
  <c r="M265" i="138" s="1"/>
  <c r="M77" i="138"/>
  <c r="M78" i="138"/>
  <c r="M221" i="138"/>
  <c r="M255" i="138" s="1"/>
  <c r="M237" i="137"/>
  <c r="M271" i="137" s="1"/>
  <c r="M238" i="134"/>
  <c r="M272" i="134" s="1"/>
  <c r="M218" i="138"/>
  <c r="M252" i="138" s="1"/>
  <c r="M231" i="134"/>
  <c r="M265" i="134" s="1"/>
  <c r="M59" i="86"/>
  <c r="L366" i="86"/>
  <c r="M154" i="86"/>
  <c r="M188" i="86"/>
  <c r="M120" i="86"/>
  <c r="M79" i="86"/>
  <c r="J20" i="206"/>
  <c r="K79" i="208" s="1"/>
  <c r="J106" i="191"/>
  <c r="J111" i="191" s="1"/>
  <c r="M53" i="138"/>
  <c r="L368" i="138"/>
  <c r="L370" i="138" s="1"/>
  <c r="A370" i="138" s="1"/>
  <c r="L351" i="138"/>
  <c r="M85" i="86"/>
  <c r="M118" i="86"/>
  <c r="L332" i="86"/>
  <c r="L333" i="86" s="1"/>
  <c r="A333" i="86" s="1"/>
  <c r="L314" i="86"/>
  <c r="M185" i="86"/>
  <c r="M117" i="86"/>
  <c r="M151" i="86"/>
  <c r="J21" i="209"/>
  <c r="J253" i="209" s="1"/>
  <c r="J22" i="210" s="1"/>
  <c r="J61" i="211" s="1"/>
  <c r="M169" i="86"/>
  <c r="M203" i="86"/>
  <c r="M135" i="86"/>
  <c r="M234" i="134"/>
  <c r="M268" i="134" s="1"/>
  <c r="M233" i="135"/>
  <c r="M267" i="135" s="1"/>
  <c r="M222" i="138"/>
  <c r="M256" i="138" s="1"/>
  <c r="L350" i="86"/>
  <c r="M43" i="86"/>
  <c r="M77" i="86" s="1"/>
  <c r="M69" i="138"/>
  <c r="M70" i="138" s="1"/>
  <c r="L367" i="138"/>
  <c r="M164" i="86"/>
  <c r="M198" i="86"/>
  <c r="M130" i="86"/>
  <c r="M238" i="86"/>
  <c r="M272" i="86" s="1"/>
  <c r="M82" i="86"/>
  <c r="M197" i="86"/>
  <c r="M129" i="86"/>
  <c r="M163" i="86"/>
  <c r="M232" i="138"/>
  <c r="M266" i="138" s="1"/>
  <c r="M236" i="86" l="1"/>
  <c r="M270" i="86" s="1"/>
  <c r="M99" i="148"/>
  <c r="M218" i="137"/>
  <c r="M252" i="137" s="1"/>
  <c r="M186" i="134"/>
  <c r="M152" i="134"/>
  <c r="M220" i="134" s="1"/>
  <c r="M254" i="134" s="1"/>
  <c r="M79" i="148"/>
  <c r="M166" i="145"/>
  <c r="L90" i="102"/>
  <c r="L34" i="95"/>
  <c r="L59" i="95" s="1"/>
  <c r="M131" i="134"/>
  <c r="M165" i="134"/>
  <c r="M199" i="134"/>
  <c r="M119" i="134"/>
  <c r="M221" i="134" s="1"/>
  <c r="M255" i="134" s="1"/>
  <c r="M187" i="134"/>
  <c r="M153" i="134"/>
  <c r="M119" i="136"/>
  <c r="M153" i="136"/>
  <c r="L350" i="134"/>
  <c r="M43" i="134"/>
  <c r="J104" i="187"/>
  <c r="J16" i="205" s="1"/>
  <c r="J105" i="187"/>
  <c r="J16" i="207" s="1"/>
  <c r="J17" i="209" s="1"/>
  <c r="J249" i="209" s="1"/>
  <c r="J18" i="210" s="1"/>
  <c r="J57" i="211" s="1"/>
  <c r="J255" i="211" s="1"/>
  <c r="P66" i="218" s="1"/>
  <c r="J103" i="187"/>
  <c r="M171" i="147"/>
  <c r="M172" i="147" s="1"/>
  <c r="M200" i="145"/>
  <c r="M168" i="143"/>
  <c r="M236" i="143" s="1"/>
  <c r="M270" i="143" s="1"/>
  <c r="M149" i="136"/>
  <c r="M202" i="134"/>
  <c r="M168" i="134"/>
  <c r="M134" i="134"/>
  <c r="M236" i="134" s="1"/>
  <c r="M270" i="134" s="1"/>
  <c r="M169" i="134"/>
  <c r="M135" i="134"/>
  <c r="M203" i="134"/>
  <c r="M217" i="134"/>
  <c r="M251" i="134" s="1"/>
  <c r="M59" i="134"/>
  <c r="L366" i="134"/>
  <c r="M184" i="134"/>
  <c r="M116" i="134"/>
  <c r="M218" i="134" s="1"/>
  <c r="M252" i="134" s="1"/>
  <c r="M150" i="134"/>
  <c r="M149" i="86"/>
  <c r="M122" i="150"/>
  <c r="M85" i="148"/>
  <c r="M187" i="148" s="1"/>
  <c r="M280" i="150"/>
  <c r="M32" i="131" s="1"/>
  <c r="M204" i="139"/>
  <c r="M238" i="139" s="1"/>
  <c r="M272" i="139" s="1"/>
  <c r="M114" i="134"/>
  <c r="M148" i="134"/>
  <c r="M182" i="134"/>
  <c r="M129" i="137"/>
  <c r="M197" i="137"/>
  <c r="L314" i="134"/>
  <c r="M151" i="134"/>
  <c r="M117" i="134"/>
  <c r="M185" i="134"/>
  <c r="M131" i="137"/>
  <c r="M199" i="137"/>
  <c r="M215" i="143"/>
  <c r="M249" i="143" s="1"/>
  <c r="M164" i="136"/>
  <c r="M130" i="136"/>
  <c r="M236" i="139"/>
  <c r="M270" i="139" s="1"/>
  <c r="M216" i="145"/>
  <c r="M250" i="145" s="1"/>
  <c r="M215" i="137"/>
  <c r="M249" i="137" s="1"/>
  <c r="M221" i="137"/>
  <c r="M255" i="137" s="1"/>
  <c r="M101" i="148"/>
  <c r="M233" i="86"/>
  <c r="M267" i="86" s="1"/>
  <c r="M217" i="135"/>
  <c r="M251" i="135" s="1"/>
  <c r="M221" i="143"/>
  <c r="M255" i="143" s="1"/>
  <c r="M231" i="143"/>
  <c r="M265" i="143" s="1"/>
  <c r="M185" i="139"/>
  <c r="M117" i="139"/>
  <c r="M151" i="139"/>
  <c r="M204" i="137"/>
  <c r="M170" i="137"/>
  <c r="J154" i="197"/>
  <c r="J26" i="207" s="1"/>
  <c r="M151" i="137"/>
  <c r="M117" i="137"/>
  <c r="M133" i="135"/>
  <c r="M201" i="135"/>
  <c r="M235" i="135" s="1"/>
  <c r="M269" i="135" s="1"/>
  <c r="J158" i="197"/>
  <c r="M239" i="150"/>
  <c r="M240" i="150" s="1"/>
  <c r="M263" i="150"/>
  <c r="M273" i="150" s="1"/>
  <c r="M274" i="150" s="1"/>
  <c r="M181" i="139"/>
  <c r="M113" i="139"/>
  <c r="M147" i="139"/>
  <c r="M198" i="140"/>
  <c r="M232" i="140" s="1"/>
  <c r="M266" i="140" s="1"/>
  <c r="M164" i="140"/>
  <c r="M130" i="140"/>
  <c r="M163" i="140"/>
  <c r="M197" i="140"/>
  <c r="M129" i="140"/>
  <c r="M181" i="148"/>
  <c r="M147" i="148"/>
  <c r="M113" i="148"/>
  <c r="M165" i="148"/>
  <c r="M199" i="148"/>
  <c r="M233" i="148" s="1"/>
  <c r="M267" i="148" s="1"/>
  <c r="M131" i="148"/>
  <c r="M182" i="137"/>
  <c r="M114" i="137"/>
  <c r="M148" i="137"/>
  <c r="M150" i="139"/>
  <c r="M184" i="139"/>
  <c r="M116" i="139"/>
  <c r="L93" i="102"/>
  <c r="L37" i="95"/>
  <c r="L62" i="95" s="1"/>
  <c r="M146" i="146"/>
  <c r="M112" i="146"/>
  <c r="M180" i="146"/>
  <c r="M205" i="162"/>
  <c r="M206" i="162" s="1"/>
  <c r="M229" i="162"/>
  <c r="M145" i="144"/>
  <c r="M87" i="144"/>
  <c r="M88" i="144" s="1"/>
  <c r="M179" i="144"/>
  <c r="M111" i="144"/>
  <c r="M186" i="86"/>
  <c r="J111" i="197"/>
  <c r="J150" i="197"/>
  <c r="M136" i="135"/>
  <c r="M170" i="135"/>
  <c r="M204" i="135"/>
  <c r="M113" i="145"/>
  <c r="M181" i="145"/>
  <c r="M147" i="145"/>
  <c r="M237" i="145"/>
  <c r="M271" i="145" s="1"/>
  <c r="M169" i="139"/>
  <c r="M203" i="139"/>
  <c r="M135" i="139"/>
  <c r="M132" i="137"/>
  <c r="M200" i="137"/>
  <c r="M166" i="137"/>
  <c r="M217" i="143"/>
  <c r="M251" i="143" s="1"/>
  <c r="L340" i="140"/>
  <c r="L313" i="140"/>
  <c r="M270" i="140"/>
  <c r="M202" i="140"/>
  <c r="M236" i="140" s="1"/>
  <c r="M134" i="140"/>
  <c r="M168" i="140"/>
  <c r="M82" i="140"/>
  <c r="M101" i="140"/>
  <c r="M99" i="140"/>
  <c r="M201" i="136"/>
  <c r="M167" i="136"/>
  <c r="M133" i="136"/>
  <c r="M152" i="145"/>
  <c r="M118" i="145"/>
  <c r="M186" i="145"/>
  <c r="L340" i="148"/>
  <c r="L314" i="148"/>
  <c r="M98" i="148"/>
  <c r="M84" i="148"/>
  <c r="L356" i="148"/>
  <c r="L330" i="148"/>
  <c r="M96" i="148"/>
  <c r="L332" i="148"/>
  <c r="L333" i="148" s="1"/>
  <c r="A333" i="148" s="1"/>
  <c r="M132" i="143"/>
  <c r="M166" i="143"/>
  <c r="M200" i="143"/>
  <c r="M232" i="143"/>
  <c r="M266" i="143" s="1"/>
  <c r="M54" i="142"/>
  <c r="M213" i="147"/>
  <c r="M121" i="147"/>
  <c r="M282" i="147" s="1"/>
  <c r="M29" i="132" s="1"/>
  <c r="M122" i="147"/>
  <c r="J114" i="195"/>
  <c r="J116" i="195" s="1"/>
  <c r="J118" i="195" s="1"/>
  <c r="J117" i="195"/>
  <c r="M154" i="135"/>
  <c r="M120" i="135"/>
  <c r="M188" i="135"/>
  <c r="M120" i="145"/>
  <c r="M188" i="145"/>
  <c r="M154" i="145"/>
  <c r="L350" i="145"/>
  <c r="L351" i="145" s="1"/>
  <c r="M43" i="145"/>
  <c r="M187" i="145"/>
  <c r="M153" i="145"/>
  <c r="M119" i="145"/>
  <c r="M120" i="139"/>
  <c r="M188" i="139"/>
  <c r="M154" i="139"/>
  <c r="M186" i="139"/>
  <c r="M152" i="139"/>
  <c r="M118" i="139"/>
  <c r="M202" i="137"/>
  <c r="M168" i="137"/>
  <c r="M134" i="137"/>
  <c r="J103" i="196"/>
  <c r="J104" i="196"/>
  <c r="J105" i="196"/>
  <c r="J149" i="196" s="1"/>
  <c r="M151" i="143"/>
  <c r="M117" i="143"/>
  <c r="M185" i="143"/>
  <c r="M148" i="136"/>
  <c r="M114" i="136"/>
  <c r="M182" i="136"/>
  <c r="M203" i="136"/>
  <c r="M135" i="136"/>
  <c r="M169" i="136"/>
  <c r="M134" i="135"/>
  <c r="M168" i="135"/>
  <c r="M202" i="135"/>
  <c r="M54" i="146"/>
  <c r="M232" i="145"/>
  <c r="M266" i="145" s="1"/>
  <c r="M238" i="145"/>
  <c r="M272" i="145" s="1"/>
  <c r="M161" i="144"/>
  <c r="M127" i="144"/>
  <c r="M195" i="144"/>
  <c r="M218" i="143"/>
  <c r="M252" i="143" s="1"/>
  <c r="M235" i="143"/>
  <c r="M269" i="143" s="1"/>
  <c r="M195" i="136"/>
  <c r="M127" i="136"/>
  <c r="M103" i="136"/>
  <c r="M104" i="136" s="1"/>
  <c r="M161" i="136"/>
  <c r="M59" i="145"/>
  <c r="L366" i="145"/>
  <c r="M69" i="145" s="1"/>
  <c r="M137" i="162"/>
  <c r="M138" i="162" s="1"/>
  <c r="M233" i="143"/>
  <c r="M267" i="143" s="1"/>
  <c r="M281" i="151"/>
  <c r="M33" i="133" s="1"/>
  <c r="M189" i="162"/>
  <c r="J26" i="206"/>
  <c r="J155" i="197"/>
  <c r="J156" i="197" s="1"/>
  <c r="L35" i="95"/>
  <c r="L60" i="95" s="1"/>
  <c r="L91" i="102"/>
  <c r="J114" i="200"/>
  <c r="J116" i="200" s="1"/>
  <c r="J118" i="200" s="1"/>
  <c r="J117" i="200"/>
  <c r="M197" i="145"/>
  <c r="M163" i="145"/>
  <c r="M129" i="145"/>
  <c r="M135" i="148"/>
  <c r="M169" i="148"/>
  <c r="M203" i="148"/>
  <c r="M112" i="142"/>
  <c r="M180" i="142"/>
  <c r="M146" i="142"/>
  <c r="M185" i="135"/>
  <c r="M151" i="135"/>
  <c r="M117" i="135"/>
  <c r="M149" i="145"/>
  <c r="M115" i="145"/>
  <c r="M183" i="145"/>
  <c r="L43" i="95"/>
  <c r="L68" i="95" s="1"/>
  <c r="L99" i="102"/>
  <c r="J111" i="199"/>
  <c r="J150" i="199"/>
  <c r="M103" i="144"/>
  <c r="M104" i="144" s="1"/>
  <c r="M196" i="144"/>
  <c r="M162" i="144"/>
  <c r="M128" i="144"/>
  <c r="M280" i="151"/>
  <c r="M33" i="131" s="1"/>
  <c r="M155" i="162"/>
  <c r="M156" i="162" s="1"/>
  <c r="M182" i="135"/>
  <c r="M148" i="135"/>
  <c r="M114" i="135"/>
  <c r="M135" i="135"/>
  <c r="M203" i="135"/>
  <c r="M169" i="135"/>
  <c r="M128" i="149"/>
  <c r="M196" i="149"/>
  <c r="M162" i="149"/>
  <c r="L366" i="139"/>
  <c r="M59" i="139"/>
  <c r="M230" i="162"/>
  <c r="M264" i="162" s="1"/>
  <c r="M59" i="137"/>
  <c r="L366" i="137"/>
  <c r="M118" i="137"/>
  <c r="M186" i="137"/>
  <c r="M152" i="137"/>
  <c r="M238" i="143"/>
  <c r="M272" i="143" s="1"/>
  <c r="M98" i="140"/>
  <c r="R516" i="217"/>
  <c r="M47" i="140"/>
  <c r="M81" i="140" s="1"/>
  <c r="R515" i="217"/>
  <c r="M45" i="140"/>
  <c r="M79" i="140" s="1"/>
  <c r="M80" i="140"/>
  <c r="L15" i="102"/>
  <c r="J15" i="185"/>
  <c r="J44" i="185" s="1"/>
  <c r="J57" i="185" s="1"/>
  <c r="J98" i="185" s="1"/>
  <c r="J112" i="202"/>
  <c r="J113" i="202"/>
  <c r="J115" i="202" s="1"/>
  <c r="L350" i="136"/>
  <c r="M43" i="136"/>
  <c r="M152" i="136"/>
  <c r="M186" i="136"/>
  <c r="M118" i="136"/>
  <c r="M230" i="147"/>
  <c r="M264" i="147" s="1"/>
  <c r="L325" i="141"/>
  <c r="L362" i="141" s="1"/>
  <c r="M65" i="141" s="1"/>
  <c r="L320" i="141"/>
  <c r="L357" i="141" s="1"/>
  <c r="M60" i="141" s="1"/>
  <c r="L323" i="141"/>
  <c r="L360" i="141" s="1"/>
  <c r="M63" i="141" s="1"/>
  <c r="L326" i="141"/>
  <c r="L363" i="141" s="1"/>
  <c r="M66" i="141" s="1"/>
  <c r="L307" i="141"/>
  <c r="L344" i="141" s="1"/>
  <c r="L310" i="141"/>
  <c r="L347" i="141" s="1"/>
  <c r="L329" i="141"/>
  <c r="L331" i="141"/>
  <c r="L321" i="141"/>
  <c r="L358" i="141" s="1"/>
  <c r="M61" i="141" s="1"/>
  <c r="M95" i="141" s="1"/>
  <c r="L313" i="141"/>
  <c r="L332" i="141" s="1"/>
  <c r="L319" i="141"/>
  <c r="L322" i="141"/>
  <c r="L359" i="141" s="1"/>
  <c r="M62" i="141" s="1"/>
  <c r="L303" i="141"/>
  <c r="L305" i="141"/>
  <c r="L342" i="141" s="1"/>
  <c r="L327" i="141"/>
  <c r="L364" i="141" s="1"/>
  <c r="M67" i="141" s="1"/>
  <c r="L306" i="141"/>
  <c r="L343" i="141" s="1"/>
  <c r="L22" i="128"/>
  <c r="L328" i="141"/>
  <c r="L365" i="141" s="1"/>
  <c r="M68" i="141" s="1"/>
  <c r="M102" i="141" s="1"/>
  <c r="L309" i="141"/>
  <c r="L346" i="141" s="1"/>
  <c r="L312" i="141"/>
  <c r="L349" i="141" s="1"/>
  <c r="L311" i="141"/>
  <c r="L348" i="141" s="1"/>
  <c r="L308" i="141"/>
  <c r="L345" i="141" s="1"/>
  <c r="L324" i="141"/>
  <c r="L361" i="141" s="1"/>
  <c r="M64" i="141" s="1"/>
  <c r="M98" i="141" s="1"/>
  <c r="L304" i="141"/>
  <c r="L341" i="141" s="1"/>
  <c r="M130" i="135"/>
  <c r="M164" i="135"/>
  <c r="M198" i="135"/>
  <c r="M100" i="148"/>
  <c r="M95" i="148"/>
  <c r="J15" i="201"/>
  <c r="J44" i="201" s="1"/>
  <c r="J57" i="201" s="1"/>
  <c r="J98" i="201" s="1"/>
  <c r="L31" i="102"/>
  <c r="M83" i="148"/>
  <c r="M80" i="148"/>
  <c r="M43" i="135"/>
  <c r="L350" i="135"/>
  <c r="M179" i="142"/>
  <c r="M145" i="142"/>
  <c r="M111" i="142"/>
  <c r="M87" i="142"/>
  <c r="M88" i="142" s="1"/>
  <c r="M181" i="135"/>
  <c r="M113" i="135"/>
  <c r="M147" i="135"/>
  <c r="L101" i="102"/>
  <c r="L45" i="95"/>
  <c r="L70" i="95" s="1"/>
  <c r="M218" i="145"/>
  <c r="M252" i="145" s="1"/>
  <c r="L350" i="139"/>
  <c r="M43" i="139"/>
  <c r="M115" i="139"/>
  <c r="M183" i="139"/>
  <c r="M149" i="139"/>
  <c r="M167" i="137"/>
  <c r="M133" i="137"/>
  <c r="M201" i="137"/>
  <c r="M203" i="143"/>
  <c r="M169" i="143"/>
  <c r="M135" i="143"/>
  <c r="J105" i="189"/>
  <c r="J18" i="207" s="1"/>
  <c r="J19" i="209" s="1"/>
  <c r="J251" i="209" s="1"/>
  <c r="J20" i="210" s="1"/>
  <c r="J59" i="211" s="1"/>
  <c r="J257" i="211" s="1"/>
  <c r="P68" i="218" s="1"/>
  <c r="J103" i="189"/>
  <c r="J104" i="189"/>
  <c r="J18" i="205" s="1"/>
  <c r="M132" i="136"/>
  <c r="M200" i="136"/>
  <c r="M166" i="136"/>
  <c r="M128" i="142"/>
  <c r="M196" i="142"/>
  <c r="M162" i="142"/>
  <c r="M111" i="146"/>
  <c r="M87" i="146"/>
  <c r="M88" i="146" s="1"/>
  <c r="M145" i="146"/>
  <c r="M179" i="146"/>
  <c r="L332" i="137"/>
  <c r="L333" i="137" s="1"/>
  <c r="A333" i="137" s="1"/>
  <c r="M87" i="149"/>
  <c r="M88" i="149" s="1"/>
  <c r="M112" i="149"/>
  <c r="M180" i="149"/>
  <c r="M146" i="149"/>
  <c r="L366" i="136"/>
  <c r="L330" i="136"/>
  <c r="M214" i="147"/>
  <c r="M248" i="147" s="1"/>
  <c r="M220" i="135"/>
  <c r="M254" i="135" s="1"/>
  <c r="M219" i="145"/>
  <c r="M253" i="145" s="1"/>
  <c r="J105" i="192"/>
  <c r="J21" i="207" s="1"/>
  <c r="J22" i="209" s="1"/>
  <c r="J254" i="209" s="1"/>
  <c r="J23" i="210" s="1"/>
  <c r="J62" i="211" s="1"/>
  <c r="J260" i="211" s="1"/>
  <c r="P71" i="218" s="1"/>
  <c r="J104" i="192"/>
  <c r="J21" i="205" s="1"/>
  <c r="J103" i="192"/>
  <c r="M171" i="162"/>
  <c r="M172" i="162" s="1"/>
  <c r="M103" i="146"/>
  <c r="M104" i="146" s="1"/>
  <c r="M196" i="146"/>
  <c r="M230" i="146" s="1"/>
  <c r="M264" i="146" s="1"/>
  <c r="M162" i="146"/>
  <c r="M128" i="146"/>
  <c r="M146" i="144"/>
  <c r="M155" i="144" s="1"/>
  <c r="M112" i="144"/>
  <c r="M180" i="144"/>
  <c r="M189" i="144" s="1"/>
  <c r="M217" i="136"/>
  <c r="M251" i="136" s="1"/>
  <c r="M120" i="137"/>
  <c r="M188" i="137"/>
  <c r="M154" i="137"/>
  <c r="M97" i="140"/>
  <c r="M196" i="136"/>
  <c r="M128" i="136"/>
  <c r="M162" i="136"/>
  <c r="M201" i="148"/>
  <c r="M133" i="148"/>
  <c r="M167" i="148"/>
  <c r="M181" i="136"/>
  <c r="M113" i="136"/>
  <c r="M147" i="136"/>
  <c r="M223" i="151"/>
  <c r="M224" i="151" s="1"/>
  <c r="M247" i="151"/>
  <c r="M257" i="151" s="1"/>
  <c r="M258" i="151" s="1"/>
  <c r="M155" i="147"/>
  <c r="M280" i="147" s="1"/>
  <c r="M29" i="131" s="1"/>
  <c r="M156" i="147"/>
  <c r="M136" i="136"/>
  <c r="M204" i="136"/>
  <c r="M170" i="136"/>
  <c r="M163" i="139"/>
  <c r="M197" i="139"/>
  <c r="M129" i="139"/>
  <c r="M111" i="149"/>
  <c r="M145" i="149"/>
  <c r="M179" i="149"/>
  <c r="M150" i="136"/>
  <c r="M184" i="136"/>
  <c r="M116" i="136"/>
  <c r="M43" i="143"/>
  <c r="L350" i="143"/>
  <c r="L351" i="143" s="1"/>
  <c r="M229" i="147"/>
  <c r="M205" i="147"/>
  <c r="M206" i="147" s="1"/>
  <c r="J105" i="188"/>
  <c r="J17" i="207" s="1"/>
  <c r="J18" i="209" s="1"/>
  <c r="J250" i="209" s="1"/>
  <c r="J19" i="210" s="1"/>
  <c r="J58" i="211" s="1"/>
  <c r="J104" i="188"/>
  <c r="J17" i="205" s="1"/>
  <c r="J103" i="188"/>
  <c r="M200" i="135"/>
  <c r="M132" i="135"/>
  <c r="M166" i="135"/>
  <c r="M168" i="145"/>
  <c r="M202" i="145"/>
  <c r="M134" i="145"/>
  <c r="M199" i="145"/>
  <c r="M165" i="145"/>
  <c r="M131" i="145"/>
  <c r="M161" i="149"/>
  <c r="M171" i="149" s="1"/>
  <c r="M172" i="149" s="1"/>
  <c r="M195" i="149"/>
  <c r="M127" i="149"/>
  <c r="M137" i="149" s="1"/>
  <c r="M138" i="149" s="1"/>
  <c r="M103" i="149"/>
  <c r="M104" i="149" s="1"/>
  <c r="M223" i="150"/>
  <c r="M247" i="150"/>
  <c r="M257" i="150" s="1"/>
  <c r="M258" i="150" s="1"/>
  <c r="M115" i="137"/>
  <c r="M183" i="137"/>
  <c r="M149" i="137"/>
  <c r="M152" i="143"/>
  <c r="M118" i="143"/>
  <c r="M186" i="143"/>
  <c r="M170" i="140"/>
  <c r="M136" i="140"/>
  <c r="M204" i="140"/>
  <c r="R518" i="217"/>
  <c r="M51" i="140"/>
  <c r="M85" i="140" s="1"/>
  <c r="R517" i="217"/>
  <c r="M49" i="140"/>
  <c r="M83" i="140" s="1"/>
  <c r="L329" i="140"/>
  <c r="L330" i="140" s="1"/>
  <c r="L356" i="140"/>
  <c r="M84" i="140"/>
  <c r="L332" i="136"/>
  <c r="L333" i="136" s="1"/>
  <c r="A333" i="136" s="1"/>
  <c r="L314" i="136"/>
  <c r="M281" i="150"/>
  <c r="M32" i="133" s="1"/>
  <c r="M153" i="135"/>
  <c r="M187" i="135"/>
  <c r="M119" i="135"/>
  <c r="M201" i="139"/>
  <c r="M133" i="139"/>
  <c r="M167" i="139"/>
  <c r="M188" i="148"/>
  <c r="M154" i="148"/>
  <c r="M120" i="148"/>
  <c r="M184" i="148"/>
  <c r="M116" i="148"/>
  <c r="M150" i="148"/>
  <c r="M115" i="148"/>
  <c r="M149" i="148"/>
  <c r="M183" i="148"/>
  <c r="M102" i="148"/>
  <c r="L366" i="143"/>
  <c r="M69" i="143" s="1"/>
  <c r="M70" i="143" s="1"/>
  <c r="M59" i="143"/>
  <c r="J113" i="194"/>
  <c r="J115" i="194" s="1"/>
  <c r="J112" i="194"/>
  <c r="M282" i="151"/>
  <c r="M33" i="132" s="1"/>
  <c r="M166" i="139"/>
  <c r="M132" i="139"/>
  <c r="M200" i="139"/>
  <c r="J154" i="199"/>
  <c r="M189" i="147"/>
  <c r="M59" i="135"/>
  <c r="L366" i="135"/>
  <c r="M184" i="135"/>
  <c r="M150" i="135"/>
  <c r="M116" i="135"/>
  <c r="J103" i="198"/>
  <c r="J105" i="198"/>
  <c r="J27" i="207" s="1"/>
  <c r="J28" i="209" s="1"/>
  <c r="J260" i="209" s="1"/>
  <c r="J29" i="210" s="1"/>
  <c r="J68" i="211" s="1"/>
  <c r="J104" i="198"/>
  <c r="J27" i="205" s="1"/>
  <c r="M239" i="151"/>
  <c r="M240" i="151" s="1"/>
  <c r="M263" i="151"/>
  <c r="M273" i="151" s="1"/>
  <c r="M274" i="151" s="1"/>
  <c r="L332" i="139"/>
  <c r="L333" i="139" s="1"/>
  <c r="A333" i="139" s="1"/>
  <c r="J105" i="190"/>
  <c r="J19" i="207" s="1"/>
  <c r="J20" i="209" s="1"/>
  <c r="J252" i="209" s="1"/>
  <c r="J21" i="210" s="1"/>
  <c r="J60" i="211" s="1"/>
  <c r="J103" i="190"/>
  <c r="J104" i="190"/>
  <c r="J19" i="205" s="1"/>
  <c r="M164" i="137"/>
  <c r="M130" i="137"/>
  <c r="M198" i="137"/>
  <c r="M148" i="143"/>
  <c r="M114" i="143"/>
  <c r="M216" i="143" s="1"/>
  <c r="M250" i="143" s="1"/>
  <c r="M182" i="143"/>
  <c r="M214" i="162"/>
  <c r="M248" i="162" s="1"/>
  <c r="L66" i="102"/>
  <c r="L92" i="102"/>
  <c r="L36" i="95"/>
  <c r="L61" i="95" s="1"/>
  <c r="J28" i="206"/>
  <c r="J155" i="199"/>
  <c r="J156" i="199" s="1"/>
  <c r="M161" i="142"/>
  <c r="M195" i="142"/>
  <c r="M127" i="142"/>
  <c r="M103" i="142"/>
  <c r="M104" i="142" s="1"/>
  <c r="M133" i="145"/>
  <c r="M201" i="145"/>
  <c r="M167" i="145"/>
  <c r="M198" i="139"/>
  <c r="M130" i="139"/>
  <c r="M164" i="139"/>
  <c r="M43" i="137"/>
  <c r="L350" i="137"/>
  <c r="M54" i="149"/>
  <c r="M185" i="136"/>
  <c r="M117" i="136"/>
  <c r="M151" i="136"/>
  <c r="L95" i="102"/>
  <c r="L39" i="95"/>
  <c r="L64" i="95" s="1"/>
  <c r="M213" i="162"/>
  <c r="M121" i="162"/>
  <c r="M282" i="162" s="1"/>
  <c r="M24" i="132" s="1"/>
  <c r="M188" i="136"/>
  <c r="M120" i="136"/>
  <c r="M154" i="136"/>
  <c r="M234" i="145"/>
  <c r="M268" i="145" s="1"/>
  <c r="M195" i="146"/>
  <c r="M127" i="146"/>
  <c r="M161" i="146"/>
  <c r="M222" i="143"/>
  <c r="M256" i="143" s="1"/>
  <c r="M54" i="144"/>
  <c r="M115" i="86"/>
  <c r="M217" i="86" s="1"/>
  <c r="M251" i="86" s="1"/>
  <c r="M232" i="86"/>
  <c r="M266" i="86" s="1"/>
  <c r="M235" i="86"/>
  <c r="M269" i="86" s="1"/>
  <c r="M150" i="86"/>
  <c r="M184" i="86"/>
  <c r="M116" i="86"/>
  <c r="M237" i="86"/>
  <c r="M271" i="86" s="1"/>
  <c r="M222" i="86"/>
  <c r="M256" i="86" s="1"/>
  <c r="M145" i="138"/>
  <c r="M179" i="138"/>
  <c r="M111" i="138"/>
  <c r="M87" i="138"/>
  <c r="M88" i="138" s="1"/>
  <c r="M78" i="86"/>
  <c r="M87" i="86" s="1"/>
  <c r="M88" i="86" s="1"/>
  <c r="M153" i="86"/>
  <c r="M187" i="86"/>
  <c r="M119" i="86"/>
  <c r="M69" i="86"/>
  <c r="M70" i="86" s="1"/>
  <c r="L367" i="86"/>
  <c r="J256" i="211"/>
  <c r="P67" i="218" s="1"/>
  <c r="J231" i="211"/>
  <c r="J105" i="186"/>
  <c r="J15" i="207" s="1"/>
  <c r="J103" i="186"/>
  <c r="J104" i="186"/>
  <c r="J15" i="205" s="1"/>
  <c r="M196" i="138"/>
  <c r="M128" i="138"/>
  <c r="M162" i="138"/>
  <c r="M231" i="86"/>
  <c r="M265" i="86" s="1"/>
  <c r="M145" i="86"/>
  <c r="M179" i="86"/>
  <c r="M111" i="86"/>
  <c r="J258" i="211"/>
  <c r="P69" i="218" s="1"/>
  <c r="J233" i="211"/>
  <c r="M220" i="86"/>
  <c r="M254" i="86" s="1"/>
  <c r="M54" i="138"/>
  <c r="M290" i="138"/>
  <c r="M93" i="86"/>
  <c r="M94" i="86"/>
  <c r="M161" i="138"/>
  <c r="M195" i="138"/>
  <c r="M127" i="138"/>
  <c r="M103" i="138"/>
  <c r="M104" i="138" s="1"/>
  <c r="M216" i="86"/>
  <c r="M250" i="86" s="1"/>
  <c r="M53" i="86"/>
  <c r="L368" i="86"/>
  <c r="L370" i="86" s="1"/>
  <c r="A370" i="86" s="1"/>
  <c r="L351" i="86"/>
  <c r="J259" i="211"/>
  <c r="P70" i="218" s="1"/>
  <c r="J234" i="211"/>
  <c r="M219" i="86"/>
  <c r="M253" i="86" s="1"/>
  <c r="J113" i="191"/>
  <c r="J115" i="191" s="1"/>
  <c r="J112" i="191"/>
  <c r="M181" i="86"/>
  <c r="M113" i="86"/>
  <c r="M147" i="86"/>
  <c r="J230" i="211"/>
  <c r="M146" i="138"/>
  <c r="M180" i="138"/>
  <c r="M112" i="138"/>
  <c r="L89" i="102"/>
  <c r="L33" i="95"/>
  <c r="L58" i="95" s="1"/>
  <c r="M217" i="145" l="1"/>
  <c r="M251" i="145" s="1"/>
  <c r="M215" i="135"/>
  <c r="M249" i="135" s="1"/>
  <c r="M281" i="147"/>
  <c r="M29" i="133" s="1"/>
  <c r="M218" i="136"/>
  <c r="M252" i="136" s="1"/>
  <c r="M153" i="148"/>
  <c r="M101" i="141"/>
  <c r="M214" i="142"/>
  <c r="M248" i="142" s="1"/>
  <c r="M231" i="137"/>
  <c r="M265" i="137" s="1"/>
  <c r="M216" i="134"/>
  <c r="M250" i="134" s="1"/>
  <c r="M237" i="134"/>
  <c r="M271" i="134" s="1"/>
  <c r="M221" i="136"/>
  <c r="M255" i="136" s="1"/>
  <c r="M233" i="134"/>
  <c r="M267" i="134" s="1"/>
  <c r="J232" i="211"/>
  <c r="M119" i="148"/>
  <c r="L333" i="141"/>
  <c r="A333" i="141" s="1"/>
  <c r="M237" i="148"/>
  <c r="M271" i="148" s="1"/>
  <c r="M219" i="134"/>
  <c r="M253" i="134" s="1"/>
  <c r="L367" i="134"/>
  <c r="M69" i="134"/>
  <c r="M70" i="134" s="1"/>
  <c r="M77" i="134"/>
  <c r="M78" i="134"/>
  <c r="M219" i="137"/>
  <c r="M253" i="137" s="1"/>
  <c r="M233" i="137"/>
  <c r="M267" i="137" s="1"/>
  <c r="M94" i="134"/>
  <c r="M93" i="134"/>
  <c r="J16" i="206"/>
  <c r="K75" i="208" s="1"/>
  <c r="J106" i="187"/>
  <c r="J111" i="187" s="1"/>
  <c r="M53" i="134"/>
  <c r="L368" i="134"/>
  <c r="L370" i="134" s="1"/>
  <c r="A370" i="134" s="1"/>
  <c r="L351" i="134"/>
  <c r="M232" i="139"/>
  <c r="M266" i="139" s="1"/>
  <c r="M238" i="137"/>
  <c r="M272" i="137" s="1"/>
  <c r="M230" i="136"/>
  <c r="M264" i="136" s="1"/>
  <c r="M218" i="139"/>
  <c r="M252" i="139" s="1"/>
  <c r="M232" i="136"/>
  <c r="M266" i="136" s="1"/>
  <c r="M235" i="139"/>
  <c r="M269" i="139" s="1"/>
  <c r="M235" i="148"/>
  <c r="M269" i="148" s="1"/>
  <c r="M237" i="136"/>
  <c r="M271" i="136" s="1"/>
  <c r="M236" i="137"/>
  <c r="M270" i="137" s="1"/>
  <c r="M222" i="145"/>
  <c r="M256" i="145" s="1"/>
  <c r="M222" i="135"/>
  <c r="M256" i="135" s="1"/>
  <c r="M219" i="139"/>
  <c r="M253" i="139" s="1"/>
  <c r="L367" i="143"/>
  <c r="M234" i="135"/>
  <c r="M268" i="135" s="1"/>
  <c r="M231" i="139"/>
  <c r="M265" i="139" s="1"/>
  <c r="M237" i="143"/>
  <c r="M271" i="143" s="1"/>
  <c r="M99" i="141"/>
  <c r="M219" i="143"/>
  <c r="M253" i="143" s="1"/>
  <c r="M220" i="139"/>
  <c r="M254" i="139" s="1"/>
  <c r="M235" i="137"/>
  <c r="M269" i="137" s="1"/>
  <c r="M217" i="148"/>
  <c r="M251" i="148" s="1"/>
  <c r="M222" i="137"/>
  <c r="M256" i="137" s="1"/>
  <c r="L366" i="140"/>
  <c r="M59" i="140"/>
  <c r="J106" i="188"/>
  <c r="J111" i="188" s="1"/>
  <c r="J17" i="206"/>
  <c r="K76" i="208" s="1"/>
  <c r="M199" i="140"/>
  <c r="M131" i="140"/>
  <c r="M165" i="140"/>
  <c r="M171" i="142"/>
  <c r="M172" i="142" s="1"/>
  <c r="M78" i="135"/>
  <c r="M77" i="135"/>
  <c r="M51" i="141"/>
  <c r="Q562" i="217"/>
  <c r="L340" i="141"/>
  <c r="L314" i="141"/>
  <c r="M47" i="141"/>
  <c r="Q558" i="217"/>
  <c r="M118" i="148"/>
  <c r="M186" i="148"/>
  <c r="M152" i="148"/>
  <c r="J235" i="211"/>
  <c r="M222" i="136"/>
  <c r="M256" i="136" s="1"/>
  <c r="M223" i="162"/>
  <c r="M224" i="162" s="1"/>
  <c r="M247" i="162"/>
  <c r="M257" i="162" s="1"/>
  <c r="M258" i="162" s="1"/>
  <c r="M219" i="136"/>
  <c r="M253" i="136" s="1"/>
  <c r="M77" i="137"/>
  <c r="M78" i="137"/>
  <c r="J106" i="198"/>
  <c r="J111" i="198" s="1"/>
  <c r="J27" i="206"/>
  <c r="K86" i="208" s="1"/>
  <c r="M69" i="135"/>
  <c r="M70" i="135" s="1"/>
  <c r="L367" i="135"/>
  <c r="J28" i="207"/>
  <c r="J158" i="199"/>
  <c r="M93" i="143"/>
  <c r="M94" i="143"/>
  <c r="M218" i="148"/>
  <c r="M252" i="148" s="1"/>
  <c r="M221" i="135"/>
  <c r="M255" i="135" s="1"/>
  <c r="M217" i="137"/>
  <c r="M251" i="137" s="1"/>
  <c r="M224" i="150"/>
  <c r="M279" i="150"/>
  <c r="M229" i="149"/>
  <c r="M205" i="149"/>
  <c r="M206" i="149" s="1"/>
  <c r="M233" i="145"/>
  <c r="M267" i="145" s="1"/>
  <c r="M279" i="151"/>
  <c r="M137" i="146"/>
  <c r="M138" i="146" s="1"/>
  <c r="M69" i="136"/>
  <c r="M70" i="136" s="1"/>
  <c r="L367" i="136"/>
  <c r="M155" i="146"/>
  <c r="M156" i="146" s="1"/>
  <c r="M230" i="142"/>
  <c r="M264" i="142" s="1"/>
  <c r="M217" i="139"/>
  <c r="M251" i="139" s="1"/>
  <c r="M155" i="142"/>
  <c r="M280" i="142" s="1"/>
  <c r="M23" i="131" s="1"/>
  <c r="M148" i="148"/>
  <c r="M182" i="148"/>
  <c r="M114" i="148"/>
  <c r="M117" i="148"/>
  <c r="M151" i="148"/>
  <c r="M185" i="148"/>
  <c r="M134" i="148"/>
  <c r="M202" i="148"/>
  <c r="M168" i="148"/>
  <c r="M44" i="141"/>
  <c r="Q555" i="217"/>
  <c r="M52" i="141"/>
  <c r="M86" i="141" s="1"/>
  <c r="Q563" i="217"/>
  <c r="M46" i="141"/>
  <c r="Q557" i="217"/>
  <c r="M96" i="141"/>
  <c r="M100" i="141"/>
  <c r="M77" i="136"/>
  <c r="M78" i="136"/>
  <c r="J105" i="185"/>
  <c r="J14" i="207" s="1"/>
  <c r="J103" i="185"/>
  <c r="J104" i="185"/>
  <c r="J14" i="205" s="1"/>
  <c r="M147" i="140"/>
  <c r="M113" i="140"/>
  <c r="M181" i="140"/>
  <c r="M132" i="140"/>
  <c r="M200" i="140"/>
  <c r="M166" i="140"/>
  <c r="M220" i="137"/>
  <c r="M254" i="137" s="1"/>
  <c r="M93" i="139"/>
  <c r="M94" i="139"/>
  <c r="M216" i="135"/>
  <c r="M250" i="135" s="1"/>
  <c r="M280" i="162"/>
  <c r="M24" i="131" s="1"/>
  <c r="M230" i="144"/>
  <c r="M264" i="144" s="1"/>
  <c r="M171" i="136"/>
  <c r="M172" i="136" s="1"/>
  <c r="M137" i="144"/>
  <c r="M138" i="144" s="1"/>
  <c r="M216" i="136"/>
  <c r="M250" i="136" s="1"/>
  <c r="M222" i="139"/>
  <c r="M256" i="139" s="1"/>
  <c r="M234" i="143"/>
  <c r="M268" i="143" s="1"/>
  <c r="M198" i="148"/>
  <c r="M164" i="148"/>
  <c r="M130" i="148"/>
  <c r="M166" i="148"/>
  <c r="M200" i="148"/>
  <c r="M132" i="148"/>
  <c r="M220" i="145"/>
  <c r="M254" i="145" s="1"/>
  <c r="M235" i="136"/>
  <c r="M269" i="136" s="1"/>
  <c r="L314" i="140"/>
  <c r="L332" i="140"/>
  <c r="L333" i="140" s="1"/>
  <c r="A333" i="140" s="1"/>
  <c r="M237" i="139"/>
  <c r="M271" i="139" s="1"/>
  <c r="M156" i="144"/>
  <c r="M214" i="146"/>
  <c r="M248" i="146" s="1"/>
  <c r="M216" i="137"/>
  <c r="M250" i="137" s="1"/>
  <c r="M53" i="137"/>
  <c r="L351" i="137"/>
  <c r="L368" i="137"/>
  <c r="L370" i="137" s="1"/>
  <c r="A370" i="137" s="1"/>
  <c r="M170" i="148"/>
  <c r="M136" i="148"/>
  <c r="M204" i="148"/>
  <c r="M239" i="147"/>
  <c r="M240" i="147" s="1"/>
  <c r="M263" i="147"/>
  <c r="M273" i="147" s="1"/>
  <c r="M274" i="147" s="1"/>
  <c r="M121" i="149"/>
  <c r="M282" i="149" s="1"/>
  <c r="M31" i="132" s="1"/>
  <c r="M214" i="149"/>
  <c r="M248" i="149" s="1"/>
  <c r="M189" i="146"/>
  <c r="M121" i="142"/>
  <c r="M122" i="142" s="1"/>
  <c r="M213" i="142"/>
  <c r="L72" i="128"/>
  <c r="L35" i="128"/>
  <c r="M201" i="141"/>
  <c r="M167" i="141"/>
  <c r="M133" i="141"/>
  <c r="J113" i="199"/>
  <c r="J115" i="199" s="1"/>
  <c r="J112" i="199"/>
  <c r="M205" i="136"/>
  <c r="M206" i="136" s="1"/>
  <c r="M229" i="136"/>
  <c r="M229" i="146"/>
  <c r="M205" i="146"/>
  <c r="M206" i="146" s="1"/>
  <c r="M235" i="145"/>
  <c r="M269" i="145" s="1"/>
  <c r="M232" i="137"/>
  <c r="M266" i="137" s="1"/>
  <c r="J106" i="190"/>
  <c r="J111" i="190" s="1"/>
  <c r="J19" i="206"/>
  <c r="K78" i="208" s="1"/>
  <c r="M218" i="135"/>
  <c r="M252" i="135" s="1"/>
  <c r="M94" i="135"/>
  <c r="M93" i="135"/>
  <c r="M234" i="139"/>
  <c r="M268" i="139" s="1"/>
  <c r="J114" i="194"/>
  <c r="J116" i="194" s="1"/>
  <c r="J118" i="194" s="1"/>
  <c r="J117" i="194"/>
  <c r="M185" i="140"/>
  <c r="M151" i="140"/>
  <c r="M117" i="140"/>
  <c r="M238" i="140"/>
  <c r="M272" i="140" s="1"/>
  <c r="L368" i="143"/>
  <c r="L370" i="143" s="1"/>
  <c r="A370" i="143" s="1"/>
  <c r="M53" i="143"/>
  <c r="M290" i="143" s="1"/>
  <c r="M213" i="149"/>
  <c r="M171" i="146"/>
  <c r="M172" i="146" s="1"/>
  <c r="J106" i="192"/>
  <c r="J111" i="192" s="1"/>
  <c r="J21" i="206"/>
  <c r="K80" i="208" s="1"/>
  <c r="M155" i="149"/>
  <c r="M280" i="149" s="1"/>
  <c r="M31" i="131" s="1"/>
  <c r="M137" i="142"/>
  <c r="M138" i="142" s="1"/>
  <c r="M78" i="139"/>
  <c r="M77" i="139"/>
  <c r="M189" i="142"/>
  <c r="M190" i="142" s="1"/>
  <c r="L48" i="95"/>
  <c r="L73" i="95" s="1"/>
  <c r="L104" i="102"/>
  <c r="M232" i="135"/>
  <c r="M266" i="135" s="1"/>
  <c r="M132" i="141"/>
  <c r="M166" i="141"/>
  <c r="M200" i="141"/>
  <c r="M49" i="141"/>
  <c r="Q560" i="217"/>
  <c r="M169" i="141"/>
  <c r="M203" i="141"/>
  <c r="M135" i="141"/>
  <c r="L356" i="141"/>
  <c r="L330" i="141"/>
  <c r="M97" i="141"/>
  <c r="M220" i="136"/>
  <c r="M254" i="136" s="1"/>
  <c r="L368" i="136"/>
  <c r="L370" i="136" s="1"/>
  <c r="A370" i="136" s="1"/>
  <c r="L351" i="136"/>
  <c r="M53" i="136"/>
  <c r="R328" i="217"/>
  <c r="L88" i="102"/>
  <c r="L32" i="95"/>
  <c r="L367" i="137"/>
  <c r="M69" i="137"/>
  <c r="M70" i="137" s="1"/>
  <c r="M69" i="139"/>
  <c r="M70" i="139" s="1"/>
  <c r="L367" i="139"/>
  <c r="M219" i="135"/>
  <c r="M253" i="135" s="1"/>
  <c r="M190" i="162"/>
  <c r="M281" i="162"/>
  <c r="M24" i="133" s="1"/>
  <c r="L367" i="145"/>
  <c r="M171" i="144"/>
  <c r="M172" i="144" s="1"/>
  <c r="M236" i="135"/>
  <c r="M270" i="135" s="1"/>
  <c r="M221" i="145"/>
  <c r="M255" i="145" s="1"/>
  <c r="M77" i="145"/>
  <c r="M78" i="145"/>
  <c r="M223" i="147"/>
  <c r="M224" i="147" s="1"/>
  <c r="M247" i="147"/>
  <c r="M257" i="147" s="1"/>
  <c r="M258" i="147" s="1"/>
  <c r="M167" i="140"/>
  <c r="M201" i="140"/>
  <c r="M133" i="140"/>
  <c r="R514" i="217"/>
  <c r="L350" i="140"/>
  <c r="M43" i="140"/>
  <c r="M234" i="137"/>
  <c r="M268" i="137" s="1"/>
  <c r="M215" i="145"/>
  <c r="M249" i="145" s="1"/>
  <c r="M213" i="144"/>
  <c r="M121" i="144"/>
  <c r="M122" i="144" s="1"/>
  <c r="M239" i="162"/>
  <c r="M240" i="162" s="1"/>
  <c r="M263" i="162"/>
  <c r="M273" i="162" s="1"/>
  <c r="M274" i="162" s="1"/>
  <c r="M215" i="148"/>
  <c r="M249" i="148" s="1"/>
  <c r="M231" i="140"/>
  <c r="M265" i="140" s="1"/>
  <c r="M215" i="139"/>
  <c r="M249" i="139" s="1"/>
  <c r="J241" i="211"/>
  <c r="J266" i="211"/>
  <c r="P77" i="218" s="1"/>
  <c r="M119" i="140"/>
  <c r="M221" i="140" s="1"/>
  <c r="M255" i="140" s="1"/>
  <c r="M187" i="140"/>
  <c r="M153" i="140"/>
  <c r="M129" i="148"/>
  <c r="M197" i="148"/>
  <c r="M163" i="148"/>
  <c r="M163" i="141"/>
  <c r="M129" i="141"/>
  <c r="M197" i="141"/>
  <c r="J114" i="202"/>
  <c r="J116" i="202" s="1"/>
  <c r="J118" i="202" s="1"/>
  <c r="J117" i="202"/>
  <c r="M86" i="140"/>
  <c r="M93" i="145"/>
  <c r="M94" i="145"/>
  <c r="M205" i="144"/>
  <c r="M206" i="144" s="1"/>
  <c r="M229" i="144"/>
  <c r="J147" i="196"/>
  <c r="J140" i="196"/>
  <c r="J152" i="196" s="1"/>
  <c r="J106" i="196"/>
  <c r="M252" i="140"/>
  <c r="M184" i="140"/>
  <c r="M116" i="140"/>
  <c r="M218" i="140" s="1"/>
  <c r="M150" i="140"/>
  <c r="M122" i="162"/>
  <c r="M229" i="142"/>
  <c r="M205" i="142"/>
  <c r="M206" i="142" s="1"/>
  <c r="M190" i="147"/>
  <c r="M222" i="148"/>
  <c r="M256" i="148" s="1"/>
  <c r="M152" i="140"/>
  <c r="M186" i="140"/>
  <c r="M118" i="140"/>
  <c r="M220" i="143"/>
  <c r="M254" i="143" s="1"/>
  <c r="M236" i="145"/>
  <c r="M270" i="145" s="1"/>
  <c r="M77" i="143"/>
  <c r="M78" i="143"/>
  <c r="M238" i="136"/>
  <c r="M272" i="136" s="1"/>
  <c r="M215" i="136"/>
  <c r="M249" i="136" s="1"/>
  <c r="M214" i="144"/>
  <c r="M248" i="144" s="1"/>
  <c r="M189" i="149"/>
  <c r="M281" i="149" s="1"/>
  <c r="M31" i="133" s="1"/>
  <c r="M121" i="146"/>
  <c r="M282" i="146" s="1"/>
  <c r="M28" i="132" s="1"/>
  <c r="M213" i="146"/>
  <c r="M234" i="136"/>
  <c r="M268" i="136" s="1"/>
  <c r="J106" i="189"/>
  <c r="J111" i="189" s="1"/>
  <c r="J18" i="206"/>
  <c r="K77" i="208" s="1"/>
  <c r="L368" i="139"/>
  <c r="L370" i="139" s="1"/>
  <c r="A370" i="139" s="1"/>
  <c r="L351" i="139"/>
  <c r="M53" i="139"/>
  <c r="M53" i="135"/>
  <c r="L368" i="135"/>
  <c r="L370" i="135" s="1"/>
  <c r="A370" i="135" s="1"/>
  <c r="L351" i="135"/>
  <c r="M221" i="148"/>
  <c r="M255" i="148" s="1"/>
  <c r="J105" i="201"/>
  <c r="J30" i="207" s="1"/>
  <c r="J31" i="209" s="1"/>
  <c r="J263" i="209" s="1"/>
  <c r="J32" i="210" s="1"/>
  <c r="J71" i="211" s="1"/>
  <c r="J104" i="201"/>
  <c r="J30" i="205" s="1"/>
  <c r="J103" i="201"/>
  <c r="M48" i="141"/>
  <c r="M82" i="141" s="1"/>
  <c r="Q559" i="217"/>
  <c r="M170" i="141"/>
  <c r="M204" i="141"/>
  <c r="M136" i="141"/>
  <c r="M45" i="141"/>
  <c r="Q556" i="217"/>
  <c r="R525" i="217" s="1"/>
  <c r="M50" i="141"/>
  <c r="M84" i="141" s="1"/>
  <c r="Q561" i="217"/>
  <c r="M148" i="140"/>
  <c r="M182" i="140"/>
  <c r="M114" i="140"/>
  <c r="M183" i="140"/>
  <c r="M115" i="140"/>
  <c r="M217" i="140" s="1"/>
  <c r="M251" i="140" s="1"/>
  <c r="M149" i="140"/>
  <c r="M93" i="137"/>
  <c r="M94" i="137"/>
  <c r="M230" i="149"/>
  <c r="M264" i="149" s="1"/>
  <c r="M237" i="135"/>
  <c r="M271" i="135" s="1"/>
  <c r="M231" i="145"/>
  <c r="M265" i="145" s="1"/>
  <c r="M70" i="145"/>
  <c r="M137" i="136"/>
  <c r="M138" i="136" s="1"/>
  <c r="J141" i="196"/>
  <c r="J153" i="196" s="1"/>
  <c r="J25" i="205" s="1"/>
  <c r="J148" i="196"/>
  <c r="L368" i="145"/>
  <c r="L370" i="145" s="1"/>
  <c r="A370" i="145" s="1"/>
  <c r="M53" i="145"/>
  <c r="M54" i="145" s="1"/>
  <c r="M59" i="148"/>
  <c r="L366" i="148"/>
  <c r="M69" i="148" s="1"/>
  <c r="M43" i="148"/>
  <c r="L350" i="148"/>
  <c r="L351" i="148" s="1"/>
  <c r="M203" i="140"/>
  <c r="M237" i="140" s="1"/>
  <c r="M271" i="140" s="1"/>
  <c r="M135" i="140"/>
  <c r="M169" i="140"/>
  <c r="M238" i="135"/>
  <c r="M272" i="135" s="1"/>
  <c r="J112" i="197"/>
  <c r="J113" i="197"/>
  <c r="J115" i="197" s="1"/>
  <c r="M190" i="144"/>
  <c r="J27" i="209"/>
  <c r="J259" i="209" s="1"/>
  <c r="J28" i="210" s="1"/>
  <c r="J67" i="211" s="1"/>
  <c r="K85" i="208"/>
  <c r="M171" i="138"/>
  <c r="M172" i="138" s="1"/>
  <c r="M218" i="86"/>
  <c r="M252" i="86" s="1"/>
  <c r="M230" i="138"/>
  <c r="M264" i="138" s="1"/>
  <c r="M137" i="138"/>
  <c r="M138" i="138" s="1"/>
  <c r="M161" i="86"/>
  <c r="M195" i="86"/>
  <c r="M127" i="86"/>
  <c r="M103" i="86"/>
  <c r="M104" i="86" s="1"/>
  <c r="P84" i="218"/>
  <c r="M214" i="138"/>
  <c r="M248" i="138" s="1"/>
  <c r="M54" i="86"/>
  <c r="M290" i="86"/>
  <c r="M196" i="86"/>
  <c r="M128" i="86"/>
  <c r="M162" i="86"/>
  <c r="M213" i="86"/>
  <c r="J15" i="206"/>
  <c r="J106" i="186"/>
  <c r="J111" i="186" s="1"/>
  <c r="M221" i="86"/>
  <c r="M255" i="86" s="1"/>
  <c r="M146" i="86"/>
  <c r="M155" i="86" s="1"/>
  <c r="M180" i="86"/>
  <c r="M189" i="86" s="1"/>
  <c r="M112" i="86"/>
  <c r="M155" i="138"/>
  <c r="J16" i="209"/>
  <c r="J248" i="209" s="1"/>
  <c r="M213" i="138"/>
  <c r="M121" i="138"/>
  <c r="J117" i="191"/>
  <c r="J114" i="191"/>
  <c r="J116" i="191" s="1"/>
  <c r="J118" i="191" s="1"/>
  <c r="M215" i="86"/>
  <c r="M249" i="86" s="1"/>
  <c r="M229" i="138"/>
  <c r="M205" i="138"/>
  <c r="M206" i="138" s="1"/>
  <c r="M189" i="138"/>
  <c r="M220" i="148" l="1"/>
  <c r="M254" i="148" s="1"/>
  <c r="M103" i="134"/>
  <c r="M104" i="134" s="1"/>
  <c r="M127" i="134"/>
  <c r="M161" i="134"/>
  <c r="M195" i="134"/>
  <c r="M112" i="134"/>
  <c r="M214" i="134" s="1"/>
  <c r="M248" i="134" s="1"/>
  <c r="M180" i="134"/>
  <c r="M146" i="134"/>
  <c r="M290" i="134"/>
  <c r="M54" i="134"/>
  <c r="M162" i="134"/>
  <c r="M196" i="134"/>
  <c r="M128" i="134"/>
  <c r="M87" i="134"/>
  <c r="M88" i="134" s="1"/>
  <c r="M111" i="134"/>
  <c r="M145" i="134"/>
  <c r="M155" i="134" s="1"/>
  <c r="M156" i="134" s="1"/>
  <c r="M179" i="134"/>
  <c r="J112" i="187"/>
  <c r="J113" i="187"/>
  <c r="J115" i="187" s="1"/>
  <c r="J154" i="196"/>
  <c r="M122" i="149"/>
  <c r="M281" i="146"/>
  <c r="M28" i="133" s="1"/>
  <c r="M234" i="148"/>
  <c r="M268" i="148" s="1"/>
  <c r="M236" i="148"/>
  <c r="M270" i="148" s="1"/>
  <c r="M156" i="142"/>
  <c r="M80" i="141"/>
  <c r="M156" i="149"/>
  <c r="J158" i="196"/>
  <c r="J25" i="207"/>
  <c r="J117" i="197"/>
  <c r="J114" i="197"/>
  <c r="J116" i="197" s="1"/>
  <c r="J118" i="197" s="1"/>
  <c r="M116" i="141"/>
  <c r="M150" i="141"/>
  <c r="M184" i="141"/>
  <c r="M54" i="139"/>
  <c r="M290" i="139"/>
  <c r="M188" i="140"/>
  <c r="M120" i="140"/>
  <c r="M222" i="140" s="1"/>
  <c r="M256" i="140" s="1"/>
  <c r="M154" i="140"/>
  <c r="R573" i="217"/>
  <c r="R529" i="217"/>
  <c r="M59" i="141"/>
  <c r="L366" i="141"/>
  <c r="M69" i="141" s="1"/>
  <c r="M182" i="141"/>
  <c r="M114" i="141"/>
  <c r="M148" i="141"/>
  <c r="J240" i="211"/>
  <c r="J265" i="211"/>
  <c r="P76" i="218" s="1"/>
  <c r="L367" i="148"/>
  <c r="M162" i="137"/>
  <c r="M196" i="137"/>
  <c r="M128" i="137"/>
  <c r="M152" i="141"/>
  <c r="M186" i="141"/>
  <c r="M118" i="141"/>
  <c r="M238" i="141"/>
  <c r="M272" i="141" s="1"/>
  <c r="J106" i="201"/>
  <c r="J111" i="201" s="1"/>
  <c r="J30" i="206"/>
  <c r="K89" i="208" s="1"/>
  <c r="M87" i="143"/>
  <c r="M88" i="143" s="1"/>
  <c r="M146" i="143"/>
  <c r="M180" i="143"/>
  <c r="M112" i="143"/>
  <c r="J111" i="196"/>
  <c r="J150" i="196"/>
  <c r="M190" i="149"/>
  <c r="M111" i="145"/>
  <c r="M145" i="145"/>
  <c r="M179" i="145"/>
  <c r="R357" i="217"/>
  <c r="R616" i="217"/>
  <c r="R620" i="217" s="1"/>
  <c r="M83" i="141"/>
  <c r="M281" i="142"/>
  <c r="M23" i="133" s="1"/>
  <c r="M281" i="144"/>
  <c r="M26" i="133" s="1"/>
  <c r="J114" i="199"/>
  <c r="J116" i="199" s="1"/>
  <c r="J118" i="199" s="1"/>
  <c r="J117" i="199"/>
  <c r="M235" i="141"/>
  <c r="M269" i="141" s="1"/>
  <c r="M223" i="142"/>
  <c r="M224" i="142" s="1"/>
  <c r="M247" i="142"/>
  <c r="M257" i="142" s="1"/>
  <c r="M258" i="142" s="1"/>
  <c r="M238" i="148"/>
  <c r="M272" i="148" s="1"/>
  <c r="M162" i="139"/>
  <c r="M196" i="139"/>
  <c r="M128" i="139"/>
  <c r="M234" i="140"/>
  <c r="M268" i="140" s="1"/>
  <c r="M215" i="140"/>
  <c r="M249" i="140" s="1"/>
  <c r="J14" i="206"/>
  <c r="J106" i="185"/>
  <c r="J111" i="185" s="1"/>
  <c r="M134" i="141"/>
  <c r="M168" i="141"/>
  <c r="M202" i="141"/>
  <c r="J29" i="209"/>
  <c r="J261" i="209" s="1"/>
  <c r="J30" i="210" s="1"/>
  <c r="J69" i="211" s="1"/>
  <c r="K87" i="208"/>
  <c r="J113" i="198"/>
  <c r="J115" i="198" s="1"/>
  <c r="J112" i="198"/>
  <c r="R575" i="217"/>
  <c r="L350" i="141"/>
  <c r="M43" i="141"/>
  <c r="Q554" i="217"/>
  <c r="M180" i="135"/>
  <c r="M146" i="135"/>
  <c r="M112" i="135"/>
  <c r="J113" i="188"/>
  <c r="J115" i="188" s="1"/>
  <c r="J112" i="188"/>
  <c r="M77" i="148"/>
  <c r="M78" i="148"/>
  <c r="R527" i="217"/>
  <c r="R415" i="217"/>
  <c r="J35" i="205"/>
  <c r="M78" i="141"/>
  <c r="M70" i="148"/>
  <c r="M195" i="137"/>
  <c r="M161" i="137"/>
  <c r="M171" i="137" s="1"/>
  <c r="M172" i="137" s="1"/>
  <c r="M127" i="137"/>
  <c r="M137" i="137" s="1"/>
  <c r="M138" i="137" s="1"/>
  <c r="M103" i="137"/>
  <c r="M104" i="137" s="1"/>
  <c r="M122" i="146"/>
  <c r="M54" i="143"/>
  <c r="R576" i="217"/>
  <c r="M239" i="142"/>
  <c r="M240" i="142" s="1"/>
  <c r="M263" i="142"/>
  <c r="M273" i="142" s="1"/>
  <c r="M274" i="142" s="1"/>
  <c r="J25" i="206"/>
  <c r="J155" i="196"/>
  <c r="J156" i="196" s="1"/>
  <c r="M128" i="145"/>
  <c r="M196" i="145"/>
  <c r="M162" i="145"/>
  <c r="M282" i="144"/>
  <c r="M26" i="132" s="1"/>
  <c r="M77" i="140"/>
  <c r="M78" i="140"/>
  <c r="M235" i="140"/>
  <c r="M269" i="140" s="1"/>
  <c r="R574" i="217"/>
  <c r="M54" i="136"/>
  <c r="M290" i="136"/>
  <c r="M165" i="141"/>
  <c r="M199" i="141"/>
  <c r="M131" i="141"/>
  <c r="M237" i="141"/>
  <c r="M271" i="141" s="1"/>
  <c r="M234" i="141"/>
  <c r="M268" i="141" s="1"/>
  <c r="M87" i="139"/>
  <c r="M88" i="139" s="1"/>
  <c r="M145" i="139"/>
  <c r="M111" i="139"/>
  <c r="M179" i="139"/>
  <c r="M195" i="135"/>
  <c r="M127" i="135"/>
  <c r="M161" i="135"/>
  <c r="M103" i="135"/>
  <c r="M104" i="135" s="1"/>
  <c r="J113" i="190"/>
  <c r="J115" i="190" s="1"/>
  <c r="J112" i="190"/>
  <c r="M239" i="146"/>
  <c r="M240" i="146" s="1"/>
  <c r="M263" i="146"/>
  <c r="M273" i="146" s="1"/>
  <c r="M274" i="146" s="1"/>
  <c r="M282" i="142"/>
  <c r="M23" i="132" s="1"/>
  <c r="M290" i="137"/>
  <c r="M54" i="137"/>
  <c r="M232" i="148"/>
  <c r="M266" i="148" s="1"/>
  <c r="M127" i="139"/>
  <c r="M137" i="139" s="1"/>
  <c r="M138" i="139" s="1"/>
  <c r="M195" i="139"/>
  <c r="M103" i="139"/>
  <c r="M104" i="139" s="1"/>
  <c r="M161" i="139"/>
  <c r="M171" i="139" s="1"/>
  <c r="M172" i="139" s="1"/>
  <c r="R386" i="217"/>
  <c r="K73" i="208"/>
  <c r="J15" i="209"/>
  <c r="J247" i="209" s="1"/>
  <c r="J16" i="210" s="1"/>
  <c r="J55" i="211" s="1"/>
  <c r="J35" i="207"/>
  <c r="M198" i="141"/>
  <c r="M164" i="141"/>
  <c r="M130" i="141"/>
  <c r="M154" i="141"/>
  <c r="M188" i="141"/>
  <c r="M120" i="141"/>
  <c r="M219" i="148"/>
  <c r="M253" i="148" s="1"/>
  <c r="M162" i="143"/>
  <c r="M196" i="143"/>
  <c r="M128" i="143"/>
  <c r="M180" i="137"/>
  <c r="M112" i="137"/>
  <c r="M146" i="137"/>
  <c r="R526" i="217"/>
  <c r="R528" i="217"/>
  <c r="M233" i="140"/>
  <c r="M267" i="140" s="1"/>
  <c r="M93" i="140"/>
  <c r="M94" i="140"/>
  <c r="J112" i="189"/>
  <c r="J113" i="189"/>
  <c r="J115" i="189" s="1"/>
  <c r="M239" i="144"/>
  <c r="M240" i="144" s="1"/>
  <c r="M263" i="144"/>
  <c r="M273" i="144" s="1"/>
  <c r="M274" i="144" s="1"/>
  <c r="M87" i="145"/>
  <c r="M88" i="145" s="1"/>
  <c r="M112" i="145"/>
  <c r="M146" i="145"/>
  <c r="M155" i="145" s="1"/>
  <c r="M180" i="145"/>
  <c r="M189" i="145" s="1"/>
  <c r="M145" i="136"/>
  <c r="M179" i="136"/>
  <c r="M111" i="136"/>
  <c r="M87" i="136"/>
  <c r="M88" i="136" s="1"/>
  <c r="M294" i="150"/>
  <c r="M32" i="130"/>
  <c r="M283" i="150"/>
  <c r="M87" i="135"/>
  <c r="M88" i="135" s="1"/>
  <c r="M111" i="135"/>
  <c r="M145" i="135"/>
  <c r="M179" i="135"/>
  <c r="M189" i="135" s="1"/>
  <c r="M190" i="135" s="1"/>
  <c r="M53" i="148"/>
  <c r="M290" i="148" s="1"/>
  <c r="L368" i="148"/>
  <c r="L370" i="148" s="1"/>
  <c r="A370" i="148" s="1"/>
  <c r="M93" i="148"/>
  <c r="M94" i="148"/>
  <c r="M216" i="140"/>
  <c r="M250" i="140" s="1"/>
  <c r="M79" i="141"/>
  <c r="J244" i="211"/>
  <c r="J269" i="211"/>
  <c r="P80" i="218" s="1"/>
  <c r="M290" i="135"/>
  <c r="M54" i="135"/>
  <c r="M223" i="146"/>
  <c r="M279" i="146" s="1"/>
  <c r="M247" i="146"/>
  <c r="M257" i="146" s="1"/>
  <c r="M258" i="146" s="1"/>
  <c r="M179" i="143"/>
  <c r="M111" i="143"/>
  <c r="M145" i="143"/>
  <c r="M220" i="140"/>
  <c r="M254" i="140" s="1"/>
  <c r="M103" i="145"/>
  <c r="M104" i="145" s="1"/>
  <c r="M195" i="145"/>
  <c r="M161" i="145"/>
  <c r="M171" i="145" s="1"/>
  <c r="M172" i="145" s="1"/>
  <c r="M127" i="145"/>
  <c r="M137" i="145" s="1"/>
  <c r="M138" i="145" s="1"/>
  <c r="M231" i="141"/>
  <c r="M265" i="141" s="1"/>
  <c r="M231" i="148"/>
  <c r="M265" i="148" s="1"/>
  <c r="M223" i="144"/>
  <c r="M279" i="144" s="1"/>
  <c r="M247" i="144"/>
  <c r="M257" i="144" s="1"/>
  <c r="M258" i="144" s="1"/>
  <c r="L368" i="140"/>
  <c r="L370" i="140" s="1"/>
  <c r="A370" i="140" s="1"/>
  <c r="M53" i="140"/>
  <c r="L351" i="140"/>
  <c r="M279" i="147"/>
  <c r="AK34" i="95"/>
  <c r="L57" i="95"/>
  <c r="M112" i="139"/>
  <c r="M180" i="139"/>
  <c r="M146" i="139"/>
  <c r="J113" i="192"/>
  <c r="J115" i="192" s="1"/>
  <c r="J112" i="192"/>
  <c r="M223" i="149"/>
  <c r="M247" i="149"/>
  <c r="M257" i="149" s="1"/>
  <c r="M258" i="149" s="1"/>
  <c r="M219" i="140"/>
  <c r="M253" i="140" s="1"/>
  <c r="M162" i="135"/>
  <c r="M128" i="135"/>
  <c r="M196" i="135"/>
  <c r="M263" i="136"/>
  <c r="M273" i="136" s="1"/>
  <c r="M274" i="136" s="1"/>
  <c r="M239" i="136"/>
  <c r="M240" i="136" s="1"/>
  <c r="L23" i="102"/>
  <c r="J15" i="193"/>
  <c r="J44" i="193" s="1"/>
  <c r="J57" i="193" s="1"/>
  <c r="J98" i="193" s="1"/>
  <c r="L85" i="128"/>
  <c r="M190" i="146"/>
  <c r="M146" i="136"/>
  <c r="M180" i="136"/>
  <c r="M112" i="136"/>
  <c r="M216" i="148"/>
  <c r="M250" i="148" s="1"/>
  <c r="M280" i="146"/>
  <c r="M28" i="131" s="1"/>
  <c r="M283" i="151"/>
  <c r="M294" i="151"/>
  <c r="M33" i="130"/>
  <c r="M239" i="149"/>
  <c r="M240" i="149" s="1"/>
  <c r="M263" i="149"/>
  <c r="M273" i="149" s="1"/>
  <c r="M274" i="149" s="1"/>
  <c r="R577" i="217"/>
  <c r="M127" i="143"/>
  <c r="M161" i="143"/>
  <c r="M195" i="143"/>
  <c r="M103" i="143"/>
  <c r="M104" i="143" s="1"/>
  <c r="M179" i="137"/>
  <c r="M111" i="137"/>
  <c r="M145" i="137"/>
  <c r="M87" i="137"/>
  <c r="M88" i="137" s="1"/>
  <c r="M279" i="162"/>
  <c r="M81" i="141"/>
  <c r="M85" i="141"/>
  <c r="M280" i="144"/>
  <c r="M26" i="131" s="1"/>
  <c r="L367" i="140"/>
  <c r="M69" i="140"/>
  <c r="M70" i="140" s="1"/>
  <c r="K74" i="208"/>
  <c r="M190" i="86"/>
  <c r="M156" i="86"/>
  <c r="J113" i="186"/>
  <c r="J115" i="186" s="1"/>
  <c r="J112" i="186"/>
  <c r="M171" i="86"/>
  <c r="M172" i="86" s="1"/>
  <c r="M190" i="138"/>
  <c r="M281" i="138"/>
  <c r="M20" i="133" s="1"/>
  <c r="M239" i="138"/>
  <c r="M240" i="138" s="1"/>
  <c r="M263" i="138"/>
  <c r="M273" i="138" s="1"/>
  <c r="M274" i="138" s="1"/>
  <c r="M122" i="138"/>
  <c r="M282" i="138"/>
  <c r="M20" i="132" s="1"/>
  <c r="M156" i="138"/>
  <c r="M280" i="138"/>
  <c r="M20" i="131" s="1"/>
  <c r="M137" i="86"/>
  <c r="M138" i="86" s="1"/>
  <c r="M223" i="138"/>
  <c r="M247" i="138"/>
  <c r="M257" i="138" s="1"/>
  <c r="M258" i="138" s="1"/>
  <c r="J17" i="210"/>
  <c r="J56" i="211" s="1"/>
  <c r="M214" i="86"/>
  <c r="M248" i="86" s="1"/>
  <c r="M121" i="86"/>
  <c r="M230" i="86"/>
  <c r="M264" i="86" s="1"/>
  <c r="M229" i="86"/>
  <c r="M205" i="86"/>
  <c r="M206" i="86" s="1"/>
  <c r="M247" i="86"/>
  <c r="M218" i="141" l="1"/>
  <c r="M252" i="141" s="1"/>
  <c r="M230" i="134"/>
  <c r="M264" i="134" s="1"/>
  <c r="M171" i="134"/>
  <c r="M213" i="134"/>
  <c r="M121" i="134"/>
  <c r="M137" i="134"/>
  <c r="M138" i="134" s="1"/>
  <c r="J117" i="187"/>
  <c r="J114" i="187"/>
  <c r="J116" i="187" s="1"/>
  <c r="J118" i="187" s="1"/>
  <c r="M189" i="134"/>
  <c r="M190" i="134" s="1"/>
  <c r="M229" i="134"/>
  <c r="M205" i="134"/>
  <c r="M206" i="134" s="1"/>
  <c r="M214" i="139"/>
  <c r="M248" i="139" s="1"/>
  <c r="M224" i="144"/>
  <c r="M214" i="136"/>
  <c r="M248" i="136" s="1"/>
  <c r="M214" i="137"/>
  <c r="M248" i="137" s="1"/>
  <c r="M216" i="141"/>
  <c r="M250" i="141" s="1"/>
  <c r="M232" i="141"/>
  <c r="M266" i="141" s="1"/>
  <c r="M294" i="162"/>
  <c r="M24" i="130"/>
  <c r="M283" i="162"/>
  <c r="M189" i="137"/>
  <c r="M190" i="137" s="1"/>
  <c r="L40" i="95"/>
  <c r="L65" i="95" s="1"/>
  <c r="L96" i="102"/>
  <c r="L67" i="102"/>
  <c r="L35" i="102"/>
  <c r="M224" i="149"/>
  <c r="M279" i="149"/>
  <c r="M283" i="147"/>
  <c r="M29" i="130"/>
  <c r="M294" i="147"/>
  <c r="M229" i="145"/>
  <c r="M205" i="145"/>
  <c r="M206" i="145" s="1"/>
  <c r="M224" i="146"/>
  <c r="M103" i="148"/>
  <c r="M104" i="148" s="1"/>
  <c r="M128" i="148"/>
  <c r="M196" i="148"/>
  <c r="M162" i="148"/>
  <c r="M213" i="136"/>
  <c r="M121" i="136"/>
  <c r="M280" i="145"/>
  <c r="M27" i="131" s="1"/>
  <c r="M195" i="140"/>
  <c r="M127" i="140"/>
  <c r="M103" i="140"/>
  <c r="M104" i="140" s="1"/>
  <c r="M161" i="140"/>
  <c r="M205" i="143"/>
  <c r="M206" i="143" s="1"/>
  <c r="M230" i="143"/>
  <c r="M264" i="143" s="1"/>
  <c r="R477" i="217"/>
  <c r="M229" i="135"/>
  <c r="M205" i="135"/>
  <c r="M233" i="141"/>
  <c r="M267" i="141" s="1"/>
  <c r="J117" i="188"/>
  <c r="J114" i="188"/>
  <c r="J116" i="188" s="1"/>
  <c r="J118" i="188" s="1"/>
  <c r="L368" i="141"/>
  <c r="L370" i="141" s="1"/>
  <c r="A370" i="141" s="1"/>
  <c r="M53" i="141"/>
  <c r="M290" i="141" s="1"/>
  <c r="M189" i="143"/>
  <c r="M281" i="143" s="1"/>
  <c r="M25" i="133" s="1"/>
  <c r="J112" i="201"/>
  <c r="J113" i="201"/>
  <c r="J115" i="201" s="1"/>
  <c r="M93" i="141"/>
  <c r="M94" i="141"/>
  <c r="J114" i="192"/>
  <c r="J116" i="192" s="1"/>
  <c r="J118" i="192" s="1"/>
  <c r="J117" i="192"/>
  <c r="M213" i="143"/>
  <c r="M28" i="130"/>
  <c r="M283" i="146"/>
  <c r="M294" i="146"/>
  <c r="M195" i="148"/>
  <c r="M127" i="148"/>
  <c r="M161" i="148"/>
  <c r="M155" i="135"/>
  <c r="M156" i="135" s="1"/>
  <c r="M189" i="136"/>
  <c r="M281" i="136" s="1"/>
  <c r="M18" i="133" s="1"/>
  <c r="M121" i="145"/>
  <c r="M282" i="145" s="1"/>
  <c r="M27" i="132" s="1"/>
  <c r="M214" i="145"/>
  <c r="M248" i="145" s="1"/>
  <c r="M171" i="143"/>
  <c r="M172" i="143" s="1"/>
  <c r="M189" i="139"/>
  <c r="M180" i="141"/>
  <c r="M146" i="141"/>
  <c r="M112" i="141"/>
  <c r="M87" i="148"/>
  <c r="M88" i="148" s="1"/>
  <c r="M180" i="148"/>
  <c r="M112" i="148"/>
  <c r="M146" i="148"/>
  <c r="R524" i="217"/>
  <c r="Q564" i="217"/>
  <c r="J242" i="211"/>
  <c r="J267" i="211"/>
  <c r="P78" i="218" s="1"/>
  <c r="J112" i="185"/>
  <c r="J113" i="185"/>
  <c r="J115" i="185" s="1"/>
  <c r="M117" i="141"/>
  <c r="M151" i="141"/>
  <c r="M185" i="141"/>
  <c r="M190" i="145"/>
  <c r="M155" i="143"/>
  <c r="M280" i="143" s="1"/>
  <c r="M25" i="131" s="1"/>
  <c r="M119" i="141"/>
  <c r="M153" i="141"/>
  <c r="M187" i="141"/>
  <c r="M155" i="137"/>
  <c r="M280" i="137" s="1"/>
  <c r="M19" i="131" s="1"/>
  <c r="M296" i="151"/>
  <c r="M371" i="151"/>
  <c r="M290" i="140"/>
  <c r="M54" i="140"/>
  <c r="M294" i="144"/>
  <c r="M26" i="130"/>
  <c r="M283" i="144"/>
  <c r="M190" i="143"/>
  <c r="M147" i="141"/>
  <c r="M181" i="141"/>
  <c r="M113" i="141"/>
  <c r="M213" i="135"/>
  <c r="M121" i="135"/>
  <c r="M296" i="150"/>
  <c r="M371" i="150"/>
  <c r="M155" i="136"/>
  <c r="M280" i="136" s="1"/>
  <c r="M18" i="131" s="1"/>
  <c r="J117" i="189"/>
  <c r="J114" i="189"/>
  <c r="J116" i="189" s="1"/>
  <c r="J118" i="189" s="1"/>
  <c r="R587" i="217"/>
  <c r="J253" i="211"/>
  <c r="P64" i="218" s="1"/>
  <c r="J228" i="211"/>
  <c r="M171" i="135"/>
  <c r="M172" i="135" s="1"/>
  <c r="M213" i="139"/>
  <c r="M121" i="139"/>
  <c r="M180" i="140"/>
  <c r="M112" i="140"/>
  <c r="M146" i="140"/>
  <c r="M230" i="145"/>
  <c r="M264" i="145" s="1"/>
  <c r="M205" i="137"/>
  <c r="M206" i="137" s="1"/>
  <c r="M229" i="137"/>
  <c r="M54" i="148"/>
  <c r="M214" i="135"/>
  <c r="M248" i="135" s="1"/>
  <c r="L351" i="141"/>
  <c r="J117" i="198"/>
  <c r="J114" i="198"/>
  <c r="J116" i="198" s="1"/>
  <c r="J118" i="198" s="1"/>
  <c r="M236" i="141"/>
  <c r="M270" i="141" s="1"/>
  <c r="R444" i="217"/>
  <c r="R479" i="217" s="1"/>
  <c r="J35" i="206"/>
  <c r="M230" i="139"/>
  <c r="M264" i="139" s="1"/>
  <c r="M156" i="145"/>
  <c r="J112" i="196"/>
  <c r="J113" i="196"/>
  <c r="J115" i="196" s="1"/>
  <c r="M220" i="141"/>
  <c r="M254" i="141" s="1"/>
  <c r="M230" i="137"/>
  <c r="M264" i="137" s="1"/>
  <c r="L367" i="141"/>
  <c r="K84" i="208"/>
  <c r="J26" i="209"/>
  <c r="J258" i="209" s="1"/>
  <c r="J27" i="210" s="1"/>
  <c r="J66" i="211" s="1"/>
  <c r="M183" i="141"/>
  <c r="M149" i="141"/>
  <c r="M115" i="141"/>
  <c r="M213" i="137"/>
  <c r="M121" i="137"/>
  <c r="M229" i="143"/>
  <c r="J105" i="193"/>
  <c r="J22" i="207" s="1"/>
  <c r="J104" i="193"/>
  <c r="J22" i="205" s="1"/>
  <c r="J36" i="205" s="1"/>
  <c r="R417" i="217" s="1"/>
  <c r="J103" i="193"/>
  <c r="M230" i="135"/>
  <c r="M264" i="135" s="1"/>
  <c r="M281" i="145"/>
  <c r="M27" i="133" s="1"/>
  <c r="M264" i="140"/>
  <c r="M162" i="140"/>
  <c r="M128" i="140"/>
  <c r="M196" i="140"/>
  <c r="M230" i="140" s="1"/>
  <c r="R585" i="217"/>
  <c r="M137" i="143"/>
  <c r="M138" i="143" s="1"/>
  <c r="M222" i="141"/>
  <c r="M256" i="141" s="1"/>
  <c r="M229" i="139"/>
  <c r="M205" i="139"/>
  <c r="M206" i="139" s="1"/>
  <c r="J114" i="190"/>
  <c r="J116" i="190" s="1"/>
  <c r="J118" i="190" s="1"/>
  <c r="J117" i="190"/>
  <c r="M137" i="135"/>
  <c r="M138" i="135" s="1"/>
  <c r="M155" i="139"/>
  <c r="M111" i="140"/>
  <c r="M179" i="140"/>
  <c r="M189" i="140" s="1"/>
  <c r="M87" i="140"/>
  <c r="M88" i="140" s="1"/>
  <c r="M145" i="140"/>
  <c r="M155" i="140" s="1"/>
  <c r="M111" i="148"/>
  <c r="M145" i="148"/>
  <c r="M179" i="148"/>
  <c r="M77" i="141"/>
  <c r="M54" i="141"/>
  <c r="M279" i="142"/>
  <c r="M213" i="145"/>
  <c r="M122" i="145"/>
  <c r="M121" i="143"/>
  <c r="M282" i="143" s="1"/>
  <c r="M25" i="132" s="1"/>
  <c r="M214" i="143"/>
  <c r="M248" i="143" s="1"/>
  <c r="M70" i="141"/>
  <c r="M257" i="86"/>
  <c r="M258" i="86" s="1"/>
  <c r="M223" i="86"/>
  <c r="J254" i="211"/>
  <c r="J229" i="211"/>
  <c r="M280" i="86"/>
  <c r="M224" i="86"/>
  <c r="M239" i="86"/>
  <c r="M240" i="86" s="1"/>
  <c r="M263" i="86"/>
  <c r="M273" i="86" s="1"/>
  <c r="M274" i="86" s="1"/>
  <c r="M224" i="138"/>
  <c r="M279" i="138"/>
  <c r="J117" i="186"/>
  <c r="J114" i="186"/>
  <c r="J116" i="186" s="1"/>
  <c r="J118" i="186" s="1"/>
  <c r="M281" i="86"/>
  <c r="M15" i="133" s="1"/>
  <c r="M122" i="86"/>
  <c r="M282" i="86"/>
  <c r="M15" i="132" s="1"/>
  <c r="M230" i="148" l="1"/>
  <c r="M264" i="148" s="1"/>
  <c r="M281" i="134"/>
  <c r="M16" i="133" s="1"/>
  <c r="M282" i="134"/>
  <c r="M16" i="132" s="1"/>
  <c r="M122" i="134"/>
  <c r="M247" i="134"/>
  <c r="M257" i="134" s="1"/>
  <c r="M258" i="134" s="1"/>
  <c r="M223" i="134"/>
  <c r="M263" i="134"/>
  <c r="M273" i="134" s="1"/>
  <c r="M274" i="134" s="1"/>
  <c r="M239" i="134"/>
  <c r="M240" i="134" s="1"/>
  <c r="M172" i="134"/>
  <c r="M280" i="134"/>
  <c r="M16" i="131" s="1"/>
  <c r="L68" i="102"/>
  <c r="M219" i="141"/>
  <c r="M253" i="141" s="1"/>
  <c r="M214" i="148"/>
  <c r="M248" i="148" s="1"/>
  <c r="M217" i="141"/>
  <c r="M251" i="141" s="1"/>
  <c r="M156" i="136"/>
  <c r="M294" i="142"/>
  <c r="M283" i="142"/>
  <c r="M23" i="130"/>
  <c r="M156" i="139"/>
  <c r="M280" i="139"/>
  <c r="M21" i="131" s="1"/>
  <c r="M223" i="137"/>
  <c r="M247" i="137"/>
  <c r="M257" i="137" s="1"/>
  <c r="M258" i="137" s="1"/>
  <c r="J239" i="211"/>
  <c r="J264" i="211"/>
  <c r="P75" i="218" s="1"/>
  <c r="M321" i="150"/>
  <c r="M358" i="150" s="1"/>
  <c r="N61" i="150" s="1"/>
  <c r="M324" i="150"/>
  <c r="M361" i="150" s="1"/>
  <c r="N64" i="150" s="1"/>
  <c r="M305" i="150"/>
  <c r="M342" i="150" s="1"/>
  <c r="N45" i="150" s="1"/>
  <c r="M312" i="150"/>
  <c r="M349" i="150" s="1"/>
  <c r="N52" i="150" s="1"/>
  <c r="M326" i="150"/>
  <c r="M363" i="150" s="1"/>
  <c r="N66" i="150" s="1"/>
  <c r="M303" i="150"/>
  <c r="M32" i="128"/>
  <c r="M82" i="128" s="1"/>
  <c r="M310" i="150"/>
  <c r="M347" i="150" s="1"/>
  <c r="N50" i="150" s="1"/>
  <c r="M320" i="150"/>
  <c r="M357" i="150" s="1"/>
  <c r="N60" i="150" s="1"/>
  <c r="M327" i="150"/>
  <c r="M364" i="150" s="1"/>
  <c r="N67" i="150" s="1"/>
  <c r="M308" i="150"/>
  <c r="M345" i="150" s="1"/>
  <c r="N48" i="150" s="1"/>
  <c r="M322" i="150"/>
  <c r="M359" i="150" s="1"/>
  <c r="N62" i="150" s="1"/>
  <c r="N96" i="150" s="1"/>
  <c r="M328" i="150"/>
  <c r="M365" i="150" s="1"/>
  <c r="N68" i="150" s="1"/>
  <c r="N102" i="150" s="1"/>
  <c r="M319" i="150"/>
  <c r="M307" i="150"/>
  <c r="M344" i="150" s="1"/>
  <c r="N47" i="150" s="1"/>
  <c r="M329" i="150"/>
  <c r="M306" i="150"/>
  <c r="M343" i="150" s="1"/>
  <c r="N46" i="150" s="1"/>
  <c r="N80" i="150" s="1"/>
  <c r="M313" i="150"/>
  <c r="M323" i="150"/>
  <c r="M360" i="150" s="1"/>
  <c r="N63" i="150" s="1"/>
  <c r="M304" i="150"/>
  <c r="M341" i="150" s="1"/>
  <c r="N44" i="150" s="1"/>
  <c r="M311" i="150"/>
  <c r="M348" i="150" s="1"/>
  <c r="N51" i="150" s="1"/>
  <c r="N85" i="150" s="1"/>
  <c r="M325" i="150"/>
  <c r="M362" i="150" s="1"/>
  <c r="N65" i="150" s="1"/>
  <c r="N99" i="150" s="1"/>
  <c r="M309" i="150"/>
  <c r="M346" i="150" s="1"/>
  <c r="N49" i="150" s="1"/>
  <c r="N83" i="150" s="1"/>
  <c r="M331" i="150"/>
  <c r="M206" i="135"/>
  <c r="M281" i="135"/>
  <c r="M17" i="133" s="1"/>
  <c r="M137" i="140"/>
  <c r="M138" i="140" s="1"/>
  <c r="M282" i="136"/>
  <c r="M18" i="132" s="1"/>
  <c r="M122" i="136"/>
  <c r="M137" i="148"/>
  <c r="M138" i="148" s="1"/>
  <c r="M281" i="137"/>
  <c r="M19" i="133" s="1"/>
  <c r="M190" i="140"/>
  <c r="M239" i="139"/>
  <c r="M240" i="139" s="1"/>
  <c r="M263" i="139"/>
  <c r="M273" i="139" s="1"/>
  <c r="M274" i="139" s="1"/>
  <c r="J23" i="209"/>
  <c r="J255" i="209" s="1"/>
  <c r="J36" i="207"/>
  <c r="J37" i="205"/>
  <c r="M122" i="139"/>
  <c r="M282" i="139"/>
  <c r="M21" i="132" s="1"/>
  <c r="M282" i="135"/>
  <c r="M17" i="132" s="1"/>
  <c r="M122" i="135"/>
  <c r="M296" i="144"/>
  <c r="M371" i="144"/>
  <c r="M313" i="151"/>
  <c r="M323" i="151"/>
  <c r="M360" i="151" s="1"/>
  <c r="N63" i="151" s="1"/>
  <c r="M304" i="151"/>
  <c r="M341" i="151" s="1"/>
  <c r="N44" i="151" s="1"/>
  <c r="M311" i="151"/>
  <c r="M348" i="151" s="1"/>
  <c r="N51" i="151" s="1"/>
  <c r="M329" i="151"/>
  <c r="M366" i="151" s="1"/>
  <c r="N69" i="151" s="1"/>
  <c r="M306" i="151"/>
  <c r="M343" i="151" s="1"/>
  <c r="N46" i="151" s="1"/>
  <c r="M324" i="151"/>
  <c r="M361" i="151" s="1"/>
  <c r="N64" i="151" s="1"/>
  <c r="N98" i="151" s="1"/>
  <c r="M326" i="151"/>
  <c r="M363" i="151" s="1"/>
  <c r="N66" i="151" s="1"/>
  <c r="M321" i="151"/>
  <c r="M358" i="151" s="1"/>
  <c r="N61" i="151" s="1"/>
  <c r="M320" i="151"/>
  <c r="M357" i="151" s="1"/>
  <c r="N60" i="151" s="1"/>
  <c r="M327" i="151"/>
  <c r="M364" i="151" s="1"/>
  <c r="N67" i="151" s="1"/>
  <c r="N101" i="151" s="1"/>
  <c r="M322" i="151"/>
  <c r="M359" i="151" s="1"/>
  <c r="N62" i="151" s="1"/>
  <c r="N96" i="151" s="1"/>
  <c r="M34" i="128"/>
  <c r="M84" i="128" s="1"/>
  <c r="M328" i="151"/>
  <c r="M365" i="151" s="1"/>
  <c r="N68" i="151" s="1"/>
  <c r="N102" i="151" s="1"/>
  <c r="M309" i="151"/>
  <c r="M346" i="151" s="1"/>
  <c r="N49" i="151" s="1"/>
  <c r="M319" i="151"/>
  <c r="M331" i="151"/>
  <c r="M307" i="151"/>
  <c r="M344" i="151" s="1"/>
  <c r="N47" i="151" s="1"/>
  <c r="N81" i="151" s="1"/>
  <c r="M325" i="151"/>
  <c r="M362" i="151" s="1"/>
  <c r="N65" i="151" s="1"/>
  <c r="N99" i="151" s="1"/>
  <c r="M305" i="151"/>
  <c r="M342" i="151" s="1"/>
  <c r="N45" i="151" s="1"/>
  <c r="N79" i="151" s="1"/>
  <c r="M312" i="151"/>
  <c r="M349" i="151" s="1"/>
  <c r="N52" i="151" s="1"/>
  <c r="N86" i="151" s="1"/>
  <c r="M303" i="151"/>
  <c r="M308" i="151"/>
  <c r="M345" i="151" s="1"/>
  <c r="N48" i="151" s="1"/>
  <c r="N82" i="151" s="1"/>
  <c r="M310" i="151"/>
  <c r="M347" i="151" s="1"/>
  <c r="N50" i="151" s="1"/>
  <c r="M189" i="148"/>
  <c r="J117" i="201"/>
  <c r="J114" i="201"/>
  <c r="J116" i="201" s="1"/>
  <c r="J118" i="201" s="1"/>
  <c r="M239" i="135"/>
  <c r="M240" i="135" s="1"/>
  <c r="M263" i="135"/>
  <c r="M273" i="135" s="1"/>
  <c r="M274" i="135" s="1"/>
  <c r="M229" i="140"/>
  <c r="M205" i="140"/>
  <c r="M206" i="140" s="1"/>
  <c r="M223" i="136"/>
  <c r="M247" i="136"/>
  <c r="M257" i="136" s="1"/>
  <c r="M258" i="136" s="1"/>
  <c r="M239" i="145"/>
  <c r="M240" i="145" s="1"/>
  <c r="M263" i="145"/>
  <c r="M273" i="145" s="1"/>
  <c r="M274" i="145" s="1"/>
  <c r="M283" i="149"/>
  <c r="M31" i="130"/>
  <c r="M294" i="149"/>
  <c r="M179" i="141"/>
  <c r="M111" i="141"/>
  <c r="M145" i="141"/>
  <c r="M155" i="141" s="1"/>
  <c r="M213" i="148"/>
  <c r="M121" i="148"/>
  <c r="M282" i="148" s="1"/>
  <c r="M30" i="132" s="1"/>
  <c r="M213" i="140"/>
  <c r="M121" i="140"/>
  <c r="M239" i="143"/>
  <c r="M240" i="143" s="1"/>
  <c r="M263" i="143"/>
  <c r="M273" i="143" s="1"/>
  <c r="M274" i="143" s="1"/>
  <c r="J114" i="196"/>
  <c r="J116" i="196" s="1"/>
  <c r="J118" i="196" s="1"/>
  <c r="J117" i="196"/>
  <c r="M239" i="137"/>
  <c r="M240" i="137" s="1"/>
  <c r="M263" i="137"/>
  <c r="M273" i="137" s="1"/>
  <c r="M274" i="137" s="1"/>
  <c r="M214" i="140"/>
  <c r="M248" i="140" s="1"/>
  <c r="M223" i="139"/>
  <c r="M247" i="139"/>
  <c r="M257" i="139" s="1"/>
  <c r="M258" i="139" s="1"/>
  <c r="M223" i="135"/>
  <c r="M247" i="135"/>
  <c r="M257" i="135" s="1"/>
  <c r="M258" i="135" s="1"/>
  <c r="M156" i="137"/>
  <c r="M221" i="141"/>
  <c r="M255" i="141" s="1"/>
  <c r="J117" i="185"/>
  <c r="J114" i="185"/>
  <c r="J116" i="185" s="1"/>
  <c r="J118" i="185" s="1"/>
  <c r="R586" i="217"/>
  <c r="R530" i="217"/>
  <c r="R584" i="217"/>
  <c r="R583" i="217"/>
  <c r="M87" i="141"/>
  <c r="M88" i="141" s="1"/>
  <c r="M280" i="135"/>
  <c r="M17" i="131" s="1"/>
  <c r="M229" i="148"/>
  <c r="M205" i="148"/>
  <c r="M206" i="148" s="1"/>
  <c r="M122" i="143"/>
  <c r="M103" i="141"/>
  <c r="M104" i="141" s="1"/>
  <c r="M128" i="141"/>
  <c r="M162" i="141"/>
  <c r="M196" i="141"/>
  <c r="R473" i="217"/>
  <c r="M171" i="140"/>
  <c r="M172" i="140" s="1"/>
  <c r="M171" i="148"/>
  <c r="M172" i="148" s="1"/>
  <c r="M371" i="147"/>
  <c r="M296" i="147"/>
  <c r="M223" i="145"/>
  <c r="M279" i="145" s="1"/>
  <c r="M247" i="145"/>
  <c r="M257" i="145" s="1"/>
  <c r="M258" i="145" s="1"/>
  <c r="M156" i="140"/>
  <c r="M280" i="140"/>
  <c r="M14" i="131" s="1"/>
  <c r="S152" i="217" s="1"/>
  <c r="S181" i="217" s="1"/>
  <c r="J22" i="206"/>
  <c r="J106" i="193"/>
  <c r="J111" i="193" s="1"/>
  <c r="M282" i="137"/>
  <c r="M19" i="132" s="1"/>
  <c r="M122" i="137"/>
  <c r="M215" i="141"/>
  <c r="M249" i="141" s="1"/>
  <c r="M155" i="148"/>
  <c r="M280" i="148" s="1"/>
  <c r="M30" i="131" s="1"/>
  <c r="M121" i="141"/>
  <c r="M214" i="141"/>
  <c r="M248" i="141" s="1"/>
  <c r="M281" i="139"/>
  <c r="M21" i="133" s="1"/>
  <c r="M190" i="139"/>
  <c r="M190" i="136"/>
  <c r="M371" i="146"/>
  <c r="M296" i="146"/>
  <c r="M223" i="143"/>
  <c r="M279" i="143" s="1"/>
  <c r="M247" i="143"/>
  <c r="M257" i="143" s="1"/>
  <c r="M258" i="143" s="1"/>
  <c r="M127" i="141"/>
  <c r="M137" i="141" s="1"/>
  <c r="M138" i="141" s="1"/>
  <c r="M195" i="141"/>
  <c r="M161" i="141"/>
  <c r="M171" i="141" s="1"/>
  <c r="M172" i="141" s="1"/>
  <c r="M156" i="143"/>
  <c r="L108" i="102"/>
  <c r="L52" i="95"/>
  <c r="L38" i="102"/>
  <c r="R330" i="217"/>
  <c r="M371" i="162"/>
  <c r="M296" i="162"/>
  <c r="M279" i="86"/>
  <c r="M15" i="130" s="1"/>
  <c r="M20" i="130"/>
  <c r="M283" i="138"/>
  <c r="M294" i="138"/>
  <c r="M15" i="131"/>
  <c r="P65" i="218"/>
  <c r="N84" i="151" l="1"/>
  <c r="M224" i="134"/>
  <c r="M279" i="134"/>
  <c r="M224" i="145"/>
  <c r="R588" i="217"/>
  <c r="M122" i="148"/>
  <c r="N97" i="150"/>
  <c r="M224" i="143"/>
  <c r="N101" i="150"/>
  <c r="M280" i="141"/>
  <c r="M22" i="131" s="1"/>
  <c r="R359" i="217"/>
  <c r="R622" i="217"/>
  <c r="R626" i="217" s="1"/>
  <c r="M323" i="146"/>
  <c r="M360" i="146" s="1"/>
  <c r="N63" i="146" s="1"/>
  <c r="M304" i="146"/>
  <c r="M341" i="146" s="1"/>
  <c r="N44" i="146" s="1"/>
  <c r="M307" i="146"/>
  <c r="M344" i="146" s="1"/>
  <c r="N47" i="146" s="1"/>
  <c r="M321" i="146"/>
  <c r="M358" i="146" s="1"/>
  <c r="N61" i="146" s="1"/>
  <c r="M328" i="146"/>
  <c r="M365" i="146" s="1"/>
  <c r="N68" i="146" s="1"/>
  <c r="N102" i="146" s="1"/>
  <c r="M309" i="146"/>
  <c r="M346" i="146" s="1"/>
  <c r="N49" i="146" s="1"/>
  <c r="M327" i="146"/>
  <c r="M364" i="146" s="1"/>
  <c r="N67" i="146" s="1"/>
  <c r="M311" i="146"/>
  <c r="M348" i="146" s="1"/>
  <c r="N51" i="146" s="1"/>
  <c r="M313" i="146"/>
  <c r="M319" i="146"/>
  <c r="M326" i="146"/>
  <c r="M363" i="146" s="1"/>
  <c r="N66" i="146" s="1"/>
  <c r="M303" i="146"/>
  <c r="M310" i="146"/>
  <c r="M347" i="146" s="1"/>
  <c r="N50" i="146" s="1"/>
  <c r="N84" i="146" s="1"/>
  <c r="M324" i="146"/>
  <c r="M361" i="146" s="1"/>
  <c r="N64" i="146" s="1"/>
  <c r="N98" i="146" s="1"/>
  <c r="M305" i="146"/>
  <c r="M342" i="146" s="1"/>
  <c r="N45" i="146" s="1"/>
  <c r="N79" i="146" s="1"/>
  <c r="M308" i="146"/>
  <c r="M345" i="146" s="1"/>
  <c r="N48" i="146" s="1"/>
  <c r="N82" i="146" s="1"/>
  <c r="M325" i="146"/>
  <c r="M362" i="146" s="1"/>
  <c r="N65" i="146" s="1"/>
  <c r="N99" i="146" s="1"/>
  <c r="M331" i="146"/>
  <c r="M28" i="128"/>
  <c r="M78" i="128" s="1"/>
  <c r="M312" i="146"/>
  <c r="M349" i="146" s="1"/>
  <c r="N52" i="146" s="1"/>
  <c r="N86" i="146" s="1"/>
  <c r="M322" i="146"/>
  <c r="M359" i="146" s="1"/>
  <c r="N62" i="146" s="1"/>
  <c r="N96" i="146" s="1"/>
  <c r="M329" i="146"/>
  <c r="M306" i="146"/>
  <c r="M343" i="146" s="1"/>
  <c r="N46" i="146" s="1"/>
  <c r="N80" i="146" s="1"/>
  <c r="M320" i="146"/>
  <c r="M357" i="146" s="1"/>
  <c r="N60" i="146" s="1"/>
  <c r="K81" i="208"/>
  <c r="J36" i="206"/>
  <c r="M322" i="147"/>
  <c r="M359" i="147" s="1"/>
  <c r="N62" i="147" s="1"/>
  <c r="M329" i="147"/>
  <c r="M306" i="147"/>
  <c r="M343" i="147" s="1"/>
  <c r="N46" i="147" s="1"/>
  <c r="M313" i="147"/>
  <c r="M332" i="147" s="1"/>
  <c r="M323" i="147"/>
  <c r="M360" i="147" s="1"/>
  <c r="N63" i="147" s="1"/>
  <c r="N97" i="147" s="1"/>
  <c r="M304" i="147"/>
  <c r="M341" i="147" s="1"/>
  <c r="N44" i="147" s="1"/>
  <c r="M326" i="147"/>
  <c r="M363" i="147" s="1"/>
  <c r="N66" i="147" s="1"/>
  <c r="M320" i="147"/>
  <c r="M357" i="147" s="1"/>
  <c r="N60" i="147" s="1"/>
  <c r="M29" i="128"/>
  <c r="M79" i="128" s="1"/>
  <c r="M311" i="147"/>
  <c r="M348" i="147" s="1"/>
  <c r="N51" i="147" s="1"/>
  <c r="M325" i="147"/>
  <c r="M362" i="147" s="1"/>
  <c r="N65" i="147" s="1"/>
  <c r="M328" i="147"/>
  <c r="M365" i="147" s="1"/>
  <c r="N68" i="147" s="1"/>
  <c r="M309" i="147"/>
  <c r="M346" i="147" s="1"/>
  <c r="N49" i="147" s="1"/>
  <c r="M319" i="147"/>
  <c r="M310" i="147"/>
  <c r="M347" i="147" s="1"/>
  <c r="N50" i="147" s="1"/>
  <c r="N84" i="147" s="1"/>
  <c r="M308" i="147"/>
  <c r="M345" i="147" s="1"/>
  <c r="N48" i="147" s="1"/>
  <c r="M331" i="147"/>
  <c r="M307" i="147"/>
  <c r="M344" i="147" s="1"/>
  <c r="N47" i="147" s="1"/>
  <c r="N81" i="147" s="1"/>
  <c r="M321" i="147"/>
  <c r="M358" i="147" s="1"/>
  <c r="N61" i="147" s="1"/>
  <c r="N95" i="147" s="1"/>
  <c r="M324" i="147"/>
  <c r="M361" i="147" s="1"/>
  <c r="N64" i="147" s="1"/>
  <c r="N98" i="147" s="1"/>
  <c r="M305" i="147"/>
  <c r="M342" i="147" s="1"/>
  <c r="N45" i="147" s="1"/>
  <c r="N79" i="147" s="1"/>
  <c r="M312" i="147"/>
  <c r="M349" i="147" s="1"/>
  <c r="N52" i="147" s="1"/>
  <c r="N86" i="147" s="1"/>
  <c r="M303" i="147"/>
  <c r="M327" i="147"/>
  <c r="M364" i="147" s="1"/>
  <c r="N67" i="147" s="1"/>
  <c r="N101" i="147" s="1"/>
  <c r="M213" i="141"/>
  <c r="M122" i="141"/>
  <c r="M224" i="136"/>
  <c r="M279" i="136"/>
  <c r="M281" i="148"/>
  <c r="M30" i="133" s="1"/>
  <c r="M340" i="151"/>
  <c r="M314" i="151"/>
  <c r="N149" i="151"/>
  <c r="N115" i="151"/>
  <c r="N183" i="151"/>
  <c r="N136" i="151"/>
  <c r="N204" i="151"/>
  <c r="N238" i="151" s="1"/>
  <c r="N272" i="151" s="1"/>
  <c r="N170" i="151"/>
  <c r="N80" i="151"/>
  <c r="N97" i="151"/>
  <c r="M156" i="148"/>
  <c r="N167" i="150"/>
  <c r="N201" i="150"/>
  <c r="N133" i="150"/>
  <c r="M332" i="150"/>
  <c r="M333" i="150" s="1"/>
  <c r="M356" i="150"/>
  <c r="M330" i="150"/>
  <c r="N203" i="150"/>
  <c r="N169" i="150"/>
  <c r="N135" i="150"/>
  <c r="M340" i="150"/>
  <c r="M314" i="150"/>
  <c r="N98" i="150"/>
  <c r="M190" i="148"/>
  <c r="M27" i="130"/>
  <c r="M283" i="145"/>
  <c r="M294" i="145"/>
  <c r="M230" i="141"/>
  <c r="M264" i="141" s="1"/>
  <c r="M279" i="139"/>
  <c r="M224" i="139"/>
  <c r="M122" i="140"/>
  <c r="M282" i="140"/>
  <c r="M223" i="148"/>
  <c r="M247" i="148"/>
  <c r="M257" i="148" s="1"/>
  <c r="M258" i="148" s="1"/>
  <c r="N188" i="151"/>
  <c r="N154" i="151"/>
  <c r="N120" i="151"/>
  <c r="M34" i="102"/>
  <c r="K15" i="204"/>
  <c r="K44" i="204" s="1"/>
  <c r="K57" i="204" s="1"/>
  <c r="K98" i="204" s="1"/>
  <c r="N95" i="151"/>
  <c r="M332" i="151"/>
  <c r="M333" i="151" s="1"/>
  <c r="N119" i="150"/>
  <c r="N187" i="150"/>
  <c r="N153" i="150"/>
  <c r="N114" i="150"/>
  <c r="N182" i="150"/>
  <c r="N148" i="150"/>
  <c r="N204" i="150"/>
  <c r="N170" i="150"/>
  <c r="N136" i="150"/>
  <c r="N100" i="150"/>
  <c r="N95" i="150"/>
  <c r="M224" i="137"/>
  <c r="M279" i="137"/>
  <c r="M326" i="162"/>
  <c r="M363" i="162" s="1"/>
  <c r="N66" i="162" s="1"/>
  <c r="M305" i="162"/>
  <c r="M342" i="162" s="1"/>
  <c r="N45" i="162" s="1"/>
  <c r="M319" i="162"/>
  <c r="M322" i="162"/>
  <c r="M359" i="162" s="1"/>
  <c r="N62" i="162" s="1"/>
  <c r="M331" i="162"/>
  <c r="M306" i="162"/>
  <c r="M343" i="162" s="1"/>
  <c r="N46" i="162" s="1"/>
  <c r="N80" i="162" s="1"/>
  <c r="M24" i="128"/>
  <c r="M74" i="128" s="1"/>
  <c r="M320" i="162"/>
  <c r="M357" i="162" s="1"/>
  <c r="N60" i="162" s="1"/>
  <c r="M328" i="162"/>
  <c r="M365" i="162" s="1"/>
  <c r="N68" i="162" s="1"/>
  <c r="M312" i="162"/>
  <c r="M349" i="162" s="1"/>
  <c r="N52" i="162" s="1"/>
  <c r="M311" i="162"/>
  <c r="M348" i="162" s="1"/>
  <c r="N51" i="162" s="1"/>
  <c r="M325" i="162"/>
  <c r="M362" i="162" s="1"/>
  <c r="N65" i="162" s="1"/>
  <c r="M327" i="162"/>
  <c r="M364" i="162" s="1"/>
  <c r="N67" i="162" s="1"/>
  <c r="N101" i="162" s="1"/>
  <c r="M304" i="162"/>
  <c r="M341" i="162" s="1"/>
  <c r="N44" i="162" s="1"/>
  <c r="M310" i="162"/>
  <c r="M347" i="162" s="1"/>
  <c r="N50" i="162" s="1"/>
  <c r="M309" i="162"/>
  <c r="M346" i="162" s="1"/>
  <c r="N49" i="162" s="1"/>
  <c r="M303" i="162"/>
  <c r="M329" i="162"/>
  <c r="M313" i="162"/>
  <c r="M324" i="162"/>
  <c r="M361" i="162" s="1"/>
  <c r="N64" i="162" s="1"/>
  <c r="M308" i="162"/>
  <c r="M345" i="162" s="1"/>
  <c r="N48" i="162" s="1"/>
  <c r="M307" i="162"/>
  <c r="M344" i="162" s="1"/>
  <c r="N47" i="162" s="1"/>
  <c r="N81" i="162" s="1"/>
  <c r="M321" i="162"/>
  <c r="M358" i="162" s="1"/>
  <c r="N61" i="162" s="1"/>
  <c r="N95" i="162" s="1"/>
  <c r="M323" i="162"/>
  <c r="M360" i="162" s="1"/>
  <c r="N63" i="162" s="1"/>
  <c r="N97" i="162" s="1"/>
  <c r="L77" i="95"/>
  <c r="AK35" i="95"/>
  <c r="M282" i="141"/>
  <c r="M22" i="132" s="1"/>
  <c r="M223" i="140"/>
  <c r="M247" i="140"/>
  <c r="M257" i="140" s="1"/>
  <c r="M258" i="140" s="1"/>
  <c r="M371" i="149"/>
  <c r="M296" i="149"/>
  <c r="M239" i="140"/>
  <c r="M240" i="140" s="1"/>
  <c r="M263" i="140"/>
  <c r="M273" i="140" s="1"/>
  <c r="M274" i="140" s="1"/>
  <c r="N186" i="151"/>
  <c r="N118" i="151"/>
  <c r="N152" i="151"/>
  <c r="N147" i="151"/>
  <c r="N181" i="151"/>
  <c r="N113" i="151"/>
  <c r="M356" i="151"/>
  <c r="M330" i="151"/>
  <c r="N130" i="151"/>
  <c r="N164" i="151"/>
  <c r="N198" i="151"/>
  <c r="N100" i="151"/>
  <c r="N85" i="151"/>
  <c r="R388" i="217"/>
  <c r="J37" i="207"/>
  <c r="M281" i="140"/>
  <c r="M14" i="133" s="1"/>
  <c r="N198" i="150"/>
  <c r="N164" i="150"/>
  <c r="N130" i="150"/>
  <c r="N84" i="150"/>
  <c r="N86" i="150"/>
  <c r="M34" i="131"/>
  <c r="S154" i="217" s="1"/>
  <c r="S183" i="217" s="1"/>
  <c r="M229" i="141"/>
  <c r="M205" i="141"/>
  <c r="M206" i="141" s="1"/>
  <c r="M294" i="143"/>
  <c r="M283" i="143"/>
  <c r="M25" i="130"/>
  <c r="J113" i="193"/>
  <c r="J115" i="193" s="1"/>
  <c r="J112" i="193"/>
  <c r="M239" i="148"/>
  <c r="M240" i="148" s="1"/>
  <c r="M263" i="148"/>
  <c r="M273" i="148" s="1"/>
  <c r="M274" i="148" s="1"/>
  <c r="M224" i="135"/>
  <c r="M279" i="135"/>
  <c r="M156" i="141"/>
  <c r="M189" i="141"/>
  <c r="M281" i="141" s="1"/>
  <c r="M22" i="133" s="1"/>
  <c r="N150" i="151"/>
  <c r="N116" i="151"/>
  <c r="N184" i="151"/>
  <c r="N201" i="151"/>
  <c r="N133" i="151"/>
  <c r="N167" i="151"/>
  <c r="N83" i="151"/>
  <c r="N169" i="151"/>
  <c r="N135" i="151"/>
  <c r="N203" i="151"/>
  <c r="N166" i="151"/>
  <c r="N132" i="151"/>
  <c r="N200" i="151"/>
  <c r="M321" i="144"/>
  <c r="M358" i="144" s="1"/>
  <c r="N61" i="144" s="1"/>
  <c r="M328" i="144"/>
  <c r="M365" i="144" s="1"/>
  <c r="N68" i="144" s="1"/>
  <c r="M309" i="144"/>
  <c r="M346" i="144" s="1"/>
  <c r="N49" i="144" s="1"/>
  <c r="M319" i="144"/>
  <c r="M326" i="144"/>
  <c r="M363" i="144" s="1"/>
  <c r="N66" i="144" s="1"/>
  <c r="M303" i="144"/>
  <c r="M331" i="144"/>
  <c r="M320" i="144"/>
  <c r="M357" i="144" s="1"/>
  <c r="N60" i="144" s="1"/>
  <c r="M327" i="144"/>
  <c r="M364" i="144" s="1"/>
  <c r="N67" i="144" s="1"/>
  <c r="N101" i="144" s="1"/>
  <c r="M311" i="144"/>
  <c r="M348" i="144" s="1"/>
  <c r="N51" i="144" s="1"/>
  <c r="M325" i="144"/>
  <c r="M362" i="144" s="1"/>
  <c r="N65" i="144" s="1"/>
  <c r="M313" i="144"/>
  <c r="M26" i="128"/>
  <c r="M76" i="128" s="1"/>
  <c r="M310" i="144"/>
  <c r="M347" i="144" s="1"/>
  <c r="N50" i="144" s="1"/>
  <c r="N84" i="144" s="1"/>
  <c r="M324" i="144"/>
  <c r="M361" i="144" s="1"/>
  <c r="N64" i="144" s="1"/>
  <c r="M305" i="144"/>
  <c r="M342" i="144" s="1"/>
  <c r="N45" i="144" s="1"/>
  <c r="M312" i="144"/>
  <c r="M349" i="144" s="1"/>
  <c r="N52" i="144" s="1"/>
  <c r="N86" i="144" s="1"/>
  <c r="M322" i="144"/>
  <c r="M359" i="144" s="1"/>
  <c r="N62" i="144" s="1"/>
  <c r="N96" i="144" s="1"/>
  <c r="M306" i="144"/>
  <c r="M343" i="144" s="1"/>
  <c r="N46" i="144" s="1"/>
  <c r="N80" i="144" s="1"/>
  <c r="M308" i="144"/>
  <c r="M345" i="144" s="1"/>
  <c r="N48" i="144" s="1"/>
  <c r="M329" i="144"/>
  <c r="M323" i="144"/>
  <c r="M360" i="144" s="1"/>
  <c r="N63" i="144" s="1"/>
  <c r="N97" i="144" s="1"/>
  <c r="M304" i="144"/>
  <c r="M341" i="144" s="1"/>
  <c r="N44" i="144" s="1"/>
  <c r="M307" i="144"/>
  <c r="M344" i="144" s="1"/>
  <c r="N47" i="144" s="1"/>
  <c r="N81" i="144" s="1"/>
  <c r="J24" i="210"/>
  <c r="J63" i="211" s="1"/>
  <c r="J267" i="209"/>
  <c r="J36" i="210" s="1"/>
  <c r="J75" i="211" s="1"/>
  <c r="N151" i="150"/>
  <c r="N185" i="150"/>
  <c r="N117" i="150"/>
  <c r="N219" i="150" s="1"/>
  <c r="N253" i="150" s="1"/>
  <c r="N165" i="150"/>
  <c r="N199" i="150"/>
  <c r="N131" i="150"/>
  <c r="N81" i="150"/>
  <c r="N82" i="150"/>
  <c r="K15" i="203"/>
  <c r="K44" i="203" s="1"/>
  <c r="K57" i="203" s="1"/>
  <c r="K98" i="203" s="1"/>
  <c r="M33" i="102"/>
  <c r="N79" i="150"/>
  <c r="M296" i="142"/>
  <c r="M371" i="142"/>
  <c r="M283" i="86"/>
  <c r="M294" i="86"/>
  <c r="M331" i="86" s="1"/>
  <c r="M331" i="138"/>
  <c r="M296" i="138"/>
  <c r="M371" i="138"/>
  <c r="N100" i="144" l="1"/>
  <c r="N215" i="151"/>
  <c r="N249" i="151" s="1"/>
  <c r="N217" i="151"/>
  <c r="N251" i="151" s="1"/>
  <c r="N95" i="144"/>
  <c r="N237" i="151"/>
  <c r="N271" i="151" s="1"/>
  <c r="N82" i="147"/>
  <c r="M332" i="162"/>
  <c r="M333" i="162" s="1"/>
  <c r="M16" i="130"/>
  <c r="M283" i="134"/>
  <c r="M294" i="134"/>
  <c r="N83" i="162"/>
  <c r="N221" i="150"/>
  <c r="N255" i="150" s="1"/>
  <c r="N237" i="150"/>
  <c r="N271" i="150" s="1"/>
  <c r="N222" i="151"/>
  <c r="N256" i="151" s="1"/>
  <c r="M23" i="128"/>
  <c r="M73" i="128" s="1"/>
  <c r="M311" i="142"/>
  <c r="M348" i="142" s="1"/>
  <c r="N51" i="142" s="1"/>
  <c r="M325" i="142"/>
  <c r="M362" i="142" s="1"/>
  <c r="N65" i="142" s="1"/>
  <c r="M328" i="142"/>
  <c r="M365" i="142" s="1"/>
  <c r="N68" i="142" s="1"/>
  <c r="M309" i="142"/>
  <c r="M346" i="142" s="1"/>
  <c r="N49" i="142" s="1"/>
  <c r="M319" i="142"/>
  <c r="M327" i="142"/>
  <c r="M364" i="142" s="1"/>
  <c r="N67" i="142" s="1"/>
  <c r="M313" i="142"/>
  <c r="M331" i="142"/>
  <c r="M307" i="142"/>
  <c r="M344" i="142" s="1"/>
  <c r="N47" i="142" s="1"/>
  <c r="M321" i="142"/>
  <c r="M358" i="142" s="1"/>
  <c r="N61" i="142" s="1"/>
  <c r="M324" i="142"/>
  <c r="M361" i="142" s="1"/>
  <c r="N64" i="142" s="1"/>
  <c r="M305" i="142"/>
  <c r="M342" i="142" s="1"/>
  <c r="N45" i="142" s="1"/>
  <c r="M312" i="142"/>
  <c r="M349" i="142" s="1"/>
  <c r="N52" i="142" s="1"/>
  <c r="N86" i="142" s="1"/>
  <c r="M326" i="142"/>
  <c r="M363" i="142" s="1"/>
  <c r="N66" i="142" s="1"/>
  <c r="N100" i="142" s="1"/>
  <c r="M303" i="142"/>
  <c r="M310" i="142"/>
  <c r="M347" i="142" s="1"/>
  <c r="N50" i="142" s="1"/>
  <c r="N84" i="142" s="1"/>
  <c r="M320" i="142"/>
  <c r="M357" i="142" s="1"/>
  <c r="N60" i="142" s="1"/>
  <c r="M308" i="142"/>
  <c r="M345" i="142" s="1"/>
  <c r="N48" i="142" s="1"/>
  <c r="N82" i="142" s="1"/>
  <c r="M322" i="142"/>
  <c r="M359" i="142" s="1"/>
  <c r="N62" i="142" s="1"/>
  <c r="N96" i="142" s="1"/>
  <c r="M329" i="142"/>
  <c r="M306" i="142"/>
  <c r="M343" i="142" s="1"/>
  <c r="N46" i="142" s="1"/>
  <c r="N80" i="142" s="1"/>
  <c r="M323" i="142"/>
  <c r="M360" i="142" s="1"/>
  <c r="N63" i="142" s="1"/>
  <c r="N97" i="142" s="1"/>
  <c r="M304" i="142"/>
  <c r="M341" i="142" s="1"/>
  <c r="N44" i="142" s="1"/>
  <c r="N184" i="150"/>
  <c r="N116" i="150"/>
  <c r="N150" i="150"/>
  <c r="N165" i="144"/>
  <c r="N199" i="144"/>
  <c r="N131" i="144"/>
  <c r="N198" i="144"/>
  <c r="N164" i="144"/>
  <c r="N130" i="144"/>
  <c r="N152" i="144"/>
  <c r="N186" i="144"/>
  <c r="N118" i="144"/>
  <c r="N85" i="144"/>
  <c r="M340" i="144"/>
  <c r="M314" i="144"/>
  <c r="N102" i="144"/>
  <c r="N235" i="151"/>
  <c r="N269" i="151" s="1"/>
  <c r="M239" i="141"/>
  <c r="M240" i="141" s="1"/>
  <c r="M263" i="141"/>
  <c r="M273" i="141" s="1"/>
  <c r="M274" i="141" s="1"/>
  <c r="S211" i="217"/>
  <c r="M34" i="133"/>
  <c r="S213" i="217" s="1"/>
  <c r="N202" i="151"/>
  <c r="N134" i="151"/>
  <c r="N168" i="151"/>
  <c r="N149" i="162"/>
  <c r="N115" i="162"/>
  <c r="N183" i="162"/>
  <c r="N86" i="162"/>
  <c r="N114" i="162"/>
  <c r="N148" i="162"/>
  <c r="N182" i="162"/>
  <c r="N79" i="162"/>
  <c r="N197" i="150"/>
  <c r="N163" i="150"/>
  <c r="N129" i="150"/>
  <c r="N216" i="150"/>
  <c r="N250" i="150" s="1"/>
  <c r="M107" i="102"/>
  <c r="M51" i="95"/>
  <c r="M76" i="95" s="1"/>
  <c r="M279" i="148"/>
  <c r="N199" i="151"/>
  <c r="N131" i="151"/>
  <c r="N165" i="151"/>
  <c r="M18" i="130"/>
  <c r="M283" i="136"/>
  <c r="M294" i="136"/>
  <c r="N169" i="147"/>
  <c r="N203" i="147"/>
  <c r="N135" i="147"/>
  <c r="N166" i="147"/>
  <c r="N200" i="147"/>
  <c r="N132" i="147"/>
  <c r="N184" i="147"/>
  <c r="N116" i="147"/>
  <c r="N150" i="147"/>
  <c r="N102" i="147"/>
  <c r="M333" i="147"/>
  <c r="R446" i="217"/>
  <c r="R483" i="217" s="1"/>
  <c r="J37" i="206"/>
  <c r="N200" i="146"/>
  <c r="N132" i="146"/>
  <c r="N166" i="146"/>
  <c r="M356" i="146"/>
  <c r="M330" i="146"/>
  <c r="N83" i="146"/>
  <c r="N181" i="150"/>
  <c r="N113" i="150"/>
  <c r="N147" i="150"/>
  <c r="N149" i="150"/>
  <c r="N183" i="150"/>
  <c r="N115" i="150"/>
  <c r="J236" i="211"/>
  <c r="J248" i="211" s="1"/>
  <c r="J261" i="211"/>
  <c r="N188" i="144"/>
  <c r="N120" i="144"/>
  <c r="N154" i="144"/>
  <c r="K15" i="197"/>
  <c r="K44" i="197" s="1"/>
  <c r="K57" i="197" s="1"/>
  <c r="K98" i="197" s="1"/>
  <c r="M27" i="102"/>
  <c r="N203" i="144"/>
  <c r="N135" i="144"/>
  <c r="N169" i="144"/>
  <c r="N168" i="144"/>
  <c r="N202" i="144"/>
  <c r="N134" i="144"/>
  <c r="N163" i="144"/>
  <c r="N197" i="144"/>
  <c r="N129" i="144"/>
  <c r="N151" i="151"/>
  <c r="N117" i="151"/>
  <c r="N219" i="151" s="1"/>
  <c r="N253" i="151" s="1"/>
  <c r="N185" i="151"/>
  <c r="K93" i="208"/>
  <c r="N232" i="151"/>
  <c r="N266" i="151" s="1"/>
  <c r="N59" i="151"/>
  <c r="M367" i="151"/>
  <c r="N82" i="162"/>
  <c r="M340" i="162"/>
  <c r="M314" i="162"/>
  <c r="N203" i="162"/>
  <c r="N135" i="162"/>
  <c r="N169" i="162"/>
  <c r="N102" i="162"/>
  <c r="N100" i="162"/>
  <c r="N134" i="150"/>
  <c r="N202" i="150"/>
  <c r="N168" i="150"/>
  <c r="N238" i="150"/>
  <c r="N272" i="150" s="1"/>
  <c r="M190" i="141"/>
  <c r="M14" i="132"/>
  <c r="M21" i="130"/>
  <c r="M283" i="139"/>
  <c r="M294" i="139"/>
  <c r="M350" i="150"/>
  <c r="N43" i="150"/>
  <c r="N235" i="150"/>
  <c r="N269" i="150" s="1"/>
  <c r="N148" i="151"/>
  <c r="N182" i="151"/>
  <c r="N114" i="151"/>
  <c r="M340" i="147"/>
  <c r="M314" i="147"/>
  <c r="N163" i="147"/>
  <c r="N197" i="147"/>
  <c r="N129" i="147"/>
  <c r="N152" i="147"/>
  <c r="N186" i="147"/>
  <c r="N118" i="147"/>
  <c r="N99" i="147"/>
  <c r="N100" i="147"/>
  <c r="N80" i="147"/>
  <c r="N198" i="146"/>
  <c r="N130" i="146"/>
  <c r="N164" i="146"/>
  <c r="N133" i="146"/>
  <c r="N167" i="146"/>
  <c r="N201" i="146"/>
  <c r="N235" i="146" s="1"/>
  <c r="N269" i="146" s="1"/>
  <c r="N186" i="146"/>
  <c r="N118" i="146"/>
  <c r="N152" i="146"/>
  <c r="M332" i="146"/>
  <c r="M333" i="146" s="1"/>
  <c r="N204" i="146"/>
  <c r="N136" i="146"/>
  <c r="N170" i="146"/>
  <c r="N97" i="146"/>
  <c r="M50" i="95"/>
  <c r="M75" i="95" s="1"/>
  <c r="M106" i="102"/>
  <c r="N115" i="144"/>
  <c r="N149" i="144"/>
  <c r="N183" i="144"/>
  <c r="N82" i="144"/>
  <c r="N79" i="144"/>
  <c r="M332" i="144"/>
  <c r="M333" i="144" s="1"/>
  <c r="M356" i="144"/>
  <c r="M330" i="144"/>
  <c r="N218" i="151"/>
  <c r="N252" i="151" s="1"/>
  <c r="M283" i="135"/>
  <c r="M294" i="135"/>
  <c r="M17" i="130"/>
  <c r="J114" i="193"/>
  <c r="J116" i="193" s="1"/>
  <c r="J118" i="193" s="1"/>
  <c r="J117" i="193"/>
  <c r="M371" i="143"/>
  <c r="M296" i="143"/>
  <c r="N120" i="150"/>
  <c r="N154" i="150"/>
  <c r="N188" i="150"/>
  <c r="N232" i="150"/>
  <c r="N266" i="150" s="1"/>
  <c r="R481" i="217"/>
  <c r="R475" i="217"/>
  <c r="N220" i="151"/>
  <c r="N254" i="151" s="1"/>
  <c r="M224" i="140"/>
  <c r="M279" i="140"/>
  <c r="M283" i="140" s="1"/>
  <c r="N199" i="162"/>
  <c r="N165" i="162"/>
  <c r="N131" i="162"/>
  <c r="N98" i="162"/>
  <c r="N185" i="162"/>
  <c r="N117" i="162"/>
  <c r="N151" i="162"/>
  <c r="N99" i="162"/>
  <c r="N96" i="162"/>
  <c r="M294" i="137"/>
  <c r="M19" i="130"/>
  <c r="M283" i="137"/>
  <c r="N163" i="151"/>
  <c r="N129" i="151"/>
  <c r="N197" i="151"/>
  <c r="M366" i="150"/>
  <c r="N69" i="150" s="1"/>
  <c r="N70" i="150" s="1"/>
  <c r="A70" i="150" s="1"/>
  <c r="N59" i="150"/>
  <c r="M350" i="151"/>
  <c r="M351" i="151" s="1"/>
  <c r="N43" i="151"/>
  <c r="N120" i="147"/>
  <c r="N188" i="147"/>
  <c r="N154" i="147"/>
  <c r="N183" i="147"/>
  <c r="N115" i="147"/>
  <c r="N149" i="147"/>
  <c r="M356" i="147"/>
  <c r="M330" i="147"/>
  <c r="N85" i="147"/>
  <c r="N120" i="146"/>
  <c r="N188" i="146"/>
  <c r="N154" i="146"/>
  <c r="N184" i="146"/>
  <c r="N116" i="146"/>
  <c r="N150" i="146"/>
  <c r="M340" i="146"/>
  <c r="M314" i="146"/>
  <c r="N85" i="146"/>
  <c r="N95" i="146"/>
  <c r="K103" i="203"/>
  <c r="K104" i="203"/>
  <c r="K32" i="205" s="1"/>
  <c r="K105" i="203"/>
  <c r="K32" i="207" s="1"/>
  <c r="K33" i="209" s="1"/>
  <c r="K265" i="209" s="1"/>
  <c r="K34" i="210" s="1"/>
  <c r="K73" i="211" s="1"/>
  <c r="N233" i="150"/>
  <c r="N267" i="150" s="1"/>
  <c r="N182" i="144"/>
  <c r="N114" i="144"/>
  <c r="N148" i="144"/>
  <c r="N98" i="144"/>
  <c r="N99" i="144"/>
  <c r="N83" i="144"/>
  <c r="N234" i="151"/>
  <c r="N268" i="151" s="1"/>
  <c r="N118" i="150"/>
  <c r="N152" i="150"/>
  <c r="N186" i="150"/>
  <c r="N187" i="151"/>
  <c r="N119" i="151"/>
  <c r="N153" i="151"/>
  <c r="M328" i="149"/>
  <c r="M365" i="149" s="1"/>
  <c r="N68" i="149" s="1"/>
  <c r="M309" i="149"/>
  <c r="M346" i="149" s="1"/>
  <c r="N49" i="149" s="1"/>
  <c r="M319" i="149"/>
  <c r="M331" i="149"/>
  <c r="M307" i="149"/>
  <c r="M344" i="149" s="1"/>
  <c r="N47" i="149" s="1"/>
  <c r="M321" i="149"/>
  <c r="M358" i="149" s="1"/>
  <c r="N61" i="149" s="1"/>
  <c r="M324" i="149"/>
  <c r="M361" i="149" s="1"/>
  <c r="N64" i="149" s="1"/>
  <c r="M305" i="149"/>
  <c r="M342" i="149" s="1"/>
  <c r="N45" i="149" s="1"/>
  <c r="M312" i="149"/>
  <c r="M349" i="149" s="1"/>
  <c r="N52" i="149" s="1"/>
  <c r="N86" i="149" s="1"/>
  <c r="M326" i="149"/>
  <c r="M363" i="149" s="1"/>
  <c r="N66" i="149" s="1"/>
  <c r="M303" i="149"/>
  <c r="M310" i="149"/>
  <c r="M347" i="149" s="1"/>
  <c r="N50" i="149" s="1"/>
  <c r="M31" i="128"/>
  <c r="M81" i="128" s="1"/>
  <c r="M304" i="149"/>
  <c r="M341" i="149" s="1"/>
  <c r="N44" i="149" s="1"/>
  <c r="M311" i="149"/>
  <c r="M348" i="149" s="1"/>
  <c r="N51" i="149" s="1"/>
  <c r="N85" i="149" s="1"/>
  <c r="M320" i="149"/>
  <c r="M357" i="149" s="1"/>
  <c r="N60" i="149" s="1"/>
  <c r="M327" i="149"/>
  <c r="M364" i="149" s="1"/>
  <c r="N67" i="149" s="1"/>
  <c r="N101" i="149" s="1"/>
  <c r="M308" i="149"/>
  <c r="M345" i="149" s="1"/>
  <c r="N48" i="149" s="1"/>
  <c r="N82" i="149" s="1"/>
  <c r="M322" i="149"/>
  <c r="M359" i="149" s="1"/>
  <c r="N62" i="149" s="1"/>
  <c r="N96" i="149" s="1"/>
  <c r="M329" i="149"/>
  <c r="M306" i="149"/>
  <c r="M343" i="149" s="1"/>
  <c r="N46" i="149" s="1"/>
  <c r="N80" i="149" s="1"/>
  <c r="M313" i="149"/>
  <c r="M332" i="149" s="1"/>
  <c r="M333" i="149" s="1"/>
  <c r="M323" i="149"/>
  <c r="M360" i="149" s="1"/>
  <c r="N63" i="149" s="1"/>
  <c r="N97" i="149" s="1"/>
  <c r="M325" i="149"/>
  <c r="M362" i="149" s="1"/>
  <c r="N65" i="149" s="1"/>
  <c r="N99" i="149" s="1"/>
  <c r="N129" i="162"/>
  <c r="N163" i="162"/>
  <c r="N197" i="162"/>
  <c r="N84" i="162"/>
  <c r="N85" i="162"/>
  <c r="M25" i="102"/>
  <c r="K15" i="195"/>
  <c r="K44" i="195" s="1"/>
  <c r="K57" i="195" s="1"/>
  <c r="K98" i="195" s="1"/>
  <c r="M356" i="162"/>
  <c r="M330" i="162"/>
  <c r="K103" i="204"/>
  <c r="K104" i="204"/>
  <c r="K33" i="205" s="1"/>
  <c r="K105" i="204"/>
  <c r="K33" i="207" s="1"/>
  <c r="K34" i="209" s="1"/>
  <c r="K266" i="209" s="1"/>
  <c r="K35" i="210" s="1"/>
  <c r="K74" i="211" s="1"/>
  <c r="M224" i="148"/>
  <c r="M296" i="145"/>
  <c r="M371" i="145"/>
  <c r="N200" i="150"/>
  <c r="N132" i="150"/>
  <c r="N166" i="150"/>
  <c r="M223" i="141"/>
  <c r="M279" i="141" s="1"/>
  <c r="M224" i="141"/>
  <c r="M247" i="141"/>
  <c r="M257" i="141" s="1"/>
  <c r="M258" i="141" s="1"/>
  <c r="N147" i="147"/>
  <c r="N113" i="147"/>
  <c r="N181" i="147"/>
  <c r="N83" i="147"/>
  <c r="K15" i="200"/>
  <c r="K44" i="200" s="1"/>
  <c r="K57" i="200" s="1"/>
  <c r="K98" i="200" s="1"/>
  <c r="M30" i="102"/>
  <c r="N165" i="147"/>
  <c r="N131" i="147"/>
  <c r="N199" i="147"/>
  <c r="N96" i="147"/>
  <c r="N114" i="146"/>
  <c r="N182" i="146"/>
  <c r="N148" i="146"/>
  <c r="M29" i="102"/>
  <c r="K15" i="199"/>
  <c r="K44" i="199" s="1"/>
  <c r="K57" i="199" s="1"/>
  <c r="K98" i="199" s="1"/>
  <c r="N181" i="146"/>
  <c r="N147" i="146"/>
  <c r="N113" i="146"/>
  <c r="N100" i="146"/>
  <c r="N101" i="146"/>
  <c r="N81" i="146"/>
  <c r="M371" i="86"/>
  <c r="M296" i="86"/>
  <c r="M20" i="128"/>
  <c r="M70" i="128" s="1"/>
  <c r="M326" i="138"/>
  <c r="M363" i="138" s="1"/>
  <c r="N66" i="138" s="1"/>
  <c r="M322" i="138"/>
  <c r="M359" i="138" s="1"/>
  <c r="N62" i="138" s="1"/>
  <c r="M311" i="138"/>
  <c r="M348" i="138" s="1"/>
  <c r="N51" i="138" s="1"/>
  <c r="M307" i="138"/>
  <c r="M344" i="138" s="1"/>
  <c r="N47" i="138" s="1"/>
  <c r="M303" i="138"/>
  <c r="M325" i="138"/>
  <c r="M362" i="138" s="1"/>
  <c r="N65" i="138" s="1"/>
  <c r="M321" i="138"/>
  <c r="M358" i="138" s="1"/>
  <c r="N61" i="138" s="1"/>
  <c r="M310" i="138"/>
  <c r="M347" i="138" s="1"/>
  <c r="N50" i="138" s="1"/>
  <c r="M306" i="138"/>
  <c r="M343" i="138" s="1"/>
  <c r="N46" i="138" s="1"/>
  <c r="M328" i="138"/>
  <c r="M365" i="138" s="1"/>
  <c r="N68" i="138" s="1"/>
  <c r="M324" i="138"/>
  <c r="M361" i="138" s="1"/>
  <c r="N64" i="138" s="1"/>
  <c r="M320" i="138"/>
  <c r="M357" i="138" s="1"/>
  <c r="N60" i="138" s="1"/>
  <c r="M309" i="138"/>
  <c r="M346" i="138" s="1"/>
  <c r="N49" i="138" s="1"/>
  <c r="M305" i="138"/>
  <c r="M342" i="138" s="1"/>
  <c r="N45" i="138" s="1"/>
  <c r="M327" i="138"/>
  <c r="M364" i="138" s="1"/>
  <c r="N67" i="138" s="1"/>
  <c r="M323" i="138"/>
  <c r="M360" i="138" s="1"/>
  <c r="N63" i="138" s="1"/>
  <c r="N97" i="138" s="1"/>
  <c r="M319" i="138"/>
  <c r="M312" i="138"/>
  <c r="M349" i="138" s="1"/>
  <c r="N52" i="138" s="1"/>
  <c r="M308" i="138"/>
  <c r="M345" i="138" s="1"/>
  <c r="N48" i="138" s="1"/>
  <c r="M304" i="138"/>
  <c r="M341" i="138" s="1"/>
  <c r="N44" i="138" s="1"/>
  <c r="M15" i="128"/>
  <c r="M326" i="86"/>
  <c r="M363" i="86" s="1"/>
  <c r="N66" i="86" s="1"/>
  <c r="M322" i="86"/>
  <c r="M359" i="86" s="1"/>
  <c r="N62" i="86" s="1"/>
  <c r="M311" i="86"/>
  <c r="M348" i="86" s="1"/>
  <c r="M307" i="86"/>
  <c r="M344" i="86" s="1"/>
  <c r="M303" i="86"/>
  <c r="M325" i="86"/>
  <c r="M362" i="86" s="1"/>
  <c r="N65" i="86" s="1"/>
  <c r="M321" i="86"/>
  <c r="M358" i="86" s="1"/>
  <c r="N61" i="86" s="1"/>
  <c r="M310" i="86"/>
  <c r="M347" i="86" s="1"/>
  <c r="M306" i="86"/>
  <c r="M343" i="86" s="1"/>
  <c r="M328" i="86"/>
  <c r="M365" i="86" s="1"/>
  <c r="N68" i="86" s="1"/>
  <c r="M324" i="86"/>
  <c r="M361" i="86" s="1"/>
  <c r="N64" i="86" s="1"/>
  <c r="M320" i="86"/>
  <c r="M357" i="86" s="1"/>
  <c r="N60" i="86" s="1"/>
  <c r="M309" i="86"/>
  <c r="M346" i="86" s="1"/>
  <c r="M305" i="86"/>
  <c r="M342" i="86" s="1"/>
  <c r="M327" i="86"/>
  <c r="M364" i="86" s="1"/>
  <c r="N67" i="86" s="1"/>
  <c r="M323" i="86"/>
  <c r="M360" i="86" s="1"/>
  <c r="N63" i="86" s="1"/>
  <c r="M319" i="86"/>
  <c r="M312" i="86"/>
  <c r="M349" i="86" s="1"/>
  <c r="M308" i="86"/>
  <c r="M345" i="86" s="1"/>
  <c r="M304" i="86"/>
  <c r="M341" i="86" s="1"/>
  <c r="N217" i="150" l="1"/>
  <c r="N251" i="150" s="1"/>
  <c r="N234" i="150"/>
  <c r="N268" i="150" s="1"/>
  <c r="N215" i="146"/>
  <c r="N249" i="146" s="1"/>
  <c r="N238" i="146"/>
  <c r="N272" i="146" s="1"/>
  <c r="N84" i="149"/>
  <c r="N215" i="147"/>
  <c r="N249" i="147" s="1"/>
  <c r="M331" i="134"/>
  <c r="M296" i="134"/>
  <c r="M371" i="134"/>
  <c r="N217" i="162"/>
  <c r="N251" i="162" s="1"/>
  <c r="N218" i="150"/>
  <c r="N252" i="150" s="1"/>
  <c r="N216" i="144"/>
  <c r="N250" i="144" s="1"/>
  <c r="N222" i="150"/>
  <c r="N256" i="150" s="1"/>
  <c r="N220" i="144"/>
  <c r="N254" i="144" s="1"/>
  <c r="N231" i="151"/>
  <c r="N265" i="151" s="1"/>
  <c r="N221" i="151"/>
  <c r="N255" i="151" s="1"/>
  <c r="N233" i="162"/>
  <c r="N267" i="162" s="1"/>
  <c r="N218" i="147"/>
  <c r="N252" i="147" s="1"/>
  <c r="N216" i="162"/>
  <c r="N250" i="162" s="1"/>
  <c r="N169" i="146"/>
  <c r="N203" i="146"/>
  <c r="N135" i="146"/>
  <c r="N237" i="146" s="1"/>
  <c r="N271" i="146" s="1"/>
  <c r="N117" i="147"/>
  <c r="N151" i="147"/>
  <c r="N185" i="147"/>
  <c r="N187" i="162"/>
  <c r="N119" i="162"/>
  <c r="N153" i="162"/>
  <c r="N114" i="149"/>
  <c r="N182" i="149"/>
  <c r="N148" i="149"/>
  <c r="N135" i="149"/>
  <c r="N203" i="149"/>
  <c r="N169" i="149"/>
  <c r="K15" i="202"/>
  <c r="K44" i="202" s="1"/>
  <c r="K57" i="202" s="1"/>
  <c r="K98" i="202" s="1"/>
  <c r="M32" i="102"/>
  <c r="N154" i="149"/>
  <c r="N188" i="149"/>
  <c r="N120" i="149"/>
  <c r="N222" i="149" s="1"/>
  <c r="N256" i="149" s="1"/>
  <c r="N81" i="149"/>
  <c r="N102" i="149"/>
  <c r="N151" i="144"/>
  <c r="N117" i="144"/>
  <c r="N219" i="144" s="1"/>
  <c r="N253" i="144" s="1"/>
  <c r="N185" i="144"/>
  <c r="K271" i="211"/>
  <c r="Q82" i="218" s="1"/>
  <c r="K246" i="211"/>
  <c r="N153" i="146"/>
  <c r="N187" i="146"/>
  <c r="N119" i="146"/>
  <c r="N218" i="146"/>
  <c r="N252" i="146" s="1"/>
  <c r="N222" i="146"/>
  <c r="N256" i="146" s="1"/>
  <c r="N93" i="150"/>
  <c r="N94" i="150"/>
  <c r="N130" i="162"/>
  <c r="N164" i="162"/>
  <c r="N198" i="162"/>
  <c r="N219" i="162"/>
  <c r="N253" i="162" s="1"/>
  <c r="M331" i="135"/>
  <c r="M296" i="135"/>
  <c r="M371" i="135"/>
  <c r="N59" i="144"/>
  <c r="M366" i="144"/>
  <c r="N69" i="144" s="1"/>
  <c r="M367" i="144"/>
  <c r="N116" i="144"/>
  <c r="N150" i="144"/>
  <c r="N184" i="144"/>
  <c r="N220" i="146"/>
  <c r="N254" i="146" s="1"/>
  <c r="N148" i="147"/>
  <c r="N114" i="147"/>
  <c r="N182" i="147"/>
  <c r="N216" i="147" s="1"/>
  <c r="N250" i="147" s="1"/>
  <c r="N77" i="150"/>
  <c r="N78" i="150"/>
  <c r="N134" i="162"/>
  <c r="N168" i="162"/>
  <c r="N202" i="162"/>
  <c r="N237" i="162"/>
  <c r="N271" i="162" s="1"/>
  <c r="N231" i="144"/>
  <c r="N265" i="144" s="1"/>
  <c r="M44" i="95"/>
  <c r="M69" i="95" s="1"/>
  <c r="M100" i="102"/>
  <c r="N59" i="146"/>
  <c r="M366" i="146"/>
  <c r="N69" i="146" s="1"/>
  <c r="N70" i="146" s="1"/>
  <c r="A70" i="146" s="1"/>
  <c r="M367" i="146"/>
  <c r="N204" i="147"/>
  <c r="N170" i="147"/>
  <c r="N136" i="147"/>
  <c r="N237" i="147"/>
  <c r="N271" i="147" s="1"/>
  <c r="M283" i="148"/>
  <c r="M294" i="148"/>
  <c r="M30" i="130"/>
  <c r="N231" i="150"/>
  <c r="N265" i="150" s="1"/>
  <c r="S240" i="217"/>
  <c r="N170" i="144"/>
  <c r="N136" i="144"/>
  <c r="N204" i="144"/>
  <c r="N198" i="142"/>
  <c r="N130" i="142"/>
  <c r="N164" i="142"/>
  <c r="M340" i="142"/>
  <c r="M314" i="142"/>
  <c r="N98" i="142"/>
  <c r="M332" i="142"/>
  <c r="M333" i="142" s="1"/>
  <c r="N102" i="142"/>
  <c r="N202" i="146"/>
  <c r="N134" i="146"/>
  <c r="N168" i="146"/>
  <c r="K103" i="199"/>
  <c r="K104" i="199"/>
  <c r="K105" i="199"/>
  <c r="K149" i="199" s="1"/>
  <c r="N216" i="146"/>
  <c r="N250" i="146" s="1"/>
  <c r="K272" i="211"/>
  <c r="Q83" i="218" s="1"/>
  <c r="K247" i="211"/>
  <c r="N59" i="162"/>
  <c r="M366" i="162"/>
  <c r="N69" i="162" s="1"/>
  <c r="M367" i="162"/>
  <c r="N152" i="162"/>
  <c r="N186" i="162"/>
  <c r="N118" i="162"/>
  <c r="N133" i="149"/>
  <c r="N201" i="149"/>
  <c r="N167" i="149"/>
  <c r="N186" i="149"/>
  <c r="N152" i="149"/>
  <c r="N118" i="149"/>
  <c r="N79" i="149"/>
  <c r="N133" i="144"/>
  <c r="N201" i="144"/>
  <c r="N167" i="144"/>
  <c r="M366" i="147"/>
  <c r="N69" i="147" s="1"/>
  <c r="N59" i="147"/>
  <c r="N77" i="151"/>
  <c r="N78" i="151"/>
  <c r="N134" i="147"/>
  <c r="N168" i="147"/>
  <c r="N202" i="147"/>
  <c r="M368" i="150"/>
  <c r="M370" i="150" s="1"/>
  <c r="N53" i="150"/>
  <c r="N290" i="150" s="1"/>
  <c r="N170" i="162"/>
  <c r="N136" i="162"/>
  <c r="N204" i="162"/>
  <c r="N93" i="151"/>
  <c r="N94" i="151"/>
  <c r="N70" i="151"/>
  <c r="A70" i="151" s="1"/>
  <c r="K105" i="197"/>
  <c r="K149" i="197" s="1"/>
  <c r="K103" i="197"/>
  <c r="K104" i="197"/>
  <c r="P72" i="218"/>
  <c r="J273" i="211"/>
  <c r="N234" i="147"/>
  <c r="N268" i="147" s="1"/>
  <c r="N232" i="144"/>
  <c r="N266" i="144" s="1"/>
  <c r="N165" i="142"/>
  <c r="N199" i="142"/>
  <c r="N131" i="142"/>
  <c r="N150" i="142"/>
  <c r="N116" i="142"/>
  <c r="N184" i="142"/>
  <c r="N218" i="142" s="1"/>
  <c r="N252" i="142" s="1"/>
  <c r="N168" i="142"/>
  <c r="N134" i="142"/>
  <c r="N202" i="142"/>
  <c r="N236" i="142" s="1"/>
  <c r="N270" i="142" s="1"/>
  <c r="N95" i="142"/>
  <c r="N101" i="142"/>
  <c r="N99" i="142"/>
  <c r="M102" i="102"/>
  <c r="M46" i="95"/>
  <c r="M71" i="95" s="1"/>
  <c r="N164" i="147"/>
  <c r="N130" i="147"/>
  <c r="N198" i="147"/>
  <c r="N232" i="147" s="1"/>
  <c r="N266" i="147" s="1"/>
  <c r="M103" i="102"/>
  <c r="M47" i="95"/>
  <c r="M72" i="95" s="1"/>
  <c r="M22" i="130"/>
  <c r="M283" i="141"/>
  <c r="M294" i="141"/>
  <c r="K105" i="195"/>
  <c r="K24" i="207" s="1"/>
  <c r="K25" i="209" s="1"/>
  <c r="K257" i="209" s="1"/>
  <c r="K26" i="210" s="1"/>
  <c r="K65" i="211" s="1"/>
  <c r="K103" i="195"/>
  <c r="K104" i="195"/>
  <c r="K24" i="205" s="1"/>
  <c r="N231" i="162"/>
  <c r="N265" i="162" s="1"/>
  <c r="N165" i="149"/>
  <c r="N199" i="149"/>
  <c r="N131" i="149"/>
  <c r="N164" i="149"/>
  <c r="N130" i="149"/>
  <c r="N198" i="149"/>
  <c r="N153" i="149"/>
  <c r="N187" i="149"/>
  <c r="N119" i="149"/>
  <c r="M340" i="149"/>
  <c r="M314" i="149"/>
  <c r="N98" i="149"/>
  <c r="M356" i="149"/>
  <c r="M330" i="149"/>
  <c r="N220" i="150"/>
  <c r="N254" i="150" s="1"/>
  <c r="N132" i="144"/>
  <c r="N166" i="144"/>
  <c r="N200" i="144"/>
  <c r="K32" i="206"/>
  <c r="L91" i="208" s="1"/>
  <c r="K106" i="203"/>
  <c r="K111" i="203" s="1"/>
  <c r="M350" i="146"/>
  <c r="N43" i="146"/>
  <c r="M351" i="146"/>
  <c r="M368" i="151"/>
  <c r="M370" i="151" s="1"/>
  <c r="N53" i="151"/>
  <c r="N290" i="151" s="1"/>
  <c r="N167" i="162"/>
  <c r="N133" i="162"/>
  <c r="N201" i="162"/>
  <c r="N166" i="162"/>
  <c r="N200" i="162"/>
  <c r="N132" i="162"/>
  <c r="M14" i="130"/>
  <c r="M294" i="140"/>
  <c r="N199" i="146"/>
  <c r="N165" i="146"/>
  <c r="N131" i="146"/>
  <c r="N133" i="147"/>
  <c r="N201" i="147"/>
  <c r="N167" i="147"/>
  <c r="N43" i="147"/>
  <c r="M350" i="147"/>
  <c r="M296" i="139"/>
  <c r="M371" i="139"/>
  <c r="M331" i="139"/>
  <c r="S88" i="217"/>
  <c r="S270" i="217" s="1"/>
  <c r="M34" i="132"/>
  <c r="S90" i="217" s="1"/>
  <c r="S121" i="217" s="1"/>
  <c r="N236" i="150"/>
  <c r="N270" i="150" s="1"/>
  <c r="M350" i="162"/>
  <c r="M351" i="162" s="1"/>
  <c r="N43" i="162"/>
  <c r="N151" i="146"/>
  <c r="N185" i="146"/>
  <c r="N117" i="146"/>
  <c r="M371" i="136"/>
  <c r="M331" i="136"/>
  <c r="M296" i="136"/>
  <c r="N236" i="151"/>
  <c r="N270" i="151" s="1"/>
  <c r="M350" i="144"/>
  <c r="M351" i="144" s="1"/>
  <c r="N43" i="144"/>
  <c r="N148" i="142"/>
  <c r="N114" i="142"/>
  <c r="N182" i="142"/>
  <c r="N120" i="142"/>
  <c r="N154" i="142"/>
  <c r="N188" i="142"/>
  <c r="N81" i="142"/>
  <c r="M356" i="142"/>
  <c r="M330" i="142"/>
  <c r="N85" i="142"/>
  <c r="N115" i="146"/>
  <c r="N149" i="146"/>
  <c r="N183" i="146"/>
  <c r="N233" i="147"/>
  <c r="N267" i="147" s="1"/>
  <c r="K105" i="200"/>
  <c r="K29" i="207" s="1"/>
  <c r="K104" i="200"/>
  <c r="K29" i="205" s="1"/>
  <c r="K103" i="200"/>
  <c r="M27" i="128"/>
  <c r="M77" i="128" s="1"/>
  <c r="M310" i="145"/>
  <c r="M347" i="145" s="1"/>
  <c r="N50" i="145" s="1"/>
  <c r="M320" i="145"/>
  <c r="M357" i="145" s="1"/>
  <c r="N60" i="145" s="1"/>
  <c r="M327" i="145"/>
  <c r="M364" i="145" s="1"/>
  <c r="N67" i="145" s="1"/>
  <c r="M308" i="145"/>
  <c r="M345" i="145" s="1"/>
  <c r="N48" i="145" s="1"/>
  <c r="M322" i="145"/>
  <c r="M359" i="145" s="1"/>
  <c r="N62" i="145" s="1"/>
  <c r="M321" i="145"/>
  <c r="M358" i="145" s="1"/>
  <c r="N61" i="145" s="1"/>
  <c r="N95" i="145" s="1"/>
  <c r="M312" i="145"/>
  <c r="M349" i="145" s="1"/>
  <c r="N52" i="145" s="1"/>
  <c r="M303" i="145"/>
  <c r="M329" i="145"/>
  <c r="M306" i="145"/>
  <c r="M343" i="145" s="1"/>
  <c r="N46" i="145" s="1"/>
  <c r="M313" i="145"/>
  <c r="M323" i="145"/>
  <c r="M360" i="145" s="1"/>
  <c r="N63" i="145" s="1"/>
  <c r="M304" i="145"/>
  <c r="M341" i="145" s="1"/>
  <c r="N44" i="145" s="1"/>
  <c r="M311" i="145"/>
  <c r="M348" i="145" s="1"/>
  <c r="N51" i="145" s="1"/>
  <c r="N85" i="145" s="1"/>
  <c r="M324" i="145"/>
  <c r="M361" i="145" s="1"/>
  <c r="N64" i="145" s="1"/>
  <c r="N98" i="145" s="1"/>
  <c r="M326" i="145"/>
  <c r="M363" i="145" s="1"/>
  <c r="N66" i="145" s="1"/>
  <c r="M325" i="145"/>
  <c r="M362" i="145" s="1"/>
  <c r="N65" i="145" s="1"/>
  <c r="M328" i="145"/>
  <c r="M365" i="145" s="1"/>
  <c r="N68" i="145" s="1"/>
  <c r="N102" i="145" s="1"/>
  <c r="M309" i="145"/>
  <c r="M346" i="145" s="1"/>
  <c r="N49" i="145" s="1"/>
  <c r="N83" i="145" s="1"/>
  <c r="M319" i="145"/>
  <c r="M331" i="145"/>
  <c r="M307" i="145"/>
  <c r="M344" i="145" s="1"/>
  <c r="N47" i="145" s="1"/>
  <c r="N81" i="145" s="1"/>
  <c r="M305" i="145"/>
  <c r="M342" i="145" s="1"/>
  <c r="N45" i="145" s="1"/>
  <c r="N79" i="145" s="1"/>
  <c r="K33" i="206"/>
  <c r="L92" i="208" s="1"/>
  <c r="K106" i="204"/>
  <c r="K111" i="204" s="1"/>
  <c r="M42" i="95"/>
  <c r="M67" i="95" s="1"/>
  <c r="M98" i="102"/>
  <c r="N150" i="149"/>
  <c r="N184" i="149"/>
  <c r="N116" i="149"/>
  <c r="N100" i="149"/>
  <c r="N95" i="149"/>
  <c r="N83" i="149"/>
  <c r="N163" i="146"/>
  <c r="N197" i="146"/>
  <c r="N129" i="146"/>
  <c r="N153" i="147"/>
  <c r="N187" i="147"/>
  <c r="N119" i="147"/>
  <c r="N217" i="147"/>
  <c r="N251" i="147" s="1"/>
  <c r="N222" i="147"/>
  <c r="N256" i="147" s="1"/>
  <c r="M367" i="150"/>
  <c r="M331" i="137"/>
  <c r="M296" i="137"/>
  <c r="M371" i="137"/>
  <c r="M25" i="128"/>
  <c r="M75" i="128" s="1"/>
  <c r="M312" i="143"/>
  <c r="M349" i="143" s="1"/>
  <c r="N52" i="143" s="1"/>
  <c r="M326" i="143"/>
  <c r="M363" i="143" s="1"/>
  <c r="N66" i="143" s="1"/>
  <c r="M303" i="143"/>
  <c r="M310" i="143"/>
  <c r="M347" i="143" s="1"/>
  <c r="N50" i="143" s="1"/>
  <c r="M320" i="143"/>
  <c r="M357" i="143" s="1"/>
  <c r="N60" i="143" s="1"/>
  <c r="M304" i="143"/>
  <c r="M341" i="143" s="1"/>
  <c r="N44" i="143" s="1"/>
  <c r="M325" i="143"/>
  <c r="M362" i="143" s="1"/>
  <c r="N65" i="143" s="1"/>
  <c r="M309" i="143"/>
  <c r="M346" i="143" s="1"/>
  <c r="N49" i="143" s="1"/>
  <c r="M319" i="143"/>
  <c r="M307" i="143"/>
  <c r="M344" i="143" s="1"/>
  <c r="N47" i="143" s="1"/>
  <c r="M324" i="143"/>
  <c r="M361" i="143" s="1"/>
  <c r="N64" i="143" s="1"/>
  <c r="M327" i="143"/>
  <c r="M364" i="143" s="1"/>
  <c r="N67" i="143" s="1"/>
  <c r="N101" i="143" s="1"/>
  <c r="M308" i="143"/>
  <c r="M345" i="143" s="1"/>
  <c r="N48" i="143" s="1"/>
  <c r="N82" i="143" s="1"/>
  <c r="M322" i="143"/>
  <c r="M359" i="143" s="1"/>
  <c r="N62" i="143" s="1"/>
  <c r="M329" i="143"/>
  <c r="M306" i="143"/>
  <c r="M343" i="143" s="1"/>
  <c r="N46" i="143" s="1"/>
  <c r="M313" i="143"/>
  <c r="M332" i="143" s="1"/>
  <c r="M323" i="143"/>
  <c r="M360" i="143" s="1"/>
  <c r="N63" i="143" s="1"/>
  <c r="N97" i="143" s="1"/>
  <c r="M311" i="143"/>
  <c r="M348" i="143" s="1"/>
  <c r="N51" i="143" s="1"/>
  <c r="M328" i="143"/>
  <c r="M365" i="143" s="1"/>
  <c r="N68" i="143" s="1"/>
  <c r="N102" i="143" s="1"/>
  <c r="M331" i="143"/>
  <c r="M321" i="143"/>
  <c r="M358" i="143" s="1"/>
  <c r="N61" i="143" s="1"/>
  <c r="N95" i="143" s="1"/>
  <c r="M305" i="143"/>
  <c r="M342" i="143" s="1"/>
  <c r="N45" i="143" s="1"/>
  <c r="N79" i="143" s="1"/>
  <c r="N181" i="144"/>
  <c r="N113" i="144"/>
  <c r="N147" i="144"/>
  <c r="N217" i="144"/>
  <c r="N251" i="144" s="1"/>
  <c r="N232" i="146"/>
  <c r="N266" i="146" s="1"/>
  <c r="N220" i="147"/>
  <c r="N254" i="147" s="1"/>
  <c r="N231" i="147"/>
  <c r="N265" i="147" s="1"/>
  <c r="N216" i="151"/>
  <c r="N250" i="151" s="1"/>
  <c r="M351" i="150"/>
  <c r="N116" i="162"/>
  <c r="N184" i="162"/>
  <c r="N150" i="162"/>
  <c r="N236" i="144"/>
  <c r="N270" i="144" s="1"/>
  <c r="N237" i="144"/>
  <c r="N271" i="144" s="1"/>
  <c r="N222" i="144"/>
  <c r="N256" i="144" s="1"/>
  <c r="N215" i="150"/>
  <c r="N249" i="150" s="1"/>
  <c r="N234" i="146"/>
  <c r="N268" i="146" s="1"/>
  <c r="N233" i="151"/>
  <c r="N267" i="151" s="1"/>
  <c r="N147" i="162"/>
  <c r="N113" i="162"/>
  <c r="N181" i="162"/>
  <c r="N188" i="162"/>
  <c r="N120" i="162"/>
  <c r="N154" i="162"/>
  <c r="S242" i="217"/>
  <c r="S272" i="217"/>
  <c r="N187" i="144"/>
  <c r="N153" i="144"/>
  <c r="N119" i="144"/>
  <c r="N221" i="144" s="1"/>
  <c r="N255" i="144" s="1"/>
  <c r="N233" i="144"/>
  <c r="N267" i="144" s="1"/>
  <c r="N152" i="142"/>
  <c r="N186" i="142"/>
  <c r="N118" i="142"/>
  <c r="N220" i="142" s="1"/>
  <c r="N254" i="142" s="1"/>
  <c r="N79" i="142"/>
  <c r="N83" i="142"/>
  <c r="M24" i="102"/>
  <c r="K15" i="194"/>
  <c r="K44" i="194" s="1"/>
  <c r="K57" i="194" s="1"/>
  <c r="K98" i="194" s="1"/>
  <c r="N86" i="138"/>
  <c r="N101" i="86"/>
  <c r="N97" i="86"/>
  <c r="N199" i="86" s="1"/>
  <c r="N101" i="138"/>
  <c r="N135" i="138" s="1"/>
  <c r="N102" i="138"/>
  <c r="N204" i="138" s="1"/>
  <c r="N99" i="138"/>
  <c r="N96" i="138"/>
  <c r="N102" i="86"/>
  <c r="N136" i="86" s="1"/>
  <c r="N99" i="86"/>
  <c r="N96" i="86"/>
  <c r="N164" i="86" s="1"/>
  <c r="N84" i="138"/>
  <c r="N81" i="138"/>
  <c r="N115" i="138" s="1"/>
  <c r="M356" i="86"/>
  <c r="M329" i="86"/>
  <c r="M330" i="86" s="1"/>
  <c r="N49" i="86"/>
  <c r="N46" i="86"/>
  <c r="M340" i="86"/>
  <c r="M313" i="86"/>
  <c r="N100" i="86"/>
  <c r="M356" i="138"/>
  <c r="M329" i="138"/>
  <c r="M330" i="138" s="1"/>
  <c r="N83" i="138"/>
  <c r="N80" i="138"/>
  <c r="M340" i="138"/>
  <c r="M313" i="138"/>
  <c r="N100" i="138"/>
  <c r="N44" i="86"/>
  <c r="N50" i="86"/>
  <c r="N47" i="86"/>
  <c r="M65" i="128"/>
  <c r="N199" i="138"/>
  <c r="N131" i="138"/>
  <c r="N165" i="138"/>
  <c r="N152" i="138"/>
  <c r="N186" i="138"/>
  <c r="N118" i="138"/>
  <c r="M21" i="102"/>
  <c r="K15" i="191"/>
  <c r="K44" i="191" s="1"/>
  <c r="K57" i="191" s="1"/>
  <c r="K98" i="191" s="1"/>
  <c r="N48" i="86"/>
  <c r="N203" i="86"/>
  <c r="N135" i="86"/>
  <c r="N169" i="86"/>
  <c r="N98" i="86"/>
  <c r="N95" i="86"/>
  <c r="N51" i="86"/>
  <c r="N82" i="138"/>
  <c r="N169" i="138"/>
  <c r="N98" i="138"/>
  <c r="N95" i="138"/>
  <c r="N85" i="138"/>
  <c r="N52" i="86"/>
  <c r="N45" i="86"/>
  <c r="N170" i="86"/>
  <c r="N167" i="86"/>
  <c r="N201" i="86"/>
  <c r="N133" i="86"/>
  <c r="N188" i="138"/>
  <c r="N120" i="138"/>
  <c r="N154" i="138"/>
  <c r="N79" i="138"/>
  <c r="N170" i="138"/>
  <c r="N167" i="138"/>
  <c r="N201" i="138"/>
  <c r="N133" i="138"/>
  <c r="N164" i="138"/>
  <c r="N198" i="138"/>
  <c r="N130" i="138"/>
  <c r="N99" i="145" l="1"/>
  <c r="N235" i="162"/>
  <c r="N269" i="162" s="1"/>
  <c r="N233" i="142"/>
  <c r="N267" i="142" s="1"/>
  <c r="N218" i="149"/>
  <c r="N252" i="149" s="1"/>
  <c r="N220" i="162"/>
  <c r="N254" i="162" s="1"/>
  <c r="N219" i="146"/>
  <c r="N253" i="146" s="1"/>
  <c r="N204" i="86"/>
  <c r="N203" i="138"/>
  <c r="N183" i="138"/>
  <c r="N149" i="138"/>
  <c r="N81" i="86"/>
  <c r="N85" i="143"/>
  <c r="N96" i="145"/>
  <c r="M328" i="134"/>
  <c r="M365" i="134" s="1"/>
  <c r="N68" i="134" s="1"/>
  <c r="M305" i="134"/>
  <c r="M342" i="134" s="1"/>
  <c r="N45" i="134" s="1"/>
  <c r="M312" i="134"/>
  <c r="M349" i="134" s="1"/>
  <c r="N52" i="134" s="1"/>
  <c r="M322" i="134"/>
  <c r="M359" i="134" s="1"/>
  <c r="N62" i="134" s="1"/>
  <c r="M325" i="134"/>
  <c r="M362" i="134" s="1"/>
  <c r="N65" i="134" s="1"/>
  <c r="M324" i="134"/>
  <c r="M361" i="134" s="1"/>
  <c r="N64" i="134" s="1"/>
  <c r="M327" i="134"/>
  <c r="M364" i="134" s="1"/>
  <c r="N67" i="134" s="1"/>
  <c r="M308" i="134"/>
  <c r="M345" i="134" s="1"/>
  <c r="N48" i="134" s="1"/>
  <c r="M311" i="134"/>
  <c r="M348" i="134" s="1"/>
  <c r="N51" i="134" s="1"/>
  <c r="M321" i="134"/>
  <c r="M358" i="134" s="1"/>
  <c r="N61" i="134" s="1"/>
  <c r="N95" i="134" s="1"/>
  <c r="M320" i="134"/>
  <c r="M357" i="134" s="1"/>
  <c r="N60" i="134" s="1"/>
  <c r="M323" i="134"/>
  <c r="M360" i="134" s="1"/>
  <c r="N63" i="134" s="1"/>
  <c r="N97" i="134" s="1"/>
  <c r="M304" i="134"/>
  <c r="M341" i="134" s="1"/>
  <c r="N44" i="134" s="1"/>
  <c r="M307" i="134"/>
  <c r="M344" i="134" s="1"/>
  <c r="N47" i="134" s="1"/>
  <c r="M310" i="134"/>
  <c r="M347" i="134" s="1"/>
  <c r="N50" i="134" s="1"/>
  <c r="M16" i="128"/>
  <c r="M66" i="128" s="1"/>
  <c r="M309" i="134"/>
  <c r="M346" i="134" s="1"/>
  <c r="N49" i="134" s="1"/>
  <c r="M319" i="134"/>
  <c r="M326" i="134"/>
  <c r="M363" i="134" s="1"/>
  <c r="N66" i="134" s="1"/>
  <c r="N100" i="134" s="1"/>
  <c r="M303" i="134"/>
  <c r="M306" i="134"/>
  <c r="M343" i="134" s="1"/>
  <c r="N46" i="134" s="1"/>
  <c r="N80" i="134" s="1"/>
  <c r="N97" i="145"/>
  <c r="N221" i="147"/>
  <c r="N255" i="147" s="1"/>
  <c r="N231" i="146"/>
  <c r="N265" i="146" s="1"/>
  <c r="M332" i="145"/>
  <c r="N220" i="149"/>
  <c r="N254" i="149" s="1"/>
  <c r="N221" i="162"/>
  <c r="N255" i="162" s="1"/>
  <c r="N219" i="147"/>
  <c r="N253" i="147" s="1"/>
  <c r="N215" i="162"/>
  <c r="N249" i="162" s="1"/>
  <c r="N237" i="149"/>
  <c r="N271" i="149" s="1"/>
  <c r="N100" i="143"/>
  <c r="N216" i="142"/>
  <c r="N250" i="142" s="1"/>
  <c r="N221" i="149"/>
  <c r="N255" i="149" s="1"/>
  <c r="N70" i="147"/>
  <c r="A70" i="147" s="1"/>
  <c r="S299" i="217"/>
  <c r="S618" i="217"/>
  <c r="N117" i="142"/>
  <c r="N151" i="142"/>
  <c r="N185" i="142"/>
  <c r="N222" i="162"/>
  <c r="N256" i="162" s="1"/>
  <c r="N197" i="143"/>
  <c r="N129" i="143"/>
  <c r="N163" i="143"/>
  <c r="N131" i="143"/>
  <c r="N199" i="143"/>
  <c r="N165" i="143"/>
  <c r="N96" i="143"/>
  <c r="N81" i="143"/>
  <c r="N134" i="143"/>
  <c r="N202" i="143"/>
  <c r="N168" i="143"/>
  <c r="M320" i="137"/>
  <c r="M357" i="137" s="1"/>
  <c r="N60" i="137" s="1"/>
  <c r="M323" i="137"/>
  <c r="M360" i="137" s="1"/>
  <c r="N63" i="137" s="1"/>
  <c r="M304" i="137"/>
  <c r="M341" i="137" s="1"/>
  <c r="N44" i="137" s="1"/>
  <c r="M307" i="137"/>
  <c r="M344" i="137" s="1"/>
  <c r="N47" i="137" s="1"/>
  <c r="M310" i="137"/>
  <c r="M347" i="137" s="1"/>
  <c r="N50" i="137" s="1"/>
  <c r="M19" i="128"/>
  <c r="M69" i="128" s="1"/>
  <c r="M309" i="137"/>
  <c r="M346" i="137" s="1"/>
  <c r="N49" i="137" s="1"/>
  <c r="M319" i="137"/>
  <c r="M326" i="137"/>
  <c r="M363" i="137" s="1"/>
  <c r="N66" i="137" s="1"/>
  <c r="M303" i="137"/>
  <c r="M306" i="137"/>
  <c r="M343" i="137" s="1"/>
  <c r="N46" i="137" s="1"/>
  <c r="M328" i="137"/>
  <c r="M365" i="137" s="1"/>
  <c r="N68" i="137" s="1"/>
  <c r="M305" i="137"/>
  <c r="M342" i="137" s="1"/>
  <c r="N45" i="137" s="1"/>
  <c r="N79" i="137" s="1"/>
  <c r="N147" i="137" s="1"/>
  <c r="M312" i="137"/>
  <c r="M349" i="137" s="1"/>
  <c r="N52" i="137" s="1"/>
  <c r="M322" i="137"/>
  <c r="M359" i="137" s="1"/>
  <c r="N62" i="137" s="1"/>
  <c r="M325" i="137"/>
  <c r="M362" i="137" s="1"/>
  <c r="N65" i="137" s="1"/>
  <c r="M324" i="137"/>
  <c r="M361" i="137" s="1"/>
  <c r="N64" i="137" s="1"/>
  <c r="N98" i="137" s="1"/>
  <c r="N200" i="137" s="1"/>
  <c r="M327" i="137"/>
  <c r="M364" i="137" s="1"/>
  <c r="N67" i="137" s="1"/>
  <c r="M308" i="137"/>
  <c r="M345" i="137" s="1"/>
  <c r="N48" i="137" s="1"/>
  <c r="N82" i="137" s="1"/>
  <c r="M311" i="137"/>
  <c r="M348" i="137" s="1"/>
  <c r="N51" i="137" s="1"/>
  <c r="N85" i="137" s="1"/>
  <c r="M321" i="137"/>
  <c r="M358" i="137" s="1"/>
  <c r="N61" i="137" s="1"/>
  <c r="N95" i="137" s="1"/>
  <c r="N197" i="137" s="1"/>
  <c r="N163" i="149"/>
  <c r="N129" i="149"/>
  <c r="N197" i="149"/>
  <c r="K113" i="204"/>
  <c r="K115" i="204" s="1"/>
  <c r="K112" i="204"/>
  <c r="N133" i="145"/>
  <c r="N167" i="145"/>
  <c r="N201" i="145"/>
  <c r="N235" i="145" s="1"/>
  <c r="N269" i="145" s="1"/>
  <c r="N130" i="145"/>
  <c r="N164" i="145"/>
  <c r="N198" i="145"/>
  <c r="N84" i="145"/>
  <c r="K30" i="209"/>
  <c r="K262" i="209" s="1"/>
  <c r="K31" i="210" s="1"/>
  <c r="K70" i="211" s="1"/>
  <c r="N217" i="146"/>
  <c r="N251" i="146" s="1"/>
  <c r="N183" i="142"/>
  <c r="N149" i="142"/>
  <c r="N115" i="142"/>
  <c r="M326" i="136"/>
  <c r="M363" i="136" s="1"/>
  <c r="N66" i="136" s="1"/>
  <c r="M303" i="136"/>
  <c r="M306" i="136"/>
  <c r="M343" i="136" s="1"/>
  <c r="N46" i="136" s="1"/>
  <c r="M309" i="136"/>
  <c r="M346" i="136" s="1"/>
  <c r="N49" i="136" s="1"/>
  <c r="M319" i="136"/>
  <c r="M322" i="136"/>
  <c r="M359" i="136" s="1"/>
  <c r="N62" i="136" s="1"/>
  <c r="M325" i="136"/>
  <c r="M362" i="136" s="1"/>
  <c r="N65" i="136" s="1"/>
  <c r="M328" i="136"/>
  <c r="M365" i="136" s="1"/>
  <c r="N68" i="136" s="1"/>
  <c r="M305" i="136"/>
  <c r="M342" i="136" s="1"/>
  <c r="N45" i="136" s="1"/>
  <c r="M312" i="136"/>
  <c r="M349" i="136" s="1"/>
  <c r="N52" i="136" s="1"/>
  <c r="M311" i="136"/>
  <c r="M348" i="136" s="1"/>
  <c r="N51" i="136" s="1"/>
  <c r="M321" i="136"/>
  <c r="M358" i="136" s="1"/>
  <c r="N61" i="136" s="1"/>
  <c r="M324" i="136"/>
  <c r="M361" i="136" s="1"/>
  <c r="N64" i="136" s="1"/>
  <c r="M327" i="136"/>
  <c r="M364" i="136" s="1"/>
  <c r="N67" i="136" s="1"/>
  <c r="M308" i="136"/>
  <c r="M345" i="136" s="1"/>
  <c r="N48" i="136" s="1"/>
  <c r="M18" i="128"/>
  <c r="M68" i="128" s="1"/>
  <c r="M307" i="136"/>
  <c r="M344" i="136" s="1"/>
  <c r="N47" i="136" s="1"/>
  <c r="M310" i="136"/>
  <c r="M347" i="136" s="1"/>
  <c r="N50" i="136" s="1"/>
  <c r="N84" i="136" s="1"/>
  <c r="M320" i="136"/>
  <c r="M357" i="136" s="1"/>
  <c r="N60" i="136" s="1"/>
  <c r="M323" i="136"/>
  <c r="M360" i="136" s="1"/>
  <c r="N63" i="136" s="1"/>
  <c r="N97" i="136" s="1"/>
  <c r="M304" i="136"/>
  <c r="M341" i="136" s="1"/>
  <c r="N44" i="136" s="1"/>
  <c r="N53" i="162"/>
  <c r="N290" i="162" s="1"/>
  <c r="M368" i="162"/>
  <c r="M370" i="162" s="1"/>
  <c r="N53" i="147"/>
  <c r="N290" i="147" s="1"/>
  <c r="M368" i="147"/>
  <c r="M370" i="147" s="1"/>
  <c r="M296" i="140"/>
  <c r="M371" i="140"/>
  <c r="N53" i="146"/>
  <c r="N290" i="146" s="1"/>
  <c r="M368" i="146"/>
  <c r="M370" i="146" s="1"/>
  <c r="M366" i="149"/>
  <c r="N69" i="149" s="1"/>
  <c r="N59" i="149"/>
  <c r="M367" i="149"/>
  <c r="K263" i="211"/>
  <c r="Q74" i="218" s="1"/>
  <c r="K238" i="211"/>
  <c r="N203" i="142"/>
  <c r="N135" i="142"/>
  <c r="N169" i="142"/>
  <c r="K147" i="197"/>
  <c r="K106" i="197"/>
  <c r="K140" i="197"/>
  <c r="K152" i="197" s="1"/>
  <c r="N127" i="151"/>
  <c r="N195" i="151"/>
  <c r="N161" i="151"/>
  <c r="N103" i="151"/>
  <c r="N104" i="151" s="1"/>
  <c r="A104" i="151" s="1"/>
  <c r="N111" i="151"/>
  <c r="N145" i="151"/>
  <c r="N179" i="151"/>
  <c r="N87" i="151"/>
  <c r="N88" i="151" s="1"/>
  <c r="A88" i="151" s="1"/>
  <c r="N93" i="162"/>
  <c r="N94" i="162"/>
  <c r="N200" i="142"/>
  <c r="N132" i="142"/>
  <c r="N166" i="142"/>
  <c r="N179" i="150"/>
  <c r="N145" i="150"/>
  <c r="N111" i="150"/>
  <c r="N87" i="150"/>
  <c r="N88" i="150" s="1"/>
  <c r="A88" i="150" s="1"/>
  <c r="M17" i="128"/>
  <c r="M307" i="135"/>
  <c r="M344" i="135" s="1"/>
  <c r="M310" i="135"/>
  <c r="M347" i="135" s="1"/>
  <c r="M320" i="135"/>
  <c r="M357" i="135" s="1"/>
  <c r="N60" i="135" s="1"/>
  <c r="M323" i="135"/>
  <c r="M360" i="135" s="1"/>
  <c r="N63" i="135" s="1"/>
  <c r="M304" i="135"/>
  <c r="M341" i="135" s="1"/>
  <c r="M326" i="135"/>
  <c r="M363" i="135" s="1"/>
  <c r="N66" i="135" s="1"/>
  <c r="M303" i="135"/>
  <c r="M306" i="135"/>
  <c r="M343" i="135" s="1"/>
  <c r="M309" i="135"/>
  <c r="M346" i="135" s="1"/>
  <c r="M319" i="135"/>
  <c r="M322" i="135"/>
  <c r="M359" i="135" s="1"/>
  <c r="N62" i="135" s="1"/>
  <c r="M325" i="135"/>
  <c r="M362" i="135" s="1"/>
  <c r="N65" i="135" s="1"/>
  <c r="M328" i="135"/>
  <c r="M365" i="135" s="1"/>
  <c r="N68" i="135" s="1"/>
  <c r="M305" i="135"/>
  <c r="M342" i="135" s="1"/>
  <c r="M312" i="135"/>
  <c r="M349" i="135" s="1"/>
  <c r="M311" i="135"/>
  <c r="M348" i="135" s="1"/>
  <c r="M321" i="135"/>
  <c r="M358" i="135" s="1"/>
  <c r="N61" i="135" s="1"/>
  <c r="N95" i="135" s="1"/>
  <c r="M324" i="135"/>
  <c r="M361" i="135" s="1"/>
  <c r="N64" i="135" s="1"/>
  <c r="N98" i="135" s="1"/>
  <c r="M327" i="135"/>
  <c r="M364" i="135" s="1"/>
  <c r="N67" i="135" s="1"/>
  <c r="M308" i="135"/>
  <c r="M345" i="135" s="1"/>
  <c r="K103" i="202"/>
  <c r="K104" i="202"/>
  <c r="K31" i="205" s="1"/>
  <c r="K105" i="202"/>
  <c r="K31" i="207" s="1"/>
  <c r="K32" i="209" s="1"/>
  <c r="K264" i="209" s="1"/>
  <c r="K33" i="210" s="1"/>
  <c r="K72" i="211" s="1"/>
  <c r="N181" i="142"/>
  <c r="N113" i="142"/>
  <c r="N147" i="142"/>
  <c r="S624" i="217"/>
  <c r="S301" i="217"/>
  <c r="N218" i="162"/>
  <c r="N252" i="162" s="1"/>
  <c r="N215" i="144"/>
  <c r="N249" i="144" s="1"/>
  <c r="M333" i="143"/>
  <c r="N184" i="143"/>
  <c r="N116" i="143"/>
  <c r="N150" i="143"/>
  <c r="M356" i="143"/>
  <c r="M330" i="143"/>
  <c r="N86" i="143"/>
  <c r="N168" i="149"/>
  <c r="N134" i="149"/>
  <c r="N202" i="149"/>
  <c r="M356" i="145"/>
  <c r="M330" i="145"/>
  <c r="N100" i="145"/>
  <c r="N131" i="145"/>
  <c r="N165" i="145"/>
  <c r="N199" i="145"/>
  <c r="M340" i="145"/>
  <c r="M314" i="145"/>
  <c r="N82" i="145"/>
  <c r="M28" i="102"/>
  <c r="K15" i="198"/>
  <c r="K44" i="198" s="1"/>
  <c r="K57" i="198" s="1"/>
  <c r="K98" i="198" s="1"/>
  <c r="N187" i="142"/>
  <c r="N119" i="142"/>
  <c r="N153" i="142"/>
  <c r="N77" i="144"/>
  <c r="N78" i="144"/>
  <c r="N77" i="147"/>
  <c r="N54" i="147"/>
  <c r="A54" i="147" s="1"/>
  <c r="N78" i="147"/>
  <c r="M12" i="130"/>
  <c r="M34" i="130"/>
  <c r="K112" i="203"/>
  <c r="K113" i="203"/>
  <c r="K115" i="203" s="1"/>
  <c r="N166" i="149"/>
  <c r="N200" i="149"/>
  <c r="N132" i="149"/>
  <c r="M296" i="141"/>
  <c r="M371" i="141"/>
  <c r="N163" i="142"/>
  <c r="N129" i="142"/>
  <c r="N197" i="142"/>
  <c r="N238" i="162"/>
  <c r="N272" i="162" s="1"/>
  <c r="M367" i="147"/>
  <c r="N235" i="144"/>
  <c r="N269" i="144" s="1"/>
  <c r="N235" i="149"/>
  <c r="N269" i="149" s="1"/>
  <c r="K141" i="199"/>
  <c r="K153" i="199" s="1"/>
  <c r="K28" i="205" s="1"/>
  <c r="K148" i="199"/>
  <c r="N236" i="146"/>
  <c r="N270" i="146" s="1"/>
  <c r="N232" i="142"/>
  <c r="N266" i="142" s="1"/>
  <c r="N70" i="144"/>
  <c r="A70" i="144" s="1"/>
  <c r="K105" i="194"/>
  <c r="K23" i="207" s="1"/>
  <c r="K24" i="209" s="1"/>
  <c r="K256" i="209" s="1"/>
  <c r="K25" i="210" s="1"/>
  <c r="K64" i="211" s="1"/>
  <c r="K103" i="194"/>
  <c r="K104" i="194"/>
  <c r="K23" i="205" s="1"/>
  <c r="N170" i="143"/>
  <c r="N204" i="143"/>
  <c r="N238" i="143" s="1"/>
  <c r="N272" i="143" s="1"/>
  <c r="N136" i="143"/>
  <c r="N80" i="143"/>
  <c r="N135" i="143"/>
  <c r="N203" i="143"/>
  <c r="N237" i="143" s="1"/>
  <c r="N271" i="143" s="1"/>
  <c r="N169" i="143"/>
  <c r="N83" i="143"/>
  <c r="N84" i="143"/>
  <c r="M26" i="102"/>
  <c r="K15" i="196"/>
  <c r="K44" i="196" s="1"/>
  <c r="K57" i="196" s="1"/>
  <c r="K98" i="196" s="1"/>
  <c r="N181" i="145"/>
  <c r="N147" i="145"/>
  <c r="N113" i="145"/>
  <c r="N215" i="145" s="1"/>
  <c r="N249" i="145" s="1"/>
  <c r="N185" i="145"/>
  <c r="N117" i="145"/>
  <c r="N151" i="145"/>
  <c r="N200" i="145"/>
  <c r="N166" i="145"/>
  <c r="N132" i="145"/>
  <c r="M333" i="145"/>
  <c r="N86" i="145"/>
  <c r="N101" i="145"/>
  <c r="K29" i="206"/>
  <c r="L88" i="208" s="1"/>
  <c r="K106" i="200"/>
  <c r="K111" i="200" s="1"/>
  <c r="M368" i="144"/>
  <c r="M370" i="144" s="1"/>
  <c r="N53" i="144"/>
  <c r="N290" i="144" s="1"/>
  <c r="M324" i="139"/>
  <c r="M361" i="139" s="1"/>
  <c r="N64" i="139" s="1"/>
  <c r="M327" i="139"/>
  <c r="M364" i="139" s="1"/>
  <c r="N67" i="139" s="1"/>
  <c r="M308" i="139"/>
  <c r="M345" i="139" s="1"/>
  <c r="N48" i="139" s="1"/>
  <c r="M311" i="139"/>
  <c r="M348" i="139" s="1"/>
  <c r="N51" i="139" s="1"/>
  <c r="M321" i="139"/>
  <c r="M358" i="139" s="1"/>
  <c r="N61" i="139" s="1"/>
  <c r="N95" i="139" s="1"/>
  <c r="M320" i="139"/>
  <c r="M357" i="139" s="1"/>
  <c r="N60" i="139" s="1"/>
  <c r="M323" i="139"/>
  <c r="M360" i="139" s="1"/>
  <c r="N63" i="139" s="1"/>
  <c r="M304" i="139"/>
  <c r="M341" i="139" s="1"/>
  <c r="N44" i="139" s="1"/>
  <c r="M307" i="139"/>
  <c r="M344" i="139" s="1"/>
  <c r="N47" i="139" s="1"/>
  <c r="M310" i="139"/>
  <c r="M347" i="139" s="1"/>
  <c r="N50" i="139" s="1"/>
  <c r="M21" i="128"/>
  <c r="M71" i="128" s="1"/>
  <c r="M309" i="139"/>
  <c r="M346" i="139" s="1"/>
  <c r="N49" i="139" s="1"/>
  <c r="M319" i="139"/>
  <c r="M326" i="139"/>
  <c r="M363" i="139" s="1"/>
  <c r="N66" i="139" s="1"/>
  <c r="M303" i="139"/>
  <c r="M306" i="139"/>
  <c r="M343" i="139" s="1"/>
  <c r="N46" i="139" s="1"/>
  <c r="M328" i="139"/>
  <c r="M365" i="139" s="1"/>
  <c r="N68" i="139" s="1"/>
  <c r="N102" i="139" s="1"/>
  <c r="M305" i="139"/>
  <c r="M342" i="139" s="1"/>
  <c r="N45" i="139" s="1"/>
  <c r="N79" i="139" s="1"/>
  <c r="M312" i="139"/>
  <c r="M349" i="139" s="1"/>
  <c r="N52" i="139" s="1"/>
  <c r="N86" i="139" s="1"/>
  <c r="N120" i="139" s="1"/>
  <c r="M322" i="139"/>
  <c r="M359" i="139" s="1"/>
  <c r="N62" i="139" s="1"/>
  <c r="N96" i="139" s="1"/>
  <c r="M325" i="139"/>
  <c r="M362" i="139" s="1"/>
  <c r="N65" i="139" s="1"/>
  <c r="N99" i="139" s="1"/>
  <c r="P86" i="218"/>
  <c r="P85" i="218"/>
  <c r="N236" i="147"/>
  <c r="N270" i="147" s="1"/>
  <c r="N146" i="151"/>
  <c r="N155" i="151" s="1"/>
  <c r="N180" i="151"/>
  <c r="N112" i="151"/>
  <c r="N93" i="147"/>
  <c r="N94" i="147"/>
  <c r="K106" i="199"/>
  <c r="K140" i="199"/>
  <c r="K152" i="199" s="1"/>
  <c r="K147" i="199"/>
  <c r="N136" i="142"/>
  <c r="N170" i="142"/>
  <c r="N204" i="142"/>
  <c r="N238" i="142" s="1"/>
  <c r="N272" i="142" s="1"/>
  <c r="M350" i="142"/>
  <c r="M351" i="142" s="1"/>
  <c r="N43" i="142"/>
  <c r="M296" i="148"/>
  <c r="M371" i="148"/>
  <c r="N93" i="146"/>
  <c r="N94" i="146"/>
  <c r="N146" i="150"/>
  <c r="N112" i="150"/>
  <c r="N180" i="150"/>
  <c r="N93" i="144"/>
  <c r="N94" i="144"/>
  <c r="N162" i="150"/>
  <c r="N196" i="150"/>
  <c r="N128" i="150"/>
  <c r="N221" i="146"/>
  <c r="N255" i="146" s="1"/>
  <c r="N170" i="149"/>
  <c r="N136" i="149"/>
  <c r="N204" i="149"/>
  <c r="N216" i="149"/>
  <c r="N250" i="149" s="1"/>
  <c r="M97" i="102"/>
  <c r="M41" i="95"/>
  <c r="M66" i="95" s="1"/>
  <c r="N147" i="143"/>
  <c r="N181" i="143"/>
  <c r="N113" i="143"/>
  <c r="N119" i="143"/>
  <c r="N187" i="143"/>
  <c r="N153" i="143"/>
  <c r="N98" i="143"/>
  <c r="N99" i="143"/>
  <c r="M340" i="143"/>
  <c r="M314" i="143"/>
  <c r="N117" i="149"/>
  <c r="N185" i="149"/>
  <c r="N151" i="149"/>
  <c r="N115" i="145"/>
  <c r="N183" i="145"/>
  <c r="N149" i="145"/>
  <c r="N136" i="145"/>
  <c r="N170" i="145"/>
  <c r="N204" i="145"/>
  <c r="N187" i="145"/>
  <c r="N153" i="145"/>
  <c r="N119" i="145"/>
  <c r="N80" i="145"/>
  <c r="N197" i="145"/>
  <c r="N129" i="145"/>
  <c r="N163" i="145"/>
  <c r="N59" i="142"/>
  <c r="M366" i="142"/>
  <c r="N69" i="142" s="1"/>
  <c r="N222" i="142"/>
  <c r="N256" i="142" s="1"/>
  <c r="N77" i="162"/>
  <c r="N54" i="162"/>
  <c r="A54" i="162" s="1"/>
  <c r="N78" i="162"/>
  <c r="S119" i="217"/>
  <c r="S92" i="217"/>
  <c r="S123" i="217" s="1"/>
  <c r="M351" i="147"/>
  <c r="N235" i="147"/>
  <c r="N269" i="147" s="1"/>
  <c r="N233" i="146"/>
  <c r="N267" i="146" s="1"/>
  <c r="N234" i="162"/>
  <c r="N268" i="162" s="1"/>
  <c r="N77" i="146"/>
  <c r="N54" i="146"/>
  <c r="A54" i="146" s="1"/>
  <c r="N78" i="146"/>
  <c r="N234" i="144"/>
  <c r="N268" i="144" s="1"/>
  <c r="N43" i="149"/>
  <c r="M350" i="149"/>
  <c r="N232" i="149"/>
  <c r="N266" i="149" s="1"/>
  <c r="N233" i="149"/>
  <c r="N267" i="149" s="1"/>
  <c r="K106" i="195"/>
  <c r="K111" i="195" s="1"/>
  <c r="K24" i="206"/>
  <c r="L83" i="208" s="1"/>
  <c r="N133" i="142"/>
  <c r="N167" i="142"/>
  <c r="N201" i="142"/>
  <c r="K148" i="197"/>
  <c r="K154" i="197" s="1"/>
  <c r="K141" i="197"/>
  <c r="K153" i="197" s="1"/>
  <c r="K26" i="205" s="1"/>
  <c r="N196" i="151"/>
  <c r="N128" i="151"/>
  <c r="N162" i="151"/>
  <c r="N54" i="151"/>
  <c r="A54" i="151" s="1"/>
  <c r="N147" i="149"/>
  <c r="N113" i="149"/>
  <c r="N181" i="149"/>
  <c r="N70" i="162"/>
  <c r="A70" i="162" s="1"/>
  <c r="N238" i="144"/>
  <c r="N272" i="144" s="1"/>
  <c r="N238" i="147"/>
  <c r="N272" i="147" s="1"/>
  <c r="N236" i="162"/>
  <c r="N270" i="162" s="1"/>
  <c r="N54" i="150"/>
  <c r="A54" i="150" s="1"/>
  <c r="N218" i="144"/>
  <c r="N252" i="144" s="1"/>
  <c r="N232" i="162"/>
  <c r="N266" i="162" s="1"/>
  <c r="N103" i="150"/>
  <c r="N104" i="150" s="1"/>
  <c r="A104" i="150" s="1"/>
  <c r="N195" i="150"/>
  <c r="N127" i="150"/>
  <c r="N137" i="150" s="1"/>
  <c r="N138" i="150" s="1"/>
  <c r="A138" i="150" s="1"/>
  <c r="N161" i="150"/>
  <c r="N171" i="150" s="1"/>
  <c r="N172" i="150" s="1"/>
  <c r="A172" i="150" s="1"/>
  <c r="N149" i="149"/>
  <c r="N183" i="149"/>
  <c r="N115" i="149"/>
  <c r="M105" i="102"/>
  <c r="M49" i="95"/>
  <c r="M74" i="95" s="1"/>
  <c r="N136" i="138"/>
  <c r="N130" i="86"/>
  <c r="N113" i="137"/>
  <c r="N150" i="137"/>
  <c r="N129" i="134"/>
  <c r="N198" i="86"/>
  <c r="N232" i="86" s="1"/>
  <c r="N266" i="86" s="1"/>
  <c r="N79" i="86"/>
  <c r="N181" i="86" s="1"/>
  <c r="N181" i="137"/>
  <c r="N129" i="135"/>
  <c r="N85" i="86"/>
  <c r="N153" i="137"/>
  <c r="N166" i="137"/>
  <c r="N165" i="86"/>
  <c r="N163" i="137"/>
  <c r="N131" i="86"/>
  <c r="N132" i="137"/>
  <c r="N129" i="137"/>
  <c r="N84" i="86"/>
  <c r="N186" i="86" s="1"/>
  <c r="N82" i="86"/>
  <c r="N150" i="86" s="1"/>
  <c r="N86" i="86"/>
  <c r="N120" i="86" s="1"/>
  <c r="N222" i="138"/>
  <c r="N256" i="138" s="1"/>
  <c r="N238" i="138"/>
  <c r="N272" i="138" s="1"/>
  <c r="N237" i="138"/>
  <c r="N271" i="138" s="1"/>
  <c r="N181" i="138"/>
  <c r="N113" i="138"/>
  <c r="N147" i="138"/>
  <c r="N235" i="86"/>
  <c r="N269" i="86" s="1"/>
  <c r="N184" i="138"/>
  <c r="N116" i="138"/>
  <c r="N150" i="138"/>
  <c r="N197" i="139"/>
  <c r="N129" i="139"/>
  <c r="N163" i="139"/>
  <c r="N200" i="86"/>
  <c r="N132" i="86"/>
  <c r="N166" i="86"/>
  <c r="M16" i="102"/>
  <c r="K15" i="186"/>
  <c r="K44" i="186" s="1"/>
  <c r="K57" i="186" s="1"/>
  <c r="K98" i="186" s="1"/>
  <c r="N152" i="86"/>
  <c r="N118" i="86"/>
  <c r="N168" i="138"/>
  <c r="N202" i="138"/>
  <c r="N134" i="138"/>
  <c r="N185" i="138"/>
  <c r="N117" i="138"/>
  <c r="N151" i="138"/>
  <c r="N43" i="86"/>
  <c r="N77" i="86" s="1"/>
  <c r="M350" i="86"/>
  <c r="N232" i="138"/>
  <c r="N266" i="138" s="1"/>
  <c r="N235" i="138"/>
  <c r="N269" i="138" s="1"/>
  <c r="N147" i="139"/>
  <c r="N181" i="139"/>
  <c r="N113" i="139"/>
  <c r="N238" i="86"/>
  <c r="N272" i="86" s="1"/>
  <c r="N188" i="86"/>
  <c r="N153" i="138"/>
  <c r="N187" i="138"/>
  <c r="N119" i="138"/>
  <c r="N153" i="86"/>
  <c r="N187" i="86"/>
  <c r="N119" i="86"/>
  <c r="K105" i="191"/>
  <c r="K20" i="207" s="1"/>
  <c r="K103" i="191"/>
  <c r="K104" i="191"/>
  <c r="K20" i="205" s="1"/>
  <c r="M332" i="138"/>
  <c r="M333" i="138" s="1"/>
  <c r="M314" i="138"/>
  <c r="N80" i="86"/>
  <c r="N163" i="138"/>
  <c r="N197" i="138"/>
  <c r="N129" i="138"/>
  <c r="M94" i="102"/>
  <c r="M38" i="95"/>
  <c r="M63" i="95" s="1"/>
  <c r="N233" i="138"/>
  <c r="N267" i="138" s="1"/>
  <c r="N149" i="86"/>
  <c r="N183" i="86"/>
  <c r="N115" i="86"/>
  <c r="N43" i="138"/>
  <c r="M350" i="138"/>
  <c r="N59" i="138"/>
  <c r="M366" i="138"/>
  <c r="N168" i="86"/>
  <c r="N202" i="86"/>
  <c r="N134" i="86"/>
  <c r="N59" i="86"/>
  <c r="M366" i="86"/>
  <c r="N147" i="86"/>
  <c r="N200" i="138"/>
  <c r="N132" i="138"/>
  <c r="N166" i="138"/>
  <c r="N163" i="86"/>
  <c r="N197" i="86"/>
  <c r="N129" i="86"/>
  <c r="N237" i="86"/>
  <c r="N271" i="86" s="1"/>
  <c r="N217" i="138"/>
  <c r="N251" i="138" s="1"/>
  <c r="N220" i="138"/>
  <c r="N254" i="138" s="1"/>
  <c r="N165" i="134"/>
  <c r="N199" i="134"/>
  <c r="N131" i="134"/>
  <c r="N148" i="138"/>
  <c r="N182" i="138"/>
  <c r="N114" i="138"/>
  <c r="N186" i="136"/>
  <c r="N118" i="136"/>
  <c r="N152" i="136"/>
  <c r="M332" i="86"/>
  <c r="M333" i="86" s="1"/>
  <c r="M314" i="86"/>
  <c r="N83" i="86"/>
  <c r="N101" i="135" l="1"/>
  <c r="N101" i="136"/>
  <c r="N101" i="137"/>
  <c r="N83" i="134"/>
  <c r="N99" i="134"/>
  <c r="N84" i="137"/>
  <c r="N188" i="139"/>
  <c r="N70" i="142"/>
  <c r="A70" i="142" s="1"/>
  <c r="N230" i="150"/>
  <c r="N264" i="150" s="1"/>
  <c r="N83" i="139"/>
  <c r="N231" i="143"/>
  <c r="N265" i="143" s="1"/>
  <c r="N113" i="86"/>
  <c r="N154" i="139"/>
  <c r="N222" i="139" s="1"/>
  <c r="N256" i="139" s="1"/>
  <c r="N189" i="151"/>
  <c r="N231" i="142"/>
  <c r="N265" i="142" s="1"/>
  <c r="M340" i="134"/>
  <c r="M313" i="134"/>
  <c r="K15" i="187"/>
  <c r="K44" i="187" s="1"/>
  <c r="K57" i="187" s="1"/>
  <c r="K98" i="187" s="1"/>
  <c r="M17" i="102"/>
  <c r="N82" i="134"/>
  <c r="N96" i="134"/>
  <c r="N202" i="134"/>
  <c r="N134" i="134"/>
  <c r="N168" i="134"/>
  <c r="N84" i="134"/>
  <c r="N101" i="134"/>
  <c r="N86" i="134"/>
  <c r="M356" i="134"/>
  <c r="M329" i="134"/>
  <c r="M330" i="134" s="1"/>
  <c r="N81" i="134"/>
  <c r="N197" i="134"/>
  <c r="N163" i="134"/>
  <c r="N98" i="134"/>
  <c r="N79" i="134"/>
  <c r="N219" i="142"/>
  <c r="N253" i="142" s="1"/>
  <c r="N182" i="134"/>
  <c r="N114" i="134"/>
  <c r="N148" i="134"/>
  <c r="N85" i="134"/>
  <c r="N102" i="134"/>
  <c r="N234" i="137"/>
  <c r="N268" i="137" s="1"/>
  <c r="N235" i="142"/>
  <c r="N269" i="142" s="1"/>
  <c r="N231" i="137"/>
  <c r="N265" i="137" s="1"/>
  <c r="N231" i="145"/>
  <c r="N265" i="145" s="1"/>
  <c r="N81" i="136"/>
  <c r="N234" i="145"/>
  <c r="N268" i="145" s="1"/>
  <c r="N100" i="136"/>
  <c r="N236" i="143"/>
  <c r="N270" i="143" s="1"/>
  <c r="N215" i="149"/>
  <c r="N249" i="149" s="1"/>
  <c r="N238" i="145"/>
  <c r="N272" i="145" s="1"/>
  <c r="N219" i="149"/>
  <c r="N253" i="149" s="1"/>
  <c r="K154" i="199"/>
  <c r="N217" i="149"/>
  <c r="N251" i="149" s="1"/>
  <c r="N218" i="143"/>
  <c r="N252" i="143" s="1"/>
  <c r="N236" i="149"/>
  <c r="N270" i="149" s="1"/>
  <c r="N70" i="149"/>
  <c r="A70" i="149" s="1"/>
  <c r="N232" i="145"/>
  <c r="N266" i="145" s="1"/>
  <c r="K26" i="207"/>
  <c r="K158" i="197"/>
  <c r="K28" i="207"/>
  <c r="K158" i="199"/>
  <c r="K113" i="195"/>
  <c r="K115" i="195" s="1"/>
  <c r="K112" i="195"/>
  <c r="M368" i="149"/>
  <c r="M370" i="149" s="1"/>
  <c r="N53" i="149"/>
  <c r="N290" i="149" s="1"/>
  <c r="N146" i="162"/>
  <c r="N112" i="162"/>
  <c r="N180" i="162"/>
  <c r="M367" i="142"/>
  <c r="N128" i="144"/>
  <c r="N162" i="144"/>
  <c r="N196" i="144"/>
  <c r="M328" i="148"/>
  <c r="M365" i="148" s="1"/>
  <c r="N68" i="148" s="1"/>
  <c r="M309" i="148"/>
  <c r="M346" i="148" s="1"/>
  <c r="N49" i="148" s="1"/>
  <c r="M323" i="148"/>
  <c r="M360" i="148" s="1"/>
  <c r="N63" i="148" s="1"/>
  <c r="M304" i="148"/>
  <c r="M341" i="148" s="1"/>
  <c r="N44" i="148" s="1"/>
  <c r="M307" i="148"/>
  <c r="M344" i="148" s="1"/>
  <c r="N47" i="148" s="1"/>
  <c r="M310" i="148"/>
  <c r="M347" i="148" s="1"/>
  <c r="N50" i="148" s="1"/>
  <c r="N84" i="148" s="1"/>
  <c r="M30" i="128"/>
  <c r="M80" i="128" s="1"/>
  <c r="M331" i="148"/>
  <c r="M322" i="148"/>
  <c r="M359" i="148" s="1"/>
  <c r="N62" i="148" s="1"/>
  <c r="N96" i="148" s="1"/>
  <c r="M313" i="148"/>
  <c r="M308" i="148"/>
  <c r="M345" i="148" s="1"/>
  <c r="N48" i="148" s="1"/>
  <c r="M321" i="148"/>
  <c r="M358" i="148" s="1"/>
  <c r="N61" i="148" s="1"/>
  <c r="M324" i="148"/>
  <c r="M361" i="148" s="1"/>
  <c r="N64" i="148" s="1"/>
  <c r="N98" i="148" s="1"/>
  <c r="M305" i="148"/>
  <c r="M342" i="148" s="1"/>
  <c r="N45" i="148" s="1"/>
  <c r="M319" i="148"/>
  <c r="M326" i="148"/>
  <c r="M363" i="148" s="1"/>
  <c r="N66" i="148" s="1"/>
  <c r="M303" i="148"/>
  <c r="M306" i="148"/>
  <c r="M343" i="148" s="1"/>
  <c r="N46" i="148" s="1"/>
  <c r="N80" i="148" s="1"/>
  <c r="M320" i="148"/>
  <c r="M357" i="148" s="1"/>
  <c r="N60" i="148" s="1"/>
  <c r="M312" i="148"/>
  <c r="M349" i="148" s="1"/>
  <c r="N52" i="148" s="1"/>
  <c r="M325" i="148"/>
  <c r="M362" i="148" s="1"/>
  <c r="N65" i="148" s="1"/>
  <c r="N99" i="148" s="1"/>
  <c r="M329" i="148"/>
  <c r="M327" i="148"/>
  <c r="M364" i="148" s="1"/>
  <c r="N67" i="148" s="1"/>
  <c r="M311" i="148"/>
  <c r="M348" i="148" s="1"/>
  <c r="N51" i="148" s="1"/>
  <c r="N85" i="148" s="1"/>
  <c r="K28" i="206"/>
  <c r="K155" i="199"/>
  <c r="N121" i="151"/>
  <c r="N214" i="151"/>
  <c r="N248" i="151" s="1"/>
  <c r="M340" i="139"/>
  <c r="M313" i="139"/>
  <c r="M22" i="102"/>
  <c r="K15" i="192"/>
  <c r="K44" i="192" s="1"/>
  <c r="K57" i="192" s="1"/>
  <c r="K98" i="192" s="1"/>
  <c r="N97" i="139"/>
  <c r="N82" i="139"/>
  <c r="N188" i="145"/>
  <c r="N154" i="145"/>
  <c r="N120" i="145"/>
  <c r="M43" i="95"/>
  <c r="M68" i="95" s="1"/>
  <c r="M99" i="102"/>
  <c r="K262" i="211"/>
  <c r="Q73" i="218" s="1"/>
  <c r="K237" i="211"/>
  <c r="K117" i="203"/>
  <c r="K114" i="203"/>
  <c r="K116" i="203" s="1"/>
  <c r="K118" i="203" s="1"/>
  <c r="N179" i="144"/>
  <c r="N111" i="144"/>
  <c r="N145" i="144"/>
  <c r="K105" i="198"/>
  <c r="K27" i="207" s="1"/>
  <c r="K28" i="209" s="1"/>
  <c r="K260" i="209" s="1"/>
  <c r="K29" i="210" s="1"/>
  <c r="K68" i="211" s="1"/>
  <c r="K103" i="198"/>
  <c r="K104" i="198"/>
  <c r="K27" i="205" s="1"/>
  <c r="N43" i="145"/>
  <c r="M350" i="145"/>
  <c r="M351" i="145" s="1"/>
  <c r="N134" i="145"/>
  <c r="N202" i="145"/>
  <c r="N168" i="145"/>
  <c r="N48" i="135"/>
  <c r="N51" i="135"/>
  <c r="N99" i="135"/>
  <c r="N46" i="135"/>
  <c r="N97" i="135"/>
  <c r="M67" i="128"/>
  <c r="N155" i="150"/>
  <c r="N234" i="142"/>
  <c r="N268" i="142" s="1"/>
  <c r="N213" i="151"/>
  <c r="N122" i="151"/>
  <c r="A122" i="151" s="1"/>
  <c r="N229" i="151"/>
  <c r="N205" i="151"/>
  <c r="N206" i="151" s="1"/>
  <c r="A206" i="151" s="1"/>
  <c r="M33" i="128"/>
  <c r="M83" i="128" s="1"/>
  <c r="M328" i="140"/>
  <c r="M365" i="140" s="1"/>
  <c r="N68" i="140" s="1"/>
  <c r="M324" i="140"/>
  <c r="M361" i="140" s="1"/>
  <c r="N64" i="140" s="1"/>
  <c r="M320" i="140"/>
  <c r="M357" i="140" s="1"/>
  <c r="N60" i="140" s="1"/>
  <c r="M309" i="140"/>
  <c r="M346" i="140" s="1"/>
  <c r="M305" i="140"/>
  <c r="M342" i="140" s="1"/>
  <c r="M331" i="140"/>
  <c r="M326" i="140"/>
  <c r="M363" i="140" s="1"/>
  <c r="N66" i="140" s="1"/>
  <c r="M322" i="140"/>
  <c r="M359" i="140" s="1"/>
  <c r="N62" i="140" s="1"/>
  <c r="N96" i="140" s="1"/>
  <c r="M311" i="140"/>
  <c r="M348" i="140" s="1"/>
  <c r="M307" i="140"/>
  <c r="M344" i="140" s="1"/>
  <c r="M303" i="140"/>
  <c r="M310" i="140"/>
  <c r="M347" i="140" s="1"/>
  <c r="N50" i="140" s="1"/>
  <c r="M306" i="140"/>
  <c r="M343" i="140" s="1"/>
  <c r="N46" i="140" s="1"/>
  <c r="M327" i="140"/>
  <c r="M364" i="140" s="1"/>
  <c r="N67" i="140" s="1"/>
  <c r="M323" i="140"/>
  <c r="M360" i="140" s="1"/>
  <c r="N63" i="140" s="1"/>
  <c r="M319" i="140"/>
  <c r="M312" i="140"/>
  <c r="M349" i="140" s="1"/>
  <c r="N52" i="140" s="1"/>
  <c r="M308" i="140"/>
  <c r="M345" i="140" s="1"/>
  <c r="N48" i="140" s="1"/>
  <c r="M304" i="140"/>
  <c r="M341" i="140" s="1"/>
  <c r="N44" i="140" s="1"/>
  <c r="M325" i="140"/>
  <c r="M362" i="140" s="1"/>
  <c r="N65" i="140" s="1"/>
  <c r="N99" i="140" s="1"/>
  <c r="M321" i="140"/>
  <c r="M358" i="140" s="1"/>
  <c r="N61" i="140" s="1"/>
  <c r="N95" i="140" s="1"/>
  <c r="N169" i="136"/>
  <c r="N203" i="136"/>
  <c r="N135" i="136"/>
  <c r="N86" i="136"/>
  <c r="N96" i="136"/>
  <c r="M340" i="136"/>
  <c r="M313" i="136"/>
  <c r="N186" i="145"/>
  <c r="N118" i="145"/>
  <c r="N152" i="145"/>
  <c r="K117" i="204"/>
  <c r="K114" i="204"/>
  <c r="K116" i="204" s="1"/>
  <c r="K118" i="204" s="1"/>
  <c r="N86" i="137"/>
  <c r="M313" i="137"/>
  <c r="M340" i="137"/>
  <c r="K15" i="190"/>
  <c r="K44" i="190" s="1"/>
  <c r="K57" i="190" s="1"/>
  <c r="K98" i="190" s="1"/>
  <c r="M20" i="102"/>
  <c r="N97" i="137"/>
  <c r="N233" i="143"/>
  <c r="N267" i="143" s="1"/>
  <c r="N230" i="151"/>
  <c r="N264" i="151" s="1"/>
  <c r="N77" i="149"/>
  <c r="N78" i="149"/>
  <c r="N145" i="146"/>
  <c r="N179" i="146"/>
  <c r="N111" i="146"/>
  <c r="N221" i="145"/>
  <c r="N255" i="145" s="1"/>
  <c r="M350" i="143"/>
  <c r="M351" i="143" s="1"/>
  <c r="N43" i="143"/>
  <c r="N238" i="149"/>
  <c r="N272" i="149" s="1"/>
  <c r="N103" i="144"/>
  <c r="N104" i="144" s="1"/>
  <c r="A104" i="144" s="1"/>
  <c r="N161" i="144"/>
  <c r="N171" i="144" s="1"/>
  <c r="N172" i="144" s="1"/>
  <c r="A172" i="144" s="1"/>
  <c r="N195" i="144"/>
  <c r="N127" i="144"/>
  <c r="N137" i="144" s="1"/>
  <c r="N138" i="144" s="1"/>
  <c r="A138" i="144" s="1"/>
  <c r="N103" i="146"/>
  <c r="N104" i="146" s="1"/>
  <c r="A104" i="146" s="1"/>
  <c r="N162" i="146"/>
  <c r="N196" i="146"/>
  <c r="N128" i="146"/>
  <c r="K111" i="199"/>
  <c r="K150" i="199"/>
  <c r="N281" i="151"/>
  <c r="N33" i="133" s="1"/>
  <c r="N100" i="139"/>
  <c r="N84" i="139"/>
  <c r="N101" i="139"/>
  <c r="K113" i="200"/>
  <c r="K115" i="200" s="1"/>
  <c r="K112" i="200"/>
  <c r="N118" i="143"/>
  <c r="N152" i="143"/>
  <c r="N186" i="143"/>
  <c r="N234" i="149"/>
  <c r="N268" i="149" s="1"/>
  <c r="N87" i="147"/>
  <c r="N88" i="147" s="1"/>
  <c r="A88" i="147" s="1"/>
  <c r="N145" i="147"/>
  <c r="N111" i="147"/>
  <c r="N179" i="147"/>
  <c r="M101" i="102"/>
  <c r="M45" i="95"/>
  <c r="M70" i="95" s="1"/>
  <c r="N233" i="145"/>
  <c r="N267" i="145" s="1"/>
  <c r="N59" i="143"/>
  <c r="M366" i="143"/>
  <c r="N69" i="143" s="1"/>
  <c r="K270" i="211"/>
  <c r="Q81" i="218" s="1"/>
  <c r="K245" i="211"/>
  <c r="N135" i="135"/>
  <c r="N169" i="135"/>
  <c r="N203" i="135"/>
  <c r="N52" i="135"/>
  <c r="N86" i="135" s="1"/>
  <c r="N96" i="135"/>
  <c r="M340" i="135"/>
  <c r="M313" i="135"/>
  <c r="N189" i="150"/>
  <c r="N137" i="151"/>
  <c r="N138" i="151" s="1"/>
  <c r="A138" i="151" s="1"/>
  <c r="N98" i="136"/>
  <c r="N79" i="136"/>
  <c r="M329" i="136"/>
  <c r="M356" i="136"/>
  <c r="N59" i="136" s="1"/>
  <c r="N202" i="136"/>
  <c r="N134" i="136"/>
  <c r="N168" i="136"/>
  <c r="N100" i="137"/>
  <c r="N229" i="150"/>
  <c r="N205" i="150"/>
  <c r="N206" i="150" s="1"/>
  <c r="A206" i="150" s="1"/>
  <c r="N145" i="162"/>
  <c r="N111" i="162"/>
  <c r="N179" i="162"/>
  <c r="N87" i="162"/>
  <c r="N88" i="162" s="1"/>
  <c r="A88" i="162" s="1"/>
  <c r="N93" i="142"/>
  <c r="N94" i="142"/>
  <c r="N217" i="145"/>
  <c r="N251" i="145" s="1"/>
  <c r="N167" i="143"/>
  <c r="N201" i="143"/>
  <c r="N133" i="143"/>
  <c r="N221" i="143"/>
  <c r="N255" i="143" s="1"/>
  <c r="N214" i="150"/>
  <c r="N248" i="150" s="1"/>
  <c r="N195" i="146"/>
  <c r="N127" i="146"/>
  <c r="N161" i="146"/>
  <c r="N77" i="142"/>
  <c r="N78" i="142"/>
  <c r="N128" i="147"/>
  <c r="N162" i="147"/>
  <c r="N196" i="147"/>
  <c r="N133" i="139"/>
  <c r="N167" i="139"/>
  <c r="N201" i="139"/>
  <c r="N136" i="139"/>
  <c r="N170" i="139"/>
  <c r="N204" i="139"/>
  <c r="M356" i="139"/>
  <c r="M329" i="139"/>
  <c r="M330" i="139" s="1"/>
  <c r="N81" i="139"/>
  <c r="N98" i="139"/>
  <c r="N219" i="145"/>
  <c r="N253" i="145" s="1"/>
  <c r="N185" i="143"/>
  <c r="N151" i="143"/>
  <c r="N117" i="143"/>
  <c r="N182" i="143"/>
  <c r="N114" i="143"/>
  <c r="N148" i="143"/>
  <c r="N87" i="144"/>
  <c r="N88" i="144" s="1"/>
  <c r="A88" i="144" s="1"/>
  <c r="N112" i="144"/>
  <c r="N180" i="144"/>
  <c r="N146" i="144"/>
  <c r="N221" i="142"/>
  <c r="N255" i="142" s="1"/>
  <c r="N116" i="145"/>
  <c r="N184" i="145"/>
  <c r="N150" i="145"/>
  <c r="N59" i="145"/>
  <c r="M366" i="145"/>
  <c r="N69" i="145" s="1"/>
  <c r="N154" i="143"/>
  <c r="N188" i="143"/>
  <c r="N120" i="143"/>
  <c r="N200" i="135"/>
  <c r="N132" i="135"/>
  <c r="N166" i="135"/>
  <c r="N45" i="135"/>
  <c r="M329" i="135"/>
  <c r="M330" i="135" s="1"/>
  <c r="M356" i="135"/>
  <c r="N100" i="135"/>
  <c r="N50" i="135"/>
  <c r="N128" i="162"/>
  <c r="N196" i="162"/>
  <c r="N162" i="162"/>
  <c r="N190" i="151"/>
  <c r="A190" i="151" s="1"/>
  <c r="K26" i="206"/>
  <c r="K155" i="197"/>
  <c r="N199" i="136"/>
  <c r="N165" i="136"/>
  <c r="N131" i="136"/>
  <c r="M19" i="102"/>
  <c r="K15" i="189"/>
  <c r="K44" i="189" s="1"/>
  <c r="K57" i="189" s="1"/>
  <c r="K98" i="189" s="1"/>
  <c r="N95" i="136"/>
  <c r="N102" i="136"/>
  <c r="N83" i="136"/>
  <c r="N217" i="142"/>
  <c r="N251" i="142" s="1"/>
  <c r="N231" i="149"/>
  <c r="N265" i="149" s="1"/>
  <c r="N187" i="137"/>
  <c r="N119" i="137"/>
  <c r="N99" i="137"/>
  <c r="N102" i="137"/>
  <c r="M356" i="137"/>
  <c r="M329" i="137"/>
  <c r="M330" i="137" s="1"/>
  <c r="N81" i="137"/>
  <c r="N183" i="143"/>
  <c r="N149" i="143"/>
  <c r="N115" i="143"/>
  <c r="M351" i="149"/>
  <c r="N87" i="146"/>
  <c r="N88" i="146" s="1"/>
  <c r="A88" i="146" s="1"/>
  <c r="N146" i="146"/>
  <c r="N155" i="146" s="1"/>
  <c r="N180" i="146"/>
  <c r="N189" i="146" s="1"/>
  <c r="N112" i="146"/>
  <c r="N148" i="145"/>
  <c r="N182" i="145"/>
  <c r="N114" i="145"/>
  <c r="N132" i="143"/>
  <c r="N200" i="143"/>
  <c r="N166" i="143"/>
  <c r="N215" i="143"/>
  <c r="N249" i="143" s="1"/>
  <c r="M368" i="142"/>
  <c r="M370" i="142" s="1"/>
  <c r="N53" i="142"/>
  <c r="N290" i="142" s="1"/>
  <c r="N127" i="147"/>
  <c r="N161" i="147"/>
  <c r="N195" i="147"/>
  <c r="N103" i="147"/>
  <c r="N104" i="147" s="1"/>
  <c r="A104" i="147" s="1"/>
  <c r="N164" i="139"/>
  <c r="N198" i="139"/>
  <c r="N130" i="139"/>
  <c r="N80" i="139"/>
  <c r="N85" i="139"/>
  <c r="N135" i="145"/>
  <c r="N169" i="145"/>
  <c r="N203" i="145"/>
  <c r="K104" i="196"/>
  <c r="K105" i="196"/>
  <c r="K149" i="196" s="1"/>
  <c r="K103" i="196"/>
  <c r="K106" i="194"/>
  <c r="K111" i="194" s="1"/>
  <c r="K23" i="206"/>
  <c r="L82" i="208" s="1"/>
  <c r="M324" i="141"/>
  <c r="M361" i="141" s="1"/>
  <c r="N64" i="141" s="1"/>
  <c r="M319" i="141"/>
  <c r="M322" i="141"/>
  <c r="M359" i="141" s="1"/>
  <c r="N62" i="141" s="1"/>
  <c r="M321" i="141"/>
  <c r="M358" i="141" s="1"/>
  <c r="N61" i="141" s="1"/>
  <c r="M308" i="141"/>
  <c r="M345" i="141" s="1"/>
  <c r="N48" i="141" s="1"/>
  <c r="M309" i="141"/>
  <c r="M346" i="141" s="1"/>
  <c r="N49" i="141" s="1"/>
  <c r="M320" i="141"/>
  <c r="M357" i="141" s="1"/>
  <c r="N60" i="141" s="1"/>
  <c r="M312" i="141"/>
  <c r="M349" i="141" s="1"/>
  <c r="N52" i="141" s="1"/>
  <c r="M311" i="141"/>
  <c r="M348" i="141" s="1"/>
  <c r="N51" i="141" s="1"/>
  <c r="N85" i="141" s="1"/>
  <c r="M310" i="141"/>
  <c r="M347" i="141" s="1"/>
  <c r="N50" i="141" s="1"/>
  <c r="N84" i="141" s="1"/>
  <c r="M306" i="141"/>
  <c r="M343" i="141" s="1"/>
  <c r="N46" i="141" s="1"/>
  <c r="M304" i="141"/>
  <c r="M341" i="141" s="1"/>
  <c r="N44" i="141" s="1"/>
  <c r="M328" i="141"/>
  <c r="M365" i="141" s="1"/>
  <c r="N68" i="141" s="1"/>
  <c r="M326" i="141"/>
  <c r="M363" i="141" s="1"/>
  <c r="N66" i="141" s="1"/>
  <c r="M325" i="141"/>
  <c r="M362" i="141" s="1"/>
  <c r="N65" i="141" s="1"/>
  <c r="M313" i="141"/>
  <c r="M22" i="128"/>
  <c r="M72" i="128" s="1"/>
  <c r="M327" i="141"/>
  <c r="M364" i="141" s="1"/>
  <c r="N67" i="141" s="1"/>
  <c r="N101" i="141" s="1"/>
  <c r="M331" i="141"/>
  <c r="M329" i="141"/>
  <c r="M307" i="141"/>
  <c r="M344" i="141" s="1"/>
  <c r="N47" i="141" s="1"/>
  <c r="M305" i="141"/>
  <c r="M342" i="141" s="1"/>
  <c r="N45" i="141" s="1"/>
  <c r="M323" i="141"/>
  <c r="M360" i="141" s="1"/>
  <c r="N63" i="141" s="1"/>
  <c r="N97" i="141" s="1"/>
  <c r="M303" i="141"/>
  <c r="N112" i="147"/>
  <c r="N146" i="147"/>
  <c r="N180" i="147"/>
  <c r="N54" i="144"/>
  <c r="A54" i="144" s="1"/>
  <c r="N215" i="142"/>
  <c r="N249" i="142" s="1"/>
  <c r="K31" i="206"/>
  <c r="L90" i="208" s="1"/>
  <c r="K106" i="202"/>
  <c r="K111" i="202" s="1"/>
  <c r="N197" i="135"/>
  <c r="N163" i="135"/>
  <c r="N102" i="135"/>
  <c r="N49" i="135"/>
  <c r="N44" i="135"/>
  <c r="N47" i="135"/>
  <c r="N81" i="135" s="1"/>
  <c r="R558" i="217"/>
  <c r="N213" i="150"/>
  <c r="N121" i="150"/>
  <c r="N282" i="150" s="1"/>
  <c r="N32" i="132" s="1"/>
  <c r="N103" i="162"/>
  <c r="N104" i="162" s="1"/>
  <c r="A104" i="162" s="1"/>
  <c r="N127" i="162"/>
  <c r="N137" i="162" s="1"/>
  <c r="N138" i="162" s="1"/>
  <c r="A138" i="162" s="1"/>
  <c r="N161" i="162"/>
  <c r="N171" i="162" s="1"/>
  <c r="N172" i="162" s="1"/>
  <c r="A172" i="162" s="1"/>
  <c r="N195" i="162"/>
  <c r="N156" i="151"/>
  <c r="A156" i="151" s="1"/>
  <c r="N171" i="151"/>
  <c r="N172" i="151" s="1"/>
  <c r="A172" i="151" s="1"/>
  <c r="K150" i="197"/>
  <c r="K111" i="197"/>
  <c r="N237" i="142"/>
  <c r="N271" i="142" s="1"/>
  <c r="N93" i="149"/>
  <c r="N94" i="149"/>
  <c r="N82" i="136"/>
  <c r="N85" i="136"/>
  <c r="N99" i="136"/>
  <c r="N80" i="136"/>
  <c r="K268" i="211"/>
  <c r="Q79" i="218" s="1"/>
  <c r="K243" i="211"/>
  <c r="N116" i="137"/>
  <c r="N184" i="137"/>
  <c r="N96" i="137"/>
  <c r="N80" i="137"/>
  <c r="N83" i="137"/>
  <c r="N164" i="143"/>
  <c r="N130" i="143"/>
  <c r="N198" i="143"/>
  <c r="N215" i="137"/>
  <c r="N249" i="137" s="1"/>
  <c r="N78" i="86"/>
  <c r="N116" i="86"/>
  <c r="N184" i="86"/>
  <c r="N233" i="86"/>
  <c r="N267" i="86" s="1"/>
  <c r="N154" i="86"/>
  <c r="N222" i="86" s="1"/>
  <c r="N256" i="86" s="1"/>
  <c r="N220" i="86"/>
  <c r="N254" i="86" s="1"/>
  <c r="N233" i="134"/>
  <c r="N267" i="134" s="1"/>
  <c r="N231" i="86"/>
  <c r="N265" i="86" s="1"/>
  <c r="N221" i="138"/>
  <c r="N255" i="138" s="1"/>
  <c r="N221" i="86"/>
  <c r="N255" i="86" s="1"/>
  <c r="N236" i="86"/>
  <c r="N270" i="86" s="1"/>
  <c r="N218" i="138"/>
  <c r="N252" i="138" s="1"/>
  <c r="N93" i="86"/>
  <c r="N94" i="86"/>
  <c r="N93" i="138"/>
  <c r="N94" i="138"/>
  <c r="K20" i="206"/>
  <c r="L79" i="208" s="1"/>
  <c r="K106" i="191"/>
  <c r="K111" i="191" s="1"/>
  <c r="N53" i="86"/>
  <c r="M368" i="86"/>
  <c r="M370" i="86" s="1"/>
  <c r="M351" i="86"/>
  <c r="N215" i="138"/>
  <c r="N249" i="138" s="1"/>
  <c r="N185" i="86"/>
  <c r="N117" i="86"/>
  <c r="N151" i="86"/>
  <c r="N220" i="136"/>
  <c r="N254" i="136" s="1"/>
  <c r="N216" i="138"/>
  <c r="N250" i="138" s="1"/>
  <c r="N53" i="138"/>
  <c r="M368" i="138"/>
  <c r="M370" i="138" s="1"/>
  <c r="M351" i="138"/>
  <c r="K21" i="209"/>
  <c r="K253" i="209" s="1"/>
  <c r="K22" i="210" s="1"/>
  <c r="K61" i="211" s="1"/>
  <c r="N215" i="139"/>
  <c r="N249" i="139" s="1"/>
  <c r="N145" i="86"/>
  <c r="N179" i="86"/>
  <c r="N111" i="86"/>
  <c r="N87" i="86"/>
  <c r="N88" i="86" s="1"/>
  <c r="A88" i="86" s="1"/>
  <c r="N180" i="86"/>
  <c r="N112" i="86"/>
  <c r="N146" i="86"/>
  <c r="N77" i="138"/>
  <c r="N78" i="138"/>
  <c r="N148" i="86"/>
  <c r="N182" i="86"/>
  <c r="N114" i="86"/>
  <c r="N219" i="138"/>
  <c r="N253" i="138" s="1"/>
  <c r="N236" i="138"/>
  <c r="N270" i="138" s="1"/>
  <c r="K105" i="186"/>
  <c r="K15" i="207" s="1"/>
  <c r="K103" i="186"/>
  <c r="K104" i="186"/>
  <c r="K15" i="205" s="1"/>
  <c r="N234" i="86"/>
  <c r="N268" i="86" s="1"/>
  <c r="N231" i="139"/>
  <c r="N265" i="139" s="1"/>
  <c r="N234" i="138"/>
  <c r="N268" i="138" s="1"/>
  <c r="N215" i="86"/>
  <c r="N249" i="86" s="1"/>
  <c r="M367" i="86"/>
  <c r="N69" i="86"/>
  <c r="N70" i="86" s="1"/>
  <c r="A70" i="86" s="1"/>
  <c r="M367" i="138"/>
  <c r="N69" i="138"/>
  <c r="N70" i="138" s="1"/>
  <c r="A70" i="138" s="1"/>
  <c r="N217" i="86"/>
  <c r="N251" i="86" s="1"/>
  <c r="N231" i="138"/>
  <c r="N265" i="138" s="1"/>
  <c r="M89" i="102"/>
  <c r="M33" i="95"/>
  <c r="M58" i="95" s="1"/>
  <c r="N201" i="134" l="1"/>
  <c r="N133" i="134"/>
  <c r="N167" i="134"/>
  <c r="N151" i="134"/>
  <c r="N185" i="134"/>
  <c r="N117" i="134"/>
  <c r="N135" i="137"/>
  <c r="N169" i="137"/>
  <c r="N203" i="137"/>
  <c r="N218" i="86"/>
  <c r="N252" i="86" s="1"/>
  <c r="N152" i="137"/>
  <c r="N186" i="137"/>
  <c r="N118" i="137"/>
  <c r="N220" i="137" s="1"/>
  <c r="N254" i="137" s="1"/>
  <c r="N214" i="147"/>
  <c r="N248" i="147" s="1"/>
  <c r="N81" i="141"/>
  <c r="N101" i="148"/>
  <c r="N231" i="134"/>
  <c r="N265" i="134" s="1"/>
  <c r="R560" i="217"/>
  <c r="N86" i="141"/>
  <c r="N234" i="135"/>
  <c r="N268" i="135" s="1"/>
  <c r="N70" i="145"/>
  <c r="A70" i="145" s="1"/>
  <c r="N218" i="145"/>
  <c r="N252" i="145" s="1"/>
  <c r="N214" i="144"/>
  <c r="N248" i="144" s="1"/>
  <c r="N235" i="139"/>
  <c r="N269" i="139" s="1"/>
  <c r="N79" i="148"/>
  <c r="N236" i="134"/>
  <c r="N270" i="134" s="1"/>
  <c r="N151" i="139"/>
  <c r="N117" i="139"/>
  <c r="N185" i="139"/>
  <c r="N153" i="134"/>
  <c r="N187" i="134"/>
  <c r="N119" i="134"/>
  <c r="N188" i="134"/>
  <c r="N120" i="134"/>
  <c r="N222" i="134" s="1"/>
  <c r="N256" i="134" s="1"/>
  <c r="N154" i="134"/>
  <c r="M90" i="102"/>
  <c r="M34" i="95"/>
  <c r="M59" i="95" s="1"/>
  <c r="N95" i="141"/>
  <c r="N129" i="141" s="1"/>
  <c r="N147" i="134"/>
  <c r="N181" i="134"/>
  <c r="N113" i="134"/>
  <c r="N215" i="134" s="1"/>
  <c r="N249" i="134" s="1"/>
  <c r="N183" i="134"/>
  <c r="N115" i="134"/>
  <c r="N149" i="134"/>
  <c r="N203" i="134"/>
  <c r="N135" i="134"/>
  <c r="N169" i="134"/>
  <c r="K103" i="187"/>
  <c r="K104" i="187"/>
  <c r="K16" i="205" s="1"/>
  <c r="K105" i="187"/>
  <c r="K16" i="207" s="1"/>
  <c r="K17" i="209" s="1"/>
  <c r="K249" i="209" s="1"/>
  <c r="K18" i="210" s="1"/>
  <c r="K57" i="211" s="1"/>
  <c r="N216" i="134"/>
  <c r="N250" i="134" s="1"/>
  <c r="N200" i="134"/>
  <c r="N166" i="134"/>
  <c r="N132" i="134"/>
  <c r="N234" i="134" s="1"/>
  <c r="N268" i="134" s="1"/>
  <c r="N186" i="134"/>
  <c r="N118" i="134"/>
  <c r="N152" i="134"/>
  <c r="N198" i="134"/>
  <c r="N232" i="134" s="1"/>
  <c r="N266" i="134" s="1"/>
  <c r="N130" i="134"/>
  <c r="N164" i="134"/>
  <c r="M332" i="134"/>
  <c r="M333" i="134" s="1"/>
  <c r="M314" i="134"/>
  <c r="N170" i="134"/>
  <c r="N204" i="134"/>
  <c r="N136" i="134"/>
  <c r="M366" i="134"/>
  <c r="N59" i="134"/>
  <c r="N150" i="134"/>
  <c r="N184" i="134"/>
  <c r="N116" i="134"/>
  <c r="N218" i="134" s="1"/>
  <c r="N252" i="134" s="1"/>
  <c r="M350" i="134"/>
  <c r="N43" i="134"/>
  <c r="N231" i="135"/>
  <c r="N265" i="135" s="1"/>
  <c r="N236" i="145"/>
  <c r="N270" i="145" s="1"/>
  <c r="N218" i="137"/>
  <c r="N252" i="137" s="1"/>
  <c r="N222" i="143"/>
  <c r="N256" i="143" s="1"/>
  <c r="N115" i="136"/>
  <c r="N149" i="136"/>
  <c r="N183" i="136"/>
  <c r="M332" i="141"/>
  <c r="N171" i="146"/>
  <c r="N172" i="146" s="1"/>
  <c r="A172" i="146" s="1"/>
  <c r="N222" i="145"/>
  <c r="N256" i="145" s="1"/>
  <c r="N81" i="148"/>
  <c r="N102" i="148"/>
  <c r="N84" i="135"/>
  <c r="N79" i="135"/>
  <c r="N70" i="143"/>
  <c r="A70" i="143" s="1"/>
  <c r="N82" i="135"/>
  <c r="N100" i="141"/>
  <c r="N233" i="136"/>
  <c r="N267" i="136" s="1"/>
  <c r="N102" i="141"/>
  <c r="N98" i="141"/>
  <c r="N216" i="145"/>
  <c r="N250" i="145" s="1"/>
  <c r="N217" i="143"/>
  <c r="N251" i="143" s="1"/>
  <c r="N221" i="137"/>
  <c r="N255" i="137" s="1"/>
  <c r="K156" i="197"/>
  <c r="N230" i="162"/>
  <c r="N264" i="162" s="1"/>
  <c r="N54" i="142"/>
  <c r="A54" i="142" s="1"/>
  <c r="N281" i="150"/>
  <c r="N32" i="133" s="1"/>
  <c r="N163" i="141"/>
  <c r="N197" i="141"/>
  <c r="N153" i="139"/>
  <c r="N187" i="139"/>
  <c r="N119" i="139"/>
  <c r="M36" i="95"/>
  <c r="M61" i="95" s="1"/>
  <c r="M92" i="102"/>
  <c r="M66" i="102"/>
  <c r="N134" i="135"/>
  <c r="N168" i="135"/>
  <c r="N202" i="135"/>
  <c r="M366" i="139"/>
  <c r="N69" i="139" s="1"/>
  <c r="N59" i="139"/>
  <c r="N205" i="147"/>
  <c r="N206" i="147" s="1"/>
  <c r="A206" i="147" s="1"/>
  <c r="N230" i="147"/>
  <c r="N264" i="147" s="1"/>
  <c r="N196" i="142"/>
  <c r="N128" i="142"/>
  <c r="N162" i="142"/>
  <c r="N189" i="162"/>
  <c r="N190" i="162" s="1"/>
  <c r="A190" i="162" s="1"/>
  <c r="N239" i="150"/>
  <c r="N240" i="150" s="1"/>
  <c r="A240" i="150" s="1"/>
  <c r="N263" i="150"/>
  <c r="N273" i="150" s="1"/>
  <c r="N274" i="150" s="1"/>
  <c r="A274" i="150" s="1"/>
  <c r="N113" i="136"/>
  <c r="N147" i="136"/>
  <c r="N181" i="136"/>
  <c r="R563" i="217"/>
  <c r="N155" i="147"/>
  <c r="N156" i="147" s="1"/>
  <c r="A156" i="147" s="1"/>
  <c r="N169" i="139"/>
  <c r="N135" i="139"/>
  <c r="N203" i="139"/>
  <c r="N229" i="144"/>
  <c r="N205" i="144"/>
  <c r="N206" i="144" s="1"/>
  <c r="A206" i="144" s="1"/>
  <c r="N180" i="149"/>
  <c r="N146" i="149"/>
  <c r="N112" i="149"/>
  <c r="N43" i="137"/>
  <c r="M350" i="137"/>
  <c r="M314" i="136"/>
  <c r="M332" i="136"/>
  <c r="M333" i="136" s="1"/>
  <c r="N269" i="140"/>
  <c r="N201" i="140"/>
  <c r="N235" i="140" s="1"/>
  <c r="N133" i="140"/>
  <c r="N167" i="140"/>
  <c r="M356" i="140"/>
  <c r="M329" i="140"/>
  <c r="M330" i="140" s="1"/>
  <c r="N198" i="140"/>
  <c r="N130" i="140"/>
  <c r="N164" i="140"/>
  <c r="S517" i="217"/>
  <c r="N49" i="140"/>
  <c r="N83" i="140" s="1"/>
  <c r="M15" i="102"/>
  <c r="K15" i="185"/>
  <c r="K44" i="185" s="1"/>
  <c r="K57" i="185" s="1"/>
  <c r="K98" i="185" s="1"/>
  <c r="N223" i="151"/>
  <c r="N247" i="151"/>
  <c r="N257" i="151" s="1"/>
  <c r="N258" i="151" s="1"/>
  <c r="A258" i="151" s="1"/>
  <c r="K15" i="188"/>
  <c r="K44" i="188" s="1"/>
  <c r="K57" i="188" s="1"/>
  <c r="K98" i="188" s="1"/>
  <c r="M18" i="102"/>
  <c r="M85" i="128"/>
  <c r="N167" i="135"/>
  <c r="N201" i="135"/>
  <c r="N133" i="135"/>
  <c r="N184" i="135"/>
  <c r="N116" i="135"/>
  <c r="N150" i="135"/>
  <c r="K27" i="206"/>
  <c r="L86" i="208" s="1"/>
  <c r="K106" i="198"/>
  <c r="K111" i="198" s="1"/>
  <c r="N121" i="144"/>
  <c r="N282" i="144" s="1"/>
  <c r="N26" i="132" s="1"/>
  <c r="N213" i="144"/>
  <c r="N131" i="139"/>
  <c r="N165" i="139"/>
  <c r="N199" i="139"/>
  <c r="N43" i="139"/>
  <c r="M350" i="139"/>
  <c r="N133" i="148"/>
  <c r="N167" i="148"/>
  <c r="N201" i="148"/>
  <c r="M340" i="148"/>
  <c r="M314" i="148"/>
  <c r="N166" i="148"/>
  <c r="N132" i="148"/>
  <c r="N200" i="148"/>
  <c r="N164" i="148"/>
  <c r="N130" i="148"/>
  <c r="N198" i="148"/>
  <c r="N183" i="148"/>
  <c r="N115" i="148"/>
  <c r="N149" i="148"/>
  <c r="N136" i="148"/>
  <c r="N204" i="148"/>
  <c r="N170" i="148"/>
  <c r="N150" i="136"/>
  <c r="N116" i="136"/>
  <c r="N184" i="136"/>
  <c r="K113" i="197"/>
  <c r="K115" i="197" s="1"/>
  <c r="K112" i="197"/>
  <c r="N154" i="141"/>
  <c r="N188" i="141"/>
  <c r="N120" i="141"/>
  <c r="K141" i="196"/>
  <c r="K153" i="196" s="1"/>
  <c r="K25" i="205" s="1"/>
  <c r="K148" i="196"/>
  <c r="M367" i="139"/>
  <c r="N182" i="136"/>
  <c r="N114" i="136"/>
  <c r="N148" i="136"/>
  <c r="N162" i="149"/>
  <c r="N196" i="149"/>
  <c r="N128" i="149"/>
  <c r="N229" i="162"/>
  <c r="N205" i="162"/>
  <c r="N206" i="162" s="1"/>
  <c r="A206" i="162" s="1"/>
  <c r="N122" i="150"/>
  <c r="A122" i="150" s="1"/>
  <c r="N149" i="135"/>
  <c r="N183" i="135"/>
  <c r="N115" i="135"/>
  <c r="N83" i="135"/>
  <c r="K112" i="202"/>
  <c r="K113" i="202"/>
  <c r="K115" i="202" s="1"/>
  <c r="N199" i="141"/>
  <c r="N131" i="141"/>
  <c r="N165" i="141"/>
  <c r="M333" i="141"/>
  <c r="N99" i="141"/>
  <c r="N80" i="141"/>
  <c r="N96" i="141"/>
  <c r="K113" i="194"/>
  <c r="K115" i="194" s="1"/>
  <c r="K112" i="194"/>
  <c r="N237" i="145"/>
  <c r="N271" i="145" s="1"/>
  <c r="N114" i="139"/>
  <c r="N148" i="139"/>
  <c r="N182" i="139"/>
  <c r="N280" i="146"/>
  <c r="N28" i="131" s="1"/>
  <c r="M366" i="137"/>
  <c r="N59" i="137"/>
  <c r="N170" i="136"/>
  <c r="N204" i="136"/>
  <c r="N136" i="136"/>
  <c r="N59" i="135"/>
  <c r="M366" i="135"/>
  <c r="N93" i="145"/>
  <c r="N94" i="145"/>
  <c r="N219" i="143"/>
  <c r="N253" i="143" s="1"/>
  <c r="N200" i="139"/>
  <c r="N132" i="139"/>
  <c r="N166" i="139"/>
  <c r="N238" i="139"/>
  <c r="N272" i="139" s="1"/>
  <c r="N171" i="147"/>
  <c r="N172" i="147" s="1"/>
  <c r="A172" i="147" s="1"/>
  <c r="N111" i="142"/>
  <c r="N145" i="142"/>
  <c r="N179" i="142"/>
  <c r="N229" i="146"/>
  <c r="N205" i="146"/>
  <c r="N206" i="146" s="1"/>
  <c r="A206" i="146" s="1"/>
  <c r="N235" i="143"/>
  <c r="N269" i="143" s="1"/>
  <c r="N161" i="142"/>
  <c r="N171" i="142" s="1"/>
  <c r="N172" i="142" s="1"/>
  <c r="A172" i="142" s="1"/>
  <c r="N195" i="142"/>
  <c r="N103" i="142"/>
  <c r="N104" i="142" s="1"/>
  <c r="A104" i="142" s="1"/>
  <c r="N127" i="142"/>
  <c r="N137" i="142" s="1"/>
  <c r="N138" i="142" s="1"/>
  <c r="A138" i="142" s="1"/>
  <c r="N213" i="162"/>
  <c r="N236" i="136"/>
  <c r="N270" i="136" s="1"/>
  <c r="N200" i="136"/>
  <c r="N166" i="136"/>
  <c r="N132" i="136"/>
  <c r="M332" i="135"/>
  <c r="M333" i="135" s="1"/>
  <c r="M314" i="135"/>
  <c r="N188" i="135"/>
  <c r="N120" i="135"/>
  <c r="N154" i="135"/>
  <c r="N93" i="143"/>
  <c r="N94" i="143"/>
  <c r="N220" i="143"/>
  <c r="N254" i="143" s="1"/>
  <c r="N186" i="139"/>
  <c r="N118" i="139"/>
  <c r="N152" i="139"/>
  <c r="K112" i="199"/>
  <c r="K113" i="199"/>
  <c r="K115" i="199" s="1"/>
  <c r="N77" i="143"/>
  <c r="N78" i="143"/>
  <c r="N213" i="146"/>
  <c r="N121" i="146"/>
  <c r="N122" i="146" s="1"/>
  <c r="A122" i="146" s="1"/>
  <c r="N54" i="149"/>
  <c r="A54" i="149" s="1"/>
  <c r="N199" i="137"/>
  <c r="N131" i="137"/>
  <c r="N165" i="137"/>
  <c r="M332" i="137"/>
  <c r="M333" i="137" s="1"/>
  <c r="M314" i="137"/>
  <c r="M350" i="136"/>
  <c r="N43" i="136"/>
  <c r="N237" i="136"/>
  <c r="N271" i="136" s="1"/>
  <c r="N97" i="140"/>
  <c r="M313" i="140"/>
  <c r="M340" i="140"/>
  <c r="N100" i="140"/>
  <c r="N165" i="135"/>
  <c r="N199" i="135"/>
  <c r="N131" i="135"/>
  <c r="R562" i="217"/>
  <c r="S528" i="217" s="1"/>
  <c r="M368" i="145"/>
  <c r="M370" i="145" s="1"/>
  <c r="N53" i="145"/>
  <c r="N54" i="145" s="1"/>
  <c r="A54" i="145" s="1"/>
  <c r="K241" i="211"/>
  <c r="K266" i="211"/>
  <c r="Q77" i="218" s="1"/>
  <c r="N189" i="144"/>
  <c r="N281" i="144" s="1"/>
  <c r="N26" i="133" s="1"/>
  <c r="K104" i="192"/>
  <c r="K21" i="205" s="1"/>
  <c r="K105" i="192"/>
  <c r="K21" i="207" s="1"/>
  <c r="K22" i="209" s="1"/>
  <c r="K254" i="209" s="1"/>
  <c r="K23" i="210" s="1"/>
  <c r="K62" i="211" s="1"/>
  <c r="K103" i="192"/>
  <c r="N187" i="148"/>
  <c r="N153" i="148"/>
  <c r="N119" i="148"/>
  <c r="N86" i="148"/>
  <c r="N100" i="148"/>
  <c r="N95" i="148"/>
  <c r="N230" i="144"/>
  <c r="N264" i="144" s="1"/>
  <c r="K29" i="209"/>
  <c r="K261" i="209" s="1"/>
  <c r="K30" i="210" s="1"/>
  <c r="K69" i="211" s="1"/>
  <c r="L87" i="208"/>
  <c r="M340" i="141"/>
  <c r="M314" i="141"/>
  <c r="N151" i="136"/>
  <c r="N185" i="136"/>
  <c r="N117" i="136"/>
  <c r="N181" i="135"/>
  <c r="N113" i="135"/>
  <c r="N147" i="135"/>
  <c r="N151" i="137"/>
  <c r="N185" i="137"/>
  <c r="N117" i="137"/>
  <c r="N133" i="136"/>
  <c r="N167" i="136"/>
  <c r="N201" i="136"/>
  <c r="N127" i="149"/>
  <c r="N195" i="149"/>
  <c r="N161" i="149"/>
  <c r="N103" i="149"/>
  <c r="N104" i="149" s="1"/>
  <c r="A104" i="149" s="1"/>
  <c r="R555" i="217"/>
  <c r="N204" i="135"/>
  <c r="N136" i="135"/>
  <c r="N170" i="135"/>
  <c r="N79" i="141"/>
  <c r="N203" i="141"/>
  <c r="N135" i="141"/>
  <c r="N169" i="141"/>
  <c r="N202" i="141"/>
  <c r="N168" i="141"/>
  <c r="N134" i="141"/>
  <c r="N152" i="141"/>
  <c r="N118" i="141"/>
  <c r="N186" i="141"/>
  <c r="N83" i="141"/>
  <c r="M356" i="141"/>
  <c r="M330" i="141"/>
  <c r="K106" i="196"/>
  <c r="K147" i="196"/>
  <c r="K140" i="196"/>
  <c r="K152" i="196" s="1"/>
  <c r="K25" i="206" s="1"/>
  <c r="N234" i="143"/>
  <c r="N268" i="143" s="1"/>
  <c r="N170" i="137"/>
  <c r="N204" i="137"/>
  <c r="N136" i="137"/>
  <c r="N129" i="136"/>
  <c r="N163" i="136"/>
  <c r="N197" i="136"/>
  <c r="R561" i="217"/>
  <c r="S527" i="217" s="1"/>
  <c r="N183" i="139"/>
  <c r="N115" i="139"/>
  <c r="N149" i="139"/>
  <c r="N137" i="147"/>
  <c r="N138" i="147" s="1"/>
  <c r="A138" i="147" s="1"/>
  <c r="N155" i="162"/>
  <c r="N280" i="162" s="1"/>
  <c r="N24" i="131" s="1"/>
  <c r="N168" i="137"/>
  <c r="N134" i="137"/>
  <c r="N202" i="137"/>
  <c r="N93" i="136"/>
  <c r="N94" i="136"/>
  <c r="N43" i="135"/>
  <c r="M350" i="135"/>
  <c r="N237" i="135"/>
  <c r="N271" i="135" s="1"/>
  <c r="N189" i="147"/>
  <c r="N281" i="147" s="1"/>
  <c r="N29" i="133" s="1"/>
  <c r="K117" i="200"/>
  <c r="K114" i="200"/>
  <c r="N202" i="139"/>
  <c r="N236" i="139" s="1"/>
  <c r="N270" i="139" s="1"/>
  <c r="N134" i="139"/>
  <c r="N168" i="139"/>
  <c r="N137" i="146"/>
  <c r="N138" i="146" s="1"/>
  <c r="A138" i="146" s="1"/>
  <c r="N53" i="143"/>
  <c r="N290" i="143" s="1"/>
  <c r="M368" i="143"/>
  <c r="M370" i="143" s="1"/>
  <c r="N190" i="146"/>
  <c r="A190" i="146" s="1"/>
  <c r="N111" i="149"/>
  <c r="N145" i="149"/>
  <c r="N87" i="149"/>
  <c r="N88" i="149" s="1"/>
  <c r="A88" i="149" s="1"/>
  <c r="N179" i="149"/>
  <c r="M93" i="102"/>
  <c r="M37" i="95"/>
  <c r="M62" i="95" s="1"/>
  <c r="N154" i="137"/>
  <c r="N188" i="137"/>
  <c r="N120" i="137"/>
  <c r="N220" i="145"/>
  <c r="N254" i="145" s="1"/>
  <c r="N164" i="136"/>
  <c r="N198" i="136"/>
  <c r="N130" i="136"/>
  <c r="N101" i="140"/>
  <c r="S516" i="217"/>
  <c r="N47" i="140"/>
  <c r="N81" i="140" s="1"/>
  <c r="N98" i="140"/>
  <c r="N239" i="151"/>
  <c r="N240" i="151" s="1"/>
  <c r="A240" i="151" s="1"/>
  <c r="N263" i="151"/>
  <c r="N273" i="151" s="1"/>
  <c r="N274" i="151" s="1"/>
  <c r="A274" i="151" s="1"/>
  <c r="N156" i="150"/>
  <c r="A156" i="150" s="1"/>
  <c r="N280" i="150"/>
  <c r="N32" i="131" s="1"/>
  <c r="R557" i="217"/>
  <c r="N85" i="135"/>
  <c r="N77" i="145"/>
  <c r="N78" i="145"/>
  <c r="M95" i="102"/>
  <c r="M39" i="95"/>
  <c r="M64" i="95" s="1"/>
  <c r="N282" i="151"/>
  <c r="N33" i="132" s="1"/>
  <c r="N203" i="148"/>
  <c r="N169" i="148"/>
  <c r="N135" i="148"/>
  <c r="M356" i="148"/>
  <c r="M330" i="148"/>
  <c r="N82" i="148"/>
  <c r="M31" i="102"/>
  <c r="K15" i="201"/>
  <c r="K44" i="201" s="1"/>
  <c r="K57" i="201" s="1"/>
  <c r="K98" i="201" s="1"/>
  <c r="N97" i="148"/>
  <c r="N121" i="162"/>
  <c r="N282" i="162" s="1"/>
  <c r="N24" i="132" s="1"/>
  <c r="N214" i="162"/>
  <c r="N248" i="162" s="1"/>
  <c r="K117" i="195"/>
  <c r="K114" i="195"/>
  <c r="K116" i="195" s="1"/>
  <c r="K118" i="195" s="1"/>
  <c r="N198" i="137"/>
  <c r="N130" i="137"/>
  <c r="N164" i="137"/>
  <c r="N232" i="143"/>
  <c r="N266" i="143" s="1"/>
  <c r="N148" i="137"/>
  <c r="N182" i="137"/>
  <c r="N114" i="137"/>
  <c r="N153" i="136"/>
  <c r="N187" i="136"/>
  <c r="N119" i="136"/>
  <c r="N223" i="150"/>
  <c r="N279" i="150" s="1"/>
  <c r="N247" i="150"/>
  <c r="N257" i="150" s="1"/>
  <c r="N258" i="150" s="1"/>
  <c r="A258" i="150" s="1"/>
  <c r="N115" i="141"/>
  <c r="N183" i="141"/>
  <c r="N149" i="141"/>
  <c r="K15" i="193"/>
  <c r="K44" i="193" s="1"/>
  <c r="K57" i="193" s="1"/>
  <c r="K98" i="193" s="1"/>
  <c r="M23" i="102"/>
  <c r="N136" i="141"/>
  <c r="N170" i="141"/>
  <c r="N204" i="141"/>
  <c r="N187" i="141"/>
  <c r="N119" i="141"/>
  <c r="N153" i="141"/>
  <c r="N82" i="141"/>
  <c r="N200" i="141"/>
  <c r="N166" i="141"/>
  <c r="N132" i="141"/>
  <c r="N232" i="139"/>
  <c r="N266" i="139" s="1"/>
  <c r="N229" i="147"/>
  <c r="N214" i="146"/>
  <c r="N248" i="146" s="1"/>
  <c r="N183" i="137"/>
  <c r="N115" i="137"/>
  <c r="N149" i="137"/>
  <c r="N133" i="137"/>
  <c r="N167" i="137"/>
  <c r="N201" i="137"/>
  <c r="K103" i="189"/>
  <c r="K104" i="189"/>
  <c r="K18" i="205" s="1"/>
  <c r="K105" i="189"/>
  <c r="K18" i="207" s="1"/>
  <c r="N118" i="135"/>
  <c r="N152" i="135"/>
  <c r="N186" i="135"/>
  <c r="R556" i="217"/>
  <c r="M367" i="145"/>
  <c r="N216" i="143"/>
  <c r="N250" i="143" s="1"/>
  <c r="N280" i="151"/>
  <c r="N33" i="131" s="1"/>
  <c r="N87" i="142"/>
  <c r="N88" i="142" s="1"/>
  <c r="A88" i="142" s="1"/>
  <c r="N146" i="142"/>
  <c r="N155" i="142" s="1"/>
  <c r="N280" i="142" s="1"/>
  <c r="N23" i="131" s="1"/>
  <c r="N180" i="142"/>
  <c r="N189" i="142" s="1"/>
  <c r="N112" i="142"/>
  <c r="M330" i="136"/>
  <c r="M366" i="136"/>
  <c r="N190" i="150"/>
  <c r="A190" i="150" s="1"/>
  <c r="N164" i="135"/>
  <c r="N198" i="135"/>
  <c r="N130" i="135"/>
  <c r="M367" i="143"/>
  <c r="N121" i="147"/>
  <c r="N213" i="147"/>
  <c r="K116" i="200"/>
  <c r="K118" i="200" s="1"/>
  <c r="N230" i="146"/>
  <c r="N264" i="146" s="1"/>
  <c r="N156" i="146"/>
  <c r="A156" i="146" s="1"/>
  <c r="K103" i="190"/>
  <c r="K104" i="190"/>
  <c r="K19" i="205" s="1"/>
  <c r="K105" i="190"/>
  <c r="K19" i="207" s="1"/>
  <c r="N188" i="136"/>
  <c r="N120" i="136"/>
  <c r="N154" i="136"/>
  <c r="N163" i="140"/>
  <c r="N129" i="140"/>
  <c r="N197" i="140"/>
  <c r="N231" i="140" s="1"/>
  <c r="N265" i="140" s="1"/>
  <c r="S518" i="217"/>
  <c r="N51" i="140"/>
  <c r="N85" i="140" s="1"/>
  <c r="S515" i="217"/>
  <c r="N45" i="140"/>
  <c r="N79" i="140" s="1"/>
  <c r="N102" i="140"/>
  <c r="M35" i="128"/>
  <c r="N80" i="135"/>
  <c r="R559" i="217"/>
  <c r="S526" i="217" s="1"/>
  <c r="N155" i="144"/>
  <c r="N280" i="144" s="1"/>
  <c r="N26" i="131" s="1"/>
  <c r="N150" i="139"/>
  <c r="N184" i="139"/>
  <c r="N116" i="139"/>
  <c r="M314" i="139"/>
  <c r="M332" i="139"/>
  <c r="M333" i="139" s="1"/>
  <c r="K156" i="199"/>
  <c r="N182" i="148"/>
  <c r="N114" i="148"/>
  <c r="N148" i="148"/>
  <c r="N147" i="148"/>
  <c r="N181" i="148"/>
  <c r="N113" i="148"/>
  <c r="M332" i="148"/>
  <c r="M333" i="148" s="1"/>
  <c r="N152" i="148"/>
  <c r="N186" i="148"/>
  <c r="N118" i="148"/>
  <c r="N83" i="148"/>
  <c r="K27" i="209"/>
  <c r="K259" i="209" s="1"/>
  <c r="K28" i="210" s="1"/>
  <c r="K67" i="211" s="1"/>
  <c r="L85" i="208"/>
  <c r="N214" i="86"/>
  <c r="N248" i="86" s="1"/>
  <c r="N219" i="86"/>
  <c r="N253" i="86" s="1"/>
  <c r="N216" i="86"/>
  <c r="N250" i="86" s="1"/>
  <c r="N189" i="86"/>
  <c r="N195" i="138"/>
  <c r="N127" i="138"/>
  <c r="N103" i="138"/>
  <c r="N104" i="138" s="1"/>
  <c r="A104" i="138" s="1"/>
  <c r="N161" i="138"/>
  <c r="K260" i="211"/>
  <c r="Q71" i="218" s="1"/>
  <c r="K235" i="211"/>
  <c r="K16" i="209"/>
  <c r="K248" i="209" s="1"/>
  <c r="K259" i="211"/>
  <c r="Q70" i="218" s="1"/>
  <c r="K234" i="211"/>
  <c r="N290" i="86"/>
  <c r="N54" i="86"/>
  <c r="A54" i="86" s="1"/>
  <c r="N196" i="86"/>
  <c r="N128" i="86"/>
  <c r="N162" i="86"/>
  <c r="K15" i="206"/>
  <c r="K106" i="186"/>
  <c r="K111" i="186" s="1"/>
  <c r="N180" i="138"/>
  <c r="N112" i="138"/>
  <c r="N146" i="138"/>
  <c r="N155" i="86"/>
  <c r="N290" i="138"/>
  <c r="N54" i="138"/>
  <c r="A54" i="138" s="1"/>
  <c r="K113" i="191"/>
  <c r="K115" i="191" s="1"/>
  <c r="K112" i="191"/>
  <c r="N195" i="86"/>
  <c r="N127" i="86"/>
  <c r="N103" i="86"/>
  <c r="N104" i="86" s="1"/>
  <c r="A104" i="86" s="1"/>
  <c r="N161" i="86"/>
  <c r="K255" i="211"/>
  <c r="Q66" i="218" s="1"/>
  <c r="K230" i="211"/>
  <c r="N145" i="138"/>
  <c r="N179" i="138"/>
  <c r="N111" i="138"/>
  <c r="N87" i="138"/>
  <c r="N88" i="138" s="1"/>
  <c r="A88" i="138" s="1"/>
  <c r="N213" i="86"/>
  <c r="N121" i="86"/>
  <c r="N196" i="138"/>
  <c r="N128" i="138"/>
  <c r="N162" i="138"/>
  <c r="N237" i="137" l="1"/>
  <c r="N271" i="137" s="1"/>
  <c r="N235" i="134"/>
  <c r="N269" i="134" s="1"/>
  <c r="N235" i="136"/>
  <c r="N269" i="136" s="1"/>
  <c r="N219" i="134"/>
  <c r="N253" i="134" s="1"/>
  <c r="N237" i="134"/>
  <c r="N271" i="134" s="1"/>
  <c r="N222" i="141"/>
  <c r="N256" i="141" s="1"/>
  <c r="N221" i="134"/>
  <c r="N255" i="134" s="1"/>
  <c r="N219" i="139"/>
  <c r="N253" i="139" s="1"/>
  <c r="N234" i="136"/>
  <c r="N268" i="136" s="1"/>
  <c r="N230" i="149"/>
  <c r="N264" i="149" s="1"/>
  <c r="N217" i="148"/>
  <c r="N251" i="148" s="1"/>
  <c r="N77" i="134"/>
  <c r="N78" i="134"/>
  <c r="N238" i="134"/>
  <c r="N272" i="134" s="1"/>
  <c r="N220" i="134"/>
  <c r="N254" i="134" s="1"/>
  <c r="K16" i="206"/>
  <c r="L75" i="208" s="1"/>
  <c r="K106" i="187"/>
  <c r="K111" i="187" s="1"/>
  <c r="N218" i="139"/>
  <c r="N252" i="139" s="1"/>
  <c r="M351" i="134"/>
  <c r="N53" i="134"/>
  <c r="M368" i="134"/>
  <c r="M370" i="134" s="1"/>
  <c r="N93" i="134"/>
  <c r="N94" i="134"/>
  <c r="N217" i="134"/>
  <c r="N251" i="134" s="1"/>
  <c r="N282" i="147"/>
  <c r="N29" i="132" s="1"/>
  <c r="N190" i="144"/>
  <c r="A190" i="144" s="1"/>
  <c r="N235" i="135"/>
  <c r="N269" i="135" s="1"/>
  <c r="M367" i="134"/>
  <c r="N69" i="134"/>
  <c r="N70" i="134" s="1"/>
  <c r="A70" i="134" s="1"/>
  <c r="N217" i="136"/>
  <c r="N251" i="136" s="1"/>
  <c r="N156" i="144"/>
  <c r="A156" i="144" s="1"/>
  <c r="N233" i="137"/>
  <c r="N267" i="137" s="1"/>
  <c r="N233" i="139"/>
  <c r="N267" i="139" s="1"/>
  <c r="N231" i="141"/>
  <c r="N265" i="141" s="1"/>
  <c r="N232" i="136"/>
  <c r="N266" i="136" s="1"/>
  <c r="N231" i="136"/>
  <c r="N265" i="136" s="1"/>
  <c r="N238" i="137"/>
  <c r="N272" i="137" s="1"/>
  <c r="K154" i="196"/>
  <c r="K158" i="196" s="1"/>
  <c r="N234" i="139"/>
  <c r="N268" i="139" s="1"/>
  <c r="N221" i="141"/>
  <c r="N255" i="141" s="1"/>
  <c r="N215" i="136"/>
  <c r="N249" i="136" s="1"/>
  <c r="K155" i="196"/>
  <c r="K240" i="211"/>
  <c r="K265" i="211"/>
  <c r="Q76" i="218" s="1"/>
  <c r="N283" i="150"/>
  <c r="A283" i="150" s="1"/>
  <c r="N294" i="150"/>
  <c r="N32" i="130"/>
  <c r="N165" i="148"/>
  <c r="N131" i="148"/>
  <c r="N199" i="148"/>
  <c r="N121" i="149"/>
  <c r="N122" i="149" s="1"/>
  <c r="A122" i="149" s="1"/>
  <c r="N213" i="149"/>
  <c r="N103" i="136"/>
  <c r="N104" i="136" s="1"/>
  <c r="A104" i="136" s="1"/>
  <c r="N162" i="136"/>
  <c r="N196" i="136"/>
  <c r="N128" i="136"/>
  <c r="N197" i="148"/>
  <c r="N129" i="148"/>
  <c r="N163" i="148"/>
  <c r="N151" i="148"/>
  <c r="N185" i="148"/>
  <c r="N117" i="148"/>
  <c r="N147" i="140"/>
  <c r="N181" i="140"/>
  <c r="N113" i="140"/>
  <c r="N80" i="140"/>
  <c r="N223" i="147"/>
  <c r="N224" i="147" s="1"/>
  <c r="A224" i="147" s="1"/>
  <c r="N247" i="147"/>
  <c r="N257" i="147" s="1"/>
  <c r="N258" i="147" s="1"/>
  <c r="A258" i="147" s="1"/>
  <c r="N232" i="135"/>
  <c r="N266" i="135" s="1"/>
  <c r="S525" i="217"/>
  <c r="K19" i="209"/>
  <c r="K251" i="209" s="1"/>
  <c r="K20" i="210" s="1"/>
  <c r="K59" i="211" s="1"/>
  <c r="N116" i="141"/>
  <c r="N150" i="141"/>
  <c r="N184" i="141"/>
  <c r="N238" i="141"/>
  <c r="N272" i="141" s="1"/>
  <c r="K105" i="193"/>
  <c r="K22" i="207" s="1"/>
  <c r="K23" i="209" s="1"/>
  <c r="K255" i="209" s="1"/>
  <c r="K24" i="210" s="1"/>
  <c r="K63" i="211" s="1"/>
  <c r="K103" i="193"/>
  <c r="K104" i="193"/>
  <c r="K22" i="205" s="1"/>
  <c r="N232" i="137"/>
  <c r="N266" i="137" s="1"/>
  <c r="M104" i="102"/>
  <c r="M48" i="95"/>
  <c r="M73" i="95" s="1"/>
  <c r="N111" i="145"/>
  <c r="N145" i="145"/>
  <c r="N179" i="145"/>
  <c r="N87" i="145"/>
  <c r="N88" i="145" s="1"/>
  <c r="A88" i="145" s="1"/>
  <c r="N82" i="140"/>
  <c r="N190" i="147"/>
  <c r="A190" i="147" s="1"/>
  <c r="N53" i="135"/>
  <c r="M368" i="135"/>
  <c r="M370" i="135" s="1"/>
  <c r="M351" i="135"/>
  <c r="N236" i="137"/>
  <c r="N270" i="137" s="1"/>
  <c r="N220" i="141"/>
  <c r="N254" i="141" s="1"/>
  <c r="N236" i="141"/>
  <c r="N270" i="141" s="1"/>
  <c r="N113" i="141"/>
  <c r="N147" i="141"/>
  <c r="N181" i="141"/>
  <c r="N229" i="149"/>
  <c r="N205" i="149"/>
  <c r="N206" i="149" s="1"/>
  <c r="A206" i="149" s="1"/>
  <c r="N43" i="141"/>
  <c r="M350" i="141"/>
  <c r="M351" i="141" s="1"/>
  <c r="N120" i="148"/>
  <c r="N188" i="148"/>
  <c r="N154" i="148"/>
  <c r="K21" i="206"/>
  <c r="L80" i="208" s="1"/>
  <c r="K106" i="192"/>
  <c r="K111" i="192" s="1"/>
  <c r="M332" i="140"/>
  <c r="M333" i="140" s="1"/>
  <c r="M314" i="140"/>
  <c r="N77" i="136"/>
  <c r="N78" i="136"/>
  <c r="N54" i="143"/>
  <c r="A54" i="143" s="1"/>
  <c r="N162" i="143"/>
  <c r="N128" i="143"/>
  <c r="N196" i="143"/>
  <c r="N223" i="162"/>
  <c r="N247" i="162"/>
  <c r="N257" i="162" s="1"/>
  <c r="N258" i="162" s="1"/>
  <c r="A258" i="162" s="1"/>
  <c r="N205" i="142"/>
  <c r="N206" i="142" s="1"/>
  <c r="A206" i="142" s="1"/>
  <c r="N229" i="142"/>
  <c r="N239" i="146"/>
  <c r="N240" i="146" s="1"/>
  <c r="A240" i="146" s="1"/>
  <c r="N263" i="146"/>
  <c r="N273" i="146" s="1"/>
  <c r="N274" i="146" s="1"/>
  <c r="A274" i="146" s="1"/>
  <c r="N213" i="142"/>
  <c r="N121" i="142"/>
  <c r="N282" i="142" s="1"/>
  <c r="N23" i="132" s="1"/>
  <c r="N122" i="142"/>
  <c r="A122" i="142" s="1"/>
  <c r="N161" i="145"/>
  <c r="N195" i="145"/>
  <c r="N127" i="145"/>
  <c r="N103" i="145"/>
  <c r="N104" i="145" s="1"/>
  <c r="A104" i="145" s="1"/>
  <c r="N238" i="136"/>
  <c r="N272" i="136" s="1"/>
  <c r="K117" i="202"/>
  <c r="K114" i="202"/>
  <c r="K116" i="202" s="1"/>
  <c r="K118" i="202" s="1"/>
  <c r="N137" i="149"/>
  <c r="N138" i="149" s="1"/>
  <c r="A138" i="149" s="1"/>
  <c r="N216" i="136"/>
  <c r="N250" i="136" s="1"/>
  <c r="K114" i="197"/>
  <c r="K116" i="197" s="1"/>
  <c r="K118" i="197" s="1"/>
  <c r="K117" i="197"/>
  <c r="N223" i="144"/>
  <c r="N247" i="144"/>
  <c r="N257" i="144" s="1"/>
  <c r="N258" i="144" s="1"/>
  <c r="A258" i="144" s="1"/>
  <c r="K103" i="188"/>
  <c r="K104" i="188"/>
  <c r="K17" i="205" s="1"/>
  <c r="K105" i="188"/>
  <c r="K17" i="207" s="1"/>
  <c r="K18" i="209" s="1"/>
  <c r="K250" i="209" s="1"/>
  <c r="K19" i="210" s="1"/>
  <c r="K58" i="211" s="1"/>
  <c r="K105" i="185"/>
  <c r="K14" i="207" s="1"/>
  <c r="K104" i="185"/>
  <c r="K14" i="205" s="1"/>
  <c r="K103" i="185"/>
  <c r="N84" i="140"/>
  <c r="N214" i="149"/>
  <c r="N248" i="149" s="1"/>
  <c r="N239" i="144"/>
  <c r="N240" i="144" s="1"/>
  <c r="A240" i="144" s="1"/>
  <c r="N263" i="144"/>
  <c r="N273" i="144" s="1"/>
  <c r="N274" i="144" s="1"/>
  <c r="A274" i="144" s="1"/>
  <c r="N230" i="142"/>
  <c r="N264" i="142" s="1"/>
  <c r="N93" i="139"/>
  <c r="N94" i="139"/>
  <c r="N281" i="146"/>
  <c r="N28" i="133" s="1"/>
  <c r="N220" i="148"/>
  <c r="N254" i="148" s="1"/>
  <c r="N215" i="148"/>
  <c r="N249" i="148" s="1"/>
  <c r="N216" i="148"/>
  <c r="N250" i="148" s="1"/>
  <c r="N148" i="135"/>
  <c r="N114" i="135"/>
  <c r="N182" i="135"/>
  <c r="N86" i="140"/>
  <c r="K20" i="209"/>
  <c r="K252" i="209" s="1"/>
  <c r="K21" i="210" s="1"/>
  <c r="K60" i="211" s="1"/>
  <c r="N214" i="142"/>
  <c r="N248" i="142" s="1"/>
  <c r="N234" i="141"/>
  <c r="N268" i="141" s="1"/>
  <c r="N224" i="150"/>
  <c r="A224" i="150" s="1"/>
  <c r="N184" i="148"/>
  <c r="N116" i="148"/>
  <c r="N150" i="148"/>
  <c r="N237" i="148"/>
  <c r="N271" i="148" s="1"/>
  <c r="N119" i="135"/>
  <c r="N187" i="135"/>
  <c r="N153" i="135"/>
  <c r="N183" i="140"/>
  <c r="N115" i="140"/>
  <c r="N149" i="140"/>
  <c r="N222" i="137"/>
  <c r="N256" i="137" s="1"/>
  <c r="N155" i="149"/>
  <c r="N156" i="149" s="1"/>
  <c r="A156" i="149" s="1"/>
  <c r="N77" i="135"/>
  <c r="N78" i="135"/>
  <c r="N59" i="141"/>
  <c r="M366" i="141"/>
  <c r="N69" i="141" s="1"/>
  <c r="N219" i="137"/>
  <c r="N253" i="137" s="1"/>
  <c r="N215" i="135"/>
  <c r="N249" i="135" s="1"/>
  <c r="N221" i="148"/>
  <c r="N255" i="148" s="1"/>
  <c r="N199" i="140"/>
  <c r="N233" i="140" s="1"/>
  <c r="N267" i="140" s="1"/>
  <c r="N165" i="140"/>
  <c r="N131" i="140"/>
  <c r="M368" i="136"/>
  <c r="M370" i="136" s="1"/>
  <c r="N53" i="136"/>
  <c r="M351" i="136"/>
  <c r="N282" i="146"/>
  <c r="N28" i="132" s="1"/>
  <c r="N145" i="143"/>
  <c r="N179" i="143"/>
  <c r="N87" i="143"/>
  <c r="N88" i="143" s="1"/>
  <c r="A88" i="143" s="1"/>
  <c r="N111" i="143"/>
  <c r="N220" i="139"/>
  <c r="N254" i="139" s="1"/>
  <c r="N161" i="143"/>
  <c r="N195" i="143"/>
  <c r="N127" i="143"/>
  <c r="N137" i="143" s="1"/>
  <c r="N138" i="143" s="1"/>
  <c r="A138" i="143" s="1"/>
  <c r="N103" i="143"/>
  <c r="N104" i="143" s="1"/>
  <c r="A104" i="143" s="1"/>
  <c r="N69" i="135"/>
  <c r="N70" i="135" s="1"/>
  <c r="A70" i="135" s="1"/>
  <c r="M367" i="135"/>
  <c r="K114" i="194"/>
  <c r="K116" i="194" s="1"/>
  <c r="K118" i="194" s="1"/>
  <c r="K117" i="194"/>
  <c r="N148" i="141"/>
  <c r="N114" i="141"/>
  <c r="N182" i="141"/>
  <c r="N185" i="135"/>
  <c r="N117" i="135"/>
  <c r="N151" i="135"/>
  <c r="N218" i="135"/>
  <c r="N252" i="135" s="1"/>
  <c r="S328" i="217"/>
  <c r="M88" i="102"/>
  <c r="M32" i="95"/>
  <c r="N237" i="139"/>
  <c r="N271" i="139" s="1"/>
  <c r="N280" i="147"/>
  <c r="N29" i="131" s="1"/>
  <c r="N281" i="162"/>
  <c r="N24" i="133" s="1"/>
  <c r="N70" i="139"/>
  <c r="A70" i="139" s="1"/>
  <c r="N221" i="139"/>
  <c r="N255" i="139" s="1"/>
  <c r="N190" i="142"/>
  <c r="A190" i="142" s="1"/>
  <c r="N93" i="135"/>
  <c r="N94" i="135"/>
  <c r="N93" i="137"/>
  <c r="N94" i="137"/>
  <c r="N167" i="141"/>
  <c r="N201" i="141"/>
  <c r="N133" i="141"/>
  <c r="N233" i="141"/>
  <c r="N267" i="141" s="1"/>
  <c r="N217" i="135"/>
  <c r="N251" i="135" s="1"/>
  <c r="N171" i="149"/>
  <c r="N172" i="149" s="1"/>
  <c r="A172" i="149" s="1"/>
  <c r="N238" i="148"/>
  <c r="N272" i="148" s="1"/>
  <c r="N234" i="148"/>
  <c r="N268" i="148" s="1"/>
  <c r="N43" i="148"/>
  <c r="M350" i="148"/>
  <c r="M351" i="139"/>
  <c r="M368" i="139"/>
  <c r="M370" i="139" s="1"/>
  <c r="N53" i="139"/>
  <c r="K113" i="198"/>
  <c r="K115" i="198" s="1"/>
  <c r="K112" i="198"/>
  <c r="N279" i="151"/>
  <c r="N151" i="140"/>
  <c r="N185" i="140"/>
  <c r="N117" i="140"/>
  <c r="N232" i="140"/>
  <c r="N266" i="140" s="1"/>
  <c r="M366" i="140"/>
  <c r="N59" i="140"/>
  <c r="N53" i="137"/>
  <c r="M368" i="137"/>
  <c r="M370" i="137" s="1"/>
  <c r="M351" i="137"/>
  <c r="N236" i="135"/>
  <c r="N270" i="135" s="1"/>
  <c r="N187" i="140"/>
  <c r="N119" i="140"/>
  <c r="N153" i="140"/>
  <c r="K18" i="206"/>
  <c r="L77" i="208" s="1"/>
  <c r="K106" i="189"/>
  <c r="K111" i="189" s="1"/>
  <c r="N239" i="147"/>
  <c r="N240" i="147" s="1"/>
  <c r="A240" i="147" s="1"/>
  <c r="N263" i="147"/>
  <c r="N273" i="147" s="1"/>
  <c r="N274" i="147" s="1"/>
  <c r="A274" i="147" s="1"/>
  <c r="N185" i="141"/>
  <c r="N151" i="141"/>
  <c r="N117" i="141"/>
  <c r="N202" i="140"/>
  <c r="N236" i="140" s="1"/>
  <c r="N270" i="140" s="1"/>
  <c r="N134" i="140"/>
  <c r="N168" i="140"/>
  <c r="N223" i="146"/>
  <c r="N279" i="146" s="1"/>
  <c r="N247" i="146"/>
  <c r="N257" i="146" s="1"/>
  <c r="N258" i="146" s="1"/>
  <c r="A258" i="146" s="1"/>
  <c r="N170" i="140"/>
  <c r="N204" i="140"/>
  <c r="N238" i="140" s="1"/>
  <c r="N272" i="140" s="1"/>
  <c r="N136" i="140"/>
  <c r="N222" i="136"/>
  <c r="N256" i="136" s="1"/>
  <c r="K19" i="206"/>
  <c r="L78" i="208" s="1"/>
  <c r="K106" i="190"/>
  <c r="K111" i="190" s="1"/>
  <c r="N122" i="147"/>
  <c r="A122" i="147" s="1"/>
  <c r="M367" i="136"/>
  <c r="N69" i="136"/>
  <c r="N70" i="136" s="1"/>
  <c r="A70" i="136" s="1"/>
  <c r="N220" i="135"/>
  <c r="N254" i="135" s="1"/>
  <c r="N235" i="137"/>
  <c r="N269" i="137" s="1"/>
  <c r="N217" i="137"/>
  <c r="N251" i="137" s="1"/>
  <c r="M96" i="102"/>
  <c r="M40" i="95"/>
  <c r="M65" i="95" s="1"/>
  <c r="N217" i="141"/>
  <c r="N251" i="141" s="1"/>
  <c r="N221" i="136"/>
  <c r="N255" i="136" s="1"/>
  <c r="N216" i="137"/>
  <c r="N250" i="137" s="1"/>
  <c r="K105" i="201"/>
  <c r="K30" i="207" s="1"/>
  <c r="K31" i="209" s="1"/>
  <c r="K263" i="209" s="1"/>
  <c r="K32" i="210" s="1"/>
  <c r="K71" i="211" s="1"/>
  <c r="K103" i="201"/>
  <c r="K104" i="201"/>
  <c r="K30" i="205" s="1"/>
  <c r="N59" i="148"/>
  <c r="M366" i="148"/>
  <c r="N69" i="148" s="1"/>
  <c r="N180" i="145"/>
  <c r="N189" i="145" s="1"/>
  <c r="N112" i="145"/>
  <c r="N146" i="145"/>
  <c r="N155" i="145" s="1"/>
  <c r="N166" i="140"/>
  <c r="N200" i="140"/>
  <c r="N234" i="140" s="1"/>
  <c r="N268" i="140" s="1"/>
  <c r="N132" i="140"/>
  <c r="N203" i="140"/>
  <c r="N169" i="140"/>
  <c r="N135" i="140"/>
  <c r="N189" i="149"/>
  <c r="N281" i="149" s="1"/>
  <c r="N31" i="133" s="1"/>
  <c r="R554" i="217"/>
  <c r="N161" i="136"/>
  <c r="N195" i="136"/>
  <c r="N127" i="136"/>
  <c r="N156" i="162"/>
  <c r="A156" i="162" s="1"/>
  <c r="N217" i="139"/>
  <c r="N251" i="139" s="1"/>
  <c r="K150" i="196"/>
  <c r="K111" i="196"/>
  <c r="N237" i="141"/>
  <c r="N271" i="141" s="1"/>
  <c r="N238" i="135"/>
  <c r="N272" i="135" s="1"/>
  <c r="N219" i="136"/>
  <c r="N253" i="136" s="1"/>
  <c r="K267" i="211"/>
  <c r="Q78" i="218" s="1"/>
  <c r="K242" i="211"/>
  <c r="N202" i="148"/>
  <c r="N134" i="148"/>
  <c r="N168" i="148"/>
  <c r="N233" i="135"/>
  <c r="N267" i="135" s="1"/>
  <c r="S514" i="217"/>
  <c r="M350" i="140"/>
  <c r="N43" i="140"/>
  <c r="N146" i="143"/>
  <c r="N112" i="143"/>
  <c r="N180" i="143"/>
  <c r="K117" i="199"/>
  <c r="K114" i="199"/>
  <c r="K116" i="199" s="1"/>
  <c r="K118" i="199" s="1"/>
  <c r="N222" i="135"/>
  <c r="N256" i="135" s="1"/>
  <c r="N122" i="162"/>
  <c r="A122" i="162" s="1"/>
  <c r="N156" i="142"/>
  <c r="A156" i="142" s="1"/>
  <c r="N196" i="145"/>
  <c r="N128" i="145"/>
  <c r="N162" i="145"/>
  <c r="M367" i="137"/>
  <c r="N69" i="137"/>
  <c r="N70" i="137" s="1"/>
  <c r="A70" i="137" s="1"/>
  <c r="N216" i="139"/>
  <c r="N250" i="139" s="1"/>
  <c r="N130" i="141"/>
  <c r="N198" i="141"/>
  <c r="N164" i="141"/>
  <c r="N239" i="162"/>
  <c r="N240" i="162" s="1"/>
  <c r="A240" i="162" s="1"/>
  <c r="N263" i="162"/>
  <c r="N273" i="162" s="1"/>
  <c r="N274" i="162" s="1"/>
  <c r="A274" i="162" s="1"/>
  <c r="N218" i="136"/>
  <c r="N252" i="136" s="1"/>
  <c r="N232" i="148"/>
  <c r="N266" i="148" s="1"/>
  <c r="N235" i="148"/>
  <c r="N269" i="148" s="1"/>
  <c r="N78" i="139"/>
  <c r="N77" i="139"/>
  <c r="N122" i="144"/>
  <c r="A122" i="144" s="1"/>
  <c r="M35" i="95"/>
  <c r="M60" i="95" s="1"/>
  <c r="M91" i="102"/>
  <c r="M67" i="102"/>
  <c r="M35" i="102"/>
  <c r="N224" i="151"/>
  <c r="A224" i="151" s="1"/>
  <c r="S576" i="217"/>
  <c r="N77" i="137"/>
  <c r="N78" i="137"/>
  <c r="N137" i="86"/>
  <c r="N138" i="86" s="1"/>
  <c r="A138" i="86" s="1"/>
  <c r="N189" i="138"/>
  <c r="N155" i="138"/>
  <c r="N156" i="138" s="1"/>
  <c r="A156" i="138" s="1"/>
  <c r="N171" i="86"/>
  <c r="N172" i="86" s="1"/>
  <c r="A172" i="86" s="1"/>
  <c r="N214" i="138"/>
  <c r="N248" i="138" s="1"/>
  <c r="N223" i="86"/>
  <c r="N247" i="86"/>
  <c r="N257" i="86" s="1"/>
  <c r="N258" i="86" s="1"/>
  <c r="A258" i="86" s="1"/>
  <c r="N190" i="138"/>
  <c r="A190" i="138" s="1"/>
  <c r="L74" i="208"/>
  <c r="N137" i="138"/>
  <c r="N138" i="138" s="1"/>
  <c r="A138" i="138" s="1"/>
  <c r="N190" i="86"/>
  <c r="A190" i="86" s="1"/>
  <c r="N230" i="138"/>
  <c r="N264" i="138" s="1"/>
  <c r="N229" i="86"/>
  <c r="N205" i="86"/>
  <c r="N206" i="86" s="1"/>
  <c r="A206" i="86" s="1"/>
  <c r="N156" i="86"/>
  <c r="A156" i="86" s="1"/>
  <c r="N280" i="86"/>
  <c r="K17" i="210"/>
  <c r="K56" i="211" s="1"/>
  <c r="N229" i="138"/>
  <c r="N205" i="138"/>
  <c r="N206" i="138" s="1"/>
  <c r="A206" i="138" s="1"/>
  <c r="K113" i="186"/>
  <c r="K115" i="186" s="1"/>
  <c r="K112" i="186"/>
  <c r="N230" i="86"/>
  <c r="N264" i="86" s="1"/>
  <c r="N171" i="138"/>
  <c r="N172" i="138" s="1"/>
  <c r="A172" i="138" s="1"/>
  <c r="N282" i="86"/>
  <c r="N15" i="132" s="1"/>
  <c r="N122" i="86"/>
  <c r="A122" i="86" s="1"/>
  <c r="N213" i="138"/>
  <c r="N121" i="138"/>
  <c r="K117" i="191"/>
  <c r="K114" i="191"/>
  <c r="K116" i="191" s="1"/>
  <c r="K118" i="191" s="1"/>
  <c r="N214" i="145" l="1"/>
  <c r="N248" i="145" s="1"/>
  <c r="N70" i="141"/>
  <c r="A70" i="141" s="1"/>
  <c r="N54" i="134"/>
  <c r="A54" i="134" s="1"/>
  <c r="N290" i="134"/>
  <c r="N111" i="134"/>
  <c r="N87" i="134"/>
  <c r="N88" i="134" s="1"/>
  <c r="A88" i="134" s="1"/>
  <c r="N145" i="134"/>
  <c r="N179" i="134"/>
  <c r="N162" i="134"/>
  <c r="N128" i="134"/>
  <c r="N196" i="134"/>
  <c r="N161" i="134"/>
  <c r="N195" i="134"/>
  <c r="N127" i="134"/>
  <c r="N137" i="134" s="1"/>
  <c r="N138" i="134" s="1"/>
  <c r="A138" i="134" s="1"/>
  <c r="N103" i="134"/>
  <c r="N104" i="134" s="1"/>
  <c r="A104" i="134" s="1"/>
  <c r="K113" i="187"/>
  <c r="K115" i="187" s="1"/>
  <c r="K112" i="187"/>
  <c r="N146" i="134"/>
  <c r="N180" i="134"/>
  <c r="N112" i="134"/>
  <c r="N279" i="144"/>
  <c r="M68" i="102"/>
  <c r="N232" i="141"/>
  <c r="N266" i="141" s="1"/>
  <c r="N190" i="149"/>
  <c r="A190" i="149" s="1"/>
  <c r="N233" i="148"/>
  <c r="N267" i="148" s="1"/>
  <c r="K25" i="207"/>
  <c r="N235" i="141"/>
  <c r="N269" i="141" s="1"/>
  <c r="N221" i="135"/>
  <c r="N255" i="135" s="1"/>
  <c r="N224" i="146"/>
  <c r="A224" i="146" s="1"/>
  <c r="M367" i="141"/>
  <c r="N222" i="148"/>
  <c r="N256" i="148" s="1"/>
  <c r="N215" i="141"/>
  <c r="N249" i="141" s="1"/>
  <c r="N145" i="137"/>
  <c r="N111" i="137"/>
  <c r="N87" i="137"/>
  <c r="N88" i="137" s="1"/>
  <c r="A88" i="137" s="1"/>
  <c r="N179" i="137"/>
  <c r="N87" i="139"/>
  <c r="N88" i="139" s="1"/>
  <c r="A88" i="139" s="1"/>
  <c r="N145" i="139"/>
  <c r="N111" i="139"/>
  <c r="N179" i="139"/>
  <c r="N93" i="148"/>
  <c r="N94" i="148"/>
  <c r="N155" i="143"/>
  <c r="N156" i="143" s="1"/>
  <c r="A156" i="143" s="1"/>
  <c r="N111" i="135"/>
  <c r="N87" i="135"/>
  <c r="N88" i="135" s="1"/>
  <c r="A88" i="135" s="1"/>
  <c r="N145" i="135"/>
  <c r="N179" i="135"/>
  <c r="N283" i="144"/>
  <c r="A283" i="144" s="1"/>
  <c r="N26" i="130"/>
  <c r="N294" i="144"/>
  <c r="N171" i="145"/>
  <c r="N172" i="145" s="1"/>
  <c r="A172" i="145" s="1"/>
  <c r="N87" i="136"/>
  <c r="N88" i="136" s="1"/>
  <c r="A88" i="136" s="1"/>
  <c r="N179" i="136"/>
  <c r="N111" i="136"/>
  <c r="N145" i="136"/>
  <c r="K257" i="211"/>
  <c r="Q68" i="218" s="1"/>
  <c r="Q84" i="218" s="1"/>
  <c r="K232" i="211"/>
  <c r="N371" i="150"/>
  <c r="N296" i="150"/>
  <c r="N214" i="143"/>
  <c r="N248" i="143" s="1"/>
  <c r="S529" i="217"/>
  <c r="S573" i="217"/>
  <c r="N236" i="148"/>
  <c r="N270" i="148" s="1"/>
  <c r="N237" i="140"/>
  <c r="N271" i="140" s="1"/>
  <c r="M367" i="148"/>
  <c r="K30" i="206"/>
  <c r="L89" i="208" s="1"/>
  <c r="K106" i="201"/>
  <c r="K111" i="201" s="1"/>
  <c r="N28" i="130"/>
  <c r="N283" i="146"/>
  <c r="A283" i="146" s="1"/>
  <c r="N294" i="146"/>
  <c r="S575" i="217"/>
  <c r="N54" i="137"/>
  <c r="A54" i="137" s="1"/>
  <c r="N290" i="137"/>
  <c r="N219" i="140"/>
  <c r="N253" i="140" s="1"/>
  <c r="N283" i="151"/>
  <c r="A283" i="151" s="1"/>
  <c r="N33" i="130"/>
  <c r="N294" i="151"/>
  <c r="N77" i="148"/>
  <c r="N78" i="148"/>
  <c r="N103" i="135"/>
  <c r="N104" i="135" s="1"/>
  <c r="A104" i="135" s="1"/>
  <c r="N195" i="135"/>
  <c r="N127" i="135"/>
  <c r="N161" i="135"/>
  <c r="N219" i="135"/>
  <c r="N253" i="135" s="1"/>
  <c r="N229" i="143"/>
  <c r="N205" i="143"/>
  <c r="N206" i="143" s="1"/>
  <c r="A206" i="143" s="1"/>
  <c r="N121" i="143"/>
  <c r="N282" i="143" s="1"/>
  <c r="N25" i="132" s="1"/>
  <c r="N213" i="143"/>
  <c r="N217" i="140"/>
  <c r="N251" i="140" s="1"/>
  <c r="N218" i="148"/>
  <c r="N252" i="148" s="1"/>
  <c r="S574" i="217"/>
  <c r="N162" i="139"/>
  <c r="N196" i="139"/>
  <c r="N128" i="139"/>
  <c r="S415" i="217"/>
  <c r="K35" i="205"/>
  <c r="K36" i="205"/>
  <c r="S417" i="217" s="1"/>
  <c r="K17" i="206"/>
  <c r="L76" i="208" s="1"/>
  <c r="K106" i="188"/>
  <c r="K111" i="188" s="1"/>
  <c r="N279" i="162"/>
  <c r="N171" i="143"/>
  <c r="N172" i="143" s="1"/>
  <c r="A172" i="143" s="1"/>
  <c r="M368" i="141"/>
  <c r="M370" i="141" s="1"/>
  <c r="N53" i="141"/>
  <c r="N290" i="141" s="1"/>
  <c r="N290" i="135"/>
  <c r="N54" i="135"/>
  <c r="A54" i="135" s="1"/>
  <c r="K22" i="206"/>
  <c r="L81" i="208" s="1"/>
  <c r="K106" i="193"/>
  <c r="K111" i="193" s="1"/>
  <c r="N279" i="147"/>
  <c r="N137" i="136"/>
  <c r="N138" i="136" s="1"/>
  <c r="A138" i="136" s="1"/>
  <c r="K156" i="196"/>
  <c r="N77" i="140"/>
  <c r="N78" i="140"/>
  <c r="K113" i="196"/>
  <c r="K115" i="196" s="1"/>
  <c r="K112" i="196"/>
  <c r="N112" i="139"/>
  <c r="N146" i="139"/>
  <c r="N180" i="139"/>
  <c r="M351" i="140"/>
  <c r="M368" i="140"/>
  <c r="M370" i="140" s="1"/>
  <c r="N53" i="140"/>
  <c r="N229" i="136"/>
  <c r="N205" i="136"/>
  <c r="N206" i="136" s="1"/>
  <c r="A206" i="136" s="1"/>
  <c r="K112" i="189"/>
  <c r="K113" i="189"/>
  <c r="K115" i="189" s="1"/>
  <c r="N54" i="139"/>
  <c r="A54" i="139" s="1"/>
  <c r="N290" i="139"/>
  <c r="M368" i="148"/>
  <c r="M370" i="148" s="1"/>
  <c r="N53" i="148"/>
  <c r="N290" i="148" s="1"/>
  <c r="N196" i="135"/>
  <c r="N162" i="135"/>
  <c r="N128" i="135"/>
  <c r="M57" i="95"/>
  <c r="AL34" i="95"/>
  <c r="N120" i="140"/>
  <c r="N188" i="140"/>
  <c r="N154" i="140"/>
  <c r="K14" i="206"/>
  <c r="K106" i="185"/>
  <c r="K111" i="185" s="1"/>
  <c r="N239" i="149"/>
  <c r="N240" i="149" s="1"/>
  <c r="A240" i="149" s="1"/>
  <c r="N263" i="149"/>
  <c r="N273" i="149" s="1"/>
  <c r="N274" i="149" s="1"/>
  <c r="A274" i="149" s="1"/>
  <c r="N213" i="145"/>
  <c r="N121" i="145"/>
  <c r="N122" i="145" s="1"/>
  <c r="A122" i="145" s="1"/>
  <c r="N180" i="137"/>
  <c r="N112" i="137"/>
  <c r="N146" i="137"/>
  <c r="M38" i="102"/>
  <c r="S330" i="217"/>
  <c r="M52" i="95"/>
  <c r="M108" i="102"/>
  <c r="N230" i="145"/>
  <c r="N264" i="145" s="1"/>
  <c r="S524" i="217"/>
  <c r="S584" i="217" s="1"/>
  <c r="R564" i="217"/>
  <c r="N280" i="145"/>
  <c r="N27" i="131" s="1"/>
  <c r="N70" i="148"/>
  <c r="A70" i="148" s="1"/>
  <c r="K269" i="211"/>
  <c r="Q80" i="218" s="1"/>
  <c r="K244" i="211"/>
  <c r="S577" i="217"/>
  <c r="N219" i="141"/>
  <c r="N253" i="141" s="1"/>
  <c r="N93" i="140"/>
  <c r="N94" i="140"/>
  <c r="K114" i="198"/>
  <c r="K117" i="198"/>
  <c r="N162" i="137"/>
  <c r="N196" i="137"/>
  <c r="N128" i="137"/>
  <c r="S616" i="217"/>
  <c r="S620" i="217" s="1"/>
  <c r="S357" i="217"/>
  <c r="N93" i="141"/>
  <c r="N94" i="141"/>
  <c r="N280" i="149"/>
  <c r="N31" i="131" s="1"/>
  <c r="N195" i="139"/>
  <c r="N127" i="139"/>
  <c r="N137" i="139" s="1"/>
  <c r="N138" i="139" s="1"/>
  <c r="A138" i="139" s="1"/>
  <c r="N161" i="139"/>
  <c r="N171" i="139" s="1"/>
  <c r="N172" i="139" s="1"/>
  <c r="A172" i="139" s="1"/>
  <c r="N103" i="139"/>
  <c r="N104" i="139" s="1"/>
  <c r="A104" i="139" s="1"/>
  <c r="S386" i="217"/>
  <c r="L73" i="208"/>
  <c r="K35" i="207"/>
  <c r="K15" i="209"/>
  <c r="K247" i="209" s="1"/>
  <c r="N137" i="145"/>
  <c r="N138" i="145" s="1"/>
  <c r="A138" i="145" s="1"/>
  <c r="N239" i="142"/>
  <c r="N240" i="142" s="1"/>
  <c r="A240" i="142" s="1"/>
  <c r="N263" i="142"/>
  <c r="N273" i="142" s="1"/>
  <c r="N274" i="142" s="1"/>
  <c r="A274" i="142" s="1"/>
  <c r="N224" i="162"/>
  <c r="A224" i="162" s="1"/>
  <c r="N77" i="141"/>
  <c r="N54" i="141"/>
  <c r="A54" i="141" s="1"/>
  <c r="N78" i="141"/>
  <c r="N190" i="145"/>
  <c r="A190" i="145" s="1"/>
  <c r="K236" i="211"/>
  <c r="K261" i="211"/>
  <c r="Q72" i="218" s="1"/>
  <c r="N218" i="141"/>
  <c r="N252" i="141" s="1"/>
  <c r="N148" i="140"/>
  <c r="N182" i="140"/>
  <c r="N114" i="140"/>
  <c r="N231" i="148"/>
  <c r="N265" i="148" s="1"/>
  <c r="N230" i="136"/>
  <c r="N264" i="136" s="1"/>
  <c r="N223" i="149"/>
  <c r="N224" i="149" s="1"/>
  <c r="A224" i="149" s="1"/>
  <c r="N247" i="149"/>
  <c r="N257" i="149" s="1"/>
  <c r="N258" i="149" s="1"/>
  <c r="A258" i="149" s="1"/>
  <c r="N281" i="142"/>
  <c r="N23" i="133" s="1"/>
  <c r="K112" i="190"/>
  <c r="K113" i="190"/>
  <c r="K115" i="190" s="1"/>
  <c r="N221" i="140"/>
  <c r="N255" i="140" s="1"/>
  <c r="M367" i="140"/>
  <c r="N69" i="140"/>
  <c r="N70" i="140" s="1"/>
  <c r="A70" i="140" s="1"/>
  <c r="K116" i="198"/>
  <c r="K118" i="198" s="1"/>
  <c r="M351" i="148"/>
  <c r="N195" i="137"/>
  <c r="N127" i="137"/>
  <c r="N161" i="137"/>
  <c r="N171" i="137" s="1"/>
  <c r="N172" i="137" s="1"/>
  <c r="A172" i="137" s="1"/>
  <c r="N103" i="137"/>
  <c r="N104" i="137" s="1"/>
  <c r="A104" i="137" s="1"/>
  <c r="N216" i="141"/>
  <c r="N250" i="141" s="1"/>
  <c r="N189" i="143"/>
  <c r="N281" i="143" s="1"/>
  <c r="N25" i="133" s="1"/>
  <c r="N190" i="143"/>
  <c r="A190" i="143" s="1"/>
  <c r="N290" i="136"/>
  <c r="N54" i="136"/>
  <c r="A54" i="136" s="1"/>
  <c r="N146" i="135"/>
  <c r="N112" i="135"/>
  <c r="N180" i="135"/>
  <c r="K233" i="211"/>
  <c r="K258" i="211"/>
  <c r="Q69" i="218" s="1"/>
  <c r="N216" i="135"/>
  <c r="N250" i="135" s="1"/>
  <c r="N186" i="140"/>
  <c r="N152" i="140"/>
  <c r="N118" i="140"/>
  <c r="K256" i="211"/>
  <c r="Q67" i="218" s="1"/>
  <c r="K231" i="211"/>
  <c r="N224" i="144"/>
  <c r="A224" i="144" s="1"/>
  <c r="N205" i="145"/>
  <c r="N206" i="145" s="1"/>
  <c r="A206" i="145" s="1"/>
  <c r="N229" i="145"/>
  <c r="N223" i="142"/>
  <c r="N279" i="142" s="1"/>
  <c r="N247" i="142"/>
  <c r="N257" i="142" s="1"/>
  <c r="N258" i="142" s="1"/>
  <c r="A258" i="142" s="1"/>
  <c r="N230" i="143"/>
  <c r="N264" i="143" s="1"/>
  <c r="N112" i="136"/>
  <c r="N146" i="136"/>
  <c r="N180" i="136"/>
  <c r="K113" i="192"/>
  <c r="K115" i="192" s="1"/>
  <c r="K112" i="192"/>
  <c r="N184" i="140"/>
  <c r="N150" i="140"/>
  <c r="N116" i="140"/>
  <c r="N218" i="140" s="1"/>
  <c r="N252" i="140" s="1"/>
  <c r="N156" i="145"/>
  <c r="A156" i="145" s="1"/>
  <c r="N215" i="140"/>
  <c r="N249" i="140" s="1"/>
  <c r="N219" i="148"/>
  <c r="N253" i="148" s="1"/>
  <c r="N171" i="136"/>
  <c r="N172" i="136" s="1"/>
  <c r="A172" i="136" s="1"/>
  <c r="N282" i="149"/>
  <c r="N31" i="132" s="1"/>
  <c r="K26" i="209"/>
  <c r="K258" i="209" s="1"/>
  <c r="K27" i="210" s="1"/>
  <c r="K66" i="211" s="1"/>
  <c r="L84" i="208"/>
  <c r="N281" i="86"/>
  <c r="N15" i="133" s="1"/>
  <c r="N282" i="138"/>
  <c r="N20" i="132" s="1"/>
  <c r="N122" i="138"/>
  <c r="A122" i="138" s="1"/>
  <c r="N239" i="138"/>
  <c r="N240" i="138" s="1"/>
  <c r="A240" i="138" s="1"/>
  <c r="N263" i="138"/>
  <c r="N273" i="138" s="1"/>
  <c r="N274" i="138" s="1"/>
  <c r="A274" i="138" s="1"/>
  <c r="N281" i="138"/>
  <c r="N20" i="133" s="1"/>
  <c r="N224" i="86"/>
  <c r="A224" i="86" s="1"/>
  <c r="N223" i="138"/>
  <c r="N247" i="138"/>
  <c r="N257" i="138" s="1"/>
  <c r="N258" i="138" s="1"/>
  <c r="A258" i="138" s="1"/>
  <c r="N280" i="138"/>
  <c r="N20" i="131" s="1"/>
  <c r="N239" i="86"/>
  <c r="N240" i="86" s="1"/>
  <c r="A240" i="86" s="1"/>
  <c r="N263" i="86"/>
  <c r="N273" i="86" s="1"/>
  <c r="N274" i="86" s="1"/>
  <c r="A274" i="86" s="1"/>
  <c r="K229" i="211"/>
  <c r="K254" i="211"/>
  <c r="N15" i="131"/>
  <c r="K117" i="186"/>
  <c r="K114" i="186"/>
  <c r="K116" i="186" s="1"/>
  <c r="K118" i="186" s="1"/>
  <c r="N171" i="134" l="1"/>
  <c r="N172" i="134" s="1"/>
  <c r="A172" i="134" s="1"/>
  <c r="N214" i="134"/>
  <c r="N248" i="134" s="1"/>
  <c r="N230" i="134"/>
  <c r="N264" i="134" s="1"/>
  <c r="K117" i="187"/>
  <c r="K114" i="187"/>
  <c r="K116" i="187" s="1"/>
  <c r="K118" i="187" s="1"/>
  <c r="N229" i="134"/>
  <c r="N205" i="134"/>
  <c r="N206" i="134" s="1"/>
  <c r="A206" i="134" s="1"/>
  <c r="N213" i="134"/>
  <c r="N121" i="134"/>
  <c r="N189" i="134"/>
  <c r="N190" i="134"/>
  <c r="A190" i="134" s="1"/>
  <c r="N155" i="134"/>
  <c r="N280" i="134" s="1"/>
  <c r="N16" i="131" s="1"/>
  <c r="N214" i="136"/>
  <c r="N248" i="136" s="1"/>
  <c r="N281" i="145"/>
  <c r="N27" i="133" s="1"/>
  <c r="N189" i="136"/>
  <c r="N281" i="136" s="1"/>
  <c r="N18" i="133" s="1"/>
  <c r="K117" i="192"/>
  <c r="K114" i="192"/>
  <c r="K116" i="192" s="1"/>
  <c r="K118" i="192" s="1"/>
  <c r="N239" i="145"/>
  <c r="N240" i="145" s="1"/>
  <c r="A240" i="145" s="1"/>
  <c r="N263" i="145"/>
  <c r="N273" i="145" s="1"/>
  <c r="N274" i="145" s="1"/>
  <c r="A274" i="145" s="1"/>
  <c r="N161" i="141"/>
  <c r="N127" i="141"/>
  <c r="N195" i="141"/>
  <c r="N282" i="145"/>
  <c r="N27" i="132" s="1"/>
  <c r="K112" i="185"/>
  <c r="K113" i="185"/>
  <c r="K115" i="185" s="1"/>
  <c r="N222" i="140"/>
  <c r="N256" i="140" s="1"/>
  <c r="K117" i="189"/>
  <c r="K114" i="189"/>
  <c r="K116" i="189" s="1"/>
  <c r="K118" i="189" s="1"/>
  <c r="N214" i="139"/>
  <c r="N248" i="139" s="1"/>
  <c r="N179" i="140"/>
  <c r="N111" i="140"/>
  <c r="N87" i="140"/>
  <c r="N88" i="140" s="1"/>
  <c r="A88" i="140" s="1"/>
  <c r="N145" i="140"/>
  <c r="N294" i="147"/>
  <c r="N283" i="147"/>
  <c r="A283" i="147" s="1"/>
  <c r="N29" i="130"/>
  <c r="N171" i="135"/>
  <c r="N172" i="135" s="1"/>
  <c r="A172" i="135" s="1"/>
  <c r="N112" i="148"/>
  <c r="N180" i="148"/>
  <c r="N146" i="148"/>
  <c r="N213" i="135"/>
  <c r="N121" i="135"/>
  <c r="N128" i="148"/>
  <c r="N196" i="148"/>
  <c r="N162" i="148"/>
  <c r="N155" i="139"/>
  <c r="N280" i="139" s="1"/>
  <c r="N21" i="131" s="1"/>
  <c r="N213" i="137"/>
  <c r="N121" i="137"/>
  <c r="N294" i="142"/>
  <c r="N283" i="142"/>
  <c r="A283" i="142" s="1"/>
  <c r="N23" i="130"/>
  <c r="N205" i="137"/>
  <c r="N206" i="137" s="1"/>
  <c r="A206" i="137" s="1"/>
  <c r="N229" i="137"/>
  <c r="N179" i="141"/>
  <c r="N111" i="141"/>
  <c r="N87" i="141"/>
  <c r="N88" i="141" s="1"/>
  <c r="A88" i="141" s="1"/>
  <c r="N145" i="141"/>
  <c r="N290" i="140"/>
  <c r="N54" i="140"/>
  <c r="A54" i="140" s="1"/>
  <c r="N112" i="140"/>
  <c r="N180" i="140"/>
  <c r="N146" i="140"/>
  <c r="N371" i="151"/>
  <c r="N296" i="151"/>
  <c r="K264" i="211"/>
  <c r="Q75" i="218" s="1"/>
  <c r="K239" i="211"/>
  <c r="N220" i="140"/>
  <c r="N254" i="140" s="1"/>
  <c r="N214" i="135"/>
  <c r="N248" i="135" s="1"/>
  <c r="N216" i="140"/>
  <c r="N250" i="140" s="1"/>
  <c r="N180" i="141"/>
  <c r="N146" i="141"/>
  <c r="N112" i="141"/>
  <c r="K36" i="207"/>
  <c r="S388" i="217" s="1"/>
  <c r="S477" i="217"/>
  <c r="N229" i="139"/>
  <c r="N205" i="139"/>
  <c r="N206" i="139" s="1"/>
  <c r="A206" i="139" s="1"/>
  <c r="N230" i="137"/>
  <c r="N264" i="137" s="1"/>
  <c r="N162" i="140"/>
  <c r="N196" i="140"/>
  <c r="N128" i="140"/>
  <c r="M77" i="95"/>
  <c r="AL35" i="95"/>
  <c r="N214" i="137"/>
  <c r="N248" i="137" s="1"/>
  <c r="N223" i="145"/>
  <c r="N224" i="145" s="1"/>
  <c r="A224" i="145" s="1"/>
  <c r="N247" i="145"/>
  <c r="N257" i="145" s="1"/>
  <c r="N258" i="145" s="1"/>
  <c r="A258" i="145" s="1"/>
  <c r="S444" i="217"/>
  <c r="S479" i="217" s="1"/>
  <c r="K35" i="206"/>
  <c r="K114" i="196"/>
  <c r="K117" i="196"/>
  <c r="N24" i="130"/>
  <c r="N283" i="162"/>
  <c r="A283" i="162" s="1"/>
  <c r="N294" i="162"/>
  <c r="N230" i="139"/>
  <c r="N264" i="139" s="1"/>
  <c r="N137" i="135"/>
  <c r="N138" i="135" s="1"/>
  <c r="A138" i="135" s="1"/>
  <c r="N54" i="148"/>
  <c r="A54" i="148" s="1"/>
  <c r="K112" i="201"/>
  <c r="K113" i="201"/>
  <c r="K115" i="201" s="1"/>
  <c r="N324" i="150"/>
  <c r="N361" i="150" s="1"/>
  <c r="N305" i="150"/>
  <c r="N342" i="150" s="1"/>
  <c r="N312" i="150"/>
  <c r="N349" i="150" s="1"/>
  <c r="N326" i="150"/>
  <c r="N363" i="150" s="1"/>
  <c r="N303" i="150"/>
  <c r="N310" i="150"/>
  <c r="N347" i="150" s="1"/>
  <c r="N320" i="150"/>
  <c r="N357" i="150" s="1"/>
  <c r="N327" i="150"/>
  <c r="N364" i="150" s="1"/>
  <c r="N308" i="150"/>
  <c r="N345" i="150" s="1"/>
  <c r="N322" i="150"/>
  <c r="N359" i="150" s="1"/>
  <c r="N329" i="150"/>
  <c r="N306" i="150"/>
  <c r="N343" i="150" s="1"/>
  <c r="N328" i="150"/>
  <c r="N365" i="150" s="1"/>
  <c r="N309" i="150"/>
  <c r="N346" i="150" s="1"/>
  <c r="N319" i="150"/>
  <c r="N307" i="150"/>
  <c r="N344" i="150" s="1"/>
  <c r="N321" i="150"/>
  <c r="N358" i="150" s="1"/>
  <c r="N32" i="128"/>
  <c r="N82" i="128" s="1"/>
  <c r="N313" i="150"/>
  <c r="N332" i="150" s="1"/>
  <c r="N323" i="150"/>
  <c r="N360" i="150" s="1"/>
  <c r="N304" i="150"/>
  <c r="N341" i="150" s="1"/>
  <c r="N311" i="150"/>
  <c r="N348" i="150" s="1"/>
  <c r="N325" i="150"/>
  <c r="N362" i="150" s="1"/>
  <c r="N331" i="150"/>
  <c r="N155" i="136"/>
  <c r="N189" i="135"/>
  <c r="N127" i="148"/>
  <c r="N195" i="148"/>
  <c r="N161" i="148"/>
  <c r="N103" i="148"/>
  <c r="N104" i="148" s="1"/>
  <c r="A104" i="148" s="1"/>
  <c r="N155" i="137"/>
  <c r="N280" i="137" s="1"/>
  <c r="N19" i="131" s="1"/>
  <c r="N103" i="141"/>
  <c r="N104" i="141" s="1"/>
  <c r="A104" i="141" s="1"/>
  <c r="N128" i="141"/>
  <c r="N137" i="141" s="1"/>
  <c r="N138" i="141" s="1"/>
  <c r="A138" i="141" s="1"/>
  <c r="N162" i="141"/>
  <c r="N171" i="141" s="1"/>
  <c r="N172" i="141" s="1"/>
  <c r="A172" i="141" s="1"/>
  <c r="N196" i="141"/>
  <c r="K112" i="188"/>
  <c r="K113" i="188"/>
  <c r="K115" i="188" s="1"/>
  <c r="N223" i="143"/>
  <c r="N224" i="143" s="1"/>
  <c r="A224" i="143" s="1"/>
  <c r="N247" i="143"/>
  <c r="N257" i="143" s="1"/>
  <c r="N258" i="143" s="1"/>
  <c r="A258" i="143" s="1"/>
  <c r="N121" i="139"/>
  <c r="N213" i="139"/>
  <c r="N190" i="136"/>
  <c r="A190" i="136" s="1"/>
  <c r="N224" i="142"/>
  <c r="A224" i="142" s="1"/>
  <c r="N137" i="137"/>
  <c r="N138" i="137" s="1"/>
  <c r="A138" i="137" s="1"/>
  <c r="K114" i="190"/>
  <c r="K116" i="190" s="1"/>
  <c r="K118" i="190" s="1"/>
  <c r="K117" i="190"/>
  <c r="N279" i="149"/>
  <c r="K16" i="210"/>
  <c r="K55" i="211" s="1"/>
  <c r="K267" i="209"/>
  <c r="K36" i="210" s="1"/>
  <c r="K75" i="211" s="1"/>
  <c r="N195" i="140"/>
  <c r="N103" i="140"/>
  <c r="N104" i="140" s="1"/>
  <c r="A104" i="140" s="1"/>
  <c r="N161" i="140"/>
  <c r="N171" i="140" s="1"/>
  <c r="N172" i="140" s="1"/>
  <c r="A172" i="140" s="1"/>
  <c r="N127" i="140"/>
  <c r="N137" i="140" s="1"/>
  <c r="N138" i="140" s="1"/>
  <c r="A138" i="140" s="1"/>
  <c r="S530" i="217"/>
  <c r="S587" i="217"/>
  <c r="S583" i="217"/>
  <c r="S586" i="217"/>
  <c r="S585" i="217"/>
  <c r="S622" i="217"/>
  <c r="S626" i="217" s="1"/>
  <c r="S359" i="217"/>
  <c r="N230" i="135"/>
  <c r="N264" i="135" s="1"/>
  <c r="N263" i="136"/>
  <c r="N273" i="136" s="1"/>
  <c r="N274" i="136" s="1"/>
  <c r="A274" i="136" s="1"/>
  <c r="N239" i="136"/>
  <c r="N240" i="136" s="1"/>
  <c r="A240" i="136" s="1"/>
  <c r="K116" i="196"/>
  <c r="K118" i="196" s="1"/>
  <c r="K113" i="193"/>
  <c r="K115" i="193" s="1"/>
  <c r="K112" i="193"/>
  <c r="K37" i="205"/>
  <c r="N122" i="143"/>
  <c r="A122" i="143" s="1"/>
  <c r="N239" i="143"/>
  <c r="N240" i="143" s="1"/>
  <c r="A240" i="143" s="1"/>
  <c r="N263" i="143"/>
  <c r="N273" i="143" s="1"/>
  <c r="N274" i="143" s="1"/>
  <c r="A274" i="143" s="1"/>
  <c r="N229" i="135"/>
  <c r="N205" i="135"/>
  <c r="N206" i="135" s="1"/>
  <c r="A206" i="135" s="1"/>
  <c r="N111" i="148"/>
  <c r="N87" i="148"/>
  <c r="N88" i="148" s="1"/>
  <c r="A88" i="148" s="1"/>
  <c r="N179" i="148"/>
  <c r="N145" i="148"/>
  <c r="N296" i="146"/>
  <c r="N371" i="146"/>
  <c r="N213" i="136"/>
  <c r="N121" i="136"/>
  <c r="N282" i="136" s="1"/>
  <c r="N18" i="132" s="1"/>
  <c r="N371" i="144"/>
  <c r="N296" i="144"/>
  <c r="N155" i="135"/>
  <c r="N280" i="143"/>
  <c r="N25" i="131" s="1"/>
  <c r="N189" i="139"/>
  <c r="N189" i="137"/>
  <c r="N281" i="137" s="1"/>
  <c r="N19" i="133" s="1"/>
  <c r="Q65" i="218"/>
  <c r="N279" i="86"/>
  <c r="N224" i="138"/>
  <c r="A224" i="138" s="1"/>
  <c r="N279" i="138"/>
  <c r="N281" i="134" l="1"/>
  <c r="N16" i="133" s="1"/>
  <c r="N263" i="134"/>
  <c r="N273" i="134" s="1"/>
  <c r="N274" i="134" s="1"/>
  <c r="A274" i="134" s="1"/>
  <c r="N239" i="134"/>
  <c r="N240" i="134" s="1"/>
  <c r="A240" i="134" s="1"/>
  <c r="N282" i="134"/>
  <c r="N16" i="132" s="1"/>
  <c r="N122" i="134"/>
  <c r="A122" i="134" s="1"/>
  <c r="N156" i="134"/>
  <c r="A156" i="134" s="1"/>
  <c r="N223" i="134"/>
  <c r="N247" i="134"/>
  <c r="N257" i="134" s="1"/>
  <c r="N258" i="134" s="1"/>
  <c r="A258" i="134" s="1"/>
  <c r="N229" i="141"/>
  <c r="N190" i="137"/>
  <c r="A190" i="137" s="1"/>
  <c r="S588" i="217"/>
  <c r="N156" i="137"/>
  <c r="A156" i="137" s="1"/>
  <c r="N156" i="139"/>
  <c r="A156" i="139" s="1"/>
  <c r="N280" i="135"/>
  <c r="N17" i="131" s="1"/>
  <c r="N156" i="135"/>
  <c r="A156" i="135" s="1"/>
  <c r="N213" i="148"/>
  <c r="N121" i="148"/>
  <c r="N229" i="140"/>
  <c r="N205" i="140"/>
  <c r="N206" i="140" s="1"/>
  <c r="A206" i="140" s="1"/>
  <c r="N280" i="136"/>
  <c r="N18" i="131" s="1"/>
  <c r="N156" i="136"/>
  <c r="A156" i="136" s="1"/>
  <c r="N205" i="148"/>
  <c r="N206" i="148" s="1"/>
  <c r="A206" i="148" s="1"/>
  <c r="N230" i="148"/>
  <c r="N264" i="148" s="1"/>
  <c r="N328" i="144"/>
  <c r="N365" i="144" s="1"/>
  <c r="N309" i="144"/>
  <c r="N346" i="144" s="1"/>
  <c r="N319" i="144"/>
  <c r="N326" i="144"/>
  <c r="N363" i="144" s="1"/>
  <c r="N303" i="144"/>
  <c r="N306" i="144"/>
  <c r="N343" i="144" s="1"/>
  <c r="N311" i="144"/>
  <c r="N348" i="144" s="1"/>
  <c r="N329" i="144"/>
  <c r="N304" i="144"/>
  <c r="N341" i="144" s="1"/>
  <c r="N310" i="144"/>
  <c r="N347" i="144" s="1"/>
  <c r="N26" i="128"/>
  <c r="N76" i="128" s="1"/>
  <c r="N324" i="144"/>
  <c r="N361" i="144" s="1"/>
  <c r="N305" i="144"/>
  <c r="N342" i="144" s="1"/>
  <c r="N312" i="144"/>
  <c r="N349" i="144" s="1"/>
  <c r="N322" i="144"/>
  <c r="N359" i="144" s="1"/>
  <c r="N325" i="144"/>
  <c r="N362" i="144" s="1"/>
  <c r="N320" i="144"/>
  <c r="N357" i="144" s="1"/>
  <c r="N327" i="144"/>
  <c r="N364" i="144" s="1"/>
  <c r="N308" i="144"/>
  <c r="N345" i="144" s="1"/>
  <c r="N321" i="144"/>
  <c r="N358" i="144" s="1"/>
  <c r="N323" i="144"/>
  <c r="N360" i="144" s="1"/>
  <c r="N307" i="144"/>
  <c r="N344" i="144" s="1"/>
  <c r="N331" i="144"/>
  <c r="N313" i="144"/>
  <c r="N332" i="144" s="1"/>
  <c r="N155" i="148"/>
  <c r="N156" i="148" s="1"/>
  <c r="A156" i="148" s="1"/>
  <c r="N223" i="139"/>
  <c r="N224" i="139" s="1"/>
  <c r="A224" i="139" s="1"/>
  <c r="N247" i="139"/>
  <c r="N257" i="139" s="1"/>
  <c r="N258" i="139" s="1"/>
  <c r="A258" i="139" s="1"/>
  <c r="N279" i="143"/>
  <c r="N229" i="148"/>
  <c r="N230" i="140"/>
  <c r="N264" i="140" s="1"/>
  <c r="S481" i="217"/>
  <c r="N155" i="141"/>
  <c r="N280" i="141" s="1"/>
  <c r="N22" i="131" s="1"/>
  <c r="N156" i="141"/>
  <c r="A156" i="141" s="1"/>
  <c r="N239" i="137"/>
  <c r="N240" i="137" s="1"/>
  <c r="A240" i="137" s="1"/>
  <c r="N263" i="137"/>
  <c r="N273" i="137" s="1"/>
  <c r="N274" i="137" s="1"/>
  <c r="A274" i="137" s="1"/>
  <c r="N371" i="142"/>
  <c r="N296" i="142"/>
  <c r="N137" i="148"/>
  <c r="N138" i="148" s="1"/>
  <c r="A138" i="148" s="1"/>
  <c r="N213" i="140"/>
  <c r="N121" i="140"/>
  <c r="K114" i="185"/>
  <c r="K116" i="185" s="1"/>
  <c r="K118" i="185" s="1"/>
  <c r="K117" i="185"/>
  <c r="N122" i="136"/>
  <c r="A122" i="136" s="1"/>
  <c r="N223" i="136"/>
  <c r="N247" i="136"/>
  <c r="N257" i="136" s="1"/>
  <c r="N258" i="136" s="1"/>
  <c r="A258" i="136" s="1"/>
  <c r="N205" i="141"/>
  <c r="N206" i="141" s="1"/>
  <c r="A206" i="141" s="1"/>
  <c r="N230" i="141"/>
  <c r="N264" i="141" s="1"/>
  <c r="N340" i="150"/>
  <c r="N314" i="150"/>
  <c r="A314" i="150" s="1"/>
  <c r="N189" i="141"/>
  <c r="N281" i="141" s="1"/>
  <c r="N22" i="133" s="1"/>
  <c r="N247" i="137"/>
  <c r="N257" i="137" s="1"/>
  <c r="N258" i="137" s="1"/>
  <c r="A258" i="137" s="1"/>
  <c r="N223" i="137"/>
  <c r="N190" i="139"/>
  <c r="A190" i="139" s="1"/>
  <c r="N281" i="139"/>
  <c r="N21" i="133" s="1"/>
  <c r="N189" i="148"/>
  <c r="N190" i="148" s="1"/>
  <c r="A190" i="148" s="1"/>
  <c r="N239" i="135"/>
  <c r="N240" i="135" s="1"/>
  <c r="A240" i="135" s="1"/>
  <c r="N263" i="135"/>
  <c r="N273" i="135" s="1"/>
  <c r="N274" i="135" s="1"/>
  <c r="A274" i="135" s="1"/>
  <c r="K253" i="211"/>
  <c r="K228" i="211"/>
  <c r="K248" i="211" s="1"/>
  <c r="N282" i="139"/>
  <c r="N21" i="132" s="1"/>
  <c r="N122" i="139"/>
  <c r="A122" i="139" s="1"/>
  <c r="N333" i="150"/>
  <c r="N356" i="150"/>
  <c r="N366" i="150" s="1"/>
  <c r="N367" i="150" s="1"/>
  <c r="A367" i="150" s="1"/>
  <c r="N330" i="150"/>
  <c r="A330" i="150" s="1"/>
  <c r="K114" i="201"/>
  <c r="K116" i="201" s="1"/>
  <c r="K118" i="201" s="1"/>
  <c r="K117" i="201"/>
  <c r="N371" i="162"/>
  <c r="N296" i="162"/>
  <c r="N239" i="139"/>
  <c r="N240" i="139" s="1"/>
  <c r="A240" i="139" s="1"/>
  <c r="N263" i="139"/>
  <c r="N273" i="139" s="1"/>
  <c r="N274" i="139" s="1"/>
  <c r="A274" i="139" s="1"/>
  <c r="N214" i="141"/>
  <c r="N248" i="141" s="1"/>
  <c r="N323" i="151"/>
  <c r="N360" i="151" s="1"/>
  <c r="N304" i="151"/>
  <c r="N341" i="151" s="1"/>
  <c r="N311" i="151"/>
  <c r="N348" i="151" s="1"/>
  <c r="N329" i="151"/>
  <c r="N366" i="151" s="1"/>
  <c r="N306" i="151"/>
  <c r="N343" i="151" s="1"/>
  <c r="N313" i="151"/>
  <c r="N327" i="151"/>
  <c r="N364" i="151" s="1"/>
  <c r="N322" i="151"/>
  <c r="N359" i="151" s="1"/>
  <c r="N310" i="151"/>
  <c r="N347" i="151" s="1"/>
  <c r="N320" i="151"/>
  <c r="N357" i="151" s="1"/>
  <c r="N319" i="151"/>
  <c r="N331" i="151"/>
  <c r="N307" i="151"/>
  <c r="N344" i="151" s="1"/>
  <c r="N325" i="151"/>
  <c r="N362" i="151" s="1"/>
  <c r="N328" i="151"/>
  <c r="N365" i="151" s="1"/>
  <c r="N309" i="151"/>
  <c r="N346" i="151" s="1"/>
  <c r="N308" i="151"/>
  <c r="N345" i="151" s="1"/>
  <c r="N34" i="128"/>
  <c r="N84" i="128" s="1"/>
  <c r="N312" i="151"/>
  <c r="N349" i="151" s="1"/>
  <c r="N326" i="151"/>
  <c r="N363" i="151" s="1"/>
  <c r="N303" i="151"/>
  <c r="N321" i="151"/>
  <c r="N358" i="151" s="1"/>
  <c r="N324" i="151"/>
  <c r="N361" i="151" s="1"/>
  <c r="N305" i="151"/>
  <c r="N342" i="151" s="1"/>
  <c r="N214" i="140"/>
  <c r="N248" i="140" s="1"/>
  <c r="N122" i="135"/>
  <c r="A122" i="135" s="1"/>
  <c r="N282" i="135"/>
  <c r="N17" i="132" s="1"/>
  <c r="N214" i="148"/>
  <c r="N248" i="148" s="1"/>
  <c r="N296" i="147"/>
  <c r="N371" i="147"/>
  <c r="N189" i="140"/>
  <c r="N322" i="146"/>
  <c r="N359" i="146" s="1"/>
  <c r="N329" i="146"/>
  <c r="N306" i="146"/>
  <c r="N343" i="146" s="1"/>
  <c r="N313" i="146"/>
  <c r="N323" i="146"/>
  <c r="N360" i="146" s="1"/>
  <c r="N304" i="146"/>
  <c r="N341" i="146" s="1"/>
  <c r="N28" i="128"/>
  <c r="N78" i="128" s="1"/>
  <c r="N311" i="146"/>
  <c r="N348" i="146" s="1"/>
  <c r="N325" i="146"/>
  <c r="N362" i="146" s="1"/>
  <c r="N328" i="146"/>
  <c r="N365" i="146" s="1"/>
  <c r="N309" i="146"/>
  <c r="N346" i="146" s="1"/>
  <c r="N319" i="146"/>
  <c r="N326" i="146"/>
  <c r="N363" i="146" s="1"/>
  <c r="N310" i="146"/>
  <c r="N347" i="146" s="1"/>
  <c r="N320" i="146"/>
  <c r="N357" i="146" s="1"/>
  <c r="N308" i="146"/>
  <c r="N345" i="146" s="1"/>
  <c r="N331" i="146"/>
  <c r="N307" i="146"/>
  <c r="N344" i="146" s="1"/>
  <c r="N321" i="146"/>
  <c r="N358" i="146" s="1"/>
  <c r="N324" i="146"/>
  <c r="N361" i="146" s="1"/>
  <c r="N305" i="146"/>
  <c r="N342" i="146" s="1"/>
  <c r="N312" i="146"/>
  <c r="N349" i="146" s="1"/>
  <c r="N303" i="146"/>
  <c r="N327" i="146"/>
  <c r="N364" i="146" s="1"/>
  <c r="K114" i="193"/>
  <c r="K116" i="193" s="1"/>
  <c r="K118" i="193" s="1"/>
  <c r="K117" i="193"/>
  <c r="N31" i="130"/>
  <c r="N294" i="149"/>
  <c r="N283" i="149"/>
  <c r="A283" i="149" s="1"/>
  <c r="K114" i="188"/>
  <c r="K116" i="188" s="1"/>
  <c r="K118" i="188" s="1"/>
  <c r="K117" i="188"/>
  <c r="N281" i="135"/>
  <c r="N17" i="133" s="1"/>
  <c r="N190" i="135"/>
  <c r="A190" i="135" s="1"/>
  <c r="N33" i="102"/>
  <c r="L15" i="203"/>
  <c r="L44" i="203" s="1"/>
  <c r="L57" i="203" s="1"/>
  <c r="L98" i="203" s="1"/>
  <c r="K36" i="206"/>
  <c r="S446" i="217" s="1"/>
  <c r="S483" i="217" s="1"/>
  <c r="N279" i="145"/>
  <c r="S473" i="217"/>
  <c r="K37" i="207"/>
  <c r="N213" i="141"/>
  <c r="N121" i="141"/>
  <c r="N282" i="141" s="1"/>
  <c r="N22" i="132" s="1"/>
  <c r="N122" i="137"/>
  <c r="A122" i="137" s="1"/>
  <c r="N282" i="137"/>
  <c r="N19" i="132" s="1"/>
  <c r="N171" i="148"/>
  <c r="N172" i="148" s="1"/>
  <c r="A172" i="148" s="1"/>
  <c r="N223" i="135"/>
  <c r="N247" i="135"/>
  <c r="N257" i="135" s="1"/>
  <c r="N258" i="135" s="1"/>
  <c r="A258" i="135" s="1"/>
  <c r="N155" i="140"/>
  <c r="N263" i="141"/>
  <c r="N273" i="141" s="1"/>
  <c r="N274" i="141" s="1"/>
  <c r="A274" i="141" s="1"/>
  <c r="N20" i="130"/>
  <c r="N283" i="138"/>
  <c r="A283" i="138" s="1"/>
  <c r="N294" i="138"/>
  <c r="Q85" i="218"/>
  <c r="N15" i="130"/>
  <c r="N294" i="86"/>
  <c r="N283" i="86"/>
  <c r="A283" i="86" s="1"/>
  <c r="N279" i="134" l="1"/>
  <c r="N224" i="134"/>
  <c r="A224" i="134" s="1"/>
  <c r="N282" i="148"/>
  <c r="N30" i="132" s="1"/>
  <c r="N279" i="137"/>
  <c r="N224" i="137"/>
  <c r="A224" i="137" s="1"/>
  <c r="N280" i="140"/>
  <c r="N14" i="131" s="1"/>
  <c r="N156" i="140"/>
  <c r="A156" i="140" s="1"/>
  <c r="N223" i="141"/>
  <c r="N224" i="141"/>
  <c r="A224" i="141" s="1"/>
  <c r="N247" i="141"/>
  <c r="N257" i="141" s="1"/>
  <c r="N258" i="141" s="1"/>
  <c r="A258" i="141" s="1"/>
  <c r="N371" i="149"/>
  <c r="N296" i="149"/>
  <c r="N356" i="146"/>
  <c r="N366" i="146" s="1"/>
  <c r="N367" i="146" s="1"/>
  <c r="A367" i="146" s="1"/>
  <c r="N330" i="146"/>
  <c r="A330" i="146" s="1"/>
  <c r="N332" i="146"/>
  <c r="N333" i="146" s="1"/>
  <c r="N281" i="140"/>
  <c r="N14" i="133" s="1"/>
  <c r="N190" i="140"/>
  <c r="A190" i="140" s="1"/>
  <c r="N356" i="151"/>
  <c r="N367" i="151" s="1"/>
  <c r="A367" i="151" s="1"/>
  <c r="N330" i="151"/>
  <c r="A330" i="151" s="1"/>
  <c r="Q64" i="218"/>
  <c r="Q86" i="218" s="1"/>
  <c r="K273" i="211"/>
  <c r="N281" i="148"/>
  <c r="N30" i="133" s="1"/>
  <c r="N350" i="150"/>
  <c r="N368" i="150" s="1"/>
  <c r="N370" i="150" s="1"/>
  <c r="N224" i="136"/>
  <c r="A224" i="136" s="1"/>
  <c r="N279" i="136"/>
  <c r="N282" i="140"/>
  <c r="N122" i="140"/>
  <c r="A122" i="140" s="1"/>
  <c r="N279" i="139"/>
  <c r="N333" i="144"/>
  <c r="N27" i="102"/>
  <c r="L15" i="197"/>
  <c r="L44" i="197" s="1"/>
  <c r="L57" i="197" s="1"/>
  <c r="L98" i="197" s="1"/>
  <c r="N356" i="144"/>
  <c r="N366" i="144" s="1"/>
  <c r="N367" i="144" s="1"/>
  <c r="A367" i="144" s="1"/>
  <c r="N330" i="144"/>
  <c r="A330" i="144" s="1"/>
  <c r="N239" i="141"/>
  <c r="N240" i="141" s="1"/>
  <c r="A240" i="141" s="1"/>
  <c r="N223" i="148"/>
  <c r="N224" i="148" s="1"/>
  <c r="A224" i="148" s="1"/>
  <c r="N247" i="148"/>
  <c r="N257" i="148" s="1"/>
  <c r="N258" i="148" s="1"/>
  <c r="A258" i="148" s="1"/>
  <c r="L105" i="203"/>
  <c r="L32" i="207" s="1"/>
  <c r="L33" i="209" s="1"/>
  <c r="L265" i="209" s="1"/>
  <c r="L34" i="210" s="1"/>
  <c r="L73" i="211" s="1"/>
  <c r="L103" i="203"/>
  <c r="L104" i="203"/>
  <c r="L32" i="205" s="1"/>
  <c r="N340" i="146"/>
  <c r="N314" i="146"/>
  <c r="A314" i="146" s="1"/>
  <c r="N29" i="102"/>
  <c r="L15" i="199"/>
  <c r="L44" i="199" s="1"/>
  <c r="L57" i="199" s="1"/>
  <c r="L98" i="199" s="1"/>
  <c r="N34" i="102"/>
  <c r="L15" i="204"/>
  <c r="L44" i="204" s="1"/>
  <c r="L57" i="204" s="1"/>
  <c r="L98" i="204" s="1"/>
  <c r="N332" i="151"/>
  <c r="N333" i="151" s="1"/>
  <c r="N190" i="141"/>
  <c r="A190" i="141" s="1"/>
  <c r="N223" i="140"/>
  <c r="N247" i="140"/>
  <c r="N257" i="140" s="1"/>
  <c r="N258" i="140" s="1"/>
  <c r="A258" i="140" s="1"/>
  <c r="S475" i="217"/>
  <c r="N239" i="148"/>
  <c r="N240" i="148" s="1"/>
  <c r="A240" i="148" s="1"/>
  <c r="N263" i="148"/>
  <c r="N273" i="148" s="1"/>
  <c r="N274" i="148" s="1"/>
  <c r="A274" i="148" s="1"/>
  <c r="K37" i="206"/>
  <c r="L93" i="208" s="1"/>
  <c r="N239" i="140"/>
  <c r="N240" i="140" s="1"/>
  <c r="A240" i="140" s="1"/>
  <c r="N263" i="140"/>
  <c r="N273" i="140" s="1"/>
  <c r="N274" i="140" s="1"/>
  <c r="A274" i="140" s="1"/>
  <c r="N294" i="145"/>
  <c r="N283" i="145"/>
  <c r="A283" i="145" s="1"/>
  <c r="N27" i="130"/>
  <c r="N23" i="128"/>
  <c r="N73" i="128" s="1"/>
  <c r="N310" i="142"/>
  <c r="N347" i="142" s="1"/>
  <c r="N320" i="142"/>
  <c r="N357" i="142" s="1"/>
  <c r="N327" i="142"/>
  <c r="N364" i="142" s="1"/>
  <c r="N308" i="142"/>
  <c r="N345" i="142" s="1"/>
  <c r="N322" i="142"/>
  <c r="N359" i="142" s="1"/>
  <c r="N321" i="142"/>
  <c r="N358" i="142" s="1"/>
  <c r="N305" i="142"/>
  <c r="N342" i="142" s="1"/>
  <c r="N326" i="142"/>
  <c r="N363" i="142" s="1"/>
  <c r="N329" i="142"/>
  <c r="N306" i="142"/>
  <c r="N343" i="142" s="1"/>
  <c r="N313" i="142"/>
  <c r="N323" i="142"/>
  <c r="N360" i="142" s="1"/>
  <c r="N304" i="142"/>
  <c r="N341" i="142" s="1"/>
  <c r="N311" i="142"/>
  <c r="N348" i="142" s="1"/>
  <c r="N324" i="142"/>
  <c r="N361" i="142" s="1"/>
  <c r="N303" i="142"/>
  <c r="N325" i="142"/>
  <c r="N362" i="142" s="1"/>
  <c r="N328" i="142"/>
  <c r="N365" i="142" s="1"/>
  <c r="N309" i="142"/>
  <c r="N346" i="142" s="1"/>
  <c r="N319" i="142"/>
  <c r="N331" i="142"/>
  <c r="N307" i="142"/>
  <c r="N344" i="142" s="1"/>
  <c r="N312" i="142"/>
  <c r="N349" i="142" s="1"/>
  <c r="N279" i="135"/>
  <c r="N224" i="135"/>
  <c r="A224" i="135" s="1"/>
  <c r="N122" i="141"/>
  <c r="A122" i="141" s="1"/>
  <c r="N106" i="102"/>
  <c r="N50" i="95"/>
  <c r="N75" i="95" s="1"/>
  <c r="N29" i="128"/>
  <c r="N79" i="128" s="1"/>
  <c r="N310" i="147"/>
  <c r="N347" i="147" s="1"/>
  <c r="N320" i="147"/>
  <c r="N357" i="147" s="1"/>
  <c r="N327" i="147"/>
  <c r="N364" i="147" s="1"/>
  <c r="N308" i="147"/>
  <c r="N345" i="147" s="1"/>
  <c r="N322" i="147"/>
  <c r="N359" i="147" s="1"/>
  <c r="N305" i="147"/>
  <c r="N342" i="147" s="1"/>
  <c r="N329" i="147"/>
  <c r="N306" i="147"/>
  <c r="N343" i="147" s="1"/>
  <c r="N313" i="147"/>
  <c r="N332" i="147" s="1"/>
  <c r="N323" i="147"/>
  <c r="N360" i="147" s="1"/>
  <c r="N304" i="147"/>
  <c r="N341" i="147" s="1"/>
  <c r="N311" i="147"/>
  <c r="N348" i="147" s="1"/>
  <c r="N324" i="147"/>
  <c r="N361" i="147" s="1"/>
  <c r="N326" i="147"/>
  <c r="N363" i="147" s="1"/>
  <c r="N325" i="147"/>
  <c r="N362" i="147" s="1"/>
  <c r="N328" i="147"/>
  <c r="N365" i="147" s="1"/>
  <c r="N309" i="147"/>
  <c r="N346" i="147" s="1"/>
  <c r="N319" i="147"/>
  <c r="N331" i="147"/>
  <c r="N307" i="147"/>
  <c r="N344" i="147" s="1"/>
  <c r="N321" i="147"/>
  <c r="N358" i="147" s="1"/>
  <c r="N312" i="147"/>
  <c r="N349" i="147" s="1"/>
  <c r="N303" i="147"/>
  <c r="N340" i="151"/>
  <c r="N314" i="151"/>
  <c r="A314" i="151" s="1"/>
  <c r="N24" i="128"/>
  <c r="N74" i="128" s="1"/>
  <c r="N324" i="162"/>
  <c r="N361" i="162" s="1"/>
  <c r="N308" i="162"/>
  <c r="N345" i="162" s="1"/>
  <c r="N307" i="162"/>
  <c r="N344" i="162" s="1"/>
  <c r="N321" i="162"/>
  <c r="N358" i="162" s="1"/>
  <c r="N320" i="162"/>
  <c r="N357" i="162" s="1"/>
  <c r="N331" i="162"/>
  <c r="N323" i="162"/>
  <c r="N360" i="162" s="1"/>
  <c r="N304" i="162"/>
  <c r="N341" i="162" s="1"/>
  <c r="N303" i="162"/>
  <c r="N310" i="162"/>
  <c r="N347" i="162" s="1"/>
  <c r="N313" i="162"/>
  <c r="N328" i="162"/>
  <c r="N365" i="162" s="1"/>
  <c r="N312" i="162"/>
  <c r="N349" i="162" s="1"/>
  <c r="N311" i="162"/>
  <c r="N348" i="162" s="1"/>
  <c r="N325" i="162"/>
  <c r="N362" i="162" s="1"/>
  <c r="N329" i="162"/>
  <c r="N305" i="162"/>
  <c r="N342" i="162" s="1"/>
  <c r="N326" i="162"/>
  <c r="N363" i="162" s="1"/>
  <c r="N319" i="162"/>
  <c r="N322" i="162"/>
  <c r="N359" i="162" s="1"/>
  <c r="N327" i="162"/>
  <c r="N364" i="162" s="1"/>
  <c r="N306" i="162"/>
  <c r="N343" i="162" s="1"/>
  <c r="N309" i="162"/>
  <c r="N346" i="162" s="1"/>
  <c r="N283" i="143"/>
  <c r="A283" i="143" s="1"/>
  <c r="N25" i="130"/>
  <c r="N294" i="143"/>
  <c r="N280" i="148"/>
  <c r="N30" i="131" s="1"/>
  <c r="N340" i="144"/>
  <c r="N314" i="144"/>
  <c r="A314" i="144" s="1"/>
  <c r="N122" i="148"/>
  <c r="A122" i="148" s="1"/>
  <c r="N296" i="86"/>
  <c r="N371" i="86"/>
  <c r="A371" i="86" s="1"/>
  <c r="N331" i="86"/>
  <c r="N296" i="138"/>
  <c r="N371" i="138"/>
  <c r="N331" i="138"/>
  <c r="N332" i="162" l="1"/>
  <c r="N333" i="162" s="1"/>
  <c r="N16" i="130"/>
  <c r="N283" i="134"/>
  <c r="A283" i="134" s="1"/>
  <c r="N294" i="134"/>
  <c r="N332" i="142"/>
  <c r="N333" i="142" s="1"/>
  <c r="N279" i="148"/>
  <c r="N351" i="150"/>
  <c r="A351" i="150" s="1"/>
  <c r="A10" i="150" s="1"/>
  <c r="M71" i="68" s="1"/>
  <c r="N333" i="147"/>
  <c r="N356" i="162"/>
  <c r="N366" i="162" s="1"/>
  <c r="N367" i="162" s="1"/>
  <c r="A367" i="162" s="1"/>
  <c r="N330" i="162"/>
  <c r="A330" i="162" s="1"/>
  <c r="N283" i="139"/>
  <c r="A283" i="139" s="1"/>
  <c r="N21" i="130"/>
  <c r="N294" i="139"/>
  <c r="N296" i="143"/>
  <c r="N371" i="143"/>
  <c r="N350" i="151"/>
  <c r="N368" i="151" s="1"/>
  <c r="N370" i="151" s="1"/>
  <c r="N30" i="102"/>
  <c r="L15" i="200"/>
  <c r="L44" i="200" s="1"/>
  <c r="L57" i="200" s="1"/>
  <c r="L98" i="200" s="1"/>
  <c r="L104" i="204"/>
  <c r="L33" i="205" s="1"/>
  <c r="L105" i="204"/>
  <c r="L33" i="207" s="1"/>
  <c r="L34" i="209" s="1"/>
  <c r="L266" i="209" s="1"/>
  <c r="L35" i="210" s="1"/>
  <c r="L74" i="211" s="1"/>
  <c r="L103" i="204"/>
  <c r="N340" i="162"/>
  <c r="N314" i="162"/>
  <c r="A314" i="162" s="1"/>
  <c r="N340" i="147"/>
  <c r="N314" i="147"/>
  <c r="A314" i="147" s="1"/>
  <c r="N371" i="145"/>
  <c r="N296" i="145"/>
  <c r="N279" i="140"/>
  <c r="N283" i="140" s="1"/>
  <c r="A283" i="140" s="1"/>
  <c r="N224" i="140"/>
  <c r="A224" i="140" s="1"/>
  <c r="N51" i="95"/>
  <c r="N76" i="95" s="1"/>
  <c r="N107" i="102"/>
  <c r="N350" i="146"/>
  <c r="N368" i="146" s="1"/>
  <c r="N370" i="146" s="1"/>
  <c r="N100" i="102"/>
  <c r="N44" i="95"/>
  <c r="N69" i="95" s="1"/>
  <c r="N14" i="132"/>
  <c r="T211" i="217"/>
  <c r="N34" i="133"/>
  <c r="T213" i="217" s="1"/>
  <c r="N31" i="128"/>
  <c r="N81" i="128" s="1"/>
  <c r="N312" i="149"/>
  <c r="N349" i="149" s="1"/>
  <c r="N326" i="149"/>
  <c r="N363" i="149" s="1"/>
  <c r="N303" i="149"/>
  <c r="N310" i="149"/>
  <c r="N347" i="149" s="1"/>
  <c r="N320" i="149"/>
  <c r="N357" i="149" s="1"/>
  <c r="N327" i="149"/>
  <c r="N364" i="149" s="1"/>
  <c r="N308" i="149"/>
  <c r="N345" i="149" s="1"/>
  <c r="N322" i="149"/>
  <c r="N359" i="149" s="1"/>
  <c r="N329" i="149"/>
  <c r="N306" i="149"/>
  <c r="N343" i="149" s="1"/>
  <c r="N313" i="149"/>
  <c r="N331" i="149"/>
  <c r="N321" i="149"/>
  <c r="N358" i="149" s="1"/>
  <c r="N324" i="149"/>
  <c r="N361" i="149" s="1"/>
  <c r="N323" i="149"/>
  <c r="N360" i="149" s="1"/>
  <c r="N304" i="149"/>
  <c r="N341" i="149" s="1"/>
  <c r="N311" i="149"/>
  <c r="N348" i="149" s="1"/>
  <c r="N325" i="149"/>
  <c r="N362" i="149" s="1"/>
  <c r="N328" i="149"/>
  <c r="N365" i="149" s="1"/>
  <c r="N309" i="149"/>
  <c r="N346" i="149" s="1"/>
  <c r="N319" i="149"/>
  <c r="N307" i="149"/>
  <c r="N344" i="149" s="1"/>
  <c r="N305" i="149"/>
  <c r="N342" i="149" s="1"/>
  <c r="N279" i="141"/>
  <c r="N283" i="137"/>
  <c r="A283" i="137" s="1"/>
  <c r="N294" i="137"/>
  <c r="N19" i="130"/>
  <c r="N102" i="102"/>
  <c r="N46" i="95"/>
  <c r="N71" i="95" s="1"/>
  <c r="L106" i="203"/>
  <c r="L111" i="203" s="1"/>
  <c r="L32" i="206"/>
  <c r="M91" i="208" s="1"/>
  <c r="T152" i="217"/>
  <c r="T181" i="217" s="1"/>
  <c r="N34" i="131"/>
  <c r="T154" i="217" s="1"/>
  <c r="T183" i="217" s="1"/>
  <c r="L271" i="211"/>
  <c r="R82" i="218" s="1"/>
  <c r="L246" i="211"/>
  <c r="N283" i="148"/>
  <c r="A283" i="148" s="1"/>
  <c r="N30" i="130"/>
  <c r="N294" i="148"/>
  <c r="L105" i="197"/>
  <c r="L149" i="197" s="1"/>
  <c r="L103" i="197"/>
  <c r="L104" i="197"/>
  <c r="N350" i="144"/>
  <c r="N368" i="144" s="1"/>
  <c r="N370" i="144" s="1"/>
  <c r="N25" i="102"/>
  <c r="L15" i="195"/>
  <c r="L44" i="195" s="1"/>
  <c r="L57" i="195" s="1"/>
  <c r="L98" i="195" s="1"/>
  <c r="N356" i="147"/>
  <c r="N366" i="147" s="1"/>
  <c r="N367" i="147" s="1"/>
  <c r="A367" i="147" s="1"/>
  <c r="N330" i="147"/>
  <c r="A330" i="147" s="1"/>
  <c r="N17" i="130"/>
  <c r="N283" i="135"/>
  <c r="A283" i="135" s="1"/>
  <c r="N294" i="135"/>
  <c r="N356" i="142"/>
  <c r="N366" i="142" s="1"/>
  <c r="N367" i="142" s="1"/>
  <c r="A367" i="142" s="1"/>
  <c r="N330" i="142"/>
  <c r="A330" i="142" s="1"/>
  <c r="N340" i="142"/>
  <c r="N314" i="142"/>
  <c r="A314" i="142" s="1"/>
  <c r="L15" i="194"/>
  <c r="L44" i="194" s="1"/>
  <c r="L57" i="194" s="1"/>
  <c r="L98" i="194" s="1"/>
  <c r="N24" i="102"/>
  <c r="L104" i="199"/>
  <c r="L105" i="199"/>
  <c r="L149" i="199" s="1"/>
  <c r="L103" i="199"/>
  <c r="N294" i="136"/>
  <c r="N18" i="130"/>
  <c r="N283" i="136"/>
  <c r="A283" i="136" s="1"/>
  <c r="N15" i="128"/>
  <c r="N325" i="86"/>
  <c r="N362" i="86" s="1"/>
  <c r="N321" i="86"/>
  <c r="N358" i="86" s="1"/>
  <c r="N310" i="86"/>
  <c r="N347" i="86" s="1"/>
  <c r="N306" i="86"/>
  <c r="N343" i="86" s="1"/>
  <c r="N328" i="86"/>
  <c r="N365" i="86" s="1"/>
  <c r="N324" i="86"/>
  <c r="N361" i="86" s="1"/>
  <c r="N320" i="86"/>
  <c r="N357" i="86" s="1"/>
  <c r="N309" i="86"/>
  <c r="N346" i="86" s="1"/>
  <c r="N305" i="86"/>
  <c r="N342" i="86" s="1"/>
  <c r="N327" i="86"/>
  <c r="N364" i="86" s="1"/>
  <c r="N323" i="86"/>
  <c r="N360" i="86" s="1"/>
  <c r="N319" i="86"/>
  <c r="N312" i="86"/>
  <c r="N349" i="86" s="1"/>
  <c r="N308" i="86"/>
  <c r="N345" i="86" s="1"/>
  <c r="N304" i="86"/>
  <c r="N341" i="86" s="1"/>
  <c r="N326" i="86"/>
  <c r="N363" i="86" s="1"/>
  <c r="N322" i="86"/>
  <c r="N359" i="86" s="1"/>
  <c r="N311" i="86"/>
  <c r="N348" i="86" s="1"/>
  <c r="N307" i="86"/>
  <c r="N344" i="86" s="1"/>
  <c r="N303" i="86"/>
  <c r="N20" i="128"/>
  <c r="N70" i="128" s="1"/>
  <c r="N325" i="138"/>
  <c r="N362" i="138" s="1"/>
  <c r="N321" i="138"/>
  <c r="N358" i="138" s="1"/>
  <c r="N310" i="138"/>
  <c r="N347" i="138" s="1"/>
  <c r="N306" i="138"/>
  <c r="N343" i="138" s="1"/>
  <c r="N328" i="138"/>
  <c r="N365" i="138" s="1"/>
  <c r="N324" i="138"/>
  <c r="N361" i="138" s="1"/>
  <c r="N320" i="138"/>
  <c r="N357" i="138" s="1"/>
  <c r="N309" i="138"/>
  <c r="N346" i="138" s="1"/>
  <c r="N305" i="138"/>
  <c r="N342" i="138" s="1"/>
  <c r="N327" i="138"/>
  <c r="N364" i="138" s="1"/>
  <c r="N323" i="138"/>
  <c r="N360" i="138" s="1"/>
  <c r="N319" i="138"/>
  <c r="N312" i="138"/>
  <c r="N349" i="138" s="1"/>
  <c r="N308" i="138"/>
  <c r="N345" i="138" s="1"/>
  <c r="N304" i="138"/>
  <c r="N341" i="138" s="1"/>
  <c r="N326" i="138"/>
  <c r="N363" i="138" s="1"/>
  <c r="N322" i="138"/>
  <c r="N359" i="138" s="1"/>
  <c r="N311" i="138"/>
  <c r="N348" i="138" s="1"/>
  <c r="N307" i="138"/>
  <c r="N344" i="138" s="1"/>
  <c r="N303" i="138"/>
  <c r="N331" i="134" l="1"/>
  <c r="N296" i="134"/>
  <c r="N371" i="134"/>
  <c r="A371" i="134" s="1"/>
  <c r="N332" i="149"/>
  <c r="N333" i="149" s="1"/>
  <c r="L112" i="203"/>
  <c r="L113" i="203"/>
  <c r="L115" i="203" s="1"/>
  <c r="N296" i="137"/>
  <c r="N371" i="137"/>
  <c r="N331" i="137"/>
  <c r="T240" i="217"/>
  <c r="N350" i="162"/>
  <c r="N368" i="162" s="1"/>
  <c r="N370" i="162" s="1"/>
  <c r="L104" i="200"/>
  <c r="L29" i="205" s="1"/>
  <c r="L105" i="200"/>
  <c r="L29" i="207" s="1"/>
  <c r="L30" i="209" s="1"/>
  <c r="L262" i="209" s="1"/>
  <c r="L31" i="210" s="1"/>
  <c r="L70" i="211" s="1"/>
  <c r="L103" i="200"/>
  <c r="N331" i="135"/>
  <c r="N296" i="135"/>
  <c r="N371" i="135"/>
  <c r="T242" i="217"/>
  <c r="N350" i="142"/>
  <c r="N368" i="142" s="1"/>
  <c r="N370" i="142" s="1"/>
  <c r="N371" i="136"/>
  <c r="N331" i="136"/>
  <c r="N296" i="136"/>
  <c r="N97" i="102"/>
  <c r="N41" i="95"/>
  <c r="N66" i="95" s="1"/>
  <c r="N42" i="95"/>
  <c r="N67" i="95" s="1"/>
  <c r="N98" i="102"/>
  <c r="L148" i="197"/>
  <c r="L141" i="197"/>
  <c r="L153" i="197" s="1"/>
  <c r="L26" i="205" s="1"/>
  <c r="N356" i="149"/>
  <c r="N366" i="149" s="1"/>
  <c r="N367" i="149" s="1"/>
  <c r="A367" i="149" s="1"/>
  <c r="N330" i="149"/>
  <c r="A330" i="149" s="1"/>
  <c r="N351" i="146"/>
  <c r="A351" i="146" s="1"/>
  <c r="A10" i="146" s="1"/>
  <c r="M67" i="68" s="1"/>
  <c r="L33" i="206"/>
  <c r="M92" i="208" s="1"/>
  <c r="L106" i="204"/>
  <c r="L111" i="204" s="1"/>
  <c r="N103" i="102"/>
  <c r="N47" i="95"/>
  <c r="N72" i="95" s="1"/>
  <c r="N25" i="128"/>
  <c r="N75" i="128" s="1"/>
  <c r="N311" i="143"/>
  <c r="N348" i="143" s="1"/>
  <c r="N325" i="143"/>
  <c r="N362" i="143" s="1"/>
  <c r="N328" i="143"/>
  <c r="N365" i="143" s="1"/>
  <c r="N309" i="143"/>
  <c r="N346" i="143" s="1"/>
  <c r="N319" i="143"/>
  <c r="N329" i="143"/>
  <c r="N313" i="143"/>
  <c r="N332" i="143" s="1"/>
  <c r="N304" i="143"/>
  <c r="N341" i="143" s="1"/>
  <c r="N331" i="143"/>
  <c r="N307" i="143"/>
  <c r="N344" i="143" s="1"/>
  <c r="N321" i="143"/>
  <c r="N358" i="143" s="1"/>
  <c r="N324" i="143"/>
  <c r="N361" i="143" s="1"/>
  <c r="N305" i="143"/>
  <c r="N342" i="143" s="1"/>
  <c r="N312" i="143"/>
  <c r="N349" i="143" s="1"/>
  <c r="N306" i="143"/>
  <c r="N343" i="143" s="1"/>
  <c r="N326" i="143"/>
  <c r="N363" i="143" s="1"/>
  <c r="N303" i="143"/>
  <c r="N310" i="143"/>
  <c r="N347" i="143" s="1"/>
  <c r="N320" i="143"/>
  <c r="N357" i="143" s="1"/>
  <c r="N327" i="143"/>
  <c r="N364" i="143" s="1"/>
  <c r="N308" i="143"/>
  <c r="N345" i="143" s="1"/>
  <c r="N322" i="143"/>
  <c r="N359" i="143" s="1"/>
  <c r="N323" i="143"/>
  <c r="N360" i="143" s="1"/>
  <c r="N340" i="149"/>
  <c r="N314" i="149"/>
  <c r="A314" i="149" s="1"/>
  <c r="N328" i="145"/>
  <c r="N365" i="145" s="1"/>
  <c r="N309" i="145"/>
  <c r="N346" i="145" s="1"/>
  <c r="N319" i="145"/>
  <c r="N331" i="145"/>
  <c r="N307" i="145"/>
  <c r="N344" i="145" s="1"/>
  <c r="N321" i="145"/>
  <c r="N358" i="145" s="1"/>
  <c r="N27" i="128"/>
  <c r="N77" i="128" s="1"/>
  <c r="N311" i="145"/>
  <c r="N348" i="145" s="1"/>
  <c r="N324" i="145"/>
  <c r="N361" i="145" s="1"/>
  <c r="N305" i="145"/>
  <c r="N342" i="145" s="1"/>
  <c r="N312" i="145"/>
  <c r="N349" i="145" s="1"/>
  <c r="N326" i="145"/>
  <c r="N363" i="145" s="1"/>
  <c r="N303" i="145"/>
  <c r="N310" i="145"/>
  <c r="N347" i="145" s="1"/>
  <c r="N323" i="145"/>
  <c r="N360" i="145" s="1"/>
  <c r="N320" i="145"/>
  <c r="N357" i="145" s="1"/>
  <c r="N327" i="145"/>
  <c r="N364" i="145" s="1"/>
  <c r="N308" i="145"/>
  <c r="N345" i="145" s="1"/>
  <c r="N322" i="145"/>
  <c r="N359" i="145" s="1"/>
  <c r="N329" i="145"/>
  <c r="N306" i="145"/>
  <c r="N343" i="145" s="1"/>
  <c r="N313" i="145"/>
  <c r="N304" i="145"/>
  <c r="N341" i="145" s="1"/>
  <c r="N325" i="145"/>
  <c r="N362" i="145" s="1"/>
  <c r="L141" i="199"/>
  <c r="L153" i="199" s="1"/>
  <c r="L28" i="205" s="1"/>
  <c r="L148" i="199"/>
  <c r="L105" i="195"/>
  <c r="L24" i="207" s="1"/>
  <c r="L25" i="209" s="1"/>
  <c r="L257" i="209" s="1"/>
  <c r="L26" i="210" s="1"/>
  <c r="L65" i="211" s="1"/>
  <c r="L103" i="195"/>
  <c r="L104" i="195"/>
  <c r="L24" i="205" s="1"/>
  <c r="N371" i="148"/>
  <c r="N296" i="148"/>
  <c r="L147" i="199"/>
  <c r="L140" i="199"/>
  <c r="L152" i="199" s="1"/>
  <c r="L106" i="199"/>
  <c r="L103" i="194"/>
  <c r="L104" i="194"/>
  <c r="L23" i="205" s="1"/>
  <c r="L105" i="194"/>
  <c r="L23" i="207" s="1"/>
  <c r="L24" i="209" s="1"/>
  <c r="L256" i="209" s="1"/>
  <c r="L25" i="210" s="1"/>
  <c r="L64" i="211" s="1"/>
  <c r="N351" i="144"/>
  <c r="A351" i="144" s="1"/>
  <c r="A10" i="144" s="1"/>
  <c r="M65" i="68" s="1"/>
  <c r="L140" i="197"/>
  <c r="L152" i="197" s="1"/>
  <c r="L26" i="206" s="1"/>
  <c r="L106" i="197"/>
  <c r="L147" i="197"/>
  <c r="L154" i="197" s="1"/>
  <c r="N294" i="141"/>
  <c r="N22" i="130"/>
  <c r="N283" i="141"/>
  <c r="A283" i="141" s="1"/>
  <c r="N32" i="102"/>
  <c r="L15" i="202"/>
  <c r="L44" i="202" s="1"/>
  <c r="L57" i="202" s="1"/>
  <c r="L98" i="202" s="1"/>
  <c r="T88" i="217"/>
  <c r="T119" i="217" s="1"/>
  <c r="N34" i="132"/>
  <c r="T90" i="217" s="1"/>
  <c r="T272" i="217" s="1"/>
  <c r="N14" i="130"/>
  <c r="N294" i="140"/>
  <c r="N350" i="147"/>
  <c r="N368" i="147" s="1"/>
  <c r="N370" i="147" s="1"/>
  <c r="L272" i="211"/>
  <c r="R83" i="218" s="1"/>
  <c r="L247" i="211"/>
  <c r="N351" i="151"/>
  <c r="A351" i="151" s="1"/>
  <c r="A10" i="151" s="1"/>
  <c r="M72" i="68" s="1"/>
  <c r="N371" i="139"/>
  <c r="N331" i="139"/>
  <c r="N296" i="139"/>
  <c r="N340" i="138"/>
  <c r="N350" i="138" s="1"/>
  <c r="N313" i="138"/>
  <c r="N329" i="138"/>
  <c r="N330" i="138" s="1"/>
  <c r="A330" i="138" s="1"/>
  <c r="N356" i="138"/>
  <c r="N366" i="138" s="1"/>
  <c r="N367" i="138" s="1"/>
  <c r="A367" i="138" s="1"/>
  <c r="N21" i="102"/>
  <c r="L15" i="191"/>
  <c r="L44" i="191" s="1"/>
  <c r="L57" i="191" s="1"/>
  <c r="L98" i="191" s="1"/>
  <c r="N340" i="86"/>
  <c r="N313" i="86"/>
  <c r="N329" i="86"/>
  <c r="N330" i="86" s="1"/>
  <c r="A330" i="86" s="1"/>
  <c r="N356" i="86"/>
  <c r="N366" i="86" s="1"/>
  <c r="N367" i="86" s="1"/>
  <c r="A367" i="86" s="1"/>
  <c r="N65" i="128"/>
  <c r="N16" i="128" l="1"/>
  <c r="N66" i="128" s="1"/>
  <c r="N312" i="134"/>
  <c r="N349" i="134" s="1"/>
  <c r="N322" i="134"/>
  <c r="N359" i="134" s="1"/>
  <c r="N325" i="134"/>
  <c r="N362" i="134" s="1"/>
  <c r="N328" i="134"/>
  <c r="N365" i="134" s="1"/>
  <c r="N305" i="134"/>
  <c r="N342" i="134" s="1"/>
  <c r="N327" i="134"/>
  <c r="N364" i="134" s="1"/>
  <c r="N308" i="134"/>
  <c r="N345" i="134" s="1"/>
  <c r="N324" i="134"/>
  <c r="N361" i="134" s="1"/>
  <c r="N323" i="134"/>
  <c r="N360" i="134" s="1"/>
  <c r="N304" i="134"/>
  <c r="N341" i="134" s="1"/>
  <c r="N307" i="134"/>
  <c r="N344" i="134" s="1"/>
  <c r="N310" i="134"/>
  <c r="N347" i="134" s="1"/>
  <c r="N320" i="134"/>
  <c r="N357" i="134" s="1"/>
  <c r="N321" i="134"/>
  <c r="N358" i="134" s="1"/>
  <c r="N319" i="134"/>
  <c r="N326" i="134"/>
  <c r="N363" i="134" s="1"/>
  <c r="N303" i="134"/>
  <c r="N306" i="134"/>
  <c r="N343" i="134" s="1"/>
  <c r="N309" i="134"/>
  <c r="N346" i="134" s="1"/>
  <c r="N311" i="134"/>
  <c r="N348" i="134" s="1"/>
  <c r="L154" i="199"/>
  <c r="L28" i="207" s="1"/>
  <c r="N351" i="142"/>
  <c r="A351" i="142" s="1"/>
  <c r="A10" i="142" s="1"/>
  <c r="M62" i="68" s="1"/>
  <c r="L155" i="197"/>
  <c r="L26" i="207"/>
  <c r="L158" i="197"/>
  <c r="T301" i="217"/>
  <c r="T624" i="217"/>
  <c r="L158" i="199"/>
  <c r="L106" i="195"/>
  <c r="L111" i="195" s="1"/>
  <c r="L24" i="206"/>
  <c r="M83" i="208" s="1"/>
  <c r="L243" i="211"/>
  <c r="L268" i="211"/>
  <c r="R79" i="218" s="1"/>
  <c r="T270" i="217"/>
  <c r="N323" i="137"/>
  <c r="N360" i="137" s="1"/>
  <c r="N304" i="137"/>
  <c r="N341" i="137" s="1"/>
  <c r="N307" i="137"/>
  <c r="N344" i="137" s="1"/>
  <c r="N310" i="137"/>
  <c r="N347" i="137" s="1"/>
  <c r="N320" i="137"/>
  <c r="N357" i="137" s="1"/>
  <c r="N312" i="137"/>
  <c r="N349" i="137" s="1"/>
  <c r="N325" i="137"/>
  <c r="N362" i="137" s="1"/>
  <c r="N327" i="137"/>
  <c r="N364" i="137" s="1"/>
  <c r="N311" i="137"/>
  <c r="N348" i="137" s="1"/>
  <c r="N319" i="137"/>
  <c r="N326" i="137"/>
  <c r="N363" i="137" s="1"/>
  <c r="N303" i="137"/>
  <c r="N306" i="137"/>
  <c r="N343" i="137" s="1"/>
  <c r="N309" i="137"/>
  <c r="N346" i="137" s="1"/>
  <c r="N19" i="128"/>
  <c r="N69" i="128" s="1"/>
  <c r="N322" i="137"/>
  <c r="N359" i="137" s="1"/>
  <c r="N328" i="137"/>
  <c r="N365" i="137" s="1"/>
  <c r="N308" i="137"/>
  <c r="N345" i="137" s="1"/>
  <c r="N321" i="137"/>
  <c r="N358" i="137" s="1"/>
  <c r="N324" i="137"/>
  <c r="N361" i="137" s="1"/>
  <c r="N305" i="137"/>
  <c r="N342" i="137" s="1"/>
  <c r="L103" i="202"/>
  <c r="L105" i="202"/>
  <c r="L31" i="207" s="1"/>
  <c r="L32" i="209" s="1"/>
  <c r="L264" i="209" s="1"/>
  <c r="L33" i="210" s="1"/>
  <c r="L72" i="211" s="1"/>
  <c r="L104" i="202"/>
  <c r="L31" i="205" s="1"/>
  <c r="N371" i="141"/>
  <c r="N296" i="141"/>
  <c r="L238" i="211"/>
  <c r="L263" i="211"/>
  <c r="R74" i="218" s="1"/>
  <c r="N356" i="145"/>
  <c r="N366" i="145" s="1"/>
  <c r="N367" i="145" s="1"/>
  <c r="A367" i="145" s="1"/>
  <c r="N330" i="145"/>
  <c r="A330" i="145" s="1"/>
  <c r="N325" i="136"/>
  <c r="N362" i="136" s="1"/>
  <c r="N328" i="136"/>
  <c r="N365" i="136" s="1"/>
  <c r="N305" i="136"/>
  <c r="N342" i="136" s="1"/>
  <c r="N312" i="136"/>
  <c r="N349" i="136" s="1"/>
  <c r="N322" i="136"/>
  <c r="N359" i="136" s="1"/>
  <c r="N323" i="136"/>
  <c r="N360" i="136" s="1"/>
  <c r="N307" i="136"/>
  <c r="N344" i="136" s="1"/>
  <c r="N306" i="136"/>
  <c r="N343" i="136" s="1"/>
  <c r="N309" i="136"/>
  <c r="N346" i="136" s="1"/>
  <c r="N326" i="136"/>
  <c r="N363" i="136" s="1"/>
  <c r="N321" i="136"/>
  <c r="N358" i="136" s="1"/>
  <c r="N324" i="136"/>
  <c r="N361" i="136" s="1"/>
  <c r="N327" i="136"/>
  <c r="N364" i="136" s="1"/>
  <c r="N308" i="136"/>
  <c r="N345" i="136" s="1"/>
  <c r="N311" i="136"/>
  <c r="N348" i="136" s="1"/>
  <c r="N310" i="136"/>
  <c r="N347" i="136" s="1"/>
  <c r="N320" i="136"/>
  <c r="N357" i="136" s="1"/>
  <c r="N304" i="136"/>
  <c r="N341" i="136" s="1"/>
  <c r="N18" i="128"/>
  <c r="N68" i="128" s="1"/>
  <c r="N319" i="136"/>
  <c r="N303" i="136"/>
  <c r="N310" i="135"/>
  <c r="N347" i="135" s="1"/>
  <c r="N320" i="135"/>
  <c r="N357" i="135" s="1"/>
  <c r="N323" i="135"/>
  <c r="N360" i="135" s="1"/>
  <c r="N304" i="135"/>
  <c r="N341" i="135" s="1"/>
  <c r="N307" i="135"/>
  <c r="N344" i="135" s="1"/>
  <c r="N325" i="135"/>
  <c r="N362" i="135" s="1"/>
  <c r="N312" i="135"/>
  <c r="N349" i="135" s="1"/>
  <c r="N321" i="135"/>
  <c r="N358" i="135" s="1"/>
  <c r="N327" i="135"/>
  <c r="N364" i="135" s="1"/>
  <c r="N308" i="135"/>
  <c r="N345" i="135" s="1"/>
  <c r="N17" i="128"/>
  <c r="N306" i="135"/>
  <c r="N343" i="135" s="1"/>
  <c r="N309" i="135"/>
  <c r="N346" i="135" s="1"/>
  <c r="N319" i="135"/>
  <c r="N326" i="135"/>
  <c r="N363" i="135" s="1"/>
  <c r="N303" i="135"/>
  <c r="N328" i="135"/>
  <c r="N365" i="135" s="1"/>
  <c r="N305" i="135"/>
  <c r="N342" i="135" s="1"/>
  <c r="N322" i="135"/>
  <c r="N359" i="135" s="1"/>
  <c r="N324" i="135"/>
  <c r="N361" i="135" s="1"/>
  <c r="N311" i="135"/>
  <c r="N348" i="135" s="1"/>
  <c r="N12" i="130"/>
  <c r="A12" i="130" s="1"/>
  <c r="N34" i="130"/>
  <c r="N49" i="95"/>
  <c r="N74" i="95" s="1"/>
  <c r="N105" i="102"/>
  <c r="L111" i="199"/>
  <c r="L150" i="199"/>
  <c r="N332" i="145"/>
  <c r="N333" i="145" s="1"/>
  <c r="N340" i="143"/>
  <c r="N314" i="143"/>
  <c r="A314" i="143" s="1"/>
  <c r="N333" i="143"/>
  <c r="N356" i="143"/>
  <c r="N366" i="143" s="1"/>
  <c r="N367" i="143" s="1"/>
  <c r="A367" i="143" s="1"/>
  <c r="N330" i="143"/>
  <c r="A330" i="143" s="1"/>
  <c r="L113" i="204"/>
  <c r="L115" i="204" s="1"/>
  <c r="L112" i="204"/>
  <c r="N351" i="162"/>
  <c r="A351" i="162" s="1"/>
  <c r="A10" i="162" s="1"/>
  <c r="M63" i="68" s="1"/>
  <c r="L114" i="203"/>
  <c r="L116" i="203" s="1"/>
  <c r="L118" i="203" s="1"/>
  <c r="L117" i="203"/>
  <c r="N323" i="139"/>
  <c r="N360" i="139" s="1"/>
  <c r="N304" i="139"/>
  <c r="N341" i="139" s="1"/>
  <c r="N307" i="139"/>
  <c r="N344" i="139" s="1"/>
  <c r="N310" i="139"/>
  <c r="N347" i="139" s="1"/>
  <c r="N320" i="139"/>
  <c r="N357" i="139" s="1"/>
  <c r="N312" i="139"/>
  <c r="N349" i="139" s="1"/>
  <c r="N322" i="139"/>
  <c r="N359" i="139" s="1"/>
  <c r="N325" i="139"/>
  <c r="N362" i="139" s="1"/>
  <c r="N327" i="139"/>
  <c r="N364" i="139" s="1"/>
  <c r="N311" i="139"/>
  <c r="N348" i="139" s="1"/>
  <c r="N324" i="139"/>
  <c r="N361" i="139" s="1"/>
  <c r="N319" i="139"/>
  <c r="N326" i="139"/>
  <c r="N363" i="139" s="1"/>
  <c r="N303" i="139"/>
  <c r="N306" i="139"/>
  <c r="N343" i="139" s="1"/>
  <c r="N309" i="139"/>
  <c r="N346" i="139" s="1"/>
  <c r="N21" i="128"/>
  <c r="N71" i="128" s="1"/>
  <c r="N328" i="139"/>
  <c r="N365" i="139" s="1"/>
  <c r="N305" i="139"/>
  <c r="N342" i="139" s="1"/>
  <c r="N308" i="139"/>
  <c r="N345" i="139" s="1"/>
  <c r="N321" i="139"/>
  <c r="N358" i="139" s="1"/>
  <c r="N371" i="140"/>
  <c r="A371" i="140" s="1"/>
  <c r="N296" i="140"/>
  <c r="L106" i="194"/>
  <c r="L111" i="194" s="1"/>
  <c r="L23" i="206"/>
  <c r="M82" i="208" s="1"/>
  <c r="N30" i="128"/>
  <c r="N80" i="128" s="1"/>
  <c r="N319" i="148"/>
  <c r="N326" i="148"/>
  <c r="N363" i="148" s="1"/>
  <c r="N303" i="148"/>
  <c r="N310" i="148"/>
  <c r="N347" i="148" s="1"/>
  <c r="N320" i="148"/>
  <c r="N357" i="148" s="1"/>
  <c r="N307" i="148"/>
  <c r="N344" i="148" s="1"/>
  <c r="N324" i="148"/>
  <c r="N361" i="148" s="1"/>
  <c r="N331" i="148"/>
  <c r="N312" i="148"/>
  <c r="N349" i="148" s="1"/>
  <c r="N322" i="148"/>
  <c r="N359" i="148" s="1"/>
  <c r="N329" i="148"/>
  <c r="N306" i="148"/>
  <c r="N343" i="148" s="1"/>
  <c r="N313" i="148"/>
  <c r="N304" i="148"/>
  <c r="N341" i="148" s="1"/>
  <c r="N305" i="148"/>
  <c r="N342" i="148" s="1"/>
  <c r="N327" i="148"/>
  <c r="N364" i="148" s="1"/>
  <c r="N308" i="148"/>
  <c r="N345" i="148" s="1"/>
  <c r="N311" i="148"/>
  <c r="N348" i="148" s="1"/>
  <c r="N325" i="148"/>
  <c r="N362" i="148" s="1"/>
  <c r="N328" i="148"/>
  <c r="N365" i="148" s="1"/>
  <c r="N309" i="148"/>
  <c r="N346" i="148" s="1"/>
  <c r="N323" i="148"/>
  <c r="N360" i="148" s="1"/>
  <c r="N321" i="148"/>
  <c r="N358" i="148" s="1"/>
  <c r="L15" i="198"/>
  <c r="L44" i="198" s="1"/>
  <c r="L57" i="198" s="1"/>
  <c r="L98" i="198" s="1"/>
  <c r="N28" i="102"/>
  <c r="N350" i="149"/>
  <c r="N368" i="149" s="1"/>
  <c r="N370" i="149" s="1"/>
  <c r="N351" i="147"/>
  <c r="A351" i="147" s="1"/>
  <c r="A10" i="147" s="1"/>
  <c r="M68" i="68" s="1"/>
  <c r="T92" i="217"/>
  <c r="T123" i="217" s="1"/>
  <c r="T121" i="217"/>
  <c r="L150" i="197"/>
  <c r="L111" i="197"/>
  <c r="L262" i="211"/>
  <c r="R73" i="218" s="1"/>
  <c r="L237" i="211"/>
  <c r="L28" i="206"/>
  <c r="L155" i="199"/>
  <c r="L156" i="199" s="1"/>
  <c r="A156" i="199" s="1"/>
  <c r="N340" i="145"/>
  <c r="N314" i="145"/>
  <c r="A314" i="145" s="1"/>
  <c r="N26" i="102"/>
  <c r="L15" i="196"/>
  <c r="L44" i="196" s="1"/>
  <c r="L57" i="196" s="1"/>
  <c r="L98" i="196" s="1"/>
  <c r="L29" i="206"/>
  <c r="M88" i="208" s="1"/>
  <c r="L106" i="200"/>
  <c r="L111" i="200" s="1"/>
  <c r="N16" i="102"/>
  <c r="L15" i="186"/>
  <c r="L44" i="186" s="1"/>
  <c r="L57" i="186" s="1"/>
  <c r="L98" i="186" s="1"/>
  <c r="N314" i="86"/>
  <c r="A314" i="86" s="1"/>
  <c r="N332" i="86"/>
  <c r="N333" i="86" s="1"/>
  <c r="L104" i="191"/>
  <c r="L20" i="205" s="1"/>
  <c r="L105" i="191"/>
  <c r="L20" i="207" s="1"/>
  <c r="L103" i="191"/>
  <c r="N314" i="138"/>
  <c r="A314" i="138" s="1"/>
  <c r="N332" i="138"/>
  <c r="N333" i="138" s="1"/>
  <c r="N350" i="86"/>
  <c r="N94" i="102"/>
  <c r="N38" i="95"/>
  <c r="N63" i="95" s="1"/>
  <c r="N368" i="138"/>
  <c r="N370" i="138" s="1"/>
  <c r="N351" i="138"/>
  <c r="A351" i="138" s="1"/>
  <c r="N332" i="148" l="1"/>
  <c r="N356" i="134"/>
  <c r="N366" i="134" s="1"/>
  <c r="N367" i="134" s="1"/>
  <c r="A367" i="134" s="1"/>
  <c r="N329" i="134"/>
  <c r="N330" i="134" s="1"/>
  <c r="A330" i="134" s="1"/>
  <c r="N340" i="134"/>
  <c r="N313" i="134"/>
  <c r="L15" i="187"/>
  <c r="L44" i="187" s="1"/>
  <c r="L57" i="187" s="1"/>
  <c r="L98" i="187" s="1"/>
  <c r="N17" i="102"/>
  <c r="N351" i="149"/>
  <c r="A351" i="149" s="1"/>
  <c r="A10" i="149" s="1"/>
  <c r="M70" i="68" s="1"/>
  <c r="N333" i="148"/>
  <c r="N33" i="128"/>
  <c r="N83" i="128" s="1"/>
  <c r="N327" i="140"/>
  <c r="N364" i="140" s="1"/>
  <c r="N323" i="140"/>
  <c r="N360" i="140" s="1"/>
  <c r="N319" i="140"/>
  <c r="N312" i="140"/>
  <c r="N349" i="140" s="1"/>
  <c r="N308" i="140"/>
  <c r="N345" i="140" s="1"/>
  <c r="N304" i="140"/>
  <c r="N341" i="140" s="1"/>
  <c r="N325" i="140"/>
  <c r="N362" i="140" s="1"/>
  <c r="N321" i="140"/>
  <c r="N358" i="140" s="1"/>
  <c r="N310" i="140"/>
  <c r="N347" i="140" s="1"/>
  <c r="N306" i="140"/>
  <c r="N343" i="140" s="1"/>
  <c r="N326" i="140"/>
  <c r="N363" i="140" s="1"/>
  <c r="N322" i="140"/>
  <c r="N359" i="140" s="1"/>
  <c r="N311" i="140"/>
  <c r="N348" i="140" s="1"/>
  <c r="N307" i="140"/>
  <c r="N344" i="140" s="1"/>
  <c r="N303" i="140"/>
  <c r="N331" i="140"/>
  <c r="N328" i="140"/>
  <c r="N365" i="140" s="1"/>
  <c r="N324" i="140"/>
  <c r="N361" i="140" s="1"/>
  <c r="N320" i="140"/>
  <c r="N357" i="140" s="1"/>
  <c r="N309" i="140"/>
  <c r="N346" i="140" s="1"/>
  <c r="N305" i="140"/>
  <c r="N342" i="140" s="1"/>
  <c r="T515" i="217" s="1"/>
  <c r="N350" i="143"/>
  <c r="N368" i="143" s="1"/>
  <c r="N370" i="143" s="1"/>
  <c r="N340" i="137"/>
  <c r="N313" i="137"/>
  <c r="T618" i="217"/>
  <c r="T299" i="217"/>
  <c r="N340" i="136"/>
  <c r="N313" i="136"/>
  <c r="L245" i="211"/>
  <c r="L270" i="211"/>
  <c r="R81" i="218" s="1"/>
  <c r="N20" i="102"/>
  <c r="L15" i="190"/>
  <c r="L44" i="190" s="1"/>
  <c r="L57" i="190" s="1"/>
  <c r="L98" i="190" s="1"/>
  <c r="N356" i="148"/>
  <c r="N366" i="148" s="1"/>
  <c r="N367" i="148" s="1"/>
  <c r="A367" i="148" s="1"/>
  <c r="N330" i="148"/>
  <c r="A330" i="148" s="1"/>
  <c r="L113" i="197"/>
  <c r="L115" i="197" s="1"/>
  <c r="L112" i="197"/>
  <c r="L104" i="198"/>
  <c r="L27" i="205" s="1"/>
  <c r="L105" i="198"/>
  <c r="L27" i="207" s="1"/>
  <c r="L28" i="209" s="1"/>
  <c r="L260" i="209" s="1"/>
  <c r="L29" i="210" s="1"/>
  <c r="L68" i="211" s="1"/>
  <c r="L103" i="198"/>
  <c r="N31" i="102"/>
  <c r="L15" i="201"/>
  <c r="L44" i="201" s="1"/>
  <c r="L57" i="201" s="1"/>
  <c r="L98" i="201" s="1"/>
  <c r="N313" i="139"/>
  <c r="N340" i="139"/>
  <c r="N313" i="135"/>
  <c r="N340" i="135"/>
  <c r="N43" i="95"/>
  <c r="N68" i="95" s="1"/>
  <c r="N99" i="102"/>
  <c r="N340" i="148"/>
  <c r="N314" i="148"/>
  <c r="A314" i="148" s="1"/>
  <c r="N22" i="102"/>
  <c r="L15" i="192"/>
  <c r="L44" i="192" s="1"/>
  <c r="L57" i="192" s="1"/>
  <c r="L98" i="192" s="1"/>
  <c r="L117" i="204"/>
  <c r="L114" i="204"/>
  <c r="L116" i="204" s="1"/>
  <c r="L118" i="204" s="1"/>
  <c r="N67" i="128"/>
  <c r="N329" i="136"/>
  <c r="N366" i="136" s="1"/>
  <c r="N356" i="136"/>
  <c r="N319" i="141"/>
  <c r="N311" i="141"/>
  <c r="N348" i="141" s="1"/>
  <c r="N310" i="141"/>
  <c r="N347" i="141" s="1"/>
  <c r="N313" i="141"/>
  <c r="N305" i="141"/>
  <c r="N342" i="141" s="1"/>
  <c r="N303" i="141"/>
  <c r="N325" i="141"/>
  <c r="N362" i="141" s="1"/>
  <c r="N308" i="141"/>
  <c r="N345" i="141" s="1"/>
  <c r="N321" i="141"/>
  <c r="N358" i="141" s="1"/>
  <c r="N306" i="141"/>
  <c r="N343" i="141" s="1"/>
  <c r="S557" i="217" s="1"/>
  <c r="N22" i="128"/>
  <c r="N72" i="128" s="1"/>
  <c r="N331" i="141"/>
  <c r="N329" i="141"/>
  <c r="N328" i="141"/>
  <c r="N365" i="141" s="1"/>
  <c r="N309" i="141"/>
  <c r="N346" i="141" s="1"/>
  <c r="S560" i="217" s="1"/>
  <c r="N304" i="141"/>
  <c r="N341" i="141" s="1"/>
  <c r="N327" i="141"/>
  <c r="N364" i="141" s="1"/>
  <c r="N324" i="141"/>
  <c r="N361" i="141" s="1"/>
  <c r="S559" i="217" s="1"/>
  <c r="N312" i="141"/>
  <c r="N349" i="141" s="1"/>
  <c r="N323" i="141"/>
  <c r="N360" i="141" s="1"/>
  <c r="N322" i="141"/>
  <c r="N359" i="141" s="1"/>
  <c r="N320" i="141"/>
  <c r="N357" i="141" s="1"/>
  <c r="N326" i="141"/>
  <c r="N363" i="141" s="1"/>
  <c r="N307" i="141"/>
  <c r="N344" i="141" s="1"/>
  <c r="S558" i="217" s="1"/>
  <c r="L31" i="206"/>
  <c r="M90" i="208" s="1"/>
  <c r="L106" i="202"/>
  <c r="L111" i="202" s="1"/>
  <c r="N356" i="137"/>
  <c r="N366" i="137" s="1"/>
  <c r="N367" i="137" s="1"/>
  <c r="A367" i="137" s="1"/>
  <c r="N329" i="137"/>
  <c r="N330" i="137" s="1"/>
  <c r="A330" i="137" s="1"/>
  <c r="M87" i="208"/>
  <c r="L29" i="209"/>
  <c r="L261" i="209" s="1"/>
  <c r="L30" i="210" s="1"/>
  <c r="L69" i="211" s="1"/>
  <c r="M85" i="208"/>
  <c r="L27" i="209"/>
  <c r="L259" i="209" s="1"/>
  <c r="L28" i="210" s="1"/>
  <c r="L67" i="211" s="1"/>
  <c r="N350" i="145"/>
  <c r="N368" i="145" s="1"/>
  <c r="N370" i="145" s="1"/>
  <c r="N45" i="95"/>
  <c r="N70" i="95" s="1"/>
  <c r="N101" i="102"/>
  <c r="L113" i="195"/>
  <c r="L115" i="195" s="1"/>
  <c r="L112" i="195"/>
  <c r="L103" i="196"/>
  <c r="L104" i="196"/>
  <c r="L105" i="196"/>
  <c r="L149" i="196" s="1"/>
  <c r="N314" i="137"/>
  <c r="A314" i="137" s="1"/>
  <c r="L112" i="200"/>
  <c r="L113" i="200"/>
  <c r="L115" i="200" s="1"/>
  <c r="L113" i="194"/>
  <c r="L115" i="194" s="1"/>
  <c r="L112" i="194"/>
  <c r="N329" i="139"/>
  <c r="N330" i="139" s="1"/>
  <c r="A330" i="139" s="1"/>
  <c r="N356" i="139"/>
  <c r="N366" i="139" s="1"/>
  <c r="N367" i="139" s="1"/>
  <c r="A367" i="139" s="1"/>
  <c r="A118" i="203"/>
  <c r="A10" i="203" s="1"/>
  <c r="M95" i="68" s="1"/>
  <c r="L112" i="199"/>
  <c r="L113" i="199"/>
  <c r="L115" i="199" s="1"/>
  <c r="S556" i="217"/>
  <c r="N356" i="135"/>
  <c r="N366" i="135" s="1"/>
  <c r="N367" i="135" s="1"/>
  <c r="A367" i="135" s="1"/>
  <c r="N329" i="135"/>
  <c r="N330" i="135" s="1"/>
  <c r="A330" i="135" s="1"/>
  <c r="N19" i="102"/>
  <c r="L15" i="189"/>
  <c r="L44" i="189" s="1"/>
  <c r="L57" i="189" s="1"/>
  <c r="L98" i="189" s="1"/>
  <c r="L156" i="197"/>
  <c r="A156" i="197" s="1"/>
  <c r="A10" i="138"/>
  <c r="M59" i="68" s="1"/>
  <c r="L104" i="186"/>
  <c r="L15" i="205" s="1"/>
  <c r="L105" i="186"/>
  <c r="L15" i="207" s="1"/>
  <c r="L103" i="186"/>
  <c r="L20" i="206"/>
  <c r="M79" i="208" s="1"/>
  <c r="L106" i="191"/>
  <c r="L111" i="191" s="1"/>
  <c r="L21" i="209"/>
  <c r="L253" i="209" s="1"/>
  <c r="L22" i="210" s="1"/>
  <c r="L61" i="211" s="1"/>
  <c r="N89" i="102"/>
  <c r="N33" i="95"/>
  <c r="N58" i="95" s="1"/>
  <c r="N368" i="86"/>
  <c r="N370" i="86" s="1"/>
  <c r="N351" i="86"/>
  <c r="A351" i="86" s="1"/>
  <c r="A10" i="86" s="1"/>
  <c r="M54" i="68" s="1"/>
  <c r="N367" i="136" l="1"/>
  <c r="A367" i="136" s="1"/>
  <c r="N90" i="102"/>
  <c r="N34" i="95"/>
  <c r="N59" i="95" s="1"/>
  <c r="N350" i="134"/>
  <c r="N368" i="134" s="1"/>
  <c r="N370" i="134" s="1"/>
  <c r="T525" i="217"/>
  <c r="L104" i="187"/>
  <c r="L16" i="205" s="1"/>
  <c r="L105" i="187"/>
  <c r="L16" i="207" s="1"/>
  <c r="L17" i="209" s="1"/>
  <c r="L249" i="209" s="1"/>
  <c r="L18" i="210" s="1"/>
  <c r="L57" i="211" s="1"/>
  <c r="L103" i="187"/>
  <c r="S563" i="217"/>
  <c r="N332" i="134"/>
  <c r="N333" i="134" s="1"/>
  <c r="N314" i="134"/>
  <c r="A314" i="134" s="1"/>
  <c r="T526" i="217"/>
  <c r="S555" i="217"/>
  <c r="N332" i="141"/>
  <c r="S561" i="217"/>
  <c r="T527" i="217" s="1"/>
  <c r="N351" i="145"/>
  <c r="A351" i="145" s="1"/>
  <c r="A10" i="145" s="1"/>
  <c r="M66" i="68" s="1"/>
  <c r="S562" i="217"/>
  <c r="T528" i="217" s="1"/>
  <c r="N351" i="143"/>
  <c r="A351" i="143" s="1"/>
  <c r="A10" i="143" s="1"/>
  <c r="M64" i="68" s="1"/>
  <c r="L114" i="200"/>
  <c r="L116" i="200" s="1"/>
  <c r="L118" i="200" s="1"/>
  <c r="L117" i="200"/>
  <c r="L15" i="193"/>
  <c r="L44" i="193" s="1"/>
  <c r="L57" i="193" s="1"/>
  <c r="L98" i="193" s="1"/>
  <c r="N23" i="102"/>
  <c r="L104" i="201"/>
  <c r="L30" i="205" s="1"/>
  <c r="L105" i="201"/>
  <c r="L30" i="207" s="1"/>
  <c r="L31" i="209" s="1"/>
  <c r="L263" i="209" s="1"/>
  <c r="L32" i="210" s="1"/>
  <c r="L71" i="211" s="1"/>
  <c r="L103" i="201"/>
  <c r="N340" i="140"/>
  <c r="N313" i="140"/>
  <c r="L114" i="199"/>
  <c r="L116" i="199" s="1"/>
  <c r="L118" i="199" s="1"/>
  <c r="L117" i="199"/>
  <c r="L114" i="194"/>
  <c r="L116" i="194" s="1"/>
  <c r="L118" i="194" s="1"/>
  <c r="L117" i="194"/>
  <c r="A118" i="194" s="1"/>
  <c r="A10" i="194" s="1"/>
  <c r="M86" i="68" s="1"/>
  <c r="L242" i="211"/>
  <c r="L267" i="211"/>
  <c r="R78" i="218" s="1"/>
  <c r="L112" i="202"/>
  <c r="L113" i="202"/>
  <c r="L115" i="202" s="1"/>
  <c r="N340" i="141"/>
  <c r="N314" i="141"/>
  <c r="A314" i="141" s="1"/>
  <c r="A118" i="204"/>
  <c r="A10" i="204" s="1"/>
  <c r="M96" i="68" s="1"/>
  <c r="N350" i="148"/>
  <c r="N368" i="148" s="1"/>
  <c r="N370" i="148" s="1"/>
  <c r="N332" i="135"/>
  <c r="N333" i="135" s="1"/>
  <c r="N314" i="135"/>
  <c r="A314" i="135" s="1"/>
  <c r="N104" i="102"/>
  <c r="N48" i="95"/>
  <c r="N73" i="95" s="1"/>
  <c r="L114" i="197"/>
  <c r="L116" i="197" s="1"/>
  <c r="L118" i="197" s="1"/>
  <c r="L117" i="197"/>
  <c r="A118" i="197" s="1"/>
  <c r="A10" i="197" s="1"/>
  <c r="M89" i="68" s="1"/>
  <c r="N37" i="95"/>
  <c r="N62" i="95" s="1"/>
  <c r="N93" i="102"/>
  <c r="N350" i="136"/>
  <c r="N368" i="136" s="1"/>
  <c r="N370" i="136" s="1"/>
  <c r="N351" i="136"/>
  <c r="A351" i="136" s="1"/>
  <c r="N332" i="137"/>
  <c r="N333" i="137" s="1"/>
  <c r="T516" i="217"/>
  <c r="L117" i="195"/>
  <c r="L114" i="195"/>
  <c r="L116" i="195" s="1"/>
  <c r="L118" i="195" s="1"/>
  <c r="N350" i="135"/>
  <c r="N368" i="135" s="1"/>
  <c r="N370" i="135" s="1"/>
  <c r="L105" i="190"/>
  <c r="L19" i="207" s="1"/>
  <c r="L20" i="209" s="1"/>
  <c r="L252" i="209" s="1"/>
  <c r="L21" i="210" s="1"/>
  <c r="L60" i="211" s="1"/>
  <c r="L258" i="211" s="1"/>
  <c r="R69" i="218" s="1"/>
  <c r="L104" i="190"/>
  <c r="L19" i="205" s="1"/>
  <c r="L103" i="190"/>
  <c r="N332" i="136"/>
  <c r="N333" i="136" s="1"/>
  <c r="N314" i="136"/>
  <c r="A314" i="136" s="1"/>
  <c r="N329" i="140"/>
  <c r="N330" i="140" s="1"/>
  <c r="A330" i="140" s="1"/>
  <c r="N356" i="140"/>
  <c r="N366" i="140" s="1"/>
  <c r="N367" i="140" s="1"/>
  <c r="A367" i="140" s="1"/>
  <c r="L104" i="189"/>
  <c r="L18" i="205" s="1"/>
  <c r="L105" i="189"/>
  <c r="L18" i="207" s="1"/>
  <c r="L19" i="209" s="1"/>
  <c r="L251" i="209" s="1"/>
  <c r="L20" i="210" s="1"/>
  <c r="L59" i="211" s="1"/>
  <c r="L232" i="211" s="1"/>
  <c r="L103" i="189"/>
  <c r="N330" i="136"/>
  <c r="A330" i="136" s="1"/>
  <c r="L148" i="196"/>
  <c r="L141" i="196"/>
  <c r="L153" i="196" s="1"/>
  <c r="L25" i="205" s="1"/>
  <c r="N356" i="141"/>
  <c r="N366" i="141" s="1"/>
  <c r="N367" i="141" s="1"/>
  <c r="A367" i="141" s="1"/>
  <c r="N330" i="141"/>
  <c r="A330" i="141" s="1"/>
  <c r="N35" i="128"/>
  <c r="L103" i="192"/>
  <c r="L105" i="192"/>
  <c r="L21" i="207" s="1"/>
  <c r="L22" i="209" s="1"/>
  <c r="L254" i="209" s="1"/>
  <c r="L23" i="210" s="1"/>
  <c r="L62" i="211" s="1"/>
  <c r="L260" i="211" s="1"/>
  <c r="R71" i="218" s="1"/>
  <c r="L104" i="192"/>
  <c r="L21" i="205" s="1"/>
  <c r="N350" i="139"/>
  <c r="N368" i="139" s="1"/>
  <c r="N370" i="139" s="1"/>
  <c r="N351" i="139"/>
  <c r="A351" i="139" s="1"/>
  <c r="L27" i="206"/>
  <c r="M86" i="208" s="1"/>
  <c r="L106" i="198"/>
  <c r="L111" i="198" s="1"/>
  <c r="N350" i="137"/>
  <c r="N368" i="137" s="1"/>
  <c r="N370" i="137" s="1"/>
  <c r="N351" i="137"/>
  <c r="A351" i="137" s="1"/>
  <c r="A10" i="137" s="1"/>
  <c r="M58" i="68" s="1"/>
  <c r="T518" i="217"/>
  <c r="N36" i="95"/>
  <c r="N61" i="95" s="1"/>
  <c r="N66" i="102"/>
  <c r="N92" i="102"/>
  <c r="L147" i="196"/>
  <c r="L140" i="196"/>
  <c r="L152" i="196" s="1"/>
  <c r="L106" i="196"/>
  <c r="L265" i="211"/>
  <c r="R76" i="218" s="1"/>
  <c r="L240" i="211"/>
  <c r="N333" i="141"/>
  <c r="L15" i="188"/>
  <c r="L44" i="188" s="1"/>
  <c r="L57" i="188" s="1"/>
  <c r="L98" i="188" s="1"/>
  <c r="N18" i="102"/>
  <c r="N85" i="128"/>
  <c r="N95" i="102"/>
  <c r="N39" i="95"/>
  <c r="N64" i="95" s="1"/>
  <c r="N332" i="139"/>
  <c r="N333" i="139" s="1"/>
  <c r="L266" i="211"/>
  <c r="R77" i="218" s="1"/>
  <c r="L241" i="211"/>
  <c r="N314" i="139"/>
  <c r="A314" i="139" s="1"/>
  <c r="T517" i="217"/>
  <c r="N15" i="102"/>
  <c r="L15" i="185"/>
  <c r="L44" i="185" s="1"/>
  <c r="L57" i="185" s="1"/>
  <c r="L98" i="185" s="1"/>
  <c r="L15" i="206"/>
  <c r="L106" i="186"/>
  <c r="L111" i="186" s="1"/>
  <c r="L230" i="211"/>
  <c r="L255" i="211"/>
  <c r="R66" i="218" s="1"/>
  <c r="L112" i="191"/>
  <c r="L113" i="191"/>
  <c r="L115" i="191" s="1"/>
  <c r="L16" i="209"/>
  <c r="L248" i="209" s="1"/>
  <c r="L234" i="211"/>
  <c r="L259" i="211"/>
  <c r="R70" i="218" s="1"/>
  <c r="A10" i="136" l="1"/>
  <c r="M57" i="68" s="1"/>
  <c r="A10" i="134"/>
  <c r="M55" i="68" s="1"/>
  <c r="N351" i="134"/>
  <c r="A351" i="134" s="1"/>
  <c r="L16" i="206"/>
  <c r="M75" i="208" s="1"/>
  <c r="L106" i="187"/>
  <c r="L111" i="187" s="1"/>
  <c r="A10" i="139"/>
  <c r="M60" i="68" s="1"/>
  <c r="L154" i="196"/>
  <c r="L257" i="211"/>
  <c r="R68" i="218" s="1"/>
  <c r="A118" i="200"/>
  <c r="A10" i="200" s="1"/>
  <c r="M92" i="68" s="1"/>
  <c r="L158" i="196"/>
  <c r="L25" i="207"/>
  <c r="L30" i="206"/>
  <c r="M89" i="208" s="1"/>
  <c r="L106" i="201"/>
  <c r="L111" i="201" s="1"/>
  <c r="L105" i="185"/>
  <c r="L14" i="207" s="1"/>
  <c r="L104" i="185"/>
  <c r="L14" i="205" s="1"/>
  <c r="L103" i="185"/>
  <c r="L106" i="189"/>
  <c r="L111" i="189" s="1"/>
  <c r="L18" i="206"/>
  <c r="M77" i="208" s="1"/>
  <c r="L114" i="202"/>
  <c r="L116" i="202" s="1"/>
  <c r="L118" i="202" s="1"/>
  <c r="L117" i="202"/>
  <c r="L233" i="211"/>
  <c r="L235" i="211"/>
  <c r="T328" i="217"/>
  <c r="N88" i="102"/>
  <c r="N32" i="95"/>
  <c r="L25" i="206"/>
  <c r="L155" i="196"/>
  <c r="S554" i="217"/>
  <c r="A118" i="195"/>
  <c r="A10" i="195" s="1"/>
  <c r="M87" i="68" s="1"/>
  <c r="N314" i="140"/>
  <c r="A314" i="140" s="1"/>
  <c r="N332" i="140"/>
  <c r="N333" i="140" s="1"/>
  <c r="N35" i="95"/>
  <c r="N60" i="95" s="1"/>
  <c r="N91" i="102"/>
  <c r="N35" i="102"/>
  <c r="N67" i="102"/>
  <c r="L105" i="193"/>
  <c r="L22" i="207" s="1"/>
  <c r="L23" i="209" s="1"/>
  <c r="L255" i="209" s="1"/>
  <c r="L24" i="210" s="1"/>
  <c r="L63" i="211" s="1"/>
  <c r="L103" i="193"/>
  <c r="L104" i="193"/>
  <c r="L22" i="205" s="1"/>
  <c r="L104" i="188"/>
  <c r="L17" i="205" s="1"/>
  <c r="L103" i="188"/>
  <c r="L105" i="188"/>
  <c r="L17" i="207" s="1"/>
  <c r="L111" i="196"/>
  <c r="L150" i="196"/>
  <c r="L21" i="206"/>
  <c r="M80" i="208" s="1"/>
  <c r="L106" i="192"/>
  <c r="L111" i="192" s="1"/>
  <c r="L269" i="211"/>
  <c r="R80" i="218" s="1"/>
  <c r="L244" i="211"/>
  <c r="L112" i="198"/>
  <c r="L113" i="198"/>
  <c r="L115" i="198" s="1"/>
  <c r="L19" i="206"/>
  <c r="M78" i="208" s="1"/>
  <c r="L106" i="190"/>
  <c r="L111" i="190" s="1"/>
  <c r="N351" i="135"/>
  <c r="A351" i="135" s="1"/>
  <c r="A10" i="135" s="1"/>
  <c r="M56" i="68" s="1"/>
  <c r="T575" i="217"/>
  <c r="N351" i="148"/>
  <c r="A351" i="148" s="1"/>
  <c r="A10" i="148" s="1"/>
  <c r="M69" i="68" s="1"/>
  <c r="N350" i="141"/>
  <c r="N368" i="141" s="1"/>
  <c r="N370" i="141" s="1"/>
  <c r="N351" i="141"/>
  <c r="A351" i="141" s="1"/>
  <c r="A10" i="141" s="1"/>
  <c r="M61" i="68" s="1"/>
  <c r="A118" i="199"/>
  <c r="A10" i="199" s="1"/>
  <c r="M91" i="68" s="1"/>
  <c r="T514" i="217"/>
  <c r="T577" i="217" s="1"/>
  <c r="N350" i="140"/>
  <c r="N96" i="102"/>
  <c r="N40" i="95"/>
  <c r="N65" i="95" s="1"/>
  <c r="L114" i="191"/>
  <c r="L116" i="191" s="1"/>
  <c r="L118" i="191" s="1"/>
  <c r="L117" i="191"/>
  <c r="R84" i="218"/>
  <c r="M74" i="208"/>
  <c r="L17" i="210"/>
  <c r="L56" i="211" s="1"/>
  <c r="L112" i="186"/>
  <c r="L113" i="186"/>
  <c r="L115" i="186" s="1"/>
  <c r="L112" i="187" l="1"/>
  <c r="L113" i="187"/>
  <c r="L115" i="187" s="1"/>
  <c r="N68" i="102"/>
  <c r="L156" i="196"/>
  <c r="A156" i="196" s="1"/>
  <c r="L14" i="206"/>
  <c r="L106" i="185"/>
  <c r="L111" i="185" s="1"/>
  <c r="L114" i="198"/>
  <c r="L116" i="198" s="1"/>
  <c r="L118" i="198" s="1"/>
  <c r="L117" i="198"/>
  <c r="L112" i="196"/>
  <c r="L113" i="196"/>
  <c r="L115" i="196" s="1"/>
  <c r="N38" i="102"/>
  <c r="T330" i="217"/>
  <c r="N52" i="95"/>
  <c r="N108" i="102"/>
  <c r="A10" i="140"/>
  <c r="M53" i="68" s="1"/>
  <c r="T415" i="217"/>
  <c r="L35" i="205"/>
  <c r="L36" i="205"/>
  <c r="T417" i="217" s="1"/>
  <c r="L26" i="209"/>
  <c r="L258" i="209" s="1"/>
  <c r="L27" i="210" s="1"/>
  <c r="L66" i="211" s="1"/>
  <c r="M84" i="208"/>
  <c r="T616" i="217"/>
  <c r="T620" i="217" s="1"/>
  <c r="T357" i="217"/>
  <c r="N368" i="140"/>
  <c r="N370" i="140" s="1"/>
  <c r="N351" i="140"/>
  <c r="A351" i="140" s="1"/>
  <c r="L112" i="190"/>
  <c r="L113" i="190"/>
  <c r="L115" i="190" s="1"/>
  <c r="L113" i="192"/>
  <c r="L115" i="192" s="1"/>
  <c r="L112" i="192"/>
  <c r="L18" i="209"/>
  <c r="L250" i="209" s="1"/>
  <c r="L19" i="210" s="1"/>
  <c r="L58" i="211" s="1"/>
  <c r="L22" i="206"/>
  <c r="M81" i="208" s="1"/>
  <c r="L106" i="193"/>
  <c r="L111" i="193" s="1"/>
  <c r="AM34" i="95"/>
  <c r="N57" i="95"/>
  <c r="L112" i="189"/>
  <c r="L113" i="189"/>
  <c r="L115" i="189" s="1"/>
  <c r="T386" i="217"/>
  <c r="L35" i="207"/>
  <c r="L15" i="209"/>
  <c r="L247" i="209" s="1"/>
  <c r="M73" i="208"/>
  <c r="L36" i="207"/>
  <c r="T388" i="217" s="1"/>
  <c r="T573" i="217"/>
  <c r="T574" i="217"/>
  <c r="L106" i="188"/>
  <c r="L111" i="188" s="1"/>
  <c r="L17" i="206"/>
  <c r="M76" i="208" s="1"/>
  <c r="L261" i="211"/>
  <c r="R72" i="218" s="1"/>
  <c r="L236" i="211"/>
  <c r="S564" i="217"/>
  <c r="T524" i="217"/>
  <c r="A118" i="202"/>
  <c r="A10" i="202" s="1"/>
  <c r="M94" i="68" s="1"/>
  <c r="T576" i="217"/>
  <c r="L112" i="201"/>
  <c r="L113" i="201"/>
  <c r="L115" i="201" s="1"/>
  <c r="L114" i="186"/>
  <c r="L116" i="186" s="1"/>
  <c r="L118" i="186" s="1"/>
  <c r="L117" i="186"/>
  <c r="A118" i="191"/>
  <c r="A10" i="191" s="1"/>
  <c r="M83" i="68" s="1"/>
  <c r="L254" i="211"/>
  <c r="L229" i="211"/>
  <c r="T481" i="217"/>
  <c r="L114" i="187" l="1"/>
  <c r="L116" i="187" s="1"/>
  <c r="L118" i="187" s="1"/>
  <c r="L117" i="187"/>
  <c r="L264" i="211"/>
  <c r="R75" i="218" s="1"/>
  <c r="L239" i="211"/>
  <c r="L37" i="207"/>
  <c r="L112" i="185"/>
  <c r="L113" i="185"/>
  <c r="L115" i="185" s="1"/>
  <c r="L16" i="210"/>
  <c r="L55" i="211" s="1"/>
  <c r="L267" i="209"/>
  <c r="L36" i="210" s="1"/>
  <c r="L75" i="211" s="1"/>
  <c r="L117" i="189"/>
  <c r="L114" i="189"/>
  <c r="L116" i="189" s="1"/>
  <c r="L118" i="189" s="1"/>
  <c r="T586" i="217"/>
  <c r="T584" i="217"/>
  <c r="T585" i="217"/>
  <c r="T583" i="217"/>
  <c r="T587" i="217"/>
  <c r="T477" i="217"/>
  <c r="L231" i="211"/>
  <c r="L256" i="211"/>
  <c r="R67" i="218" s="1"/>
  <c r="L117" i="190"/>
  <c r="L114" i="190"/>
  <c r="L116" i="190" s="1"/>
  <c r="L118" i="190" s="1"/>
  <c r="L37" i="205"/>
  <c r="AM35" i="95"/>
  <c r="N77" i="95"/>
  <c r="L117" i="196"/>
  <c r="L114" i="196"/>
  <c r="L116" i="196" s="1"/>
  <c r="L118" i="196" s="1"/>
  <c r="T444" i="217"/>
  <c r="T479" i="217" s="1"/>
  <c r="L35" i="206"/>
  <c r="L36" i="206"/>
  <c r="T446" i="217" s="1"/>
  <c r="L114" i="201"/>
  <c r="L116" i="201" s="1"/>
  <c r="L118" i="201" s="1"/>
  <c r="L117" i="201"/>
  <c r="L112" i="188"/>
  <c r="L113" i="188"/>
  <c r="L115" i="188" s="1"/>
  <c r="L113" i="193"/>
  <c r="L115" i="193" s="1"/>
  <c r="L112" i="193"/>
  <c r="L117" i="192"/>
  <c r="L114" i="192"/>
  <c r="L116" i="192" s="1"/>
  <c r="L118" i="192" s="1"/>
  <c r="T622" i="217"/>
  <c r="T626" i="217" s="1"/>
  <c r="T359" i="217"/>
  <c r="A118" i="198"/>
  <c r="A10" i="198" s="1"/>
  <c r="M90" i="68" s="1"/>
  <c r="A118" i="186"/>
  <c r="A10" i="186" s="1"/>
  <c r="M78" i="68" s="1"/>
  <c r="R65" i="218"/>
  <c r="A118" i="187" l="1"/>
  <c r="A10" i="187" s="1"/>
  <c r="M79" i="68" s="1"/>
  <c r="T588" i="217"/>
  <c r="T483" i="217"/>
  <c r="T475" i="217"/>
  <c r="A118" i="196"/>
  <c r="A10" i="196" s="1"/>
  <c r="M88" i="68" s="1"/>
  <c r="T473" i="217"/>
  <c r="A118" i="192"/>
  <c r="A10" i="192" s="1"/>
  <c r="M84" i="68" s="1"/>
  <c r="L114" i="188"/>
  <c r="L116" i="188" s="1"/>
  <c r="L118" i="188" s="1"/>
  <c r="L117" i="188"/>
  <c r="L37" i="206"/>
  <c r="A118" i="190"/>
  <c r="A10" i="190" s="1"/>
  <c r="M82" i="68" s="1"/>
  <c r="A118" i="189"/>
  <c r="A10" i="189" s="1"/>
  <c r="M81" i="68" s="1"/>
  <c r="L114" i="185"/>
  <c r="L116" i="185" s="1"/>
  <c r="L118" i="185" s="1"/>
  <c r="A118" i="185" s="1"/>
  <c r="A10" i="185" s="1"/>
  <c r="M77" i="68" s="1"/>
  <c r="L117" i="185"/>
  <c r="L228" i="211"/>
  <c r="L248" i="211" s="1"/>
  <c r="L253" i="211"/>
  <c r="L117" i="193"/>
  <c r="L114" i="193"/>
  <c r="L116" i="193" s="1"/>
  <c r="L118" i="193" s="1"/>
  <c r="A118" i="201"/>
  <c r="A10" i="201" s="1"/>
  <c r="M93" i="68" s="1"/>
  <c r="M93" i="208"/>
  <c r="R85" i="218"/>
  <c r="A118" i="193" l="1"/>
  <c r="A10" i="193" s="1"/>
  <c r="M85" i="68" s="1"/>
  <c r="A118" i="188"/>
  <c r="A10" i="188" s="1"/>
  <c r="M80" i="68" s="1"/>
  <c r="M17" i="68" s="1"/>
  <c r="R64" i="218"/>
  <c r="R86" i="218" s="1"/>
  <c r="L273" i="211"/>
  <c r="B74" i="69" l="1"/>
  <c r="H10" i="68"/>
</calcChain>
</file>

<file path=xl/sharedStrings.xml><?xml version="1.0" encoding="utf-8"?>
<sst xmlns="http://schemas.openxmlformats.org/spreadsheetml/2006/main" count="6069" uniqueCount="1774">
  <si>
    <t>History</t>
  </si>
  <si>
    <t>English</t>
  </si>
  <si>
    <t>Physics</t>
  </si>
  <si>
    <t>Chemistry</t>
  </si>
  <si>
    <t>Geography</t>
  </si>
  <si>
    <t>Music</t>
  </si>
  <si>
    <t>Drama</t>
  </si>
  <si>
    <t>Biology</t>
  </si>
  <si>
    <t>Total</t>
  </si>
  <si>
    <t>Details</t>
  </si>
  <si>
    <t>Name</t>
  </si>
  <si>
    <t>Calculations</t>
  </si>
  <si>
    <t>Administration</t>
  </si>
  <si>
    <t>Contents</t>
  </si>
  <si>
    <t>Version name</t>
  </si>
  <si>
    <t>Model name</t>
  </si>
  <si>
    <t>Table Key</t>
  </si>
  <si>
    <t>ModelBanner</t>
  </si>
  <si>
    <t>Model banner</t>
  </si>
  <si>
    <t>CurrentVersion</t>
  </si>
  <si>
    <t>Version</t>
  </si>
  <si>
    <t>ModelName</t>
  </si>
  <si>
    <t>Model Name</t>
  </si>
  <si>
    <t>Model Details</t>
  </si>
  <si>
    <t>Where does this sheet feed into?</t>
  </si>
  <si>
    <t>Outputs</t>
  </si>
  <si>
    <t>What does this sheet do?</t>
  </si>
  <si>
    <t>What does the spreadsheet do?</t>
  </si>
  <si>
    <t>Map of Sheets</t>
  </si>
  <si>
    <t>Subject groupings defined</t>
  </si>
  <si>
    <t>Map of sheets</t>
  </si>
  <si>
    <t>Data Inputs</t>
  </si>
  <si>
    <t>Input data</t>
  </si>
  <si>
    <t>Info sheet</t>
  </si>
  <si>
    <t>What data does it use from elsewhere?</t>
  </si>
  <si>
    <t>Primary phase</t>
  </si>
  <si>
    <t>Subjects high level:</t>
  </si>
  <si>
    <t>Notes</t>
  </si>
  <si>
    <t>Defines the phases and subjects as modelled in the TSM.</t>
  </si>
  <si>
    <t>Tab enabling users to select scenarios to be used in the model calculations.</t>
  </si>
  <si>
    <t>Pupils FTE KS3</t>
  </si>
  <si>
    <t>Pupils FTE KS4</t>
  </si>
  <si>
    <t>Pupils FTE KS5</t>
  </si>
  <si>
    <t>Primary</t>
  </si>
  <si>
    <t>Others</t>
  </si>
  <si>
    <t>Secondary total</t>
  </si>
  <si>
    <t>1. Teaching stocks data (broken down by age group and gender)</t>
  </si>
  <si>
    <t>Qualified stocks</t>
  </si>
  <si>
    <t>Age group</t>
  </si>
  <si>
    <t>Male</t>
  </si>
  <si>
    <t>Female</t>
  </si>
  <si>
    <t>20-24</t>
  </si>
  <si>
    <t>25-29</t>
  </si>
  <si>
    <t>30-34</t>
  </si>
  <si>
    <t>35-39</t>
  </si>
  <si>
    <t>40-44</t>
  </si>
  <si>
    <t>45-49</t>
  </si>
  <si>
    <t>50-54</t>
  </si>
  <si>
    <t>55-59</t>
  </si>
  <si>
    <t>60-64</t>
  </si>
  <si>
    <t>65 plus</t>
  </si>
  <si>
    <t>Unqualified stocks</t>
  </si>
  <si>
    <t>Subject</t>
  </si>
  <si>
    <t>2. Secondary workforce timetable data</t>
  </si>
  <si>
    <t>What is it?</t>
  </si>
  <si>
    <t>Additional notes</t>
  </si>
  <si>
    <t>4. Wastage rates data</t>
  </si>
  <si>
    <t xml:space="preserve">TO BE UPDATED EACH NEW MODEL </t>
  </si>
  <si>
    <t>Version of the PPM</t>
  </si>
  <si>
    <t>1. Data inputs on the qualified and unqualified stocks from the raw data inputs tab</t>
  </si>
  <si>
    <t>Qualified stock</t>
  </si>
  <si>
    <t>Total stocks</t>
  </si>
  <si>
    <t>Calculated from the inputs above with the unqualified and qualified stocks combined together.</t>
  </si>
  <si>
    <t>Check</t>
  </si>
  <si>
    <t>Year</t>
  </si>
  <si>
    <t>Year 1</t>
  </si>
  <si>
    <t>State Funded Primary Pupils (FTE)</t>
  </si>
  <si>
    <t>2. Age group breakdown in the stock of both genders for all subjects in first year.</t>
  </si>
  <si>
    <t>Key stage 3</t>
  </si>
  <si>
    <t>Key stage 4</t>
  </si>
  <si>
    <t>Key stage 5</t>
  </si>
  <si>
    <t>Teacher change factor</t>
  </si>
  <si>
    <t>Total teachers FTE</t>
  </si>
  <si>
    <t>Historical Teacher numbers</t>
  </si>
  <si>
    <t>All teachers required FTE</t>
  </si>
  <si>
    <t>Classics</t>
  </si>
  <si>
    <t>Proportion expected to be unqualified FTE</t>
  </si>
  <si>
    <t>Time (total hrs) spent teaching each subject at</t>
  </si>
  <si>
    <t>Pupil projection figures</t>
  </si>
  <si>
    <t>Academic year</t>
  </si>
  <si>
    <t>Broken down by percent</t>
  </si>
  <si>
    <t>FTE rate</t>
  </si>
  <si>
    <t>FTE rates for subject</t>
  </si>
  <si>
    <t>FTE stock of qualified teachers all subjects</t>
  </si>
  <si>
    <t>FTE stock of unqualified teachers all subjects</t>
  </si>
  <si>
    <t>Unqualified stock</t>
  </si>
  <si>
    <t>Qualified stock FTE</t>
  </si>
  <si>
    <t>Unqualified stock FTE</t>
  </si>
  <si>
    <t>Total stock FTE</t>
  </si>
  <si>
    <t>All teachers FTE</t>
  </si>
  <si>
    <t>Unqualified teacher rate</t>
  </si>
  <si>
    <t>Phase/subject</t>
  </si>
  <si>
    <t>2. Forecast stock figures by headcount</t>
  </si>
  <si>
    <t>Computing</t>
  </si>
  <si>
    <t>2. Calculation of wastage rates</t>
  </si>
  <si>
    <t xml:space="preserve">MALE leaving as wastage </t>
  </si>
  <si>
    <t xml:space="preserve">FEMALE leaving as wastage </t>
  </si>
  <si>
    <t>MALE calculated wastage rates</t>
  </si>
  <si>
    <t>FEMALE calculated wastage rates</t>
  </si>
  <si>
    <t>MALE weighted wastage rates</t>
  </si>
  <si>
    <t>Weightings</t>
  </si>
  <si>
    <t>FEMALE weighted wastage rates</t>
  </si>
  <si>
    <t>2. Calculation of retirement rates</t>
  </si>
  <si>
    <t>MALE leaving as retirements</t>
  </si>
  <si>
    <t>FEMALE leaving as retirements</t>
  </si>
  <si>
    <t>MALE calculated retirement rates</t>
  </si>
  <si>
    <t>FEMALE calculated retirement rates</t>
  </si>
  <si>
    <t>MALE weighted retirement rates</t>
  </si>
  <si>
    <t>FEMALE weighted retirement rates</t>
  </si>
  <si>
    <t>n/a</t>
  </si>
  <si>
    <t xml:space="preserve">  </t>
  </si>
  <si>
    <t>3. Teaching stocks high level data</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</si>
  <si>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</si>
  <si>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</si>
  <si>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</si>
  <si>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</si>
  <si>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</si>
  <si>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</si>
  <si>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</si>
  <si>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</si>
  <si>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</si>
  <si>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</si>
  <si>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</si>
  <si>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</si>
  <si>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</si>
  <si>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</si>
  <si>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</si>
  <si>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</si>
  <si>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</si>
  <si>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</si>
  <si>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</si>
  <si>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</si>
  <si>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6. Retirement rates data</t>
  </si>
  <si>
    <t>3. Projected wastage rates using scalars</t>
  </si>
  <si>
    <t>Male projected wastage rates</t>
  </si>
  <si>
    <t>Female projected wastage rates</t>
  </si>
  <si>
    <t>8. Entrants data</t>
  </si>
  <si>
    <t>PRIMARY Age group breakdown of entrants</t>
  </si>
  <si>
    <t>SECONDARY Age group breakdown of entrants</t>
  </si>
  <si>
    <t>2. Current age and gender breakdowns</t>
  </si>
  <si>
    <t>5. Projection of the age of the starting stock</t>
  </si>
  <si>
    <t>6. Projected wastage</t>
  </si>
  <si>
    <t>7. Projected retirements</t>
  </si>
  <si>
    <t>9. Total leavers</t>
  </si>
  <si>
    <t>10. Starting stock minus leavers</t>
  </si>
  <si>
    <t>4. FTE, unqualified teacher rates and current stocks.</t>
  </si>
  <si>
    <t>Current qualified stock by headcount</t>
  </si>
  <si>
    <t>4. Starting stocks each year</t>
  </si>
  <si>
    <t>1. Entrants age group breakdowns</t>
  </si>
  <si>
    <t>SECONDARY Entrant figures</t>
  </si>
  <si>
    <t>2. Calculation of entrant age group breakdown</t>
  </si>
  <si>
    <t>SECONDARY weighted entrant age group rates</t>
  </si>
  <si>
    <t>13. Age breakdown of the expected entrants</t>
  </si>
  <si>
    <t>14. Age breakdown of the final stock</t>
  </si>
  <si>
    <t>All tabs and cells are colour coded according to what they do.</t>
  </si>
  <si>
    <t>QA Check</t>
  </si>
  <si>
    <t>Raw data inputs sheet.</t>
  </si>
  <si>
    <t>Calculation SEC wastage rates.</t>
  </si>
  <si>
    <t>High pupil projections scenario</t>
  </si>
  <si>
    <t>Low pupil projections scenario</t>
  </si>
  <si>
    <t>2024/25</t>
  </si>
  <si>
    <t>2025/26</t>
  </si>
  <si>
    <t>2026/27</t>
  </si>
  <si>
    <t>Calculation PRIM wastage rates.</t>
  </si>
  <si>
    <t>Raw data input sheets.</t>
  </si>
  <si>
    <t>Values calculated by current model (using scenarios selected)</t>
  </si>
  <si>
    <t>Current subject FTE rates</t>
  </si>
  <si>
    <t>1. Projected starting stock figures by headcount (qualified only)</t>
  </si>
  <si>
    <t>2. High pupil projections</t>
  </si>
  <si>
    <t>3. Low pupil projections</t>
  </si>
  <si>
    <t>4. Current pupil stock numbers</t>
  </si>
  <si>
    <t>Biology Leavers</t>
  </si>
  <si>
    <t>Biology Retirements</t>
  </si>
  <si>
    <t>Biology Wastage</t>
  </si>
  <si>
    <t>Chemistry Leavers</t>
  </si>
  <si>
    <t>Chemistry Retirements</t>
  </si>
  <si>
    <t>Chemistry Wastage</t>
  </si>
  <si>
    <t>Classics Leavers</t>
  </si>
  <si>
    <t>Classics Retirements</t>
  </si>
  <si>
    <t>Classics Wastage</t>
  </si>
  <si>
    <t>Computing Leavers</t>
  </si>
  <si>
    <t>Computing Retirements</t>
  </si>
  <si>
    <t>Computing Wastage</t>
  </si>
  <si>
    <t>Primary Leavers</t>
  </si>
  <si>
    <t>Primary Retirements</t>
  </si>
  <si>
    <t>Primary Wastage</t>
  </si>
  <si>
    <t>Drama Leavers</t>
  </si>
  <si>
    <t>Drama Retirements</t>
  </si>
  <si>
    <t>Drama Wastage</t>
  </si>
  <si>
    <r>
      <t xml:space="preserve">Take into account potential </t>
    </r>
    <r>
      <rPr>
        <b/>
        <i/>
        <u/>
        <sz val="12"/>
        <rFont val="Arial"/>
        <family val="2"/>
      </rPr>
      <t>oversupply</t>
    </r>
    <r>
      <rPr>
        <b/>
        <u/>
        <sz val="12"/>
        <rFont val="Arial"/>
        <family val="2"/>
      </rPr>
      <t xml:space="preserve"> of existing supply</t>
    </r>
  </si>
  <si>
    <t>English Leavers</t>
  </si>
  <si>
    <t>English Retirements</t>
  </si>
  <si>
    <t>English Wastage</t>
  </si>
  <si>
    <t>Geography Leavers</t>
  </si>
  <si>
    <t>Geography Retirements</t>
  </si>
  <si>
    <t>Geography Wastage</t>
  </si>
  <si>
    <t>History Leavers</t>
  </si>
  <si>
    <t>History Retirements</t>
  </si>
  <si>
    <t>History Wastage</t>
  </si>
  <si>
    <t>Music Leavers</t>
  </si>
  <si>
    <t>Music Retirements</t>
  </si>
  <si>
    <t>Music Wastage</t>
  </si>
  <si>
    <t>Others Leavers</t>
  </si>
  <si>
    <t>Others Retirements</t>
  </si>
  <si>
    <t>Others Wastage</t>
  </si>
  <si>
    <t>Physics Leavers</t>
  </si>
  <si>
    <t>Physics Retirements</t>
  </si>
  <si>
    <t>Physics Wastage</t>
  </si>
  <si>
    <t>Takes the raw data inputs into the model from all input sources.</t>
  </si>
  <si>
    <t>Map of the sheets in this spreadsheet.</t>
  </si>
  <si>
    <t>Stock ages breakdowns</t>
  </si>
  <si>
    <t>Forecast stock figures</t>
  </si>
  <si>
    <t>Entrant age breakdowns</t>
  </si>
  <si>
    <t>Pupils data scenarios</t>
  </si>
  <si>
    <t>Projected SEC wastage rates</t>
  </si>
  <si>
    <t>Stock calculations</t>
  </si>
  <si>
    <t>Male Low</t>
  </si>
  <si>
    <t>Male High</t>
  </si>
  <si>
    <t>Female Low</t>
  </si>
  <si>
    <t>Female High</t>
  </si>
  <si>
    <t>1. Wastage scalars</t>
  </si>
  <si>
    <t>Male scalar selected</t>
  </si>
  <si>
    <t>2. Pupil projections</t>
  </si>
  <si>
    <t>Pupils FTE KS3 High</t>
  </si>
  <si>
    <t>Pupils FTE KS4 High</t>
  </si>
  <si>
    <t>Pupils FTE KS5 High</t>
  </si>
  <si>
    <t>Pupils FTE KS3 Low</t>
  </si>
  <si>
    <t>Pupils FTE KS4 Low</t>
  </si>
  <si>
    <t>Pupils FTE KS5 Low</t>
  </si>
  <si>
    <t>KS3</t>
  </si>
  <si>
    <t>Primary age</t>
  </si>
  <si>
    <t>KS4</t>
  </si>
  <si>
    <t>KS5</t>
  </si>
  <si>
    <t>Primary age Pupils (FTE) High</t>
  </si>
  <si>
    <t>Primary age Pupils (FTE) Low</t>
  </si>
  <si>
    <t>Secondary</t>
  </si>
  <si>
    <t>Cap used</t>
  </si>
  <si>
    <t>Rate used</t>
  </si>
  <si>
    <t>The raw data inputs tab.</t>
  </si>
  <si>
    <t>Total Retirements</t>
  </si>
  <si>
    <t>Male Central</t>
  </si>
  <si>
    <t>Female Central</t>
  </si>
  <si>
    <t>Primary age Pupils (FTE) Central</t>
  </si>
  <si>
    <t>Pupils FTE KS3 Central</t>
  </si>
  <si>
    <t>Pupils FTE KS4 Central</t>
  </si>
  <si>
    <t>Pupils FTE KS5 Central</t>
  </si>
  <si>
    <t>Teacher need by subject</t>
  </si>
  <si>
    <t>Teacher need charts over time</t>
  </si>
  <si>
    <t>3. Calculating additional teachers required from policies or initiatives affecting teacher need</t>
  </si>
  <si>
    <t>Scale up demand to provide teacher need by subject figures by headcount</t>
  </si>
  <si>
    <t>Scale down teacher need to provide final qualified teacher need by subject figures by headcount.</t>
  </si>
  <si>
    <t>1. Teacher need figures by headcount</t>
  </si>
  <si>
    <t>3. Projected qualified teacher need by headcount</t>
  </si>
  <si>
    <t xml:space="preserve">Entrant need </t>
  </si>
  <si>
    <t>If the stock is oversupplied, the 'entrant need' would be negative. To counteract this, the minimum 'entrant need' is set to zero.</t>
  </si>
  <si>
    <t>take away the teacher need from the starting stock and add on the expected wastage</t>
  </si>
  <si>
    <t>Raw entrant need</t>
  </si>
  <si>
    <t>Compiles the teacher need values calculated by the model.</t>
  </si>
  <si>
    <t>Primary PTR cap manual values</t>
  </si>
  <si>
    <t>Secondary PTR cap manual values</t>
  </si>
  <si>
    <t xml:space="preserve">enter a value </t>
  </si>
  <si>
    <t>Primary PTR change rate</t>
  </si>
  <si>
    <t>Secondary PTR change rate</t>
  </si>
  <si>
    <t>Manual entered value (selected below)</t>
  </si>
  <si>
    <t>Highest Cap (24)</t>
  </si>
  <si>
    <t>2nd Highest Cap (23)</t>
  </si>
  <si>
    <t>Central Cap (22)</t>
  </si>
  <si>
    <t>2nd Lowest Cap (21)</t>
  </si>
  <si>
    <t>Lowest Cap (19.82)</t>
  </si>
  <si>
    <t>Highest Cap (17)</t>
  </si>
  <si>
    <t>2nd Highest Cap (16.5)</t>
  </si>
  <si>
    <t>Central Cap (16)</t>
  </si>
  <si>
    <t>2nd Lowest Cap (15.5)</t>
  </si>
  <si>
    <t>Lowest Cap (14.98)</t>
  </si>
  <si>
    <t>This sheet provides a map showing how the different parts of the model feed into one another.</t>
  </si>
  <si>
    <t>Extreme Cap (30)</t>
  </si>
  <si>
    <t>Extreme Cap (20)</t>
  </si>
  <si>
    <r>
      <t xml:space="preserve">The </t>
    </r>
    <r>
      <rPr>
        <b/>
        <i/>
        <sz val="10"/>
        <rFont val="Arial"/>
        <family val="2"/>
      </rPr>
      <t>central</t>
    </r>
    <r>
      <rPr>
        <i/>
        <sz val="10"/>
        <rFont val="Arial"/>
        <family val="2"/>
      </rPr>
      <t xml:space="preserve"> caps are based on the highest PTRs observed around the start of the millennium.</t>
    </r>
  </si>
  <si>
    <r>
      <t xml:space="preserve">There is also the opportunity to use </t>
    </r>
    <r>
      <rPr>
        <b/>
        <i/>
        <sz val="10"/>
        <rFont val="Arial"/>
        <family val="2"/>
      </rPr>
      <t>manually selected</t>
    </r>
    <r>
      <rPr>
        <i/>
        <sz val="10"/>
        <rFont val="Arial"/>
        <family val="2"/>
      </rPr>
      <t xml:space="preserve"> cap values by using the drop down menu and entering values (e.g. 21) in the grey boxes below.</t>
    </r>
  </si>
  <si>
    <r>
      <t xml:space="preserve">There is also the opportunity to use </t>
    </r>
    <r>
      <rPr>
        <b/>
        <i/>
        <sz val="10"/>
        <rFont val="Arial"/>
        <family val="2"/>
      </rPr>
      <t>manually selected</t>
    </r>
    <r>
      <rPr>
        <i/>
        <sz val="10"/>
        <rFont val="Arial"/>
        <family val="2"/>
      </rPr>
      <t xml:space="preserve"> PTR change rate values by using the drop down menu and entering values (e.g. 0.4) in the grey boxes below.</t>
    </r>
  </si>
  <si>
    <t xml:space="preserve">Primary </t>
  </si>
  <si>
    <t>Female teachers</t>
  </si>
  <si>
    <t>Compiles and summarises all the data used by the model as assumptions.</t>
  </si>
  <si>
    <t>Primary PTR cap</t>
  </si>
  <si>
    <t>Secondary PTR cap</t>
  </si>
  <si>
    <t>These values are the percentage rates at which PTR will change for each 1% change in the pupil population. They are used by the model to calculate how the PTR will change over time (the PTR is used to estimate the teacher need).</t>
  </si>
  <si>
    <t>These values are the PTR caps used by the model to calculate how the PTR will change over time. The PTR is used to estimate the teacher need.</t>
  </si>
  <si>
    <t>5. Weighted retirement rates</t>
  </si>
  <si>
    <t>The rates are used to estimate what percentage of each age group will retire in a given year.</t>
  </si>
  <si>
    <t>7. Weighted wastage rates</t>
  </si>
  <si>
    <t>8. Projected wastage rates</t>
  </si>
  <si>
    <t>The rates are used to estimate what percentage of each age group will leave as wastage in a given year going forward.</t>
  </si>
  <si>
    <t>9. Stock calculations of FTE and unqualified rates</t>
  </si>
  <si>
    <t>These calculations show the Full Time Equivalent and unqualified rates for the different subjects.</t>
  </si>
  <si>
    <t>10. Assumed teacher need and PTRs over time</t>
  </si>
  <si>
    <t>PTR</t>
  </si>
  <si>
    <t>Teacher need (FTE)</t>
  </si>
  <si>
    <t>11. Teaching time required per pupil at KS3, KS4 and KS5 in each subject (hrs).</t>
  </si>
  <si>
    <t>12. Weighted entrant ages</t>
  </si>
  <si>
    <t>The rates are used to estimate what the age group breakdown will be for entrants in a given year.</t>
  </si>
  <si>
    <t>Secondary teachers</t>
  </si>
  <si>
    <t xml:space="preserve">MALE SECONDARY Starting Stock figures </t>
  </si>
  <si>
    <t xml:space="preserve">FEMALE SECONDARY Starting Stock figures </t>
  </si>
  <si>
    <t xml:space="preserve">FEMALE PRIMARY Starting Stock figures </t>
  </si>
  <si>
    <t xml:space="preserve">MALE PRIMARY Starting Stock figures </t>
  </si>
  <si>
    <t>Users can select different projected pupil population scenarios.</t>
  </si>
  <si>
    <r>
      <t xml:space="preserve">The </t>
    </r>
    <r>
      <rPr>
        <b/>
        <i/>
        <sz val="10"/>
        <rFont val="Arial"/>
        <family val="2"/>
      </rPr>
      <t>highest</t>
    </r>
    <r>
      <rPr>
        <i/>
        <sz val="10"/>
        <rFont val="Arial"/>
        <family val="2"/>
      </rPr>
      <t xml:space="preserve"> caps are based on the PTRs observed in the 1970s when pupil populations reached the maximum levels seen in the last 50 years. </t>
    </r>
  </si>
  <si>
    <r>
      <t xml:space="preserve">The </t>
    </r>
    <r>
      <rPr>
        <b/>
        <i/>
        <sz val="10"/>
        <rFont val="Arial"/>
        <family val="2"/>
      </rPr>
      <t>central</t>
    </r>
    <r>
      <rPr>
        <i/>
        <sz val="10"/>
        <rFont val="Arial"/>
        <family val="2"/>
      </rPr>
      <t xml:space="preserve"> rate is based on the PTR change rates observed during the longer term increases in PTR seen at the start of the millennium. The </t>
    </r>
    <r>
      <rPr>
        <b/>
        <i/>
        <sz val="10"/>
        <rFont val="Arial"/>
        <family val="2"/>
      </rPr>
      <t>2nd</t>
    </r>
    <r>
      <rPr>
        <i/>
        <sz val="10"/>
        <rFont val="Arial"/>
        <family val="2"/>
      </rPr>
      <t xml:space="preserve"> </t>
    </r>
    <r>
      <rPr>
        <b/>
        <i/>
        <sz val="10"/>
        <rFont val="Arial"/>
        <family val="2"/>
      </rPr>
      <t>highest</t>
    </r>
    <r>
      <rPr>
        <i/>
        <sz val="10"/>
        <rFont val="Arial"/>
        <family val="2"/>
      </rPr>
      <t xml:space="preserve"> and </t>
    </r>
    <r>
      <rPr>
        <b/>
        <i/>
        <sz val="10"/>
        <rFont val="Arial"/>
        <family val="2"/>
      </rPr>
      <t>2nd lowest</t>
    </r>
    <r>
      <rPr>
        <i/>
        <sz val="10"/>
        <rFont val="Arial"/>
        <family val="2"/>
      </rPr>
      <t xml:space="preserve"> rates are based on the </t>
    </r>
    <r>
      <rPr>
        <b/>
        <i/>
        <sz val="10"/>
        <rFont val="Arial"/>
        <family val="2"/>
      </rPr>
      <t xml:space="preserve">most rapid </t>
    </r>
    <r>
      <rPr>
        <i/>
        <sz val="10"/>
        <rFont val="Arial"/>
        <family val="2"/>
      </rPr>
      <t>changes in PTR around the start of the millennium. Alternative scenarios of slightly higher/lower rates are also supplied for comparison.</t>
    </r>
  </si>
  <si>
    <t>Total Wastage</t>
  </si>
  <si>
    <t>Total Leavers</t>
  </si>
  <si>
    <t>Primary age pupils</t>
  </si>
  <si>
    <t>KS3 pupils</t>
  </si>
  <si>
    <t>KS4 pupils</t>
  </si>
  <si>
    <t>KS5 pupils</t>
  </si>
  <si>
    <t>Primary age LOW</t>
  </si>
  <si>
    <t>Primary age HIGH</t>
  </si>
  <si>
    <t>KS3 LOW</t>
  </si>
  <si>
    <t>KS3 HIGH</t>
  </si>
  <si>
    <t>KS4 LOW</t>
  </si>
  <si>
    <t>KS4 HIGH</t>
  </si>
  <si>
    <t>KS5 LOW</t>
  </si>
  <si>
    <t>KS5 HIGH</t>
  </si>
  <si>
    <t>Calculates the FTE and unqualified rates for the stock.</t>
  </si>
  <si>
    <t>Calculates the age group breakdowns of the stocks.</t>
  </si>
  <si>
    <t>Forecasts how the size of the stock will change over time.</t>
  </si>
  <si>
    <t>Summarises the pupil projection figures using different population scenarios. Also, calculates KS5 pupil projections.</t>
  </si>
  <si>
    <t>Charts summarising teacher need over time.</t>
  </si>
  <si>
    <t>Charts summarising the pupil projections data used by the model.</t>
  </si>
  <si>
    <t>Summarises the assumptions data used by the model for calculations.</t>
  </si>
  <si>
    <t>Entrant need charts over time</t>
  </si>
  <si>
    <t>Assumptions data</t>
  </si>
  <si>
    <t>Entrant need values sheet.</t>
  </si>
  <si>
    <t>Teacher need values sheet.</t>
  </si>
  <si>
    <t>Numerous tabs including data selected by selection tab.</t>
  </si>
  <si>
    <t>The wastage and primary and secondary teacher need calculation tabs plus wastage calculation tabs.</t>
  </si>
  <si>
    <t>Primary teacher need calculations.</t>
  </si>
  <si>
    <t>Secondary teacher need calculations.</t>
  </si>
  <si>
    <t>The values currently selected by the model (via selection tab) are coloured orange.</t>
  </si>
  <si>
    <t>The entrant need calculation tabs.</t>
  </si>
  <si>
    <t>Entrant need calculation tabs.</t>
  </si>
  <si>
    <t>Almost all of the previous calculation (red) tabs feed into this sheet.</t>
  </si>
  <si>
    <t>The output tabs.</t>
  </si>
  <si>
    <t>Phase</t>
  </si>
  <si>
    <t>This is the current PTR (red). The orange values are the projected PTRs we might expect given our assumptions on PTR caps and change rates.</t>
  </si>
  <si>
    <t>Proportion who will be centrally employed or occasional</t>
  </si>
  <si>
    <t>Calculates the age breakdown of the entrants using historical data. This is used to allow for the age breakdown of entrants having an impact on the age group breakdown of the projected stock.</t>
  </si>
  <si>
    <t>Central pupil projections scenario</t>
  </si>
  <si>
    <t>Summarises the leavers over time by wastage as assumed by the model for all subjects in both table and chart form.</t>
  </si>
  <si>
    <t>Summarises the leavers over time by retirement for all subjects as assumed by the model in both table and chart form.</t>
  </si>
  <si>
    <t xml:space="preserve">1. Central pupil projections </t>
  </si>
  <si>
    <t>Policy area</t>
  </si>
  <si>
    <t>Brief description</t>
  </si>
  <si>
    <t>Curriculum changes</t>
  </si>
  <si>
    <t>1. Secondary policy assumptions to be included in the model</t>
  </si>
  <si>
    <t>Assumption to be used</t>
  </si>
  <si>
    <t>Cells where assumptions have been added in are highlighted light red.</t>
  </si>
  <si>
    <t>Primary age CENTRAL</t>
  </si>
  <si>
    <t>KS3 CENTRAL</t>
  </si>
  <si>
    <t>KS4 CENTRAL</t>
  </si>
  <si>
    <t>Time (total hrs) spent teaching to</t>
  </si>
  <si>
    <t>This is the current proportion, we assume this will remain constant.</t>
  </si>
  <si>
    <t>Year-on-year change</t>
  </si>
  <si>
    <t>This is to take into account that as the age demographics of the pupils change, the need for different subjects changes.</t>
  </si>
  <si>
    <t>Recalculated Total</t>
  </si>
  <si>
    <t>The impact on teaching hours of the policy assumptions combined together</t>
  </si>
  <si>
    <t>6. What amount of the total teaching time across KS3-5 is required for each subject in future?</t>
  </si>
  <si>
    <t>Produces figures on how the overall stock sizes will change over time given assumptions on stock size change (meeting teacher need of previous year).</t>
  </si>
  <si>
    <r>
      <t>Error check</t>
    </r>
    <r>
      <rPr>
        <sz val="10"/>
        <color indexed="10"/>
        <rFont val="Arial"/>
        <family val="2"/>
      </rPr>
      <t xml:space="preserve"> (should be equal to 0)</t>
    </r>
  </si>
  <si>
    <t>Primary total</t>
  </si>
  <si>
    <t>KS5 CENTRAL</t>
  </si>
  <si>
    <t>Male Constant</t>
  </si>
  <si>
    <t>Female Constant</t>
  </si>
  <si>
    <t>Time spent teaching (hrs) each subject for each pupil at</t>
  </si>
  <si>
    <t>Constant Cap</t>
  </si>
  <si>
    <t>Charts summarising entrant teacher need over time.</t>
  </si>
  <si>
    <t>9. Pupil projections data</t>
  </si>
  <si>
    <t>16-19 population</t>
  </si>
  <si>
    <t>10. Full Time Equivalent (FTE) teacher data</t>
  </si>
  <si>
    <t>The pupil projection model.</t>
  </si>
  <si>
    <t xml:space="preserve">Values calculated by model using central (default) scenarios </t>
  </si>
  <si>
    <t>Entrant teacher need values calculated by current model (using scenarios selected)</t>
  </si>
  <si>
    <t>Total entrant teacher need</t>
  </si>
  <si>
    <t>Values calculated by model using all central (most likely) scenarios</t>
  </si>
  <si>
    <t>This sheet defines the subjects and phases as modelled in the TSM.</t>
  </si>
  <si>
    <t>This is used to identify how much of the workforce are occasional or centrally employed teachers. Occasional and centrally employed teachers are not included in the stocks tables at the very top of this sheet.</t>
  </si>
  <si>
    <t>FTE rate by phase</t>
  </si>
  <si>
    <t>Food</t>
  </si>
  <si>
    <t>Move one year along when update the model</t>
  </si>
  <si>
    <t>Move along one year when update model</t>
  </si>
  <si>
    <t>To update, move along one year</t>
  </si>
  <si>
    <t>FOOD All Central Scenario</t>
  </si>
  <si>
    <t>Food Leavers</t>
  </si>
  <si>
    <t>Food Retirements</t>
  </si>
  <si>
    <t>Food Wastage</t>
  </si>
  <si>
    <t>FOOD Scenario Selected</t>
  </si>
  <si>
    <t>Includes Chemistry and Combined/General Science (Chemistry).</t>
  </si>
  <si>
    <t>Includes Drama and Performing Arts.</t>
  </si>
  <si>
    <t>Includes English Language and Literature.</t>
  </si>
  <si>
    <t>Includes Food Technology plus Catering &amp; Hospitality.</t>
  </si>
  <si>
    <t>Includes Geography and Geology.</t>
  </si>
  <si>
    <t>Includes History.</t>
  </si>
  <si>
    <t>Includes Mathematics and Statistics.</t>
  </si>
  <si>
    <t>Includes Music.</t>
  </si>
  <si>
    <t>Includes Religious Education and Philosophy.</t>
  </si>
  <si>
    <t>Includes Physics and Combined/General Science (Physics).</t>
  </si>
  <si>
    <t>Includes Physical Education and Sports.</t>
  </si>
  <si>
    <t xml:space="preserve">Pupil projections from the Pupil Projections Model. </t>
  </si>
  <si>
    <t>School Workforce Census data on stocks of qualified/unqualified teachers.</t>
  </si>
  <si>
    <t>School Workforce Census data on the number of teachers entering and leaving the active stock.</t>
  </si>
  <si>
    <t>Is the PTR in excess of the cap?</t>
  </si>
  <si>
    <t>PTR cap</t>
  </si>
  <si>
    <t>Includes Biology, Botany, Zoology, Ecology, Combined/General Science (Biology), and Environmental Science.</t>
  </si>
  <si>
    <t>Assumed wastage conversion rates</t>
  </si>
  <si>
    <t>Group 1</t>
  </si>
  <si>
    <t>Group 2</t>
  </si>
  <si>
    <t>Group 3</t>
  </si>
  <si>
    <t>The rates are used to convert the standard all-subject wastage rate into the rates for the different subjects.</t>
  </si>
  <si>
    <t>Business Studies</t>
  </si>
  <si>
    <t>1. Wastage rates conversion rates by subject group</t>
  </si>
  <si>
    <t>To account for this, we can apply conversion rates to the projected wastage rates already calculated to account for these differences.</t>
  </si>
  <si>
    <t>Group 1 male projected wastage rates</t>
  </si>
  <si>
    <t>Group 1 female projected wastage rates</t>
  </si>
  <si>
    <t>Group 2 male projected wastage rates</t>
  </si>
  <si>
    <t>Group 2 female projected wastage rates</t>
  </si>
  <si>
    <t>Group 3 male projected wastage rates</t>
  </si>
  <si>
    <t>Group 3 female projected wastage rates</t>
  </si>
  <si>
    <t>Group 1 rates</t>
  </si>
  <si>
    <t>Group 2 rates</t>
  </si>
  <si>
    <t>Group 3 rates</t>
  </si>
  <si>
    <t>Under 40</t>
  </si>
  <si>
    <t>The rates are used to estimate what percentage of each age group will leave as wastage in a given year. This will include those going to teach in special schools, schools in Wales, PRUs, non-regular positions, independent schools, and other sectors (e.g. FE and independent schools).</t>
  </si>
  <si>
    <t>The 2014/15 (unpublished) version of the TSM used PTR caps of 19.82 for primary and 14.98 for secondary, they have been added in for comparison.</t>
  </si>
  <si>
    <t>Central rate (0.5% PTR change)</t>
  </si>
  <si>
    <t>2nd Highest rate (0.625% PTR change)</t>
  </si>
  <si>
    <t>Highest rate (0.75% PTR change)</t>
  </si>
  <si>
    <t>2nd Lowest rate (0.375% PTR change)</t>
  </si>
  <si>
    <t>Lowest rate (0.25% PTR change)</t>
  </si>
  <si>
    <t>Highest rate (0.9% PTR change)</t>
  </si>
  <si>
    <t>2nd Highest rate (0.75% PTR change)</t>
  </si>
  <si>
    <t>Central rate (0.6% PTR change)</t>
  </si>
  <si>
    <t>2nd Lowest rate (0.45% PTR change)</t>
  </si>
  <si>
    <t>Lowest rate (0.3% PTR change)</t>
  </si>
  <si>
    <t>Female scalar selected</t>
  </si>
  <si>
    <t>Assume that in one in five teachers of the five year age group moves up to the age group above.</t>
  </si>
  <si>
    <t>Teacher need figures</t>
  </si>
  <si>
    <t>All secondary</t>
  </si>
  <si>
    <t>Secondary ALL LOW</t>
  </si>
  <si>
    <t>Secondary ALL CENTRAL</t>
  </si>
  <si>
    <t>Secondary ALL HIGH</t>
  </si>
  <si>
    <t>Assume same rates as central</t>
  </si>
  <si>
    <t>Core Maths</t>
  </si>
  <si>
    <t>The red cells show where the proportion of hours teaching in that subject have increased, otherwise they should remain the same.</t>
  </si>
  <si>
    <t>Post-16 participation</t>
  </si>
  <si>
    <t>Subject unqualified teacher rates</t>
  </si>
  <si>
    <t>Calculates the entrant teacher need for Business Studies teachers, the number of Business Studies teachers that leave, and how the Business Studies teacher stock changes over time.</t>
  </si>
  <si>
    <t>Calculates the entrant teacher need for Biology teachers, the number of Biology teachers that leave, and how the Biology teacher stock changes over time.</t>
  </si>
  <si>
    <t>Calculates the entrant teacher need for Chemistry teachers, the number of Chemistry teachers that leave, and how the Chemistry teacher stock changes over time.</t>
  </si>
  <si>
    <t>Calculates the entrant teacher need for Classics teachers, the number of Classics teachers that leave, and how the Classics teacher stock changes over time.</t>
  </si>
  <si>
    <t>Calculates the entrant teacher need for Computing teachers, the number of Computing teachers that leave, and how the Computing teacher stock changes over time.</t>
  </si>
  <si>
    <t>Calculates the entrant teacher need for Drama teachers, the number of Drama teachers that leave, and how the Drama teacher stock changes over time.</t>
  </si>
  <si>
    <t>Calculates the entrant teacher need for English teachers, the number of English teachers that leave, and how the English teacher stock changes over time.</t>
  </si>
  <si>
    <t>Calculates the entrant teacher need for Food teachers, the number of Food teachers that leave, and how the Food teacher stock changes over time.</t>
  </si>
  <si>
    <t>Calculates the entrant teacher need for Geography teachers, the number of Geography teachers that leave, and how the Geography teacher stock changes over time.</t>
  </si>
  <si>
    <t>Calculates the entrant teacher need for History teachers, the number of History teachers that leave, and how the History teacher stock changes over time.</t>
  </si>
  <si>
    <t>Calculates the entrant teacher need for Music teachers, the number of Music teachers that leave, and how the Music teacher stock changes over time.</t>
  </si>
  <si>
    <t>Calculates the entrant teacher need for Others teachers, the number of Others teachers that leave, and how the Others teacher stock changes over time.</t>
  </si>
  <si>
    <t>Calculates the entrant teacher need for Physics teachers, the number of Physics teachers that leave, and how the Physics teacher stock changes over time.</t>
  </si>
  <si>
    <t>Data from the Econometric Wastage Model to estimate how wastage rates will change in future.</t>
  </si>
  <si>
    <t>40-49</t>
  </si>
  <si>
    <t>50-59</t>
  </si>
  <si>
    <t>60 plus</t>
  </si>
  <si>
    <t>over 50</t>
  </si>
  <si>
    <t>Should be equal to zero all sheets (cell A3).</t>
  </si>
  <si>
    <t>Deaths over time</t>
  </si>
  <si>
    <t>Includes Design &amp; Technology, Construction and Building, Craft and D &amp; T, Electronics, Engineering, Graphics, Resistant Materials, Manufacturing, Systems &amp; Control, and Textiles.</t>
  </si>
  <si>
    <r>
      <t xml:space="preserve">Is the PTR used in the model each year going forward equal to the PTR cap? </t>
    </r>
    <r>
      <rPr>
        <i/>
        <sz val="10"/>
        <rFont val="Arial"/>
        <family val="2"/>
      </rPr>
      <t xml:space="preserve">(If the answer is 'false' the PTR used in the model in that year is </t>
    </r>
    <r>
      <rPr>
        <i/>
        <u/>
        <sz val="10"/>
        <rFont val="Arial"/>
        <family val="2"/>
      </rPr>
      <t>less</t>
    </r>
    <r>
      <rPr>
        <i/>
        <sz val="10"/>
        <rFont val="Arial"/>
        <family val="2"/>
      </rPr>
      <t xml:space="preserve"> than the PTR cap)</t>
    </r>
  </si>
  <si>
    <t>PRIMARY Scenario Selected</t>
  </si>
  <si>
    <t>BIOLOGY Scenario Selected</t>
  </si>
  <si>
    <t>CHEMISTRY Scenario Selected</t>
  </si>
  <si>
    <t>CLASSICS Scenario Selected</t>
  </si>
  <si>
    <t>COMPUTING Scenario Selected</t>
  </si>
  <si>
    <t>DRAMA Scenario Selected</t>
  </si>
  <si>
    <t>ENGLISH Scenario Selected</t>
  </si>
  <si>
    <t>GEOGRAPHY Scenario Selected</t>
  </si>
  <si>
    <t>HISTORY Scenario Selected</t>
  </si>
  <si>
    <t>MUSIC Scenario Selected</t>
  </si>
  <si>
    <t>OTHERS Scenario Selected</t>
  </si>
  <si>
    <t>PHYSICS Scenario Selected</t>
  </si>
  <si>
    <t xml:space="preserve">Percentage unqualified </t>
  </si>
  <si>
    <t xml:space="preserve">Secondary </t>
  </si>
  <si>
    <t>Teachers are broken down according to the subjects that they teach. For example, if a teacher teaches Drama 0.9 and English 0.1 of the time, they are recorded as being 0.9 Drama and 0.1 English teacher. All teachers are broken down the same way irrespective of their Full Time Equivalent (FTE) rate. Differences in FTE rates between the stocks of different subjects are taken into account elsewhere within the stock derivation calculations.</t>
  </si>
  <si>
    <t>Estimation of centrally employed teachers by phase</t>
  </si>
  <si>
    <t>7. Death in service rates data</t>
  </si>
  <si>
    <t>Pupil Projections Model.</t>
  </si>
  <si>
    <t>Where the data sources used have changed compared to the previous published version of the TSM, this has been stated accordingly.</t>
  </si>
  <si>
    <t>Various sources including the School Workforce Census, Econometric Wastage Model, and the Pupil Projections Model.</t>
  </si>
  <si>
    <t>2. Calculation of death in service rates</t>
  </si>
  <si>
    <t>FEMALE deaths in service</t>
  </si>
  <si>
    <t>MALE deaths in service</t>
  </si>
  <si>
    <t>MALE calculated death in service rates</t>
  </si>
  <si>
    <t>FEMALE calculated death in service rates</t>
  </si>
  <si>
    <t>MALE weighted death in service rates</t>
  </si>
  <si>
    <t>FEMALE weighted death in service rates</t>
  </si>
  <si>
    <t>Gender breakdown</t>
  </si>
  <si>
    <t>Age group breakdown</t>
  </si>
  <si>
    <t>Move one year along when update the model.</t>
  </si>
  <si>
    <t>8. Projected deaths in service</t>
  </si>
  <si>
    <t>Biology Deaths</t>
  </si>
  <si>
    <t>Primary Deaths</t>
  </si>
  <si>
    <t>Chemistry Deaths</t>
  </si>
  <si>
    <t>Classics Deaths</t>
  </si>
  <si>
    <t>Computing Deaths</t>
  </si>
  <si>
    <t>Drama Deaths</t>
  </si>
  <si>
    <t>English Deaths</t>
  </si>
  <si>
    <t>Food Deaths</t>
  </si>
  <si>
    <t>Geography Deaths</t>
  </si>
  <si>
    <t>History Deaths</t>
  </si>
  <si>
    <t>PRIMARY All Central Scenario</t>
  </si>
  <si>
    <t>BIOLOGY All Central Scenario</t>
  </si>
  <si>
    <t>CHEMISTRY All Central Scenario</t>
  </si>
  <si>
    <t>CLASSICS All Central Scenario</t>
  </si>
  <si>
    <t>COMPUTING All Central Scenario</t>
  </si>
  <si>
    <t>DRAMA All Central Scenario</t>
  </si>
  <si>
    <t>ENGLISH All Central Scenario</t>
  </si>
  <si>
    <t>GEOGRAPHY All Central Scenario</t>
  </si>
  <si>
    <t>HISTORY All Central Scenario</t>
  </si>
  <si>
    <t>MUSIC All Central Scenario</t>
  </si>
  <si>
    <t>OTHERS All Central Scenario</t>
  </si>
  <si>
    <t>PHYSICS All Central Scenario</t>
  </si>
  <si>
    <t>Music Deaths</t>
  </si>
  <si>
    <t>Others Deaths</t>
  </si>
  <si>
    <t>Physics Deaths</t>
  </si>
  <si>
    <t>SECONDARY Scenario Selected</t>
  </si>
  <si>
    <t>SECONDARY All Central Scenario</t>
  </si>
  <si>
    <t>Summarises the death in service over time as assumed by the model for all subjects in both table and chart form.</t>
  </si>
  <si>
    <t>Business Studies Leavers</t>
  </si>
  <si>
    <t>Business Studies Retirements</t>
  </si>
  <si>
    <t>Business Studies Deaths</t>
  </si>
  <si>
    <t>Business Studies Wastage</t>
  </si>
  <si>
    <t>BUSINESS STUDIES All Central Scenario</t>
  </si>
  <si>
    <t>BUSINESS STUDIES Scenario Selected</t>
  </si>
  <si>
    <t>Wastage over time</t>
  </si>
  <si>
    <t>Retirements over time</t>
  </si>
  <si>
    <t>Leavers over time</t>
  </si>
  <si>
    <t>6. Weighted death in service rates</t>
  </si>
  <si>
    <t>The rates are used to estimate what percentage of each age group will die in service in a given year.</t>
  </si>
  <si>
    <t>Primary historical</t>
  </si>
  <si>
    <t>Primary projected</t>
  </si>
  <si>
    <t>Art &amp; Design</t>
  </si>
  <si>
    <t>Design &amp; Technology</t>
  </si>
  <si>
    <t>Mathematics</t>
  </si>
  <si>
    <t>Modern Foreign Languages</t>
  </si>
  <si>
    <t>Physical Education</t>
  </si>
  <si>
    <t>Religious Education</t>
  </si>
  <si>
    <t>Calculates the entrant teacher need for Religious Education teachers, the number of Religious Education teachers that leave, and how the Religious Education teacher stock changes over time.</t>
  </si>
  <si>
    <t>Calculates the entrant teacher need for Physical Education teachers, the number of Physical Education teachers that leave, and how the Physical Education teacher stock changes over time.</t>
  </si>
  <si>
    <t>Calculates the entrant teacher need for Mathematics teachers, the number of Mathematics teachers that leave, and how the Mathematics teacher stock changes over time.</t>
  </si>
  <si>
    <t>Calculates the entrant teacher need for Modern Foreign Languages teachers, the number of Modern Foreign Languages teachers that leave, and how the Modern Foreign Languages teacher stock changes over time.</t>
  </si>
  <si>
    <t>Calculates the entrant teacher need for Design &amp; Technology teachers, the number of Design &amp; Technology teachers that leave, and how the Design &amp; Technology teacher stock changes over time.</t>
  </si>
  <si>
    <t>Calculates the entrant teacher need for Art &amp; Design teachers, the number of Art &amp; Design teachers that leave, and how the Art &amp; Design teacher stock changes over time.</t>
  </si>
  <si>
    <t xml:space="preserve">Modern Foreign Languages </t>
  </si>
  <si>
    <t>Centrally Employed</t>
  </si>
  <si>
    <t>Occasional Teachers</t>
  </si>
  <si>
    <t xml:space="preserve">Group 1 subjects include Biology, Chemistry, Computing, Mathematics, and Physics. Group 2 subjects include Classics, English, Geography, History, and Modern Foreign Languages. All other subjects fall into Group 3. </t>
  </si>
  <si>
    <t>Includes French, German, Spanish, Arabic, Bengali, Chinese, Welsh, Modern Greek, Italian, and any other Modern Languages.</t>
  </si>
  <si>
    <t>New Mathematics GCSE</t>
  </si>
  <si>
    <t>Enhanced Further Mathematics Support Programme</t>
  </si>
  <si>
    <t>Art &amp; Design Leavers</t>
  </si>
  <si>
    <t>Art &amp; Design Retirements</t>
  </si>
  <si>
    <t>Art &amp; Design Deaths</t>
  </si>
  <si>
    <t>Art &amp; Design Wastage</t>
  </si>
  <si>
    <t>Design &amp; Technology Leavers</t>
  </si>
  <si>
    <t>Design &amp; Technology Retirements</t>
  </si>
  <si>
    <t>Design &amp; Technology Deaths</t>
  </si>
  <si>
    <t>Design &amp; Technology Wastage</t>
  </si>
  <si>
    <t>Mathematics Leavers</t>
  </si>
  <si>
    <t>Mathematics Retirements</t>
  </si>
  <si>
    <t>Mathematics Deaths</t>
  </si>
  <si>
    <t>Mathematics Wastage</t>
  </si>
  <si>
    <t>Modern Foreign Languages Leavers</t>
  </si>
  <si>
    <t>Modern Foreign Languages Retirements</t>
  </si>
  <si>
    <t>Modern Foreign Languages Deaths</t>
  </si>
  <si>
    <t>Modern Foreign Languages Wastage</t>
  </si>
  <si>
    <t>Physical Education Leavers</t>
  </si>
  <si>
    <t>Physical Education Retirements</t>
  </si>
  <si>
    <t>Physical Education Deaths</t>
  </si>
  <si>
    <t>Physical Education Wastage</t>
  </si>
  <si>
    <t>Religious Education Leavers</t>
  </si>
  <si>
    <t>Religious Education Retirements</t>
  </si>
  <si>
    <t>Religious Education Deaths</t>
  </si>
  <si>
    <t>Religious Education Wastage</t>
  </si>
  <si>
    <t>ART &amp; DESIGN All Central Scenario</t>
  </si>
  <si>
    <t>DESIGN &amp; TECHNOLOGY All Central Scenario</t>
  </si>
  <si>
    <t>MATHEMATICS All Central Scenario</t>
  </si>
  <si>
    <t>MODERN FOREIGN LANGUAGES All Central Scenario</t>
  </si>
  <si>
    <t>PHYSICAL EDUCATION All Central Scenario</t>
  </si>
  <si>
    <t>RELIGIOUS EDUCATION All Central Scenario</t>
  </si>
  <si>
    <t>ART &amp; DESIGN Scenario Selected</t>
  </si>
  <si>
    <t>DESIGN &amp; TECHNOLOGY Scenario Selected</t>
  </si>
  <si>
    <t>MATHEMATICS Scenario Selected</t>
  </si>
  <si>
    <t>MODERN FOREIGN LANGUAGES Scenario Selected</t>
  </si>
  <si>
    <t>PHYSICAL EDUCATION Scenario Selected</t>
  </si>
  <si>
    <t>RELIGIOUS EDUCATION Scenario Selected</t>
  </si>
  <si>
    <t>Total Deaths</t>
  </si>
  <si>
    <t>Entrant need figures</t>
  </si>
  <si>
    <r>
      <t xml:space="preserve">Secondary subjects that are classed as being EBacc subjects include: </t>
    </r>
    <r>
      <rPr>
        <b/>
        <sz val="10"/>
        <rFont val="Arial"/>
        <family val="2"/>
      </rPr>
      <t>Biology, Chemistry, Classics, Computing, English, Geography, History, Mathematics, Modern Foreign Languages, and Physics.</t>
    </r>
  </si>
  <si>
    <t>The data selection tabs to select the pupil projections data that the model will use.</t>
  </si>
  <si>
    <t>The post-16 participation rate is derived using the central pupil projections data and is applied to the high and low pupil projections data.</t>
  </si>
  <si>
    <t>Primary Entrant figures</t>
  </si>
  <si>
    <t>Primary weighted entrant age group rates</t>
  </si>
  <si>
    <t>Additional Mathematics teachers to add</t>
  </si>
  <si>
    <t>The English and Science assumptions have been tweaked to keep the proportion of teaching hours constant.</t>
  </si>
  <si>
    <t>These values are used to estimate how the size of the pupil population will change over time. The values are obtained from the Pupil Projections Model.</t>
  </si>
  <si>
    <t>Includes Applied Business Studies, Accountancy, Commercial &amp; Business Studies, Industrial Studies, other Business and Commercial subjects.</t>
  </si>
  <si>
    <t>Includes applied ICT, Computer Science, and Information &amp; Communication Technology.</t>
  </si>
  <si>
    <t>Includes Applied Art &amp; Design, Art &amp; Design, and Art.</t>
  </si>
  <si>
    <t>Includes Classics and Ancient Languages such as Ancient Greek, Ancient Hebrew, and Latin.</t>
  </si>
  <si>
    <t xml:space="preserve">The Pupil Projections Model does not provide KS5 (16-19) pupil projections from 2014/15 onwards. This is estimated elsewhere in this model. </t>
  </si>
  <si>
    <t>PTR ratios (projected values in orange)</t>
  </si>
  <si>
    <t>Includes Child Development, Citizenship, Dance, Economics, Law, Media Studies, Other Social Studies, Other Technology, Politics, Psychology, Sociology, and Social Sciences among others.</t>
  </si>
  <si>
    <t>5. Wastage scalars from Econometric Wastage Model</t>
  </si>
  <si>
    <t>2. Wastage scalars from Econometric Wastage Model</t>
  </si>
  <si>
    <t>Takes the starting weighted wastage rate (see previous wastage calculation tabs) and applies a scalar value from the Econometric Wastage Model to project how wastage rates are likely to change over time.</t>
  </si>
  <si>
    <t>As the Econometric Wastage Model only forecasts wastage 6 years into the future, the rate beyond that is considered to be constant.</t>
  </si>
  <si>
    <t>Collates the FTE (Full Time Equivalent) rates and calculates the unqualified rates for all the different subjects. These are used by the model to estimate the proportion of the stock that will be unqualified and what the FTE rate of the stock will be in future.</t>
  </si>
  <si>
    <t>These values are used to estimate how the wastage rates will change over time compared to starting values. The scalars are derived from the Econometric Wastage Model.</t>
  </si>
  <si>
    <t>The projected wastage rates are produced using scalars from the Econometric Wastage Model.</t>
  </si>
  <si>
    <t>Converts the NQT entrant teacher need into the postgraduate ITT trainee need using estimations of how many trainees are expected to complete ITT and how many are expected to go into employment within 6 months of ITT completion.</t>
  </si>
  <si>
    <t>Conversion rates table</t>
  </si>
  <si>
    <t>Summarises the outputs to feed into the conversion rates table tab.</t>
  </si>
  <si>
    <t>Outputs for conversion rates</t>
  </si>
  <si>
    <t>Checks that the numbers of entrants expected via all entrant routes is equal to the amount required.</t>
  </si>
  <si>
    <t>Check of all entrant numbers</t>
  </si>
  <si>
    <t>NQT entrants required inc UGs</t>
  </si>
  <si>
    <t>New to SF sector expected</t>
  </si>
  <si>
    <t>Re-entrants expected</t>
  </si>
  <si>
    <t>Calculates the proportion of Religious Education teachers expected to enter by different entrant routes.</t>
  </si>
  <si>
    <t>Calculates the proportion of Physics teachers expected to enter by different entrant routes.</t>
  </si>
  <si>
    <t>Calculates the proportion of Physical Education teachers expected to enter by different entrant routes.</t>
  </si>
  <si>
    <t>Calculates the proportion of Others teachers expected to enter by different entrant routes.</t>
  </si>
  <si>
    <t>Calculates the proportion of Music teachers expected to enter by different entrant routes.</t>
  </si>
  <si>
    <t>Calculates the proportion of Modern Foreign Languages teachers expected to enter by different entrant routes.</t>
  </si>
  <si>
    <t>Calculates the proportion of Mathematics teachers expected to enter by different entrant routes.</t>
  </si>
  <si>
    <t>Calculates the proportion of History teachers expected to enter by different entrant routes.</t>
  </si>
  <si>
    <t>Calculates the proportion of Geography teachers expected to enter by different entrant routes.</t>
  </si>
  <si>
    <t>Calculates the proportion of Food teachers expected to enter by different entrant routes.</t>
  </si>
  <si>
    <t>Calculates the proportion of English teachers expected to enter by different entrant routes.</t>
  </si>
  <si>
    <t>Calculates the proportion of Drama teachers expected to enter by different entrant routes.</t>
  </si>
  <si>
    <t>Calculates the proportion of Design &amp; Technology teachers expected to enter by different entrant routes.</t>
  </si>
  <si>
    <t>Calculates the proportion of Computing teachers expected to enter by different entrant routes.</t>
  </si>
  <si>
    <t>Calculates the proportion of Classics teachers expected to enter by different entrant routes.</t>
  </si>
  <si>
    <t>Calculates the proportion of Chemistry teachers expected to enter by different entrant routes.</t>
  </si>
  <si>
    <t>Calculates the proportion of Business Studies teachers expected to enter by different entrant routes.</t>
  </si>
  <si>
    <t>Calculates the proportion of Biology teachers expected to enter by different entrant routes.</t>
  </si>
  <si>
    <t>Calculates the proportion of Art &amp; Design teachers expected to enter by different entrant routes.</t>
  </si>
  <si>
    <t xml:space="preserve">NQT (Newly Qualified Teacher) entrants - </t>
  </si>
  <si>
    <t>Re-entrant - 'Returner to the state-funded sector'</t>
  </si>
  <si>
    <t>If a teacher deferred their entry into teaching by a year or more, they would be included within this category.</t>
  </si>
  <si>
    <t>New to the SF sector - 'New to the state-funded sector'</t>
  </si>
  <si>
    <t>Key terms</t>
  </si>
  <si>
    <t>How does this spreadsheet feed into the NCTL ITT recruitment process?</t>
  </si>
  <si>
    <t>School Workforce Census data on the Full Time Equivalent (FTE) rate of the stock and the FTE rate of part-time teachers.</t>
  </si>
  <si>
    <t>School Workforce Census data on the number of teachers entering the active stock by different entrance routes.</t>
  </si>
  <si>
    <t>School Direct</t>
  </si>
  <si>
    <t>SD (salaried)</t>
  </si>
  <si>
    <t>SD (funded)</t>
  </si>
  <si>
    <t>SCITT</t>
  </si>
  <si>
    <t>Core</t>
  </si>
  <si>
    <t>HEI</t>
  </si>
  <si>
    <t>%</t>
  </si>
  <si>
    <t>Type</t>
  </si>
  <si>
    <t>Route</t>
  </si>
  <si>
    <t>SD</t>
  </si>
  <si>
    <t>SCITT (Core)</t>
  </si>
  <si>
    <t>HEI (Core)</t>
  </si>
  <si>
    <t>Postgraduate
Employment Rate</t>
  </si>
  <si>
    <t>Postgraduate
Completion Rate</t>
  </si>
  <si>
    <t>Postgraduate Employment Rate</t>
  </si>
  <si>
    <t>Postgraduate 
Completion Rate</t>
  </si>
  <si>
    <r>
      <rPr>
        <b/>
        <u/>
        <sz val="10"/>
        <color indexed="10"/>
        <rFont val="Arial"/>
        <family val="2"/>
      </rPr>
      <t>Postgraduate completion rates</t>
    </r>
    <r>
      <rPr>
        <b/>
        <sz val="10"/>
        <color indexed="10"/>
        <rFont val="Arial"/>
        <family val="2"/>
      </rPr>
      <t xml:space="preserve"> are the proportion of PG trainees completing ITT. It is used to estimate how many trainees will be expected to complete ITT. The </t>
    </r>
    <r>
      <rPr>
        <b/>
        <u/>
        <sz val="10"/>
        <color indexed="10"/>
        <rFont val="Arial"/>
        <family val="2"/>
      </rPr>
      <t>postgraduate employment rates</t>
    </r>
    <r>
      <rPr>
        <b/>
        <sz val="10"/>
        <color indexed="10"/>
        <rFont val="Arial"/>
        <family val="2"/>
      </rPr>
      <t xml:space="preserve"> are the proportion of PG trainees gaining employment in the state-funded schools sector within 6 months of ITT completion. It is used to estimate how many trainees will actually go into employment after successfully training as NQTs. The two rates are used to scale up the NQT entrant teacher need to calculate the postgraduate ITT trainee need.</t>
    </r>
  </si>
  <si>
    <t>NCTL ITT Census.</t>
  </si>
  <si>
    <t>Undergraduate trainees completing ITT</t>
  </si>
  <si>
    <t>The proportion of undergraduate trainees completing ITT. It is used to estimate how many trainees on courses of greater than one year length complete ITT.</t>
  </si>
  <si>
    <t xml:space="preserve">NCTL specialist website performance profiles. </t>
  </si>
  <si>
    <t>Other</t>
  </si>
  <si>
    <t>Undergraduates gaining employment within 6 months in state-funded schools sector</t>
  </si>
  <si>
    <t>The proportion of undergraduate trainees gaining employment in the state-funded schools sector within 6 months of ITT completion. It is used to estimate how many trainees on courses of greater than one year length go into employment after training as NQTs.</t>
  </si>
  <si>
    <t>The Destination of Leavers from Higher Education survey (DHLE).</t>
  </si>
  <si>
    <t>NQTs</t>
  </si>
  <si>
    <t>Re-entrants</t>
  </si>
  <si>
    <t>New to state-funded sector</t>
  </si>
  <si>
    <t>Entrant route</t>
  </si>
  <si>
    <t>Average FTE rate</t>
  </si>
  <si>
    <r>
      <t xml:space="preserve">Different entrant routes give different proportions of part-time teachers therefore we have to make an allowance of the amount of FTE teacher entrants will </t>
    </r>
    <r>
      <rPr>
        <b/>
        <u/>
        <sz val="10"/>
        <color indexed="10"/>
        <rFont val="Arial"/>
        <family val="2"/>
      </rPr>
      <t>actually</t>
    </r>
    <r>
      <rPr>
        <b/>
        <sz val="10"/>
        <color indexed="10"/>
        <rFont val="Arial"/>
        <family val="2"/>
      </rPr>
      <t xml:space="preserve"> provide.</t>
    </r>
  </si>
  <si>
    <t>Proportion that go into employment in state-funded schools in the year post training</t>
  </si>
  <si>
    <t>Proportion that gain QTS</t>
  </si>
  <si>
    <t>Proportion that are part-time</t>
  </si>
  <si>
    <t>Secondary phase</t>
  </si>
  <si>
    <t xml:space="preserve">These values are used to estimate what proportion of entrants come from different routes. </t>
  </si>
  <si>
    <t>As the NQT entrant rate is adjusted manually, the re-entrant, and new to SF sector entrant rates should fall proportionately and need to be recalculated.</t>
  </si>
  <si>
    <t>Calculated values of entrant rates by different routes using scenario selected</t>
  </si>
  <si>
    <t>Manual rate</t>
  </si>
  <si>
    <t>Central rate (historical rate)</t>
  </si>
  <si>
    <t>The values selected by the model are coloured orange.</t>
  </si>
  <si>
    <t>3. Calculation of weighted entrant rates</t>
  </si>
  <si>
    <t>2. Calculation of entrant rates</t>
  </si>
  <si>
    <t>Total up.</t>
  </si>
  <si>
    <t>Data from the raw data sheet.</t>
  </si>
  <si>
    <t>1. Entrant numbers</t>
  </si>
  <si>
    <t>The individual subject calculation sheets.</t>
  </si>
  <si>
    <t>Raw data inputs sheet and data selected by selection tab.</t>
  </si>
  <si>
    <t>4. Calculation of weighted part-time entrant rate</t>
  </si>
  <si>
    <t>3. Calculation of part-time entrant rate</t>
  </si>
  <si>
    <t>2. Part-time entrant numbers</t>
  </si>
  <si>
    <t>Total FTE</t>
  </si>
  <si>
    <t>QA Check - what FTE would these entrants give? Is the rate correct</t>
  </si>
  <si>
    <t>Total FTE of all teachers by all routes</t>
  </si>
  <si>
    <t>Total FTE of entrants by that route</t>
  </si>
  <si>
    <t>Total FTE of part-time entrants</t>
  </si>
  <si>
    <t>Total FTE of full-time entrants</t>
  </si>
  <si>
    <t>Headcount expected by that route if 100 teachers were to be recruited</t>
  </si>
  <si>
    <t>Entrant rate (historical)</t>
  </si>
  <si>
    <t>As the FTE rate of the primary stock is actually</t>
  </si>
  <si>
    <t>Part-time FTE rate</t>
  </si>
  <si>
    <t>What is the FTE rate of a part-time teacher?</t>
  </si>
  <si>
    <t>How many of those entrants are part-time?</t>
  </si>
  <si>
    <t>Primary entrant rates</t>
  </si>
  <si>
    <r>
      <t xml:space="preserve">The assumed FTE rate of the stock is less than 1.0. As the average FTE rate of entrants is also less than 1.0 but different to that of the stock </t>
    </r>
    <r>
      <rPr>
        <i/>
        <u/>
        <sz val="10"/>
        <color indexed="10"/>
        <rFont val="Arial"/>
        <family val="2"/>
      </rPr>
      <t>and</t>
    </r>
    <r>
      <rPr>
        <i/>
        <sz val="10"/>
        <color indexed="10"/>
        <rFont val="Arial"/>
        <family val="2"/>
      </rPr>
      <t xml:space="preserve"> the FTE rate of entrants is different via different routes we need to account for this.</t>
    </r>
  </si>
  <si>
    <t>The output tabs</t>
  </si>
  <si>
    <t>The previous calculation tabs and the raw data tabs.</t>
  </si>
  <si>
    <t>As the FTE rate of the secondary stock is actually</t>
  </si>
  <si>
    <t>Secondary entrant rates</t>
  </si>
  <si>
    <t>The different subject calculation sheets.</t>
  </si>
  <si>
    <t>Total entrants expected</t>
  </si>
  <si>
    <t>% by each entrant route</t>
  </si>
  <si>
    <t>NQTs (including UG)</t>
  </si>
  <si>
    <t>2. No of trainees due to finish in 2016/17 who are on courses of more than 1 year length</t>
  </si>
  <si>
    <t>1. NQT entrants required (NQT entrant teacher need)</t>
  </si>
  <si>
    <t>The calculation of migrants tabs.</t>
  </si>
  <si>
    <t>1. NQT entrants required (scenarios selected)</t>
  </si>
  <si>
    <t>The Conversion rates table tab.</t>
  </si>
  <si>
    <t>The Calc long term NQT entrants tab.</t>
  </si>
  <si>
    <t>Summarises the outputs to feed into the NCTL conversion rates table.</t>
  </si>
  <si>
    <t>SD (training)</t>
  </si>
  <si>
    <t>Postgraduate Post-ITT Employment Rate</t>
  </si>
  <si>
    <t>Postgraduate ITT Completion Rate</t>
  </si>
  <si>
    <t>1. Conversion rates table</t>
  </si>
  <si>
    <t>The Final outputs of ITT places tab.</t>
  </si>
  <si>
    <t>The Outputs for conversion rates tab.</t>
  </si>
  <si>
    <t>Converts the NQT entrant teacher need calculated previously into the 'postgraduate ITT trainee' need using postgraduate ITT completion and employment rates.</t>
  </si>
  <si>
    <t>Food was not used as an independent subject within the 2015/16 Teacher Supply Model.</t>
  </si>
  <si>
    <t>Conversion rates table tab.</t>
  </si>
  <si>
    <t>13. Entrant rates</t>
  </si>
  <si>
    <t>15. The proportion of entrants that are part-time</t>
  </si>
  <si>
    <t>16. The UG ITT success rates</t>
  </si>
  <si>
    <t>17. The UG employment success rates</t>
  </si>
  <si>
    <t>Male teachers</t>
  </si>
  <si>
    <t>Primary teachers</t>
  </si>
  <si>
    <t>14. The FTE rate of part-time teachers</t>
  </si>
  <si>
    <t>5. NQT entrant rates</t>
  </si>
  <si>
    <t>Primary 1</t>
  </si>
  <si>
    <t>Art &amp; Design 1</t>
  </si>
  <si>
    <t>Biology 1</t>
  </si>
  <si>
    <t>Business Studies 1</t>
  </si>
  <si>
    <t>Chemistry 1</t>
  </si>
  <si>
    <t>Classics 1</t>
  </si>
  <si>
    <t>Computing 1</t>
  </si>
  <si>
    <t>Design &amp; Technology 1</t>
  </si>
  <si>
    <t>Drama 1</t>
  </si>
  <si>
    <t>English 1</t>
  </si>
  <si>
    <t>Food 1</t>
  </si>
  <si>
    <t>Geography 1</t>
  </si>
  <si>
    <t>History 1</t>
  </si>
  <si>
    <t>Mathematics 1</t>
  </si>
  <si>
    <t>Modern Foreign Languages 1</t>
  </si>
  <si>
    <t>Music 1</t>
  </si>
  <si>
    <t>Others 1</t>
  </si>
  <si>
    <t>Physical Education 1</t>
  </si>
  <si>
    <t>Physics 1</t>
  </si>
  <si>
    <t>Religious Education 1</t>
  </si>
  <si>
    <t>11. Subject specific wastage rate conversion rates.</t>
  </si>
  <si>
    <t>12. Average FTE rates of part time teachers by phase.</t>
  </si>
  <si>
    <t>14. Weighted employment outcome rates for undergraduate trainees</t>
  </si>
  <si>
    <t>15. Weighted completion rates for undergraduate trainees</t>
  </si>
  <si>
    <t>17. FTE rates of the existing stock</t>
  </si>
  <si>
    <t>18. Weighted postgraduate ITT completion rates and employment rates</t>
  </si>
  <si>
    <t>Entrant teacher need values</t>
  </si>
  <si>
    <t>Primary Re-entrants</t>
  </si>
  <si>
    <t>Primary NQTs</t>
  </si>
  <si>
    <t>Part timers FTE</t>
  </si>
  <si>
    <t>Full timers FTE</t>
  </si>
  <si>
    <t>Entrant need</t>
  </si>
  <si>
    <t xml:space="preserve">Primary New to SF Sector </t>
  </si>
  <si>
    <t>Newly Qualified entrants</t>
  </si>
  <si>
    <t>Part time</t>
  </si>
  <si>
    <t>Full time</t>
  </si>
  <si>
    <t>Scale up factors over time</t>
  </si>
  <si>
    <t>Scale up factors</t>
  </si>
  <si>
    <t>QA check</t>
  </si>
  <si>
    <t>Primary Total</t>
  </si>
  <si>
    <t>Secondary Total</t>
  </si>
  <si>
    <t>Re-entrant figures expected</t>
  </si>
  <si>
    <t>THESE ARE HARDCODED IN, PASTED FROM ABOVE.</t>
  </si>
  <si>
    <t>Total Secondary Entrant Teacher Need</t>
  </si>
  <si>
    <t>Primary 2</t>
  </si>
  <si>
    <t>Art &amp; Design 2</t>
  </si>
  <si>
    <t xml:space="preserve">Biology New to SF Sector </t>
  </si>
  <si>
    <t>Biology Re-entrants</t>
  </si>
  <si>
    <t>Biology NQTs</t>
  </si>
  <si>
    <t xml:space="preserve">Business Studies New to SF Sector </t>
  </si>
  <si>
    <t>Business Studies Re-entrants</t>
  </si>
  <si>
    <t>Business Studies NQTs</t>
  </si>
  <si>
    <t>Business Studies 2</t>
  </si>
  <si>
    <t>Biology 2</t>
  </si>
  <si>
    <t>Chemistry 2</t>
  </si>
  <si>
    <t>Classics 2</t>
  </si>
  <si>
    <t>Computing 2</t>
  </si>
  <si>
    <t>Design &amp; Technology 2</t>
  </si>
  <si>
    <t>Drama 2</t>
  </si>
  <si>
    <t>Food 2</t>
  </si>
  <si>
    <t>English 2</t>
  </si>
  <si>
    <t>Geography 2</t>
  </si>
  <si>
    <t>History 2</t>
  </si>
  <si>
    <t>Mathematics 2</t>
  </si>
  <si>
    <t>Modern Foreign Languages 2</t>
  </si>
  <si>
    <t>Music 2</t>
  </si>
  <si>
    <t>Others 2</t>
  </si>
  <si>
    <t>Physical Education 2</t>
  </si>
  <si>
    <t>Physics 2</t>
  </si>
  <si>
    <t>Religious Education 2</t>
  </si>
  <si>
    <t xml:space="preserve">Chemistry New to SF Sector </t>
  </si>
  <si>
    <t>Chemistry Re-entrants</t>
  </si>
  <si>
    <t>Chemistry NQTs</t>
  </si>
  <si>
    <t xml:space="preserve">Classics New to SF Sector </t>
  </si>
  <si>
    <t>Classics Re-entrants</t>
  </si>
  <si>
    <t>Classics NQTs</t>
  </si>
  <si>
    <t xml:space="preserve">Computing New to SF Sector </t>
  </si>
  <si>
    <t>Computing Re-entrants</t>
  </si>
  <si>
    <t>Computing NQTs</t>
  </si>
  <si>
    <t xml:space="preserve">Design &amp; Technology New to SF Sector </t>
  </si>
  <si>
    <t>Design &amp; Technology Re-entrants</t>
  </si>
  <si>
    <t>Design &amp; Technology NQTs</t>
  </si>
  <si>
    <t xml:space="preserve">Drama New to SF Sector </t>
  </si>
  <si>
    <t>Drama NQTs</t>
  </si>
  <si>
    <t>Drama Re-entrants</t>
  </si>
  <si>
    <t xml:space="preserve">English New to SF Sector </t>
  </si>
  <si>
    <t>English Re-entrants</t>
  </si>
  <si>
    <t>English NQTs</t>
  </si>
  <si>
    <t xml:space="preserve">Food New to SF Sector </t>
  </si>
  <si>
    <t>Food Re-entrants</t>
  </si>
  <si>
    <t>Food NQTs</t>
  </si>
  <si>
    <t xml:space="preserve">Geography New to SF Sector </t>
  </si>
  <si>
    <t>Geography Re-entrants</t>
  </si>
  <si>
    <t>Geography NQTs</t>
  </si>
  <si>
    <t xml:space="preserve">History New to SF Sector </t>
  </si>
  <si>
    <t>History Re-entrants</t>
  </si>
  <si>
    <t>History NQTs</t>
  </si>
  <si>
    <t xml:space="preserve">Mathematics New to SF Sector </t>
  </si>
  <si>
    <t>Mathematics Re-entrants</t>
  </si>
  <si>
    <t>Mathematics NQTs</t>
  </si>
  <si>
    <t xml:space="preserve">Modern Foreign Languages New to SF Sector </t>
  </si>
  <si>
    <t>Modern Foreign Languages Re-entrants</t>
  </si>
  <si>
    <t>Modern Foreign Languages NQTs</t>
  </si>
  <si>
    <t xml:space="preserve">Music New to SF Sector </t>
  </si>
  <si>
    <t>Music Re-entrants</t>
  </si>
  <si>
    <t>Music NQTs</t>
  </si>
  <si>
    <t xml:space="preserve">Others New to SF Sector </t>
  </si>
  <si>
    <t>Others Re-entrants</t>
  </si>
  <si>
    <t>Others NQTs</t>
  </si>
  <si>
    <t xml:space="preserve">Physical Education New to SF Sector </t>
  </si>
  <si>
    <t>Physical Education Re-entrants</t>
  </si>
  <si>
    <t>Physical Education NQTs</t>
  </si>
  <si>
    <t xml:space="preserve">Physics New to SF Sector </t>
  </si>
  <si>
    <t>Physics Re-entrants</t>
  </si>
  <si>
    <t>Physics NQTs</t>
  </si>
  <si>
    <t xml:space="preserve">Religious Education New to SF Sector </t>
  </si>
  <si>
    <t>Religious Education Re-entrants</t>
  </si>
  <si>
    <t>Religious Education NQTs</t>
  </si>
  <si>
    <t>Summarises model outputs with historical data added in.</t>
  </si>
  <si>
    <t>Tabs throughout the model.</t>
  </si>
  <si>
    <t>Primary - historical</t>
  </si>
  <si>
    <t>Primary - projected</t>
  </si>
  <si>
    <t>Secondary - historical</t>
  </si>
  <si>
    <t>Secondary - projected</t>
  </si>
  <si>
    <t>Primary stock - historical</t>
  </si>
  <si>
    <t>Primary stock - projected</t>
  </si>
  <si>
    <t>Secondary stock - historical</t>
  </si>
  <si>
    <t>Primary pupils - historical</t>
  </si>
  <si>
    <t>Primary pupils - projected</t>
  </si>
  <si>
    <t>Secondary stock - projected</t>
  </si>
  <si>
    <t>Secondary pupils - historical</t>
  </si>
  <si>
    <t>Secondary pupils - projected</t>
  </si>
  <si>
    <t>Primary wastage - historical</t>
  </si>
  <si>
    <t>Primary wastage - projected</t>
  </si>
  <si>
    <t>Secondary wastage - historical</t>
  </si>
  <si>
    <t>Secondary wastage - projected</t>
  </si>
  <si>
    <t>4. Teachers wastage rate</t>
  </si>
  <si>
    <t>Primary retirements - historical</t>
  </si>
  <si>
    <t>Primary retirements - projected</t>
  </si>
  <si>
    <t>Secondary retirements - historical</t>
  </si>
  <si>
    <t>Secondary retirements - projected</t>
  </si>
  <si>
    <t>6. Teachers retirements rate</t>
  </si>
  <si>
    <t>8. Teachers deaths in service rate</t>
  </si>
  <si>
    <t>Primary deaths - historical</t>
  </si>
  <si>
    <t>Primary deaths - projected</t>
  </si>
  <si>
    <t>Secondary deaths - historical</t>
  </si>
  <si>
    <t>Secondary deaths - projected</t>
  </si>
  <si>
    <t>1. Stock size headcount (qualified only)</t>
  </si>
  <si>
    <t>2. Pupil numbers (FTE) and qualified teacher stock (headcount)</t>
  </si>
  <si>
    <t>3. Teachers leaving as wastage (headcount)</t>
  </si>
  <si>
    <t>5. Teachers leaving as retirements (headcount)</t>
  </si>
  <si>
    <t>7. Teachers leaving as deaths in service (headcount)</t>
  </si>
  <si>
    <t>Primary entrants - historical</t>
  </si>
  <si>
    <t>Primary entrants - projected</t>
  </si>
  <si>
    <t>Secondary entrants - historical</t>
  </si>
  <si>
    <t>Secondary entrants - projected</t>
  </si>
  <si>
    <t>Primary NQTs - historical</t>
  </si>
  <si>
    <t>Primary NQTs - projected</t>
  </si>
  <si>
    <t>Secondary NQTs - historical</t>
  </si>
  <si>
    <t>Secondary NQTs - projected</t>
  </si>
  <si>
    <t>Primary re-entrants - historical</t>
  </si>
  <si>
    <t>Primary re-entrants - projected</t>
  </si>
  <si>
    <t>Secondary re-entrants - historical</t>
  </si>
  <si>
    <t>Secondary re-entrants - projected</t>
  </si>
  <si>
    <t>Primary new to SF - historical</t>
  </si>
  <si>
    <t>Primary new to SF - projected</t>
  </si>
  <si>
    <t>Secondary new to SF - historical</t>
  </si>
  <si>
    <t>Secondary new to SF - projected</t>
  </si>
  <si>
    <t>Primary NQT rate - historical</t>
  </si>
  <si>
    <t>Primary NQT rate - projected</t>
  </si>
  <si>
    <t>Secondary NQT rate - historical</t>
  </si>
  <si>
    <t>Secondary NQT rate - projected</t>
  </si>
  <si>
    <t>Primary aged 20-29 - historical</t>
  </si>
  <si>
    <t>Primary aged 30-39 - historical</t>
  </si>
  <si>
    <t>Primary aged 40-49 - historical</t>
  </si>
  <si>
    <t>Primary aged 50-59 - historical</t>
  </si>
  <si>
    <t>Primary aged 60 plus - historical</t>
  </si>
  <si>
    <t>Primary aged 20-29 - projected</t>
  </si>
  <si>
    <t>Primary aged 30-39 - projected</t>
  </si>
  <si>
    <t>Primary aged 40-49 - projected</t>
  </si>
  <si>
    <t>Primary aged 50-59 - projected</t>
  </si>
  <si>
    <t>Primary aged 60 plus - projected</t>
  </si>
  <si>
    <t>Secondary aged 20-29 - historical</t>
  </si>
  <si>
    <t>Secondary aged 30-39 - historical</t>
  </si>
  <si>
    <t>Secondary aged 40-49 - historical</t>
  </si>
  <si>
    <t>Secondary aged 50-59 - historical</t>
  </si>
  <si>
    <t>Secondary aged 60 plus - historical</t>
  </si>
  <si>
    <t>Secondary aged 20-29 - projected</t>
  </si>
  <si>
    <t>Secondary aged 30-39 - projected</t>
  </si>
  <si>
    <t>Secondary aged 40-49 - projected</t>
  </si>
  <si>
    <t>Secondary aged 50-59 - projected</t>
  </si>
  <si>
    <t>Secondary aged 60 plus - projected</t>
  </si>
  <si>
    <t>Wastage - historical</t>
  </si>
  <si>
    <t>Wastage - projected</t>
  </si>
  <si>
    <t>Wastage rate - historical</t>
  </si>
  <si>
    <t>Wastage rate - projected</t>
  </si>
  <si>
    <t>Primary retirement rate - historical</t>
  </si>
  <si>
    <t>Primary retirement rate - projected</t>
  </si>
  <si>
    <t>Secondary retirement rate - historical</t>
  </si>
  <si>
    <t>Secondary retirement rate - projected</t>
  </si>
  <si>
    <t>Primary deaths rate - historical</t>
  </si>
  <si>
    <t>Primary deaths rate - projected</t>
  </si>
  <si>
    <t>Secondary deaths rate - historical</t>
  </si>
  <si>
    <t>Secondary deaths rate - projected</t>
  </si>
  <si>
    <t>ALL CHARTS SHOULD BE CONSIDERED AS COVERING QUALIFIED TEACHERS ONLY AND ALL NUMBERS SHOULD BE CONSIDERED AS BEING IN HEADCOUNT FORM (UNLESS STATED OTHERWISE).</t>
  </si>
  <si>
    <t>Longer term breakdown of proportion of entrants that will be NQTs by subject</t>
  </si>
  <si>
    <t>The final ITT outputs tab.</t>
  </si>
  <si>
    <t xml:space="preserve">Art &amp; Design New to SF Sector </t>
  </si>
  <si>
    <t>Art &amp; Design Re-entrants</t>
  </si>
  <si>
    <t>Art &amp; Design NQTs</t>
  </si>
  <si>
    <t>Religious Education Historical</t>
  </si>
  <si>
    <t>Physics - Historical</t>
  </si>
  <si>
    <t>Physical Education - Historical</t>
  </si>
  <si>
    <t xml:space="preserve">Primary - Historical </t>
  </si>
  <si>
    <t>Art &amp; Design - Historical</t>
  </si>
  <si>
    <t>Biology - Historical</t>
  </si>
  <si>
    <t>Business Studies - Historical</t>
  </si>
  <si>
    <t>Chemistry - Historical</t>
  </si>
  <si>
    <t>Classics - Historical</t>
  </si>
  <si>
    <t>Computing - Historical</t>
  </si>
  <si>
    <t>Design &amp; Technology - Historical</t>
  </si>
  <si>
    <t>Drama - Historical</t>
  </si>
  <si>
    <t>English - Historical</t>
  </si>
  <si>
    <t>Food - Historical</t>
  </si>
  <si>
    <t>Geography - Historical</t>
  </si>
  <si>
    <t>History - Historical</t>
  </si>
  <si>
    <t>Mathematics - Historical</t>
  </si>
  <si>
    <t>Modern Foreign Languages - Historical</t>
  </si>
  <si>
    <t>Music - Historical</t>
  </si>
  <si>
    <t>Others - Historical</t>
  </si>
  <si>
    <t>Total - Historical</t>
  </si>
  <si>
    <t xml:space="preserve">Primary - Projected </t>
  </si>
  <si>
    <t>Art &amp; Design - Projected</t>
  </si>
  <si>
    <t>Biology - Projected</t>
  </si>
  <si>
    <t>Business Studies - Projected</t>
  </si>
  <si>
    <t>Chemistry - Projected</t>
  </si>
  <si>
    <t>Classics - Projected</t>
  </si>
  <si>
    <t>Computing - Projected</t>
  </si>
  <si>
    <t>Design &amp; Technology - Projected</t>
  </si>
  <si>
    <t>Drama - Projected</t>
  </si>
  <si>
    <t>English - Projected</t>
  </si>
  <si>
    <t>Food - Projected</t>
  </si>
  <si>
    <t>Geography - Projected</t>
  </si>
  <si>
    <t>History - Projected</t>
  </si>
  <si>
    <t>Mathematics - Projected</t>
  </si>
  <si>
    <t>Modern Foreign Languages - Projected</t>
  </si>
  <si>
    <t>Music - Projected</t>
  </si>
  <si>
    <t>Others - Projected</t>
  </si>
  <si>
    <t>Physical Education - Projected</t>
  </si>
  <si>
    <t>Physics - Projected</t>
  </si>
  <si>
    <t>Religious Education Projected</t>
  </si>
  <si>
    <t>Total - Projected</t>
  </si>
  <si>
    <t>Summarises ITT place outputs with historical data added in on ITT places calculated by former versions of the TSM.</t>
  </si>
  <si>
    <t>Figures from the 2015/16 and 2016/17 training years have been obtained directly from the published versions of the relevant TSMs.</t>
  </si>
  <si>
    <t>Secondary total - Projected</t>
  </si>
  <si>
    <t>Secondary total - Historical</t>
  </si>
  <si>
    <t>Additional notes-</t>
  </si>
  <si>
    <t>- Classics was included in Modern Foreign Languages in the 2014/15 TSM.</t>
  </si>
  <si>
    <t>- Drama was included in English in the 2014/15 TSM.</t>
  </si>
  <si>
    <t>- Food was included in Design &amp; Technology in the 2014/15 TSM and within Others in the 2015/16 TSM.</t>
  </si>
  <si>
    <t>Proportion</t>
  </si>
  <si>
    <t>Undergraduate employment rates</t>
  </si>
  <si>
    <t>Undergraduate ITT completion rates</t>
  </si>
  <si>
    <t>3. ITT completion and employment rates</t>
  </si>
  <si>
    <t>6. Final NQT entrant teacher need for trainees starting and finishing ITT in the same year.</t>
  </si>
  <si>
    <r>
      <t xml:space="preserve">Firstly, this conversion rates table takes the NQT entrant teacher need from the previous tab and uses postgraduate completion rates to estimate the </t>
    </r>
    <r>
      <rPr>
        <b/>
        <i/>
        <sz val="10"/>
        <rFont val="Arial"/>
        <family val="2"/>
      </rPr>
      <t>QTS (Qualified Teacher Status) need</t>
    </r>
    <r>
      <rPr>
        <i/>
        <sz val="10"/>
        <rFont val="Arial"/>
        <family val="2"/>
      </rPr>
      <t>. This is the number of newly trained teachers that will both start and complete ITT in the same year that will be needed to generate the required number of NQTs actually entering into employment within the active stock of the state-funded schools sector in the year after training. In other words, meet the NQT entrant teacher need of the academic year following completion of ITT.</t>
    </r>
  </si>
  <si>
    <r>
      <t xml:space="preserve">Secondly, the table uses this QTS need and ITT completion rates to estimate the </t>
    </r>
    <r>
      <rPr>
        <b/>
        <i/>
        <sz val="10"/>
        <rFont val="Arial"/>
        <family val="2"/>
      </rPr>
      <t>'postgraduate ITT trainee need'</t>
    </r>
    <r>
      <rPr>
        <i/>
        <sz val="10"/>
        <rFont val="Arial"/>
        <family val="2"/>
      </rPr>
      <t>. This is the number of trainees both starting and finishing ITT in the same training year to meet the QTS need.</t>
    </r>
  </si>
  <si>
    <t>1. NQT entrant need</t>
  </si>
  <si>
    <t>HEI Core</t>
  </si>
  <si>
    <t>2. ITT Completion rates</t>
  </si>
  <si>
    <t>3. Post-ITT Employment rates</t>
  </si>
  <si>
    <t>4. ITT completer need (the QTS need)</t>
  </si>
  <si>
    <t>5. ITT trainee need (the Postgraduate ITT Trainee need)</t>
  </si>
  <si>
    <t>Calculates the proportion of the NQT entrants needed that will be NQTs who are on longer term ITT courses that take more than one year (e.g. undergraduate courses).</t>
  </si>
  <si>
    <t>Charts summarising key assumptions and outputs of the model comparing projections to historical data.</t>
  </si>
  <si>
    <t>Outputs with historical data</t>
  </si>
  <si>
    <t>Historical and projected ITT</t>
  </si>
  <si>
    <t>Charts and tables illustrating historical ITT place outputs derived by the TSM compared to longer term ITT place projections.</t>
  </si>
  <si>
    <t>(a) Entrant teacher need output values generated by the model using the scenarios as selected.</t>
  </si>
  <si>
    <t>(b) The 'postgraduate ITT trainee need' output values generated by the model using the scenarios as selected.</t>
  </si>
  <si>
    <t>Male - Group 1</t>
  </si>
  <si>
    <t>Female - Group 1</t>
  </si>
  <si>
    <t>Male - Group 2</t>
  </si>
  <si>
    <t>Female - Group 2</t>
  </si>
  <si>
    <t>Male - Group 3</t>
  </si>
  <si>
    <t>Female - Group 3</t>
  </si>
  <si>
    <t>20-29</t>
  </si>
  <si>
    <t>30-39</t>
  </si>
  <si>
    <t>Secondary (all) historical</t>
  </si>
  <si>
    <t>Secondary (all) projected</t>
  </si>
  <si>
    <r>
      <t xml:space="preserve">These are entrant teachers who have </t>
    </r>
    <r>
      <rPr>
        <b/>
        <sz val="10"/>
        <rFont val="Arial"/>
        <family val="2"/>
      </rPr>
      <t xml:space="preserve">entered teaching in the year </t>
    </r>
    <r>
      <rPr>
        <b/>
        <i/>
        <sz val="10"/>
        <rFont val="Arial"/>
        <family val="2"/>
      </rPr>
      <t>after</t>
    </r>
    <r>
      <rPr>
        <b/>
        <sz val="10"/>
        <rFont val="Arial"/>
        <family val="2"/>
      </rPr>
      <t xml:space="preserve"> training,</t>
    </r>
    <r>
      <rPr>
        <sz val="10"/>
        <rFont val="Arial"/>
        <family val="2"/>
      </rPr>
      <t xml:space="preserve"> i.e. they finished ITT and went straight into teaching.</t>
    </r>
  </si>
  <si>
    <t>Presets in the model</t>
  </si>
  <si>
    <r>
      <t xml:space="preserve">There are four additional scenarios of alternative NQT entrant rates for both phases. These rates are </t>
    </r>
    <r>
      <rPr>
        <b/>
        <i/>
        <sz val="10"/>
        <rFont val="Arial"/>
        <family val="2"/>
      </rPr>
      <t>2.5 and 5%pts higher/lower</t>
    </r>
    <r>
      <rPr>
        <i/>
        <sz val="10"/>
        <rFont val="Arial"/>
        <family val="2"/>
      </rPr>
      <t xml:space="preserve"> than the central rate.</t>
    </r>
  </si>
  <si>
    <t>For context, the central rates used are:</t>
  </si>
  <si>
    <r>
      <t xml:space="preserve">Total value </t>
    </r>
    <r>
      <rPr>
        <sz val="10"/>
        <rFont val="Arial"/>
        <family val="2"/>
      </rPr>
      <t>(to be entered in for calculations)</t>
    </r>
  </si>
  <si>
    <t>Highest rate (Central rate +5%pts)</t>
  </si>
  <si>
    <t>2nd Highest rate (Central rate +2.5%pts)</t>
  </si>
  <si>
    <t>2nd Lowest rate (Central rate -2.5%pts)</t>
  </si>
  <si>
    <t>Lowest rate (Central rate -5%pts)</t>
  </si>
  <si>
    <t>Newly Qualified Teacher entrants expected</t>
  </si>
  <si>
    <t>New to state-funded sector entrants expected</t>
  </si>
  <si>
    <t>These figures are used in the output charts</t>
  </si>
  <si>
    <t>9. Teachers leaving service by all routes (headcount)</t>
  </si>
  <si>
    <t>Primary leavers - historical</t>
  </si>
  <si>
    <t>Primary leavers - projected</t>
  </si>
  <si>
    <t>Secondary leavers - historical</t>
  </si>
  <si>
    <t>Secondary leavers - projected</t>
  </si>
  <si>
    <t>10. Teachers leaving service rate</t>
  </si>
  <si>
    <t>11. Teachers entering service</t>
  </si>
  <si>
    <t>12. Teachers entrants rate</t>
  </si>
  <si>
    <t>13. Teachers entering as Newly Qualified Teachers</t>
  </si>
  <si>
    <t>14. Teachers entering as re-entrants</t>
  </si>
  <si>
    <t>15. Teachers entering as new to SF sector</t>
  </si>
  <si>
    <t>16. Proportion of teachers entering as NQTs</t>
  </si>
  <si>
    <t>17. Stock ages changing over time</t>
  </si>
  <si>
    <t>18. Stock ages changing over time (percentages)</t>
  </si>
  <si>
    <t>Secondary stock numbers broken down by age</t>
  </si>
  <si>
    <t>19. Comparison of entrant and leaver numbers</t>
  </si>
  <si>
    <t>Primary net change - historical</t>
  </si>
  <si>
    <t>Primary net change - projected</t>
  </si>
  <si>
    <t>Secondary net change - historical</t>
  </si>
  <si>
    <t>Secondary net change - projected</t>
  </si>
  <si>
    <t>The figures have been sourced from the ITT census:</t>
  </si>
  <si>
    <t>Science - Historical</t>
  </si>
  <si>
    <t>Summarises the final outputs of the 2017/18 TSM to feed into the NCTL 2017/18 ITT recruitment process.</t>
  </si>
  <si>
    <t>Teacher Supply Model 2017/18</t>
  </si>
  <si>
    <r>
      <t xml:space="preserve">The final outputs of postgraduate ITT places as estimated by the 2017/18 Teacher Supply Model feed directly into the 2017/18 NCTL ITT recruitment process. However, the number of ITT places as calculated by the TSM </t>
    </r>
    <r>
      <rPr>
        <i/>
        <sz val="10"/>
        <rFont val="Arial"/>
        <family val="2"/>
      </rPr>
      <t>include</t>
    </r>
    <r>
      <rPr>
        <sz val="10"/>
        <rFont val="Arial"/>
        <family val="2"/>
      </rPr>
      <t xml:space="preserve"> Teach First places.</t>
    </r>
  </si>
  <si>
    <t>TO BE UPDATED MANUALLY</t>
  </si>
  <si>
    <t>Have ITT places been kept at 2016/17 levels or manually scaled up at the end of the modelling process?</t>
  </si>
  <si>
    <t>2027/28</t>
  </si>
  <si>
    <t>The 2015 School Workforce Census matched dataset.</t>
  </si>
  <si>
    <t>The 2015 School Workforce Census curriculum dataset.</t>
  </si>
  <si>
    <t>The 2015 School Workforce Census matched dataset and Penstats.</t>
  </si>
  <si>
    <t>The light green figures are provisional. Figures for 2014/15, for example, relate to teachers leaving between November 2014 and November 2015.</t>
  </si>
  <si>
    <t>Teachers leaving as wastage include all teachers that leave the 'state-funded schools sector' as defined by the TSM except those that leave through retirement or deaths in service. This includes teachers leaving the state-funded sector to teach in special schools, PRUs, independent schools, the FE sector, supply roles, and schools in other countries including Scotland, Wales, and Northern Ireland among others. Teachers leaving teaching altogether are included. Teachers leaving through being barred from service are included within this group. They were previously included in a 'deaths in service and barrings from service' category in the published 2015/16 version of the TSM.</t>
  </si>
  <si>
    <t>The light green figures are provisional. Figures for 2014/15, for example, relate to teachers leaving through retirement between November 2014 and November 2015.</t>
  </si>
  <si>
    <t>The light green figures are provisional. Figures for 2014/15, for example, relate to teachers entering between November 2014 and November 2015.</t>
  </si>
  <si>
    <t>Proportions by Route (based on 2015/16 recruitment - with 2016/17 numbers used to weight the 2015/16 proportions and reflect the growth of School Direct).</t>
  </si>
  <si>
    <t>https://www.gov.uk/government/statistics/initial-teacher-training-trainee-number-census-2015-to-2016</t>
  </si>
  <si>
    <t>https://www.gov.uk/government/publications/teacher-supply-model</t>
  </si>
  <si>
    <t>Different subjects have higher or lower wastage rates for equivalent demographic groups (e.g. there may be a higher wastage rate for male Science teachers aged 30-34 than for male Art teachers aged 30-34).</t>
  </si>
  <si>
    <t>Year-on-year rate of change</t>
  </si>
  <si>
    <t>Primary - projections</t>
  </si>
  <si>
    <t>Secondary - projections</t>
  </si>
  <si>
    <t>Primary leavers rate - historical</t>
  </si>
  <si>
    <t>Primary leavers rate - projected</t>
  </si>
  <si>
    <t>Secondary leavers rate - historical</t>
  </si>
  <si>
    <t>Secondary leavers rate - projected</t>
  </si>
  <si>
    <t>Update by inserting a new column between column D and E before dragging across from left to right for the time series figures. The PTRs should automatically update.</t>
  </si>
  <si>
    <t>note the opening 2016/17 stock is equal to the stock of the current year (2015/16)</t>
  </si>
  <si>
    <t>Calculates the proportion of the NQT entrant teacher need that will be met by those trainees on courses due to end in the same year that they start training. This is achieved by subtracting those trainees that will study on longer courses, i.e. for the 2017/18 training year, they will have started ITT on a course starting before 2017/18.</t>
  </si>
  <si>
    <t>Proportions by Route (based on 2015/16 recruitment)</t>
  </si>
  <si>
    <t xml:space="preserve">Summarises the final postgraduate ITT place outputs (the 'postgraduate ITT place need') of the 2017/18 Teacher Supply Model. </t>
  </si>
  <si>
    <t>The 2016/17 TSM ITT places have been taken from the published 2016/17 TSM which is available at:</t>
  </si>
  <si>
    <r>
      <t>Lastly, the TSM uses expected rates of trainees completing ITT successfully and rates of those gaining employment in the state-funded schools sector within 6 months of completing ITT to calculate the</t>
    </r>
    <r>
      <rPr>
        <b/>
        <sz val="10"/>
        <rFont val="Arial"/>
        <family val="2"/>
      </rPr>
      <t xml:space="preserve"> 'postgraduate ITT trainee need'</t>
    </r>
    <r>
      <rPr>
        <sz val="10"/>
        <rFont val="Arial"/>
        <family val="2"/>
      </rPr>
      <t xml:space="preserve">. This </t>
    </r>
    <r>
      <rPr>
        <b/>
        <sz val="10"/>
        <rFont val="Arial"/>
        <family val="2"/>
      </rPr>
      <t>'postgraduate</t>
    </r>
    <r>
      <rPr>
        <sz val="10"/>
        <rFont val="Arial"/>
        <family val="2"/>
      </rPr>
      <t xml:space="preserve"> </t>
    </r>
    <r>
      <rPr>
        <b/>
        <sz val="10"/>
        <rFont val="Arial"/>
        <family val="2"/>
      </rPr>
      <t xml:space="preserve">ITT trainee need' </t>
    </r>
    <r>
      <rPr>
        <sz val="10"/>
        <rFont val="Arial"/>
        <family val="2"/>
      </rPr>
      <t>then feeds directly into the 2017/18 NCTL ITT recruitment process.</t>
    </r>
  </si>
  <si>
    <t>Notes-</t>
  </si>
  <si>
    <t>The School Workforce Census (SWC) is taken in November each year. Teacher figures are generally in headcount form (unless stated otherwise). Some headcount figures will not be whole numbers as scaling factors have been applied to account for some schools not supplying a census return.</t>
  </si>
  <si>
    <r>
      <t xml:space="preserve">The November 2010 SWC relates to the 2010/11 academic year, the 2011 to the 2011/12 and so on. The model assumes that this stock is the </t>
    </r>
    <r>
      <rPr>
        <i/>
        <sz val="10"/>
        <rFont val="Arial"/>
        <family val="2"/>
      </rPr>
      <t>closing</t>
    </r>
    <r>
      <rPr>
        <sz val="10"/>
        <rFont val="Arial"/>
        <family val="2"/>
      </rPr>
      <t xml:space="preserve"> stock for that academic year.</t>
    </r>
  </si>
  <si>
    <t>What about the rates used last year?</t>
  </si>
  <si>
    <t>Weighted average over 4 years</t>
  </si>
  <si>
    <t>6. Post-ITT employment rates</t>
  </si>
  <si>
    <t>7. Unqualified teacher rates</t>
  </si>
  <si>
    <t>Subject/phase</t>
  </si>
  <si>
    <t>Postgraduate</t>
  </si>
  <si>
    <t>% of teachers that are unqualified</t>
  </si>
  <si>
    <t>The number of NQT entrants is multiplied by the post-ITT employment rate.</t>
  </si>
  <si>
    <t>The number of NQT entrants required is multiplied by the post-ITT employment rate and ITT completion rate.</t>
  </si>
  <si>
    <t>1. SWC stock levels</t>
  </si>
  <si>
    <t>note- the model does not calculate the teacher need for 2015/16.</t>
  </si>
  <si>
    <t>Primary NQT entrants - historical</t>
  </si>
  <si>
    <t>Primary NQT entrants - projected</t>
  </si>
  <si>
    <t>Primary entrants other routes- historical</t>
  </si>
  <si>
    <t>Secondary NQT entrants - historical</t>
  </si>
  <si>
    <t>Secondary NQT entrants - projected</t>
  </si>
  <si>
    <t>Secondary entrants other routes- historical</t>
  </si>
  <si>
    <t>Primary entrants other routes - projected</t>
  </si>
  <si>
    <t>Secondary entrants other routes - projected</t>
  </si>
  <si>
    <t>Undergrad</t>
  </si>
  <si>
    <t>Rates from the 2016/17 TSM</t>
  </si>
  <si>
    <t>Rates from latest NCTL data</t>
  </si>
  <si>
    <t>These rates are used to estimate the proportion of trainees that will gain employment in the state-funded schools sector within 6 months of completing training.</t>
  </si>
  <si>
    <t>These rates are used to estimate the proportion of teachers that will be unqualified in future.</t>
  </si>
  <si>
    <t>From 2016/17 TSM</t>
  </si>
  <si>
    <t>From latest SWC data</t>
  </si>
  <si>
    <t>UQ %</t>
  </si>
  <si>
    <t>This is the current proportion, we assume this will remain constant (the value used can be changed by scenario testing).</t>
  </si>
  <si>
    <t>Rates from 2016/17 TSM</t>
  </si>
  <si>
    <t>Rates from latest SWC data</t>
  </si>
  <si>
    <t>Scenario used</t>
  </si>
  <si>
    <t>Scenario A</t>
  </si>
  <si>
    <t>Secondary teacher need by subject calculations.</t>
  </si>
  <si>
    <r>
      <t xml:space="preserve">10. Take into account the FTE rate for each subject to provide teacher need by </t>
    </r>
    <r>
      <rPr>
        <b/>
        <i/>
        <u/>
        <sz val="12"/>
        <rFont val="Arial"/>
        <family val="2"/>
      </rPr>
      <t>headcount</t>
    </r>
    <r>
      <rPr>
        <b/>
        <u/>
        <sz val="12"/>
        <rFont val="Arial"/>
        <family val="2"/>
      </rPr>
      <t xml:space="preserve"> figures.</t>
    </r>
  </si>
  <si>
    <t>11. Take into account the unqualified teacher rate of each subject.</t>
  </si>
  <si>
    <t>9. What additional teacher need (FTE) is required for each subject resulting from policies?</t>
  </si>
  <si>
    <t>Adjustments selected by scenario selection tab</t>
  </si>
  <si>
    <t>Subtract these adjustments from the previously calculated values</t>
  </si>
  <si>
    <t>This relates to Core Maths.</t>
  </si>
  <si>
    <t>Primary NQT entrant rates manual values</t>
  </si>
  <si>
    <t>Primary PTR change rate manual values</t>
  </si>
  <si>
    <t>Secondary PTR change rate manual values</t>
  </si>
  <si>
    <t>Secondary NQT entrant rates manual values</t>
  </si>
  <si>
    <t>Users can select different values for the post-ITT employment rates. Users can use rates calculated from the latest NCTL data or values from the 2016/17 TSM.</t>
  </si>
  <si>
    <t>Users can select different rates for the proportion of teachers in active service that will be unqualified. Users can use rates calculated from the latest School Workforce Census (SWC) data or values from the 2016/17 TSM.</t>
  </si>
  <si>
    <t>The table below illustrates rates from the published 2016/17 TSM in comparison to those derived from the latest NCTL data for use in this model under the central scenario:</t>
  </si>
  <si>
    <t>Science - Projected</t>
  </si>
  <si>
    <t>LIGHT GREEN HISTORICAL FIGURES WILL BE UPDATED IN FUTURE VERSIONS OF THE MODEL.</t>
  </si>
  <si>
    <r>
      <t>The 2017/18 ITT place outputs used by NCTL for the 2017/18 ITT recruitment process were derived using the</t>
    </r>
    <r>
      <rPr>
        <b/>
        <sz val="10"/>
        <color indexed="10"/>
        <rFont val="Arial"/>
        <family val="2"/>
      </rPr>
      <t xml:space="preserve"> </t>
    </r>
    <r>
      <rPr>
        <b/>
        <i/>
        <sz val="10"/>
        <color indexed="10"/>
        <rFont val="Arial"/>
        <family val="2"/>
      </rPr>
      <t>default</t>
    </r>
    <r>
      <rPr>
        <b/>
        <sz val="10"/>
        <color indexed="10"/>
        <rFont val="Arial"/>
        <family val="2"/>
      </rPr>
      <t xml:space="preserve"> scenarios or the 'central' scenario values</t>
    </r>
    <r>
      <rPr>
        <sz val="10"/>
        <color indexed="10"/>
        <rFont val="Arial"/>
        <family val="2"/>
      </rPr>
      <t>, as appropriate.</t>
    </r>
  </si>
  <si>
    <t>Scenario testing</t>
  </si>
  <si>
    <t>Scenarios selected by user</t>
  </si>
  <si>
    <r>
      <t xml:space="preserve">Subject </t>
    </r>
    <r>
      <rPr>
        <b/>
        <sz val="8"/>
        <color indexed="10"/>
        <rFont val="Arial"/>
        <family val="2"/>
      </rPr>
      <t>(EBacc in red)</t>
    </r>
  </si>
  <si>
    <t>****************************************************************************************************************************************************************************************************************************************************************************************</t>
  </si>
  <si>
    <r>
      <t xml:space="preserve">Outputs of postgraduate ITT places for 2017/18 only with </t>
    </r>
    <r>
      <rPr>
        <b/>
        <u/>
        <sz val="10"/>
        <rFont val="Arial"/>
        <family val="2"/>
      </rPr>
      <t>no</t>
    </r>
    <r>
      <rPr>
        <b/>
        <sz val="10"/>
        <rFont val="Arial"/>
        <family val="2"/>
      </rPr>
      <t xml:space="preserve"> end of model adjustment</t>
    </r>
  </si>
  <si>
    <t>Have 2017/18 ITT places been scaled up as an end of model adjustment?</t>
  </si>
  <si>
    <t>Final 2017/18 postgraduate ITT place output for 2017/18 ITT recruitment process</t>
  </si>
  <si>
    <r>
      <t xml:space="preserve">Subject </t>
    </r>
    <r>
      <rPr>
        <b/>
        <i/>
        <sz val="14"/>
        <color indexed="10"/>
        <rFont val="Arial"/>
        <family val="2"/>
      </rPr>
      <t xml:space="preserve">(EBacc subjects in red) </t>
    </r>
  </si>
  <si>
    <t>Primary 20-29 - historical</t>
  </si>
  <si>
    <t>Primary 30-39 - historical</t>
  </si>
  <si>
    <t>Primary 40-49 - historical</t>
  </si>
  <si>
    <t>Primary 50-59 - historical</t>
  </si>
  <si>
    <t>Primary 60 plus - historical</t>
  </si>
  <si>
    <t>Primary 20-29 - projected</t>
  </si>
  <si>
    <t>Primary 30-39 - projected</t>
  </si>
  <si>
    <t>Primary 40-49 - projected</t>
  </si>
  <si>
    <t>Primary 50-59 - projected</t>
  </si>
  <si>
    <t>Primary 60 plus - projected</t>
  </si>
  <si>
    <t>Secondary 20-29 - historical</t>
  </si>
  <si>
    <t>Secondary 30-39 - historical</t>
  </si>
  <si>
    <t>Secondary 40-49 - historical</t>
  </si>
  <si>
    <t>Secondary 50-59 - historical</t>
  </si>
  <si>
    <t>Secondary 60 plus - historical</t>
  </si>
  <si>
    <t>Secondary 20-29 - projected</t>
  </si>
  <si>
    <t>Secondary 30-39 - projected</t>
  </si>
  <si>
    <t>Secondary 40-49 - projected</t>
  </si>
  <si>
    <t>Secondary 50-59 - projected</t>
  </si>
  <si>
    <t>Secondary 60 plus - projected</t>
  </si>
  <si>
    <r>
      <t xml:space="preserve">These outputs feed directly into the 2017/18 NCTL ITT recruitment process to provide the </t>
    </r>
    <r>
      <rPr>
        <u/>
        <sz val="10"/>
        <color indexed="10"/>
        <rFont val="Arial"/>
        <family val="2"/>
      </rPr>
      <t>number of postgraduate ITT places required in 2017/18</t>
    </r>
    <r>
      <rPr>
        <sz val="10"/>
        <color indexed="10"/>
        <rFont val="Arial"/>
        <family val="2"/>
      </rPr>
      <t xml:space="preserve"> for trainees who will both start and finish ITT in 2017/18. </t>
    </r>
  </si>
  <si>
    <r>
      <t xml:space="preserve">If training places are to be granted to trainees starting in 2017/18 that will last more than one year in length, these would need to be granted </t>
    </r>
    <r>
      <rPr>
        <u/>
        <sz val="10"/>
        <color indexed="10"/>
        <rFont val="Arial"/>
        <family val="2"/>
      </rPr>
      <t>in addition</t>
    </r>
    <r>
      <rPr>
        <sz val="10"/>
        <color indexed="10"/>
        <rFont val="Arial"/>
        <family val="2"/>
      </rPr>
      <t xml:space="preserve"> to the numbers summarised below.</t>
    </r>
  </si>
  <si>
    <r>
      <t xml:space="preserve">Teach First places have </t>
    </r>
    <r>
      <rPr>
        <u/>
        <sz val="10"/>
        <color indexed="10"/>
        <rFont val="Arial"/>
        <family val="2"/>
      </rPr>
      <t>not</t>
    </r>
    <r>
      <rPr>
        <sz val="10"/>
        <color indexed="10"/>
        <rFont val="Arial"/>
        <family val="2"/>
      </rPr>
      <t xml:space="preserve"> been subtracted from this number. </t>
    </r>
  </si>
  <si>
    <t>The number of NQT entrants can be scaled up via increases in ITT places. However, the number of re-entrants and new to SF sector entrants might be relatively limited by the existing pool of such teachers that are available.</t>
  </si>
  <si>
    <t>The number of re-entrants and new to SF sector entrants can be held in the calculations below and the number of NQT entrants scaled up accordingly to provide no net change.</t>
  </si>
  <si>
    <t>Adjusted numbers of entrants</t>
  </si>
  <si>
    <t>Original numbers</t>
  </si>
  <si>
    <t>Adjustment figures</t>
  </si>
  <si>
    <t>TO BE ADDED IN MANUALLY</t>
  </si>
  <si>
    <t>Adjusted figures for New to SF Sector entrants and Re-entrants</t>
  </si>
  <si>
    <t>Have figures been adjusted?</t>
  </si>
  <si>
    <t>2015/16 data (from 2017/18 TSM)</t>
  </si>
  <si>
    <t>2014/15 data (from 2016/17 TSM)</t>
  </si>
  <si>
    <t>Percentage change</t>
  </si>
  <si>
    <t>Percentage change in teaching hours</t>
  </si>
  <si>
    <t>% dedicated to each subject</t>
  </si>
  <si>
    <t>Produces charts displaying the % point change in the proportion of all secondary teaching hours dedicated to each subject at KS3, KS4, KS5, and overall.</t>
  </si>
  <si>
    <t>New to SF Sector</t>
  </si>
  <si>
    <t>Figures to use for limits</t>
  </si>
  <si>
    <t xml:space="preserve">This figure (to the left) is the value from the 2016/17 TSM with some additional re-entrants added in (see red figure in cell above) to reflect initiatives used by the department to increase re-entrant numbers. </t>
  </si>
  <si>
    <t>This is the additional number of re-entrants that the department will seek for 2018/19 and 2019/20.</t>
  </si>
  <si>
    <t>Figures from 2016/17 TSM Part 2</t>
  </si>
  <si>
    <t>These additional teachers would be sourced from the entrant teacher need figures feeding into the 2017/18 ITT round to ensure that the model delivers them somewhere.</t>
  </si>
  <si>
    <t xml:space="preserve">Difference </t>
  </si>
  <si>
    <t>This difference is added on to the entrant teacher need.</t>
  </si>
  <si>
    <t>Difference figures to use (only use if UQ rates are held)</t>
  </si>
  <si>
    <t>If we hold unqualified teachers at former levels we would need to make an adjustment to the entrant teacher need in 2018/19 to recruit the additional teachers required</t>
  </si>
  <si>
    <t>Figures to feed into the rest of the model</t>
  </si>
  <si>
    <t>Primary age 2017/18 TSM</t>
  </si>
  <si>
    <t>Primary age 2016/17 TSM</t>
  </si>
  <si>
    <t>KS3 2017/18 TSM</t>
  </si>
  <si>
    <t>KS3 2016/17 TSM</t>
  </si>
  <si>
    <t>KS4 2017/18 TSM</t>
  </si>
  <si>
    <t>KS4 2016/17 TSM</t>
  </si>
  <si>
    <t>KS5 2017/18 TSM</t>
  </si>
  <si>
    <t>KS5 2016/17 TSM</t>
  </si>
  <si>
    <t>All secondary 2017/18 TSM</t>
  </si>
  <si>
    <t>All secondary 2016/17 TSM</t>
  </si>
  <si>
    <t>Primary total 2017/18 TSM</t>
  </si>
  <si>
    <t>Primary total 2016/17 TSM</t>
  </si>
  <si>
    <t>Secondary total 2017/18 TSM</t>
  </si>
  <si>
    <t>Secondary total 2016/17 TSM</t>
  </si>
  <si>
    <t>2016/17 TSM Primary</t>
  </si>
  <si>
    <t>2016/17 TSM Secondary</t>
  </si>
  <si>
    <t>2016/17 TSM Primary change rates</t>
  </si>
  <si>
    <t>2016/17 TSM Secondary change rates</t>
  </si>
  <si>
    <t>2017/18 TSM Primary change rates</t>
  </si>
  <si>
    <t>2017/18 TSM Secondary change rates</t>
  </si>
  <si>
    <t>2017/18 TSM Primary</t>
  </si>
  <si>
    <t>2017/18 TSM Secondary</t>
  </si>
  <si>
    <t>June 2016</t>
  </si>
  <si>
    <t>Note - hard-coded cells at bottom need to be updated at the end of the modelling process.</t>
  </si>
  <si>
    <t>Teacher Supply Model 2017/18 - New features</t>
  </si>
  <si>
    <t>Sources of new teachers</t>
  </si>
  <si>
    <r>
      <t xml:space="preserve">Note - the model assumes that 24 FTE Mathematics teachers will have already been sourced to deliver Core Maths in 2015/16. To ensure that the model only sources </t>
    </r>
    <r>
      <rPr>
        <i/>
        <u/>
        <sz val="10"/>
        <color indexed="10"/>
        <rFont val="Arial"/>
        <family val="2"/>
      </rPr>
      <t>additional</t>
    </r>
    <r>
      <rPr>
        <i/>
        <sz val="10"/>
        <color indexed="10"/>
        <rFont val="Arial"/>
        <family val="2"/>
      </rPr>
      <t xml:space="preserve"> teachers 24 are subtracted from the figures.</t>
    </r>
  </si>
  <si>
    <r>
      <t xml:space="preserve">Modern Foreign Languages </t>
    </r>
    <r>
      <rPr>
        <i/>
        <sz val="10"/>
        <color indexed="10"/>
        <rFont val="Arial"/>
        <family val="2"/>
      </rPr>
      <t>(see note above)</t>
    </r>
  </si>
  <si>
    <t>x=</t>
  </si>
  <si>
    <r>
      <t xml:space="preserve">Final outputs of 2017/18 postgraduate Initial Teacher Training places </t>
    </r>
    <r>
      <rPr>
        <b/>
        <u/>
        <sz val="16"/>
        <color indexed="10"/>
        <rFont val="Arial"/>
        <family val="2"/>
      </rPr>
      <t>(please read notes)</t>
    </r>
  </si>
  <si>
    <t>End of Model ITT place adjustments</t>
  </si>
  <si>
    <t>Holding limit=</t>
  </si>
  <si>
    <t>(this figure can be changed manually)</t>
  </si>
  <si>
    <t>Teach First</t>
  </si>
  <si>
    <t>School Direct and Teach First</t>
  </si>
  <si>
    <t>Note - the ITT completion rate and post-ITT employment rate of Teach First trainees is assumed as being the same as those for School Direct trainees.</t>
  </si>
  <si>
    <t>Values are weighted averages using 4 years' worth of data. Where there are low numbers of relevant trainees for a particular subject in some or all years, a tolerance threshold rate +/- 10% of the average has been used as a proxy.</t>
  </si>
  <si>
    <t>Values are weighted averages using 4 years' worth of data (apart from School Direct figures which are based on only two years' worth of data). Where there are low numbers of relevant trainees for a particular subject in some or all years, a tolerance threshold rate +/- 10% of the average has been used as a proxy.</t>
  </si>
  <si>
    <t>The rates from the published 2016/17 TSM have been adjusted to account for increased/decreased numbers of School Direct (salaried) and Teach First trainees that are classed as being 'unqualified teachers' in the SWC.</t>
  </si>
  <si>
    <t>Details of policy</t>
  </si>
  <si>
    <t>Scenario</t>
  </si>
  <si>
    <t>And if UQ rates are held at current levels (to be hard coded)</t>
  </si>
  <si>
    <t>This difference is the result of the model using a weighted average of four years' worth of wastage data to calculate the baseline value on which the projections are based.</t>
  </si>
  <si>
    <t>A similar difference occurs for retirements but the opposite way around.</t>
  </si>
  <si>
    <t xml:space="preserve">There is a difference between the final historical time series values and the projected time series values which appears to suggest an underestimation of future wastage.  </t>
  </si>
  <si>
    <t xml:space="preserve">There is a difference between the final historical time series values and the projected time series values which appears to suggest an overestimation of future retirements.  </t>
  </si>
  <si>
    <t>This difference is the result of the model using a weighted average of four years' worth of retirements data to calculate the baseline value on which the projections are based.</t>
  </si>
  <si>
    <t>A similar difference occurs for wastage but the opposite way around.</t>
  </si>
  <si>
    <t xml:space="preserve">EBacc </t>
  </si>
  <si>
    <t>Non-EBacc</t>
  </si>
  <si>
    <t>As a % of entrant need</t>
  </si>
  <si>
    <t>Adjustment required</t>
  </si>
  <si>
    <t>This allows the model to account for the recruitment of additional teachers to address (and counter) increases in the proportion of teachers that are unqualified (at the rate of increase observed in LA maintained schools).</t>
  </si>
  <si>
    <t>Manually selected scalars</t>
  </si>
  <si>
    <t>Male Manually Selected Scalars</t>
  </si>
  <si>
    <t>Female Manually Selected Scalars</t>
  </si>
  <si>
    <t>Male and female wastage scalars manually selected values</t>
  </si>
  <si>
    <t>Wastage scalars as used by the 2016/17 model</t>
  </si>
  <si>
    <t>This almost entirely cancels out the differences between the historical and projected time series for all leavers.</t>
  </si>
  <si>
    <r>
      <t xml:space="preserve">The number does </t>
    </r>
    <r>
      <rPr>
        <u/>
        <sz val="10"/>
        <color indexed="10"/>
        <rFont val="Arial"/>
        <family val="2"/>
      </rPr>
      <t>not</t>
    </r>
    <r>
      <rPr>
        <sz val="10"/>
        <color indexed="10"/>
        <rFont val="Arial"/>
        <family val="2"/>
      </rPr>
      <t xml:space="preserve"> include those NQTs who will be studying on courses lasting more than one year in length (e.g. 3 year undergraduate training courses). </t>
    </r>
  </si>
  <si>
    <t>USER TESTING TAB</t>
  </si>
  <si>
    <t>TSM_201718 for publication</t>
  </si>
  <si>
    <t>How is the model different this year to the model last year?</t>
  </si>
  <si>
    <t xml:space="preserve">For consistency and data matching purposes, subject names are written out in full with capitalised words and ampersands. </t>
  </si>
  <si>
    <r>
      <t xml:space="preserve">This sheet enables users to select scenarios to be used within the calculations in the model </t>
    </r>
    <r>
      <rPr>
        <b/>
        <i/>
        <sz val="10"/>
        <rFont val="Arial"/>
        <family val="2"/>
      </rPr>
      <t>e.g. high wastage rates, low pupil population projections.</t>
    </r>
  </si>
  <si>
    <t>This sheet summarises the data selected by the user (via the user testing tab) and utilised by the model in calculations (including pupil projections, wastage scalars, and PTR caps &amp; change rates).</t>
  </si>
  <si>
    <t>1. Examination of outputs derived using scenario testing.</t>
  </si>
  <si>
    <t>These are the model outputs generated using the scenarios selected using the drop-down menus above.</t>
  </si>
  <si>
    <t>2. Scenario testing - selection of scenarios</t>
  </si>
  <si>
    <r>
      <t>Default</t>
    </r>
    <r>
      <rPr>
        <i/>
        <sz val="8"/>
        <rFont val="Arial"/>
        <family val="2"/>
      </rPr>
      <t xml:space="preserve"> (used as actual 2017/18 ITT place numbers)</t>
    </r>
  </si>
  <si>
    <r>
      <t xml:space="preserve">The model compares values derived by the model user using the scenarios selected to the values derived to feed into the 2017/18 ITT recruitment process (the </t>
    </r>
    <r>
      <rPr>
        <b/>
        <sz val="10"/>
        <color indexed="10"/>
        <rFont val="Arial"/>
        <family val="2"/>
      </rPr>
      <t>default</t>
    </r>
    <r>
      <rPr>
        <sz val="10"/>
        <color indexed="10"/>
        <rFont val="Arial"/>
        <family val="2"/>
      </rPr>
      <t xml:space="preserve"> values).</t>
    </r>
  </si>
  <si>
    <t xml:space="preserve">To provide context of the scale of the impact that the scenario testing can have, values for a 'scenario A' are provided. </t>
  </si>
  <si>
    <t>Primary - default scenarios</t>
  </si>
  <si>
    <t>Secondary - default scenarios</t>
  </si>
  <si>
    <t>Primary - user selected scenarios</t>
  </si>
  <si>
    <t>Secondary - user selected scenarios</t>
  </si>
  <si>
    <t>Additional charts comparing entrant and teacher need are provided on the next two tabs, broken down by subject.</t>
  </si>
  <si>
    <t>(a) Econometric wastage scenarios - scalars</t>
  </si>
  <si>
    <t xml:space="preserve">The same applies for the low and high scenarios which assume there will be no change in future wastage rates. </t>
  </si>
  <si>
    <t>However, the model offers the opportunity to use the wastage scalars used by the 2016/17 model (see below) or scalars entered manually into the cells below.</t>
  </si>
  <si>
    <t>(b) Pupil projections - scenarios</t>
  </si>
  <si>
    <t>(e) NQT (Newly Qualified Teacher) entrant rates - scenarios</t>
  </si>
  <si>
    <t>Users may want to use the rates from previous years. As an illustration, rates are provided below from the published 2016/17 TSM (they can be tested by entering the values manually into the manual values cells above):</t>
  </si>
  <si>
    <t>(f) Post-ITT employment rates</t>
  </si>
  <si>
    <t>(g) Unqualified teacher rates</t>
  </si>
  <si>
    <t>The table below illustrates rates from the published 2016/17 TSM in comparison to those derived from the latest School Workforce Census (SWC) data for use in this model under the default scenario.</t>
  </si>
  <si>
    <t>If the proportion of unqualified teachers has not increased, the value for this year has been used instead. Values may be lower compared to last year if the number of School Direct (salaried) and Teach First trainees has fallen for that subject.</t>
  </si>
  <si>
    <t>Most of the calculation tabs. Selects the data to be used on the tab called 'Data selected by selection tab'.</t>
  </si>
  <si>
    <r>
      <t xml:space="preserve">Users of the model can carry out </t>
    </r>
    <r>
      <rPr>
        <b/>
        <sz val="10"/>
        <color indexed="10"/>
        <rFont val="Arial"/>
        <family val="2"/>
      </rPr>
      <t>scenario testing</t>
    </r>
    <r>
      <rPr>
        <sz val="10"/>
        <color indexed="10"/>
        <rFont val="Arial"/>
        <family val="2"/>
      </rPr>
      <t xml:space="preserve"> within the 2017/18 TSM and are able to change and alter some of the assumptions used within the model using the </t>
    </r>
    <r>
      <rPr>
        <b/>
        <sz val="10"/>
        <color indexed="10"/>
        <rFont val="Arial"/>
        <family val="2"/>
      </rPr>
      <t>drop-down menus</t>
    </r>
    <r>
      <rPr>
        <sz val="10"/>
        <color indexed="10"/>
        <rFont val="Arial"/>
        <family val="2"/>
      </rPr>
      <t xml:space="preserve"> provided below (row 141 and below).</t>
    </r>
  </si>
  <si>
    <t>Differences between the values calculated above and the default values.</t>
  </si>
  <si>
    <t xml:space="preserve">These are the model outputs generated using the scenarios selected using the drop-down menus at the bottom of this tab. </t>
  </si>
  <si>
    <t>Differences between the values calculated using the scenarios selected below and the default values.</t>
  </si>
  <si>
    <t>Compares the entrant teacher need values calculated under default scenarios with those calculated using the scenarios selected by the user (dotted lines) for all phases and subjects.</t>
  </si>
  <si>
    <t>Compares the teacher need values calculated under default scenarios with those calculated using the scenarios selected by the user (dotted lines) for all phases and subjects.</t>
  </si>
  <si>
    <t>Graphically represents the pupil projections data under different scenarios (high, low, and central). The different scenarios can be selected via the user testing tab.</t>
  </si>
  <si>
    <t xml:space="preserve">Charts compiling all rates </t>
  </si>
  <si>
    <t>The obesity strategy</t>
  </si>
  <si>
    <t>THESE POLICY ASSUMPTIONS FEED INTO THE TEACHER NEED BY SUBJECT TAB AND ARE USED FOR MAKING ADJUSTMENTS TO THE FINAL ITT PLACE FIGURES.</t>
  </si>
  <si>
    <t>The number of Geography re-entrants and new to SF sector entrants is limited at the figure estimated in the 2016/17 TSM.</t>
  </si>
  <si>
    <r>
      <t xml:space="preserve">If the number of entrant teachers required </t>
    </r>
    <r>
      <rPr>
        <b/>
        <sz val="10"/>
        <rFont val="Arial"/>
        <family val="2"/>
      </rPr>
      <t xml:space="preserve">doubled </t>
    </r>
    <r>
      <rPr>
        <sz val="10"/>
        <rFont val="Arial"/>
        <family val="2"/>
      </rPr>
      <t xml:space="preserve">(for example) because of this policy, this would mean that </t>
    </r>
    <r>
      <rPr>
        <b/>
        <sz val="10"/>
        <rFont val="Arial"/>
        <family val="2"/>
      </rPr>
      <t>twice</t>
    </r>
    <r>
      <rPr>
        <sz val="10"/>
        <rFont val="Arial"/>
        <family val="2"/>
      </rPr>
      <t xml:space="preserve"> as many entrants would be required from </t>
    </r>
    <r>
      <rPr>
        <b/>
        <sz val="10"/>
        <rFont val="Arial"/>
        <family val="2"/>
      </rPr>
      <t>all</t>
    </r>
    <r>
      <rPr>
        <sz val="10"/>
        <rFont val="Arial"/>
        <family val="2"/>
      </rPr>
      <t xml:space="preserve"> routes including as NQTs, re-entrants, and new to SF sector entrants.</t>
    </r>
  </si>
  <si>
    <t>The number of History re-entrants and new to SF sector entrants is limited at the figure estimated in the 2016/17 TSM.</t>
  </si>
  <si>
    <t>The number of Modern Foreign Languages re-entrants and new to SF sector entrants is limited at the figure estimated in the 2016/17 TSM.</t>
  </si>
  <si>
    <r>
      <t xml:space="preserve">ITT places using the </t>
    </r>
    <r>
      <rPr>
        <sz val="10"/>
        <color indexed="10"/>
        <rFont val="Arial"/>
        <family val="2"/>
      </rPr>
      <t>currently selected</t>
    </r>
    <r>
      <rPr>
        <sz val="10"/>
        <rFont val="Arial"/>
        <family val="2"/>
      </rPr>
      <t xml:space="preserve"> scenarios</t>
    </r>
  </si>
  <si>
    <r>
      <t xml:space="preserve">Scenarios </t>
    </r>
    <r>
      <rPr>
        <sz val="10"/>
        <color indexed="10"/>
        <rFont val="Arial"/>
        <family val="2"/>
      </rPr>
      <t xml:space="preserve">currently </t>
    </r>
    <r>
      <rPr>
        <sz val="10"/>
        <color indexed="10"/>
        <rFont val="Arial"/>
        <family val="2"/>
      </rPr>
      <t>selected</t>
    </r>
    <r>
      <rPr>
        <sz val="10"/>
        <rFont val="Arial"/>
        <family val="2"/>
      </rPr>
      <t xml:space="preserve"> within the model</t>
    </r>
  </si>
  <si>
    <r>
      <t xml:space="preserve">ITT places under </t>
    </r>
    <r>
      <rPr>
        <sz val="10"/>
        <color indexed="10"/>
        <rFont val="Arial"/>
        <family val="2"/>
      </rPr>
      <t>central</t>
    </r>
    <r>
      <rPr>
        <sz val="10"/>
        <rFont val="Arial"/>
        <family val="2"/>
      </rPr>
      <t xml:space="preserve"> scenarios (default scenarios)</t>
    </r>
  </si>
  <si>
    <t>Different values can be selected using the user testing tab.</t>
  </si>
  <si>
    <t>The entrant age breakdowns are calculated using 4 years' worth of SWC data. Rates are calculated for both genders combined together.</t>
  </si>
  <si>
    <t xml:space="preserve">This analysis enables users to examine whether the proportion of teaching time has increased or fallen for each subject compared to the TSM last year, e.g. the % of all secondary teaching time has increased in November 2015 compared to November 2014 for most EBacc subjects. </t>
  </si>
  <si>
    <t>Users can select different projected wastage rate scenarios.</t>
  </si>
  <si>
    <t>Wastage scalars as used by this (2017/18) model</t>
  </si>
  <si>
    <t>The model would assume these extra teachers would be recruited in the 2017/18 ITT round and are added on to the 2018/19 entrant teacher need accordingly.</t>
  </si>
  <si>
    <t>Difference</t>
  </si>
  <si>
    <t>Difference between user-derived figures and the default (actual) 2017/18 ITT place numbers</t>
  </si>
  <si>
    <t>- Science was not broken down into Biology, Chemistry, and Physics pre-2014/15.</t>
  </si>
  <si>
    <t>The projected figures are the raw outputs of this model, no EBacc protection is applied or adjustments to the MFL ITT place numbers (as they are for 2017/18).</t>
  </si>
  <si>
    <t xml:space="preserve">Scenarios </t>
  </si>
  <si>
    <t>Details of scenario</t>
  </si>
  <si>
    <r>
      <t xml:space="preserve">The department's standards for data suppression require that fields relating to fewer than five individuals should </t>
    </r>
    <r>
      <rPr>
        <u/>
        <sz val="10"/>
        <color indexed="8"/>
        <rFont val="Arial"/>
        <family val="2"/>
      </rPr>
      <t>not</t>
    </r>
    <r>
      <rPr>
        <sz val="10"/>
        <color indexed="8"/>
        <rFont val="Arial"/>
        <family val="2"/>
      </rPr>
      <t xml:space="preserve"> be published. In the department's School Workforce statistical publication this is achieved by replacing figures based on fewer than 5 individuals with an "x". That approach does not work in the TSM as it would suppress the entire function within the model. To overcome this - and still apply the department's suppression rules - fields with fewer than 5 individuals have been aggregated either across gender or age bands. The effect of this is to </t>
    </r>
    <r>
      <rPr>
        <b/>
        <sz val="10"/>
        <color indexed="10"/>
        <rFont val="Arial"/>
        <family val="2"/>
      </rPr>
      <t>increase</t>
    </r>
    <r>
      <rPr>
        <sz val="10"/>
        <color indexed="8"/>
        <rFont val="Arial"/>
        <family val="2"/>
      </rPr>
      <t xml:space="preserve"> the total postgraduate ITT trainee need as calculated by this published version of the 2017/18 TSM by </t>
    </r>
    <r>
      <rPr>
        <b/>
        <sz val="10"/>
        <color indexed="10"/>
        <rFont val="Arial"/>
        <family val="2"/>
      </rPr>
      <t>2 training places</t>
    </r>
    <r>
      <rPr>
        <b/>
        <sz val="10"/>
        <color indexed="8"/>
        <rFont val="Arial"/>
        <family val="2"/>
      </rPr>
      <t xml:space="preserve"> </t>
    </r>
    <r>
      <rPr>
        <sz val="10"/>
        <color indexed="8"/>
        <rFont val="Arial"/>
        <family val="2"/>
      </rPr>
      <t xml:space="preserve">compared to the actual outputs produced and used within the department. This suppression only applies to the raw input data, it does not apply to </t>
    </r>
    <r>
      <rPr>
        <i/>
        <sz val="10"/>
        <color indexed="8"/>
        <rFont val="Arial"/>
        <family val="2"/>
      </rPr>
      <t>assumed projections.</t>
    </r>
  </si>
  <si>
    <t>EBacc policy</t>
  </si>
  <si>
    <r>
      <t xml:space="preserve">The projected figures are also </t>
    </r>
    <r>
      <rPr>
        <b/>
        <u/>
        <sz val="10"/>
        <rFont val="Arial"/>
        <family val="2"/>
      </rPr>
      <t>subject to future changes</t>
    </r>
    <r>
      <rPr>
        <b/>
        <sz val="10"/>
        <rFont val="Arial"/>
        <family val="2"/>
      </rPr>
      <t xml:space="preserve"> and </t>
    </r>
    <r>
      <rPr>
        <b/>
        <u/>
        <sz val="10"/>
        <rFont val="Arial"/>
        <family val="2"/>
      </rPr>
      <t>will be revised</t>
    </r>
    <r>
      <rPr>
        <b/>
        <sz val="10"/>
        <rFont val="Arial"/>
        <family val="2"/>
      </rPr>
      <t xml:space="preserve"> with data updates and assumption changes in the coming years.</t>
    </r>
  </si>
  <si>
    <t>(c) Pupil:Teacher Ratio caps - scenarios</t>
  </si>
  <si>
    <t>(d) Pupil:Teacher Ratio change rates - scenarios</t>
  </si>
  <si>
    <t>3. Pupil:Teacher Ratio caps</t>
  </si>
  <si>
    <t>4. Pupil:Teacher Ratio rate of change</t>
  </si>
  <si>
    <t>Maximum Pupil:Teacher Ratios</t>
  </si>
  <si>
    <t>4. Pupil:Teacher Ratio change rates</t>
  </si>
  <si>
    <t>Primary PTR - default</t>
  </si>
  <si>
    <t>Primary PTR - user selected</t>
  </si>
  <si>
    <t>Secondary PTR - default</t>
  </si>
  <si>
    <t>Secondary PTR - user selected</t>
  </si>
  <si>
    <t>New features</t>
  </si>
  <si>
    <t>Data selected by user testing</t>
  </si>
  <si>
    <t>Lists the data as selected by the user testing tab to play into the wider model.</t>
  </si>
  <si>
    <t>Brief summary of model along with details of current version and colour key.</t>
  </si>
  <si>
    <t>Lists the policy assumptions at primary level to play into the teacher need calculations.</t>
  </si>
  <si>
    <t>Lists the policy assumptions at secondary level to play into the teacher need calculations.</t>
  </si>
  <si>
    <t>RAW DATA INPUTS</t>
  </si>
  <si>
    <t>Calculates retirement rates for the primary phase.</t>
  </si>
  <si>
    <t>Calculates retirement rates for the secondary phase.</t>
  </si>
  <si>
    <t>Calculates death in service rates for the primary phase.</t>
  </si>
  <si>
    <t>Calculates death in service rates for the secondary phase.</t>
  </si>
  <si>
    <t>Calculates wastage rates for the primary phase.</t>
  </si>
  <si>
    <t>Calculates wastage rates for the secondary phase.</t>
  </si>
  <si>
    <t>Calculates projected wastage rates for the primary phase.</t>
  </si>
  <si>
    <t>Calculates projected wastage rates for the secondary phase.</t>
  </si>
  <si>
    <t>Calculates projected wastage rates for the secondary phase for Group 1 subjects only.</t>
  </si>
  <si>
    <t>Calculates projected wastage rates for the secondary phase for Group 2 subjects only.</t>
  </si>
  <si>
    <t>Calculates projected wastage rates for the secondary phase for Group 3 subjects only.</t>
  </si>
  <si>
    <t>Calculates the primary teacher need.</t>
  </si>
  <si>
    <t>Calculates the overall secondary teacher need for all subjects combined.</t>
  </si>
  <si>
    <t>Calculates the secondary teacher need for specific subjects.</t>
  </si>
  <si>
    <t>Calculates the entrant teacher need for primary teachers, the number of primary teachers that leave, and how the primary teacher stock changes over time.</t>
  </si>
  <si>
    <t>Calculates the proportion of primary teachers historically entering the stock via different entrant routes.</t>
  </si>
  <si>
    <t>Calculates the proportion of secondary teachers historically entering the stock via different entrant routes.</t>
  </si>
  <si>
    <t>Calculates the proportion of historical primary teacher entrants that are employed part-time via the different routes.</t>
  </si>
  <si>
    <t>Calculates the proportion of historical secondary teacher entrants that are employed part-time via the different routes.</t>
  </si>
  <si>
    <t>Calculates the proportion of primary teachers expected to enter by different entrant routes.</t>
  </si>
  <si>
    <t>Charts displaying the percentage point change in the proportion of all secondary teaching hours dedicated to each subject at KS3, KS4, KS5, and overall.</t>
  </si>
  <si>
    <t>Calculation of primary retirement rates</t>
  </si>
  <si>
    <t>Calculation of secondary retirement rates</t>
  </si>
  <si>
    <t>Calculation of primary death rates</t>
  </si>
  <si>
    <t>Calculation of secondary death rates</t>
  </si>
  <si>
    <t>Calculation of primary wastage rates</t>
  </si>
  <si>
    <t>Calculation of secondary wastage rates</t>
  </si>
  <si>
    <t>Projected primary wastage rates</t>
  </si>
  <si>
    <t>Projected secondary wastage rates</t>
  </si>
  <si>
    <t>Calculation of primary teacher need</t>
  </si>
  <si>
    <t>Calculation of overall secondary teacher need</t>
  </si>
  <si>
    <t>Calculation of primary entrant rates</t>
  </si>
  <si>
    <t>Calculation of secondary entrant rates</t>
  </si>
  <si>
    <t>Calculation of primary part-time entrants</t>
  </si>
  <si>
    <t>Calculation of secondary part-time entrants</t>
  </si>
  <si>
    <t>Calculation of long term NQT entrants</t>
  </si>
  <si>
    <t>Pupil projections scenarios</t>
  </si>
  <si>
    <t>Changes in subject teaching hours</t>
  </si>
  <si>
    <t>FINAL OUTPUTS OF ITT PLACES</t>
  </si>
  <si>
    <t>Comparison of pupil projections</t>
  </si>
  <si>
    <t>Summarises the entrant teacher need values calculated by the model to feed into section 2 of the model.</t>
  </si>
  <si>
    <t>OUTPUTS FOR SECTION 2 OF MODEL</t>
  </si>
  <si>
    <t>The previous calculation tabs including 'outputs for section 2 of model' and the raw data tabs.</t>
  </si>
  <si>
    <t>Normally the TSM would use a central scenario based on the Office for Budget Responsibility's GDP and unemployment forecasts. Additionally, high and low scenarios would be provided which are produced using figures taken from the extremes of HMT's comparison of independent forecasts. However, this year, because of the economic uncertainty following the EU referendum result, the model assumes that wastage rates will stay at the baseline rates (and are therefore, all equal to 1.00). The baseline rates are weighted averages of rates from the last four years of SWC data.</t>
  </si>
  <si>
    <t>N/A</t>
  </si>
  <si>
    <t>The Econometric Wastage Model (although this year, the wastage scalars have all been made equal to 1.00).</t>
  </si>
  <si>
    <t xml:space="preserve">These figures cover all teachers entering into the 'state-funded schools sector' as defined by the TSM. This includes those entering into service in primary and secondary schools having previously been teaching in special schools, PRUs, independent schools, the FE sector, supply roles, and schools in other countries including Scotland, Wales, and Northern Ireland among others. Teachers entering teaching as newly qualified teachers, new to the state-funded sector, and those that are re-entrants are included. </t>
  </si>
  <si>
    <t>'Teacher need by subject' tab.</t>
  </si>
  <si>
    <t>'Teacher need by subject' tab and 'FINAL OUTPUTS OF ITT PLACES' tab.</t>
  </si>
  <si>
    <t>'FINAL OUTPUTS OF ITT PLACES' tab.</t>
  </si>
  <si>
    <t>Where are the data on this sheet from?</t>
  </si>
  <si>
    <t>The entrant rates are weighted as the data are provisional and therefore incomplete for the two most recent years.</t>
  </si>
  <si>
    <t>The central scenario rate is based on weighted averages of historical rates from the most recent four years for which we have data. (As data are provisional for the two most recent years, the data are weighted).</t>
  </si>
  <si>
    <t>Input from the raw data inputs tab, they will update automatically when new data are fed into the raw data inputs tab.</t>
  </si>
  <si>
    <t>This approach is used as the two most recent years of historical data are provisional and subject to future updates.</t>
  </si>
  <si>
    <t>These data are teacher stocks data broken down by whether they are qualified/unqualified and their age group and gender. This is used for current stocks data.</t>
  </si>
  <si>
    <t>These data are the FTE rate average (mean) for the current stock of each phase.</t>
  </si>
  <si>
    <t>All red tabs which make calculations using these data. Also feeds into the data selected by selection tab.</t>
  </si>
  <si>
    <t>Where do these data come from?</t>
  </si>
  <si>
    <t>This sheet provides all the raw data that feed into the model. ONLY THIS SHEET SHOULD HAVE RAW DATA FED INTO IT.</t>
  </si>
  <si>
    <t>What year are the latest data up to?</t>
  </si>
  <si>
    <t>The data show the projected change in wastage rates for both male and female teachers as a scalar.</t>
  </si>
  <si>
    <t>The data show the age group breakdown of those entering the stock each year. The data are used to estimate what the age group breakdown is of teachers entering the stock.</t>
  </si>
  <si>
    <t>These data come from the Pupil Projections Model. The figures come from a point in January which relates to the academic year starting in September of the previous calendar year.</t>
  </si>
  <si>
    <t>The 2015 School Workforce Census matched dataset (these data were derived by comparing the wastage rates of different groups of subjects).</t>
  </si>
  <si>
    <t>Raw data tab and the 2016/17 TSM data were sourced from part one of the 2016/17 TSM.</t>
  </si>
  <si>
    <t xml:space="preserve">Year data relate to </t>
  </si>
  <si>
    <t xml:space="preserve">ALL DATA HAVE BEEN SOURCED FROM PREVIOUS PUBLISHED VERSIONS OF THE TSM. </t>
  </si>
  <si>
    <t xml:space="preserve">WHERE DATA FOR AN INDIVIDUAL YEAR HAVE BEEN PUBLISHED IN MORE THAN ONE VERSION OF THE TSM, THE MOST RECENTLY PUBLISHED FIGURE HAS BEEN PROVIDED. </t>
  </si>
  <si>
    <t xml:space="preserve">Graphically represents the pupil projections data from this year's and last year's TSM. </t>
  </si>
  <si>
    <t>When manually selecting an econometric wastage scalar, the model assumes that the scalar rate used in the model will remain constant at this rate going forward. A scalar value of 1.00 would keep the wastage rate constant at the current rates, a value below 1.00 assumes that the wastage rate will fall below current levels. To provide context, the scalars from last year's model are included below.</t>
  </si>
  <si>
    <t>Each year an extra year's worth of data are added into the model.</t>
  </si>
  <si>
    <t>Note - each year, a new year's worth of historical data is added in manually. The red cells calculate or source themselves, the yellow cells use model outputs, and the green cells need updating manually each year.</t>
  </si>
  <si>
    <t>Note - each year, a new year's worth of historical data is added in manually (the green cells). The red and yellow cells calculate/source themselves.</t>
  </si>
  <si>
    <t>Summarises the primary phase policy assumptions to feed into the model to account for any additional teachers that might be needed because of primary teacher related policies.</t>
  </si>
  <si>
    <t>There are no primary policy assumptions added into this model.</t>
  </si>
  <si>
    <t>The primary entrant need calculations.</t>
  </si>
  <si>
    <t>Calculates the retirement rates (proportion of each gender age group expected to leave as retirements in the year for which we have most up-to-date data) for the primary teacher stock. They are weighted towards the most recent year as data are incomplete (and provisional) for the two most recent years. The model uses this to estimate what proportion of the stock will leave as retirements in future. The model assumes that the rate will be constant going forward.</t>
  </si>
  <si>
    <t>Calculates the death in service rates (proportion of each gender age group expected to leave as deaths in service in the year for which we have most up-to-date data) for the primary teacher stock. They are weighted towards the most recent year as data are incomplete (and provisional) for the two most recent years. The model uses this to estimate what proportion of the stock will leave as deaths in service in future. The model assumes that the rate will be constant going forward.</t>
  </si>
  <si>
    <t>The projected primary wastage rates calculations tab.</t>
  </si>
  <si>
    <t>Calculates the wastage rates (proportion of each gender age group expected to leave as wastage in the year for which we have most up-to-date data) for the primary teacher stock. They are weighted towards the most recent year as data are incomplete (and provisional) for the two most recent years. The model uses this to estimate what proportion of the stock will leave as wastage in future. The model assumes that the rate will change (see projected primary wastage rates tab).</t>
  </si>
  <si>
    <t>The primary entrant need calculation tabs.</t>
  </si>
  <si>
    <t>1. Calculated primary wastage rates</t>
  </si>
  <si>
    <t>1. Break down of primary stock and by whether they are qualified or unqualified.</t>
  </si>
  <si>
    <t>Calculates the basic teacher need for primary teachers, i.e. x primary FTE teachers are required in 2017/18.</t>
  </si>
  <si>
    <t>The primary entrant need calculation tab.</t>
  </si>
  <si>
    <t>Current primary FTE</t>
  </si>
  <si>
    <t>These figures are high level primary stock figures. To update simply add in an extra year's data on the raw data tab and scroll along one column.</t>
  </si>
  <si>
    <t xml:space="preserve">Centrally employed (not included in the main primary stock). </t>
  </si>
  <si>
    <t>Occasional (not included in the main primary stock)</t>
  </si>
  <si>
    <t>Centrally employed or occasional FTE (assume FTE rate same as primary)</t>
  </si>
  <si>
    <t>There are no primary policy assumptions to be added to this model.</t>
  </si>
  <si>
    <t>4. Final primary teacher need (how many primary teachers do we need?)</t>
  </si>
  <si>
    <t>Calculates the primary entrant rates (the proportion of entrants coming into the active stock via different routes e.g. as NQTs, re-entrants, and new to the SF sector entrants).</t>
  </si>
  <si>
    <t>Calculates the proportion of primary entrants who are employed part-time.</t>
  </si>
  <si>
    <t>2. FTE rate of the primary stock</t>
  </si>
  <si>
    <t>Policy assumptions primary</t>
  </si>
  <si>
    <t>Policy assumptions secondary</t>
  </si>
  <si>
    <t>The secondary phase is broken down into a series of subjects. Note - 'Food' was not modelled as an independent subject in the 2015/16 TSM and within older versions of the model.</t>
  </si>
  <si>
    <t>Note- logically all the  pupil projections scenarios should be set to the same scenario, e.g. if primary age pupil projections are at the higher projected levels, so should the projection of secondary age pupils.</t>
  </si>
  <si>
    <t>The FTE rates have been assumed as being the same for all secondary subjects.</t>
  </si>
  <si>
    <t xml:space="preserve">The wastage figures used for the calculation of wastage rates were combined primary and secondary figures in the previous published version of the TSM. The Econometric Wastage Model does not break down projected wastage for the primary and secondary phase separately, hence why they were previously combined together. </t>
  </si>
  <si>
    <t>Data on the average FTE rate of part-time primary and secondary teachers in the existing stock. Full-time teachers are considered to have an FTE rate of 1.0</t>
  </si>
  <si>
    <t>Summarises the secondary phase policy assumptions to feed into the model to account for any additional teachers that might be needed because of secondary teacher related policies.</t>
  </si>
  <si>
    <t>The secondary entrant need calculations.</t>
  </si>
  <si>
    <t>Calculates the retirement rates (proportion of each gender age group expected to leave as retirements in the year for which we have most up-to-date data) for the secondary teacher stock. They are weighted towards the most recent year as data are incomplete (and provisional) for the two most recent years. The model uses this to estimate what proportion of the stock will leave as retirements in future. The model assumes that the rate will be constant going forward.</t>
  </si>
  <si>
    <t>Calculates the death in service rates (proportion of each gender age group expected to leave as deaths in service in the year for which we have most up-to-date data) for the secondary teacher stock. They are weighted towards the most recent year as data are incomplete (and provisional) for the two most recent years. The model uses this to estimate what proportion of the stock will leave as deaths in service in future. The model assumes that the rate will be constant going forward.</t>
  </si>
  <si>
    <t>The projected secondary wastage rates calculations tab.</t>
  </si>
  <si>
    <t>Calculate the wastage rates (proportion of each gender age group expected to leave as wastage in the year for which we have most up-to-date data) for the secondary teacher stock. They are weighted towards the most recent year as data are incomplete (and provisional) for the two most recent years. The model uses this to estimate what proportion of the stock will leave as wastage in future. The model assumes that the rate will change (see projected secondary wastage rates tab).</t>
  </si>
  <si>
    <t>The secondary entrant need calculation tabs.</t>
  </si>
  <si>
    <t>1. Calculated secondary wastage rates</t>
  </si>
  <si>
    <t>Takes the overall secondary projected wastage scalars (see previous wastage calculation tabs) and applies a conversion rate to these rates for the relevant subject group. This accounts for some subjects having higher or lower wastage rates than others.</t>
  </si>
  <si>
    <t>These rates are applied to the overall secondary projected wastage scalars. They then feed into the relevant subject tabs.</t>
  </si>
  <si>
    <t>2. Overall secondary projected wastage rates</t>
  </si>
  <si>
    <t>3. Calculation of secondary projected wastage rates for Group 1 subjects</t>
  </si>
  <si>
    <t>3. Calculation of secondary projected wastage rates for Group 2 subjects</t>
  </si>
  <si>
    <t>3. Calculation of secondary projected wastage rates for Group 3 subjects</t>
  </si>
  <si>
    <t>It breaks down the current primary and secondary stock by the % in each age group by gender. This is used to estimate what the current stock demographics are by subject.</t>
  </si>
  <si>
    <t>All secondary pupils</t>
  </si>
  <si>
    <t xml:space="preserve">Centrally employed (not incl. in the secondary by subject stock). </t>
  </si>
  <si>
    <t>Occasional (not included in the secondary by subject stock)</t>
  </si>
  <si>
    <t>Centrally employed or occasional FTE (not included in the secondary by subject stock)</t>
  </si>
  <si>
    <t>3. Calculating additional teachers required from policies or initiatives affecting overall secondary teacher need</t>
  </si>
  <si>
    <t>There are no assumptions about the overall secondary teacher stock used in this model. Assumptions by subject are added into the teacher need by subject tab.</t>
  </si>
  <si>
    <t>4. Final secondary teacher need FTE (includes some unqualified teachers) (how many secondary teachers do we need?)</t>
  </si>
  <si>
    <t>Calculates the basic teacher need for secondary teachers, i.e. x secondary FTE teachers are required in 2017/18. The need by individual subjects is calculated on the teacher need by subject tab.</t>
  </si>
  <si>
    <t>Current secondary FTE</t>
  </si>
  <si>
    <t>These figures are high level secondary stock figures. To update simply add in an extra year's data on the raw data tab and scroll along one column.</t>
  </si>
  <si>
    <t>8. What proportion of the overall secondary teacher need (FTE) is required for each subject?</t>
  </si>
  <si>
    <t>Converts the 'overall secondary teacher need' into the teacher need for particular subjects based on secondary teaching timetable information.</t>
  </si>
  <si>
    <t>Calculation overall secondary teacher need and raw data inputs sheet.</t>
  </si>
  <si>
    <t>1. What is the overall secondary teacher need?</t>
  </si>
  <si>
    <t>The primary and secondary teacher need sheets.</t>
  </si>
  <si>
    <t>Almost all of the previous secondary calculation (red) tabs feed into this sheet.</t>
  </si>
  <si>
    <t>Calculates the secondary entrant rates (the proportion of entrants coming into the active stock via different routes e.g. as NQTs, re-entrants, and new to the SF sector entrants).</t>
  </si>
  <si>
    <t>Calculates the proportion of secondary entrants who are employed part-time.</t>
  </si>
  <si>
    <t>2. FTE rate of the secondary stock</t>
  </si>
  <si>
    <t>The weighted retirement rates are weighted averages calculated using 4 years' worth of SWC data. Rates are calculated for both genders and all age groups for both primary and secondary phases.</t>
  </si>
  <si>
    <t>The weighted death in service rates are weighted averages calculated using 4 years' worth of SWC data. Rates are calculated for both genders and all age groups for both primary and secondary phases.</t>
  </si>
  <si>
    <t>The weighted wastage rates are weighted averages calculated using 4 years' worth of SWC data. Rates are calculated for both genders and all age groups for both primary and secondary phases.</t>
  </si>
  <si>
    <t>Total secondary entrant teacher need</t>
  </si>
  <si>
    <t xml:space="preserve">These are qualified entrant teachers who did not qualify in the year before they entered into the active stock. They are not recorded on the departments' datasets as having previously held a regular teaching role within a state-funded primary/secondary/academy school in England. However, they may have taught previously within a PRU, special school, independent school, or school in Wales/Scotland etc. </t>
  </si>
  <si>
    <t>These are entrant teachers who did not qualify in the year before they entered into the stock and are recorded on the departments' datasets as having previously held a regular teaching role within a state-funded primary/secondary/academy school in England at an earlier point in their career.</t>
  </si>
  <si>
    <t>Firstly, this spreadsheet estimates the projected number of 'entrant' teachers required in each phase &amp; subject going forwards (the 'entrant teacher need') in the state-funded schools sector in England. The state-funded schools sector is defined (for the purposes of the TSM) as being state-funded primary and secondary schools in England (including academies and free schools). Therefore, teachers moving from PRUs and special schools to primary or secondary schools are classed as entrants by the TSM. The model estimates values for a 'most likely' scenario (the central scenario) but also allows the user to compare this to different scenarios and possibilities that may occur e.g. a higher wastage rate, lower pupil population projections etc.</t>
  </si>
  <si>
    <t>Primary part-time entrant rates</t>
  </si>
  <si>
    <t>Primary part-time FTE rate</t>
  </si>
  <si>
    <t>Secondary part-time entrant rates</t>
  </si>
  <si>
    <t>Secondary part-time FTE rate</t>
  </si>
  <si>
    <t>'Modern Foreign Languages 2' and 'FINAL OUTPUTS OF ITT PLACES' tabs.</t>
  </si>
  <si>
    <t>Geography and History (EBacc) - Adjusting for different sources of new teachers</t>
  </si>
  <si>
    <t>'Geography 2' and 'History 2' tabs.</t>
  </si>
  <si>
    <t xml:space="preserve">The number of KS5 Mathematics teaching hours estimated as being required in future is increased year-on-year until 2017/18 to reflect additional policy requirements. </t>
  </si>
  <si>
    <t>Scenario A values were derived using 'high' pupil projection figures and the latest (November 2015 SWC) rates for the proportion of teachers that are unqualified.</t>
  </si>
  <si>
    <t>Users can select different rates for the proportion of entrants who will be Newly Qualified Teachers. Obviously, this in turn also affects the proportion that won't be NQTs (e.g. the proportion that will be re-entrants or new to the SF sector entrants).</t>
  </si>
  <si>
    <t xml:space="preserve">These ITT place numbers have been calculated by previous versions of the TSM (historical figures) or this version of the model (projected figures).  </t>
  </si>
  <si>
    <t>IMPORTANT - PLEASE NOTE THE FOLLOWING INFORMATION:</t>
  </si>
  <si>
    <r>
      <t>Figures covering the 2011/12-2014/15 academic years are</t>
    </r>
    <r>
      <rPr>
        <i/>
        <sz val="10"/>
        <rFont val="Arial"/>
        <family val="2"/>
      </rPr>
      <t xml:space="preserve"> estimates</t>
    </r>
    <r>
      <rPr>
        <sz val="10"/>
        <rFont val="Arial"/>
        <family val="2"/>
      </rPr>
      <t xml:space="preserve"> of postgraduate ITT place numbers derived from previous versions of the TSM (the 2014/15 TSM and its predecessors) which may not be available elsewhere online.</t>
    </r>
  </si>
  <si>
    <t>- The historical figures for Others include Social Studies figures.</t>
  </si>
  <si>
    <t>The light green figures are provisional. Figures for 2014/15, for example, relate to teachers leaving between November 2014 and November 2015. Figures for 2014/15 have been assumed as being the same as those for 2013/14 as 2014/15 figures are not available due to data quality issues.</t>
  </si>
  <si>
    <t>1. Entrant need by headcount under different scenarios in section 1 of the TSM</t>
  </si>
  <si>
    <t>NOTE:</t>
  </si>
  <si>
    <t>Results from selected scenario</t>
  </si>
  <si>
    <t>Differences between the values calculated in selected scenario and the default values</t>
  </si>
  <si>
    <t>Back to scenario selection</t>
  </si>
  <si>
    <t>See all teacher need charts</t>
  </si>
  <si>
    <t>See all entrant need charts</t>
  </si>
  <si>
    <t>Teacher need</t>
  </si>
  <si>
    <t>SUMMARY_OUTPUTS</t>
  </si>
  <si>
    <t>See summary of scenario outputs</t>
  </si>
  <si>
    <t>This sheet enables users to see a summary of the results of the scenarios they have selected against the default values.</t>
  </si>
  <si>
    <t>Summarises the final outputs of the allocations, teacher need, and entrant need figures.</t>
  </si>
  <si>
    <t>Select whether to view figures for the teacher need by subject over the next five years, the entrant need by subject over the next five years, or the ITT place outputs from the TSM for each subject in 2017/18:</t>
  </si>
  <si>
    <t>ITT place outputs</t>
  </si>
  <si>
    <t>See detailed ITT place outputs</t>
  </si>
  <si>
    <t>This sheet allows users to see a summary of the values calculated by their selected scenario against the default values. For further details on the methodology of how the ITT place outputs are calculated, including which trainees are and are not included, users should go to the 'FINAL OUTPUTS OF ITT PLACES' sheet.</t>
  </si>
  <si>
    <t>See detailed results of ITT place outputs under these scenarios</t>
  </si>
  <si>
    <t>Select three subjects to compare between the selected scenarios and the default values:</t>
  </si>
  <si>
    <r>
      <rPr>
        <i/>
        <u/>
        <sz val="8"/>
        <rFont val="Arial"/>
        <family val="2"/>
      </rPr>
      <t>NOTE:</t>
    </r>
    <r>
      <rPr>
        <i/>
        <sz val="8"/>
        <rFont val="Arial"/>
        <family val="2"/>
      </rPr>
      <t xml:space="preserve"> ALL NUMBERS ARE IN HEADCOUNT FORM AND COVER QUALIFIED TEACHERS ONLY</t>
    </r>
  </si>
  <si>
    <t>Into which sheet is the assumption added?</t>
  </si>
  <si>
    <t>A. Current EBacc entry rate</t>
  </si>
  <si>
    <t>(h) Increased EBacc entry policy assumptions</t>
  </si>
  <si>
    <t>Scenario A - Current EBacc entry rate</t>
  </si>
  <si>
    <t>Assume that EBacc entry rates stay at 'current' November 2015 SWC levels.</t>
  </si>
  <si>
    <t>Scenario A - current EBacc entry rate</t>
  </si>
  <si>
    <t>5. Include effect of policy assumptions (increased EBacc entry rate is handled separately in section 7 which is lower down on this tab)</t>
  </si>
  <si>
    <t>7. What about the impact of increased EBacc entry rates?</t>
  </si>
  <si>
    <t>Because of the impact of the increased EBacc entry policy adjustment, additional Geography teachers may be required.</t>
  </si>
  <si>
    <t>Because of the impact of the increased EBacc entry policy adjustment, additional History teachers may be required.</t>
  </si>
  <si>
    <t>Increased EBacc entry adjustment (added in to the 2017/18 TSM)</t>
  </si>
  <si>
    <t>Because of the impact of the increased EBacc entry policy adjustment, additional Modern Foreign Languages teachers may be required.</t>
  </si>
  <si>
    <t>Increased EBacc scenario data</t>
  </si>
  <si>
    <t>1. Scenarios for increased EBacc entry</t>
  </si>
  <si>
    <t>Lists data that can be selected for increased EBacc entry policy impact modelling.</t>
  </si>
  <si>
    <t>Numbers have been rounded to the nearest whole number for display; this means that some totals may appear different from manual calculation.</t>
  </si>
  <si>
    <t>Compiles the entrant teacher need outputs to feed into section 2 of the TSM, i.e. the number of qualified teachers (headcount) that will enter into the stock by any entrant route in each academic year.</t>
  </si>
  <si>
    <t>MFL teachers to be sourced in 2018/19 via ITT and new initiatives.</t>
  </si>
  <si>
    <t xml:space="preserve">The future impact of increased EBacc entry to create a substantial increase in the amount of Modern Foreign Languages, Geography, and History teaching required at KS3 and 4 has been accounted for within the teacher need calculations of this model. </t>
  </si>
  <si>
    <t xml:space="preserve">In addition to conventional ITT recruitment, the department will also seek to recruit Modern Foreign Languages teachers to enter into the stock in 2018/19 via a number of new initiatives including overseas recruitment and TSST (Teacher Subject Specialism Training). Further details can be found on the secondary policy assumptions tab. </t>
  </si>
  <si>
    <r>
      <t xml:space="preserve">The model does </t>
    </r>
    <r>
      <rPr>
        <u/>
        <sz val="10"/>
        <color indexed="10"/>
        <rFont val="Arial"/>
        <family val="2"/>
      </rPr>
      <t>not</t>
    </r>
    <r>
      <rPr>
        <sz val="10"/>
        <color indexed="10"/>
        <rFont val="Arial"/>
        <family val="2"/>
      </rPr>
      <t xml:space="preserve"> provide a precise breakdown of where all Modern Foreign Language teachers entering into the stock in 2018/19 will be sourced from, but x (where x is provided below) qualified MFL teachers entering the stock in 2018/19 will be sourced </t>
    </r>
    <r>
      <rPr>
        <b/>
        <sz val="10"/>
        <color indexed="10"/>
        <rFont val="Arial"/>
        <family val="2"/>
      </rPr>
      <t>via ITT and other, new initiatives.</t>
    </r>
  </si>
  <si>
    <t>Modern Foreign Languages (EBacc) - Adjusting for different sources of new teachers</t>
  </si>
  <si>
    <t>Mathematics policy assumptions</t>
  </si>
  <si>
    <t>The TSM takes all the underlying data and teacher need requirements from the policy assumptions to arrive at an overall teacher need estimate for Mathematics teachers. Overall, this meant a lower number of ITT places would be needed in 2017/18 than estimated for 2016/17 ITT by the 2016/17 TSM. This difference reflects a revised assessment of the profile of Core Maths take-up and a quicker than originally profiled change to the teaching hours for the new Mathematics GCSE, which means the increase in additional Mathematics teachers needed in this year's model is lower. However, given the focus on Mathematics teaching and the uncertainty around some of these assumptions, we have protected Mathematics places to last year's total.</t>
  </si>
  <si>
    <t>The number of key stage 3 and key stage 4 Mathematics teaching hours estimated as being required in future is increased to provide additional teachers to deliver the expanded Mathematics GCSE in the next year and two years respectively.</t>
  </si>
  <si>
    <t>Increases in English teaching requirements at key stage 4</t>
  </si>
  <si>
    <t>The number of key stage 4 English teaching hours estimated as being required in future is increased between 2015/16 and 2016/17 to provide additional teachers to deliver English at key stage 4.</t>
  </si>
  <si>
    <t>Removal of option to take Core Science GCSE</t>
  </si>
  <si>
    <t xml:space="preserve">Having a good supply of Physical Education teachers will help ensure that the government is able to deliver on its commitment to improve the quality and breadth of Physical Education provision in schools, and to take action to help reduce levels of childhood obesity. To assist in the delivery of the obesity strategy, 2017/18 postgraduate ITT places for Physical Education cannot fall below 100% of the 2016/17 TSM levels (if higher). </t>
  </si>
  <si>
    <t xml:space="preserve">Computing ITT places have been protected despite a fall in the number of teaching hours spent teaching Computing between November 2014 and 2015 (see 'Changes_in_subject_teaching_hrs' tab), largely driven by a fall in ICT teaching hours. The SWC Statistical First Release (and therefore TSM) does not isolate 'ICT' (which is not included within the EBacc) and 'Computer Science' (which is included within the EBacc) from within the data collated on the overall 'Computing' subject. </t>
  </si>
  <si>
    <t xml:space="preserve">Re-entrant and 'new to the state-funded sector' entrants for Geography and History can only increase up to the figures estimated in the 2016/17 TSM for the respective subjects. </t>
  </si>
  <si>
    <t>Three individual curriculum-related Mathematics policies are outlined in the cells below. Additionally, as outlined in the 'EBacc policy', Mathematics 2017/18 ITT places are protected at the value from last year's model.</t>
  </si>
  <si>
    <t>The additional Mathematics teacher requirements estimated by internal analysis are added on to the secondary Mathematics teacher need forecasts estimated in the 'teacher need by subject' calculations.</t>
  </si>
  <si>
    <t>The Enhanced Further Mathematics Support Programme has been active from March 2014 for 3 years. The department expects that this policy will result in continuing increases in the uptake of Further Mathematics and Mathematics A level at roughly the same rate as currently, which will require more Advanced level Mathematics teachers. There has been a year-on-year increase in Mathematics hours taught at key stage 5 in state-funded schools since Sept 2012. We predict that the system will observe similar increases to last year (1.35%) year-on-year until 2017/18. Note - the increases in teaching time were observed within the SWC.</t>
  </si>
  <si>
    <t>The model assumes that the number of hours spent teaching English at key stage 4 will increase by 1.30% between 2015/16 and 2016/17. This increase is consistent with the increase observed in the year before within the School Workforce Census and reflects the increased focus of schools towards the provision of English and Mathematics.</t>
  </si>
  <si>
    <t>The number of Physical Education ITT places is maintained at last year's (2016/17 TSM) level if it would otherwise fall.</t>
  </si>
  <si>
    <t xml:space="preserve">As outlined above, we expect to see an increase in the entry rate of EBacc and as part of this, a significant increase in the take-up of Geography and History. To meet this additional teacher need, the model would assume that entrant numbers via all entry routes would rise (NQTs, 'new to state-funded sector', and re-entrants). However, as the numbers of 'new to state-funded entrants' and re-entrants is likely to be limited by the existing pool of such teachers, we have limited these figures to the previous year's (2016/17 TSM) estimates. We are assuming that all the remaining additional Geography and History teachers will be sourced via ITT (the increase in future teacher requirements for Geography and History relating to EBacc changes is of smaller magnitude than that for MFL). </t>
  </si>
  <si>
    <t xml:space="preserve">Lists data that can be selected for different EBacc entry rate scenarios to estimate the impact of the increased EBacc entry policy via the user-testing tab. The data covers the change in total secondary teaching hours for each secondary subject in each academic year under different EBacc entry rate scenarios. </t>
  </si>
  <si>
    <t>Calculates the age group breakdown of entrants.</t>
  </si>
  <si>
    <t>This is the amount of hours that the whole secondary workforce spends teaching particular subjects at KS3/4/5 in a standard week (census week). E.g. 249,638 hrs of the total teaching time to KS3 pupils is spent teaching English. This is used to identify the proportion of time the secondary workforce is teaching each subject at each key stage.</t>
  </si>
  <si>
    <t>Data on the projected numbers of pupils by key stage.</t>
  </si>
  <si>
    <t>Calculates projected key stage 5 pupil populations as the Pupil Projections Model does not project values for the post-16 secondary schools population.</t>
  </si>
  <si>
    <t>2. What amount of teaching time is required for each subject from the total key stage 3, 4 and 5 teaching workforce?</t>
  </si>
  <si>
    <t>3. What amount of teaching time is required for each subject for each pupil at key stage 3, 4 and 5?</t>
  </si>
  <si>
    <t>Number of ITT places for the 2016/17 training year as estimated by the 2016/17 TSM</t>
  </si>
  <si>
    <t xml:space="preserve">MALE SECONDARY Numbers leaving as wastage </t>
  </si>
  <si>
    <t xml:space="preserve">MALE PRIMARY Numbers leaving as wastage </t>
  </si>
  <si>
    <t xml:space="preserve">FEMALE SECONDARY Numbers leaving as wastage </t>
  </si>
  <si>
    <t xml:space="preserve">FEMALE PRIMARY Numbers leaving as wastage </t>
  </si>
  <si>
    <t>MALE SECONDARY Numbers leaving as retirements</t>
  </si>
  <si>
    <t>MALE PRIMARY Numbers leaving as retirements</t>
  </si>
  <si>
    <t>FEMALE SECONDARY Numbers leaving as retirements</t>
  </si>
  <si>
    <t>FEMALE PRIMARY Numbers leaving as retirements</t>
  </si>
  <si>
    <t>MALE SECONDARY Numbers dying in service</t>
  </si>
  <si>
    <t>MALE PRIMARY Numbers dying in service</t>
  </si>
  <si>
    <t>FEMALE SECONDARY Numbers dying in service</t>
  </si>
  <si>
    <t>FEMALE PRIMARY Numbers dying in service</t>
  </si>
  <si>
    <t>16. Number of trainees due to finish in 2017/18 on courses longer than one year in length</t>
  </si>
  <si>
    <t>Number of undergraduate trainees (finish date in 2017/18)</t>
  </si>
  <si>
    <t>Number</t>
  </si>
  <si>
    <t>Number of qualified teachers needed in 2016/17 if UQ rates as selected</t>
  </si>
  <si>
    <t>Number for selection</t>
  </si>
  <si>
    <t>2. Numbers of teachers in each subject broken down by whether qualified or unqualified.</t>
  </si>
  <si>
    <t>Qualified Numbers</t>
  </si>
  <si>
    <t>Unqualified Numbers</t>
  </si>
  <si>
    <t>Number of qualified teachers</t>
  </si>
  <si>
    <t>Number of unqualified teachers</t>
  </si>
  <si>
    <t>Number of teachers FTE required</t>
  </si>
  <si>
    <t>Number of teachers required unqualified</t>
  </si>
  <si>
    <t>Number of FTE qualified teachers required</t>
  </si>
  <si>
    <t>Number of qualified teachers required by headcount</t>
  </si>
  <si>
    <t>Number of FTE pupils from the academic year of timetable data at KS3, 4 and 5:</t>
  </si>
  <si>
    <t>Number of FTE Mathematics teachers to add each year</t>
  </si>
  <si>
    <t>11. Number of leavers expected</t>
  </si>
  <si>
    <t>12. Number of entrants expected (calculate the entrant need)</t>
  </si>
  <si>
    <t>3. Number of entrants required by different routes</t>
  </si>
  <si>
    <t>Number of entrants expected via different routes.</t>
  </si>
  <si>
    <t>Number of entrants that would be full-time</t>
  </si>
  <si>
    <t>Number of entrants that would be part-time</t>
  </si>
  <si>
    <t>Numbers to be recruited</t>
  </si>
  <si>
    <t>Number needed</t>
  </si>
  <si>
    <t>Number needed FTE</t>
  </si>
  <si>
    <t>Number of entrants expected by each entrant route</t>
  </si>
  <si>
    <t>Number of all entrants expected</t>
  </si>
  <si>
    <t>Number re-entrants expected</t>
  </si>
  <si>
    <t>Number of new to state-funded sector entrants expected</t>
  </si>
  <si>
    <t>Number of NQT entrants expected</t>
  </si>
  <si>
    <t>4. Number of trainees completing ITT</t>
  </si>
  <si>
    <t>5. Number of those trainees entering employment in the year after training</t>
  </si>
  <si>
    <t>Summarises the number of teachers expected to enter as 're-entrants to the state-funded sector' by subject.</t>
  </si>
  <si>
    <t>Summarises the number of teachers expected to enter as 'new to the state-funded sector' entrants by subject.</t>
  </si>
  <si>
    <t>Summarises the number of teachers expected to enter as Newly Qualified Teachers (NQTs), including those who will complete training via undergraduate training courses.</t>
  </si>
  <si>
    <t>Summarises the number of qualified teachers estimated as being needed in the stock over time.</t>
  </si>
  <si>
    <t>Summarises the number of qualified teachers estimated as being needed to enter into the stock each year over time.</t>
  </si>
  <si>
    <t>Summarises the number of teachers that are assumed will leave as wastage over time.</t>
  </si>
  <si>
    <t>Summarises the number of teachers that are assumed will leave as retirements over time.</t>
  </si>
  <si>
    <t>Summarises the number of teachers that are assumed will leave as deaths in service over time.</t>
  </si>
  <si>
    <t>Summarises the number of teachers that are assumed will leave from service by all exit routes over time.</t>
  </si>
  <si>
    <t>The spreadsheet then estimates the projected number of 'entrant' teachers who are NQTs (Newly Qualified Teachers) that are required in each phase &amp; subject going forwards (the 'NQT entrant teacher need') in the state-funded schools sector in England. This estimate is calculated by making assumptions on the expected number of entrants who are either re-entrants or are new to the state-funded sector (i.e. non-NQT entrants).</t>
  </si>
  <si>
    <t>School Workforce Census curriculum data on the number of sessions taught by teachers.</t>
  </si>
  <si>
    <t xml:space="preserve">Information on the curriculum and teacher related policies affecting the number of teachers required. </t>
  </si>
  <si>
    <t>NCTL data on the number of training places allocated in previous years, ITT course lengths, and the employment &amp; ITT outcomes of trainees.</t>
  </si>
  <si>
    <t xml:space="preserve">The precise number of ITT places allocated for each subject may differ slightly to the TSM ITT place output figures in the table below. For MFL, a 2017/18 postgraduate ITT place target of 1,649 will be used for allocations purposes, where 1,649 is our assessment of a starting point for recruitment through mainstream ITT. This assessment takes account of historic recruitment performance and other factors such as economic outlook. It should be noted that meeting this target will not, on its own, see us meet the teacher need for 2018/19; in order to achieve this, we require very substantial inflow ‎from other routes.
</t>
  </si>
  <si>
    <t>To limit any falls in EBacc places, the number of 2017/18 secondary ITT places for all EBacc subjects is be held (protected) at 100% (see cell C39 below) of 2016/17 TSM levels, if this number was greater. More information is provided on the 'policy assumptions SEC' tab. The same applies to Physical Education. This adjustment is made in the table below:</t>
  </si>
  <si>
    <t>where x is the number of qualified Modern Foreign Language teachers in the form of headcount</t>
  </si>
  <si>
    <t>Holding limits based on the number of ITT places for the 2016/17 training year</t>
  </si>
  <si>
    <t>End of model adjustment to increase number of ITT places for EBacc subjects (light blue = adjusted and held at 2016/17 levels, if higher)</t>
  </si>
  <si>
    <t xml:space="preserve">Note - As mentioned on the final outputs of ITT places tab, the minimum number of 2017/18 Modern Foreign Language ITT places required is equal to the number from the 2016/17 TSM. Under default scenarios, the model assumes that a total of 2,247 Modern Foreign Language teachers entering the stock in 2018/19 will be sourced via 'ITT and other, new initiatives'.  </t>
  </si>
  <si>
    <t>The central scenario is the scenario used in the Pupil Projections Model. The high and low scenarios are the highest and lowest scenarios for pupil numbers change given extremes of the maternity, immigration, and participation rates under different ONS scenarios.</t>
  </si>
  <si>
    <t>Users can select the capped PTRs used by the model to calculate teacher need (the number of teachers needed). The lowest cap values were used in the previous TSM.</t>
  </si>
  <si>
    <t xml:space="preserve">The extreme caps are based on the PTRs observed in the 1950s when PTRs reached the maximum levels seen in the last 60 years (note- pupil numbers were actually lower than during the 1970s). </t>
  </si>
  <si>
    <t>Users can select different rates at which PTRs will change as pupil numbers change. The higher the rate, the faster the PTR will change as pupil numbers change. For each 1% increase in the pupil population, the PTR will increase by the percentage rate selected.</t>
  </si>
  <si>
    <t>If the unqualified teacher rates are scaled down to a previous level the number of qualified teacher entrants would need to be scaled up accordingly.</t>
  </si>
  <si>
    <t xml:space="preserve">The data show the stock figures and the number of teachers leaving as wastage each year. They are used to calculate wastage rates. </t>
  </si>
  <si>
    <t>The data show the number of teachers leaving through retirement each year. It is used to calculate the retirement rates.</t>
  </si>
  <si>
    <t>The data show the number of teachers leaving as deaths in service from service each year.</t>
  </si>
  <si>
    <t>13. Entrant numbers by entrant route data</t>
  </si>
  <si>
    <t>Data on the number of entrants coming in via different routes and the number of entrants via different routes that are recorded as being part-time.</t>
  </si>
  <si>
    <t>Primary figures (number of entrants)</t>
  </si>
  <si>
    <t>Secondary figures (number of entrants)</t>
  </si>
  <si>
    <t>Primary part-time entrant figures (number of entrants that are part-time)</t>
  </si>
  <si>
    <t>Secondary part-time entrant figures (number of entrants that are part-time)</t>
  </si>
  <si>
    <t>The number of undergraduate trainees (on courses of more than one year length) by subject, who should complete ITT in 2017/18 and thus be ready to enter teaching in state-funded schools in 2018/19.</t>
  </si>
  <si>
    <t>The average FTE rates of the existing stock for each subject/phase. They are used to estimate the number of FTE teachers an entrant actually contributes on joining the active stock (one entrant teacher does not necessarily provide one FTE teacher for active service as many work part-time).</t>
  </si>
  <si>
    <t>As the numbers of 'new to state-funded entrants' and re-entrants is likely to be limited by the existing pool of such teachers, figures can only increase up to the previous year's (2016/17 TSM) estimates with an additional number added to estimate the impact of the MFL 'returners package'. A new category is added for MFL on the 'FINAL OUTPUTS OF ITT PLACES' tab covering the number of MFL teachers that will be sourced ‘via ITT and other, new initiatives’ in 2018/19, alongside a starting point ITT target for MFL in 2017/18.</t>
  </si>
  <si>
    <t>If the unqualified teacher rates are held at levels from a previous year, the number of qualified teachers required to enter into the stock in future would need to be scaled up or down accordingly.</t>
  </si>
  <si>
    <t>3. FTE numbers of teachers in each subject broken down by whether qualified or unqualified.</t>
  </si>
  <si>
    <t>FTE number of qualified teachers</t>
  </si>
  <si>
    <t>FTE number of unqualified teachers</t>
  </si>
  <si>
    <t>1. Calculating number of FTE primary teachers required</t>
  </si>
  <si>
    <t>If we have the PTRs calculated above and the projected pupil numbers given above, we can estimate the number of teachers (FTE) that we would expect.</t>
  </si>
  <si>
    <t>2. Calculating number of FTE regular primary teachers required</t>
  </si>
  <si>
    <t>Need to subtract the number of teachers expected who will be unqualified and convert the FTE teachers required into headcount.</t>
  </si>
  <si>
    <t>1. Calculating number of FTE secondary teachers required</t>
  </si>
  <si>
    <t>2. Calculating number of FTE regular secondary teachers required</t>
  </si>
  <si>
    <t>4. What number of hours teaching time will be required for each subject at key stage 3, 4 and 5 (from the workforce) going forwards as pupil numbers change?</t>
  </si>
  <si>
    <t>Assumption number</t>
  </si>
  <si>
    <t>Most of the policies are accounted for in step 5 on this sheet as they affect the number of teaching hours required. Any policy assumptions involving additional FTE teachers being added in at the end, are included here.</t>
  </si>
  <si>
    <t>Calculates the entrant teacher need for primary teachers. It does this by calculating the number expected to leave/enter and estimates how the size and demographics of the stock will change over time.</t>
  </si>
  <si>
    <t>Calculates the entrant teacher need for Art &amp; Design teachers. It does this by calculating the number expected to leave/enter and estimates how the size and demographics of the stock will change over time.</t>
  </si>
  <si>
    <t>Calculates the entrant need for Biology teachers. It does this by calculating the number expected to leave/enter and estimates how the size and demographics of the stock will change over time.</t>
  </si>
  <si>
    <t>Calculates the entrant need for Business Studies teachers. It does this by calculating the number expected to leave/enter and estimates how the size and demographics of the stock will change over time.</t>
  </si>
  <si>
    <t>Calculates the entrant need for Chemistry teachers. It does this by calculating the number expected to leave/enter and estimates how the size and demographics of the stock will change over time.</t>
  </si>
  <si>
    <t>Calculates the entrant need for Classics teachers. It does this by calculating the number expected to leave/enter and estimates how the size and demographics of the stock will change over time.</t>
  </si>
  <si>
    <t>Calculates the entrant need for Computing teachers. It does this by calculating the number expected to leave/enter and estimates how the size and demographics of the stock will change over time.</t>
  </si>
  <si>
    <t>Calculates the entrant need for Design &amp; Technology teachers. It does this by calculating the number expected to leave/enter and estimates how the size and demographics of the stock will change over time.</t>
  </si>
  <si>
    <t>Calculates the entrant need for Drama teachers. It does this by calculating the number expected to leave/enter and estimates how the size and demographics of the stock will change over time.</t>
  </si>
  <si>
    <t>Calculates the entrant need for English teachers. It does this by calculating the number expected to leave/enter and estimates how the size and demographics of the stock will change over time.</t>
  </si>
  <si>
    <t>Calculates the entrant need for Food teachers. It does this by calculating the number expected to leave/enter and estimates how the size and demographics of the stock will change over time.</t>
  </si>
  <si>
    <t>Calculates the entrant need for Geography teachers. It does this by calculating the number expected to leave/enter and estimates how the size and demographics of the stock will change over time.</t>
  </si>
  <si>
    <t>Calculates the entrant need for History teachers. It does this by calculating the number expected to leave/enter and estimates how the size and demographics of the stock will change over time.</t>
  </si>
  <si>
    <t>Calculates the entrant need for Mathematics teachers. It does this by calculating the number expected to leave/enter and estimates how the size and demographics of the stock will change over time.</t>
  </si>
  <si>
    <t>Calculates the entrant need for Modern Foreign Languages teachers. It does this by calculating the number expected to leave/enter and estimates how the size and demographics of the stock will change over time.</t>
  </si>
  <si>
    <t>Calculates the entrant need for Music teachers. It does this by calculating the number expected to leave/enter and estimates how the size and demographics of the stock will change over time.</t>
  </si>
  <si>
    <t>Calculates the entrant need for Others teachers. It does this by calculating the number expected to leave/enter and estimates how the size and demographics of the stock will change over time.</t>
  </si>
  <si>
    <t>Calculates the entrant need for Physical Education teachers. It does this by calculating the number expected to leave/enter and estimates how the size and demographics of the stock will change over time.</t>
  </si>
  <si>
    <t>Calculates the entrant need for Physics teachers. It does this by calculating the number expected to leave/enter and estimates how the size and demographics of the stock will change over time.</t>
  </si>
  <si>
    <t>Calculates the entrant need for Religious Education teachers. It does this by calculating the number expected to leave/enter and estimates how the size and demographics of the stock will change over time.</t>
  </si>
  <si>
    <t>Calculates the number of entrants required for primary teachers by each entrant route. It does this by calculating the number expected to enter by each route using historical rates taking into account the working patterns of teachers by different routes.</t>
  </si>
  <si>
    <t>the number of 1.0 FTE teachers required to meet this need is…</t>
  </si>
  <si>
    <t>We know what the headcount ratio between the different entrant routes is but they don’t give equal FTE amounts of teachers (e.g. NQTs are proportionately more likely to be full time). Therefore we need to work out the actual number of teachers needed by different routes given that the different routes give different average FTE rates. To do this we work out an FTE ratio for the different entrant routes. Example below:</t>
  </si>
  <si>
    <t>4. Outputs of the number of entrants required by different routes</t>
  </si>
  <si>
    <t>Calculates the number of entrants required for Art &amp; Design teachers by each entrant route. It does this by calculating the number expected to enter by each route using historical rates taking into account the working patterns of teachers by different routes.</t>
  </si>
  <si>
    <t>Calculates the number of entrants required for Biology teachers by each entrant route. It does this by calculating the number expected to enter by each route using historical rates taking into account the working patterns of teachers by different routes.</t>
  </si>
  <si>
    <t>Calculates the number of entrants required for Business Studies teachers by each entrant route. It does this by calculating the number expected to enter by each route using historical rates taking into account the working patterns of teachers by different routes.</t>
  </si>
  <si>
    <t>Calculates the number of entrants required for Chemistry teachers by each entrant route. It does this by calculating the number expected to enter by each route using historical rates taking into account the working patterns of teachers by different routes.</t>
  </si>
  <si>
    <t>Calculates the number of entrants required for Classics teachers by each entrant route. It does this by calculating the number expected to enter by each route using historical rates taking into account the working patterns of teachers by different routes.</t>
  </si>
  <si>
    <t>Calculates the number of entrants required for Computing teachers by each entrant route. It does this by calculating the number expected to enter by each route using historical rates taking into account the working patterns of teachers by different routes.</t>
  </si>
  <si>
    <t>Calculates the number of entrants required for Design &amp; Technology teachers by each entrant route. It does this by calculating the number expected to enter by each route using historical rates taking into account the working patterns of teachers by different routes.</t>
  </si>
  <si>
    <t>Calculates the number of entrants required for Drama teachers by each entrant route. It does this by calculating the number expected to enter by each route using historical rates taking into account the working patterns of teachers by different routes.</t>
  </si>
  <si>
    <t>Calculates the number of entrants required for English teachers by each entrant route. It does this by calculating the number expected to enter by each route using historical rates taking into account the working patterns of teachers by different routes.</t>
  </si>
  <si>
    <t>Calculates the number of entrants required for Food teachers by each entrant route. It does this by calculating the number expected to enter by each route using historical rates taking into account the working patterns of teachers by different routes.</t>
  </si>
  <si>
    <t>Calculates the number of entrants required for Geography teachers by each entrant route. It does this by calculating the number expected to enter by each route using historical rates taking into account the working patterns of teachers by different routes.</t>
  </si>
  <si>
    <t>Calculates the number of entrants required for History teachers by each entrant route. It does this by calculating the number expected to enter by each route using historical rates taking into account the working patterns of teachers by different routes.</t>
  </si>
  <si>
    <t>Calculates the number of entrants required for Mathematics teachers by each entrant route. It does this by calculating the number expected to enter by each route using historical rates taking into account the working patterns of teachers by different routes.</t>
  </si>
  <si>
    <t>Calculates the number of entrants required for Modern Foreign Languages teachers by each entrant route. It does this by calculating the number expected to enter by each route using historical rates taking into account the working patterns of teachers by different routes.</t>
  </si>
  <si>
    <t>Calculates the number of entrants required for Music teachers by each entrant route. It does this by calculating the number expected to enter by each route using historical rates taking into account the working patterns of teachers by different routes.</t>
  </si>
  <si>
    <t>Calculates the number of entrants required for Others teachers by each entrant route. It does this by calculating the number expected to enter by each route using historical rates taking into account the working patterns of teachers by different routes.</t>
  </si>
  <si>
    <t>Calculates the number of entrants required for Physical Education teachers by each entrant route. It does this by calculating the number expected to enter by each route using historical rates taking into account the working patterns of teachers by different routes.</t>
  </si>
  <si>
    <t>Calculates the number of entrants required for Physics teachers by each entrant route. It does this by calculating the number expected to enter by each route using historical rates taking into account the working patterns of teachers by different routes.</t>
  </si>
  <si>
    <t>Calculates the number of entrants required for Religious Education teachers by each entrant route. It does this by calculating the number expected to enter by each route using historical rates taking into account the working patterns of teachers by different routes.</t>
  </si>
  <si>
    <t>Summarises the number of re-entrants expected over time.</t>
  </si>
  <si>
    <t>Summarises the number of new to the state-funded sector entrants expected over time.</t>
  </si>
  <si>
    <t>Summarises the number of NQT entrants required over time (including undergraduates).</t>
  </si>
  <si>
    <t>Summarises the number of entrants via all entrant routes required for 2018/19.</t>
  </si>
  <si>
    <t>Assumed number of undergraduate trainees in future years by ITT finish date</t>
  </si>
  <si>
    <t>These outputs are fed into the table of completion rates and employment rates to estimate the number of postgraduate ITT places required for each year.</t>
  </si>
  <si>
    <t>Summarises the number of entrants expected/required by state-funded schools over time by the scenarios selected as assumed by the model and using the most robust estimations.</t>
  </si>
  <si>
    <t>Summarises the total number of leavers over time by all exit routes for all subjects in both table and chart form.</t>
  </si>
  <si>
    <t>Key stage 3 historical</t>
  </si>
  <si>
    <t>Key stage 3 projected</t>
  </si>
  <si>
    <t>Key stage 4 historical</t>
  </si>
  <si>
    <t>Key stage 4 projected</t>
  </si>
  <si>
    <t>Key stage 5 projected</t>
  </si>
  <si>
    <t>Key stage 5 historical</t>
  </si>
  <si>
    <t>Key stage</t>
  </si>
  <si>
    <t>Key stage 3 - Adjustment to keep proportion of hours consistent for English, Mathematics, and Science (unless they are increased by a policy assumption as shown in light blue)</t>
  </si>
  <si>
    <t>Key stage 4 - Adjustment to keep proportion of hours consistent for English, Mathematics, and Science (unless they are increased by a policy assumption as shown in light blue)</t>
  </si>
  <si>
    <t>Key stage 5 - Adjustment to keep proportion of hours consistent for English, Mathematics, and Science (unless they are increased by a policy assumption)</t>
  </si>
  <si>
    <t>Summarises the changes between the 2016/17 TSM and this year's model.</t>
  </si>
  <si>
    <t>The introduction of the new Combined Science GCSE, which will be equivalent to the current Core and Additional Science GCSEs, will remove the option to take the Core Science GCSE. We are expecting that for 10% of key stage 4 students, their Science teaching time will double from Sept 2016 onwards (as they move to the Combined Science GCSE - which requires more teaching time). An assumption is added into the model that from Sept 2016, 10% of key stage 4 students will have their Science teaching time doubled.</t>
  </si>
  <si>
    <t>Paste in the actual values in the cells below in row 41 and below…</t>
  </si>
  <si>
    <t>Scenario C - 60% entry rate</t>
  </si>
  <si>
    <t>Scenario D - 70% entry rate</t>
  </si>
  <si>
    <t>Scenario E - 80% entry rate</t>
  </si>
  <si>
    <t>Scenario F - 90% entry rate</t>
  </si>
  <si>
    <t>Scenario B - 50% entry rate</t>
  </si>
  <si>
    <t>C. 60% entry rate</t>
  </si>
  <si>
    <t>D. 70% entry rate</t>
  </si>
  <si>
    <t>E. 80% entry rate</t>
  </si>
  <si>
    <t>F. 90% entry rate</t>
  </si>
  <si>
    <t>B. 50% entry rate</t>
  </si>
  <si>
    <r>
      <t xml:space="preserve">Users can select different scenarios for the impact of the increased EBacc entry policy on the number of secondary teaching hours required for each subject. These scenarios do not change the total number of secondary teaching hours; only the balance between subjects is changed. </t>
    </r>
    <r>
      <rPr>
        <i/>
        <sz val="10"/>
        <color rgb="FFFF0000"/>
        <rFont val="Arial"/>
        <family val="2"/>
      </rPr>
      <t>Scenario D is used as the default</t>
    </r>
    <r>
      <rPr>
        <i/>
        <sz val="10"/>
        <rFont val="Arial"/>
        <family val="2"/>
      </rPr>
      <t xml:space="preserve"> to estimate the ITT place projections used by NCTL for 2017/18 ITT (i.e. the default scenario figures).</t>
    </r>
  </si>
  <si>
    <t xml:space="preserve">50% EBacc entry rate – Teaching hours increase along the levels seen in high-EBacc schools (with some class size increase for Geography, History, and Modern Foreign Languages); KS3 impact observed over 3 years; English &amp; Mathematics protected at expense of Classics, Music, and Religious Education etc. </t>
  </si>
  <si>
    <t xml:space="preserve">60% EBacc entry rate – Teaching hours increase along the levels seen in high-EBacc schools (with some class size increase for Geography, History, and Modern Foreign Languages); KS3 impact observed over 3 years; English &amp; Mathematics protected at expense of Classics, Music, and Religious Education etc. </t>
  </si>
  <si>
    <t xml:space="preserve">70% EBacc entry rate – Teaching hours increase along the levels seen in high-EBacc schools (with some class size increase for Geography, History, and Modern Foreign Languages); KS3 impact observed over 3 years; English &amp; Mathematics protected at expense of Classics, Music, and Religious Education etc. </t>
  </si>
  <si>
    <t xml:space="preserve">80% EBacc entry rate – Teaching hours increase along the levels seen in high-EBacc schools (with some class size increase for Geography, History, and Modern Foreign Languages); KS3 impact observed over 3 years; English &amp; Mathematics protected at expense of Classics, Music, and Religious Education etc. </t>
  </si>
  <si>
    <t xml:space="preserve">90% EBacc entry rate – Teaching hours increase along the levels seen in high-EBacc schools (with some class size increase for Geography, History, and Modern Foreign Languages); KS3 impact observed over 3 years; English &amp; Mathematics protected at expense of Classics, Music, and Religious Education etc. </t>
  </si>
  <si>
    <t>As outlined above we expect to see an increase in the entry rate of EBacc and as part of this, a significant increase in the take-up of Modern Foreign Languages (MFL). To meet this additional teacher need, the model would assume that entrant numbers via all entry routes would rise (NQTs, 'new to state-funded sector', and re-entrants). However, as the numbers of 'new to state-funded entrants' and re-entrants is likely to be limited by the existing pool of such teachers, we have assumed that their numbers can only increase up to the previous year's (2016/17 TSM) estimates, with an additional number added to estimate the impact of the MFL 'returners package'. Alongside this, there are some new programmes to get more MFL teachers to meet this demand, which have not traditionally been modelled in the TSM  – therefore to avoid the model assuming that all the additional, new demand will be met by NQTs, we have included a starting point for the number we expect to get through this process (1,514 ITT trainees), and added a new category of ‘MFL teachers to be sourced in 2018/19 via ITT and other, new initiatives' which are intended to provide the balance of teachers needed.</t>
  </si>
  <si>
    <t xml:space="preserve">The new, expanded Mathematics GCSE will require a greater amount of Mathematics teaching per pupil at both key stage 3 and 4. The model assumes that the number of hours spent teaching Mathematics at both key stage 3 and key stage 4 will increase in future. For key stage 3, there will be an increase between 2015/16 &amp; 2016/17 which will be the average of the increase observed between 2013/14 &amp; 2014/15 and that observed between 2014/15 &amp; 2015/16. For key stage 4, there will be an increase between 2015/16 &amp; 2016/17, and a further one between 2016/17 &amp; 2017/18, both of which will be of similar magnitude to the increase observed between 2014/15 &amp; 2015/16. Note - the increases in teaching time were observed within the SWC.  </t>
  </si>
  <si>
    <t>We estimated the potential take-up of Core Maths by 2020/21 within the 2016/17 TSM without any take-up data to build a model of how entry would grow over time. Given the latest data on take-up, and survey data on school entry plans for Core Maths, we have revised down the take-up rate and profile. This means that this year's model assumes a lower impact on teaching time – which is one of the reasons as noted in the Mathematics section above that the overall unprotected number of Mathematics places are lower than the number estimated in last year's TSM.</t>
  </si>
  <si>
    <t>This is used to forecast how the teacher wastage rates will change over time from the baseline rate. In the 2017/18 TSM, all values have been made equal to 1.00 due to the uncertainty following the UK EU membership referendum. More information can be found in the model's methodological annex.</t>
  </si>
  <si>
    <t xml:space="preserve">From 2018/19, we expect to see increases in the entry rate of EBacc. We have modelled additional future teaching time requirements in EBacc subjects based on an analysis of teaching time in existing schools with higher EBacc entry to provide a guide of what future teacher need might be. We anticipate that individual schools will implement this policy differently, dependent on their individual circumstances, and therefore this assumption is used to provide a starting estimate of what might be needed. We will review this assumption next year as more information becomes available. To reflect the continued focus on EBacc subjects, we have held demand for new trainees through ITT at the level in the previous (2016/17) TSM where the underlying data would otherwise lead to a fall. This mainly affects Mathematics where we protect 219 places and Computing where we protect 272 places. </t>
  </si>
  <si>
    <t>The balance of teaching across secondary subjects is adjusted using internal modelling on the impact of increased EBacc entry on the number of hours taught in each secondary subject. This modelling estimates how teaching hours will be adjusted across subjects. The total number of teaching hours is not changed, only the balance between subjects. The precise assumptions used can be changed using scenario testing on the 'USER TESTING' tab. We then maintain ITT place numbers at last year's (2016/17 TSM) level for any EBacc subject where it would otherwise fall.</t>
  </si>
  <si>
    <t>For Mathematics we have seen more rapid increases in teaching time, such as the new GCSE, than we assumed last year, so we estimate there is less further change needed - we do not have causal evidence that the change relates to the policy assumption, but for planning purposes we are assuming these are linked. By itself, this would reduce ITT place need, but we protect at last year's level to reflect the ongoing focus on Mathematics.</t>
  </si>
  <si>
    <t>The number of key stage 4 teaching hours estimated as being required in future for Biology, Chemistry, and Physics is increased to reflect additional teaching requirements resulting from the removal of the Core Science GCSE.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</si>
</sst>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0">
    <numFmt numFmtId="43" formatCode="_-* #,##0.00_-;\-* #,##0.00_-;_-* &quot;-&quot;??_-;_-@_-"/>
    <numFmt numFmtId="164" formatCode="0.0"/>
    <numFmt numFmtId="165" formatCode="0.0%"/>
    <numFmt numFmtId="166" formatCode="_-* #,##0_-;\-* #,##0_-;_-* &quot;-&quot;??_-;_-@_-"/>
    <numFmt numFmtId="167" formatCode="0.000"/>
    <numFmt numFmtId="168" formatCode="[=0]&quot;-&quot;_);dd\-mmm\-yy"/>
    <numFmt numFmtId="169" formatCode="#,##0_);\(#,##0\);\-_)"/>
    <numFmt numFmtId="170" formatCode="#,##0.00_);\(#,##0.00\);\-_)"/>
    <numFmt numFmtId="171" formatCode="&quot;£&quot;#,##0_);\(&quot;£&quot;#,##0\);\-_)"/>
    <numFmt numFmtId="172" formatCode="&quot;£&quot;#,##0.000,,&quot;m&quot;_);\(&quot;£&quot;#,##0.000,,&quot;m&quot;\);\-_)"/>
    <numFmt numFmtId="173" formatCode="[$-F400]h:mm:ss\ AM/PM"/>
    <numFmt numFmtId="174" formatCode="###0"/>
    <numFmt numFmtId="175" formatCode="####.000"/>
    <numFmt numFmtId="176" formatCode="#,##0_ ;[Red]\-#,##0\ "/>
    <numFmt numFmtId="177" formatCode="####.00"/>
    <numFmt numFmtId="178" formatCode="0.00000000000000"/>
    <numFmt numFmtId="179" formatCode="0.000000000000000000"/>
    <numFmt numFmtId="180" formatCode="0.000000000000000000000"/>
    <numFmt numFmtId="181" formatCode="0.0000000000000000000000"/>
    <numFmt numFmtId="182" formatCode="#,##0.000000"/>
    <numFmt numFmtId="183" formatCode="#,##0.0000000"/>
    <numFmt numFmtId="184" formatCode="#,##0.00000000"/>
    <numFmt numFmtId="185" formatCode="#,##0.00000000000000000"/>
    <numFmt numFmtId="186" formatCode="0.0000%"/>
    <numFmt numFmtId="187" formatCode="0.00000%"/>
    <numFmt numFmtId="188" formatCode="#,##0.0"/>
    <numFmt numFmtId="189" formatCode="###0.0000"/>
    <numFmt numFmtId="190" formatCode="0.000000000"/>
    <numFmt numFmtId="191" formatCode="#,##0.000000000000000000"/>
    <numFmt numFmtId="192" formatCode="#,##0.000"/>
    <numFmt numFmtId="193" formatCode="0.000%"/>
    <numFmt numFmtId="194" formatCode="#,##0_ ;\-#,##0\ "/>
    <numFmt numFmtId="195" formatCode="#,##0.00000000000000"/>
    <numFmt numFmtId="196" formatCode="0_ ;\-0\ "/>
    <numFmt numFmtId="197" formatCode="0.00000000000"/>
    <numFmt numFmtId="198" formatCode="0.00000000%"/>
    <numFmt numFmtId="199" formatCode="#,##0.0000"/>
    <numFmt numFmtId="200" formatCode="#,##0.0000000000000"/>
    <numFmt numFmtId="201" formatCode="#,##0.0000000000000000000"/>
    <numFmt numFmtId="202" formatCode="0.0000000000000000"/>
  </numFmts>
  <fonts count="181">
    <font>
      <sz val="10"/>
      <name val="Arial"/>
    </font>
    <font>
      <sz val="11"/>
      <color theme="1"/>
      <name val="Calibri"/>
      <family val="2"/>
      <scheme val="minor"/>
    </font>
    <font>
      <sz val="10"/>
      <name val="Arial"/>
      <family val="2"/>
    </font>
    <font>
      <b/>
      <sz val="10"/>
      <name val="Arial"/>
      <family val="2"/>
    </font>
    <font>
      <sz val="8"/>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b/>
      <sz val="9"/>
      <name val="Arial"/>
      <family val="2"/>
    </font>
    <font>
      <b/>
      <sz val="8"/>
      <name val="Arial"/>
      <family val="2"/>
    </font>
    <font>
      <sz val="10"/>
      <color indexed="10"/>
      <name val="Arial"/>
      <family val="2"/>
    </font>
    <font>
      <b/>
      <u/>
      <sz val="10"/>
      <name val="Arial"/>
      <family val="2"/>
    </font>
    <font>
      <sz val="11"/>
      <color indexed="8"/>
      <name val="Calibri"/>
      <family val="2"/>
    </font>
    <font>
      <sz val="9"/>
      <color indexed="18"/>
      <name val="Arial"/>
      <family val="2"/>
    </font>
    <font>
      <u/>
      <sz val="11"/>
      <color indexed="12"/>
      <name val="Calibri"/>
      <family val="2"/>
    </font>
    <font>
      <sz val="9"/>
      <name val="CG Times (WN)"/>
    </font>
    <font>
      <sz val="9"/>
      <name val="Arial"/>
      <family val="2"/>
    </font>
    <font>
      <b/>
      <sz val="12"/>
      <name val="Arial"/>
      <family val="2"/>
    </font>
    <font>
      <i/>
      <sz val="10"/>
      <name val="Arial"/>
      <family val="2"/>
    </font>
    <font>
      <u/>
      <sz val="10"/>
      <name val="Arial"/>
      <family val="2"/>
    </font>
    <font>
      <sz val="14"/>
      <name val="Arial"/>
      <family val="2"/>
    </font>
    <font>
      <b/>
      <i/>
      <sz val="10"/>
      <name val="Arial"/>
      <family val="2"/>
    </font>
    <font>
      <i/>
      <sz val="8"/>
      <name val="Arial"/>
      <family val="2"/>
    </font>
    <font>
      <u/>
      <sz val="10"/>
      <color indexed="48"/>
      <name val="Arial"/>
      <family val="2"/>
    </font>
    <font>
      <sz val="8"/>
      <color indexed="12"/>
      <name val="Arial"/>
      <family val="2"/>
    </font>
    <font>
      <sz val="10"/>
      <color indexed="12"/>
      <name val="Arial"/>
      <family val="2"/>
    </font>
    <font>
      <b/>
      <sz val="11"/>
      <name val="Arial"/>
      <family val="2"/>
    </font>
    <font>
      <b/>
      <u/>
      <sz val="14"/>
      <name val="Arial"/>
      <family val="2"/>
    </font>
    <font>
      <b/>
      <i/>
      <sz val="9"/>
      <color indexed="17"/>
      <name val="Arial"/>
      <family val="2"/>
    </font>
    <font>
      <b/>
      <sz val="12"/>
      <name val="Univers (WN)"/>
    </font>
    <font>
      <b/>
      <sz val="9"/>
      <color indexed="21"/>
      <name val="Arial"/>
      <family val="2"/>
    </font>
    <font>
      <b/>
      <i/>
      <sz val="8"/>
      <color indexed="48"/>
      <name val="Arial"/>
      <family val="2"/>
    </font>
    <font>
      <b/>
      <sz val="8"/>
      <color indexed="18"/>
      <name val="Arial"/>
      <family val="2"/>
    </font>
    <font>
      <b/>
      <sz val="8"/>
      <color indexed="19"/>
      <name val="Arial"/>
      <family val="2"/>
    </font>
    <font>
      <b/>
      <sz val="10"/>
      <color indexed="9"/>
      <name val="Univers Cd (WN)"/>
    </font>
    <font>
      <b/>
      <sz val="9"/>
      <color indexed="10"/>
      <name val="Arial"/>
      <family val="2"/>
    </font>
    <font>
      <b/>
      <i/>
      <sz val="8"/>
      <color indexed="14"/>
      <name val="Univers Cd (WN)"/>
    </font>
    <font>
      <sz val="6"/>
      <name val="Arial"/>
      <family val="2"/>
    </font>
    <font>
      <b/>
      <sz val="8"/>
      <color indexed="21"/>
      <name val="Arial"/>
      <family val="2"/>
    </font>
    <font>
      <b/>
      <sz val="8"/>
      <name val="MS Sans Serif"/>
      <family val="2"/>
    </font>
    <font>
      <b/>
      <sz val="8"/>
      <color indexed="20"/>
      <name val="Arial"/>
      <family val="2"/>
    </font>
    <font>
      <sz val="5"/>
      <name val="Arial"/>
      <family val="2"/>
    </font>
    <font>
      <u/>
      <sz val="11"/>
      <color indexed="12"/>
      <name val="Arial"/>
      <family val="2"/>
    </font>
    <font>
      <b/>
      <u/>
      <sz val="12"/>
      <name val="Arial"/>
      <family val="2"/>
    </font>
    <font>
      <u/>
      <sz val="9"/>
      <color indexed="12"/>
      <name val="Arial"/>
      <family val="2"/>
    </font>
    <font>
      <b/>
      <i/>
      <u/>
      <sz val="12"/>
      <name val="Arial"/>
      <family val="2"/>
    </font>
    <font>
      <b/>
      <u/>
      <sz val="10"/>
      <color indexed="10"/>
      <name val="Arial"/>
      <family val="2"/>
    </font>
    <font>
      <i/>
      <sz val="9"/>
      <name val="Arial"/>
      <family val="2"/>
    </font>
    <font>
      <sz val="10"/>
      <name val="Arial"/>
      <family val="2"/>
    </font>
    <font>
      <b/>
      <u/>
      <sz val="8"/>
      <name val="Arial"/>
      <family val="2"/>
    </font>
    <font>
      <sz val="9"/>
      <color indexed="8"/>
      <name val="Arial"/>
      <family val="2"/>
    </font>
    <font>
      <sz val="10"/>
      <name val="Arial"/>
      <family val="2"/>
    </font>
    <font>
      <b/>
      <sz val="10"/>
      <color indexed="0"/>
      <name val="Arial"/>
      <family val="2"/>
    </font>
    <font>
      <b/>
      <sz val="9"/>
      <color indexed="8"/>
      <name val="Arial"/>
      <family val="2"/>
    </font>
    <font>
      <sz val="10"/>
      <name val="Arial"/>
      <family val="2"/>
    </font>
    <font>
      <sz val="10"/>
      <name val="Verdana"/>
      <family val="2"/>
    </font>
    <font>
      <i/>
      <u/>
      <sz val="10"/>
      <name val="Arial"/>
      <family val="2"/>
    </font>
    <font>
      <b/>
      <sz val="11"/>
      <name val="Calibri"/>
      <family val="2"/>
    </font>
    <font>
      <sz val="10"/>
      <name val="Calibri"/>
      <family val="2"/>
    </font>
    <font>
      <b/>
      <sz val="10"/>
      <name val="Calibri"/>
      <family val="2"/>
    </font>
    <font>
      <i/>
      <sz val="10"/>
      <color indexed="10"/>
      <name val="Arial"/>
      <family val="2"/>
    </font>
    <font>
      <i/>
      <u/>
      <sz val="10"/>
      <color indexed="10"/>
      <name val="Arial"/>
      <family val="2"/>
    </font>
    <font>
      <sz val="10"/>
      <color indexed="8"/>
      <name val="Arial"/>
      <family val="2"/>
    </font>
    <font>
      <b/>
      <sz val="10"/>
      <color indexed="8"/>
      <name val="Arial"/>
      <family val="2"/>
    </font>
    <font>
      <u/>
      <sz val="10"/>
      <color indexed="8"/>
      <name val="Arial"/>
      <family val="2"/>
    </font>
    <font>
      <i/>
      <sz val="10"/>
      <color indexed="8"/>
      <name val="Arial"/>
      <family val="2"/>
    </font>
    <font>
      <b/>
      <sz val="10"/>
      <color indexed="10"/>
      <name val="Arial"/>
      <family val="2"/>
    </font>
    <font>
      <sz val="10"/>
      <name val="Arial"/>
      <family val="2"/>
    </font>
    <font>
      <sz val="10"/>
      <name val="Arial"/>
      <family val="2"/>
    </font>
    <font>
      <b/>
      <i/>
      <sz val="10"/>
      <color indexed="10"/>
      <name val="Arial"/>
      <family val="2"/>
    </font>
    <font>
      <sz val="10"/>
      <name val="Arial"/>
      <family val="2"/>
    </font>
    <font>
      <b/>
      <sz val="8"/>
      <color indexed="10"/>
      <name val="Arial"/>
      <family val="2"/>
    </font>
    <font>
      <sz val="10"/>
      <name val="Arial"/>
      <family val="2"/>
    </font>
    <font>
      <i/>
      <sz val="11"/>
      <name val="Calibri"/>
      <family val="2"/>
    </font>
    <font>
      <sz val="10"/>
      <name val="Arial"/>
      <family val="2"/>
    </font>
    <font>
      <sz val="10"/>
      <name val="Arial"/>
      <family val="2"/>
    </font>
    <font>
      <u/>
      <sz val="12"/>
      <name val="Arial"/>
      <family val="2"/>
    </font>
    <font>
      <u/>
      <sz val="10"/>
      <color indexed="10"/>
      <name val="Arial"/>
      <family val="2"/>
    </font>
    <font>
      <b/>
      <sz val="14"/>
      <name val="Arial"/>
      <family val="2"/>
    </font>
    <font>
      <b/>
      <i/>
      <sz val="14"/>
      <color indexed="10"/>
      <name val="Arial"/>
      <family val="2"/>
    </font>
    <font>
      <b/>
      <u/>
      <sz val="16"/>
      <name val="Arial"/>
      <family val="2"/>
    </font>
    <font>
      <b/>
      <u/>
      <sz val="16"/>
      <color indexed="10"/>
      <name val="Arial"/>
      <family val="2"/>
    </font>
    <font>
      <sz val="7"/>
      <name val="Arial"/>
      <family val="2"/>
    </font>
    <font>
      <sz val="11"/>
      <color theme="1"/>
      <name val="Calibri"/>
      <family val="2"/>
      <scheme val="minor"/>
    </font>
    <font>
      <sz val="12"/>
      <color theme="0"/>
      <name val="Arial"/>
      <family val="2"/>
    </font>
    <font>
      <b/>
      <sz val="16"/>
      <color rgb="FF002060"/>
      <name val="Arial"/>
      <family val="2"/>
    </font>
    <font>
      <sz val="10"/>
      <color theme="0"/>
      <name val="Arial"/>
      <family val="2"/>
    </font>
    <font>
      <b/>
      <sz val="10"/>
      <color theme="0"/>
      <name val="Arial"/>
      <family val="2"/>
    </font>
    <font>
      <b/>
      <sz val="14"/>
      <color theme="0"/>
      <name val="Arial"/>
      <family val="2"/>
    </font>
    <font>
      <b/>
      <sz val="10"/>
      <color rgb="FFFF0000"/>
      <name val="Arial"/>
      <family val="2"/>
    </font>
    <font>
      <b/>
      <sz val="10"/>
      <color rgb="FFC00000"/>
      <name val="Arial"/>
      <family val="2"/>
    </font>
    <font>
      <u/>
      <sz val="10"/>
      <color theme="0"/>
      <name val="Arial"/>
      <family val="2"/>
    </font>
    <font>
      <u/>
      <sz val="10"/>
      <color theme="1"/>
      <name val="Arial"/>
      <family val="2"/>
    </font>
    <font>
      <sz val="10"/>
      <color theme="1"/>
      <name val="Arial"/>
      <family val="2"/>
    </font>
    <font>
      <sz val="9"/>
      <color theme="1"/>
      <name val="Arial"/>
      <family val="2"/>
    </font>
    <font>
      <u/>
      <sz val="9"/>
      <color theme="1"/>
      <name val="Arial"/>
      <family val="2"/>
    </font>
    <font>
      <b/>
      <u/>
      <sz val="10"/>
      <color rgb="FFFF0000"/>
      <name val="Arial"/>
      <family val="2"/>
    </font>
    <font>
      <sz val="10"/>
      <color theme="3" tint="0.39997558519241921"/>
      <name val="Arial"/>
      <family val="2"/>
    </font>
    <font>
      <b/>
      <u/>
      <sz val="10"/>
      <color theme="1"/>
      <name val="Arial"/>
      <family val="2"/>
    </font>
    <font>
      <b/>
      <sz val="11"/>
      <color theme="1"/>
      <name val="Calibri"/>
      <family val="2"/>
      <scheme val="minor"/>
    </font>
    <font>
      <i/>
      <sz val="11"/>
      <color theme="1"/>
      <name val="Calibri"/>
      <family val="2"/>
      <scheme val="minor"/>
    </font>
    <font>
      <b/>
      <u/>
      <sz val="14"/>
      <color rgb="FFFF0000"/>
      <name val="Arial"/>
      <family val="2"/>
    </font>
    <font>
      <b/>
      <sz val="14"/>
      <color rgb="FFFF0000"/>
      <name val="Arial"/>
      <family val="2"/>
    </font>
    <font>
      <b/>
      <sz val="10"/>
      <color theme="1" tint="4.9989318521683403E-2"/>
      <name val="Arial"/>
      <family val="2"/>
    </font>
    <font>
      <b/>
      <u/>
      <sz val="14"/>
      <color theme="2" tint="-0.89999084444715716"/>
      <name val="Arial"/>
      <family val="2"/>
    </font>
    <font>
      <sz val="10"/>
      <color theme="1" tint="4.9989318521683403E-2"/>
      <name val="Arial"/>
      <family val="2"/>
    </font>
    <font>
      <sz val="10"/>
      <color rgb="FFFF0000"/>
      <name val="Arial"/>
      <family val="2"/>
    </font>
    <font>
      <b/>
      <i/>
      <sz val="10"/>
      <color rgb="FFFF0000"/>
      <name val="Arial"/>
      <family val="2"/>
    </font>
    <font>
      <sz val="9"/>
      <color theme="1"/>
      <name val="Calibri"/>
      <family val="2"/>
      <scheme val="minor"/>
    </font>
    <font>
      <b/>
      <sz val="9"/>
      <color theme="1"/>
      <name val="Calibri"/>
      <family val="2"/>
      <scheme val="minor"/>
    </font>
    <font>
      <i/>
      <sz val="10"/>
      <color rgb="FFFF0000"/>
      <name val="Arial"/>
      <family val="2"/>
    </font>
    <font>
      <i/>
      <sz val="8"/>
      <color rgb="FFFF0000"/>
      <name val="Arial"/>
      <family val="2"/>
    </font>
    <font>
      <b/>
      <sz val="10"/>
      <color rgb="FF0070C0"/>
      <name val="Arial"/>
      <family val="2"/>
    </font>
    <font>
      <b/>
      <sz val="9"/>
      <color rgb="FF0070C0"/>
      <name val="Arial"/>
      <family val="2"/>
    </font>
    <font>
      <u/>
      <sz val="10"/>
      <color rgb="FF0070C0"/>
      <name val="Arial"/>
      <family val="2"/>
    </font>
    <font>
      <sz val="10"/>
      <color rgb="FF0070C0"/>
      <name val="Arial"/>
      <family val="2"/>
    </font>
    <font>
      <sz val="12"/>
      <color rgb="FF000000"/>
      <name val="Arial"/>
      <family val="2"/>
    </font>
    <font>
      <i/>
      <sz val="10"/>
      <color theme="1"/>
      <name val="Arial"/>
      <family val="2"/>
    </font>
    <font>
      <b/>
      <sz val="10"/>
      <color rgb="FFFFC000"/>
      <name val="Arial"/>
      <family val="2"/>
    </font>
    <font>
      <sz val="10"/>
      <color rgb="FFFFC000"/>
      <name val="Arial"/>
      <family val="2"/>
    </font>
    <font>
      <b/>
      <sz val="10"/>
      <color theme="1"/>
      <name val="Arial"/>
      <family val="2"/>
    </font>
    <font>
      <i/>
      <sz val="9"/>
      <color rgb="FFFF0000"/>
      <name val="Arial"/>
      <family val="2"/>
    </font>
    <font>
      <b/>
      <sz val="10"/>
      <color rgb="FF000000"/>
      <name val="Arial"/>
      <family val="2"/>
    </font>
    <font>
      <b/>
      <sz val="8"/>
      <color theme="1" tint="4.9989318521683403E-2"/>
      <name val="Arial"/>
      <family val="2"/>
    </font>
    <font>
      <b/>
      <sz val="8"/>
      <color rgb="FFFF0000"/>
      <name val="Arial"/>
      <family val="2"/>
    </font>
    <font>
      <sz val="11"/>
      <color rgb="FF1F497D"/>
      <name val="Calibri"/>
      <family val="2"/>
    </font>
    <font>
      <b/>
      <i/>
      <sz val="10"/>
      <color theme="0"/>
      <name val="Arial"/>
      <family val="2"/>
    </font>
    <font>
      <b/>
      <sz val="10"/>
      <color theme="2" tint="-0.89999084444715716"/>
      <name val="Arial"/>
      <family val="2"/>
    </font>
    <font>
      <sz val="9"/>
      <color rgb="FFFF0000"/>
      <name val="Arial"/>
      <family val="2"/>
    </font>
    <font>
      <b/>
      <sz val="9"/>
      <color rgb="FFFF0000"/>
      <name val="Arial"/>
      <family val="2"/>
    </font>
    <font>
      <b/>
      <u/>
      <sz val="14"/>
      <color theme="1" tint="4.9989318521683403E-2"/>
      <name val="Arial"/>
      <family val="2"/>
    </font>
    <font>
      <b/>
      <sz val="11"/>
      <color theme="2" tint="-0.89999084444715716"/>
      <name val="Calibri"/>
      <family val="2"/>
      <scheme val="minor"/>
    </font>
    <font>
      <sz val="10"/>
      <color theme="0" tint="-0.249977111117893"/>
      <name val="Arial"/>
      <family val="2"/>
    </font>
    <font>
      <i/>
      <sz val="8"/>
      <color theme="0" tint="-0.249977111117893"/>
      <name val="Arial"/>
      <family val="2"/>
    </font>
    <font>
      <b/>
      <u/>
      <sz val="10"/>
      <color theme="0" tint="-0.249977111117893"/>
      <name val="Arial"/>
      <family val="2"/>
    </font>
    <font>
      <b/>
      <sz val="8"/>
      <color theme="1"/>
      <name val="Arial"/>
      <family val="2"/>
    </font>
    <font>
      <b/>
      <i/>
      <sz val="10"/>
      <color theme="1" tint="4.9989318521683403E-2"/>
      <name val="Arial"/>
      <family val="2"/>
    </font>
    <font>
      <sz val="11"/>
      <name val="Calibri"/>
      <family val="2"/>
      <scheme val="minor"/>
    </font>
    <font>
      <i/>
      <sz val="11"/>
      <name val="Calibri"/>
      <family val="2"/>
      <scheme val="minor"/>
    </font>
    <font>
      <b/>
      <sz val="11"/>
      <name val="Calibri"/>
      <family val="2"/>
      <scheme val="minor"/>
    </font>
    <font>
      <b/>
      <sz val="10"/>
      <color rgb="FF00B050"/>
      <name val="Arial"/>
      <family val="2"/>
    </font>
    <font>
      <b/>
      <u/>
      <sz val="18"/>
      <color rgb="FFFF0000"/>
      <name val="Arial"/>
      <family val="2"/>
    </font>
    <font>
      <b/>
      <u/>
      <sz val="18"/>
      <color theme="1"/>
      <name val="Arial"/>
      <family val="2"/>
    </font>
    <font>
      <i/>
      <sz val="10"/>
      <color theme="1" tint="4.9989318521683403E-2"/>
      <name val="Arial"/>
      <family val="2"/>
    </font>
    <font>
      <sz val="10"/>
      <color theme="0" tint="-0.14999847407452621"/>
      <name val="Arial"/>
      <family val="2"/>
    </font>
    <font>
      <b/>
      <sz val="12"/>
      <color rgb="FFFF0000"/>
      <name val="Arial"/>
      <family val="2"/>
    </font>
    <font>
      <sz val="12"/>
      <color rgb="FFFF0000"/>
      <name val="Arial"/>
      <family val="2"/>
    </font>
    <font>
      <u/>
      <sz val="10"/>
      <color theme="1" tint="4.9989318521683403E-2"/>
      <name val="Arial"/>
      <family val="2"/>
    </font>
    <font>
      <u/>
      <sz val="12"/>
      <color rgb="FFFF0000"/>
      <name val="Arial"/>
      <family val="2"/>
    </font>
    <font>
      <b/>
      <i/>
      <sz val="8"/>
      <color rgb="FFFF0000"/>
      <name val="Arial"/>
      <family val="2"/>
    </font>
    <font>
      <i/>
      <sz val="11"/>
      <color rgb="FFFF0000"/>
      <name val="Calibri"/>
      <family val="2"/>
      <scheme val="minor"/>
    </font>
    <font>
      <b/>
      <u/>
      <sz val="14"/>
      <color rgb="FF0070C0"/>
      <name val="Arial"/>
      <family val="2"/>
    </font>
    <font>
      <sz val="8"/>
      <color theme="1"/>
      <name val="Arial"/>
      <family val="2"/>
    </font>
    <font>
      <sz val="8"/>
      <color rgb="FF0D0D0D"/>
      <name val="Arial"/>
      <family val="2"/>
    </font>
    <font>
      <i/>
      <sz val="10"/>
      <color theme="0"/>
      <name val="Arial"/>
      <family val="2"/>
    </font>
    <font>
      <sz val="10"/>
      <color theme="2" tint="-0.89999084444715716"/>
      <name val="Arial"/>
      <family val="2"/>
    </font>
    <font>
      <sz val="10"/>
      <color rgb="FF000000"/>
      <name val="Arial"/>
      <family val="2"/>
    </font>
    <font>
      <b/>
      <u/>
      <sz val="11"/>
      <name val="Arial"/>
      <family val="2"/>
    </font>
    <font>
      <u/>
      <sz val="10"/>
      <color rgb="FFFF0000"/>
      <name val="Arial"/>
      <family val="2"/>
    </font>
    <font>
      <u/>
      <sz val="16"/>
      <color indexed="12"/>
      <name val="Arial"/>
      <family val="2"/>
    </font>
    <font>
      <b/>
      <sz val="18"/>
      <name val="Arial"/>
      <family val="2"/>
    </font>
    <font>
      <b/>
      <u/>
      <sz val="18"/>
      <color indexed="12"/>
      <name val="Arial"/>
      <family val="2"/>
    </font>
    <font>
      <i/>
      <u/>
      <sz val="8"/>
      <name val="Arial"/>
      <family val="2"/>
    </font>
    <font>
      <b/>
      <sz val="8"/>
      <color theme="0"/>
      <name val="Arial"/>
      <family val="2"/>
    </font>
    <font>
      <sz val="8"/>
      <color rgb="FF000000"/>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14"/>
        <bgColor indexed="64"/>
      </patternFill>
    </fill>
    <fill>
      <patternFill patternType="solid">
        <fgColor indexed="51"/>
        <bgColor indexed="64"/>
      </patternFill>
    </fill>
    <fill>
      <patternFill patternType="solid">
        <fgColor indexed="8"/>
        <bgColor indexed="8"/>
      </patternFill>
    </fill>
    <fill>
      <patternFill patternType="solid">
        <fgColor indexed="43"/>
        <bgColor indexed="64"/>
      </patternFill>
    </fill>
    <fill>
      <patternFill patternType="solid">
        <fgColor indexed="43"/>
      </patternFill>
    </fill>
    <fill>
      <patternFill patternType="solid">
        <fgColor indexed="26"/>
      </patternFill>
    </fill>
    <fill>
      <patternFill patternType="darkGrid">
        <fgColor indexed="9"/>
        <bgColor indexed="43"/>
      </patternFill>
    </fill>
    <fill>
      <patternFill patternType="solid">
        <fgColor indexed="26"/>
        <bgColor indexed="64"/>
      </patternFill>
    </fill>
    <fill>
      <patternFill patternType="solid">
        <fgColor indexed="55"/>
        <bgColor indexed="64"/>
      </patternFill>
    </fill>
    <fill>
      <patternFill patternType="solid">
        <fgColor theme="4" tint="0.79998168889431442"/>
        <bgColor indexed="65"/>
      </patternFill>
    </fill>
    <fill>
      <patternFill patternType="solid">
        <fgColor theme="6" tint="0.39997558519241921"/>
        <bgColor indexed="65"/>
      </patternFill>
    </fill>
    <fill>
      <patternFill patternType="solid">
        <fgColor theme="0" tint="-4.9989318521683403E-2"/>
        <bgColor indexed="64"/>
      </patternFill>
    </fill>
    <fill>
      <patternFill patternType="solid">
        <fgColor theme="1"/>
        <bgColor indexed="64"/>
      </patternFill>
    </fill>
    <fill>
      <patternFill patternType="solid">
        <fgColor theme="0"/>
        <bgColor indexed="64"/>
      </patternFill>
    </fill>
    <fill>
      <patternFill patternType="solid">
        <fgColor rgb="FF000066"/>
        <bgColor indexed="64"/>
      </patternFill>
    </fill>
    <fill>
      <patternFill patternType="solid">
        <fgColor theme="8" tint="0.59999389629810485"/>
        <bgColor indexed="64"/>
      </patternFill>
    </fill>
    <fill>
      <patternFill patternType="solid">
        <fgColor rgb="FFFFFF00"/>
        <bgColor indexed="64"/>
      </patternFill>
    </fill>
    <fill>
      <patternFill patternType="solid">
        <fgColor rgb="FF00B050"/>
        <bgColor indexed="64"/>
      </patternFill>
    </fill>
    <fill>
      <patternFill patternType="solid">
        <fgColor rgb="FFFFC000"/>
        <bgColor indexed="64"/>
      </patternFill>
    </fill>
    <fill>
      <patternFill patternType="solid">
        <fgColor rgb="FFFF00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00B0F0"/>
        <bgColor indexed="64"/>
      </patternFill>
    </fill>
    <fill>
      <patternFill patternType="solid">
        <fgColor rgb="FF92D05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rgb="FF00B050"/>
        <bgColor theme="0" tint="-0.14999847407452621"/>
      </patternFill>
    </fill>
    <fill>
      <patternFill patternType="solid">
        <fgColor theme="0"/>
        <bgColor theme="0" tint="-0.14999847407452621"/>
      </patternFill>
    </fill>
    <fill>
      <patternFill patternType="solid">
        <fgColor theme="3" tint="0.39997558519241921"/>
        <bgColor indexed="64"/>
      </patternFill>
    </fill>
    <fill>
      <patternFill patternType="solid">
        <fgColor theme="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1" tint="4.9989318521683403E-2"/>
        <bgColor indexed="64"/>
      </patternFill>
    </fill>
    <fill>
      <patternFill patternType="solid">
        <fgColor rgb="FF002060"/>
        <bgColor indexed="64"/>
      </patternFill>
    </fill>
  </fills>
  <borders count="52">
    <border>
      <left/>
      <right/>
      <top/>
      <bottom/>
      <diagonal/>
    </border>
    <border>
      <left style="hair">
        <color indexed="55"/>
      </left>
      <right style="hair">
        <color indexed="55"/>
      </right>
      <top style="hair">
        <color indexed="55"/>
      </top>
      <bottom style="hair">
        <color indexed="55"/>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dotted">
        <color indexed="8"/>
      </left>
      <right style="dotted">
        <color indexed="8"/>
      </right>
      <top style="dotted">
        <color indexed="8"/>
      </top>
      <bottom style="dotted">
        <color indexed="8"/>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theme="0" tint="-4.9989318521683403E-2"/>
      </top>
      <bottom style="thin">
        <color theme="0" tint="-4.9989318521683403E-2"/>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indexed="64"/>
      </right>
      <top style="thin">
        <color theme="0"/>
      </top>
      <bottom style="thin">
        <color theme="0"/>
      </bottom>
      <diagonal/>
    </border>
    <border>
      <left style="thin">
        <color indexed="64"/>
      </left>
      <right style="thick">
        <color indexed="64"/>
      </right>
      <top style="thin">
        <color indexed="64"/>
      </top>
      <bottom style="thin">
        <color indexed="64"/>
      </bottom>
      <diagonal/>
    </border>
    <border>
      <left style="thin">
        <color indexed="64"/>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indexed="64"/>
      </right>
      <top style="thin">
        <color indexed="64"/>
      </top>
      <bottom/>
      <diagonal/>
    </border>
  </borders>
  <cellStyleXfs count="179">
    <xf numFmtId="0" fontId="0" fillId="0" borderId="0"/>
    <xf numFmtId="0" fontId="5" fillId="2" borderId="0" applyNumberFormat="0" applyBorder="0" applyAlignment="0" applyProtection="0"/>
    <xf numFmtId="0" fontId="99" fillId="31"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100" fillId="3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10" fontId="44" fillId="0" borderId="0" applyNumberFormat="0" applyFill="0" applyBorder="0" applyAlignment="0" applyProtection="0"/>
    <xf numFmtId="0" fontId="7" fillId="3" borderId="0" applyNumberFormat="0" applyBorder="0" applyAlignment="0" applyProtection="0"/>
    <xf numFmtId="0" fontId="45" fillId="0" borderId="0"/>
    <xf numFmtId="169" fontId="19" fillId="0" borderId="1">
      <alignment horizontal="right" vertical="top"/>
    </xf>
    <xf numFmtId="170" fontId="19" fillId="0" borderId="1">
      <alignment horizontal="right" vertical="top"/>
    </xf>
    <xf numFmtId="10" fontId="19" fillId="0" borderId="1">
      <alignment horizontal="right" vertical="top"/>
    </xf>
    <xf numFmtId="171" fontId="19" fillId="0" borderId="1">
      <alignment horizontal="right" vertical="top"/>
    </xf>
    <xf numFmtId="172" fontId="19" fillId="0" borderId="1">
      <alignment horizontal="right" vertical="top"/>
    </xf>
    <xf numFmtId="168" fontId="19" fillId="0" borderId="1">
      <alignment horizontal="right" vertical="top"/>
    </xf>
    <xf numFmtId="0" fontId="19" fillId="0" borderId="1">
      <alignment horizontal="left" vertical="top"/>
    </xf>
    <xf numFmtId="173" fontId="19" fillId="0" borderId="1">
      <alignment horizontal="right" vertical="top"/>
    </xf>
    <xf numFmtId="0" fontId="8" fillId="20" borderId="2" applyNumberFormat="0" applyAlignment="0" applyProtection="0"/>
    <xf numFmtId="0" fontId="9" fillId="21" borderId="3" applyNumberFormat="0" applyAlignment="0" applyProtection="0"/>
    <xf numFmtId="43" fontId="2" fillId="0" borderId="0" applyFont="0" applyFill="0" applyBorder="0" applyAlignment="0" applyProtection="0"/>
    <xf numFmtId="43" fontId="1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86" fillId="0" borderId="0" applyFont="0" applyFill="0" applyBorder="0" applyAlignment="0" applyProtection="0"/>
    <xf numFmtId="43" fontId="19" fillId="0" borderId="0" applyFont="0" applyFill="0" applyBorder="0" applyAlignment="0" applyProtection="0"/>
    <xf numFmtId="0" fontId="19" fillId="22" borderId="0" applyNumberFormat="0" applyFont="0" applyBorder="0" applyAlignment="0" applyProtection="0"/>
    <xf numFmtId="0" fontId="24" fillId="0" borderId="0"/>
    <xf numFmtId="1" fontId="26" fillId="0" borderId="0">
      <alignment horizontal="center" vertical="center"/>
    </xf>
    <xf numFmtId="1" fontId="46" fillId="0" borderId="0" applyNumberFormat="0" applyFill="0" applyBorder="0" applyAlignment="0" applyProtection="0"/>
    <xf numFmtId="0" fontId="10" fillId="0" borderId="0" applyNumberFormat="0" applyFill="0" applyBorder="0" applyAlignment="0" applyProtection="0"/>
    <xf numFmtId="0" fontId="29" fillId="0" borderId="0" applyNumberFormat="0" applyFill="0" applyBorder="0" applyAlignment="0" applyProtection="0"/>
    <xf numFmtId="1" fontId="47" fillId="0" borderId="0" applyNumberFormat="0" applyFill="0" applyBorder="0" applyAlignment="0" applyProtection="0"/>
    <xf numFmtId="164" fontId="48" fillId="0" borderId="0" applyNumberFormat="0" applyFill="0" applyBorder="0" applyAlignment="0" applyProtection="0">
      <protection locked="0"/>
    </xf>
    <xf numFmtId="169" fontId="41" fillId="0" borderId="1">
      <alignment horizontal="right" vertical="top"/>
    </xf>
    <xf numFmtId="170" fontId="41" fillId="0" borderId="1">
      <alignment vertical="center"/>
    </xf>
    <xf numFmtId="10" fontId="41" fillId="0" borderId="1">
      <alignment horizontal="right" vertical="top"/>
    </xf>
    <xf numFmtId="171" fontId="41" fillId="0" borderId="1">
      <alignment horizontal="right" vertical="top"/>
    </xf>
    <xf numFmtId="172" fontId="41" fillId="0" borderId="1">
      <alignment horizontal="right" vertical="top"/>
    </xf>
    <xf numFmtId="168" fontId="41" fillId="0" borderId="1">
      <alignment horizontal="right" vertical="top"/>
    </xf>
    <xf numFmtId="0" fontId="41" fillId="0" borderId="1">
      <alignment horizontal="left" vertical="top"/>
    </xf>
    <xf numFmtId="0" fontId="11" fillId="4" borderId="0" applyNumberFormat="0" applyBorder="0" applyAlignment="0" applyProtection="0"/>
    <xf numFmtId="1" fontId="49" fillId="0" borderId="0" applyNumberFormat="0" applyFill="0" applyBorder="0" applyAlignment="0" applyProtection="0"/>
    <xf numFmtId="0" fontId="3" fillId="23" borderId="4" applyFill="0">
      <alignment horizontal="center" vertical="center" wrapText="1"/>
    </xf>
    <xf numFmtId="0" fontId="50" fillId="24" borderId="0" applyNumberFormat="0"/>
    <xf numFmtId="0" fontId="12" fillId="0" borderId="5" applyNumberFormat="0" applyFill="0" applyAlignment="0" applyProtection="0"/>
    <xf numFmtId="0" fontId="13" fillId="0" borderId="6" applyNumberFormat="0" applyFill="0" applyAlignment="0" applyProtection="0"/>
    <xf numFmtId="0" fontId="14" fillId="0" borderId="7" applyNumberFormat="0" applyFill="0" applyAlignment="0" applyProtection="0"/>
    <xf numFmtId="0" fontId="14" fillId="0" borderId="0" applyNumberFormat="0" applyFill="0" applyBorder="0" applyAlignment="0" applyProtection="0"/>
    <xf numFmtId="0" fontId="51" fillId="0" borderId="0"/>
    <xf numFmtId="0" fontId="15"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9" fillId="0" borderId="0" applyNumberFormat="0" applyFill="0" applyBorder="0" applyProtection="0">
      <alignment vertical="top" wrapText="1"/>
    </xf>
    <xf numFmtId="0" fontId="16" fillId="7" borderId="2" applyNumberFormat="0" applyAlignment="0" applyProtection="0"/>
    <xf numFmtId="169" fontId="19" fillId="25" borderId="1">
      <alignment horizontal="right" vertical="top"/>
      <protection locked="0"/>
    </xf>
    <xf numFmtId="170" fontId="19" fillId="25" borderId="1">
      <alignment horizontal="right" vertical="top"/>
      <protection locked="0"/>
    </xf>
    <xf numFmtId="10" fontId="19" fillId="25" borderId="1">
      <alignment horizontal="right" vertical="top"/>
      <protection locked="0"/>
    </xf>
    <xf numFmtId="171" fontId="19" fillId="25" borderId="1">
      <alignment horizontal="right" vertical="top"/>
      <protection locked="0"/>
    </xf>
    <xf numFmtId="172" fontId="19" fillId="25" borderId="1">
      <alignment horizontal="right" vertical="top"/>
      <protection locked="0"/>
    </xf>
    <xf numFmtId="168" fontId="19" fillId="25" borderId="1">
      <alignment horizontal="right" vertical="top"/>
      <protection locked="0"/>
    </xf>
    <xf numFmtId="49" fontId="19" fillId="25" borderId="1">
      <alignment horizontal="left" vertical="top"/>
      <protection locked="0"/>
    </xf>
    <xf numFmtId="0" fontId="17" fillId="0" borderId="8" applyNumberFormat="0" applyFill="0" applyAlignment="0" applyProtection="0"/>
    <xf numFmtId="0" fontId="52" fillId="0" borderId="0" applyNumberFormat="0" applyBorder="0">
      <alignment horizontal="left"/>
    </xf>
    <xf numFmtId="0" fontId="40" fillId="0" borderId="0" applyAlignment="0"/>
    <xf numFmtId="0" fontId="18" fillId="26" borderId="0" applyNumberFormat="0" applyBorder="0" applyAlignment="0" applyProtection="0"/>
    <xf numFmtId="0" fontId="19" fillId="0" borderId="0"/>
    <xf numFmtId="0" fontId="19" fillId="0" borderId="0" applyNumberFormat="0" applyFont="0" applyFill="0" applyBorder="0" applyAlignment="0" applyProtection="0"/>
    <xf numFmtId="0" fontId="19" fillId="0" borderId="0"/>
    <xf numFmtId="0" fontId="99" fillId="0" borderId="0"/>
    <xf numFmtId="0" fontId="19" fillId="0" borderId="0"/>
    <xf numFmtId="0" fontId="19" fillId="0" borderId="0">
      <protection locked="0"/>
    </xf>
    <xf numFmtId="0" fontId="19" fillId="0" borderId="0" applyNumberFormat="0" applyFont="0" applyFill="0" applyBorder="0" applyAlignment="0" applyProtection="0"/>
    <xf numFmtId="0" fontId="19" fillId="0" borderId="0" applyNumberFormat="0" applyFont="0" applyFill="0" applyBorder="0" applyAlignment="0" applyProtection="0"/>
    <xf numFmtId="0" fontId="19" fillId="0" borderId="0" applyNumberFormat="0" applyFont="0" applyFill="0" applyBorder="0" applyAlignment="0" applyProtection="0"/>
    <xf numFmtId="0" fontId="71" fillId="0" borderId="0" applyNumberFormat="0" applyFill="0" applyBorder="0" applyAlignment="0" applyProtection="0"/>
    <xf numFmtId="0" fontId="19" fillId="0" borderId="0"/>
    <xf numFmtId="0" fontId="99" fillId="0" borderId="0"/>
    <xf numFmtId="0" fontId="99" fillId="0" borderId="0"/>
    <xf numFmtId="0" fontId="67" fillId="0" borderId="0"/>
    <xf numFmtId="0" fontId="19" fillId="0" borderId="0"/>
    <xf numFmtId="0" fontId="2" fillId="0" borderId="0"/>
    <xf numFmtId="0" fontId="2" fillId="0" borderId="0" applyBorder="0"/>
    <xf numFmtId="0" fontId="86" fillId="0" borderId="0" applyBorder="0"/>
    <xf numFmtId="0" fontId="2" fillId="0" borderId="0"/>
    <xf numFmtId="0" fontId="86" fillId="0" borderId="0"/>
    <xf numFmtId="0" fontId="53" fillId="0" borderId="0" applyNumberFormat="0" applyFill="0" applyBorder="0" applyAlignment="0" applyProtection="0"/>
    <xf numFmtId="0" fontId="19" fillId="27" borderId="9" applyNumberFormat="0" applyFont="0" applyAlignment="0" applyProtection="0"/>
    <xf numFmtId="0" fontId="20" fillId="20" borderId="10" applyNumberFormat="0" applyAlignment="0" applyProtection="0"/>
    <xf numFmtId="9" fontId="2" fillId="0" borderId="0" applyFont="0" applyFill="0" applyBorder="0" applyAlignment="0" applyProtection="0"/>
    <xf numFmtId="9" fontId="19"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86" fillId="0" borderId="0" applyFont="0" applyFill="0" applyBorder="0" applyAlignment="0" applyProtection="0"/>
    <xf numFmtId="9" fontId="19" fillId="0" borderId="0" applyFont="0" applyFill="0" applyBorder="0" applyAlignment="0" applyProtection="0"/>
    <xf numFmtId="1" fontId="54" fillId="0" borderId="11" applyNumberFormat="0" applyFill="0" applyBorder="0" applyAlignment="0" applyProtection="0"/>
    <xf numFmtId="1" fontId="54" fillId="0" borderId="0" applyNumberFormat="0" applyFill="0" applyBorder="0" applyAlignment="0" applyProtection="0"/>
    <xf numFmtId="169" fontId="19" fillId="28" borderId="1">
      <alignment horizontal="right" vertical="top"/>
    </xf>
    <xf numFmtId="10" fontId="19" fillId="28" borderId="1">
      <alignment horizontal="right" vertical="top"/>
    </xf>
    <xf numFmtId="171" fontId="19" fillId="28" borderId="1">
      <alignment horizontal="right" vertical="top"/>
    </xf>
    <xf numFmtId="172" fontId="19" fillId="29" borderId="1">
      <alignment horizontal="right" vertical="top"/>
    </xf>
    <xf numFmtId="168" fontId="19" fillId="28" borderId="1">
      <alignment horizontal="right" vertical="top"/>
    </xf>
    <xf numFmtId="49" fontId="19" fillId="28" borderId="1">
      <alignment horizontal="left" vertical="top" wrapText="1"/>
    </xf>
    <xf numFmtId="1" fontId="19" fillId="0" borderId="12"/>
    <xf numFmtId="2" fontId="3" fillId="0" borderId="0"/>
    <xf numFmtId="0" fontId="55" fillId="0" borderId="0">
      <alignment horizontal="right"/>
    </xf>
    <xf numFmtId="1" fontId="56" fillId="0" borderId="0" applyFill="0" applyBorder="0" applyAlignment="0" applyProtection="0"/>
    <xf numFmtId="0" fontId="57" fillId="0" borderId="0" applyNumberFormat="0" applyFill="0" applyBorder="0" applyAlignment="0" applyProtection="0"/>
    <xf numFmtId="0" fontId="21" fillId="0" borderId="0" applyNumberFormat="0" applyFill="0" applyBorder="0" applyAlignment="0" applyProtection="0"/>
    <xf numFmtId="0" fontId="22" fillId="0" borderId="13" applyNumberFormat="0" applyFill="0" applyAlignment="0" applyProtection="0"/>
    <xf numFmtId="0" fontId="34" fillId="0" borderId="0">
      <alignment horizontal="center" vertical="center"/>
    </xf>
    <xf numFmtId="37" fontId="31" fillId="0" borderId="0"/>
    <xf numFmtId="0" fontId="23" fillId="0" borderId="0" applyNumberFormat="0" applyFill="0" applyBorder="0" applyAlignment="0" applyProtection="0"/>
    <xf numFmtId="0" fontId="19" fillId="30" borderId="0" applyNumberFormat="0" applyFont="0" applyBorder="0" applyAlignment="0" applyProtection="0"/>
    <xf numFmtId="0" fontId="2" fillId="0" borderId="0"/>
    <xf numFmtId="0" fontId="2" fillId="0" borderId="0">
      <protection locked="0"/>
    </xf>
    <xf numFmtId="0" fontId="1" fillId="31" borderId="0" applyNumberFormat="0" applyBorder="0" applyAlignment="0" applyProtection="0"/>
    <xf numFmtId="169" fontId="2" fillId="0" borderId="1">
      <alignment horizontal="right" vertical="top"/>
    </xf>
    <xf numFmtId="170" fontId="2" fillId="0" borderId="1">
      <alignment horizontal="right" vertical="top"/>
    </xf>
    <xf numFmtId="10" fontId="2" fillId="0" borderId="1">
      <alignment horizontal="right" vertical="top"/>
    </xf>
    <xf numFmtId="171" fontId="2" fillId="0" borderId="1">
      <alignment horizontal="right" vertical="top"/>
    </xf>
    <xf numFmtId="172" fontId="2" fillId="0" borderId="1">
      <alignment horizontal="right" vertical="top"/>
    </xf>
    <xf numFmtId="168" fontId="2" fillId="0" borderId="1">
      <alignment horizontal="right" vertical="top"/>
    </xf>
    <xf numFmtId="0" fontId="2" fillId="0" borderId="1">
      <alignment horizontal="left" vertical="top"/>
    </xf>
    <xf numFmtId="173" fontId="2" fillId="0" borderId="1">
      <alignment horizontal="right" vertical="top"/>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22" borderId="0" applyNumberFormat="0" applyFont="0" applyBorder="0" applyAlignment="0" applyProtection="0"/>
    <xf numFmtId="0" fontId="2" fillId="0" borderId="0" applyNumberFormat="0" applyFill="0" applyBorder="0" applyProtection="0">
      <alignment vertical="top" wrapText="1"/>
    </xf>
    <xf numFmtId="169" fontId="2" fillId="25" borderId="1">
      <alignment horizontal="right" vertical="top"/>
      <protection locked="0"/>
    </xf>
    <xf numFmtId="170" fontId="2" fillId="25" borderId="1">
      <alignment horizontal="right" vertical="top"/>
      <protection locked="0"/>
    </xf>
    <xf numFmtId="10" fontId="2" fillId="25" borderId="1">
      <alignment horizontal="right" vertical="top"/>
      <protection locked="0"/>
    </xf>
    <xf numFmtId="171" fontId="2" fillId="25" borderId="1">
      <alignment horizontal="right" vertical="top"/>
      <protection locked="0"/>
    </xf>
    <xf numFmtId="172" fontId="2" fillId="25" borderId="1">
      <alignment horizontal="right" vertical="top"/>
      <protection locked="0"/>
    </xf>
    <xf numFmtId="168" fontId="2" fillId="25" borderId="1">
      <alignment horizontal="right" vertical="top"/>
      <protection locked="0"/>
    </xf>
    <xf numFmtId="49" fontId="2" fillId="25" borderId="1">
      <alignment horizontal="left" vertical="top"/>
      <protection locked="0"/>
    </xf>
    <xf numFmtId="0" fontId="2" fillId="0" borderId="0"/>
    <xf numFmtId="0" fontId="2" fillId="0" borderId="0" applyNumberFormat="0" applyFont="0" applyFill="0" applyBorder="0" applyAlignment="0" applyProtection="0"/>
    <xf numFmtId="0" fontId="2" fillId="0" borderId="0"/>
    <xf numFmtId="0" fontId="1" fillId="0" borderId="0"/>
    <xf numFmtId="0" fontId="2" fillId="0" borderId="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applyNumberFormat="0" applyFont="0" applyFill="0" applyBorder="0" applyAlignment="0" applyProtection="0"/>
    <xf numFmtId="0" fontId="2" fillId="0" borderId="0"/>
    <xf numFmtId="0" fontId="1" fillId="0" borderId="0"/>
    <xf numFmtId="0" fontId="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69" fontId="2" fillId="28" borderId="1">
      <alignment horizontal="right" vertical="top"/>
    </xf>
    <xf numFmtId="10" fontId="2" fillId="28" borderId="1">
      <alignment horizontal="right" vertical="top"/>
    </xf>
    <xf numFmtId="171" fontId="2" fillId="28" borderId="1">
      <alignment horizontal="right" vertical="top"/>
    </xf>
    <xf numFmtId="172" fontId="2" fillId="29" borderId="1">
      <alignment horizontal="right" vertical="top"/>
    </xf>
    <xf numFmtId="168" fontId="2" fillId="28" borderId="1">
      <alignment horizontal="right" vertical="top"/>
    </xf>
    <xf numFmtId="49" fontId="2" fillId="28" borderId="1">
      <alignment horizontal="left" vertical="top" wrapText="1"/>
    </xf>
    <xf numFmtId="1" fontId="2" fillId="0" borderId="12"/>
    <xf numFmtId="0" fontId="2" fillId="30" borderId="0" applyNumberFormat="0" applyFont="0" applyBorder="0" applyAlignment="0" applyProtection="0"/>
  </cellStyleXfs>
  <cellXfs count="1270">
    <xf numFmtId="0" fontId="0" fillId="0" borderId="0" xfId="0"/>
    <xf numFmtId="0" fontId="0" fillId="0" borderId="0" xfId="0" applyBorder="1"/>
    <xf numFmtId="0" fontId="0" fillId="0" borderId="0" xfId="0" applyFill="1"/>
    <xf numFmtId="38" fontId="0" fillId="0" borderId="0" xfId="0" applyNumberFormat="1"/>
    <xf numFmtId="0" fontId="2" fillId="0" borderId="0" xfId="101"/>
    <xf numFmtId="0" fontId="3" fillId="0" borderId="0" xfId="0" applyFont="1"/>
    <xf numFmtId="9" fontId="0" fillId="0" borderId="0" xfId="109" applyFont="1"/>
    <xf numFmtId="0" fontId="0" fillId="0" borderId="0" xfId="0" applyFill="1" applyBorder="1"/>
    <xf numFmtId="0" fontId="3" fillId="0" borderId="11" xfId="0" applyFont="1" applyBorder="1" applyAlignment="1">
      <alignment horizontal="center"/>
    </xf>
    <xf numFmtId="0" fontId="19" fillId="0" borderId="0" xfId="0" applyFont="1" applyFill="1"/>
    <xf numFmtId="1" fontId="0" fillId="0" borderId="0" xfId="0" applyNumberFormat="1"/>
    <xf numFmtId="9" fontId="2" fillId="0" borderId="0" xfId="101" applyNumberFormat="1"/>
    <xf numFmtId="0" fontId="19" fillId="0" borderId="0" xfId="0" applyFont="1"/>
    <xf numFmtId="0" fontId="3" fillId="0" borderId="0" xfId="0" applyFont="1" applyFill="1"/>
    <xf numFmtId="0" fontId="3" fillId="0" borderId="11" xfId="0" applyFont="1" applyFill="1" applyBorder="1" applyAlignment="1">
      <alignment horizontal="center"/>
    </xf>
    <xf numFmtId="0" fontId="101" fillId="0" borderId="0" xfId="0" applyFont="1"/>
    <xf numFmtId="0" fontId="19" fillId="33" borderId="0" xfId="91" applyFill="1">
      <protection locked="0"/>
    </xf>
    <xf numFmtId="49" fontId="19" fillId="28" borderId="1" xfId="122">
      <alignment horizontal="left" vertical="top" wrapText="1"/>
    </xf>
    <xf numFmtId="0" fontId="102" fillId="33" borderId="0" xfId="91" applyFont="1" applyFill="1">
      <protection locked="0"/>
    </xf>
    <xf numFmtId="0" fontId="3" fillId="33" borderId="0" xfId="91" applyFont="1" applyFill="1">
      <protection locked="0"/>
    </xf>
    <xf numFmtId="0" fontId="3" fillId="0" borderId="0" xfId="91" applyNumberFormat="1" applyFont="1">
      <protection locked="0"/>
    </xf>
    <xf numFmtId="0" fontId="19" fillId="34" borderId="0" xfId="91" applyFill="1">
      <protection locked="0"/>
    </xf>
    <xf numFmtId="0" fontId="103" fillId="34" borderId="0" xfId="91" applyFont="1" applyFill="1">
      <protection locked="0"/>
    </xf>
    <xf numFmtId="0" fontId="102" fillId="34" borderId="0" xfId="91" applyFont="1" applyFill="1">
      <protection locked="0"/>
    </xf>
    <xf numFmtId="0" fontId="19" fillId="35" borderId="0" xfId="91" applyFill="1">
      <protection locked="0"/>
    </xf>
    <xf numFmtId="0" fontId="19" fillId="0" borderId="1" xfId="36">
      <alignment horizontal="left" vertical="top"/>
    </xf>
    <xf numFmtId="0" fontId="40" fillId="0" borderId="0" xfId="84"/>
    <xf numFmtId="1" fontId="26" fillId="34" borderId="0" xfId="48" applyFill="1">
      <alignment horizontal="center" vertical="center"/>
    </xf>
    <xf numFmtId="0" fontId="104" fillId="34" borderId="0" xfId="91" applyFont="1" applyFill="1" applyProtection="1"/>
    <xf numFmtId="0" fontId="34" fillId="35" borderId="0" xfId="91" applyFont="1" applyFill="1" applyAlignment="1">
      <protection locked="0"/>
    </xf>
    <xf numFmtId="0" fontId="19" fillId="36" borderId="0" xfId="91" applyFill="1">
      <protection locked="0"/>
    </xf>
    <xf numFmtId="0" fontId="103" fillId="36" borderId="0" xfId="91" applyFont="1" applyFill="1">
      <protection locked="0"/>
    </xf>
    <xf numFmtId="0" fontId="19" fillId="0" borderId="0" xfId="91">
      <protection locked="0"/>
    </xf>
    <xf numFmtId="0" fontId="103" fillId="35" borderId="0" xfId="91" applyFont="1" applyFill="1">
      <protection locked="0"/>
    </xf>
    <xf numFmtId="0" fontId="102" fillId="36" borderId="0" xfId="91" applyFont="1" applyFill="1" applyProtection="1"/>
    <xf numFmtId="1" fontId="26" fillId="36" borderId="0" xfId="48" applyFill="1">
      <alignment horizontal="center" vertical="center"/>
    </xf>
    <xf numFmtId="0" fontId="19" fillId="36" borderId="0" xfId="91" applyFill="1" applyAlignment="1">
      <alignment vertical="center" wrapText="1"/>
      <protection locked="0"/>
    </xf>
    <xf numFmtId="0" fontId="19" fillId="0" borderId="1" xfId="36" applyAlignment="1">
      <alignment horizontal="left" vertical="top"/>
    </xf>
    <xf numFmtId="0" fontId="32" fillId="0" borderId="0" xfId="0" applyFont="1"/>
    <xf numFmtId="0" fontId="43" fillId="0" borderId="0" xfId="0" applyFont="1"/>
    <xf numFmtId="0" fontId="36" fillId="0" borderId="0" xfId="0" applyFont="1"/>
    <xf numFmtId="0" fontId="19" fillId="33" borderId="0" xfId="91" applyFill="1" applyAlignment="1">
      <alignment vertical="center"/>
      <protection locked="0"/>
    </xf>
    <xf numFmtId="0" fontId="102" fillId="33" borderId="0" xfId="91" applyFont="1" applyFill="1" applyAlignment="1">
      <alignment vertical="center"/>
      <protection locked="0"/>
    </xf>
    <xf numFmtId="0" fontId="15" fillId="33" borderId="0" xfId="70" applyFill="1" applyAlignment="1">
      <alignment horizontal="left" vertical="center"/>
      <protection locked="0"/>
    </xf>
    <xf numFmtId="0" fontId="105" fillId="33" borderId="0" xfId="91" applyFont="1" applyFill="1" applyAlignment="1">
      <alignment horizontal="right" vertical="center"/>
      <protection locked="0"/>
    </xf>
    <xf numFmtId="0" fontId="0" fillId="37" borderId="0" xfId="0" applyFill="1" applyBorder="1" applyAlignment="1"/>
    <xf numFmtId="0" fontId="4" fillId="37" borderId="0" xfId="104" applyFont="1" applyFill="1" applyBorder="1" applyAlignment="1"/>
    <xf numFmtId="0" fontId="4" fillId="37" borderId="0" xfId="104" applyFont="1" applyFill="1" applyBorder="1" applyAlignment="1">
      <alignment vertical="center" wrapText="1"/>
    </xf>
    <xf numFmtId="0" fontId="15" fillId="37" borderId="14" xfId="70" applyFill="1" applyBorder="1" applyAlignment="1" applyProtection="1"/>
    <xf numFmtId="0" fontId="0" fillId="37" borderId="14" xfId="0" applyFill="1" applyBorder="1" applyAlignment="1"/>
    <xf numFmtId="0" fontId="4" fillId="37" borderId="14" xfId="104" applyFont="1" applyFill="1" applyBorder="1" applyAlignment="1"/>
    <xf numFmtId="0" fontId="19" fillId="0" borderId="0" xfId="101" applyFont="1"/>
    <xf numFmtId="0" fontId="106" fillId="33" borderId="0" xfId="91" applyFont="1" applyFill="1">
      <protection locked="0"/>
    </xf>
    <xf numFmtId="0" fontId="106" fillId="33" borderId="0" xfId="91" applyFont="1" applyFill="1" applyAlignment="1">
      <alignment horizontal="right"/>
      <protection locked="0"/>
    </xf>
    <xf numFmtId="0" fontId="3" fillId="37" borderId="0" xfId="104" applyFont="1" applyFill="1" applyBorder="1" applyAlignment="1">
      <alignment vertical="top"/>
    </xf>
    <xf numFmtId="0" fontId="3" fillId="37" borderId="14" xfId="104" applyFont="1" applyFill="1" applyBorder="1" applyAlignment="1">
      <alignment vertical="top"/>
    </xf>
    <xf numFmtId="0" fontId="19" fillId="37" borderId="0" xfId="104" applyFont="1" applyFill="1" applyBorder="1" applyAlignment="1">
      <alignment vertical="top"/>
    </xf>
    <xf numFmtId="0" fontId="2" fillId="37" borderId="0" xfId="102" applyFill="1"/>
    <xf numFmtId="0" fontId="19" fillId="37" borderId="0" xfId="102" applyFont="1" applyFill="1"/>
    <xf numFmtId="0" fontId="0" fillId="37" borderId="0" xfId="0" applyFill="1" applyBorder="1" applyAlignment="1">
      <alignment vertical="center"/>
    </xf>
    <xf numFmtId="0" fontId="3" fillId="37" borderId="0" xfId="104" applyFont="1" applyFill="1" applyBorder="1" applyAlignment="1">
      <alignment vertical="center"/>
    </xf>
    <xf numFmtId="0" fontId="19" fillId="37" borderId="0" xfId="0" applyFont="1" applyFill="1" applyBorder="1" applyAlignment="1"/>
    <xf numFmtId="0" fontId="15" fillId="37" borderId="0" xfId="70" applyFont="1" applyFill="1" applyBorder="1" applyAlignment="1" applyProtection="1"/>
    <xf numFmtId="0" fontId="15" fillId="37" borderId="14" xfId="70" quotePrefix="1" applyFill="1" applyBorder="1" applyAlignment="1" applyProtection="1">
      <alignment vertical="center"/>
    </xf>
    <xf numFmtId="0" fontId="3" fillId="37" borderId="14" xfId="0" applyFont="1" applyFill="1" applyBorder="1" applyAlignment="1">
      <alignment vertical="center"/>
    </xf>
    <xf numFmtId="0" fontId="42" fillId="37" borderId="0" xfId="91" applyFont="1" applyFill="1" applyProtection="1"/>
    <xf numFmtId="0" fontId="42" fillId="37" borderId="0" xfId="91" applyFont="1" applyFill="1">
      <protection locked="0"/>
    </xf>
    <xf numFmtId="0" fontId="58" fillId="37" borderId="0" xfId="70" applyFont="1" applyFill="1" applyBorder="1" applyAlignment="1" applyProtection="1"/>
    <xf numFmtId="0" fontId="33" fillId="37" borderId="0" xfId="91" applyFont="1" applyFill="1">
      <protection locked="0"/>
    </xf>
    <xf numFmtId="0" fontId="4" fillId="37" borderId="0" xfId="104" applyFont="1" applyFill="1" applyBorder="1" applyAlignment="1">
      <alignment vertical="center"/>
    </xf>
    <xf numFmtId="0" fontId="19" fillId="37" borderId="0" xfId="0" applyFont="1" applyFill="1" applyBorder="1" applyAlignment="1">
      <alignment vertical="center"/>
    </xf>
    <xf numFmtId="0" fontId="108" fillId="37" borderId="14" xfId="0" applyFont="1" applyFill="1" applyBorder="1" applyAlignment="1"/>
    <xf numFmtId="0" fontId="3" fillId="37" borderId="14" xfId="0" applyFont="1" applyFill="1" applyBorder="1" applyAlignment="1"/>
    <xf numFmtId="0" fontId="109" fillId="37" borderId="14" xfId="70" applyFont="1" applyFill="1" applyBorder="1" applyAlignment="1" applyProtection="1">
      <alignment vertical="center"/>
    </xf>
    <xf numFmtId="9" fontId="0" fillId="0" borderId="0" xfId="109" applyFont="1" applyFill="1"/>
    <xf numFmtId="0" fontId="19" fillId="0" borderId="0" xfId="0" applyFont="1" applyFill="1" applyBorder="1"/>
    <xf numFmtId="0" fontId="27" fillId="0" borderId="0" xfId="0" applyFont="1"/>
    <xf numFmtId="0" fontId="3" fillId="0" borderId="11" xfId="0" applyFont="1" applyBorder="1" applyAlignment="1">
      <alignment horizontal="center" wrapText="1"/>
    </xf>
    <xf numFmtId="0" fontId="59" fillId="0" borderId="0" xfId="0" applyFont="1"/>
    <xf numFmtId="0" fontId="60" fillId="37" borderId="0" xfId="70" applyFont="1" applyFill="1" applyBorder="1" applyAlignment="1" applyProtection="1"/>
    <xf numFmtId="0" fontId="24" fillId="37" borderId="0" xfId="91" applyFont="1" applyFill="1">
      <protection locked="0"/>
    </xf>
    <xf numFmtId="0" fontId="32" fillId="37" borderId="0" xfId="102" applyFont="1" applyFill="1" applyAlignment="1">
      <alignment vertical="center"/>
    </xf>
    <xf numFmtId="0" fontId="32" fillId="37" borderId="0" xfId="102" applyFont="1" applyFill="1"/>
    <xf numFmtId="0" fontId="32" fillId="37" borderId="0" xfId="104" applyFont="1" applyFill="1" applyBorder="1" applyAlignment="1">
      <alignment vertical="center" wrapText="1"/>
    </xf>
    <xf numFmtId="0" fontId="32" fillId="37" borderId="0" xfId="0" applyFont="1" applyFill="1" applyBorder="1" applyAlignment="1">
      <alignment vertical="center"/>
    </xf>
    <xf numFmtId="0" fontId="32" fillId="37" borderId="0" xfId="104" applyFont="1" applyFill="1" applyBorder="1" applyAlignment="1">
      <alignment vertical="center"/>
    </xf>
    <xf numFmtId="0" fontId="32" fillId="37" borderId="0" xfId="0" applyFont="1" applyFill="1" applyBorder="1" applyAlignment="1"/>
    <xf numFmtId="0" fontId="32" fillId="37" borderId="0" xfId="104" applyFont="1" applyFill="1" applyBorder="1" applyAlignment="1"/>
    <xf numFmtId="0" fontId="24" fillId="37" borderId="14" xfId="104" applyFont="1" applyFill="1" applyBorder="1" applyAlignment="1">
      <alignment vertical="center"/>
    </xf>
    <xf numFmtId="0" fontId="110" fillId="37" borderId="14" xfId="70" applyFont="1" applyFill="1" applyBorder="1" applyAlignment="1" applyProtection="1">
      <alignment vertical="center"/>
    </xf>
    <xf numFmtId="0" fontId="111" fillId="37" borderId="14" xfId="0" applyFont="1" applyFill="1" applyBorder="1" applyAlignment="1"/>
    <xf numFmtId="0" fontId="60" fillId="37" borderId="14" xfId="70" applyFont="1" applyFill="1" applyBorder="1" applyAlignment="1" applyProtection="1"/>
    <xf numFmtId="0" fontId="60" fillId="37" borderId="14" xfId="70" quotePrefix="1" applyFont="1" applyFill="1" applyBorder="1" applyAlignment="1" applyProtection="1"/>
    <xf numFmtId="0" fontId="24" fillId="37" borderId="14" xfId="0" applyFont="1" applyFill="1" applyBorder="1" applyAlignment="1"/>
    <xf numFmtId="0" fontId="32" fillId="37" borderId="14" xfId="104" applyFont="1" applyFill="1" applyBorder="1" applyAlignment="1"/>
    <xf numFmtId="0" fontId="32" fillId="37" borderId="14" xfId="0" applyFont="1" applyFill="1" applyBorder="1" applyAlignment="1"/>
    <xf numFmtId="1" fontId="0" fillId="0" borderId="0" xfId="0" applyNumberFormat="1" applyFill="1"/>
    <xf numFmtId="0" fontId="3" fillId="38" borderId="0" xfId="0" applyFont="1" applyFill="1"/>
    <xf numFmtId="0" fontId="33" fillId="37" borderId="0" xfId="91" applyFont="1" applyFill="1" applyBorder="1" applyProtection="1"/>
    <xf numFmtId="0" fontId="33" fillId="37" borderId="0" xfId="91" applyFont="1" applyFill="1" applyBorder="1">
      <protection locked="0"/>
    </xf>
    <xf numFmtId="0" fontId="42" fillId="37" borderId="0" xfId="91" applyFont="1" applyFill="1" applyBorder="1">
      <protection locked="0"/>
    </xf>
    <xf numFmtId="0" fontId="3" fillId="37" borderId="0" xfId="102" applyFont="1" applyFill="1" applyBorder="1"/>
    <xf numFmtId="0" fontId="19" fillId="37" borderId="0" xfId="102" applyFont="1" applyFill="1" applyBorder="1"/>
    <xf numFmtId="0" fontId="3" fillId="37" borderId="14" xfId="104" applyFont="1" applyFill="1" applyBorder="1" applyAlignment="1">
      <alignment vertical="center" wrapText="1"/>
    </xf>
    <xf numFmtId="0" fontId="19" fillId="37" borderId="14" xfId="104" applyFont="1" applyFill="1" applyBorder="1" applyAlignment="1">
      <alignment vertical="center" wrapText="1"/>
    </xf>
    <xf numFmtId="0" fontId="42" fillId="37" borderId="14" xfId="104" applyFont="1" applyFill="1" applyBorder="1" applyAlignment="1">
      <alignment vertical="center"/>
    </xf>
    <xf numFmtId="0" fontId="25" fillId="37" borderId="14" xfId="104" applyFont="1" applyFill="1" applyBorder="1" applyAlignment="1">
      <alignment vertical="center" wrapText="1"/>
    </xf>
    <xf numFmtId="0" fontId="112" fillId="33" borderId="0" xfId="91" applyFont="1" applyFill="1">
      <protection locked="0"/>
    </xf>
    <xf numFmtId="0" fontId="35" fillId="0" borderId="0" xfId="0" applyFont="1"/>
    <xf numFmtId="0" fontId="113" fillId="33" borderId="0" xfId="91" applyFont="1" applyFill="1">
      <protection locked="0"/>
    </xf>
    <xf numFmtId="38" fontId="32" fillId="0" borderId="0" xfId="0" applyNumberFormat="1" applyFont="1" applyFill="1" applyBorder="1" applyProtection="1">
      <protection locked="0"/>
    </xf>
    <xf numFmtId="3" fontId="32" fillId="0" borderId="0" xfId="0" applyNumberFormat="1" applyFont="1" applyFill="1" applyBorder="1" applyProtection="1">
      <protection locked="0"/>
    </xf>
    <xf numFmtId="0" fontId="32" fillId="0" borderId="0" xfId="0" applyFont="1" applyFill="1" applyBorder="1" applyAlignment="1" applyProtection="1">
      <alignment horizontal="right"/>
      <protection locked="0"/>
    </xf>
    <xf numFmtId="165" fontId="32" fillId="0" borderId="0" xfId="0" applyNumberFormat="1" applyFont="1" applyFill="1" applyBorder="1" applyProtection="1">
      <protection locked="0"/>
    </xf>
    <xf numFmtId="1" fontId="32" fillId="0" borderId="0" xfId="0" applyNumberFormat="1" applyFont="1" applyFill="1" applyBorder="1" applyProtection="1">
      <protection locked="0"/>
    </xf>
    <xf numFmtId="0" fontId="105" fillId="0" borderId="0" xfId="0" applyFont="1"/>
    <xf numFmtId="38" fontId="32" fillId="0" borderId="0" xfId="0" applyNumberFormat="1" applyFont="1" applyFill="1" applyBorder="1" applyAlignment="1" applyProtection="1">
      <alignment horizontal="right"/>
      <protection locked="0"/>
    </xf>
    <xf numFmtId="0" fontId="0" fillId="0" borderId="0" xfId="0" applyAlignment="1">
      <alignment horizontal="center"/>
    </xf>
    <xf numFmtId="0" fontId="114" fillId="0" borderId="0" xfId="0" applyFont="1"/>
    <xf numFmtId="0" fontId="19" fillId="0" borderId="0" xfId="0" applyFont="1" applyAlignment="1">
      <alignment horizontal="center"/>
    </xf>
    <xf numFmtId="0" fontId="114" fillId="0" borderId="0" xfId="0" applyFont="1" applyFill="1" applyBorder="1" applyAlignment="1">
      <alignment horizontal="left"/>
    </xf>
    <xf numFmtId="0" fontId="19" fillId="0" borderId="0" xfId="0" applyFont="1" applyBorder="1" applyAlignment="1">
      <alignment horizontal="center"/>
    </xf>
    <xf numFmtId="0" fontId="115" fillId="0" borderId="0" xfId="0" applyFont="1" applyBorder="1" applyAlignment="1"/>
    <xf numFmtId="0" fontId="115" fillId="0" borderId="0" xfId="0" applyFont="1" applyBorder="1"/>
    <xf numFmtId="0" fontId="19" fillId="0" borderId="0" xfId="0" applyFont="1" applyFill="1" applyBorder="1" applyAlignment="1">
      <alignment horizontal="center"/>
    </xf>
    <xf numFmtId="0" fontId="43" fillId="0" borderId="0" xfId="0" applyFont="1" applyFill="1" applyBorder="1" applyAlignment="1">
      <alignment horizontal="left"/>
    </xf>
    <xf numFmtId="0" fontId="32" fillId="0" borderId="0" xfId="0" applyFont="1" applyFill="1" applyBorder="1" applyProtection="1">
      <protection locked="0"/>
    </xf>
    <xf numFmtId="0" fontId="3" fillId="0" borderId="0" xfId="0" applyNumberFormat="1" applyFont="1" applyFill="1" applyBorder="1" applyProtection="1">
      <protection locked="0"/>
    </xf>
    <xf numFmtId="0" fontId="24" fillId="0" borderId="0" xfId="0" applyFont="1" applyFill="1" applyBorder="1" applyProtection="1">
      <protection locked="0"/>
    </xf>
    <xf numFmtId="0" fontId="43" fillId="0" borderId="0" xfId="0" applyFont="1" applyFill="1" applyBorder="1"/>
    <xf numFmtId="0" fontId="43" fillId="0" borderId="0" xfId="0" applyFont="1" applyFill="1" applyBorder="1" applyProtection="1">
      <protection locked="0"/>
    </xf>
    <xf numFmtId="0" fontId="0" fillId="0" borderId="0" xfId="0" applyAlignment="1"/>
    <xf numFmtId="0" fontId="116" fillId="0" borderId="0" xfId="0" applyFont="1"/>
    <xf numFmtId="0" fontId="0" fillId="39" borderId="0" xfId="0" applyFill="1"/>
    <xf numFmtId="0" fontId="27" fillId="0" borderId="0" xfId="101" applyFont="1"/>
    <xf numFmtId="0" fontId="34" fillId="0" borderId="0" xfId="101" applyFont="1"/>
    <xf numFmtId="0" fontId="117" fillId="0" borderId="0" xfId="101" applyFont="1" applyFill="1" applyAlignment="1">
      <alignment horizontal="right"/>
    </xf>
    <xf numFmtId="0" fontId="117" fillId="0" borderId="0" xfId="101" applyFont="1" applyFill="1" applyAlignment="1">
      <alignment horizontal="left"/>
    </xf>
    <xf numFmtId="0" fontId="0" fillId="0" borderId="0" xfId="0" applyFont="1" applyFill="1" applyBorder="1" applyAlignment="1"/>
    <xf numFmtId="0" fontId="59" fillId="0" borderId="0" xfId="101" applyFont="1"/>
    <xf numFmtId="0" fontId="0" fillId="0" borderId="11" xfId="0" applyBorder="1" applyAlignment="1">
      <alignment horizontal="center"/>
    </xf>
    <xf numFmtId="0" fontId="3" fillId="0" borderId="11" xfId="0" applyFont="1" applyBorder="1" applyAlignment="1">
      <alignment horizontal="center" vertical="center"/>
    </xf>
    <xf numFmtId="0" fontId="3" fillId="0" borderId="15" xfId="0" applyFont="1" applyBorder="1" applyAlignment="1">
      <alignment horizontal="center" vertical="center"/>
    </xf>
    <xf numFmtId="0" fontId="0" fillId="0" borderId="0" xfId="0" applyFont="1" applyFill="1" applyBorder="1" applyAlignment="1">
      <alignment horizontal="left" vertical="center"/>
    </xf>
    <xf numFmtId="0" fontId="59" fillId="0" borderId="0" xfId="0" applyFont="1" applyFill="1" applyBorder="1" applyAlignment="1">
      <alignment horizontal="left" vertical="center"/>
    </xf>
    <xf numFmtId="0" fontId="0" fillId="40" borderId="0" xfId="0" applyFill="1"/>
    <xf numFmtId="2" fontId="0" fillId="0" borderId="0" xfId="109" applyNumberFormat="1" applyFont="1" applyFill="1"/>
    <xf numFmtId="1" fontId="0" fillId="0" borderId="0" xfId="109" applyNumberFormat="1" applyFont="1" applyFill="1"/>
    <xf numFmtId="0" fontId="0" fillId="0" borderId="0" xfId="0" applyFill="1" applyBorder="1" applyAlignment="1">
      <alignment horizontal="center"/>
    </xf>
    <xf numFmtId="0" fontId="112" fillId="0" borderId="0" xfId="0" applyFont="1"/>
    <xf numFmtId="0" fontId="34" fillId="0" borderId="0" xfId="0" applyFont="1"/>
    <xf numFmtId="0" fontId="3" fillId="0" borderId="0" xfId="0" applyFont="1" applyAlignment="1">
      <alignment horizontal="center" vertical="center"/>
    </xf>
    <xf numFmtId="0" fontId="3" fillId="0" borderId="11"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19" fillId="0" borderId="0" xfId="0" applyFont="1" applyFill="1" applyBorder="1" applyAlignment="1">
      <alignment horizontal="left"/>
    </xf>
    <xf numFmtId="0" fontId="27" fillId="0" borderId="0" xfId="0" applyFont="1" applyFill="1" applyBorder="1" applyAlignment="1">
      <alignment horizontal="left"/>
    </xf>
    <xf numFmtId="0" fontId="32" fillId="0" borderId="0" xfId="0" applyFont="1" applyFill="1" applyBorder="1" applyAlignment="1" applyProtection="1">
      <alignment horizontal="center"/>
      <protection locked="0"/>
    </xf>
    <xf numFmtId="0" fontId="19" fillId="0" borderId="0" xfId="0" applyFont="1" applyFill="1" applyBorder="1" applyAlignment="1"/>
    <xf numFmtId="0" fontId="0" fillId="0" borderId="0" xfId="0" applyFill="1" applyBorder="1" applyAlignment="1">
      <alignment horizontal="center" vertical="center" wrapText="1"/>
    </xf>
    <xf numFmtId="0" fontId="0" fillId="0" borderId="0" xfId="0" applyFill="1" applyBorder="1" applyAlignment="1">
      <alignment horizontal="center" wrapText="1"/>
    </xf>
    <xf numFmtId="9" fontId="4" fillId="0" borderId="0" xfId="109" applyFont="1" applyFill="1" applyAlignment="1">
      <alignment horizontal="right" indent="2"/>
    </xf>
    <xf numFmtId="0" fontId="0" fillId="0" borderId="11" xfId="0" applyBorder="1"/>
    <xf numFmtId="9" fontId="3" fillId="39" borderId="11" xfId="109" applyFont="1" applyFill="1" applyBorder="1" applyAlignment="1">
      <alignment horizontal="center"/>
    </xf>
    <xf numFmtId="10" fontId="3" fillId="41" borderId="11" xfId="109" applyNumberFormat="1" applyFont="1" applyFill="1" applyBorder="1" applyAlignment="1">
      <alignment horizontal="center"/>
    </xf>
    <xf numFmtId="10" fontId="3" fillId="41" borderId="11" xfId="0" applyNumberFormat="1" applyFont="1" applyFill="1" applyBorder="1" applyAlignment="1">
      <alignment horizontal="center" vertical="center"/>
    </xf>
    <xf numFmtId="1" fontId="3" fillId="38" borderId="11" xfId="0" applyNumberFormat="1" applyFont="1" applyFill="1" applyBorder="1" applyAlignment="1">
      <alignment horizontal="center" vertical="center"/>
    </xf>
    <xf numFmtId="0" fontId="3" fillId="0" borderId="0" xfId="0" applyFont="1" applyFill="1" applyBorder="1" applyAlignment="1">
      <alignment horizontal="center"/>
    </xf>
    <xf numFmtId="1" fontId="3" fillId="0" borderId="0" xfId="0" applyNumberFormat="1" applyFont="1"/>
    <xf numFmtId="0" fontId="3" fillId="0" borderId="11" xfId="0" applyFont="1" applyFill="1" applyBorder="1" applyAlignment="1">
      <alignment horizontal="center" vertical="center" wrapText="1"/>
    </xf>
    <xf numFmtId="0" fontId="118" fillId="38" borderId="0" xfId="91" applyFont="1" applyFill="1">
      <protection locked="0"/>
    </xf>
    <xf numFmtId="0" fontId="33" fillId="37" borderId="0" xfId="91" applyFont="1" applyFill="1" applyAlignment="1" applyProtection="1">
      <alignment horizontal="left"/>
    </xf>
    <xf numFmtId="0" fontId="58" fillId="37" borderId="0" xfId="70" applyFont="1" applyFill="1" applyBorder="1" applyAlignment="1" applyProtection="1">
      <alignment horizontal="left"/>
    </xf>
    <xf numFmtId="0" fontId="19" fillId="37" borderId="0" xfId="102" applyFont="1" applyFill="1" applyAlignment="1">
      <alignment horizontal="left"/>
    </xf>
    <xf numFmtId="0" fontId="0" fillId="0" borderId="0" xfId="0" applyAlignment="1">
      <alignment horizontal="left"/>
    </xf>
    <xf numFmtId="0" fontId="19" fillId="0" borderId="0" xfId="0" applyFont="1" applyAlignment="1">
      <alignment horizontal="left"/>
    </xf>
    <xf numFmtId="0" fontId="36" fillId="0" borderId="0" xfId="0" applyFont="1" applyAlignment="1">
      <alignment horizontal="left"/>
    </xf>
    <xf numFmtId="0" fontId="43" fillId="0" borderId="0" xfId="0" applyFont="1" applyAlignment="1">
      <alignment horizontal="left"/>
    </xf>
    <xf numFmtId="1" fontId="0" fillId="0" borderId="0" xfId="0" applyNumberFormat="1" applyAlignment="1">
      <alignment horizontal="left"/>
    </xf>
    <xf numFmtId="0" fontId="2" fillId="0" borderId="0" xfId="101" applyFill="1"/>
    <xf numFmtId="0" fontId="119" fillId="37" borderId="0" xfId="70" applyFont="1" applyFill="1" applyBorder="1" applyAlignment="1" applyProtection="1"/>
    <xf numFmtId="0" fontId="119" fillId="37" borderId="14" xfId="70" applyFont="1" applyFill="1" applyBorder="1" applyAlignment="1" applyProtection="1"/>
    <xf numFmtId="0" fontId="3" fillId="0" borderId="15" xfId="0" applyFont="1" applyBorder="1" applyAlignment="1">
      <alignment horizontal="center"/>
    </xf>
    <xf numFmtId="0" fontId="3" fillId="0" borderId="16" xfId="0" applyFont="1" applyBorder="1" applyAlignment="1">
      <alignment horizontal="center"/>
    </xf>
    <xf numFmtId="0" fontId="120" fillId="0" borderId="0" xfId="0" applyFont="1"/>
    <xf numFmtId="10" fontId="0" fillId="42" borderId="11" xfId="0" applyNumberFormat="1" applyFill="1" applyBorder="1" applyAlignment="1">
      <alignment horizontal="center"/>
    </xf>
    <xf numFmtId="0" fontId="3" fillId="0" borderId="11" xfId="0" applyFont="1" applyFill="1" applyBorder="1" applyAlignment="1">
      <alignment horizontal="center" vertical="center"/>
    </xf>
    <xf numFmtId="9" fontId="0" fillId="0" borderId="0" xfId="0" applyNumberFormat="1"/>
    <xf numFmtId="9" fontId="0" fillId="0" borderId="17" xfId="0" applyNumberFormat="1" applyFill="1" applyBorder="1"/>
    <xf numFmtId="9" fontId="19" fillId="0" borderId="17" xfId="109" applyFont="1" applyFill="1" applyBorder="1" applyAlignment="1">
      <alignment horizontal="center" vertical="center"/>
    </xf>
    <xf numFmtId="9" fontId="0" fillId="0" borderId="0" xfId="0" applyNumberFormat="1" applyFill="1" applyBorder="1"/>
    <xf numFmtId="9" fontId="19" fillId="0" borderId="0" xfId="109" applyFont="1" applyFill="1" applyBorder="1" applyAlignment="1">
      <alignment horizontal="center" vertical="center"/>
    </xf>
    <xf numFmtId="0" fontId="3" fillId="0" borderId="0" xfId="0" applyFont="1" applyBorder="1" applyAlignment="1">
      <alignment horizontal="center"/>
    </xf>
    <xf numFmtId="0" fontId="3" fillId="0" borderId="0" xfId="0" applyFont="1" applyAlignment="1">
      <alignment horizontal="center"/>
    </xf>
    <xf numFmtId="1" fontId="0" fillId="0" borderId="0" xfId="0" applyNumberFormat="1" applyAlignment="1">
      <alignment horizontal="center"/>
    </xf>
    <xf numFmtId="1" fontId="3" fillId="0" borderId="11" xfId="0" applyNumberFormat="1" applyFont="1" applyBorder="1" applyAlignment="1">
      <alignment horizontal="center" vertical="center"/>
    </xf>
    <xf numFmtId="0" fontId="32" fillId="0" borderId="0" xfId="0" applyFont="1" applyBorder="1" applyAlignment="1" applyProtection="1">
      <alignment horizontal="left"/>
      <protection locked="0"/>
    </xf>
    <xf numFmtId="0" fontId="0" fillId="41" borderId="11" xfId="0" applyFill="1" applyBorder="1"/>
    <xf numFmtId="1" fontId="24" fillId="0" borderId="0" xfId="0" applyNumberFormat="1" applyFont="1" applyFill="1" applyAlignment="1">
      <alignment horizontal="center"/>
    </xf>
    <xf numFmtId="1" fontId="32" fillId="0" borderId="0" xfId="0" applyNumberFormat="1" applyFont="1" applyFill="1" applyAlignment="1">
      <alignment horizontal="center"/>
    </xf>
    <xf numFmtId="0" fontId="32" fillId="0" borderId="0" xfId="0" applyFont="1" applyFill="1"/>
    <xf numFmtId="0" fontId="59" fillId="0" borderId="0" xfId="0" applyFont="1" applyBorder="1" applyAlignment="1" applyProtection="1">
      <alignment horizontal="left"/>
      <protection locked="0"/>
    </xf>
    <xf numFmtId="0" fontId="24" fillId="0" borderId="11" xfId="0" applyFont="1" applyBorder="1" applyAlignment="1" applyProtection="1">
      <alignment horizontal="center"/>
      <protection locked="0"/>
    </xf>
    <xf numFmtId="0" fontId="24" fillId="0" borderId="11" xfId="0" applyFont="1" applyFill="1" applyBorder="1" applyAlignment="1" applyProtection="1">
      <alignment horizontal="center"/>
      <protection locked="0"/>
    </xf>
    <xf numFmtId="49" fontId="121" fillId="28" borderId="18" xfId="122" applyFont="1" applyBorder="1" applyAlignment="1">
      <alignment horizontal="left" vertical="top" wrapText="1"/>
    </xf>
    <xf numFmtId="0" fontId="105" fillId="34" borderId="0" xfId="91" applyFont="1" applyFill="1">
      <protection locked="0"/>
    </xf>
    <xf numFmtId="49" fontId="122" fillId="28" borderId="19" xfId="122" applyFont="1" applyBorder="1" applyAlignment="1">
      <alignment horizontal="center" vertical="top" wrapText="1"/>
    </xf>
    <xf numFmtId="49" fontId="122" fillId="28" borderId="20" xfId="122" applyFont="1" applyBorder="1" applyAlignment="1">
      <alignment horizontal="center" vertical="top" wrapText="1"/>
    </xf>
    <xf numFmtId="0" fontId="19" fillId="34" borderId="0" xfId="91" applyFill="1" applyAlignment="1">
      <alignment horizontal="center"/>
      <protection locked="0"/>
    </xf>
    <xf numFmtId="0" fontId="102" fillId="34" borderId="0" xfId="91" applyFont="1" applyFill="1" applyAlignment="1">
      <alignment horizontal="center"/>
      <protection locked="0"/>
    </xf>
    <xf numFmtId="0" fontId="19" fillId="33" borderId="0" xfId="91" applyFill="1" applyAlignment="1">
      <alignment horizontal="center"/>
      <protection locked="0"/>
    </xf>
    <xf numFmtId="0" fontId="3" fillId="33" borderId="0" xfId="91" applyFont="1" applyFill="1" applyAlignment="1">
      <alignment horizontal="center"/>
      <protection locked="0"/>
    </xf>
    <xf numFmtId="0" fontId="19" fillId="0" borderId="0" xfId="0" applyFont="1" applyAlignment="1">
      <alignment horizontal="left" vertical="center" indent="4"/>
    </xf>
    <xf numFmtId="0" fontId="19" fillId="0" borderId="0" xfId="0" applyFont="1" applyAlignment="1">
      <alignment vertical="center"/>
    </xf>
    <xf numFmtId="0" fontId="15" fillId="0" borderId="0" xfId="70" applyAlignment="1" applyProtection="1">
      <alignment vertical="center"/>
    </xf>
    <xf numFmtId="0" fontId="19" fillId="0" borderId="0" xfId="0" applyFont="1" applyAlignment="1">
      <alignment horizontal="left" vertical="center" indent="8"/>
    </xf>
    <xf numFmtId="2" fontId="0" fillId="41" borderId="0" xfId="0" applyNumberFormat="1" applyFill="1"/>
    <xf numFmtId="2" fontId="0" fillId="40" borderId="0" xfId="0" applyNumberFormat="1" applyFill="1"/>
    <xf numFmtId="9" fontId="64" fillId="41" borderId="11" xfId="109" applyFont="1" applyFill="1" applyBorder="1"/>
    <xf numFmtId="0" fontId="123" fillId="0" borderId="0" xfId="0" applyFont="1"/>
    <xf numFmtId="0" fontId="19" fillId="40" borderId="0" xfId="0" applyFont="1" applyFill="1"/>
    <xf numFmtId="0" fontId="19" fillId="39" borderId="0" xfId="0" applyFont="1" applyFill="1"/>
    <xf numFmtId="167" fontId="0" fillId="38" borderId="0" xfId="0" applyNumberFormat="1" applyFill="1"/>
    <xf numFmtId="0" fontId="63" fillId="0" borderId="0" xfId="0" applyFont="1"/>
    <xf numFmtId="0" fontId="25" fillId="0" borderId="11" xfId="0" applyFont="1" applyBorder="1" applyAlignment="1">
      <alignment horizontal="center"/>
    </xf>
    <xf numFmtId="0" fontId="34" fillId="0" borderId="0" xfId="0" applyFont="1" applyAlignment="1">
      <alignment horizontal="left" wrapText="1"/>
    </xf>
    <xf numFmtId="0" fontId="65" fillId="0" borderId="0" xfId="0" applyFont="1"/>
    <xf numFmtId="0" fontId="4" fillId="43" borderId="11" xfId="0" applyFont="1" applyFill="1" applyBorder="1" applyAlignment="1">
      <alignment horizontal="center"/>
    </xf>
    <xf numFmtId="0" fontId="25" fillId="0" borderId="0" xfId="0" applyFont="1" applyAlignment="1">
      <alignment horizontal="right"/>
    </xf>
    <xf numFmtId="0" fontId="38" fillId="0" borderId="0" xfId="0" applyFont="1"/>
    <xf numFmtId="0" fontId="0" fillId="0" borderId="0" xfId="0" applyAlignment="1">
      <alignment horizontal="left" wrapText="1"/>
    </xf>
    <xf numFmtId="0" fontId="19" fillId="37" borderId="14" xfId="104" applyFont="1" applyFill="1" applyBorder="1" applyAlignment="1">
      <alignment vertical="center"/>
    </xf>
    <xf numFmtId="0" fontId="0" fillId="0" borderId="0" xfId="0" applyAlignment="1">
      <alignment wrapText="1"/>
    </xf>
    <xf numFmtId="0" fontId="105" fillId="0" borderId="11" xfId="0" applyFont="1" applyBorder="1" applyAlignment="1">
      <alignment horizontal="center"/>
    </xf>
    <xf numFmtId="167" fontId="34" fillId="0" borderId="0" xfId="0" applyNumberFormat="1" applyFont="1"/>
    <xf numFmtId="166" fontId="0" fillId="0" borderId="0" xfId="40" applyNumberFormat="1" applyFont="1" applyBorder="1"/>
    <xf numFmtId="0" fontId="124" fillId="0" borderId="0" xfId="0" applyFont="1" applyBorder="1" applyAlignment="1">
      <alignment horizontal="center" wrapText="1"/>
    </xf>
    <xf numFmtId="0" fontId="66" fillId="0" borderId="0" xfId="99" applyFont="1" applyBorder="1" applyAlignment="1">
      <alignment wrapText="1"/>
    </xf>
    <xf numFmtId="174" fontId="0" fillId="0" borderId="0" xfId="0" applyNumberFormat="1" applyFill="1" applyBorder="1"/>
    <xf numFmtId="1" fontId="3" fillId="38" borderId="0" xfId="0" applyNumberFormat="1" applyFont="1" applyFill="1"/>
    <xf numFmtId="0" fontId="3" fillId="0" borderId="0" xfId="0" applyFont="1" applyAlignment="1">
      <alignment horizontal="left"/>
    </xf>
    <xf numFmtId="0" fontId="125" fillId="0" borderId="0" xfId="0" applyFont="1" applyBorder="1" applyAlignment="1">
      <alignment horizontal="center"/>
    </xf>
    <xf numFmtId="175" fontId="69" fillId="0" borderId="0" xfId="100" applyNumberFormat="1" applyFont="1" applyBorder="1" applyAlignment="1">
      <alignment horizontal="center" vertical="center"/>
    </xf>
    <xf numFmtId="9" fontId="70" fillId="41" borderId="0" xfId="109" applyFont="1" applyFill="1"/>
    <xf numFmtId="0" fontId="27" fillId="0" borderId="0" xfId="0" applyFont="1" applyFill="1" applyBorder="1"/>
    <xf numFmtId="0" fontId="3" fillId="0" borderId="0" xfId="0" applyFont="1" applyFill="1" applyBorder="1"/>
    <xf numFmtId="174" fontId="0" fillId="0" borderId="0" xfId="0" applyNumberFormat="1" applyFill="1" applyBorder="1" applyAlignment="1">
      <alignment horizontal="center"/>
    </xf>
    <xf numFmtId="0" fontId="27" fillId="0" borderId="0" xfId="0" applyFont="1" applyAlignment="1"/>
    <xf numFmtId="1" fontId="3" fillId="0" borderId="11" xfId="0" applyNumberFormat="1" applyFont="1" applyBorder="1" applyAlignment="1">
      <alignment horizontal="center"/>
    </xf>
    <xf numFmtId="0" fontId="25" fillId="0" borderId="11" xfId="0" applyFont="1" applyBorder="1" applyAlignment="1">
      <alignment horizontal="center" vertical="center" wrapText="1"/>
    </xf>
    <xf numFmtId="0" fontId="3" fillId="0" borderId="0" xfId="40" applyNumberFormat="1" applyFont="1" applyFill="1" applyBorder="1" applyAlignment="1" applyProtection="1">
      <alignment horizontal="center"/>
      <protection locked="0"/>
    </xf>
    <xf numFmtId="2" fontId="19" fillId="0" borderId="0" xfId="0" applyNumberFormat="1" applyFont="1" applyFill="1" applyBorder="1" applyAlignment="1">
      <alignment horizontal="center"/>
    </xf>
    <xf numFmtId="0" fontId="73" fillId="0" borderId="0" xfId="0" applyFont="1" applyBorder="1" applyAlignment="1">
      <alignment horizontal="justify" vertical="center"/>
    </xf>
    <xf numFmtId="0" fontId="74" fillId="0" borderId="0" xfId="0" applyFont="1" applyBorder="1" applyAlignment="1">
      <alignment horizontal="center" vertical="center"/>
    </xf>
    <xf numFmtId="0" fontId="75" fillId="0" borderId="0" xfId="0" applyFont="1" applyBorder="1" applyAlignment="1">
      <alignment horizontal="center" vertical="center"/>
    </xf>
    <xf numFmtId="10" fontId="74" fillId="0" borderId="0" xfId="0" applyNumberFormat="1" applyFont="1" applyBorder="1" applyAlignment="1">
      <alignment horizontal="center" vertical="center"/>
    </xf>
    <xf numFmtId="0" fontId="42" fillId="0" borderId="0" xfId="0" applyFont="1" applyBorder="1" applyAlignment="1">
      <alignment horizontal="justify" vertical="center"/>
    </xf>
    <xf numFmtId="0" fontId="73" fillId="0" borderId="0" xfId="0" applyFont="1" applyBorder="1" applyAlignment="1">
      <alignment vertical="center"/>
    </xf>
    <xf numFmtId="0" fontId="0" fillId="0" borderId="0" xfId="0" applyFill="1" applyAlignment="1">
      <alignment horizontal="center"/>
    </xf>
    <xf numFmtId="2" fontId="0" fillId="39" borderId="0" xfId="0" applyNumberFormat="1" applyFill="1"/>
    <xf numFmtId="10" fontId="19" fillId="42" borderId="11" xfId="0" applyNumberFormat="1" applyFont="1" applyFill="1" applyBorder="1" applyAlignment="1">
      <alignment horizontal="center" vertical="center"/>
    </xf>
    <xf numFmtId="2" fontId="3" fillId="39" borderId="11" xfId="0" applyNumberFormat="1" applyFont="1" applyFill="1" applyBorder="1" applyAlignment="1">
      <alignment horizontal="center"/>
    </xf>
    <xf numFmtId="0" fontId="126" fillId="0" borderId="0" xfId="0" applyFont="1"/>
    <xf numFmtId="1" fontId="19" fillId="0" borderId="0" xfId="0" applyNumberFormat="1" applyFont="1"/>
    <xf numFmtId="0" fontId="3" fillId="0" borderId="0" xfId="0" applyFont="1" applyAlignment="1">
      <alignment horizontal="center" vertical="center" wrapText="1"/>
    </xf>
    <xf numFmtId="0" fontId="0" fillId="0" borderId="11" xfId="0" applyFont="1" applyFill="1" applyBorder="1" applyAlignment="1">
      <alignment horizontal="center" vertical="center"/>
    </xf>
    <xf numFmtId="0" fontId="126" fillId="0" borderId="0" xfId="0" applyFont="1" applyFill="1" applyBorder="1" applyAlignment="1">
      <alignment horizontal="left" vertical="center"/>
    </xf>
    <xf numFmtId="0" fontId="35" fillId="0" borderId="0" xfId="0" applyFont="1" applyFill="1" applyBorder="1" applyAlignment="1">
      <alignment horizontal="left" vertical="center"/>
    </xf>
    <xf numFmtId="178" fontId="0" fillId="0" borderId="0" xfId="0" applyNumberFormat="1"/>
    <xf numFmtId="179" fontId="0" fillId="0" borderId="0" xfId="0" applyNumberFormat="1"/>
    <xf numFmtId="181" fontId="0" fillId="0" borderId="0" xfId="0" applyNumberFormat="1"/>
    <xf numFmtId="180" fontId="0" fillId="0" borderId="0" xfId="0" applyNumberFormat="1"/>
    <xf numFmtId="1" fontId="3" fillId="0" borderId="11" xfId="0" applyNumberFormat="1" applyFont="1" applyFill="1" applyBorder="1" applyAlignment="1">
      <alignment horizontal="center" vertical="center"/>
    </xf>
    <xf numFmtId="174" fontId="0" fillId="0" borderId="0" xfId="0" applyNumberFormat="1"/>
    <xf numFmtId="1" fontId="3" fillId="37" borderId="14" xfId="104" applyNumberFormat="1" applyFont="1" applyFill="1" applyBorder="1" applyAlignment="1">
      <alignment vertical="top"/>
    </xf>
    <xf numFmtId="165" fontId="0" fillId="0" borderId="0" xfId="109" applyNumberFormat="1" applyFont="1"/>
    <xf numFmtId="0" fontId="128" fillId="0" borderId="0" xfId="0" applyFont="1" applyAlignment="1"/>
    <xf numFmtId="0" fontId="128" fillId="0" borderId="0" xfId="0" applyFont="1"/>
    <xf numFmtId="38" fontId="129" fillId="0" borderId="0" xfId="0" applyNumberFormat="1" applyFont="1" applyFill="1" applyBorder="1" applyProtection="1">
      <protection locked="0"/>
    </xf>
    <xf numFmtId="2" fontId="3" fillId="38" borderId="0" xfId="0" applyNumberFormat="1" applyFont="1" applyFill="1"/>
    <xf numFmtId="174" fontId="3" fillId="0" borderId="0" xfId="0" applyNumberFormat="1" applyFont="1" applyAlignment="1">
      <alignment horizontal="center"/>
    </xf>
    <xf numFmtId="2" fontId="3" fillId="0" borderId="0" xfId="109" applyNumberFormat="1" applyFont="1" applyAlignment="1">
      <alignment horizontal="center"/>
    </xf>
    <xf numFmtId="3" fontId="3" fillId="38" borderId="11" xfId="0" applyNumberFormat="1" applyFont="1" applyFill="1" applyBorder="1" applyAlignment="1">
      <alignment horizontal="center" vertical="center"/>
    </xf>
    <xf numFmtId="0" fontId="119" fillId="0" borderId="0" xfId="0" applyFont="1"/>
    <xf numFmtId="0" fontId="119" fillId="0" borderId="11" xfId="0" applyFont="1" applyBorder="1" applyAlignment="1">
      <alignment horizontal="center" wrapText="1"/>
    </xf>
    <xf numFmtId="1" fontId="0" fillId="0" borderId="0" xfId="0" applyNumberFormat="1" applyBorder="1"/>
    <xf numFmtId="0" fontId="130" fillId="33" borderId="0" xfId="72" applyFont="1" applyFill="1" applyAlignment="1">
      <protection locked="0"/>
    </xf>
    <xf numFmtId="0" fontId="131" fillId="33" borderId="0" xfId="91" applyFont="1" applyFill="1">
      <protection locked="0"/>
    </xf>
    <xf numFmtId="1" fontId="4" fillId="43" borderId="11" xfId="0" applyNumberFormat="1" applyFont="1" applyFill="1" applyBorder="1" applyAlignment="1">
      <alignment horizontal="center"/>
    </xf>
    <xf numFmtId="0" fontId="36" fillId="0" borderId="0" xfId="0" applyFont="1" applyFill="1"/>
    <xf numFmtId="174" fontId="3" fillId="0" borderId="0" xfId="0" applyNumberFormat="1" applyFont="1" applyFill="1" applyBorder="1" applyAlignment="1">
      <alignment horizontal="center"/>
    </xf>
    <xf numFmtId="0" fontId="59" fillId="0" borderId="0" xfId="0" quotePrefix="1" applyFont="1"/>
    <xf numFmtId="0" fontId="3" fillId="37" borderId="0" xfId="91" applyFont="1" applyFill="1">
      <protection locked="0"/>
    </xf>
    <xf numFmtId="0" fontId="15" fillId="37" borderId="14" xfId="70" applyFont="1" applyFill="1" applyBorder="1" applyAlignment="1" applyProtection="1"/>
    <xf numFmtId="0" fontId="19" fillId="37" borderId="14" xfId="0" applyFont="1" applyFill="1" applyBorder="1" applyAlignment="1"/>
    <xf numFmtId="0" fontId="19" fillId="37" borderId="0" xfId="104" applyFont="1" applyFill="1" applyBorder="1" applyAlignment="1">
      <alignment horizontal="left" vertical="center"/>
    </xf>
    <xf numFmtId="0" fontId="19" fillId="37" borderId="0" xfId="104" applyFont="1" applyFill="1" applyBorder="1" applyAlignment="1">
      <alignment horizontal="left" vertical="top"/>
    </xf>
    <xf numFmtId="0" fontId="3" fillId="37" borderId="0" xfId="104" applyFont="1" applyFill="1" applyBorder="1" applyAlignment="1">
      <alignment horizontal="left" vertical="top"/>
    </xf>
    <xf numFmtId="1" fontId="3" fillId="37" borderId="14" xfId="104" applyNumberFormat="1" applyFont="1" applyFill="1" applyBorder="1" applyAlignment="1">
      <alignment horizontal="left" vertical="top"/>
    </xf>
    <xf numFmtId="0" fontId="19" fillId="37" borderId="0" xfId="102" applyFont="1" applyFill="1" applyAlignment="1">
      <alignment vertical="center"/>
    </xf>
    <xf numFmtId="0" fontId="19" fillId="37" borderId="0" xfId="104" applyFont="1" applyFill="1" applyBorder="1" applyAlignment="1">
      <alignment vertical="center"/>
    </xf>
    <xf numFmtId="0" fontId="3" fillId="0" borderId="11" xfId="0" applyFont="1" applyBorder="1" applyAlignment="1">
      <alignment horizontal="left" vertical="center"/>
    </xf>
    <xf numFmtId="0" fontId="0" fillId="0" borderId="0" xfId="0" applyAlignment="1">
      <alignment horizontal="right"/>
    </xf>
    <xf numFmtId="3" fontId="0" fillId="0" borderId="0" xfId="40" applyNumberFormat="1" applyFont="1" applyAlignment="1">
      <alignment horizontal="right"/>
    </xf>
    <xf numFmtId="166" fontId="0" fillId="0" borderId="0" xfId="40" applyNumberFormat="1" applyFont="1" applyAlignment="1">
      <alignment horizontal="right"/>
    </xf>
    <xf numFmtId="0" fontId="3" fillId="0" borderId="0" xfId="0" applyFont="1" applyAlignment="1">
      <alignment horizontal="right"/>
    </xf>
    <xf numFmtId="0" fontId="132" fillId="0" borderId="0" xfId="0" applyFont="1" applyAlignment="1">
      <alignment vertical="top" wrapText="1"/>
    </xf>
    <xf numFmtId="3" fontId="3" fillId="39" borderId="11" xfId="0" applyNumberFormat="1" applyFont="1" applyFill="1" applyBorder="1" applyAlignment="1">
      <alignment horizontal="center"/>
    </xf>
    <xf numFmtId="3" fontId="0" fillId="40" borderId="0" xfId="0" applyNumberFormat="1" applyFill="1"/>
    <xf numFmtId="3" fontId="0" fillId="0" borderId="0" xfId="0" applyNumberFormat="1"/>
    <xf numFmtId="3" fontId="0" fillId="39" borderId="0" xfId="0" applyNumberFormat="1" applyFill="1"/>
    <xf numFmtId="0" fontId="3" fillId="0" borderId="0" xfId="0" applyFont="1" applyFill="1" applyBorder="1" applyAlignment="1">
      <alignment horizontal="center" vertical="center" wrapText="1"/>
    </xf>
    <xf numFmtId="177" fontId="19" fillId="0" borderId="0" xfId="0" applyNumberFormat="1" applyFont="1" applyFill="1" applyBorder="1" applyAlignment="1">
      <alignment horizontal="center" vertical="center"/>
    </xf>
    <xf numFmtId="3" fontId="0" fillId="41" borderId="11" xfId="0" applyNumberFormat="1" applyFill="1" applyBorder="1" applyAlignment="1">
      <alignment horizontal="center"/>
    </xf>
    <xf numFmtId="3" fontId="0" fillId="39" borderId="11" xfId="0" applyNumberFormat="1" applyFill="1" applyBorder="1" applyAlignment="1">
      <alignment horizontal="center"/>
    </xf>
    <xf numFmtId="3" fontId="3" fillId="38" borderId="0" xfId="0" applyNumberFormat="1" applyFont="1" applyFill="1"/>
    <xf numFmtId="3" fontId="0" fillId="41" borderId="0" xfId="0" applyNumberFormat="1" applyFill="1"/>
    <xf numFmtId="3" fontId="0" fillId="0" borderId="0" xfId="0" applyNumberFormat="1" applyFill="1"/>
    <xf numFmtId="3" fontId="0" fillId="39" borderId="11" xfId="0" applyNumberFormat="1" applyFill="1" applyBorder="1" applyAlignment="1">
      <alignment horizontal="center" vertical="center"/>
    </xf>
    <xf numFmtId="0" fontId="0" fillId="0" borderId="0" xfId="0" applyAlignment="1">
      <alignment horizontal="center" vertical="center"/>
    </xf>
    <xf numFmtId="3" fontId="3" fillId="40" borderId="0" xfId="0" applyNumberFormat="1" applyFont="1" applyFill="1"/>
    <xf numFmtId="3" fontId="3" fillId="41" borderId="0" xfId="0" applyNumberFormat="1" applyFont="1" applyFill="1"/>
    <xf numFmtId="3" fontId="3" fillId="0" borderId="11" xfId="0" applyNumberFormat="1" applyFont="1" applyBorder="1" applyAlignment="1">
      <alignment horizontal="center" wrapText="1"/>
    </xf>
    <xf numFmtId="3" fontId="3" fillId="0" borderId="11" xfId="0" applyNumberFormat="1" applyFont="1" applyFill="1" applyBorder="1" applyAlignment="1">
      <alignment horizontal="center"/>
    </xf>
    <xf numFmtId="3" fontId="3" fillId="38" borderId="11" xfId="0" applyNumberFormat="1" applyFont="1" applyFill="1" applyBorder="1" applyAlignment="1">
      <alignment horizontal="center"/>
    </xf>
    <xf numFmtId="3" fontId="19" fillId="0" borderId="0" xfId="0" applyNumberFormat="1" applyFont="1"/>
    <xf numFmtId="3" fontId="3" fillId="0" borderId="11" xfId="0" applyNumberFormat="1" applyFont="1" applyBorder="1" applyAlignment="1">
      <alignment horizontal="center"/>
    </xf>
    <xf numFmtId="3" fontId="3" fillId="0" borderId="0" xfId="0" applyNumberFormat="1" applyFont="1"/>
    <xf numFmtId="3" fontId="112" fillId="0" borderId="0" xfId="0" applyNumberFormat="1" applyFont="1"/>
    <xf numFmtId="3" fontId="0" fillId="0" borderId="0" xfId="0" applyNumberFormat="1" applyAlignment="1">
      <alignment horizontal="center"/>
    </xf>
    <xf numFmtId="1" fontId="3" fillId="0" borderId="11" xfId="109" applyNumberFormat="1" applyFont="1" applyFill="1" applyBorder="1" applyAlignment="1">
      <alignment horizontal="center" vertical="center"/>
    </xf>
    <xf numFmtId="3" fontId="3" fillId="39" borderId="11" xfId="109" applyNumberFormat="1" applyFont="1" applyFill="1" applyBorder="1" applyAlignment="1">
      <alignment horizontal="center" vertical="center"/>
    </xf>
    <xf numFmtId="3" fontId="3" fillId="39" borderId="11" xfId="0" applyNumberFormat="1" applyFont="1" applyFill="1" applyBorder="1" applyAlignment="1">
      <alignment horizontal="center" wrapText="1"/>
    </xf>
    <xf numFmtId="0" fontId="19" fillId="37" borderId="0" xfId="104" applyFont="1" applyFill="1" applyBorder="1" applyAlignment="1"/>
    <xf numFmtId="3" fontId="24" fillId="39" borderId="11" xfId="0" applyNumberFormat="1" applyFont="1" applyFill="1" applyBorder="1" applyAlignment="1" applyProtection="1">
      <alignment horizontal="center"/>
      <protection locked="0"/>
    </xf>
    <xf numFmtId="3" fontId="24" fillId="41" borderId="11" xfId="40" applyNumberFormat="1" applyFont="1" applyFill="1" applyBorder="1" applyAlignment="1" applyProtection="1">
      <alignment horizontal="center"/>
      <protection locked="0"/>
    </xf>
    <xf numFmtId="3" fontId="24" fillId="41" borderId="11" xfId="0" applyNumberFormat="1" applyFont="1" applyFill="1" applyBorder="1" applyAlignment="1">
      <alignment horizontal="center"/>
    </xf>
    <xf numFmtId="3" fontId="24" fillId="41" borderId="21" xfId="0" applyNumberFormat="1" applyFont="1" applyFill="1" applyBorder="1" applyAlignment="1">
      <alignment horizontal="center"/>
    </xf>
    <xf numFmtId="3" fontId="3" fillId="0" borderId="11" xfId="0" applyNumberFormat="1" applyFont="1" applyBorder="1" applyAlignment="1">
      <alignment horizontal="center" vertical="center" wrapText="1"/>
    </xf>
    <xf numFmtId="3" fontId="19" fillId="0" borderId="0" xfId="0" applyNumberFormat="1" applyFont="1" applyAlignment="1">
      <alignment horizontal="center"/>
    </xf>
    <xf numFmtId="3" fontId="59" fillId="0" borderId="0" xfId="0" applyNumberFormat="1" applyFont="1"/>
    <xf numFmtId="3" fontId="27" fillId="0" borderId="0" xfId="0" applyNumberFormat="1" applyFont="1"/>
    <xf numFmtId="3" fontId="3" fillId="0" borderId="0" xfId="0" applyNumberFormat="1" applyFont="1" applyAlignment="1">
      <alignment horizontal="center"/>
    </xf>
    <xf numFmtId="3" fontId="42" fillId="37" borderId="0" xfId="91" applyNumberFormat="1" applyFont="1" applyFill="1" applyProtection="1"/>
    <xf numFmtId="3" fontId="42" fillId="37" borderId="0" xfId="91" applyNumberFormat="1" applyFont="1" applyFill="1">
      <protection locked="0"/>
    </xf>
    <xf numFmtId="3" fontId="58" fillId="37" borderId="0" xfId="70" applyNumberFormat="1" applyFont="1" applyFill="1" applyBorder="1" applyAlignment="1" applyProtection="1"/>
    <xf numFmtId="3" fontId="19" fillId="37" borderId="0" xfId="102" applyNumberFormat="1" applyFont="1" applyFill="1"/>
    <xf numFmtId="3" fontId="3" fillId="37" borderId="0" xfId="91" applyNumberFormat="1" applyFont="1" applyFill="1">
      <protection locked="0"/>
    </xf>
    <xf numFmtId="3" fontId="2" fillId="37" borderId="0" xfId="102" applyNumberFormat="1" applyFill="1"/>
    <xf numFmtId="3" fontId="0" fillId="37" borderId="0" xfId="0" applyNumberFormat="1" applyFill="1" applyBorder="1" applyAlignment="1">
      <alignment vertical="center"/>
    </xf>
    <xf numFmtId="3" fontId="4" fillId="37" borderId="0" xfId="104" applyNumberFormat="1" applyFont="1" applyFill="1" applyBorder="1" applyAlignment="1">
      <alignment vertical="center" wrapText="1"/>
    </xf>
    <xf numFmtId="3" fontId="19" fillId="37" borderId="0" xfId="104" applyNumberFormat="1" applyFont="1" applyFill="1" applyBorder="1" applyAlignment="1">
      <alignment vertical="top"/>
    </xf>
    <xf numFmtId="3" fontId="19" fillId="37" borderId="0" xfId="0" applyNumberFormat="1" applyFont="1" applyFill="1" applyBorder="1" applyAlignment="1"/>
    <xf numFmtId="3" fontId="0" fillId="37" borderId="0" xfId="0" applyNumberFormat="1" applyFill="1" applyBorder="1" applyAlignment="1"/>
    <xf numFmtId="3" fontId="4" fillId="37" borderId="0" xfId="104" applyNumberFormat="1" applyFont="1" applyFill="1" applyBorder="1" applyAlignment="1"/>
    <xf numFmtId="3" fontId="3" fillId="37" borderId="0" xfId="104" applyNumberFormat="1" applyFont="1" applyFill="1" applyBorder="1" applyAlignment="1">
      <alignment vertical="top"/>
    </xf>
    <xf numFmtId="3" fontId="3" fillId="37" borderId="14" xfId="104" applyNumberFormat="1" applyFont="1" applyFill="1" applyBorder="1" applyAlignment="1">
      <alignment vertical="top"/>
    </xf>
    <xf numFmtId="3" fontId="109" fillId="37" borderId="14" xfId="70" applyNumberFormat="1" applyFont="1" applyFill="1" applyBorder="1" applyAlignment="1" applyProtection="1">
      <alignment vertical="center"/>
    </xf>
    <xf numFmtId="3" fontId="108" fillId="37" borderId="14" xfId="0" applyNumberFormat="1" applyFont="1" applyFill="1" applyBorder="1" applyAlignment="1"/>
    <xf numFmtId="3" fontId="15" fillId="37" borderId="14" xfId="70" applyNumberFormat="1" applyFill="1" applyBorder="1" applyAlignment="1" applyProtection="1"/>
    <xf numFmtId="3" fontId="3" fillId="37" borderId="14" xfId="0" applyNumberFormat="1" applyFont="1" applyFill="1" applyBorder="1" applyAlignment="1"/>
    <xf numFmtId="3" fontId="0" fillId="37" borderId="14" xfId="0" applyNumberFormat="1" applyFill="1" applyBorder="1" applyAlignment="1"/>
    <xf numFmtId="3" fontId="4" fillId="37" borderId="14" xfId="104" applyNumberFormat="1" applyFont="1" applyFill="1" applyBorder="1" applyAlignment="1"/>
    <xf numFmtId="3" fontId="3" fillId="0" borderId="11" xfId="0" applyNumberFormat="1" applyFont="1" applyBorder="1" applyAlignment="1">
      <alignment horizontal="center" vertical="center"/>
    </xf>
    <xf numFmtId="3" fontId="34" fillId="0" borderId="0" xfId="0" applyNumberFormat="1" applyFont="1"/>
    <xf numFmtId="3" fontId="3" fillId="0" borderId="15" xfId="0" applyNumberFormat="1" applyFont="1" applyBorder="1" applyAlignment="1">
      <alignment horizontal="center"/>
    </xf>
    <xf numFmtId="4" fontId="3" fillId="41" borderId="11" xfId="0" applyNumberFormat="1" applyFont="1" applyFill="1" applyBorder="1" applyAlignment="1">
      <alignment horizontal="center"/>
    </xf>
    <xf numFmtId="3" fontId="64" fillId="0" borderId="0" xfId="109" applyNumberFormat="1" applyFont="1" applyFill="1" applyBorder="1" applyAlignment="1">
      <alignment horizontal="center"/>
    </xf>
    <xf numFmtId="2" fontId="3" fillId="41" borderId="11" xfId="0" applyNumberFormat="1" applyFont="1" applyFill="1" applyBorder="1" applyAlignment="1">
      <alignment horizontal="center"/>
    </xf>
    <xf numFmtId="3" fontId="59" fillId="0" borderId="0" xfId="0" applyNumberFormat="1" applyFont="1" applyFill="1" applyBorder="1" applyAlignment="1">
      <alignment horizontal="left" vertical="center"/>
    </xf>
    <xf numFmtId="3" fontId="27" fillId="0" borderId="0" xfId="0" applyNumberFormat="1" applyFont="1" applyFill="1" applyBorder="1" applyAlignment="1">
      <alignment horizontal="left" vertical="center"/>
    </xf>
    <xf numFmtId="3" fontId="3" fillId="0" borderId="0" xfId="0" applyNumberFormat="1" applyFont="1" applyFill="1" applyBorder="1" applyAlignment="1">
      <alignment horizontal="center" vertical="center"/>
    </xf>
    <xf numFmtId="3" fontId="0" fillId="0" borderId="0" xfId="0" applyNumberFormat="1" applyFill="1" applyBorder="1"/>
    <xf numFmtId="3" fontId="3" fillId="44" borderId="11" xfId="0" applyNumberFormat="1" applyFont="1" applyFill="1" applyBorder="1" applyAlignment="1">
      <alignment horizontal="center"/>
    </xf>
    <xf numFmtId="3" fontId="3" fillId="0" borderId="0" xfId="0" applyNumberFormat="1" applyFont="1" applyFill="1" applyBorder="1" applyAlignment="1">
      <alignment horizontal="center"/>
    </xf>
    <xf numFmtId="4" fontId="0" fillId="0" borderId="0" xfId="0" applyNumberFormat="1"/>
    <xf numFmtId="3" fontId="15" fillId="37" borderId="14" xfId="70" applyNumberFormat="1" applyFont="1" applyFill="1" applyBorder="1" applyAlignment="1" applyProtection="1"/>
    <xf numFmtId="3" fontId="19" fillId="37" borderId="14" xfId="0" applyNumberFormat="1" applyFont="1" applyFill="1" applyBorder="1" applyAlignment="1"/>
    <xf numFmtId="3" fontId="3" fillId="0" borderId="22" xfId="0" applyNumberFormat="1" applyFont="1" applyBorder="1" applyAlignment="1">
      <alignment horizontal="center"/>
    </xf>
    <xf numFmtId="3" fontId="3" fillId="0" borderId="23" xfId="0" applyNumberFormat="1" applyFont="1" applyBorder="1" applyAlignment="1">
      <alignment horizontal="center"/>
    </xf>
    <xf numFmtId="3" fontId="3" fillId="0" borderId="0" xfId="0" applyNumberFormat="1" applyFont="1" applyBorder="1" applyAlignment="1">
      <alignment horizontal="center"/>
    </xf>
    <xf numFmtId="3" fontId="3" fillId="0" borderId="11" xfId="0" applyNumberFormat="1" applyFont="1" applyFill="1" applyBorder="1" applyAlignment="1">
      <alignment horizontal="center" vertical="center"/>
    </xf>
    <xf numFmtId="3" fontId="19" fillId="0" borderId="0" xfId="0" applyNumberFormat="1" applyFont="1" applyBorder="1"/>
    <xf numFmtId="3" fontId="0" fillId="0" borderId="0" xfId="0" applyNumberFormat="1" applyBorder="1"/>
    <xf numFmtId="3" fontId="19" fillId="0" borderId="0" xfId="0" applyNumberFormat="1" applyFont="1" applyBorder="1" applyAlignment="1">
      <alignment horizontal="center"/>
    </xf>
    <xf numFmtId="3" fontId="0" fillId="0" borderId="0" xfId="0" applyNumberFormat="1" applyBorder="1" applyAlignment="1">
      <alignment horizontal="center"/>
    </xf>
    <xf numFmtId="183" fontId="0" fillId="0" borderId="0" xfId="0" applyNumberFormat="1"/>
    <xf numFmtId="184" fontId="0" fillId="0" borderId="0" xfId="0" applyNumberFormat="1"/>
    <xf numFmtId="3" fontId="3" fillId="40" borderId="11" xfId="0" applyNumberFormat="1" applyFont="1" applyFill="1" applyBorder="1" applyAlignment="1">
      <alignment horizontal="center"/>
    </xf>
    <xf numFmtId="166" fontId="0" fillId="0" borderId="0" xfId="0" applyNumberFormat="1"/>
    <xf numFmtId="3" fontId="3" fillId="0" borderId="11" xfId="0" applyNumberFormat="1" applyFont="1" applyFill="1" applyBorder="1" applyAlignment="1">
      <alignment horizontal="center" wrapText="1"/>
    </xf>
    <xf numFmtId="0" fontId="25" fillId="0" borderId="11" xfId="0" applyFont="1" applyBorder="1" applyAlignment="1">
      <alignment horizontal="center" vertical="center"/>
    </xf>
    <xf numFmtId="0" fontId="3" fillId="0" borderId="11" xfId="0" applyFont="1" applyBorder="1" applyAlignment="1">
      <alignment vertical="center"/>
    </xf>
    <xf numFmtId="38" fontId="34" fillId="0" borderId="11" xfId="0" applyNumberFormat="1" applyFont="1" applyFill="1" applyBorder="1" applyAlignment="1">
      <alignment vertical="center"/>
    </xf>
    <xf numFmtId="0" fontId="34" fillId="0" borderId="11" xfId="0" applyFont="1" applyFill="1" applyBorder="1" applyAlignment="1">
      <alignment vertical="center"/>
    </xf>
    <xf numFmtId="38" fontId="34" fillId="0" borderId="11" xfId="0" applyNumberFormat="1" applyFont="1" applyFill="1" applyBorder="1" applyAlignment="1">
      <alignment vertical="center" wrapText="1"/>
    </xf>
    <xf numFmtId="0" fontId="133" fillId="0" borderId="11" xfId="0" applyFont="1" applyFill="1" applyBorder="1" applyAlignment="1">
      <alignment vertical="center" wrapText="1"/>
    </xf>
    <xf numFmtId="0" fontId="133" fillId="0" borderId="11" xfId="0" applyFont="1" applyFill="1" applyBorder="1" applyAlignment="1">
      <alignment horizontal="left" vertical="center" wrapText="1"/>
    </xf>
    <xf numFmtId="9" fontId="24" fillId="0" borderId="0" xfId="109" applyFont="1" applyFill="1" applyAlignment="1">
      <alignment horizontal="center"/>
    </xf>
    <xf numFmtId="3" fontId="32" fillId="0" borderId="0" xfId="0" applyNumberFormat="1" applyFont="1"/>
    <xf numFmtId="1" fontId="0" fillId="0" borderId="0" xfId="109" applyNumberFormat="1" applyFont="1"/>
    <xf numFmtId="0" fontId="134" fillId="0" borderId="0" xfId="0" applyFont="1"/>
    <xf numFmtId="0" fontId="72" fillId="0" borderId="0" xfId="0" applyFont="1"/>
    <xf numFmtId="1" fontId="3" fillId="38" borderId="0" xfId="0" applyNumberFormat="1" applyFont="1" applyFill="1" applyAlignment="1">
      <alignment horizontal="center"/>
    </xf>
    <xf numFmtId="2" fontId="0" fillId="0" borderId="0" xfId="0" applyNumberFormat="1"/>
    <xf numFmtId="0" fontId="24" fillId="0" borderId="11" xfId="0" applyFont="1" applyBorder="1" applyAlignment="1">
      <alignment horizontal="center"/>
    </xf>
    <xf numFmtId="2" fontId="0" fillId="0" borderId="0" xfId="0" applyNumberFormat="1" applyAlignment="1">
      <alignment horizontal="center"/>
    </xf>
    <xf numFmtId="0" fontId="37" fillId="0" borderId="0" xfId="0" applyFont="1"/>
    <xf numFmtId="0" fontId="105" fillId="0" borderId="0" xfId="0" applyFont="1" applyAlignment="1">
      <alignment horizontal="left" wrapText="1"/>
    </xf>
    <xf numFmtId="0" fontId="135" fillId="0" borderId="0" xfId="0" applyFont="1"/>
    <xf numFmtId="1" fontId="4" fillId="0" borderId="0" xfId="0" applyNumberFormat="1" applyFont="1" applyFill="1" applyBorder="1" applyAlignment="1">
      <alignment horizontal="center"/>
    </xf>
    <xf numFmtId="0" fontId="38" fillId="0" borderId="0" xfId="0" applyFont="1" applyFill="1"/>
    <xf numFmtId="0" fontId="4" fillId="0" borderId="0" xfId="0" applyFont="1" applyFill="1" applyBorder="1" applyAlignment="1">
      <alignment horizontal="center"/>
    </xf>
    <xf numFmtId="1" fontId="127" fillId="0" borderId="0" xfId="0" applyNumberFormat="1" applyFont="1" applyFill="1" applyBorder="1" applyAlignment="1">
      <alignment horizontal="left" wrapText="1"/>
    </xf>
    <xf numFmtId="3" fontId="3" fillId="39" borderId="11" xfId="0" applyNumberFormat="1" applyFont="1" applyFill="1" applyBorder="1" applyAlignment="1">
      <alignment horizontal="center" vertical="center"/>
    </xf>
    <xf numFmtId="9" fontId="3" fillId="41" borderId="11" xfId="109" applyFont="1" applyFill="1" applyBorder="1" applyAlignment="1">
      <alignment horizontal="center"/>
    </xf>
    <xf numFmtId="0" fontId="4" fillId="0" borderId="0" xfId="0" applyFont="1" applyBorder="1" applyAlignment="1">
      <alignment horizontal="center" vertical="center" wrapText="1"/>
    </xf>
    <xf numFmtId="3" fontId="119" fillId="39" borderId="11" xfId="0" applyNumberFormat="1" applyFont="1" applyFill="1" applyBorder="1" applyAlignment="1">
      <alignment horizontal="center" wrapText="1"/>
    </xf>
    <xf numFmtId="1" fontId="3" fillId="39" borderId="11" xfId="0" applyNumberFormat="1" applyFont="1" applyFill="1" applyBorder="1" applyAlignment="1">
      <alignment horizontal="center"/>
    </xf>
    <xf numFmtId="1" fontId="19" fillId="0" borderId="0" xfId="0" applyNumberFormat="1" applyFont="1" applyAlignment="1">
      <alignment horizontal="left"/>
    </xf>
    <xf numFmtId="185" fontId="3" fillId="0" borderId="0" xfId="0" applyNumberFormat="1" applyFont="1" applyAlignment="1">
      <alignment horizontal="center"/>
    </xf>
    <xf numFmtId="3" fontId="3" fillId="39" borderId="11" xfId="40" applyNumberFormat="1" applyFont="1" applyFill="1" applyBorder="1" applyAlignment="1">
      <alignment horizontal="center"/>
    </xf>
    <xf numFmtId="0" fontId="105" fillId="0" borderId="0" xfId="0" applyFont="1" applyAlignment="1">
      <alignment horizontal="left" wrapText="1"/>
    </xf>
    <xf numFmtId="0" fontId="0" fillId="35" borderId="0" xfId="0" applyFill="1"/>
    <xf numFmtId="3" fontId="24" fillId="35" borderId="0" xfId="0" applyNumberFormat="1" applyFont="1" applyFill="1" applyBorder="1" applyAlignment="1">
      <alignment horizontal="center"/>
    </xf>
    <xf numFmtId="0" fontId="32" fillId="35" borderId="0" xfId="0" applyFont="1" applyFill="1"/>
    <xf numFmtId="0" fontId="122" fillId="0" borderId="0" xfId="0" applyFont="1"/>
    <xf numFmtId="3" fontId="3" fillId="39" borderId="11" xfId="0" applyNumberFormat="1" applyFont="1" applyFill="1" applyBorder="1" applyAlignment="1" applyProtection="1">
      <alignment horizontal="center" vertical="center"/>
      <protection locked="0"/>
    </xf>
    <xf numFmtId="3" fontId="136" fillId="39" borderId="11" xfId="0" applyNumberFormat="1" applyFont="1" applyFill="1" applyBorder="1" applyAlignment="1">
      <alignment horizontal="center" vertical="center"/>
    </xf>
    <xf numFmtId="0" fontId="122" fillId="0" borderId="0" xfId="0" applyFont="1" applyFill="1" applyBorder="1"/>
    <xf numFmtId="0" fontId="105" fillId="0" borderId="0" xfId="0" applyFont="1" applyAlignment="1">
      <alignment horizontal="left" vertical="top" wrapText="1"/>
    </xf>
    <xf numFmtId="3" fontId="4" fillId="38" borderId="11" xfId="40" applyNumberFormat="1" applyFont="1" applyFill="1" applyBorder="1" applyAlignment="1">
      <alignment horizontal="center" vertical="center"/>
    </xf>
    <xf numFmtId="176" fontId="0" fillId="0" borderId="0" xfId="0" applyNumberFormat="1" applyAlignment="1"/>
    <xf numFmtId="176" fontId="119" fillId="39" borderId="11" xfId="95" applyNumberFormat="1" applyFont="1" applyFill="1" applyBorder="1" applyAlignment="1">
      <alignment horizontal="center"/>
    </xf>
    <xf numFmtId="174" fontId="3" fillId="39" borderId="11" xfId="0" applyNumberFormat="1" applyFont="1" applyFill="1" applyBorder="1" applyAlignment="1" applyProtection="1">
      <alignment horizontal="center" vertical="center"/>
      <protection locked="0"/>
    </xf>
    <xf numFmtId="0" fontId="105" fillId="0" borderId="0" xfId="0" applyFont="1" applyFill="1"/>
    <xf numFmtId="0" fontId="122" fillId="0" borderId="0" xfId="0" applyFont="1" applyFill="1"/>
    <xf numFmtId="1" fontId="3" fillId="39" borderId="11" xfId="0" applyNumberFormat="1" applyFont="1" applyFill="1" applyBorder="1" applyAlignment="1" applyProtection="1">
      <alignment horizontal="center" vertical="center"/>
      <protection locked="0"/>
    </xf>
    <xf numFmtId="3" fontId="3" fillId="39" borderId="11" xfId="40" applyNumberFormat="1" applyFont="1" applyFill="1" applyBorder="1" applyAlignment="1" applyProtection="1">
      <alignment horizontal="center" vertical="center"/>
      <protection locked="0"/>
    </xf>
    <xf numFmtId="3" fontId="3" fillId="39" borderId="11" xfId="40" applyNumberFormat="1" applyFont="1" applyFill="1" applyBorder="1" applyAlignment="1" applyProtection="1">
      <alignment horizontal="center" vertical="top"/>
      <protection locked="0"/>
    </xf>
    <xf numFmtId="3" fontId="3" fillId="39" borderId="11" xfId="0" applyNumberFormat="1" applyFont="1" applyFill="1" applyBorder="1" applyAlignment="1" applyProtection="1">
      <alignment horizontal="center" vertical="top"/>
      <protection locked="0"/>
    </xf>
    <xf numFmtId="3" fontId="68" fillId="39" borderId="11" xfId="0" applyNumberFormat="1" applyFont="1" applyFill="1" applyBorder="1" applyAlignment="1" applyProtection="1">
      <alignment horizontal="center" vertical="top"/>
      <protection locked="0"/>
    </xf>
    <xf numFmtId="3" fontId="3" fillId="45" borderId="11" xfId="0" applyNumberFormat="1" applyFont="1" applyFill="1" applyBorder="1" applyAlignment="1" applyProtection="1">
      <alignment horizontal="center" vertical="center"/>
      <protection locked="0"/>
    </xf>
    <xf numFmtId="3" fontId="136" fillId="45" borderId="11" xfId="0" applyNumberFormat="1" applyFont="1" applyFill="1" applyBorder="1" applyAlignment="1">
      <alignment horizontal="center" vertical="center"/>
    </xf>
    <xf numFmtId="3" fontId="3" fillId="45" borderId="11" xfId="0" applyNumberFormat="1" applyFont="1" applyFill="1" applyBorder="1" applyAlignment="1">
      <alignment horizontal="center"/>
    </xf>
    <xf numFmtId="174" fontId="3" fillId="45" borderId="11" xfId="0" applyNumberFormat="1" applyFont="1" applyFill="1" applyBorder="1" applyAlignment="1" applyProtection="1">
      <alignment horizontal="center" vertical="center"/>
      <protection locked="0"/>
    </xf>
    <xf numFmtId="174" fontId="136" fillId="45" borderId="11" xfId="0" applyNumberFormat="1" applyFont="1" applyFill="1" applyBorder="1" applyAlignment="1">
      <alignment horizontal="center" vertical="center"/>
    </xf>
    <xf numFmtId="1" fontId="3" fillId="45" borderId="11" xfId="0" applyNumberFormat="1" applyFont="1" applyFill="1" applyBorder="1" applyAlignment="1" applyProtection="1">
      <alignment horizontal="center" vertical="center"/>
      <protection locked="0"/>
    </xf>
    <xf numFmtId="1" fontId="3" fillId="0" borderId="0" xfId="0" applyNumberFormat="1" applyFont="1" applyAlignment="1">
      <alignment horizontal="center"/>
    </xf>
    <xf numFmtId="9" fontId="3" fillId="41" borderId="11" xfId="109" applyNumberFormat="1" applyFont="1" applyFill="1" applyBorder="1" applyAlignment="1">
      <alignment horizontal="center"/>
    </xf>
    <xf numFmtId="0" fontId="25" fillId="0" borderId="0" xfId="0" applyFont="1" applyBorder="1" applyAlignment="1">
      <alignment vertical="center"/>
    </xf>
    <xf numFmtId="0" fontId="25" fillId="35" borderId="11" xfId="0" applyFont="1" applyFill="1" applyBorder="1" applyAlignment="1">
      <alignment horizontal="center" vertical="center"/>
    </xf>
    <xf numFmtId="165" fontId="0" fillId="0" borderId="0" xfId="0" applyNumberFormat="1"/>
    <xf numFmtId="10" fontId="0" fillId="0" borderId="0" xfId="0" applyNumberFormat="1"/>
    <xf numFmtId="0" fontId="59" fillId="35" borderId="0" xfId="0" applyFont="1" applyFill="1" applyBorder="1" applyAlignment="1">
      <alignment horizontal="left" vertical="center"/>
    </xf>
    <xf numFmtId="0" fontId="25" fillId="0" borderId="11" xfId="0" applyFont="1" applyFill="1" applyBorder="1" applyAlignment="1">
      <alignment horizontal="center" vertical="center" wrapText="1"/>
    </xf>
    <xf numFmtId="0" fontId="27" fillId="0" borderId="0" xfId="0" applyFont="1" applyBorder="1"/>
    <xf numFmtId="0" fontId="15" fillId="0" borderId="0" xfId="70" applyAlignment="1" applyProtection="1"/>
    <xf numFmtId="3" fontId="19" fillId="0" borderId="0" xfId="0" applyNumberFormat="1" applyFont="1" applyAlignment="1">
      <alignment horizontal="left"/>
    </xf>
    <xf numFmtId="3" fontId="3" fillId="41" borderId="11" xfId="0" applyNumberFormat="1" applyFont="1" applyFill="1" applyBorder="1" applyAlignment="1">
      <alignment horizontal="center"/>
    </xf>
    <xf numFmtId="0" fontId="3" fillId="0" borderId="11" xfId="0" applyFont="1" applyFill="1" applyBorder="1" applyAlignment="1">
      <alignment horizontal="center" wrapText="1"/>
    </xf>
    <xf numFmtId="2" fontId="3" fillId="41" borderId="11" xfId="0" applyNumberFormat="1" applyFont="1" applyFill="1" applyBorder="1" applyAlignment="1">
      <alignment horizontal="center" vertical="center"/>
    </xf>
    <xf numFmtId="3" fontId="3" fillId="41" borderId="11" xfId="0" applyNumberFormat="1" applyFont="1" applyFill="1" applyBorder="1" applyAlignment="1">
      <alignment horizontal="center" vertical="center"/>
    </xf>
    <xf numFmtId="10" fontId="0" fillId="0" borderId="0" xfId="109" applyNumberFormat="1" applyFont="1"/>
    <xf numFmtId="1" fontId="0" fillId="0" borderId="0" xfId="0" applyNumberFormat="1" applyFill="1" applyBorder="1"/>
    <xf numFmtId="167" fontId="0" fillId="0" borderId="0" xfId="0" applyNumberFormat="1"/>
    <xf numFmtId="175" fontId="3" fillId="39" borderId="11" xfId="0" applyNumberFormat="1" applyFont="1" applyFill="1" applyBorder="1" applyAlignment="1">
      <alignment horizontal="center" vertical="center"/>
    </xf>
    <xf numFmtId="0" fontId="119" fillId="0" borderId="11" xfId="0" applyFont="1" applyBorder="1" applyAlignment="1">
      <alignment horizontal="center" vertical="center" wrapText="1"/>
    </xf>
    <xf numFmtId="0" fontId="15" fillId="33" borderId="0" xfId="70" quotePrefix="1" applyFill="1" applyAlignment="1">
      <alignment vertical="center"/>
      <protection locked="0"/>
    </xf>
    <xf numFmtId="0" fontId="105" fillId="38" borderId="0" xfId="101" applyFont="1" applyFill="1" applyAlignment="1">
      <alignment horizontal="right"/>
    </xf>
    <xf numFmtId="166" fontId="0" fillId="0" borderId="0" xfId="0" applyNumberFormat="1" applyAlignment="1">
      <alignment horizontal="right"/>
    </xf>
    <xf numFmtId="10" fontId="24" fillId="40" borderId="11" xfId="109" applyNumberFormat="1" applyFont="1" applyFill="1" applyBorder="1" applyAlignment="1">
      <alignment horizontal="center"/>
    </xf>
    <xf numFmtId="10" fontId="24" fillId="46" borderId="11" xfId="109" applyNumberFormat="1" applyFont="1" applyFill="1" applyBorder="1" applyAlignment="1">
      <alignment horizontal="center"/>
    </xf>
    <xf numFmtId="10" fontId="24" fillId="47" borderId="11" xfId="109" applyNumberFormat="1" applyFont="1" applyFill="1" applyBorder="1" applyAlignment="1">
      <alignment horizontal="center"/>
    </xf>
    <xf numFmtId="0" fontId="137" fillId="0" borderId="0" xfId="0" applyFont="1" applyBorder="1" applyAlignment="1" applyProtection="1">
      <alignment horizontal="left"/>
      <protection locked="0"/>
    </xf>
    <xf numFmtId="0" fontId="3" fillId="0" borderId="15" xfId="40" applyNumberFormat="1" applyFont="1" applyFill="1" applyBorder="1" applyAlignment="1">
      <alignment horizontal="center"/>
    </xf>
    <xf numFmtId="0" fontId="3" fillId="0" borderId="15" xfId="40" applyNumberFormat="1" applyFont="1" applyFill="1" applyBorder="1" applyAlignment="1" applyProtection="1">
      <alignment horizontal="center"/>
      <protection locked="0"/>
    </xf>
    <xf numFmtId="0" fontId="137" fillId="0" borderId="0" xfId="0" applyFont="1"/>
    <xf numFmtId="1" fontId="137" fillId="0" borderId="0" xfId="0" applyNumberFormat="1" applyFont="1" applyFill="1" applyAlignment="1">
      <alignment horizontal="right"/>
    </xf>
    <xf numFmtId="188" fontId="0" fillId="0" borderId="0" xfId="0" applyNumberFormat="1"/>
    <xf numFmtId="2" fontId="138" fillId="39" borderId="11" xfId="0" applyNumberFormat="1" applyFont="1" applyFill="1" applyBorder="1" applyAlignment="1">
      <alignment horizontal="center" vertical="center" wrapText="1"/>
    </xf>
    <xf numFmtId="174" fontId="0" fillId="0" borderId="0" xfId="0" applyNumberFormat="1" applyAlignment="1">
      <alignment horizontal="left"/>
    </xf>
    <xf numFmtId="9" fontId="4" fillId="35" borderId="0" xfId="109" applyFont="1" applyFill="1" applyBorder="1" applyAlignment="1">
      <alignment horizontal="right" indent="2"/>
    </xf>
    <xf numFmtId="0" fontId="0" fillId="35" borderId="0" xfId="0" applyFill="1" applyBorder="1"/>
    <xf numFmtId="2" fontId="4" fillId="35" borderId="0" xfId="109" applyNumberFormat="1" applyFont="1" applyFill="1" applyBorder="1" applyAlignment="1">
      <alignment horizontal="right" indent="2"/>
    </xf>
    <xf numFmtId="10" fontId="83" fillId="35" borderId="0" xfId="109" applyNumberFormat="1" applyFont="1" applyFill="1" applyBorder="1"/>
    <xf numFmtId="3" fontId="3" fillId="35" borderId="0" xfId="41" applyNumberFormat="1" applyFont="1" applyFill="1" applyBorder="1" applyAlignment="1">
      <alignment horizontal="center"/>
    </xf>
    <xf numFmtId="3" fontId="3" fillId="39" borderId="11" xfId="95" applyNumberFormat="1" applyFont="1" applyFill="1" applyBorder="1" applyAlignment="1">
      <alignment horizontal="center"/>
    </xf>
    <xf numFmtId="0" fontId="19" fillId="0" borderId="0" xfId="0" applyFont="1" applyBorder="1"/>
    <xf numFmtId="166" fontId="19" fillId="0" borderId="0" xfId="40" applyNumberFormat="1" applyFont="1" applyBorder="1"/>
    <xf numFmtId="9" fontId="0" fillId="0" borderId="0" xfId="109" applyFont="1" applyBorder="1"/>
    <xf numFmtId="0" fontId="0" fillId="0" borderId="0" xfId="101" applyFont="1" applyAlignment="1">
      <alignment horizontal="center"/>
    </xf>
    <xf numFmtId="2" fontId="42" fillId="37" borderId="0" xfId="109" applyNumberFormat="1" applyFont="1" applyFill="1" applyProtection="1">
      <protection locked="0"/>
    </xf>
    <xf numFmtId="0" fontId="19" fillId="0" borderId="0" xfId="0" applyFont="1" applyAlignment="1">
      <alignment horizontal="left" wrapText="1"/>
    </xf>
    <xf numFmtId="0" fontId="0" fillId="0" borderId="0" xfId="0" applyAlignment="1">
      <alignment vertical="center"/>
    </xf>
    <xf numFmtId="166" fontId="3" fillId="0" borderId="0" xfId="0" applyNumberFormat="1" applyFont="1" applyAlignment="1">
      <alignment horizontal="right"/>
    </xf>
    <xf numFmtId="165" fontId="19" fillId="0" borderId="0" xfId="109" applyNumberFormat="1" applyFont="1" applyAlignment="1">
      <alignment horizontal="center"/>
    </xf>
    <xf numFmtId="182" fontId="3" fillId="0" borderId="17" xfId="0" applyNumberFormat="1" applyFont="1" applyFill="1" applyBorder="1" applyAlignment="1">
      <alignment horizontal="center"/>
    </xf>
    <xf numFmtId="9" fontId="3" fillId="38" borderId="11" xfId="109" applyFont="1" applyFill="1" applyBorder="1" applyAlignment="1">
      <alignment horizontal="center" vertical="center"/>
    </xf>
    <xf numFmtId="0" fontId="2" fillId="0" borderId="0" xfId="101" applyAlignment="1">
      <alignment horizontal="center" vertical="center"/>
    </xf>
    <xf numFmtId="0" fontId="27" fillId="0" borderId="0" xfId="101" applyFont="1" applyAlignment="1">
      <alignment horizontal="center"/>
    </xf>
    <xf numFmtId="0" fontId="3" fillId="0" borderId="0" xfId="101" applyFont="1"/>
    <xf numFmtId="0" fontId="3" fillId="0" borderId="15" xfId="101" applyFont="1" applyBorder="1" applyAlignment="1">
      <alignment horizontal="center" vertical="center"/>
    </xf>
    <xf numFmtId="0" fontId="3" fillId="0" borderId="11" xfId="101" applyFont="1" applyBorder="1" applyAlignment="1">
      <alignment horizontal="center" vertical="center"/>
    </xf>
    <xf numFmtId="0" fontId="3" fillId="0" borderId="11" xfId="101" applyFont="1" applyBorder="1" applyAlignment="1">
      <alignment horizontal="center" vertical="center" wrapText="1"/>
    </xf>
    <xf numFmtId="0" fontId="3" fillId="0" borderId="0" xfId="101" applyFont="1" applyAlignment="1">
      <alignment wrapText="1"/>
    </xf>
    <xf numFmtId="0" fontId="3" fillId="0" borderId="11" xfId="101" applyFont="1" applyBorder="1" applyAlignment="1">
      <alignment horizontal="center"/>
    </xf>
    <xf numFmtId="0" fontId="3" fillId="0" borderId="0" xfId="101" applyFont="1" applyAlignment="1">
      <alignment horizontal="center" vertical="center" wrapText="1"/>
    </xf>
    <xf numFmtId="189" fontId="3" fillId="0" borderId="0" xfId="0" applyNumberFormat="1" applyFont="1" applyFill="1" applyBorder="1" applyAlignment="1">
      <alignment horizontal="center"/>
    </xf>
    <xf numFmtId="189" fontId="0" fillId="0" borderId="0" xfId="0" applyNumberFormat="1"/>
    <xf numFmtId="190" fontId="0" fillId="0" borderId="0" xfId="0" applyNumberFormat="1"/>
    <xf numFmtId="3" fontId="19" fillId="0" borderId="0" xfId="0" applyNumberFormat="1" applyFont="1" applyAlignment="1">
      <alignment horizontal="center" vertical="center" wrapText="1"/>
    </xf>
    <xf numFmtId="3" fontId="0" fillId="0" borderId="0" xfId="0" applyNumberFormat="1" applyAlignment="1">
      <alignment horizontal="center" vertical="center" wrapText="1"/>
    </xf>
    <xf numFmtId="9" fontId="0" fillId="0" borderId="0" xfId="109" applyFont="1" applyFill="1" applyBorder="1"/>
    <xf numFmtId="9" fontId="3" fillId="41" borderId="11" xfId="101" applyNumberFormat="1" applyFont="1" applyFill="1" applyBorder="1" applyAlignment="1">
      <alignment horizontal="center" vertical="center"/>
    </xf>
    <xf numFmtId="0" fontId="3" fillId="0" borderId="0" xfId="101" applyFont="1" applyAlignment="1">
      <alignment horizontal="center"/>
    </xf>
    <xf numFmtId="9" fontId="3" fillId="41" borderId="11" xfId="101" applyNumberFormat="1" applyFont="1" applyFill="1" applyBorder="1" applyAlignment="1">
      <alignment horizontal="center"/>
    </xf>
    <xf numFmtId="2" fontId="3" fillId="39" borderId="11" xfId="0" applyNumberFormat="1" applyFont="1" applyFill="1" applyBorder="1" applyAlignment="1">
      <alignment horizontal="center" wrapText="1"/>
    </xf>
    <xf numFmtId="2" fontId="3" fillId="39" borderId="11" xfId="0" applyNumberFormat="1" applyFont="1" applyFill="1" applyBorder="1" applyAlignment="1">
      <alignment horizontal="center" vertical="center" wrapText="1"/>
    </xf>
    <xf numFmtId="0" fontId="3" fillId="0" borderId="0" xfId="0" applyFont="1" applyAlignment="1">
      <alignment vertical="center"/>
    </xf>
    <xf numFmtId="3" fontId="3" fillId="41" borderId="11" xfId="0" applyNumberFormat="1" applyFont="1" applyFill="1" applyBorder="1" applyAlignment="1">
      <alignment horizontal="center" vertical="center" wrapText="1"/>
    </xf>
    <xf numFmtId="2" fontId="3" fillId="41" borderId="11" xfId="0" applyNumberFormat="1" applyFont="1" applyFill="1" applyBorder="1" applyAlignment="1">
      <alignment horizontal="center" vertical="center" wrapText="1"/>
    </xf>
    <xf numFmtId="3" fontId="3" fillId="41" borderId="11" xfId="101" applyNumberFormat="1" applyFont="1" applyFill="1" applyBorder="1" applyAlignment="1">
      <alignment horizontal="center" vertical="center"/>
    </xf>
    <xf numFmtId="9" fontId="3" fillId="41" borderId="11" xfId="109" applyFont="1" applyFill="1" applyBorder="1" applyAlignment="1">
      <alignment horizontal="center" vertical="center"/>
    </xf>
    <xf numFmtId="9" fontId="3" fillId="41" borderId="15" xfId="109" applyFont="1" applyFill="1" applyBorder="1" applyAlignment="1">
      <alignment horizontal="center" vertical="center"/>
    </xf>
    <xf numFmtId="3" fontId="3" fillId="39" borderId="11" xfId="101" applyNumberFormat="1" applyFont="1" applyFill="1" applyBorder="1" applyAlignment="1">
      <alignment horizontal="center" vertical="center"/>
    </xf>
    <xf numFmtId="167" fontId="3" fillId="39" borderId="11" xfId="0" applyNumberFormat="1" applyFont="1" applyFill="1" applyBorder="1" applyAlignment="1">
      <alignment horizontal="center"/>
    </xf>
    <xf numFmtId="2" fontId="3" fillId="41" borderId="11" xfId="109" applyNumberFormat="1" applyFont="1" applyFill="1" applyBorder="1" applyAlignment="1">
      <alignment horizontal="center" vertical="center"/>
    </xf>
    <xf numFmtId="3" fontId="3" fillId="42" borderId="11" xfId="0" applyNumberFormat="1" applyFont="1" applyFill="1" applyBorder="1" applyAlignment="1">
      <alignment horizontal="center"/>
    </xf>
    <xf numFmtId="3" fontId="3" fillId="48" borderId="11" xfId="109" applyNumberFormat="1" applyFont="1" applyFill="1" applyBorder="1" applyAlignment="1">
      <alignment horizontal="center"/>
    </xf>
    <xf numFmtId="187" fontId="3" fillId="45" borderId="0" xfId="109" applyNumberFormat="1" applyFont="1" applyFill="1"/>
    <xf numFmtId="9" fontId="3" fillId="0" borderId="0" xfId="109" applyFont="1"/>
    <xf numFmtId="187" fontId="3" fillId="45" borderId="0" xfId="0" applyNumberFormat="1" applyFont="1" applyFill="1"/>
    <xf numFmtId="186" fontId="3" fillId="45" borderId="0" xfId="109" applyNumberFormat="1" applyFont="1" applyFill="1"/>
    <xf numFmtId="186" fontId="3" fillId="45" borderId="0" xfId="0" applyNumberFormat="1" applyFont="1" applyFill="1"/>
    <xf numFmtId="186" fontId="3" fillId="41" borderId="0" xfId="109" applyNumberFormat="1" applyFont="1" applyFill="1"/>
    <xf numFmtId="3" fontId="3" fillId="49" borderId="11" xfId="0" applyNumberFormat="1" applyFont="1" applyFill="1" applyBorder="1" applyAlignment="1">
      <alignment horizontal="center"/>
    </xf>
    <xf numFmtId="3" fontId="3" fillId="50" borderId="11" xfId="0" applyNumberFormat="1" applyFont="1" applyFill="1" applyBorder="1" applyAlignment="1">
      <alignment horizontal="center"/>
    </xf>
    <xf numFmtId="3" fontId="3" fillId="47" borderId="11" xfId="0" applyNumberFormat="1" applyFont="1" applyFill="1" applyBorder="1" applyAlignment="1">
      <alignment horizontal="center"/>
    </xf>
    <xf numFmtId="165" fontId="3" fillId="41" borderId="11" xfId="109" applyNumberFormat="1" applyFont="1" applyFill="1" applyBorder="1" applyAlignment="1">
      <alignment horizontal="center"/>
    </xf>
    <xf numFmtId="165" fontId="3" fillId="0" borderId="0" xfId="109" applyNumberFormat="1" applyFont="1" applyFill="1" applyBorder="1" applyAlignment="1">
      <alignment horizontal="center"/>
    </xf>
    <xf numFmtId="165" fontId="3" fillId="0" borderId="0" xfId="0" applyNumberFormat="1" applyFont="1" applyBorder="1" applyAlignment="1">
      <alignment horizontal="center"/>
    </xf>
    <xf numFmtId="0" fontId="3" fillId="0" borderId="0" xfId="0" applyFont="1" applyBorder="1"/>
    <xf numFmtId="3" fontId="3" fillId="51" borderId="11" xfId="0" applyNumberFormat="1" applyFont="1" applyFill="1" applyBorder="1" applyAlignment="1">
      <alignment horizontal="center"/>
    </xf>
    <xf numFmtId="1" fontId="3" fillId="41" borderId="11" xfId="0" applyNumberFormat="1" applyFont="1" applyFill="1" applyBorder="1" applyAlignment="1">
      <alignment horizontal="center"/>
    </xf>
    <xf numFmtId="3" fontId="3" fillId="0" borderId="24" xfId="0" applyNumberFormat="1" applyFont="1" applyBorder="1" applyAlignment="1">
      <alignment horizontal="center"/>
    </xf>
    <xf numFmtId="3" fontId="3" fillId="38" borderId="24" xfId="0" applyNumberFormat="1" applyFont="1" applyFill="1" applyBorder="1" applyAlignment="1">
      <alignment horizontal="center" vertical="center"/>
    </xf>
    <xf numFmtId="3" fontId="0" fillId="0" borderId="0" xfId="0" applyNumberFormat="1" applyAlignment="1">
      <alignment horizontal="center" vertical="center"/>
    </xf>
    <xf numFmtId="2" fontId="3" fillId="39" borderId="11" xfId="0" applyNumberFormat="1" applyFont="1" applyFill="1" applyBorder="1" applyAlignment="1">
      <alignment horizontal="center" vertical="center"/>
    </xf>
    <xf numFmtId="0" fontId="3" fillId="39" borderId="11" xfId="0" applyFont="1" applyFill="1" applyBorder="1" applyAlignment="1">
      <alignment horizontal="center" vertical="center"/>
    </xf>
    <xf numFmtId="9" fontId="3" fillId="39" borderId="11" xfId="0" applyNumberFormat="1" applyFont="1" applyFill="1" applyBorder="1" applyAlignment="1">
      <alignment horizontal="center"/>
    </xf>
    <xf numFmtId="9" fontId="3" fillId="0" borderId="0" xfId="109" applyFont="1" applyFill="1" applyBorder="1" applyAlignment="1">
      <alignment horizontal="center"/>
    </xf>
    <xf numFmtId="9" fontId="3" fillId="39" borderId="11" xfId="109" applyNumberFormat="1" applyFont="1" applyFill="1" applyBorder="1" applyAlignment="1">
      <alignment horizontal="center"/>
    </xf>
    <xf numFmtId="0" fontId="3" fillId="39" borderId="11" xfId="0" applyFont="1" applyFill="1" applyBorder="1" applyAlignment="1">
      <alignment horizontal="center"/>
    </xf>
    <xf numFmtId="191" fontId="0" fillId="0" borderId="0" xfId="0" applyNumberFormat="1"/>
    <xf numFmtId="3" fontId="3" fillId="0" borderId="23" xfId="0" applyNumberFormat="1" applyFont="1" applyBorder="1" applyAlignment="1">
      <alignment horizontal="center" wrapText="1"/>
    </xf>
    <xf numFmtId="3" fontId="3" fillId="40" borderId="11" xfId="0" applyNumberFormat="1" applyFont="1" applyFill="1" applyBorder="1" applyAlignment="1">
      <alignment horizontal="center" vertical="center"/>
    </xf>
    <xf numFmtId="0" fontId="3" fillId="41" borderId="11" xfId="0" applyFont="1" applyFill="1" applyBorder="1" applyAlignment="1">
      <alignment horizontal="center" vertical="center"/>
    </xf>
    <xf numFmtId="4" fontId="3" fillId="39" borderId="11" xfId="0" applyNumberFormat="1" applyFont="1" applyFill="1" applyBorder="1" applyAlignment="1">
      <alignment horizontal="center"/>
    </xf>
    <xf numFmtId="0" fontId="24" fillId="0" borderId="0" xfId="0" applyFont="1" applyFill="1" applyBorder="1" applyAlignment="1" applyProtection="1">
      <alignment horizontal="left"/>
      <protection locked="0"/>
    </xf>
    <xf numFmtId="0" fontId="24" fillId="0" borderId="0" xfId="0" applyFont="1" applyBorder="1" applyAlignment="1" applyProtection="1">
      <alignment horizontal="left"/>
      <protection locked="0"/>
    </xf>
    <xf numFmtId="9" fontId="3" fillId="46" borderId="11" xfId="109" applyFont="1" applyFill="1" applyBorder="1" applyAlignment="1">
      <alignment horizontal="center" vertical="center"/>
    </xf>
    <xf numFmtId="9" fontId="3" fillId="46" borderId="15" xfId="109" applyFont="1" applyFill="1" applyBorder="1" applyAlignment="1">
      <alignment horizontal="center" vertical="center"/>
    </xf>
    <xf numFmtId="3" fontId="4" fillId="38" borderId="11" xfId="0" applyNumberFormat="1" applyFont="1" applyFill="1" applyBorder="1" applyAlignment="1">
      <alignment horizontal="center" vertical="center"/>
    </xf>
    <xf numFmtId="1" fontId="105" fillId="38" borderId="0" xfId="91" applyNumberFormat="1" applyFont="1" applyFill="1" applyAlignment="1">
      <alignment horizontal="center"/>
      <protection locked="0"/>
    </xf>
    <xf numFmtId="3" fontId="0" fillId="37" borderId="0" xfId="0" applyNumberFormat="1" applyFill="1" applyBorder="1" applyAlignment="1">
      <alignment horizontal="left" vertical="center"/>
    </xf>
    <xf numFmtId="3" fontId="4" fillId="37" borderId="0" xfId="104" applyNumberFormat="1" applyFont="1" applyFill="1" applyBorder="1" applyAlignment="1">
      <alignment horizontal="left" vertical="center" wrapText="1"/>
    </xf>
    <xf numFmtId="9" fontId="84" fillId="37" borderId="0" xfId="109" applyFont="1" applyFill="1" applyBorder="1" applyAlignment="1"/>
    <xf numFmtId="9" fontId="108" fillId="37" borderId="14" xfId="109" applyFont="1" applyFill="1" applyBorder="1" applyAlignment="1"/>
    <xf numFmtId="9" fontId="3" fillId="0" borderId="11" xfId="109" applyFont="1" applyBorder="1" applyAlignment="1">
      <alignment horizontal="center" wrapText="1"/>
    </xf>
    <xf numFmtId="192" fontId="0" fillId="0" borderId="0" xfId="0" applyNumberFormat="1"/>
    <xf numFmtId="0" fontId="4" fillId="0" borderId="11" xfId="0" applyFont="1" applyBorder="1" applyAlignment="1">
      <alignment horizontal="center" vertical="center"/>
    </xf>
    <xf numFmtId="0" fontId="34" fillId="0" borderId="0" xfId="0" applyFont="1" applyAlignment="1">
      <alignment horizontal="left" vertical="top" wrapText="1"/>
    </xf>
    <xf numFmtId="0" fontId="105" fillId="0" borderId="0" xfId="0" applyFont="1" applyAlignment="1">
      <alignment horizontal="left" wrapText="1"/>
    </xf>
    <xf numFmtId="0" fontId="3" fillId="0" borderId="16" xfId="0" applyFont="1" applyBorder="1" applyAlignment="1">
      <alignment horizontal="center" vertical="center" wrapText="1"/>
    </xf>
    <xf numFmtId="0" fontId="3" fillId="0" borderId="15" xfId="0" applyFont="1" applyFill="1" applyBorder="1" applyAlignment="1">
      <alignment horizontal="center" vertical="center"/>
    </xf>
    <xf numFmtId="0" fontId="19" fillId="33" borderId="0" xfId="91" applyFill="1" applyAlignment="1">
      <alignment horizontal="center" vertical="center"/>
      <protection locked="0"/>
    </xf>
    <xf numFmtId="3" fontId="25" fillId="38" borderId="11" xfId="44" applyNumberFormat="1" applyFont="1" applyFill="1" applyBorder="1" applyAlignment="1">
      <alignment horizontal="center" vertical="center"/>
    </xf>
    <xf numFmtId="0" fontId="25" fillId="0" borderId="11" xfId="0" applyFont="1" applyBorder="1" applyAlignment="1">
      <alignment horizontal="center" wrapText="1"/>
    </xf>
    <xf numFmtId="0" fontId="139" fillId="0" borderId="11" xfId="0" applyFont="1" applyBorder="1" applyAlignment="1">
      <alignment horizontal="center" wrapText="1"/>
    </xf>
    <xf numFmtId="0" fontId="140" fillId="0" borderId="11" xfId="0" applyFont="1" applyBorder="1" applyAlignment="1">
      <alignment horizontal="center" wrapText="1"/>
    </xf>
    <xf numFmtId="1" fontId="4" fillId="0" borderId="0" xfId="44" applyNumberFormat="1" applyFont="1" applyFill="1" applyBorder="1" applyAlignment="1">
      <alignment horizontal="center" vertical="center"/>
    </xf>
    <xf numFmtId="9" fontId="4" fillId="43" borderId="11" xfId="113" applyFont="1" applyFill="1" applyBorder="1" applyAlignment="1">
      <alignment horizontal="center"/>
    </xf>
    <xf numFmtId="0" fontId="4" fillId="37" borderId="14" xfId="105" applyFont="1" applyFill="1" applyBorder="1" applyAlignment="1"/>
    <xf numFmtId="0" fontId="3" fillId="37" borderId="14" xfId="105" applyFont="1" applyFill="1" applyBorder="1" applyAlignment="1">
      <alignment vertical="top"/>
    </xf>
    <xf numFmtId="0" fontId="4" fillId="37" borderId="0" xfId="105" applyFont="1" applyFill="1" applyBorder="1" applyAlignment="1"/>
    <xf numFmtId="0" fontId="3" fillId="37" borderId="0" xfId="105" applyFont="1" applyFill="1" applyBorder="1" applyAlignment="1">
      <alignment vertical="top"/>
    </xf>
    <xf numFmtId="0" fontId="19" fillId="37" borderId="0" xfId="105" applyFont="1" applyFill="1" applyBorder="1" applyAlignment="1">
      <alignment vertical="top"/>
    </xf>
    <xf numFmtId="0" fontId="4" fillId="37" borderId="0" xfId="105" applyFont="1" applyFill="1" applyBorder="1" applyAlignment="1">
      <alignment vertical="center" wrapText="1"/>
    </xf>
    <xf numFmtId="0" fontId="86" fillId="37" borderId="0" xfId="103" applyFill="1"/>
    <xf numFmtId="0" fontId="19" fillId="37" borderId="0" xfId="103" applyFont="1" applyFill="1"/>
    <xf numFmtId="9" fontId="0" fillId="0" borderId="0" xfId="0" applyNumberFormat="1" applyAlignment="1">
      <alignment horizontal="left"/>
    </xf>
    <xf numFmtId="9" fontId="136" fillId="39" borderId="11" xfId="0" applyNumberFormat="1" applyFont="1" applyFill="1" applyBorder="1" applyAlignment="1">
      <alignment horizontal="center"/>
    </xf>
    <xf numFmtId="0" fontId="0" fillId="0" borderId="14" xfId="0" applyBorder="1"/>
    <xf numFmtId="0" fontId="115" fillId="0" borderId="25" xfId="0" applyFont="1" applyBorder="1"/>
    <xf numFmtId="9" fontId="34" fillId="39" borderId="11" xfId="113" applyNumberFormat="1" applyFont="1" applyFill="1" applyBorder="1" applyAlignment="1">
      <alignment horizontal="center"/>
    </xf>
    <xf numFmtId="0" fontId="116" fillId="0" borderId="0" xfId="0" applyFont="1" applyBorder="1"/>
    <xf numFmtId="0" fontId="116" fillId="0" borderId="26" xfId="0" applyFont="1" applyBorder="1"/>
    <xf numFmtId="0" fontId="141" fillId="0" borderId="0" xfId="0" applyFont="1"/>
    <xf numFmtId="9" fontId="133" fillId="39" borderId="11" xfId="0" applyNumberFormat="1" applyFont="1" applyFill="1" applyBorder="1" applyAlignment="1">
      <alignment horizontal="center"/>
    </xf>
    <xf numFmtId="0" fontId="0" fillId="0" borderId="17" xfId="0" applyBorder="1"/>
    <xf numFmtId="0" fontId="116" fillId="0" borderId="17" xfId="0" applyFont="1" applyBorder="1"/>
    <xf numFmtId="0" fontId="116" fillId="0" borderId="27" xfId="0" applyFont="1" applyBorder="1"/>
    <xf numFmtId="0" fontId="0" fillId="0" borderId="28" xfId="0" applyBorder="1"/>
    <xf numFmtId="0" fontId="115" fillId="0" borderId="28" xfId="0" applyFont="1" applyBorder="1"/>
    <xf numFmtId="0" fontId="115" fillId="0" borderId="16" xfId="0" applyFont="1" applyBorder="1"/>
    <xf numFmtId="0" fontId="142" fillId="52" borderId="16" xfId="0" applyFont="1" applyFill="1" applyBorder="1" applyAlignment="1">
      <alignment horizontal="center" vertical="center"/>
    </xf>
    <xf numFmtId="0" fontId="115" fillId="0" borderId="0" xfId="0" applyFont="1"/>
    <xf numFmtId="0" fontId="3" fillId="0" borderId="11" xfId="87" applyNumberFormat="1" applyFont="1" applyFill="1" applyBorder="1" applyAlignment="1">
      <alignment horizontal="center" vertical="center"/>
    </xf>
    <xf numFmtId="9" fontId="136" fillId="53" borderId="11" xfId="0" applyNumberFormat="1" applyFont="1" applyFill="1" applyBorder="1" applyAlignment="1">
      <alignment horizontal="center"/>
    </xf>
    <xf numFmtId="0" fontId="143" fillId="0" borderId="11" xfId="0" applyFont="1" applyFill="1" applyBorder="1" applyAlignment="1">
      <alignment horizontal="center"/>
    </xf>
    <xf numFmtId="0" fontId="143" fillId="0" borderId="11" xfId="0" applyFont="1" applyFill="1" applyBorder="1" applyAlignment="1">
      <alignment horizontal="center" vertical="center"/>
    </xf>
    <xf numFmtId="0" fontId="105" fillId="0" borderId="0" xfId="0" applyFont="1" applyAlignment="1">
      <alignment horizontal="left" vertical="center" wrapText="1"/>
    </xf>
    <xf numFmtId="2"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67" fontId="3" fillId="39" borderId="11" xfId="0" applyNumberFormat="1" applyFont="1" applyFill="1" applyBorder="1" applyAlignment="1">
      <alignment horizontal="center" vertical="center"/>
    </xf>
    <xf numFmtId="0" fontId="19" fillId="0" borderId="0" xfId="0" applyFont="1" applyAlignment="1">
      <alignment vertical="top"/>
    </xf>
    <xf numFmtId="3" fontId="3" fillId="35" borderId="0" xfId="0" applyNumberFormat="1" applyFont="1" applyFill="1" applyBorder="1" applyAlignment="1">
      <alignment horizontal="center" wrapText="1"/>
    </xf>
    <xf numFmtId="0" fontId="3" fillId="35" borderId="0"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27" xfId="0" applyNumberFormat="1" applyFont="1" applyFill="1" applyBorder="1" applyAlignment="1">
      <alignment horizontal="center" vertical="center" wrapText="1"/>
    </xf>
    <xf numFmtId="0" fontId="105" fillId="0" borderId="0" xfId="0" applyFont="1" applyFill="1" applyAlignment="1">
      <alignment horizontal="left" wrapText="1"/>
    </xf>
    <xf numFmtId="0" fontId="43" fillId="0" borderId="0" xfId="0" applyFont="1" applyFill="1"/>
    <xf numFmtId="9" fontId="116" fillId="0" borderId="0" xfId="0" applyNumberFormat="1" applyFont="1" applyFill="1" applyBorder="1" applyAlignment="1">
      <alignment horizontal="center"/>
    </xf>
    <xf numFmtId="9" fontId="136" fillId="54" borderId="26" xfId="0" applyNumberFormat="1" applyFont="1" applyFill="1" applyBorder="1" applyAlignment="1">
      <alignment horizontal="center"/>
    </xf>
    <xf numFmtId="9" fontId="136" fillId="35" borderId="26" xfId="0" applyNumberFormat="1" applyFont="1" applyFill="1" applyBorder="1" applyAlignment="1">
      <alignment horizontal="center"/>
    </xf>
    <xf numFmtId="3" fontId="34" fillId="0" borderId="0" xfId="87" applyNumberFormat="1" applyFont="1" applyFill="1" applyBorder="1" applyAlignment="1">
      <alignment horizontal="left" vertical="center"/>
    </xf>
    <xf numFmtId="0" fontId="3" fillId="35" borderId="26" xfId="87" applyNumberFormat="1" applyFont="1" applyFill="1" applyBorder="1" applyAlignment="1">
      <alignment horizontal="center" vertical="center" wrapText="1"/>
    </xf>
    <xf numFmtId="0" fontId="3" fillId="0" borderId="16" xfId="87" applyNumberFormat="1" applyFont="1" applyFill="1" applyBorder="1" applyAlignment="1">
      <alignment horizontal="center" vertical="center" wrapText="1"/>
    </xf>
    <xf numFmtId="9" fontId="109" fillId="0" borderId="0" xfId="0" applyNumberFormat="1" applyFont="1" applyFill="1" applyBorder="1" applyAlignment="1">
      <alignment horizontal="center"/>
    </xf>
    <xf numFmtId="9" fontId="109" fillId="0" borderId="0" xfId="113" applyFont="1" applyFill="1" applyBorder="1" applyAlignment="1">
      <alignment horizontal="center"/>
    </xf>
    <xf numFmtId="9" fontId="19" fillId="0" borderId="0" xfId="113" applyFont="1" applyFill="1" applyBorder="1" applyAlignment="1">
      <alignment horizontal="center" vertical="center"/>
    </xf>
    <xf numFmtId="3" fontId="19" fillId="0" borderId="0" xfId="87" applyNumberFormat="1" applyFont="1" applyFill="1" applyBorder="1" applyAlignment="1">
      <alignment horizontal="center" vertical="center"/>
    </xf>
    <xf numFmtId="9" fontId="136" fillId="54" borderId="0" xfId="0" applyNumberFormat="1" applyFont="1" applyFill="1" applyBorder="1" applyAlignment="1">
      <alignment horizontal="center"/>
    </xf>
    <xf numFmtId="9" fontId="136" fillId="35" borderId="0" xfId="0" applyNumberFormat="1" applyFont="1" applyFill="1" applyBorder="1" applyAlignment="1">
      <alignment horizontal="center"/>
    </xf>
    <xf numFmtId="9" fontId="3" fillId="39" borderId="11" xfId="113" applyNumberFormat="1" applyFont="1" applyFill="1" applyBorder="1" applyAlignment="1">
      <alignment horizontal="center"/>
    </xf>
    <xf numFmtId="9" fontId="136" fillId="53" borderId="11" xfId="113" applyNumberFormat="1" applyFont="1" applyFill="1" applyBorder="1" applyAlignment="1">
      <alignment horizontal="center"/>
    </xf>
    <xf numFmtId="9" fontId="136" fillId="39" borderId="11" xfId="113" applyNumberFormat="1" applyFont="1" applyFill="1" applyBorder="1" applyAlignment="1">
      <alignment horizontal="center"/>
    </xf>
    <xf numFmtId="0" fontId="4" fillId="0" borderId="0" xfId="87" applyNumberFormat="1" applyFont="1" applyFill="1" applyBorder="1" applyAlignment="1">
      <alignment horizontal="left" vertical="center"/>
    </xf>
    <xf numFmtId="0" fontId="3" fillId="0" borderId="0" xfId="87" applyNumberFormat="1" applyFont="1" applyFill="1" applyBorder="1" applyAlignment="1">
      <alignment horizontal="center"/>
    </xf>
    <xf numFmtId="0" fontId="3" fillId="35" borderId="0" xfId="87" applyNumberFormat="1" applyFont="1" applyFill="1" applyBorder="1" applyAlignment="1">
      <alignment horizontal="center" vertical="center" wrapText="1"/>
    </xf>
    <xf numFmtId="0" fontId="3" fillId="0" borderId="11" xfId="87" applyNumberFormat="1" applyFont="1" applyFill="1" applyBorder="1" applyAlignment="1">
      <alignment horizontal="center" vertical="center" wrapText="1"/>
    </xf>
    <xf numFmtId="9" fontId="0" fillId="0" borderId="0" xfId="113" applyFont="1"/>
    <xf numFmtId="174" fontId="3" fillId="0" borderId="0" xfId="0" applyNumberFormat="1" applyFont="1" applyFill="1" applyBorder="1" applyAlignment="1" applyProtection="1">
      <alignment horizontal="center" vertical="center"/>
      <protection locked="0"/>
    </xf>
    <xf numFmtId="0" fontId="0" fillId="0" borderId="0" xfId="0" applyFill="1" applyBorder="1" applyAlignment="1">
      <alignment horizontal="left"/>
    </xf>
    <xf numFmtId="9" fontId="3" fillId="0" borderId="0" xfId="113" applyFont="1" applyFill="1" applyBorder="1" applyAlignment="1" applyProtection="1">
      <alignment horizontal="center" vertical="center"/>
      <protection locked="0"/>
    </xf>
    <xf numFmtId="3" fontId="68" fillId="45" borderId="11" xfId="0" applyNumberFormat="1" applyFont="1" applyFill="1" applyBorder="1" applyAlignment="1" applyProtection="1">
      <alignment horizontal="center" vertical="center"/>
      <protection locked="0"/>
    </xf>
    <xf numFmtId="0" fontId="19" fillId="0" borderId="0" xfId="0" applyFont="1" applyBorder="1" applyAlignment="1">
      <alignment horizontal="center" vertical="center" wrapText="1"/>
    </xf>
    <xf numFmtId="9" fontId="144" fillId="0" borderId="0" xfId="0" applyNumberFormat="1" applyFont="1" applyFill="1" applyBorder="1" applyProtection="1">
      <protection locked="0"/>
    </xf>
    <xf numFmtId="9" fontId="32" fillId="0" borderId="0" xfId="0" applyNumberFormat="1" applyFont="1" applyFill="1" applyBorder="1" applyProtection="1">
      <protection locked="0"/>
    </xf>
    <xf numFmtId="38" fontId="145" fillId="0" borderId="0" xfId="0" applyNumberFormat="1" applyFont="1" applyFill="1" applyBorder="1" applyProtection="1">
      <protection locked="0"/>
    </xf>
    <xf numFmtId="0" fontId="105" fillId="0" borderId="0" xfId="0" applyFont="1" applyAlignment="1">
      <alignment wrapText="1"/>
    </xf>
    <xf numFmtId="9" fontId="3" fillId="39" borderId="11" xfId="113" applyFont="1" applyFill="1" applyBorder="1" applyAlignment="1">
      <alignment horizontal="center"/>
    </xf>
    <xf numFmtId="9" fontId="3" fillId="39" borderId="11" xfId="0" applyNumberFormat="1" applyFont="1" applyFill="1" applyBorder="1" applyAlignment="1">
      <alignment horizontal="center" vertical="center"/>
    </xf>
    <xf numFmtId="9" fontId="3" fillId="41" borderId="11" xfId="0" applyNumberFormat="1" applyFont="1" applyFill="1" applyBorder="1" applyAlignment="1">
      <alignment horizontal="center"/>
    </xf>
    <xf numFmtId="0" fontId="3" fillId="0" borderId="11" xfId="0" applyFont="1" applyBorder="1"/>
    <xf numFmtId="165" fontId="3" fillId="41" borderId="11" xfId="113" applyNumberFormat="1" applyFont="1" applyFill="1" applyBorder="1" applyAlignment="1">
      <alignment horizontal="center"/>
    </xf>
    <xf numFmtId="165" fontId="119" fillId="41" borderId="11" xfId="70" applyNumberFormat="1" applyFont="1" applyFill="1" applyBorder="1" applyAlignment="1" applyProtection="1">
      <alignment horizontal="center" vertical="center"/>
    </xf>
    <xf numFmtId="0" fontId="27" fillId="0" borderId="0" xfId="0" applyFont="1" applyFill="1"/>
    <xf numFmtId="9" fontId="19" fillId="39" borderId="0" xfId="113" applyFont="1" applyFill="1"/>
    <xf numFmtId="9" fontId="19" fillId="40" borderId="0" xfId="113" applyFont="1" applyFill="1"/>
    <xf numFmtId="9" fontId="3" fillId="38" borderId="11" xfId="113" applyFont="1" applyFill="1" applyBorder="1" applyAlignment="1">
      <alignment horizontal="center" vertical="center"/>
    </xf>
    <xf numFmtId="9" fontId="3" fillId="41" borderId="11" xfId="113" applyFont="1" applyFill="1" applyBorder="1" applyAlignment="1">
      <alignment horizontal="center" vertical="center"/>
    </xf>
    <xf numFmtId="9" fontId="3" fillId="41" borderId="11" xfId="113" applyFont="1" applyFill="1" applyBorder="1" applyAlignment="1">
      <alignment horizontal="center" vertical="center" wrapText="1"/>
    </xf>
    <xf numFmtId="165" fontId="3" fillId="38" borderId="11" xfId="113" applyNumberFormat="1" applyFont="1" applyFill="1" applyBorder="1" applyAlignment="1">
      <alignment horizontal="center" vertical="center"/>
    </xf>
    <xf numFmtId="0" fontId="146" fillId="0" borderId="0" xfId="0" applyFont="1"/>
    <xf numFmtId="9" fontId="3" fillId="41" borderId="11" xfId="113" applyFont="1" applyFill="1" applyBorder="1" applyAlignment="1">
      <alignment horizontal="center"/>
    </xf>
    <xf numFmtId="3" fontId="3" fillId="41" borderId="11" xfId="0" applyNumberFormat="1" applyFont="1" applyFill="1" applyBorder="1" applyAlignment="1">
      <alignment horizontal="center" wrapText="1"/>
    </xf>
    <xf numFmtId="3" fontId="3" fillId="0" borderId="0" xfId="0" applyNumberFormat="1" applyFont="1" applyFill="1" applyBorder="1" applyAlignment="1">
      <alignment horizontal="center" vertical="center" wrapText="1"/>
    </xf>
    <xf numFmtId="3" fontId="3" fillId="0" borderId="11" xfId="0" applyNumberFormat="1" applyFont="1" applyFill="1" applyBorder="1" applyAlignment="1">
      <alignment horizontal="center" vertical="center" wrapText="1"/>
    </xf>
    <xf numFmtId="4" fontId="3" fillId="0" borderId="0" xfId="0" applyNumberFormat="1" applyFont="1" applyAlignment="1">
      <alignment horizontal="center"/>
    </xf>
    <xf numFmtId="3" fontId="59" fillId="0" borderId="0" xfId="0" applyNumberFormat="1" applyFont="1" applyFill="1" applyBorder="1" applyAlignment="1">
      <alignment horizontal="left"/>
    </xf>
    <xf numFmtId="3" fontId="119" fillId="0" borderId="11" xfId="0" applyNumberFormat="1" applyFont="1" applyBorder="1" applyAlignment="1">
      <alignment horizontal="center"/>
    </xf>
    <xf numFmtId="3" fontId="4" fillId="37" borderId="14" xfId="105" applyNumberFormat="1" applyFont="1" applyFill="1" applyBorder="1" applyAlignment="1"/>
    <xf numFmtId="3" fontId="3" fillId="37" borderId="14" xfId="105" applyNumberFormat="1" applyFont="1" applyFill="1" applyBorder="1" applyAlignment="1">
      <alignment vertical="top"/>
    </xf>
    <xf numFmtId="3" fontId="4" fillId="37" borderId="0" xfId="105" applyNumberFormat="1" applyFont="1" applyFill="1" applyBorder="1" applyAlignment="1"/>
    <xf numFmtId="3" fontId="3" fillId="37" borderId="0" xfId="105" applyNumberFormat="1" applyFont="1" applyFill="1" applyBorder="1" applyAlignment="1">
      <alignment vertical="top"/>
    </xf>
    <xf numFmtId="3" fontId="19" fillId="37" borderId="0" xfId="105" applyNumberFormat="1" applyFont="1" applyFill="1" applyBorder="1" applyAlignment="1">
      <alignment vertical="top"/>
    </xf>
    <xf numFmtId="3" fontId="4" fillId="37" borderId="0" xfId="105" applyNumberFormat="1" applyFont="1" applyFill="1" applyBorder="1" applyAlignment="1">
      <alignment vertical="center" wrapText="1"/>
    </xf>
    <xf numFmtId="3" fontId="86" fillId="37" borderId="0" xfId="103" applyNumberFormat="1" applyFill="1"/>
    <xf numFmtId="3" fontId="19" fillId="37" borderId="0" xfId="103" applyNumberFormat="1" applyFont="1" applyFill="1"/>
    <xf numFmtId="165" fontId="0" fillId="0" borderId="0" xfId="113" applyNumberFormat="1" applyFont="1"/>
    <xf numFmtId="3" fontId="24" fillId="0" borderId="11" xfId="0" applyNumberFormat="1" applyFont="1" applyBorder="1" applyAlignment="1">
      <alignment horizontal="center" vertical="center" wrapText="1"/>
    </xf>
    <xf numFmtId="3" fontId="24" fillId="0" borderId="11" xfId="0" applyNumberFormat="1" applyFont="1" applyBorder="1" applyAlignment="1">
      <alignment horizontal="center" vertical="center"/>
    </xf>
    <xf numFmtId="3" fontId="0" fillId="0" borderId="11" xfId="0" applyNumberFormat="1" applyBorder="1" applyAlignment="1">
      <alignment horizontal="center" vertical="center"/>
    </xf>
    <xf numFmtId="3" fontId="3" fillId="41" borderId="16" xfId="0" applyNumberFormat="1" applyFont="1" applyFill="1" applyBorder="1" applyAlignment="1">
      <alignment horizontal="center"/>
    </xf>
    <xf numFmtId="3" fontId="3" fillId="39" borderId="11" xfId="44" applyNumberFormat="1" applyFont="1" applyFill="1" applyBorder="1" applyAlignment="1">
      <alignment horizontal="center"/>
    </xf>
    <xf numFmtId="9" fontId="115" fillId="39" borderId="11" xfId="0" applyNumberFormat="1" applyFont="1" applyFill="1" applyBorder="1" applyAlignment="1">
      <alignment horizontal="center"/>
    </xf>
    <xf numFmtId="3" fontId="34" fillId="0" borderId="0" xfId="0" applyNumberFormat="1" applyFont="1" applyFill="1" applyBorder="1" applyAlignment="1">
      <alignment horizontal="center" vertical="center"/>
    </xf>
    <xf numFmtId="193" fontId="0" fillId="0" borderId="0" xfId="0" applyNumberFormat="1"/>
    <xf numFmtId="0" fontId="136" fillId="0" borderId="11" xfId="0" applyFont="1" applyFill="1" applyBorder="1" applyAlignment="1">
      <alignment horizontal="center" vertical="center"/>
    </xf>
    <xf numFmtId="0" fontId="143" fillId="0" borderId="11" xfId="0" applyFont="1" applyFill="1" applyBorder="1" applyAlignment="1">
      <alignment horizontal="center" vertical="center" wrapText="1"/>
    </xf>
    <xf numFmtId="0" fontId="147" fillId="0" borderId="11" xfId="0" applyFont="1" applyFill="1" applyBorder="1" applyAlignment="1">
      <alignment horizontal="center" vertical="center" wrapText="1"/>
    </xf>
    <xf numFmtId="0" fontId="121" fillId="0" borderId="0" xfId="0" applyFont="1" applyAlignment="1">
      <alignment horizontal="left" wrapText="1"/>
    </xf>
    <xf numFmtId="3" fontId="3" fillId="41" borderId="11" xfId="0" applyNumberFormat="1" applyFont="1" applyFill="1" applyBorder="1" applyAlignment="1">
      <alignment horizontal="center" vertical="center"/>
    </xf>
    <xf numFmtId="0" fontId="35" fillId="0" borderId="0" xfId="0" applyFont="1" applyAlignment="1">
      <alignment horizontal="left"/>
    </xf>
    <xf numFmtId="0" fontId="140" fillId="0" borderId="11" xfId="0" applyFont="1" applyBorder="1" applyAlignment="1">
      <alignment horizontal="center" vertical="center" wrapText="1"/>
    </xf>
    <xf numFmtId="0" fontId="43" fillId="0" borderId="0" xfId="0" quotePrefix="1" applyFont="1"/>
    <xf numFmtId="3" fontId="3" fillId="41" borderId="11" xfId="0" applyNumberFormat="1" applyFont="1" applyFill="1" applyBorder="1" applyAlignment="1">
      <alignment horizontal="center" vertical="center"/>
    </xf>
    <xf numFmtId="3" fontId="148" fillId="0" borderId="0" xfId="0" applyNumberFormat="1" applyFont="1"/>
    <xf numFmtId="3" fontId="149" fillId="0" borderId="0" xfId="0" applyNumberFormat="1" applyFont="1" applyAlignment="1">
      <alignment horizontal="center"/>
    </xf>
    <xf numFmtId="3" fontId="150" fillId="0" borderId="0" xfId="0" applyNumberFormat="1" applyFont="1"/>
    <xf numFmtId="3" fontId="27" fillId="0" borderId="0" xfId="0" applyNumberFormat="1" applyFont="1" applyFill="1" applyBorder="1" applyAlignment="1">
      <alignment horizontal="center" vertical="center" wrapText="1"/>
    </xf>
    <xf numFmtId="3" fontId="27" fillId="0" borderId="0" xfId="0" applyNumberFormat="1" applyFont="1" applyBorder="1"/>
    <xf numFmtId="3" fontId="27" fillId="0" borderId="0" xfId="0" applyNumberFormat="1" applyFont="1" applyBorder="1" applyAlignment="1">
      <alignment horizontal="left"/>
    </xf>
    <xf numFmtId="3" fontId="122" fillId="0" borderId="0" xfId="0" applyNumberFormat="1" applyFont="1"/>
    <xf numFmtId="3" fontId="3" fillId="37" borderId="0" xfId="104" applyNumberFormat="1" applyFont="1" applyFill="1" applyBorder="1" applyAlignment="1">
      <alignment vertical="center"/>
    </xf>
    <xf numFmtId="0" fontId="3" fillId="37" borderId="0" xfId="105" applyFont="1" applyFill="1" applyBorder="1" applyAlignment="1">
      <alignment vertical="center"/>
    </xf>
    <xf numFmtId="3" fontId="3" fillId="37" borderId="0" xfId="105" applyNumberFormat="1" applyFont="1" applyFill="1" applyBorder="1" applyAlignment="1">
      <alignment vertical="center"/>
    </xf>
    <xf numFmtId="3" fontId="3" fillId="0" borderId="11" xfId="0" quotePrefix="1" applyNumberFormat="1" applyFont="1" applyBorder="1" applyAlignment="1">
      <alignment horizontal="center"/>
    </xf>
    <xf numFmtId="3" fontId="0" fillId="39" borderId="11" xfId="0" applyNumberFormat="1" applyFill="1" applyBorder="1"/>
    <xf numFmtId="3" fontId="0" fillId="38" borderId="11" xfId="0" applyNumberFormat="1" applyFill="1" applyBorder="1"/>
    <xf numFmtId="3" fontId="3" fillId="38" borderId="11" xfId="0" applyNumberFormat="1" applyFont="1" applyFill="1" applyBorder="1"/>
    <xf numFmtId="3" fontId="126" fillId="0" borderId="0" xfId="0" applyNumberFormat="1" applyFont="1"/>
    <xf numFmtId="3" fontId="105" fillId="0" borderId="0" xfId="0" applyNumberFormat="1" applyFont="1"/>
    <xf numFmtId="3" fontId="122" fillId="0" borderId="0" xfId="0" quotePrefix="1" applyNumberFormat="1" applyFont="1"/>
    <xf numFmtId="0" fontId="121" fillId="0" borderId="0" xfId="0" applyFont="1" applyAlignment="1">
      <alignment horizontal="left" wrapText="1"/>
    </xf>
    <xf numFmtId="0" fontId="105" fillId="0" borderId="0" xfId="0" applyFont="1" applyAlignment="1">
      <alignment horizontal="left" wrapText="1"/>
    </xf>
    <xf numFmtId="3" fontId="3" fillId="35" borderId="11" xfId="0" applyNumberFormat="1" applyFont="1" applyFill="1" applyBorder="1" applyAlignment="1">
      <alignment horizontal="center" vertical="center" wrapText="1"/>
    </xf>
    <xf numFmtId="3" fontId="25" fillId="0" borderId="11" xfId="0" applyNumberFormat="1" applyFont="1" applyBorder="1" applyAlignment="1">
      <alignment horizontal="center" vertical="center" wrapText="1"/>
    </xf>
    <xf numFmtId="3" fontId="140" fillId="0" borderId="11" xfId="0" applyNumberFormat="1" applyFont="1" applyBorder="1" applyAlignment="1">
      <alignment horizontal="center" vertical="center" wrapText="1"/>
    </xf>
    <xf numFmtId="3" fontId="25" fillId="38" borderId="11" xfId="0" applyNumberFormat="1" applyFont="1" applyFill="1" applyBorder="1" applyAlignment="1">
      <alignment horizontal="center" vertical="center"/>
    </xf>
    <xf numFmtId="3" fontId="38" fillId="40" borderId="11" xfId="44" applyNumberFormat="1" applyFont="1" applyFill="1" applyBorder="1" applyAlignment="1">
      <alignment horizontal="center" vertical="center"/>
    </xf>
    <xf numFmtId="0" fontId="34" fillId="0" borderId="0" xfId="0" applyFont="1" applyAlignment="1">
      <alignment horizontal="left"/>
    </xf>
    <xf numFmtId="3" fontId="3" fillId="38" borderId="15" xfId="0" applyNumberFormat="1" applyFont="1" applyFill="1" applyBorder="1" applyAlignment="1">
      <alignment horizontal="center" vertical="center"/>
    </xf>
    <xf numFmtId="9" fontId="0" fillId="0" borderId="0" xfId="0" applyNumberFormat="1" applyAlignment="1">
      <alignment horizontal="center"/>
    </xf>
    <xf numFmtId="0" fontId="27" fillId="0" borderId="0" xfId="86" applyFont="1"/>
    <xf numFmtId="0" fontId="35" fillId="0" borderId="0" xfId="86" applyFont="1"/>
    <xf numFmtId="3" fontId="3" fillId="37" borderId="0" xfId="105" applyNumberFormat="1" applyFont="1" applyFill="1" applyBorder="1" applyAlignment="1">
      <alignment vertical="center" wrapText="1"/>
    </xf>
    <xf numFmtId="0" fontId="3" fillId="0" borderId="11" xfId="86" applyFont="1" applyFill="1" applyBorder="1" applyAlignment="1" applyProtection="1">
      <alignment horizontal="center"/>
      <protection locked="0"/>
    </xf>
    <xf numFmtId="0" fontId="143" fillId="0" borderId="15" xfId="86" applyFont="1" applyFill="1" applyBorder="1" applyAlignment="1">
      <alignment horizontal="center" vertical="center"/>
    </xf>
    <xf numFmtId="0" fontId="19" fillId="0" borderId="0" xfId="86"/>
    <xf numFmtId="0" fontId="19" fillId="0" borderId="0" xfId="86" applyFont="1"/>
    <xf numFmtId="0" fontId="19" fillId="33" borderId="0" xfId="91" applyFill="1">
      <protection locked="0"/>
    </xf>
    <xf numFmtId="0" fontId="19" fillId="36" borderId="0" xfId="91" applyFill="1">
      <protection locked="0"/>
    </xf>
    <xf numFmtId="0" fontId="103" fillId="36" borderId="0" xfId="91" applyFont="1" applyFill="1">
      <protection locked="0"/>
    </xf>
    <xf numFmtId="0" fontId="102" fillId="36" borderId="0" xfId="91" applyFont="1" applyFill="1" applyProtection="1"/>
    <xf numFmtId="1" fontId="26" fillId="36" borderId="0" xfId="48" applyFill="1">
      <alignment horizontal="center" vertical="center"/>
    </xf>
    <xf numFmtId="0" fontId="15" fillId="37" borderId="14" xfId="70" applyFill="1" applyBorder="1" applyAlignment="1" applyProtection="1"/>
    <xf numFmtId="0" fontId="42" fillId="37" borderId="0" xfId="91" applyFont="1" applyFill="1">
      <protection locked="0"/>
    </xf>
    <xf numFmtId="0" fontId="59" fillId="0" borderId="0" xfId="86" applyFont="1"/>
    <xf numFmtId="0" fontId="15" fillId="33" borderId="0" xfId="70" quotePrefix="1" applyFill="1" applyAlignment="1">
      <alignment horizontal="left" vertical="center"/>
      <protection locked="0"/>
    </xf>
    <xf numFmtId="9" fontId="3" fillId="39" borderId="11" xfId="110" applyFont="1" applyFill="1" applyBorder="1" applyAlignment="1">
      <alignment horizontal="center"/>
    </xf>
    <xf numFmtId="9" fontId="3" fillId="41" borderId="11" xfId="110" applyFont="1" applyFill="1" applyBorder="1" applyAlignment="1">
      <alignment horizontal="center"/>
    </xf>
    <xf numFmtId="3" fontId="3" fillId="41" borderId="11" xfId="86" applyNumberFormat="1" applyFont="1" applyFill="1" applyBorder="1" applyAlignment="1">
      <alignment horizontal="center"/>
    </xf>
    <xf numFmtId="0" fontId="15" fillId="33" borderId="0" xfId="70" quotePrefix="1" applyFill="1" applyAlignment="1">
      <protection locked="0"/>
    </xf>
    <xf numFmtId="0" fontId="143" fillId="0" borderId="11" xfId="86" applyFont="1" applyFill="1" applyBorder="1" applyAlignment="1">
      <alignment horizontal="center" vertical="center"/>
    </xf>
    <xf numFmtId="0" fontId="136" fillId="0" borderId="0" xfId="86" applyFont="1" applyFill="1" applyBorder="1" applyAlignment="1">
      <alignment horizontal="center" vertical="center"/>
    </xf>
    <xf numFmtId="0" fontId="114" fillId="0" borderId="0" xfId="86" applyFont="1" applyFill="1" applyBorder="1" applyAlignment="1">
      <alignment horizontal="left" vertical="center"/>
    </xf>
    <xf numFmtId="3" fontId="25" fillId="0" borderId="11" xfId="0" applyNumberFormat="1" applyFont="1" applyBorder="1" applyAlignment="1">
      <alignment horizontal="center" vertical="center"/>
    </xf>
    <xf numFmtId="3" fontId="0" fillId="0" borderId="11" xfId="0" applyNumberFormat="1" applyBorder="1" applyAlignment="1">
      <alignment horizontal="center"/>
    </xf>
    <xf numFmtId="9" fontId="19" fillId="37" borderId="0" xfId="109" applyFont="1" applyFill="1"/>
    <xf numFmtId="9" fontId="19" fillId="37" borderId="0" xfId="109" applyFont="1" applyFill="1" applyBorder="1" applyAlignment="1"/>
    <xf numFmtId="9" fontId="88" fillId="37" borderId="0" xfId="109" applyFont="1" applyFill="1" applyBorder="1" applyAlignment="1"/>
    <xf numFmtId="3" fontId="0" fillId="0" borderId="0" xfId="0" quotePrefix="1" applyNumberFormat="1"/>
    <xf numFmtId="9" fontId="0" fillId="0" borderId="0" xfId="109" applyFont="1" applyAlignment="1">
      <alignment horizontal="right"/>
    </xf>
    <xf numFmtId="9" fontId="0" fillId="0" borderId="0" xfId="109" applyFont="1" applyFill="1" applyBorder="1" applyAlignment="1">
      <alignment horizontal="center"/>
    </xf>
    <xf numFmtId="9" fontId="0" fillId="0" borderId="0" xfId="0" applyNumberFormat="1" applyFill="1" applyBorder="1" applyAlignment="1">
      <alignment horizontal="center"/>
    </xf>
    <xf numFmtId="10" fontId="0" fillId="0" borderId="0" xfId="109" applyNumberFormat="1" applyFont="1" applyFill="1" applyBorder="1"/>
    <xf numFmtId="10" fontId="0" fillId="0" borderId="0" xfId="0" applyNumberFormat="1" applyFill="1" applyBorder="1"/>
    <xf numFmtId="0" fontId="151" fillId="0" borderId="11" xfId="0" applyFont="1" applyBorder="1" applyAlignment="1">
      <alignment horizontal="center" wrapText="1"/>
    </xf>
    <xf numFmtId="0" fontId="25" fillId="43" borderId="11" xfId="0" applyFont="1" applyFill="1" applyBorder="1" applyAlignment="1">
      <alignment horizontal="center"/>
    </xf>
    <xf numFmtId="9" fontId="25" fillId="43" borderId="11" xfId="0" applyNumberFormat="1" applyFont="1" applyFill="1" applyBorder="1" applyAlignment="1">
      <alignment horizontal="center"/>
    </xf>
    <xf numFmtId="0" fontId="152" fillId="0" borderId="11" xfId="0" applyFont="1" applyBorder="1" applyAlignment="1">
      <alignment horizontal="center"/>
    </xf>
    <xf numFmtId="0" fontId="37" fillId="0" borderId="11" xfId="0" applyFont="1" applyBorder="1" applyAlignment="1">
      <alignment horizontal="center"/>
    </xf>
    <xf numFmtId="194" fontId="152" fillId="41" borderId="11" xfId="40" applyNumberFormat="1" applyFont="1" applyFill="1" applyBorder="1" applyAlignment="1">
      <alignment horizontal="center"/>
    </xf>
    <xf numFmtId="3" fontId="119" fillId="41" borderId="11" xfId="0" applyNumberFormat="1" applyFont="1" applyFill="1" applyBorder="1" applyAlignment="1">
      <alignment horizontal="center" wrapText="1"/>
    </xf>
    <xf numFmtId="0" fontId="19" fillId="0" borderId="11" xfId="0" applyFont="1" applyBorder="1" applyAlignment="1">
      <alignment horizontal="center"/>
    </xf>
    <xf numFmtId="166" fontId="0" fillId="0" borderId="0" xfId="40" applyNumberFormat="1" applyFont="1"/>
    <xf numFmtId="3" fontId="24" fillId="39" borderId="11" xfId="0" applyNumberFormat="1" applyFont="1" applyFill="1" applyBorder="1" applyAlignment="1">
      <alignment horizontal="center"/>
    </xf>
    <xf numFmtId="164" fontId="0" fillId="0" borderId="0" xfId="0" applyNumberFormat="1" applyAlignment="1">
      <alignment horizontal="center"/>
    </xf>
    <xf numFmtId="0" fontId="34" fillId="0" borderId="0" xfId="0" applyFont="1" applyAlignment="1">
      <alignment horizontal="center"/>
    </xf>
    <xf numFmtId="0" fontId="0" fillId="0" borderId="11" xfId="0" applyBorder="1" applyAlignment="1">
      <alignment wrapText="1"/>
    </xf>
    <xf numFmtId="0" fontId="99" fillId="35" borderId="0" xfId="98" applyFont="1" applyFill="1" applyBorder="1" applyAlignment="1">
      <alignment horizontal="right"/>
    </xf>
    <xf numFmtId="0" fontId="153" fillId="35" borderId="0" xfId="98" applyFont="1" applyFill="1" applyBorder="1"/>
    <xf numFmtId="0" fontId="115" fillId="35" borderId="0" xfId="98" applyFont="1" applyFill="1" applyBorder="1" applyAlignment="1">
      <alignment horizontal="right"/>
    </xf>
    <xf numFmtId="166" fontId="153" fillId="35" borderId="0" xfId="42" applyNumberFormat="1" applyFont="1" applyFill="1" applyBorder="1"/>
    <xf numFmtId="9" fontId="153" fillId="35" borderId="0" xfId="111" applyFont="1" applyFill="1" applyBorder="1" applyAlignment="1">
      <alignment wrapText="1"/>
    </xf>
    <xf numFmtId="0" fontId="89" fillId="35" borderId="0" xfId="98" applyNumberFormat="1" applyFont="1" applyFill="1" applyBorder="1" applyAlignment="1">
      <alignment horizontal="right" vertical="center"/>
    </xf>
    <xf numFmtId="9" fontId="154" fillId="35" borderId="0" xfId="111" applyFont="1" applyFill="1" applyBorder="1" applyAlignment="1">
      <alignment wrapText="1"/>
    </xf>
    <xf numFmtId="166" fontId="153" fillId="35" borderId="0" xfId="42" applyNumberFormat="1" applyFont="1" applyFill="1" applyBorder="1" applyAlignment="1">
      <alignment horizontal="right"/>
    </xf>
    <xf numFmtId="166" fontId="155" fillId="35" borderId="0" xfId="42" applyNumberFormat="1" applyFont="1" applyFill="1" applyBorder="1"/>
    <xf numFmtId="166" fontId="155" fillId="35" borderId="0" xfId="42" applyNumberFormat="1" applyFont="1" applyFill="1" applyBorder="1" applyAlignment="1">
      <alignment horizontal="right"/>
    </xf>
    <xf numFmtId="9" fontId="155" fillId="35" borderId="0" xfId="111" applyFont="1" applyFill="1" applyBorder="1" applyAlignment="1">
      <alignment wrapText="1"/>
    </xf>
    <xf numFmtId="3" fontId="3" fillId="0" borderId="11" xfId="0" quotePrefix="1" applyNumberFormat="1" applyFont="1" applyBorder="1" applyAlignment="1">
      <alignment horizontal="center" wrapText="1"/>
    </xf>
    <xf numFmtId="3" fontId="3" fillId="38" borderId="11" xfId="0" applyNumberFormat="1" applyFont="1" applyFill="1" applyBorder="1" applyAlignment="1">
      <alignment horizontal="center" wrapText="1"/>
    </xf>
    <xf numFmtId="0" fontId="155" fillId="35" borderId="0" xfId="98" applyNumberFormat="1" applyFont="1" applyFill="1" applyBorder="1" applyAlignment="1">
      <alignment horizontal="right" vertical="center" wrapText="1"/>
    </xf>
    <xf numFmtId="0" fontId="99" fillId="35" borderId="0" xfId="98" applyFont="1" applyFill="1" applyBorder="1" applyAlignment="1">
      <alignment horizontal="center" wrapText="1"/>
    </xf>
    <xf numFmtId="0" fontId="99" fillId="35" borderId="0" xfId="98" applyFill="1" applyBorder="1" applyAlignment="1">
      <alignment horizontal="center" wrapText="1"/>
    </xf>
    <xf numFmtId="0" fontId="99" fillId="35" borderId="0" xfId="98" applyFont="1" applyFill="1" applyBorder="1" applyAlignment="1">
      <alignment horizontal="right" wrapText="1"/>
    </xf>
    <xf numFmtId="166" fontId="0" fillId="35" borderId="0" xfId="0" applyNumberFormat="1" applyFill="1" applyBorder="1"/>
    <xf numFmtId="3" fontId="3" fillId="39" borderId="11" xfId="0" applyNumberFormat="1" applyFont="1" applyFill="1" applyBorder="1" applyAlignment="1">
      <alignment horizontal="center" vertical="center" wrapText="1"/>
    </xf>
    <xf numFmtId="166" fontId="153" fillId="35" borderId="0" xfId="42" applyNumberFormat="1" applyFont="1" applyFill="1" applyBorder="1"/>
    <xf numFmtId="166" fontId="153" fillId="35" borderId="0" xfId="42" applyNumberFormat="1" applyFont="1" applyFill="1" applyBorder="1" applyAlignment="1">
      <alignment horizontal="right"/>
    </xf>
    <xf numFmtId="3" fontId="3" fillId="39" borderId="11" xfId="42" applyNumberFormat="1" applyFont="1" applyFill="1" applyBorder="1" applyAlignment="1">
      <alignment horizontal="center" vertical="center" wrapText="1"/>
    </xf>
    <xf numFmtId="3" fontId="3" fillId="39" borderId="11" xfId="42" applyNumberFormat="1" applyFont="1" applyFill="1" applyBorder="1" applyAlignment="1">
      <alignment horizontal="center" vertical="center"/>
    </xf>
    <xf numFmtId="194" fontId="3" fillId="39" borderId="11" xfId="42" applyNumberFormat="1" applyFont="1" applyFill="1" applyBorder="1" applyAlignment="1">
      <alignment horizontal="center"/>
    </xf>
    <xf numFmtId="0" fontId="126" fillId="35" borderId="0" xfId="91" applyFont="1" applyFill="1">
      <protection locked="0"/>
    </xf>
    <xf numFmtId="0" fontId="105" fillId="0" borderId="0" xfId="0" applyFont="1" applyAlignment="1">
      <alignment vertical="top"/>
    </xf>
    <xf numFmtId="0" fontId="105" fillId="0" borderId="0" xfId="0" applyFont="1" applyAlignment="1"/>
    <xf numFmtId="0" fontId="0" fillId="0" borderId="0" xfId="0" applyAlignment="1">
      <alignment horizontal="left" vertical="center"/>
    </xf>
    <xf numFmtId="0" fontId="105" fillId="0" borderId="0" xfId="0" applyFont="1" applyAlignment="1">
      <alignment vertical="center"/>
    </xf>
    <xf numFmtId="0" fontId="105" fillId="0" borderId="0" xfId="0" applyFont="1" applyAlignment="1">
      <alignment horizontal="left" wrapText="1"/>
    </xf>
    <xf numFmtId="194" fontId="0" fillId="0" borderId="0" xfId="0" applyNumberFormat="1" applyAlignment="1">
      <alignment horizontal="center"/>
    </xf>
    <xf numFmtId="9" fontId="0" fillId="0" borderId="0" xfId="109" applyFont="1" applyAlignment="1">
      <alignment horizontal="center"/>
    </xf>
    <xf numFmtId="0" fontId="19" fillId="36" borderId="0" xfId="91" applyFill="1" applyAlignment="1">
      <alignment vertical="center" wrapText="1"/>
      <protection locked="0"/>
    </xf>
    <xf numFmtId="0" fontId="34" fillId="0" borderId="0" xfId="0" applyFont="1" applyAlignment="1">
      <alignment vertical="top" wrapText="1"/>
    </xf>
    <xf numFmtId="0" fontId="34" fillId="0" borderId="0" xfId="0" applyFont="1" applyAlignment="1">
      <alignment vertical="top"/>
    </xf>
    <xf numFmtId="0" fontId="34" fillId="0" borderId="0" xfId="0" applyFont="1" applyAlignment="1">
      <alignment horizontal="left" vertical="top"/>
    </xf>
    <xf numFmtId="0" fontId="3" fillId="0" borderId="0" xfId="0" applyFont="1" applyAlignment="1">
      <alignment horizontal="left" vertical="top" wrapText="1"/>
    </xf>
    <xf numFmtId="9" fontId="25" fillId="43" borderId="11" xfId="109" applyFont="1" applyFill="1" applyBorder="1" applyAlignment="1">
      <alignment horizontal="center" vertical="center" wrapText="1"/>
    </xf>
    <xf numFmtId="0" fontId="25" fillId="0" borderId="11" xfId="87" applyNumberFormat="1" applyFont="1" applyFill="1" applyBorder="1" applyAlignment="1">
      <alignment horizontal="center" vertical="center" wrapText="1"/>
    </xf>
    <xf numFmtId="0" fontId="34" fillId="0" borderId="0" xfId="86" applyFont="1"/>
    <xf numFmtId="3" fontId="3" fillId="41" borderId="11" xfId="109" applyNumberFormat="1" applyFont="1" applyFill="1" applyBorder="1" applyAlignment="1">
      <alignment horizontal="center"/>
    </xf>
    <xf numFmtId="194" fontId="3" fillId="41" borderId="11" xfId="40" applyNumberFormat="1" applyFont="1" applyFill="1" applyBorder="1" applyAlignment="1">
      <alignment horizontal="center"/>
    </xf>
    <xf numFmtId="3" fontId="3" fillId="41" borderId="11" xfId="109" applyNumberFormat="1" applyFont="1" applyFill="1" applyBorder="1" applyAlignment="1">
      <alignment horizontal="center" vertical="center"/>
    </xf>
    <xf numFmtId="3" fontId="3" fillId="40" borderId="11" xfId="0" applyNumberFormat="1" applyFont="1" applyFill="1" applyBorder="1" applyAlignment="1">
      <alignment horizontal="center" wrapText="1"/>
    </xf>
    <xf numFmtId="3" fontId="3" fillId="41" borderId="11" xfId="0" applyNumberFormat="1" applyFont="1" applyFill="1" applyBorder="1" applyAlignment="1">
      <alignment horizontal="center" vertical="center"/>
    </xf>
    <xf numFmtId="9" fontId="25" fillId="33" borderId="11" xfId="0" applyNumberFormat="1" applyFont="1" applyFill="1" applyBorder="1" applyAlignment="1">
      <alignment horizontal="center" vertical="center" wrapText="1"/>
    </xf>
    <xf numFmtId="0" fontId="19" fillId="35" borderId="0" xfId="0" applyFont="1" applyFill="1"/>
    <xf numFmtId="0" fontId="4" fillId="0" borderId="0" xfId="0" applyFont="1" applyAlignment="1">
      <alignment horizontal="center"/>
    </xf>
    <xf numFmtId="9" fontId="0" fillId="0" borderId="0" xfId="109" applyNumberFormat="1" applyFont="1" applyAlignment="1">
      <alignment horizontal="center"/>
    </xf>
    <xf numFmtId="0" fontId="25" fillId="0" borderId="0" xfId="0" applyFont="1" applyBorder="1" applyAlignment="1">
      <alignment horizontal="center" vertical="center" wrapText="1"/>
    </xf>
    <xf numFmtId="9" fontId="0" fillId="0" borderId="0" xfId="0" quotePrefix="1" applyNumberFormat="1" applyAlignment="1">
      <alignment horizontal="center"/>
    </xf>
    <xf numFmtId="167" fontId="0" fillId="55" borderId="0" xfId="0" applyNumberFormat="1" applyFill="1"/>
    <xf numFmtId="9" fontId="4" fillId="56" borderId="11" xfId="109" applyFont="1" applyFill="1" applyBorder="1" applyAlignment="1">
      <alignment horizontal="center" vertical="center"/>
    </xf>
    <xf numFmtId="0" fontId="19" fillId="0" borderId="0" xfId="0" applyFont="1" applyAlignment="1">
      <alignment horizontal="right"/>
    </xf>
    <xf numFmtId="3" fontId="3" fillId="41" borderId="11" xfId="42" applyNumberFormat="1" applyFont="1" applyFill="1" applyBorder="1" applyAlignment="1">
      <alignment horizontal="center" vertical="center"/>
    </xf>
    <xf numFmtId="3" fontId="3" fillId="35" borderId="0" xfId="0" quotePrefix="1" applyNumberFormat="1" applyFont="1" applyFill="1" applyBorder="1" applyAlignment="1">
      <alignment horizontal="center" wrapText="1"/>
    </xf>
    <xf numFmtId="3" fontId="90" fillId="40" borderId="0" xfId="109" applyNumberFormat="1" applyFont="1" applyFill="1" applyAlignment="1">
      <alignment horizontal="center"/>
    </xf>
    <xf numFmtId="3" fontId="90" fillId="39" borderId="0" xfId="109" applyNumberFormat="1" applyFont="1" applyFill="1" applyAlignment="1">
      <alignment horizontal="center"/>
    </xf>
    <xf numFmtId="0" fontId="0" fillId="57" borderId="0" xfId="0" applyFill="1"/>
    <xf numFmtId="3" fontId="90" fillId="57" borderId="0" xfId="109" applyNumberFormat="1" applyFont="1" applyFill="1" applyAlignment="1">
      <alignment horizontal="center"/>
    </xf>
    <xf numFmtId="9" fontId="91" fillId="40" borderId="0" xfId="109" applyFont="1" applyFill="1" applyAlignment="1">
      <alignment horizontal="center"/>
    </xf>
    <xf numFmtId="0" fontId="0" fillId="45" borderId="0" xfId="0" applyFill="1"/>
    <xf numFmtId="9" fontId="91" fillId="45" borderId="0" xfId="109" applyFont="1" applyFill="1" applyAlignment="1">
      <alignment horizontal="center"/>
    </xf>
    <xf numFmtId="9" fontId="0" fillId="45" borderId="0" xfId="0" applyNumberFormat="1" applyFill="1"/>
    <xf numFmtId="9" fontId="91" fillId="39" borderId="0" xfId="109" applyFont="1" applyFill="1" applyAlignment="1">
      <alignment horizontal="center"/>
    </xf>
    <xf numFmtId="9" fontId="0" fillId="39" borderId="0" xfId="0" applyNumberFormat="1" applyFill="1"/>
    <xf numFmtId="9" fontId="91" fillId="40" borderId="0" xfId="109" applyNumberFormat="1" applyFont="1" applyFill="1" applyAlignment="1">
      <alignment horizontal="center"/>
    </xf>
    <xf numFmtId="0" fontId="121" fillId="0" borderId="0" xfId="0" applyFont="1" applyAlignment="1">
      <alignment horizontal="left" wrapText="1"/>
    </xf>
    <xf numFmtId="0" fontId="105" fillId="0" borderId="0" xfId="0" applyFont="1" applyAlignment="1">
      <alignment horizontal="left" wrapText="1"/>
    </xf>
    <xf numFmtId="3" fontId="156" fillId="0" borderId="0" xfId="0" applyNumberFormat="1" applyFont="1"/>
    <xf numFmtId="0" fontId="92" fillId="0" borderId="0" xfId="0" applyFont="1"/>
    <xf numFmtId="9" fontId="38" fillId="58" borderId="11" xfId="109" applyFont="1" applyFill="1" applyBorder="1" applyAlignment="1">
      <alignment horizontal="center" vertical="center"/>
    </xf>
    <xf numFmtId="0" fontId="157" fillId="0" borderId="0" xfId="0" applyFont="1"/>
    <xf numFmtId="0" fontId="25" fillId="0" borderId="24" xfId="0" applyFont="1" applyBorder="1" applyAlignment="1">
      <alignment horizontal="center" wrapText="1"/>
    </xf>
    <xf numFmtId="0" fontId="0" fillId="38" borderId="16" xfId="0" applyFill="1" applyBorder="1"/>
    <xf numFmtId="0" fontId="0" fillId="38" borderId="23" xfId="0" applyFill="1" applyBorder="1"/>
    <xf numFmtId="0" fontId="105" fillId="0" borderId="0" xfId="0" quotePrefix="1" applyFont="1" applyAlignment="1"/>
    <xf numFmtId="0" fontId="158" fillId="0" borderId="0" xfId="0" applyFont="1" applyAlignment="1">
      <alignment horizontal="left"/>
    </xf>
    <xf numFmtId="0" fontId="0" fillId="59" borderId="11" xfId="0" applyFill="1" applyBorder="1"/>
    <xf numFmtId="0" fontId="122" fillId="0" borderId="0" xfId="0" applyFont="1" applyAlignment="1"/>
    <xf numFmtId="0" fontId="122" fillId="0" borderId="0" xfId="0" applyFont="1" applyAlignment="1">
      <alignment vertical="top"/>
    </xf>
    <xf numFmtId="0" fontId="122" fillId="0" borderId="0" xfId="0" applyFont="1" applyAlignment="1">
      <alignment horizontal="left" vertical="top"/>
    </xf>
    <xf numFmtId="0" fontId="122" fillId="0" borderId="0" xfId="0" applyFont="1" applyFill="1" applyAlignment="1">
      <alignment horizontal="left" vertical="top"/>
    </xf>
    <xf numFmtId="0" fontId="122" fillId="0" borderId="0" xfId="0" applyFont="1" applyFill="1" applyAlignment="1">
      <alignment vertical="top"/>
    </xf>
    <xf numFmtId="0" fontId="159" fillId="0" borderId="0" xfId="0" applyFont="1" applyAlignment="1"/>
    <xf numFmtId="3" fontId="27" fillId="0" borderId="0" xfId="0" quotePrefix="1" applyNumberFormat="1" applyFont="1"/>
    <xf numFmtId="0" fontId="0" fillId="34" borderId="0" xfId="0" applyFill="1"/>
    <xf numFmtId="3" fontId="3" fillId="41" borderId="23" xfId="0" applyNumberFormat="1" applyFont="1" applyFill="1" applyBorder="1" applyAlignment="1">
      <alignment horizontal="center"/>
    </xf>
    <xf numFmtId="0" fontId="19" fillId="33" borderId="0" xfId="91" applyFill="1" applyAlignment="1">
      <alignment vertical="top"/>
      <protection locked="0"/>
    </xf>
    <xf numFmtId="0" fontId="15" fillId="33" borderId="0" xfId="70" quotePrefix="1" applyFill="1" applyAlignment="1">
      <alignment vertical="top"/>
      <protection locked="0"/>
    </xf>
    <xf numFmtId="3" fontId="24" fillId="39" borderId="11" xfId="0" applyNumberFormat="1" applyFont="1" applyFill="1" applyBorder="1" applyAlignment="1">
      <alignment horizontal="center" vertical="center"/>
    </xf>
    <xf numFmtId="3" fontId="24" fillId="41" borderId="11" xfId="0" applyNumberFormat="1" applyFont="1" applyFill="1" applyBorder="1" applyAlignment="1">
      <alignment horizontal="center" vertical="center"/>
    </xf>
    <xf numFmtId="9" fontId="24" fillId="41" borderId="11" xfId="109" applyFont="1" applyFill="1" applyBorder="1" applyAlignment="1">
      <alignment horizontal="center" vertical="center"/>
    </xf>
    <xf numFmtId="9" fontId="24" fillId="42" borderId="11" xfId="109" applyFont="1" applyFill="1" applyBorder="1" applyAlignment="1">
      <alignment horizontal="center" vertical="center"/>
    </xf>
    <xf numFmtId="9" fontId="24" fillId="41" borderId="11" xfId="109" applyFont="1" applyFill="1" applyBorder="1" applyAlignment="1">
      <alignment horizontal="center"/>
    </xf>
    <xf numFmtId="0" fontId="121" fillId="0" borderId="0" xfId="0" applyFont="1" applyAlignment="1">
      <alignment horizontal="left" wrapText="1"/>
    </xf>
    <xf numFmtId="0" fontId="105" fillId="0" borderId="0" xfId="0" applyFont="1" applyAlignment="1">
      <alignment horizontal="left" wrapText="1"/>
    </xf>
    <xf numFmtId="0" fontId="3" fillId="0" borderId="23" xfId="0" applyFont="1" applyBorder="1" applyAlignment="1">
      <alignment horizontal="center" vertical="center" wrapText="1"/>
    </xf>
    <xf numFmtId="0" fontId="122" fillId="0" borderId="0" xfId="0" applyFont="1" applyFill="1" applyAlignment="1">
      <alignment horizontal="left" vertical="top"/>
    </xf>
    <xf numFmtId="166" fontId="3" fillId="39" borderId="11" xfId="40" applyNumberFormat="1" applyFont="1" applyFill="1" applyBorder="1"/>
    <xf numFmtId="166" fontId="3" fillId="41" borderId="11" xfId="40" applyNumberFormat="1" applyFont="1" applyFill="1" applyBorder="1"/>
    <xf numFmtId="0" fontId="126" fillId="0" borderId="0" xfId="0" applyFont="1" applyAlignment="1">
      <alignment horizontal="left" vertical="top"/>
    </xf>
    <xf numFmtId="0" fontId="0" fillId="0" borderId="0" xfId="0" applyBorder="1" applyAlignment="1">
      <alignment horizontal="center" vertical="center"/>
    </xf>
    <xf numFmtId="3" fontId="3" fillId="39" borderId="21" xfId="0" applyNumberFormat="1" applyFont="1" applyFill="1" applyBorder="1" applyAlignment="1">
      <alignment horizontal="center"/>
    </xf>
    <xf numFmtId="0" fontId="160" fillId="0" borderId="0" xfId="0" applyFont="1"/>
    <xf numFmtId="3" fontId="3" fillId="38" borderId="11" xfId="0" applyNumberFormat="1" applyFont="1" applyFill="1" applyBorder="1" applyAlignment="1">
      <alignment horizontal="center" vertical="center" wrapText="1"/>
    </xf>
    <xf numFmtId="3" fontId="3" fillId="41" borderId="11" xfId="0" applyNumberFormat="1" applyFont="1" applyFill="1" applyBorder="1" applyAlignment="1">
      <alignment horizontal="center" vertical="center"/>
    </xf>
    <xf numFmtId="166" fontId="3" fillId="0" borderId="0" xfId="0" applyNumberFormat="1" applyFont="1" applyAlignment="1">
      <alignment horizontal="center"/>
    </xf>
    <xf numFmtId="196" fontId="0" fillId="0" borderId="0" xfId="0" applyNumberFormat="1" applyAlignment="1">
      <alignment horizontal="center"/>
    </xf>
    <xf numFmtId="3" fontId="3" fillId="0" borderId="0" xfId="109" applyNumberFormat="1" applyFont="1" applyAlignment="1">
      <alignment horizontal="center"/>
    </xf>
    <xf numFmtId="197" fontId="0" fillId="0" borderId="0" xfId="0" applyNumberFormat="1"/>
    <xf numFmtId="197" fontId="3" fillId="0" borderId="0" xfId="0" applyNumberFormat="1" applyFont="1"/>
    <xf numFmtId="3" fontId="161" fillId="38" borderId="16" xfId="0" applyNumberFormat="1" applyFont="1" applyFill="1" applyBorder="1" applyAlignment="1">
      <alignment horizontal="center" vertical="center" wrapText="1"/>
    </xf>
    <xf numFmtId="3" fontId="0" fillId="0" borderId="0" xfId="0" applyNumberFormat="1" applyAlignment="1">
      <alignment vertical="center"/>
    </xf>
    <xf numFmtId="3" fontId="19" fillId="0" borderId="11" xfId="0" applyNumberFormat="1" applyFont="1" applyBorder="1" applyAlignment="1">
      <alignment horizontal="center" vertical="center"/>
    </xf>
    <xf numFmtId="3" fontId="37" fillId="40" borderId="11" xfId="0" applyNumberFormat="1" applyFont="1" applyFill="1" applyBorder="1" applyAlignment="1">
      <alignment horizontal="center" vertical="center"/>
    </xf>
    <xf numFmtId="3" fontId="121" fillId="0" borderId="11" xfId="0" applyNumberFormat="1" applyFont="1" applyBorder="1" applyAlignment="1">
      <alignment horizontal="center" vertical="center"/>
    </xf>
    <xf numFmtId="3" fontId="3" fillId="44" borderId="11" xfId="0" applyNumberFormat="1" applyFont="1" applyFill="1" applyBorder="1" applyAlignment="1">
      <alignment horizontal="center" vertical="center"/>
    </xf>
    <xf numFmtId="3" fontId="122" fillId="0" borderId="11" xfId="0" applyNumberFormat="1" applyFont="1" applyBorder="1" applyAlignment="1">
      <alignment horizontal="center" vertical="center"/>
    </xf>
    <xf numFmtId="3" fontId="34" fillId="41" borderId="11" xfId="0" applyNumberFormat="1" applyFont="1" applyFill="1" applyBorder="1" applyAlignment="1">
      <alignment horizontal="center" vertical="center"/>
    </xf>
    <xf numFmtId="3" fontId="161" fillId="38" borderId="16" xfId="0" applyNumberFormat="1" applyFont="1" applyFill="1" applyBorder="1" applyAlignment="1">
      <alignment horizontal="center" vertical="center"/>
    </xf>
    <xf numFmtId="3" fontId="19" fillId="59" borderId="16" xfId="0" applyNumberFormat="1" applyFont="1" applyFill="1" applyBorder="1" applyAlignment="1">
      <alignment vertical="center"/>
    </xf>
    <xf numFmtId="3" fontId="3" fillId="59" borderId="28" xfId="0" applyNumberFormat="1" applyFont="1" applyFill="1" applyBorder="1" applyAlignment="1">
      <alignment vertical="center"/>
    </xf>
    <xf numFmtId="0" fontId="162" fillId="59" borderId="11" xfId="0" applyFont="1" applyFill="1" applyBorder="1" applyAlignment="1">
      <alignment vertical="center"/>
    </xf>
    <xf numFmtId="3" fontId="121" fillId="59" borderId="11" xfId="0" applyNumberFormat="1" applyFont="1" applyFill="1" applyBorder="1" applyAlignment="1">
      <alignment horizontal="center" vertical="center"/>
    </xf>
    <xf numFmtId="0" fontId="163" fillId="0" borderId="0" xfId="0" applyFont="1" applyAlignment="1">
      <alignment horizontal="left" vertical="center" wrapText="1"/>
    </xf>
    <xf numFmtId="0" fontId="121" fillId="0" borderId="0" xfId="0" applyFont="1" applyAlignment="1">
      <alignment horizontal="left" vertical="center" wrapText="1"/>
    </xf>
    <xf numFmtId="0" fontId="164" fillId="0" borderId="0" xfId="0" applyFont="1"/>
    <xf numFmtId="0" fontId="105" fillId="0" borderId="0" xfId="0" applyFont="1" applyAlignment="1">
      <alignment horizontal="left" wrapText="1"/>
    </xf>
    <xf numFmtId="194" fontId="0" fillId="0" borderId="0" xfId="0" applyNumberFormat="1" applyAlignment="1">
      <alignment horizontal="center" vertical="center"/>
    </xf>
    <xf numFmtId="9" fontId="0" fillId="0" borderId="0" xfId="109" applyFont="1" applyAlignment="1">
      <alignment horizontal="center" vertical="center"/>
    </xf>
    <xf numFmtId="9" fontId="0" fillId="0" borderId="0" xfId="0" applyNumberFormat="1" applyAlignment="1">
      <alignment horizontal="center" vertical="center"/>
    </xf>
    <xf numFmtId="166" fontId="0" fillId="0" borderId="0" xfId="0" applyNumberFormat="1" applyAlignment="1">
      <alignment horizontal="center" vertical="center"/>
    </xf>
    <xf numFmtId="0" fontId="4" fillId="38" borderId="11" xfId="0" applyFont="1" applyFill="1" applyBorder="1" applyAlignment="1">
      <alignment horizontal="center" vertical="center" wrapText="1"/>
    </xf>
    <xf numFmtId="3" fontId="122" fillId="0" borderId="11" xfId="0" applyNumberFormat="1" applyFont="1" applyBorder="1" applyAlignment="1">
      <alignment horizontal="center" vertical="center" wrapText="1"/>
    </xf>
    <xf numFmtId="3" fontId="105" fillId="0" borderId="0" xfId="0" applyNumberFormat="1" applyFont="1" applyAlignment="1">
      <alignment horizontal="left" wrapText="1"/>
    </xf>
    <xf numFmtId="3" fontId="105" fillId="0" borderId="0" xfId="0" applyNumberFormat="1" applyFont="1" applyAlignment="1">
      <alignment horizontal="right" wrapText="1"/>
    </xf>
    <xf numFmtId="0" fontId="96" fillId="0" borderId="0" xfId="0" applyFont="1"/>
    <xf numFmtId="3" fontId="3" fillId="41" borderId="11" xfId="0" applyNumberFormat="1" applyFont="1" applyFill="1" applyBorder="1" applyAlignment="1">
      <alignment horizontal="center" vertical="center"/>
    </xf>
    <xf numFmtId="165" fontId="4" fillId="56" borderId="11" xfId="109" applyNumberFormat="1" applyFont="1" applyFill="1" applyBorder="1" applyAlignment="1">
      <alignment horizontal="center" vertical="center"/>
    </xf>
    <xf numFmtId="165" fontId="38" fillId="58" borderId="11" xfId="109" applyNumberFormat="1" applyFont="1" applyFill="1" applyBorder="1" applyAlignment="1">
      <alignment horizontal="center" vertical="center"/>
    </xf>
    <xf numFmtId="165" fontId="140" fillId="56" borderId="11" xfId="109" applyNumberFormat="1" applyFont="1" applyFill="1" applyBorder="1" applyAlignment="1">
      <alignment horizontal="center" vertical="center"/>
    </xf>
    <xf numFmtId="165" fontId="165" fillId="58" borderId="11" xfId="109" applyNumberFormat="1" applyFont="1" applyFill="1" applyBorder="1" applyAlignment="1">
      <alignment horizontal="center" vertical="center"/>
    </xf>
    <xf numFmtId="3" fontId="161" fillId="0" borderId="0" xfId="0" applyNumberFormat="1" applyFont="1" applyAlignment="1">
      <alignment horizontal="right" wrapText="1"/>
    </xf>
    <xf numFmtId="3" fontId="161" fillId="0" borderId="0" xfId="0" applyNumberFormat="1" applyFont="1" applyAlignment="1">
      <alignment horizontal="left" wrapText="1"/>
    </xf>
    <xf numFmtId="9" fontId="161" fillId="0" borderId="0" xfId="0" applyNumberFormat="1" applyFont="1" applyFill="1" applyAlignment="1">
      <alignment horizontal="left" vertical="top"/>
    </xf>
    <xf numFmtId="0" fontId="161" fillId="0" borderId="0" xfId="0" applyFont="1" applyFill="1" applyAlignment="1">
      <alignment horizontal="right" vertical="center"/>
    </xf>
    <xf numFmtId="0" fontId="126" fillId="0" borderId="0" xfId="0" applyFont="1" applyFill="1" applyAlignment="1">
      <alignment vertical="top"/>
    </xf>
    <xf numFmtId="9" fontId="34" fillId="0" borderId="0" xfId="0" applyNumberFormat="1" applyFont="1" applyAlignment="1">
      <alignment horizontal="left" vertical="top" wrapText="1"/>
    </xf>
    <xf numFmtId="0" fontId="118" fillId="38" borderId="0" xfId="0" applyFont="1" applyFill="1" applyAlignment="1">
      <alignment horizontal="left"/>
    </xf>
    <xf numFmtId="0" fontId="82" fillId="0" borderId="0" xfId="0" applyFont="1" applyAlignment="1">
      <alignment horizontal="left" wrapText="1"/>
    </xf>
    <xf numFmtId="0" fontId="105" fillId="0" borderId="0" xfId="0" applyFont="1" applyAlignment="1">
      <alignment horizontal="left" vertical="top" wrapText="1"/>
    </xf>
    <xf numFmtId="9" fontId="136" fillId="53" borderId="16" xfId="0" applyNumberFormat="1" applyFont="1" applyFill="1" applyBorder="1" applyAlignment="1">
      <alignment horizontal="center"/>
    </xf>
    <xf numFmtId="9" fontId="136" fillId="39" borderId="16" xfId="0" applyNumberFormat="1" applyFont="1" applyFill="1" applyBorder="1" applyAlignment="1">
      <alignment horizontal="center"/>
    </xf>
    <xf numFmtId="9" fontId="116" fillId="39" borderId="23" xfId="0" applyNumberFormat="1" applyFont="1" applyFill="1" applyBorder="1" applyAlignment="1">
      <alignment horizontal="center"/>
    </xf>
    <xf numFmtId="9" fontId="136" fillId="41" borderId="11" xfId="0" applyNumberFormat="1" applyFont="1" applyFill="1" applyBorder="1" applyAlignment="1">
      <alignment horizontal="center"/>
    </xf>
    <xf numFmtId="0" fontId="166" fillId="0" borderId="0" xfId="0" applyFont="1" applyFill="1" applyBorder="1"/>
    <xf numFmtId="17" fontId="161" fillId="38" borderId="0" xfId="0" quotePrefix="1" applyNumberFormat="1" applyFont="1" applyFill="1" applyAlignment="1">
      <alignment horizontal="left"/>
    </xf>
    <xf numFmtId="0" fontId="3" fillId="0" borderId="11" xfId="0" applyFont="1" applyBorder="1" applyAlignment="1">
      <alignment horizontal="center" vertical="top"/>
    </xf>
    <xf numFmtId="0" fontId="19" fillId="0" borderId="11" xfId="0" applyFont="1" applyBorder="1" applyAlignment="1">
      <alignment horizontal="center" vertical="center"/>
    </xf>
    <xf numFmtId="0" fontId="2" fillId="37" borderId="0" xfId="102" applyFill="1" applyBorder="1"/>
    <xf numFmtId="3" fontId="3" fillId="0" borderId="0" xfId="109" applyNumberFormat="1" applyFont="1" applyBorder="1" applyAlignment="1">
      <alignment horizontal="center"/>
    </xf>
    <xf numFmtId="3" fontId="3" fillId="0" borderId="0" xfId="109" applyNumberFormat="1" applyFont="1" applyFill="1" applyBorder="1" applyAlignment="1">
      <alignment horizontal="center"/>
    </xf>
    <xf numFmtId="195" fontId="4" fillId="0" borderId="0" xfId="0" applyNumberFormat="1" applyFont="1"/>
    <xf numFmtId="165" fontId="0" fillId="0" borderId="0" xfId="109" applyNumberFormat="1" applyFont="1" applyAlignment="1">
      <alignment horizontal="center"/>
    </xf>
    <xf numFmtId="165" fontId="0" fillId="0" borderId="0" xfId="0" applyNumberFormat="1" applyAlignment="1">
      <alignment horizontal="center"/>
    </xf>
    <xf numFmtId="10" fontId="25" fillId="43" borderId="11" xfId="109" applyNumberFormat="1" applyFont="1" applyFill="1" applyBorder="1" applyAlignment="1">
      <alignment horizontal="center" vertical="center" wrapText="1"/>
    </xf>
    <xf numFmtId="10" fontId="25" fillId="33" borderId="11" xfId="0" applyNumberFormat="1" applyFont="1" applyFill="1" applyBorder="1" applyAlignment="1">
      <alignment horizontal="center" vertical="center" wrapText="1"/>
    </xf>
    <xf numFmtId="165" fontId="24" fillId="41" borderId="11" xfId="109" applyNumberFormat="1" applyFont="1" applyFill="1" applyBorder="1" applyAlignment="1">
      <alignment horizontal="center"/>
    </xf>
    <xf numFmtId="165" fontId="34" fillId="0" borderId="0" xfId="0" applyNumberFormat="1" applyFont="1" applyAlignment="1">
      <alignment horizontal="left" vertical="top" wrapText="1"/>
    </xf>
    <xf numFmtId="3" fontId="121" fillId="0" borderId="0" xfId="0" applyNumberFormat="1" applyFont="1" applyAlignment="1">
      <alignment horizontal="left" wrapText="1"/>
    </xf>
    <xf numFmtId="3" fontId="2" fillId="0" borderId="0" xfId="101" applyNumberFormat="1"/>
    <xf numFmtId="9" fontId="3" fillId="38" borderId="11" xfId="109" applyFont="1" applyFill="1" applyBorder="1" applyAlignment="1">
      <alignment horizontal="center"/>
    </xf>
    <xf numFmtId="3" fontId="3" fillId="41" borderId="11" xfId="0" applyNumberFormat="1" applyFont="1" applyFill="1" applyBorder="1" applyAlignment="1">
      <alignment horizontal="center" vertical="center"/>
    </xf>
    <xf numFmtId="1" fontId="137" fillId="0" borderId="0" xfId="0" applyNumberFormat="1" applyFont="1" applyFill="1" applyBorder="1" applyAlignment="1">
      <alignment horizontal="left" wrapText="1"/>
    </xf>
    <xf numFmtId="1" fontId="24" fillId="0" borderId="11" xfId="0" applyNumberFormat="1" applyFont="1" applyFill="1" applyBorder="1" applyAlignment="1">
      <alignment horizontal="center" wrapText="1"/>
    </xf>
    <xf numFmtId="1" fontId="24" fillId="0" borderId="16" xfId="0" applyNumberFormat="1" applyFont="1" applyFill="1" applyBorder="1" applyAlignment="1">
      <alignment horizontal="center" wrapText="1"/>
    </xf>
    <xf numFmtId="2" fontId="24" fillId="56" borderId="11" xfId="0" applyNumberFormat="1" applyFont="1" applyFill="1" applyBorder="1" applyAlignment="1">
      <alignment horizontal="center" wrapText="1"/>
    </xf>
    <xf numFmtId="2" fontId="24" fillId="43" borderId="11" xfId="0" applyNumberFormat="1" applyFont="1" applyFill="1" applyBorder="1" applyAlignment="1">
      <alignment horizontal="center" wrapText="1"/>
    </xf>
    <xf numFmtId="10" fontId="3" fillId="38" borderId="11" xfId="109" applyNumberFormat="1" applyFont="1" applyFill="1" applyBorder="1" applyAlignment="1">
      <alignment horizontal="center" vertical="center"/>
    </xf>
    <xf numFmtId="10" fontId="3" fillId="39" borderId="11" xfId="109" applyNumberFormat="1" applyFont="1" applyFill="1" applyBorder="1" applyAlignment="1">
      <alignment horizontal="center"/>
    </xf>
    <xf numFmtId="10" fontId="3" fillId="41" borderId="11" xfId="109" applyNumberFormat="1" applyFont="1" applyFill="1" applyBorder="1" applyAlignment="1">
      <alignment horizontal="center" vertical="center"/>
    </xf>
    <xf numFmtId="10" fontId="19" fillId="0" borderId="0" xfId="0" applyNumberFormat="1" applyFont="1"/>
    <xf numFmtId="10" fontId="3" fillId="0" borderId="11" xfId="0" applyNumberFormat="1" applyFont="1" applyBorder="1" applyAlignment="1">
      <alignment horizontal="center"/>
    </xf>
    <xf numFmtId="10" fontId="126" fillId="0" borderId="0" xfId="0" applyNumberFormat="1" applyFont="1"/>
    <xf numFmtId="3" fontId="19" fillId="38" borderId="0" xfId="109" applyNumberFormat="1" applyFont="1" applyFill="1" applyAlignment="1">
      <alignment horizontal="center"/>
    </xf>
    <xf numFmtId="3" fontId="19" fillId="38" borderId="0" xfId="109" applyNumberFormat="1" applyFont="1" applyFill="1" applyBorder="1" applyAlignment="1">
      <alignment horizontal="center"/>
    </xf>
    <xf numFmtId="3" fontId="19" fillId="38" borderId="0" xfId="0" applyNumberFormat="1" applyFont="1" applyFill="1" applyAlignment="1">
      <alignment horizontal="center" vertical="center"/>
    </xf>
    <xf numFmtId="3" fontId="19" fillId="38" borderId="0" xfId="0" applyNumberFormat="1" applyFont="1" applyFill="1" applyBorder="1" applyAlignment="1">
      <alignment horizontal="center" vertical="center"/>
    </xf>
    <xf numFmtId="9" fontId="0" fillId="0" borderId="0" xfId="109" applyFont="1" applyAlignment="1">
      <alignment horizontal="left"/>
    </xf>
    <xf numFmtId="3" fontId="33" fillId="41" borderId="11" xfId="0" applyNumberFormat="1" applyFont="1" applyFill="1" applyBorder="1" applyAlignment="1">
      <alignment horizontal="center" vertical="center"/>
    </xf>
    <xf numFmtId="200" fontId="98" fillId="0" borderId="0" xfId="0" applyNumberFormat="1" applyFont="1"/>
    <xf numFmtId="0" fontId="25" fillId="0" borderId="16" xfId="0" applyFont="1" applyBorder="1" applyAlignment="1">
      <alignment vertical="center" wrapText="1"/>
    </xf>
    <xf numFmtId="0" fontId="25" fillId="0" borderId="28" xfId="0" applyFont="1" applyBorder="1" applyAlignment="1">
      <alignment vertical="center" wrapText="1"/>
    </xf>
    <xf numFmtId="0" fontId="25" fillId="0" borderId="23" xfId="0" applyFont="1" applyBorder="1" applyAlignment="1">
      <alignment vertical="center" wrapText="1"/>
    </xf>
    <xf numFmtId="0" fontId="25" fillId="0" borderId="16" xfId="0" applyFont="1" applyBorder="1" applyAlignment="1">
      <alignment wrapText="1"/>
    </xf>
    <xf numFmtId="0" fontId="25" fillId="0" borderId="28" xfId="0" applyFont="1" applyBorder="1" applyAlignment="1">
      <alignment wrapText="1"/>
    </xf>
    <xf numFmtId="0" fontId="25" fillId="0" borderId="23" xfId="0" applyFont="1" applyBorder="1" applyAlignment="1">
      <alignment wrapText="1"/>
    </xf>
    <xf numFmtId="0" fontId="0" fillId="38" borderId="16" xfId="0" applyFill="1" applyBorder="1" applyAlignment="1"/>
    <xf numFmtId="0" fontId="0" fillId="38" borderId="23" xfId="0" applyFill="1" applyBorder="1" applyAlignment="1"/>
    <xf numFmtId="0" fontId="167" fillId="0" borderId="0" xfId="0" applyFont="1"/>
    <xf numFmtId="201" fontId="57" fillId="0" borderId="0" xfId="0" applyNumberFormat="1" applyFont="1"/>
    <xf numFmtId="9" fontId="0" fillId="0" borderId="11" xfId="0" applyNumberFormat="1" applyBorder="1" applyAlignment="1">
      <alignment horizontal="center"/>
    </xf>
    <xf numFmtId="0" fontId="105" fillId="0" borderId="0" xfId="0" applyFont="1" applyFill="1" applyAlignment="1">
      <alignment horizontal="left" vertical="top" wrapText="1"/>
    </xf>
    <xf numFmtId="0" fontId="122" fillId="0" borderId="0" xfId="0" applyFont="1" applyAlignment="1">
      <alignment horizontal="left" wrapText="1"/>
    </xf>
    <xf numFmtId="0" fontId="121" fillId="0" borderId="0" xfId="0" applyFont="1" applyAlignment="1"/>
    <xf numFmtId="3" fontId="121" fillId="0" borderId="0" xfId="0" applyNumberFormat="1" applyFont="1" applyAlignment="1">
      <alignment horizontal="right" vertical="center" wrapText="1"/>
    </xf>
    <xf numFmtId="165" fontId="0" fillId="0" borderId="0" xfId="109" applyNumberFormat="1" applyFont="1" applyAlignment="1">
      <alignment horizontal="right"/>
    </xf>
    <xf numFmtId="166" fontId="0" fillId="0" borderId="0" xfId="0" applyNumberFormat="1" applyFill="1" applyAlignment="1">
      <alignment horizontal="right"/>
    </xf>
    <xf numFmtId="199" fontId="38" fillId="38" borderId="28" xfId="44" applyNumberFormat="1" applyFont="1" applyFill="1" applyBorder="1" applyAlignment="1">
      <alignment horizontal="center" vertical="center"/>
    </xf>
    <xf numFmtId="199" fontId="25" fillId="0" borderId="28" xfId="0" applyNumberFormat="1" applyFont="1" applyBorder="1" applyAlignment="1">
      <alignment wrapText="1"/>
    </xf>
    <xf numFmtId="199" fontId="4" fillId="0" borderId="0" xfId="0" applyNumberFormat="1" applyFont="1"/>
    <xf numFmtId="198" fontId="38" fillId="0" borderId="0" xfId="0" applyNumberFormat="1" applyFont="1" applyAlignment="1">
      <alignment horizontal="left" vertical="top" wrapText="1"/>
    </xf>
    <xf numFmtId="10" fontId="38" fillId="35" borderId="11" xfId="0" applyNumberFormat="1" applyFont="1" applyFill="1" applyBorder="1" applyAlignment="1">
      <alignment horizontal="center" vertical="center" wrapText="1"/>
    </xf>
    <xf numFmtId="0" fontId="126" fillId="0" borderId="0" xfId="0" applyFont="1" applyAlignment="1">
      <alignment horizontal="left"/>
    </xf>
    <xf numFmtId="0" fontId="3" fillId="0" borderId="0" xfId="0" applyFont="1" applyBorder="1" applyAlignment="1">
      <alignment horizontal="center" vertical="top" wrapText="1"/>
    </xf>
    <xf numFmtId="0" fontId="32" fillId="0" borderId="0" xfId="0" applyFont="1" applyBorder="1" applyAlignment="1">
      <alignment horizontal="center" vertical="top"/>
    </xf>
    <xf numFmtId="0" fontId="24" fillId="0" borderId="11" xfId="0" applyFont="1" applyBorder="1" applyAlignment="1">
      <alignment horizontal="center" vertical="center" wrapText="1"/>
    </xf>
    <xf numFmtId="0" fontId="122" fillId="0" borderId="11" xfId="0" applyFont="1" applyBorder="1" applyAlignment="1">
      <alignment horizontal="center" vertical="center"/>
    </xf>
    <xf numFmtId="0" fontId="25" fillId="35" borderId="11" xfId="0" applyFont="1" applyFill="1" applyBorder="1" applyAlignment="1">
      <alignment horizontal="center" vertical="center" wrapText="1"/>
    </xf>
    <xf numFmtId="0" fontId="168" fillId="38" borderId="11" xfId="0" applyFont="1" applyFill="1" applyBorder="1" applyAlignment="1">
      <alignment horizontal="center" vertical="center" wrapText="1"/>
    </xf>
    <xf numFmtId="0" fontId="169" fillId="38" borderId="11" xfId="0" applyFont="1" applyFill="1" applyBorder="1" applyAlignment="1">
      <alignment horizontal="center" vertical="center" wrapText="1"/>
    </xf>
    <xf numFmtId="0" fontId="15" fillId="33" borderId="0" xfId="70" applyFill="1" applyAlignment="1">
      <protection locked="0"/>
    </xf>
    <xf numFmtId="0" fontId="3" fillId="33" borderId="30" xfId="91" applyFont="1" applyFill="1" applyBorder="1" applyAlignment="1">
      <alignment horizontal="center"/>
      <protection locked="0"/>
    </xf>
    <xf numFmtId="0" fontId="19" fillId="33" borderId="30" xfId="91" applyFill="1" applyBorder="1" applyAlignment="1">
      <alignment horizontal="center"/>
      <protection locked="0"/>
    </xf>
    <xf numFmtId="0" fontId="122" fillId="33" borderId="30" xfId="91" applyFont="1" applyFill="1" applyBorder="1" applyAlignment="1">
      <alignment horizontal="center"/>
      <protection locked="0"/>
    </xf>
    <xf numFmtId="0" fontId="122" fillId="33" borderId="30" xfId="91" applyFont="1" applyFill="1" applyBorder="1" applyAlignment="1">
      <alignment horizontal="center" vertical="center"/>
      <protection locked="0"/>
    </xf>
    <xf numFmtId="0" fontId="0" fillId="33" borderId="30" xfId="0" applyFill="1" applyBorder="1" applyAlignment="1">
      <alignment horizontal="center"/>
    </xf>
    <xf numFmtId="0" fontId="0" fillId="33" borderId="30" xfId="0" quotePrefix="1" applyFill="1" applyBorder="1" applyAlignment="1">
      <alignment horizontal="center"/>
    </xf>
    <xf numFmtId="0" fontId="107" fillId="36" borderId="0" xfId="70" applyFont="1" applyFill="1" applyAlignment="1" applyProtection="1"/>
    <xf numFmtId="0" fontId="15" fillId="37" borderId="0" xfId="70" applyFill="1" applyBorder="1" applyAlignment="1" applyProtection="1"/>
    <xf numFmtId="0" fontId="4" fillId="38" borderId="11" xfId="0" quotePrefix="1" applyFont="1" applyFill="1" applyBorder="1" applyAlignment="1">
      <alignment horizontal="center" vertical="center" wrapText="1"/>
    </xf>
    <xf numFmtId="0" fontId="4" fillId="38" borderId="15" xfId="0" quotePrefix="1" applyFont="1" applyFill="1" applyBorder="1" applyAlignment="1">
      <alignment horizontal="center" vertical="center" wrapText="1"/>
    </xf>
    <xf numFmtId="0" fontId="122" fillId="0" borderId="0" xfId="0" applyFont="1" applyAlignment="1">
      <alignment horizontal="left" wrapText="1"/>
    </xf>
    <xf numFmtId="0" fontId="3" fillId="0" borderId="11" xfId="0" applyFont="1" applyBorder="1" applyAlignment="1">
      <alignment horizontal="center" vertical="center" wrapText="1"/>
    </xf>
    <xf numFmtId="0" fontId="3" fillId="0" borderId="11" xfId="0" applyFont="1" applyBorder="1" applyAlignment="1">
      <alignment horizontal="center" vertical="center"/>
    </xf>
    <xf numFmtId="0" fontId="25" fillId="0" borderId="23" xfId="0" applyFont="1" applyBorder="1" applyAlignment="1">
      <alignment horizontal="center"/>
    </xf>
    <xf numFmtId="0" fontId="25" fillId="0" borderId="11" xfId="0" applyFont="1" applyBorder="1" applyAlignment="1">
      <alignment horizontal="center" vertical="center" wrapText="1"/>
    </xf>
    <xf numFmtId="0" fontId="3" fillId="0" borderId="11" xfId="0" applyFont="1" applyBorder="1" applyAlignment="1">
      <alignment horizontal="center" vertical="center"/>
    </xf>
    <xf numFmtId="0" fontId="126" fillId="0" borderId="0" xfId="0" applyFont="1" applyAlignment="1"/>
    <xf numFmtId="0" fontId="25" fillId="33" borderId="11" xfId="0" applyFont="1" applyFill="1" applyBorder="1" applyAlignment="1">
      <alignment horizontal="center" vertical="center" wrapText="1"/>
    </xf>
    <xf numFmtId="3" fontId="173" fillId="0" borderId="0" xfId="0" applyNumberFormat="1" applyFont="1"/>
    <xf numFmtId="3" fontId="174" fillId="0" borderId="0" xfId="0" applyNumberFormat="1" applyFont="1"/>
    <xf numFmtId="0" fontId="19" fillId="0" borderId="0" xfId="0" applyFont="1" applyAlignment="1">
      <alignment wrapText="1"/>
    </xf>
    <xf numFmtId="0" fontId="32" fillId="0" borderId="11" xfId="0" applyFont="1" applyBorder="1" applyAlignment="1">
      <alignment horizontal="center" vertical="center" wrapText="1"/>
    </xf>
    <xf numFmtId="0" fontId="32" fillId="0" borderId="11" xfId="0" applyFont="1" applyBorder="1" applyAlignment="1">
      <alignment horizontal="center" vertical="center"/>
    </xf>
    <xf numFmtId="0" fontId="25" fillId="35" borderId="0" xfId="0" applyFont="1" applyFill="1" applyBorder="1" applyAlignment="1">
      <alignment horizontal="center" vertical="center"/>
    </xf>
    <xf numFmtId="0" fontId="25" fillId="35" borderId="0" xfId="0" applyFont="1" applyFill="1" applyBorder="1" applyAlignment="1">
      <alignment horizontal="center" vertical="center" wrapText="1"/>
    </xf>
    <xf numFmtId="0" fontId="34" fillId="0" borderId="0" xfId="0" applyFont="1" applyAlignment="1">
      <alignment wrapText="1"/>
    </xf>
    <xf numFmtId="0" fontId="34" fillId="0" borderId="0" xfId="0" applyFont="1" applyAlignment="1"/>
    <xf numFmtId="0" fontId="2" fillId="37" borderId="0" xfId="102" applyFont="1" applyFill="1"/>
    <xf numFmtId="0" fontId="2" fillId="37" borderId="0" xfId="104" applyFont="1" applyFill="1" applyBorder="1" applyAlignment="1">
      <alignment vertical="top"/>
    </xf>
    <xf numFmtId="0" fontId="2" fillId="37" borderId="0" xfId="0" applyFont="1" applyFill="1" applyBorder="1" applyAlignment="1"/>
    <xf numFmtId="0" fontId="0" fillId="0" borderId="31" xfId="0" applyBorder="1"/>
    <xf numFmtId="0" fontId="0" fillId="0" borderId="32" xfId="0" applyBorder="1"/>
    <xf numFmtId="0" fontId="174" fillId="0" borderId="32" xfId="0" applyFont="1" applyBorder="1"/>
    <xf numFmtId="0" fontId="122" fillId="0" borderId="32" xfId="0" applyFont="1" applyBorder="1" applyAlignment="1">
      <alignment wrapText="1"/>
    </xf>
    <xf numFmtId="0" fontId="122" fillId="0" borderId="32" xfId="0" applyFont="1" applyBorder="1"/>
    <xf numFmtId="0" fontId="3" fillId="0" borderId="32" xfId="0" applyFont="1" applyBorder="1"/>
    <xf numFmtId="0" fontId="0" fillId="0" borderId="40" xfId="0" applyBorder="1"/>
    <xf numFmtId="0" fontId="0" fillId="0" borderId="44" xfId="0" applyBorder="1"/>
    <xf numFmtId="0" fontId="25" fillId="0" borderId="45" xfId="0" applyFont="1" applyBorder="1" applyAlignment="1">
      <alignment horizontal="center"/>
    </xf>
    <xf numFmtId="0" fontId="0" fillId="0" borderId="46" xfId="0" applyBorder="1"/>
    <xf numFmtId="3" fontId="4" fillId="38" borderId="45" xfId="40" applyNumberFormat="1" applyFont="1" applyFill="1" applyBorder="1" applyAlignment="1">
      <alignment horizontal="center" vertical="center"/>
    </xf>
    <xf numFmtId="3" fontId="4" fillId="38" borderId="23" xfId="0" applyNumberFormat="1" applyFont="1" applyFill="1" applyBorder="1" applyAlignment="1">
      <alignment horizontal="center" vertical="center"/>
    </xf>
    <xf numFmtId="0" fontId="0" fillId="0" borderId="47" xfId="0" applyBorder="1"/>
    <xf numFmtId="0" fontId="175" fillId="0" borderId="32" xfId="70" applyFont="1" applyBorder="1" applyAlignment="1" applyProtection="1"/>
    <xf numFmtId="0" fontId="3" fillId="0" borderId="32" xfId="0" applyFont="1" applyBorder="1" applyAlignment="1">
      <alignment vertical="center"/>
    </xf>
    <xf numFmtId="0" fontId="175" fillId="0" borderId="32" xfId="70" applyFont="1" applyBorder="1" applyAlignment="1" applyProtection="1">
      <alignment vertical="center"/>
    </xf>
    <xf numFmtId="0" fontId="0" fillId="0" borderId="32" xfId="0" applyBorder="1" applyAlignment="1"/>
    <xf numFmtId="0" fontId="2" fillId="0" borderId="32" xfId="0" applyFont="1" applyBorder="1"/>
    <xf numFmtId="0" fontId="98" fillId="0" borderId="32" xfId="0" applyFont="1" applyBorder="1" applyAlignment="1">
      <alignment horizontal="center"/>
    </xf>
    <xf numFmtId="3" fontId="25" fillId="0" borderId="32" xfId="0" applyNumberFormat="1" applyFont="1" applyBorder="1" applyAlignment="1">
      <alignment horizontal="center"/>
    </xf>
    <xf numFmtId="3" fontId="0" fillId="0" borderId="32" xfId="0" applyNumberFormat="1" applyBorder="1"/>
    <xf numFmtId="3" fontId="102" fillId="0" borderId="0" xfId="0" applyNumberFormat="1" applyFont="1" applyAlignment="1">
      <alignment vertical="center"/>
    </xf>
    <xf numFmtId="0" fontId="176" fillId="0" borderId="0" xfId="0" applyFont="1" applyAlignment="1"/>
    <xf numFmtId="0" fontId="3" fillId="0" borderId="32" xfId="0" applyFont="1" applyBorder="1" applyAlignment="1">
      <alignment vertical="top"/>
    </xf>
    <xf numFmtId="0" fontId="3" fillId="0" borderId="32" xfId="0" applyFont="1" applyBorder="1" applyAlignment="1">
      <alignment horizontal="centerContinuous" vertical="top"/>
    </xf>
    <xf numFmtId="0" fontId="38" fillId="0" borderId="32" xfId="0" applyFont="1" applyBorder="1" applyAlignment="1">
      <alignment horizontal="left" vertical="top"/>
    </xf>
    <xf numFmtId="0" fontId="105" fillId="0" borderId="0" xfId="0" applyFont="1" applyAlignment="1">
      <alignment horizontal="left" wrapText="1"/>
    </xf>
    <xf numFmtId="0" fontId="122" fillId="0" borderId="0" xfId="0" applyFont="1" applyAlignment="1">
      <alignment horizontal="left" vertical="center" wrapText="1"/>
    </xf>
    <xf numFmtId="0" fontId="32" fillId="0" borderId="0" xfId="157" applyFont="1"/>
    <xf numFmtId="0" fontId="127" fillId="0" borderId="0" xfId="157" applyFont="1"/>
    <xf numFmtId="0" fontId="2" fillId="0" borderId="0" xfId="157"/>
    <xf numFmtId="0" fontId="2" fillId="36" borderId="0" xfId="135" applyFill="1">
      <protection locked="0"/>
    </xf>
    <xf numFmtId="0" fontId="102" fillId="36" borderId="0" xfId="135" applyFont="1" applyFill="1" applyProtection="1"/>
    <xf numFmtId="0" fontId="103" fillId="36" borderId="0" xfId="135" applyFont="1" applyFill="1">
      <protection locked="0"/>
    </xf>
    <xf numFmtId="1" fontId="26" fillId="36" borderId="0" xfId="48" applyFill="1">
      <alignment horizontal="center" vertical="center"/>
    </xf>
    <xf numFmtId="0" fontId="2" fillId="36" borderId="0" xfId="135" applyFill="1" applyAlignment="1">
      <alignment vertical="center" wrapText="1"/>
      <protection locked="0"/>
    </xf>
    <xf numFmtId="0" fontId="107" fillId="36" borderId="0" xfId="70" applyFont="1" applyFill="1" applyAlignment="1" applyProtection="1"/>
    <xf numFmtId="0" fontId="107" fillId="36" borderId="0" xfId="135" applyFont="1" applyFill="1" applyProtection="1"/>
    <xf numFmtId="3" fontId="2" fillId="0" borderId="0" xfId="0" applyNumberFormat="1" applyFont="1"/>
    <xf numFmtId="9" fontId="2" fillId="0" borderId="0" xfId="157" applyNumberFormat="1"/>
    <xf numFmtId="0" fontId="2" fillId="36" borderId="0" xfId="91" applyFont="1" applyFill="1">
      <protection locked="0"/>
    </xf>
    <xf numFmtId="0" fontId="105" fillId="0" borderId="0" xfId="0" applyFont="1" applyAlignment="1">
      <alignment horizontal="left" wrapText="1"/>
    </xf>
    <xf numFmtId="0" fontId="121" fillId="0" borderId="0" xfId="0" applyFont="1" applyAlignment="1">
      <alignment horizontal="left" wrapText="1"/>
    </xf>
    <xf numFmtId="0" fontId="105" fillId="0" borderId="0" xfId="0" applyFont="1" applyAlignment="1">
      <alignment horizontal="left" wrapText="1"/>
    </xf>
    <xf numFmtId="3" fontId="3" fillId="41" borderId="11" xfId="0" applyNumberFormat="1" applyFont="1" applyFill="1" applyBorder="1" applyAlignment="1">
      <alignment horizontal="center" vertical="center"/>
    </xf>
    <xf numFmtId="0" fontId="179" fillId="0" borderId="44" xfId="0" applyFont="1" applyBorder="1" applyAlignment="1">
      <alignment horizontal="center" vertical="center" wrapText="1"/>
    </xf>
    <xf numFmtId="0" fontId="25" fillId="35" borderId="11" xfId="0" applyFont="1" applyFill="1" applyBorder="1" applyAlignment="1">
      <alignment horizontal="center" vertical="center" wrapText="1"/>
    </xf>
    <xf numFmtId="0" fontId="180" fillId="38" borderId="15" xfId="0" applyFont="1" applyFill="1" applyBorder="1" applyAlignment="1">
      <alignment horizontal="center" vertical="center" wrapText="1"/>
    </xf>
    <xf numFmtId="0" fontId="180" fillId="38" borderId="29" xfId="0" applyFont="1" applyFill="1" applyBorder="1" applyAlignment="1">
      <alignment horizontal="center" vertical="center" wrapText="1"/>
    </xf>
    <xf numFmtId="0" fontId="180" fillId="38" borderId="24" xfId="0" applyFont="1" applyFill="1" applyBorder="1" applyAlignment="1">
      <alignment horizontal="center" vertical="center" wrapText="1"/>
    </xf>
    <xf numFmtId="0" fontId="168" fillId="38" borderId="24" xfId="0" applyFont="1" applyFill="1" applyBorder="1" applyAlignment="1">
      <alignment horizontal="center" vertical="center" wrapText="1"/>
    </xf>
    <xf numFmtId="202" fontId="105" fillId="0" borderId="1" xfId="36" applyNumberFormat="1" applyFont="1" applyAlignment="1">
      <alignment horizontal="left" vertical="top"/>
    </xf>
    <xf numFmtId="0" fontId="2" fillId="0" borderId="0" xfId="0" applyFont="1"/>
    <xf numFmtId="0" fontId="32" fillId="0" borderId="11" xfId="0" applyFont="1" applyBorder="1" applyAlignment="1">
      <alignment horizontal="center" vertical="center"/>
    </xf>
    <xf numFmtId="0" fontId="32" fillId="0" borderId="11" xfId="0" applyFont="1" applyBorder="1" applyAlignment="1">
      <alignment horizontal="center" vertical="center"/>
    </xf>
    <xf numFmtId="49" fontId="121" fillId="28" borderId="1" xfId="122" applyFont="1">
      <alignment horizontal="left" vertical="top" wrapText="1"/>
    </xf>
    <xf numFmtId="49" fontId="121" fillId="28" borderId="18" xfId="122" applyFont="1" applyBorder="1" applyAlignment="1">
      <alignment horizontal="left" vertical="top" wrapText="1"/>
    </xf>
    <xf numFmtId="49" fontId="121" fillId="28" borderId="19" xfId="122" applyFont="1" applyBorder="1" applyAlignment="1">
      <alignment horizontal="left" vertical="top" wrapText="1"/>
    </xf>
    <xf numFmtId="49" fontId="121" fillId="28" borderId="20" xfId="122" applyFont="1" applyBorder="1" applyAlignment="1">
      <alignment horizontal="left" vertical="top" wrapText="1"/>
    </xf>
    <xf numFmtId="49" fontId="121" fillId="28" borderId="18" xfId="122" applyFont="1" applyBorder="1">
      <alignment horizontal="left" vertical="top" wrapText="1"/>
    </xf>
    <xf numFmtId="49" fontId="121" fillId="28" borderId="19" xfId="122" applyFont="1" applyBorder="1">
      <alignment horizontal="left" vertical="top" wrapText="1"/>
    </xf>
    <xf numFmtId="49" fontId="121" fillId="28" borderId="20" xfId="122" applyFont="1" applyBorder="1">
      <alignment horizontal="left" vertical="top" wrapText="1"/>
    </xf>
    <xf numFmtId="49" fontId="121" fillId="28" borderId="18" xfId="122" applyFont="1" applyBorder="1" applyAlignment="1">
      <alignment horizontal="left" vertical="center" wrapText="1"/>
    </xf>
    <xf numFmtId="49" fontId="121" fillId="28" borderId="19" xfId="122" applyFont="1" applyBorder="1" applyAlignment="1">
      <alignment horizontal="left" vertical="center" wrapText="1"/>
    </xf>
    <xf numFmtId="49" fontId="121" fillId="28" borderId="20" xfId="122" applyFont="1" applyBorder="1" applyAlignment="1">
      <alignment horizontal="left" vertical="center" wrapText="1"/>
    </xf>
    <xf numFmtId="0" fontId="34" fillId="38" borderId="0" xfId="91" applyFont="1" applyFill="1" applyAlignment="1">
      <alignment horizontal="center"/>
      <protection locked="0"/>
    </xf>
    <xf numFmtId="0" fontId="170" fillId="60" borderId="0" xfId="91" applyFont="1" applyFill="1" applyAlignment="1">
      <alignment horizontal="center"/>
      <protection locked="0"/>
    </xf>
    <xf numFmtId="0" fontId="170" fillId="60" borderId="0" xfId="0" applyFont="1" applyFill="1" applyAlignment="1">
      <alignment horizontal="center"/>
    </xf>
    <xf numFmtId="0" fontId="19" fillId="0" borderId="0" xfId="91" applyFill="1" applyAlignment="1">
      <alignment horizontal="center"/>
      <protection locked="0"/>
    </xf>
    <xf numFmtId="0" fontId="19" fillId="0" borderId="0" xfId="0" applyFont="1" applyAlignment="1">
      <alignment horizontal="left" wrapText="1"/>
    </xf>
    <xf numFmtId="0" fontId="121" fillId="0" borderId="0" xfId="0" applyFont="1" applyAlignment="1">
      <alignment horizontal="left" wrapText="1"/>
    </xf>
    <xf numFmtId="0" fontId="34" fillId="39" borderId="0" xfId="91" applyFont="1" applyFill="1" applyAlignment="1">
      <alignment horizontal="center"/>
      <protection locked="0"/>
    </xf>
    <xf numFmtId="0" fontId="34" fillId="41" borderId="0" xfId="91" applyFont="1" applyFill="1" applyAlignment="1">
      <alignment horizontal="center"/>
      <protection locked="0"/>
    </xf>
    <xf numFmtId="0" fontId="121" fillId="0" borderId="0" xfId="0" applyFont="1" applyAlignment="1">
      <alignment horizontal="left" vertical="top" wrapText="1"/>
    </xf>
    <xf numFmtId="0" fontId="3" fillId="37" borderId="0" xfId="105" applyFont="1" applyFill="1" applyBorder="1" applyAlignment="1">
      <alignment horizontal="left" vertical="center" wrapText="1"/>
    </xf>
    <xf numFmtId="0" fontId="94" fillId="0" borderId="11" xfId="0" applyFont="1" applyBorder="1" applyAlignment="1">
      <alignment horizontal="center" vertical="center" wrapText="1"/>
    </xf>
    <xf numFmtId="0" fontId="105" fillId="0" borderId="0" xfId="0" applyFont="1" applyFill="1" applyAlignment="1">
      <alignment horizontal="left" vertical="top" wrapText="1"/>
    </xf>
    <xf numFmtId="0" fontId="122" fillId="0" borderId="0" xfId="0" applyFont="1" applyAlignment="1">
      <alignment horizontal="left" vertical="top" wrapText="1"/>
    </xf>
    <xf numFmtId="0" fontId="3" fillId="0" borderId="11" xfId="0" applyFont="1" applyBorder="1" applyAlignment="1">
      <alignment horizontal="center" vertical="center" wrapText="1"/>
    </xf>
    <xf numFmtId="0" fontId="19" fillId="0" borderId="27" xfId="0" applyFont="1" applyBorder="1" applyAlignment="1">
      <alignment horizontal="center" vertical="center" wrapText="1"/>
    </xf>
    <xf numFmtId="0" fontId="19" fillId="0" borderId="25" xfId="0" applyFont="1" applyBorder="1" applyAlignment="1">
      <alignment horizontal="center" vertical="center" wrapText="1"/>
    </xf>
    <xf numFmtId="0" fontId="19" fillId="0" borderId="11"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3"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24" xfId="0" applyFont="1" applyBorder="1" applyAlignment="1">
      <alignment horizontal="center" vertical="center" wrapText="1"/>
    </xf>
    <xf numFmtId="0" fontId="3" fillId="0" borderId="28" xfId="0" applyFont="1" applyBorder="1" applyAlignment="1">
      <alignment horizontal="center" vertical="center" wrapText="1"/>
    </xf>
    <xf numFmtId="0" fontId="105" fillId="0" borderId="11" xfId="0" applyFont="1" applyBorder="1" applyAlignment="1">
      <alignment horizontal="center" vertical="center" wrapText="1"/>
    </xf>
    <xf numFmtId="0" fontId="122" fillId="0" borderId="33" xfId="0" applyFont="1" applyBorder="1" applyAlignment="1">
      <alignment horizontal="left" wrapText="1"/>
    </xf>
    <xf numFmtId="0" fontId="122" fillId="0" borderId="34" xfId="0" applyFont="1" applyBorder="1" applyAlignment="1">
      <alignment horizontal="left" wrapText="1"/>
    </xf>
    <xf numFmtId="0" fontId="122" fillId="0" borderId="35" xfId="0" applyFont="1" applyBorder="1" applyAlignment="1">
      <alignment horizontal="left" wrapText="1"/>
    </xf>
    <xf numFmtId="0" fontId="122" fillId="0" borderId="36" xfId="0" applyFont="1" applyBorder="1" applyAlignment="1">
      <alignment horizontal="left" wrapText="1"/>
    </xf>
    <xf numFmtId="0" fontId="3" fillId="0" borderId="41" xfId="0" applyFont="1" applyBorder="1" applyAlignment="1">
      <alignment horizontal="center"/>
    </xf>
    <xf numFmtId="0" fontId="3" fillId="0" borderId="42" xfId="0" applyFont="1" applyBorder="1" applyAlignment="1">
      <alignment horizontal="center"/>
    </xf>
    <xf numFmtId="0" fontId="3" fillId="0" borderId="43" xfId="0" applyFont="1" applyBorder="1" applyAlignment="1">
      <alignment horizontal="center"/>
    </xf>
    <xf numFmtId="0" fontId="3" fillId="0" borderId="41" xfId="0" applyFont="1" applyBorder="1" applyAlignment="1">
      <alignment horizontal="center" wrapText="1"/>
    </xf>
    <xf numFmtId="0" fontId="3" fillId="0" borderId="42" xfId="0" applyFont="1" applyBorder="1" applyAlignment="1">
      <alignment horizontal="center" wrapText="1"/>
    </xf>
    <xf numFmtId="0" fontId="3" fillId="0" borderId="43" xfId="0" applyFont="1" applyBorder="1" applyAlignment="1">
      <alignment horizontal="center" wrapText="1"/>
    </xf>
    <xf numFmtId="0" fontId="175" fillId="0" borderId="48" xfId="70" applyFont="1" applyBorder="1" applyAlignment="1" applyProtection="1">
      <alignment horizontal="center" vertical="center"/>
    </xf>
    <xf numFmtId="0" fontId="175" fillId="0" borderId="49" xfId="70" applyFont="1" applyBorder="1" applyAlignment="1" applyProtection="1">
      <alignment horizontal="center" vertical="center"/>
    </xf>
    <xf numFmtId="0" fontId="175" fillId="0" borderId="50" xfId="70" applyFont="1" applyBorder="1" applyAlignment="1" applyProtection="1">
      <alignment horizontal="center" vertical="center"/>
    </xf>
    <xf numFmtId="0" fontId="175" fillId="0" borderId="48" xfId="70" applyFont="1" applyBorder="1" applyAlignment="1" applyProtection="1">
      <alignment horizontal="center"/>
    </xf>
    <xf numFmtId="0" fontId="175" fillId="0" borderId="49" xfId="70" applyFont="1" applyBorder="1" applyAlignment="1" applyProtection="1">
      <alignment horizontal="center"/>
    </xf>
    <xf numFmtId="0" fontId="175" fillId="0" borderId="50" xfId="70" applyFont="1" applyBorder="1" applyAlignment="1" applyProtection="1">
      <alignment horizontal="center"/>
    </xf>
    <xf numFmtId="0" fontId="175" fillId="0" borderId="32" xfId="70" applyFont="1" applyBorder="1" applyAlignment="1" applyProtection="1">
      <alignment horizontal="center" vertical="center"/>
    </xf>
    <xf numFmtId="0" fontId="3" fillId="0" borderId="33" xfId="0" applyFont="1" applyBorder="1" applyAlignment="1">
      <alignment horizontal="left" vertical="top" wrapText="1"/>
    </xf>
    <xf numFmtId="0" fontId="3" fillId="0" borderId="34" xfId="0" applyFont="1" applyBorder="1" applyAlignment="1">
      <alignment horizontal="left" vertical="top" wrapText="1"/>
    </xf>
    <xf numFmtId="0" fontId="3" fillId="0" borderId="37" xfId="0" applyFont="1" applyBorder="1" applyAlignment="1">
      <alignment horizontal="left" vertical="top" wrapText="1"/>
    </xf>
    <xf numFmtId="0" fontId="3" fillId="0" borderId="38" xfId="0" applyFont="1" applyBorder="1" applyAlignment="1">
      <alignment horizontal="left" vertical="top" wrapText="1"/>
    </xf>
    <xf numFmtId="0" fontId="3" fillId="0" borderId="0" xfId="0" applyFont="1" applyBorder="1" applyAlignment="1">
      <alignment horizontal="left" vertical="top" wrapText="1"/>
    </xf>
    <xf numFmtId="0" fontId="3" fillId="0" borderId="39" xfId="0" applyFont="1" applyBorder="1" applyAlignment="1">
      <alignment horizontal="left" vertical="top" wrapText="1"/>
    </xf>
    <xf numFmtId="0" fontId="32" fillId="0" borderId="16" xfId="0" applyFont="1" applyBorder="1" applyAlignment="1">
      <alignment horizontal="center" vertical="center"/>
    </xf>
    <xf numFmtId="0" fontId="32" fillId="0" borderId="28" xfId="0" applyFont="1" applyBorder="1" applyAlignment="1">
      <alignment horizontal="center" vertical="center"/>
    </xf>
    <xf numFmtId="0" fontId="32" fillId="0" borderId="23" xfId="0" applyFont="1" applyBorder="1" applyAlignment="1">
      <alignment horizontal="center" vertical="center"/>
    </xf>
    <xf numFmtId="0" fontId="3" fillId="0" borderId="11" xfId="0" applyFont="1" applyBorder="1" applyAlignment="1">
      <alignment horizontal="center" vertical="center"/>
    </xf>
    <xf numFmtId="0" fontId="34" fillId="0" borderId="0" xfId="0" applyFont="1" applyAlignment="1">
      <alignment horizontal="left" wrapText="1"/>
    </xf>
    <xf numFmtId="0" fontId="3" fillId="0" borderId="16" xfId="0" applyFont="1" applyBorder="1" applyAlignment="1">
      <alignment horizontal="center" vertical="top" wrapText="1"/>
    </xf>
    <xf numFmtId="0" fontId="3" fillId="0" borderId="28" xfId="0" applyFont="1" applyBorder="1" applyAlignment="1">
      <alignment horizontal="center" vertical="top" wrapText="1"/>
    </xf>
    <xf numFmtId="0" fontId="3" fillId="0" borderId="23" xfId="0" applyFont="1" applyBorder="1" applyAlignment="1">
      <alignment horizontal="center" vertical="top" wrapText="1"/>
    </xf>
    <xf numFmtId="0" fontId="25" fillId="0" borderId="16" xfId="0" applyFont="1" applyBorder="1" applyAlignment="1">
      <alignment horizontal="center"/>
    </xf>
    <xf numFmtId="0" fontId="25" fillId="0" borderId="28" xfId="0" applyFont="1" applyBorder="1" applyAlignment="1">
      <alignment horizontal="center"/>
    </xf>
    <xf numFmtId="0" fontId="25" fillId="0" borderId="23" xfId="0" applyFont="1" applyBorder="1" applyAlignment="1">
      <alignment horizontal="center"/>
    </xf>
    <xf numFmtId="0" fontId="34" fillId="0" borderId="0" xfId="0" applyFont="1" applyAlignment="1">
      <alignment horizontal="left" vertical="top" wrapText="1"/>
    </xf>
    <xf numFmtId="0" fontId="25" fillId="0" borderId="11" xfId="0" applyFont="1" applyBorder="1" applyAlignment="1">
      <alignment horizontal="center" vertical="top" wrapText="1"/>
    </xf>
    <xf numFmtId="0" fontId="25" fillId="0" borderId="15" xfId="0" applyFont="1" applyBorder="1" applyAlignment="1">
      <alignment horizontal="center" vertical="center"/>
    </xf>
    <xf numFmtId="0" fontId="25" fillId="0" borderId="29" xfId="0" applyFont="1" applyBorder="1" applyAlignment="1">
      <alignment horizontal="center" vertical="center"/>
    </xf>
    <xf numFmtId="0" fontId="25" fillId="0" borderId="24" xfId="0" applyFont="1" applyBorder="1" applyAlignment="1">
      <alignment horizontal="center" vertical="center"/>
    </xf>
    <xf numFmtId="0" fontId="63" fillId="0" borderId="0" xfId="0" applyFont="1" applyAlignment="1">
      <alignment horizontal="left" vertical="top" wrapText="1"/>
    </xf>
    <xf numFmtId="0" fontId="25" fillId="0" borderId="15" xfId="0" applyFont="1" applyBorder="1" applyAlignment="1">
      <alignment horizontal="center" vertical="center" wrapText="1"/>
    </xf>
    <xf numFmtId="0" fontId="25" fillId="0" borderId="24" xfId="0" applyFont="1" applyBorder="1" applyAlignment="1">
      <alignment horizontal="center" vertical="center" wrapText="1"/>
    </xf>
    <xf numFmtId="0" fontId="25" fillId="0" borderId="11" xfId="0" applyFont="1" applyBorder="1" applyAlignment="1">
      <alignment horizontal="center" vertical="center" wrapText="1"/>
    </xf>
    <xf numFmtId="1" fontId="34" fillId="0" borderId="0" xfId="0" applyNumberFormat="1" applyFont="1" applyFill="1" applyBorder="1" applyAlignment="1">
      <alignment horizontal="left" vertical="top" wrapText="1"/>
    </xf>
    <xf numFmtId="0" fontId="177" fillId="0" borderId="0" xfId="70" applyFont="1" applyAlignment="1" applyProtection="1">
      <alignment horizontal="center"/>
    </xf>
    <xf numFmtId="0" fontId="3" fillId="0" borderId="0" xfId="0" applyFont="1" applyFill="1" applyBorder="1" applyAlignment="1">
      <alignment horizontal="center"/>
    </xf>
    <xf numFmtId="0" fontId="3" fillId="0" borderId="11" xfId="0" applyFont="1" applyBorder="1" applyAlignment="1">
      <alignment horizontal="center"/>
    </xf>
    <xf numFmtId="0" fontId="143" fillId="0" borderId="11" xfId="0" applyFont="1" applyFill="1" applyBorder="1" applyAlignment="1">
      <alignment horizontal="center" wrapText="1"/>
    </xf>
    <xf numFmtId="0" fontId="143" fillId="0" borderId="11" xfId="0" applyFont="1" applyFill="1" applyBorder="1" applyAlignment="1">
      <alignment horizontal="center"/>
    </xf>
    <xf numFmtId="0" fontId="171" fillId="0" borderId="11" xfId="0" applyFont="1" applyFill="1" applyBorder="1" applyAlignment="1">
      <alignment horizontal="center"/>
    </xf>
    <xf numFmtId="0" fontId="143" fillId="0" borderId="16" xfId="0" applyFont="1" applyFill="1" applyBorder="1" applyAlignment="1">
      <alignment horizontal="center"/>
    </xf>
    <xf numFmtId="0" fontId="143" fillId="0" borderId="28" xfId="0" applyFont="1" applyFill="1" applyBorder="1" applyAlignment="1">
      <alignment horizontal="center"/>
    </xf>
    <xf numFmtId="0" fontId="171" fillId="0" borderId="23" xfId="0" applyFont="1" applyFill="1" applyBorder="1" applyAlignment="1">
      <alignment horizontal="center"/>
    </xf>
    <xf numFmtId="0" fontId="143" fillId="0" borderId="16" xfId="0" applyFont="1" applyFill="1" applyBorder="1" applyAlignment="1">
      <alignment horizontal="center" wrapText="1"/>
    </xf>
    <xf numFmtId="0" fontId="171" fillId="0" borderId="28" xfId="0" applyFont="1" applyFill="1" applyBorder="1" applyAlignment="1">
      <alignment horizontal="center"/>
    </xf>
    <xf numFmtId="0" fontId="105" fillId="0" borderId="0" xfId="0" applyFont="1" applyAlignment="1">
      <alignment horizontal="left" vertical="top" wrapText="1"/>
    </xf>
    <xf numFmtId="0" fontId="105" fillId="0" borderId="0" xfId="0" applyFont="1" applyAlignment="1">
      <alignment horizontal="left" wrapText="1"/>
    </xf>
    <xf numFmtId="0" fontId="82" fillId="0" borderId="0" xfId="0" applyFont="1" applyAlignment="1">
      <alignment horizontal="left" wrapText="1"/>
    </xf>
    <xf numFmtId="0" fontId="105" fillId="0" borderId="0" xfId="0" applyFont="1" applyFill="1" applyAlignment="1">
      <alignment horizontal="left" wrapText="1"/>
    </xf>
    <xf numFmtId="0" fontId="3" fillId="0" borderId="16" xfId="0" applyFont="1" applyBorder="1" applyAlignment="1">
      <alignment horizontal="center"/>
    </xf>
    <xf numFmtId="0" fontId="3" fillId="0" borderId="28" xfId="0" applyFont="1" applyBorder="1" applyAlignment="1">
      <alignment horizontal="center"/>
    </xf>
    <xf numFmtId="0" fontId="3" fillId="0" borderId="23" xfId="0" applyFont="1" applyBorder="1" applyAlignment="1">
      <alignment horizontal="center"/>
    </xf>
    <xf numFmtId="38" fontId="32" fillId="0" borderId="0" xfId="0" applyNumberFormat="1" applyFont="1" applyFill="1" applyBorder="1" applyAlignment="1" applyProtection="1">
      <alignment horizontal="right"/>
      <protection locked="0"/>
    </xf>
    <xf numFmtId="0" fontId="105" fillId="0" borderId="0" xfId="0" applyFont="1" applyAlignment="1">
      <alignment horizontal="left" vertical="center" wrapText="1"/>
    </xf>
    <xf numFmtId="0" fontId="3" fillId="0" borderId="15" xfId="0" applyFont="1" applyBorder="1" applyAlignment="1">
      <alignment horizontal="center"/>
    </xf>
    <xf numFmtId="0" fontId="3" fillId="0" borderId="24" xfId="0" applyFont="1" applyBorder="1" applyAlignment="1">
      <alignment horizontal="center"/>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172" fillId="38" borderId="0" xfId="0" applyFont="1" applyFill="1" applyAlignment="1">
      <alignment horizontal="left" vertical="top" wrapText="1"/>
    </xf>
    <xf numFmtId="0" fontId="3" fillId="0" borderId="15" xfId="0" applyFont="1" applyBorder="1" applyAlignment="1">
      <alignment horizontal="center" vertical="center"/>
    </xf>
    <xf numFmtId="0" fontId="3" fillId="0" borderId="24" xfId="0" applyFont="1" applyBorder="1" applyAlignment="1">
      <alignment horizontal="center" vertical="center"/>
    </xf>
    <xf numFmtId="0" fontId="168" fillId="38" borderId="23" xfId="0" applyFont="1" applyFill="1" applyBorder="1" applyAlignment="1">
      <alignment horizontal="center" vertical="center" wrapText="1"/>
    </xf>
    <xf numFmtId="0" fontId="4" fillId="38" borderId="15" xfId="0" applyFont="1" applyFill="1" applyBorder="1" applyAlignment="1">
      <alignment horizontal="center" vertical="center" wrapText="1"/>
    </xf>
    <xf numFmtId="0" fontId="4" fillId="38" borderId="29" xfId="0" applyFont="1" applyFill="1" applyBorder="1" applyAlignment="1">
      <alignment horizontal="center" vertical="center" wrapText="1"/>
    </xf>
    <xf numFmtId="0" fontId="4" fillId="38" borderId="24" xfId="0" applyFont="1" applyFill="1" applyBorder="1" applyAlignment="1">
      <alignment horizontal="center" vertical="center" wrapText="1"/>
    </xf>
    <xf numFmtId="0" fontId="4" fillId="38" borderId="15" xfId="0" applyFont="1" applyFill="1" applyBorder="1" applyAlignment="1">
      <alignment horizontal="center" vertical="center"/>
    </xf>
    <xf numFmtId="0" fontId="4" fillId="38" borderId="29" xfId="0" applyFont="1" applyFill="1" applyBorder="1" applyAlignment="1">
      <alignment horizontal="center" vertical="center"/>
    </xf>
    <xf numFmtId="0" fontId="4" fillId="38" borderId="24" xfId="0" applyFont="1" applyFill="1" applyBorder="1" applyAlignment="1">
      <alignment horizontal="center" vertical="center"/>
    </xf>
    <xf numFmtId="0" fontId="4" fillId="38" borderId="15" xfId="0" quotePrefix="1" applyFont="1" applyFill="1" applyBorder="1" applyAlignment="1">
      <alignment horizontal="center" vertical="center" wrapText="1"/>
    </xf>
    <xf numFmtId="0" fontId="4" fillId="38" borderId="29" xfId="0" quotePrefix="1" applyFont="1" applyFill="1" applyBorder="1" applyAlignment="1">
      <alignment horizontal="center" vertical="center" wrapText="1"/>
    </xf>
    <xf numFmtId="0" fontId="4" fillId="38" borderId="24" xfId="0" quotePrefix="1" applyFont="1" applyFill="1" applyBorder="1" applyAlignment="1">
      <alignment horizontal="center" vertical="center" wrapText="1"/>
    </xf>
    <xf numFmtId="0" fontId="126" fillId="0" borderId="0" xfId="0" applyFont="1" applyAlignment="1">
      <alignment horizontal="left" wrapText="1"/>
    </xf>
    <xf numFmtId="0" fontId="19" fillId="39" borderId="0" xfId="0" applyFont="1" applyFill="1" applyAlignment="1">
      <alignment horizontal="center" vertical="center" wrapText="1"/>
    </xf>
    <xf numFmtId="0" fontId="19" fillId="45" borderId="0" xfId="0" applyFont="1" applyFill="1" applyAlignment="1">
      <alignment horizontal="center" vertical="center" wrapText="1"/>
    </xf>
    <xf numFmtId="0" fontId="19" fillId="40" borderId="0" xfId="0" applyFont="1" applyFill="1" applyAlignment="1">
      <alignment horizontal="center" vertical="center" wrapText="1"/>
    </xf>
    <xf numFmtId="0" fontId="3" fillId="37" borderId="0" xfId="104" applyFont="1" applyFill="1" applyBorder="1" applyAlignment="1">
      <alignment horizontal="left" vertical="center" wrapText="1"/>
    </xf>
    <xf numFmtId="0" fontId="2" fillId="39" borderId="0" xfId="0" applyFont="1" applyFill="1" applyAlignment="1">
      <alignment horizontal="center" vertical="center" wrapText="1"/>
    </xf>
    <xf numFmtId="0" fontId="2" fillId="57" borderId="0" xfId="0" applyFont="1" applyFill="1" applyAlignment="1">
      <alignment horizontal="center" vertical="center" wrapText="1"/>
    </xf>
    <xf numFmtId="0" fontId="19" fillId="57" borderId="0" xfId="0" applyFont="1" applyFill="1" applyAlignment="1">
      <alignment horizontal="center" vertical="center" wrapText="1"/>
    </xf>
    <xf numFmtId="0" fontId="24" fillId="0" borderId="16"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3"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23" xfId="0" applyFont="1" applyBorder="1" applyAlignment="1">
      <alignment horizontal="center" vertical="center" wrapText="1"/>
    </xf>
    <xf numFmtId="0" fontId="3" fillId="0" borderId="15" xfId="0" applyFont="1" applyFill="1" applyBorder="1" applyAlignment="1">
      <alignment horizontal="center" vertical="center"/>
    </xf>
    <xf numFmtId="0" fontId="3" fillId="0" borderId="24" xfId="0" applyFont="1" applyFill="1" applyBorder="1" applyAlignment="1">
      <alignment horizontal="center" vertical="center"/>
    </xf>
    <xf numFmtId="0" fontId="0" fillId="0" borderId="15" xfId="0" applyBorder="1" applyAlignment="1">
      <alignment horizontal="center"/>
    </xf>
    <xf numFmtId="0" fontId="0" fillId="0" borderId="24" xfId="0" applyBorder="1" applyAlignment="1">
      <alignment horizontal="center"/>
    </xf>
    <xf numFmtId="0" fontId="3" fillId="37" borderId="0" xfId="104" applyFont="1" applyFill="1" applyBorder="1" applyAlignment="1">
      <alignment horizontal="left" vertical="top" wrapText="1"/>
    </xf>
    <xf numFmtId="0" fontId="3" fillId="0" borderId="11" xfId="101" applyFont="1" applyBorder="1" applyAlignment="1">
      <alignment horizontal="center"/>
    </xf>
    <xf numFmtId="0" fontId="3" fillId="0" borderId="16" xfId="101" applyFont="1" applyBorder="1" applyAlignment="1">
      <alignment horizontal="center" vertical="center" wrapText="1"/>
    </xf>
    <xf numFmtId="0" fontId="3" fillId="0" borderId="23" xfId="101" applyFont="1" applyBorder="1" applyAlignment="1">
      <alignment horizontal="center" vertical="center" wrapText="1"/>
    </xf>
    <xf numFmtId="0" fontId="3" fillId="0" borderId="11" xfId="101" applyFont="1" applyBorder="1" applyAlignment="1">
      <alignment horizontal="center" vertical="center" wrapText="1"/>
    </xf>
    <xf numFmtId="0" fontId="3" fillId="0" borderId="11" xfId="101" applyFont="1" applyBorder="1" applyAlignment="1">
      <alignment horizontal="center" vertical="center"/>
    </xf>
    <xf numFmtId="0" fontId="3" fillId="0" borderId="15" xfId="101" applyFont="1" applyBorder="1" applyAlignment="1">
      <alignment horizontal="center" vertical="center"/>
    </xf>
    <xf numFmtId="0" fontId="3" fillId="0" borderId="24" xfId="101" applyFont="1" applyBorder="1" applyAlignment="1">
      <alignment horizontal="center" vertical="center"/>
    </xf>
    <xf numFmtId="0" fontId="25" fillId="35" borderId="26" xfId="0" applyFont="1" applyFill="1" applyBorder="1" applyAlignment="1">
      <alignment horizontal="center" vertical="center" wrapText="1"/>
    </xf>
    <xf numFmtId="0" fontId="25" fillId="35" borderId="0" xfId="0" applyFont="1" applyFill="1" applyBorder="1" applyAlignment="1">
      <alignment horizontal="center" vertical="center" wrapText="1"/>
    </xf>
    <xf numFmtId="0" fontId="25" fillId="35" borderId="22" xfId="0" applyFont="1" applyFill="1" applyBorder="1" applyAlignment="1">
      <alignment horizontal="center" vertical="center" wrapText="1"/>
    </xf>
    <xf numFmtId="0" fontId="25" fillId="35" borderId="25" xfId="0" applyFont="1" applyFill="1" applyBorder="1" applyAlignment="1">
      <alignment horizontal="center" vertical="center" wrapText="1"/>
    </xf>
    <xf numFmtId="0" fontId="25" fillId="35" borderId="14" xfId="0" applyFont="1" applyFill="1" applyBorder="1" applyAlignment="1">
      <alignment horizontal="center" vertical="center" wrapText="1"/>
    </xf>
    <xf numFmtId="0" fontId="25" fillId="35" borderId="21" xfId="0" applyFont="1" applyFill="1" applyBorder="1" applyAlignment="1">
      <alignment horizontal="center" vertical="center" wrapText="1"/>
    </xf>
    <xf numFmtId="0" fontId="25" fillId="35" borderId="17" xfId="0" applyFont="1" applyFill="1" applyBorder="1" applyAlignment="1">
      <alignment horizontal="center" vertical="center" wrapText="1"/>
    </xf>
    <xf numFmtId="0" fontId="25" fillId="35" borderId="51" xfId="0" applyFont="1" applyFill="1" applyBorder="1" applyAlignment="1">
      <alignment horizontal="center" vertical="center" wrapText="1"/>
    </xf>
    <xf numFmtId="0" fontId="25" fillId="35" borderId="15" xfId="0" applyFont="1" applyFill="1" applyBorder="1" applyAlignment="1">
      <alignment horizontal="center" vertical="center"/>
    </xf>
    <xf numFmtId="0" fontId="25" fillId="35" borderId="29" xfId="0" applyFont="1" applyFill="1" applyBorder="1" applyAlignment="1">
      <alignment horizontal="center" vertical="center"/>
    </xf>
    <xf numFmtId="0" fontId="25" fillId="35" borderId="24" xfId="0" applyFont="1" applyFill="1" applyBorder="1" applyAlignment="1">
      <alignment horizontal="center" vertical="center"/>
    </xf>
    <xf numFmtId="0" fontId="25" fillId="35" borderId="11" xfId="0" applyFont="1" applyFill="1" applyBorder="1" applyAlignment="1">
      <alignment horizontal="center" vertical="center" wrapText="1"/>
    </xf>
    <xf numFmtId="0" fontId="25" fillId="35" borderId="16" xfId="0" applyFont="1" applyFill="1" applyBorder="1" applyAlignment="1">
      <alignment horizontal="center" vertical="center" wrapText="1"/>
    </xf>
    <xf numFmtId="0" fontId="25" fillId="35" borderId="28" xfId="0" applyFont="1" applyFill="1" applyBorder="1" applyAlignment="1">
      <alignment horizontal="center" vertical="center" wrapText="1"/>
    </xf>
    <xf numFmtId="0" fontId="25" fillId="35" borderId="23" xfId="0" applyFont="1" applyFill="1" applyBorder="1" applyAlignment="1">
      <alignment horizontal="center" vertical="center" wrapText="1"/>
    </xf>
    <xf numFmtId="0" fontId="25" fillId="35" borderId="27" xfId="0" applyFont="1" applyFill="1" applyBorder="1" applyAlignment="1">
      <alignment horizontal="center" vertical="center" wrapText="1"/>
    </xf>
    <xf numFmtId="0" fontId="35" fillId="0" borderId="0" xfId="0" applyFont="1" applyAlignment="1">
      <alignment horizontal="left" wrapText="1"/>
    </xf>
    <xf numFmtId="0" fontId="25" fillId="0" borderId="11" xfId="0" applyFont="1" applyBorder="1" applyAlignment="1">
      <alignment horizontal="center" vertical="center"/>
    </xf>
    <xf numFmtId="0" fontId="3" fillId="0" borderId="16" xfId="0" applyFont="1" applyBorder="1" applyAlignment="1">
      <alignment horizontal="center" vertical="center"/>
    </xf>
    <xf numFmtId="0" fontId="3" fillId="0" borderId="23" xfId="0" applyFont="1" applyBorder="1" applyAlignment="1">
      <alignment horizontal="center" vertical="center"/>
    </xf>
    <xf numFmtId="3" fontId="3" fillId="0" borderId="16" xfId="0" applyNumberFormat="1" applyFont="1" applyBorder="1" applyAlignment="1">
      <alignment horizontal="center" vertical="center" wrapText="1"/>
    </xf>
    <xf numFmtId="3" fontId="3" fillId="0" borderId="28" xfId="0" applyNumberFormat="1" applyFont="1" applyBorder="1" applyAlignment="1">
      <alignment horizontal="center" vertical="center" wrapText="1"/>
    </xf>
    <xf numFmtId="3" fontId="3" fillId="0" borderId="11" xfId="0" applyNumberFormat="1" applyFont="1" applyBorder="1" applyAlignment="1">
      <alignment horizontal="center" vertical="center" wrapText="1"/>
    </xf>
    <xf numFmtId="3" fontId="3" fillId="0" borderId="16" xfId="0" applyNumberFormat="1" applyFont="1" applyBorder="1" applyAlignment="1">
      <alignment horizontal="center" vertical="center"/>
    </xf>
    <xf numFmtId="3" fontId="3" fillId="0" borderId="23" xfId="0" applyNumberFormat="1" applyFont="1" applyBorder="1" applyAlignment="1">
      <alignment horizontal="center" vertical="center"/>
    </xf>
    <xf numFmtId="3" fontId="3" fillId="0" borderId="27" xfId="0" applyNumberFormat="1" applyFont="1" applyBorder="1" applyAlignment="1">
      <alignment horizontal="center" vertical="center" wrapText="1"/>
    </xf>
    <xf numFmtId="3" fontId="3" fillId="0" borderId="17"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3" fontId="3" fillId="37" borderId="0" xfId="105" applyNumberFormat="1" applyFont="1" applyFill="1" applyBorder="1" applyAlignment="1">
      <alignment horizontal="left" vertical="center" wrapText="1"/>
    </xf>
    <xf numFmtId="3" fontId="3" fillId="41" borderId="11" xfId="0" applyNumberFormat="1" applyFont="1" applyFill="1" applyBorder="1" applyAlignment="1">
      <alignment horizontal="center" vertical="center"/>
    </xf>
    <xf numFmtId="3" fontId="34" fillId="0" borderId="0" xfId="0" applyNumberFormat="1" applyFont="1" applyAlignment="1">
      <alignment horizontal="left" wrapText="1"/>
    </xf>
    <xf numFmtId="3" fontId="126" fillId="0" borderId="0" xfId="0" applyNumberFormat="1" applyFont="1" applyAlignment="1">
      <alignment horizontal="center" wrapText="1"/>
    </xf>
    <xf numFmtId="3" fontId="24" fillId="0" borderId="15" xfId="0" applyNumberFormat="1" applyFont="1" applyBorder="1" applyAlignment="1">
      <alignment horizontal="center" vertical="center"/>
    </xf>
    <xf numFmtId="3" fontId="24" fillId="0" borderId="24" xfId="0" applyNumberFormat="1" applyFont="1" applyBorder="1" applyAlignment="1">
      <alignment horizontal="center" vertical="center"/>
    </xf>
    <xf numFmtId="0" fontId="3" fillId="35" borderId="11" xfId="0" applyFont="1" applyFill="1" applyBorder="1" applyAlignment="1">
      <alignment horizontal="center" vertical="center" wrapText="1"/>
    </xf>
    <xf numFmtId="0" fontId="143" fillId="0" borderId="11" xfId="0" applyFont="1" applyFill="1" applyBorder="1" applyAlignment="1">
      <alignment horizontal="center" vertical="center"/>
    </xf>
    <xf numFmtId="0" fontId="171" fillId="0" borderId="11" xfId="0" applyFont="1" applyFill="1" applyBorder="1" applyAlignment="1">
      <alignment horizontal="center" vertical="center"/>
    </xf>
    <xf numFmtId="0" fontId="143" fillId="0" borderId="16" xfId="0" applyFont="1" applyFill="1" applyBorder="1" applyAlignment="1">
      <alignment horizontal="center" vertical="center" wrapText="1"/>
    </xf>
    <xf numFmtId="0" fontId="143" fillId="0" borderId="28" xfId="0" applyFont="1" applyFill="1" applyBorder="1" applyAlignment="1">
      <alignment horizontal="center" vertical="center" wrapText="1"/>
    </xf>
    <xf numFmtId="0" fontId="171" fillId="0" borderId="23" xfId="0" applyFont="1" applyFill="1" applyBorder="1" applyAlignment="1">
      <alignment horizontal="center" vertical="center" wrapText="1"/>
    </xf>
    <xf numFmtId="0" fontId="171" fillId="0" borderId="28" xfId="0" applyFont="1" applyFill="1" applyBorder="1" applyAlignment="1">
      <alignment horizontal="center" vertical="center" wrapText="1"/>
    </xf>
    <xf numFmtId="3" fontId="3" fillId="37" borderId="0" xfId="104" applyNumberFormat="1" applyFont="1" applyFill="1" applyBorder="1" applyAlignment="1">
      <alignment horizontal="left" vertical="center" wrapText="1"/>
    </xf>
    <xf numFmtId="0" fontId="99" fillId="35" borderId="0" xfId="98" applyFont="1" applyFill="1" applyBorder="1" applyAlignment="1">
      <alignment horizontal="center" wrapText="1"/>
    </xf>
    <xf numFmtId="0" fontId="99" fillId="35" borderId="0" xfId="98" applyFill="1" applyBorder="1" applyAlignment="1">
      <alignment horizontal="center" wrapText="1"/>
    </xf>
    <xf numFmtId="0" fontId="99" fillId="35" borderId="0" xfId="98" applyFill="1" applyBorder="1" applyAlignment="1">
      <alignment wrapText="1"/>
    </xf>
    <xf numFmtId="0" fontId="3" fillId="0" borderId="29" xfId="0" applyFont="1" applyBorder="1" applyAlignment="1">
      <alignment horizontal="center" vertical="center"/>
    </xf>
    <xf numFmtId="0" fontId="3" fillId="0" borderId="16" xfId="0" applyFont="1" applyBorder="1" applyAlignment="1">
      <alignment horizontal="center" wrapText="1"/>
    </xf>
    <xf numFmtId="0" fontId="3" fillId="0" borderId="28" xfId="0" applyFont="1" applyBorder="1" applyAlignment="1">
      <alignment horizontal="center" wrapText="1"/>
    </xf>
    <xf numFmtId="0" fontId="3" fillId="0" borderId="23" xfId="0" applyFont="1" applyBorder="1" applyAlignment="1">
      <alignment horizontal="center" wrapText="1"/>
    </xf>
  </cellXfs>
  <cellStyles count="179">
    <cellStyle name="20% - Accent1" xfId="1" builtinId="30" customBuiltin="1"/>
    <cellStyle name="20% - Accent1 2" xfId="2"/>
    <cellStyle name="20% - Accent1 2 2" xfId="136"/>
    <cellStyle name="20% - Accent2" xfId="3" builtinId="34" customBuiltin="1"/>
    <cellStyle name="20% - Accent3" xfId="4" builtinId="38" customBuiltin="1"/>
    <cellStyle name="20% - Accent4" xfId="5" builtinId="42" customBuiltin="1"/>
    <cellStyle name="20% - Accent5" xfId="6" builtinId="46" customBuiltin="1"/>
    <cellStyle name="20% - Accent6" xfId="7" builtinId="50" customBuiltin="1"/>
    <cellStyle name="40% - Accent1" xfId="8" builtinId="31" customBuiltin="1"/>
    <cellStyle name="40% - Accent2" xfId="9" builtinId="35" customBuiltin="1"/>
    <cellStyle name="40% - Accent3" xfId="10" builtinId="39" customBuiltin="1"/>
    <cellStyle name="40% - Accent4" xfId="11" builtinId="43" customBuiltin="1"/>
    <cellStyle name="40% - Accent5" xfId="12" builtinId="47" customBuiltin="1"/>
    <cellStyle name="40% - Accent6" xfId="13" builtinId="51" customBuiltin="1"/>
    <cellStyle name="60% - Accent1" xfId="14" builtinId="32" customBuiltin="1"/>
    <cellStyle name="60% - Accent2" xfId="15" builtinId="36" customBuiltin="1"/>
    <cellStyle name="60% - Accent3" xfId="16" builtinId="40" customBuiltin="1"/>
    <cellStyle name="60% - Accent3 2" xfId="17"/>
    <cellStyle name="60% - Accent4" xfId="18" builtinId="44" customBuiltin="1"/>
    <cellStyle name="60% - Accent5" xfId="19" builtinId="48" customBuiltin="1"/>
    <cellStyle name="60% - Accent6" xfId="20" builtinId="52" customBuiltin="1"/>
    <cellStyle name="Accent1" xfId="21" builtinId="29" customBuiltin="1"/>
    <cellStyle name="Accent2" xfId="22" builtinId="33" customBuiltin="1"/>
    <cellStyle name="Accent3" xfId="23" builtinId="37" customBuiltin="1"/>
    <cellStyle name="Accent4" xfId="24" builtinId="41" customBuiltin="1"/>
    <cellStyle name="Accent5" xfId="25" builtinId="45" customBuiltin="1"/>
    <cellStyle name="Accent6" xfId="26" builtinId="49" customBuiltin="1"/>
    <cellStyle name="assumptions" xfId="27"/>
    <cellStyle name="Bad" xfId="28" builtinId="27" customBuiltin="1"/>
    <cellStyle name="Big-top" xfId="29"/>
    <cellStyle name="Calc#" xfId="30"/>
    <cellStyle name="Calc# 2" xfId="137"/>
    <cellStyle name="Calc#.##" xfId="31"/>
    <cellStyle name="Calc#.## 2" xfId="138"/>
    <cellStyle name="Calc%" xfId="32"/>
    <cellStyle name="Calc% 2" xfId="139"/>
    <cellStyle name="Calc£" xfId="33"/>
    <cellStyle name="Calc£ 2" xfId="140"/>
    <cellStyle name="Calc£m" xfId="34"/>
    <cellStyle name="Calc£m 2" xfId="141"/>
    <cellStyle name="CalcDate" xfId="35"/>
    <cellStyle name="CalcDate 2" xfId="142"/>
    <cellStyle name="CalcText" xfId="36"/>
    <cellStyle name="CalcText 2" xfId="143"/>
    <cellStyle name="CalcTime" xfId="37"/>
    <cellStyle name="CalcTime 2" xfId="144"/>
    <cellStyle name="Calculation" xfId="38" builtinId="22" customBuiltin="1"/>
    <cellStyle name="Check Cell" xfId="39" builtinId="23" customBuiltin="1"/>
    <cellStyle name="Comma" xfId="40" builtinId="3"/>
    <cellStyle name="Comma 2" xfId="41"/>
    <cellStyle name="Comma 2 2" xfId="42"/>
    <cellStyle name="Comma 2 3" xfId="145"/>
    <cellStyle name="Comma 3" xfId="43"/>
    <cellStyle name="Comma 4" xfId="44"/>
    <cellStyle name="Comma 4 2" xfId="45"/>
    <cellStyle name="Comma 4 2 2" xfId="147"/>
    <cellStyle name="Comma 4 3" xfId="146"/>
    <cellStyle name="Deviant" xfId="46"/>
    <cellStyle name="Deviant 2" xfId="148"/>
    <cellStyle name="emphasis" xfId="47"/>
    <cellStyle name="ErrorCheck" xfId="48"/>
    <cellStyle name="estimated input" xfId="49"/>
    <cellStyle name="Explanatory Text" xfId="50" builtinId="53" customBuiltin="1"/>
    <cellStyle name="external input" xfId="51"/>
    <cellStyle name="external input, for info" xfId="52"/>
    <cellStyle name="external input_2001DS23" xfId="53"/>
    <cellStyle name="From#" xfId="54"/>
    <cellStyle name="From#.##" xfId="55"/>
    <cellStyle name="From%" xfId="56"/>
    <cellStyle name="From£" xfId="57"/>
    <cellStyle name="From£m" xfId="58"/>
    <cellStyle name="FromDate" xfId="59"/>
    <cellStyle name="FromText" xfId="60"/>
    <cellStyle name="Good" xfId="61" builtinId="26" customBuiltin="1"/>
    <cellStyle name="guesswork" xfId="62"/>
    <cellStyle name="Header" xfId="63"/>
    <cellStyle name="Heading" xfId="64"/>
    <cellStyle name="Heading 1" xfId="65" builtinId="16" customBuiltin="1"/>
    <cellStyle name="Heading 2" xfId="66" builtinId="17" customBuiltin="1"/>
    <cellStyle name="Heading 3" xfId="67" builtinId="18" customBuiltin="1"/>
    <cellStyle name="Heading 4" xfId="68" builtinId="19" customBuiltin="1"/>
    <cellStyle name="highlight" xfId="69"/>
    <cellStyle name="Hyperlink" xfId="70" builtinId="8"/>
    <cellStyle name="Hyperlink 2" xfId="71"/>
    <cellStyle name="Hyperlink 3" xfId="72"/>
    <cellStyle name="info" xfId="73"/>
    <cellStyle name="info 2" xfId="149"/>
    <cellStyle name="Input" xfId="74" builtinId="20" customBuiltin="1"/>
    <cellStyle name="Input#" xfId="75"/>
    <cellStyle name="Input# 2" xfId="150"/>
    <cellStyle name="Input#.##" xfId="76"/>
    <cellStyle name="Input#.## 2" xfId="151"/>
    <cellStyle name="Input%" xfId="77"/>
    <cellStyle name="Input% 2" xfId="152"/>
    <cellStyle name="Input£" xfId="78"/>
    <cellStyle name="Input£ 2" xfId="153"/>
    <cellStyle name="Input£m" xfId="79"/>
    <cellStyle name="Input£m 2" xfId="154"/>
    <cellStyle name="InputDate" xfId="80"/>
    <cellStyle name="InputDate 2" xfId="155"/>
    <cellStyle name="InputText" xfId="81"/>
    <cellStyle name="InputText 2" xfId="156"/>
    <cellStyle name="Linked Cell" xfId="82" builtinId="24" customBuiltin="1"/>
    <cellStyle name="Little top" xfId="83"/>
    <cellStyle name="NamedRange" xfId="84"/>
    <cellStyle name="Neutral" xfId="85" builtinId="28" customBuiltin="1"/>
    <cellStyle name="Normal" xfId="0" builtinId="0"/>
    <cellStyle name="Normal 2" xfId="86"/>
    <cellStyle name="Normal 2 2" xfId="87"/>
    <cellStyle name="Normal 2 2 2" xfId="158"/>
    <cellStyle name="Normal 2 3" xfId="157"/>
    <cellStyle name="Normal 3" xfId="88"/>
    <cellStyle name="Normal 3 2" xfId="89"/>
    <cellStyle name="Normal 3 2 2" xfId="160"/>
    <cellStyle name="Normal 3 3" xfId="90"/>
    <cellStyle name="Normal 3 3 2" xfId="161"/>
    <cellStyle name="Normal 3 4" xfId="159"/>
    <cellStyle name="Normal 4" xfId="91"/>
    <cellStyle name="Normal 4 2" xfId="92"/>
    <cellStyle name="Normal 4 2 2" xfId="162"/>
    <cellStyle name="Normal 4 3" xfId="135"/>
    <cellStyle name="Normal 43" xfId="93"/>
    <cellStyle name="Normal 43 2" xfId="163"/>
    <cellStyle name="Normal 44" xfId="94"/>
    <cellStyle name="Normal 44 2" xfId="164"/>
    <cellStyle name="Normal 5" xfId="95"/>
    <cellStyle name="Normal 5 2" xfId="96"/>
    <cellStyle name="Normal 5 2 2" xfId="165"/>
    <cellStyle name="Normal 6" xfId="97"/>
    <cellStyle name="Normal 6 2" xfId="166"/>
    <cellStyle name="Normal 7" xfId="98"/>
    <cellStyle name="Normal 7 2" xfId="167"/>
    <cellStyle name="Normal 8" xfId="134"/>
    <cellStyle name="Normal_2a stocks timetable first 2013" xfId="99"/>
    <cellStyle name="Normal_4 FTE rates" xfId="100"/>
    <cellStyle name="Normal_Class sizes - Debra Charnley" xfId="101"/>
    <cellStyle name="Normal_EngBacc_Revised" xfId="102"/>
    <cellStyle name="Normal_EngBacc_Revised 2" xfId="103"/>
    <cellStyle name="Normal_SFR04_Table12" xfId="104"/>
    <cellStyle name="Normal_SFR04_Table12 2" xfId="105"/>
    <cellStyle name="NormalLINK" xfId="106"/>
    <cellStyle name="Note" xfId="107" builtinId="10" customBuiltin="1"/>
    <cellStyle name="Output" xfId="108" builtinId="21" customBuiltin="1"/>
    <cellStyle name="Percent" xfId="109" builtinId="5"/>
    <cellStyle name="Percent 2" xfId="110"/>
    <cellStyle name="Percent 2 2" xfId="111"/>
    <cellStyle name="Percent 2 3" xfId="168"/>
    <cellStyle name="Percent 3" xfId="112"/>
    <cellStyle name="Percent 4" xfId="113"/>
    <cellStyle name="Percent 4 2" xfId="114"/>
    <cellStyle name="Percent 4 2 2" xfId="170"/>
    <cellStyle name="Percent 4 3" xfId="169"/>
    <cellStyle name="PN141/96" xfId="115"/>
    <cellStyle name="PN206/98" xfId="116"/>
    <cellStyle name="PreDef#" xfId="117"/>
    <cellStyle name="PreDef# 2" xfId="171"/>
    <cellStyle name="PreDef%" xfId="118"/>
    <cellStyle name="PreDef% 2" xfId="172"/>
    <cellStyle name="PreDef£" xfId="119"/>
    <cellStyle name="PreDef£ 2" xfId="173"/>
    <cellStyle name="PreDef£m" xfId="120"/>
    <cellStyle name="PreDef£m 2" xfId="174"/>
    <cellStyle name="PreDefDate" xfId="121"/>
    <cellStyle name="PreDefDate 2" xfId="175"/>
    <cellStyle name="PreDefText" xfId="122"/>
    <cellStyle name="PreDefText 2" xfId="176"/>
    <cellStyle name="Ref#" xfId="123"/>
    <cellStyle name="Ref# 2" xfId="177"/>
    <cellStyle name="SectionNumber" xfId="124"/>
    <cellStyle name="Small bold" xfId="125"/>
    <cellStyle name="Teachers Volume" xfId="126"/>
    <cellStyle name="tiny" xfId="127"/>
    <cellStyle name="Title" xfId="128" builtinId="15" customBuiltin="1"/>
    <cellStyle name="Total" xfId="129" builtinId="25" customBuiltin="1"/>
    <cellStyle name="Type" xfId="130"/>
    <cellStyle name="VOL1" xfId="131"/>
    <cellStyle name="Warning Text" xfId="132" builtinId="11" customBuiltin="1"/>
    <cellStyle name="WorkInProgress" xfId="133"/>
    <cellStyle name="WorkInProgress 2" xfId="178"/>
  </cellStyles>
  <dxfs count="18">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1.xml"/><Relationship Id="rId10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2481507993319E-2"/>
          <c:y val="7.4448818897637797E-2"/>
          <c:w val="0.62253113815318539"/>
          <c:h val="0.74167894335788676"/>
        </c:manualLayout>
      </c:layout>
      <c:lineChart>
        <c:grouping val="standard"/>
        <c:varyColors val="0"/>
        <c:ser>
          <c:idx val="30"/>
          <c:order val="0"/>
          <c:tx>
            <c:strRef>
              <c:f>SUMMARY_OUTPUTS!$B$81</c:f>
              <c:strCache>
                <c:ptCount val="1"/>
                <c:pt idx="0">
                  <c:v>Modern Foreign Languages All Central Scenario</c:v>
                </c:pt>
              </c:strCache>
            </c:strRef>
          </c:tx>
          <c:spPr>
            <a:ln>
              <a:solidFill>
                <a:schemeClr val="tx2">
                  <a:lumMod val="50000"/>
                </a:schemeClr>
              </a:solidFill>
              <a:prstDash val="solid"/>
            </a:ln>
          </c:spPr>
          <c:marker>
            <c:symbol val="square"/>
            <c:size val="7"/>
            <c:spPr>
              <a:solidFill>
                <a:schemeClr val="tx2"/>
              </a:solidFill>
            </c:spPr>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SUMMARY_OUTPUTS!$C$81:$N$81</c:f>
              <c:numCache>
                <c:formatCode>#,##0</c:formatCode>
                <c:ptCount val="12"/>
                <c:pt idx="0">
                  <c:v>14939.764306075618</c:v>
                </c:pt>
                <c:pt idx="1">
                  <c:v>15070.257443396837</c:v>
                </c:pt>
                <c:pt idx="2">
                  <c:v>16557.230196768789</c:v>
                </c:pt>
                <c:pt idx="3">
                  <c:v>18106.97526873889</c:v>
                </c:pt>
                <c:pt idx="4">
                  <c:v>18695.254319919968</c:v>
                </c:pt>
                <c:pt idx="5">
                  <c:v>18855.304901959025</c:v>
                </c:pt>
                <c:pt idx="6">
                  <c:v>18999.002831661492</c:v>
                </c:pt>
                <c:pt idx="7">
                  <c:v>19138.350839311574</c:v>
                </c:pt>
                <c:pt idx="8">
                  <c:v>19151.937836517376</c:v>
                </c:pt>
                <c:pt idx="9">
                  <c:v>19109.119672158304</c:v>
                </c:pt>
                <c:pt idx="10">
                  <c:v>19031.45661965046</c:v>
                </c:pt>
                <c:pt idx="11">
                  <c:v>18975.956019871268</c:v>
                </c:pt>
              </c:numCache>
            </c:numRef>
          </c:val>
          <c:smooth val="0"/>
          <c:extLst>
            <c:ext xmlns:c16="http://schemas.microsoft.com/office/drawing/2014/chart" uri="{C3380CC4-5D6E-409C-BE32-E72D297353CC}">
              <c16:uniqueId val="{00000000-A908-46A4-90F1-3E03D3043AD0}"/>
            </c:ext>
          </c:extLst>
        </c:ser>
        <c:ser>
          <c:idx val="10"/>
          <c:order val="1"/>
          <c:tx>
            <c:strRef>
              <c:f>SUMMARY_OUTPUTS!$B$76</c:f>
              <c:strCache>
                <c:ptCount val="1"/>
                <c:pt idx="0">
                  <c:v>Modern Foreign Languages Scenario Selected</c:v>
                </c:pt>
              </c:strCache>
            </c:strRef>
          </c:tx>
          <c:spPr>
            <a:ln>
              <a:solidFill>
                <a:schemeClr val="tx2">
                  <a:lumMod val="50000"/>
                </a:schemeClr>
              </a:solidFill>
              <a:prstDash val="sysDot"/>
            </a:ln>
          </c:spPr>
          <c:marker>
            <c:symbol val="x"/>
            <c:size val="7"/>
            <c:spPr>
              <a:noFill/>
            </c:spPr>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SUMMARY_OUTPUTS!$C$76:$N$76</c:f>
              <c:numCache>
                <c:formatCode>#,##0</c:formatCode>
                <c:ptCount val="12"/>
                <c:pt idx="0">
                  <c:v>14939.764306075618</c:v>
                </c:pt>
                <c:pt idx="1">
                  <c:v>15070.257443396837</c:v>
                </c:pt>
                <c:pt idx="2">
                  <c:v>16557.230196768789</c:v>
                </c:pt>
                <c:pt idx="3">
                  <c:v>18106.97526873889</c:v>
                </c:pt>
                <c:pt idx="4">
                  <c:v>18695.254319919968</c:v>
                </c:pt>
                <c:pt idx="5">
                  <c:v>18855.304901959025</c:v>
                </c:pt>
                <c:pt idx="6">
                  <c:v>18999.002831661492</c:v>
                </c:pt>
                <c:pt idx="7">
                  <c:v>19138.350839311574</c:v>
                </c:pt>
                <c:pt idx="8">
                  <c:v>19151.937836517376</c:v>
                </c:pt>
                <c:pt idx="9">
                  <c:v>19109.119672158304</c:v>
                </c:pt>
                <c:pt idx="10">
                  <c:v>19031.45661965046</c:v>
                </c:pt>
                <c:pt idx="11">
                  <c:v>18975.956019871268</c:v>
                </c:pt>
              </c:numCache>
            </c:numRef>
          </c:val>
          <c:smooth val="0"/>
          <c:extLst>
            <c:ext xmlns:c16="http://schemas.microsoft.com/office/drawing/2014/chart" uri="{C3380CC4-5D6E-409C-BE32-E72D297353CC}">
              <c16:uniqueId val="{00000001-A908-46A4-90F1-3E03D3043AD0}"/>
            </c:ext>
          </c:extLst>
        </c:ser>
        <c:ser>
          <c:idx val="31"/>
          <c:order val="2"/>
          <c:tx>
            <c:strRef>
              <c:f>SUMMARY_OUTPUTS!$B$82</c:f>
              <c:strCache>
                <c:ptCount val="1"/>
                <c:pt idx="0">
                  <c:v>Geography All Central Scenario</c:v>
                </c:pt>
              </c:strCache>
            </c:strRef>
          </c:tx>
          <c:spPr>
            <a:ln>
              <a:solidFill>
                <a:srgbClr val="FF0000"/>
              </a:solidFill>
              <a:prstDash val="solid"/>
            </a:ln>
          </c:spPr>
          <c:marker>
            <c:symbol val="square"/>
            <c:size val="7"/>
            <c:spPr>
              <a:solidFill>
                <a:srgbClr val="FF0000"/>
              </a:solidFill>
            </c:spPr>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SUMMARY_OUTPUTS!$C$82:$N$82</c:f>
              <c:numCache>
                <c:formatCode>#,##0</c:formatCode>
                <c:ptCount val="12"/>
                <c:pt idx="0">
                  <c:v>10518.362186302702</c:v>
                </c:pt>
                <c:pt idx="1">
                  <c:v>10592.197160123502</c:v>
                </c:pt>
                <c:pt idx="2">
                  <c:v>10991.644935793051</c:v>
                </c:pt>
                <c:pt idx="3">
                  <c:v>11415.269146232955</c:v>
                </c:pt>
                <c:pt idx="4">
                  <c:v>11567.794354132981</c:v>
                </c:pt>
                <c:pt idx="5">
                  <c:v>11664.678552531093</c:v>
                </c:pt>
                <c:pt idx="6">
                  <c:v>11757.312130654836</c:v>
                </c:pt>
                <c:pt idx="7">
                  <c:v>11847.832710968347</c:v>
                </c:pt>
                <c:pt idx="8">
                  <c:v>11867.451639056904</c:v>
                </c:pt>
                <c:pt idx="9">
                  <c:v>11851.220190458745</c:v>
                </c:pt>
                <c:pt idx="10">
                  <c:v>11813.654322341292</c:v>
                </c:pt>
                <c:pt idx="11">
                  <c:v>11789.047949016856</c:v>
                </c:pt>
              </c:numCache>
            </c:numRef>
          </c:val>
          <c:smooth val="0"/>
          <c:extLst>
            <c:ext xmlns:c16="http://schemas.microsoft.com/office/drawing/2014/chart" uri="{C3380CC4-5D6E-409C-BE32-E72D297353CC}">
              <c16:uniqueId val="{00000002-A908-46A4-90F1-3E03D3043AD0}"/>
            </c:ext>
          </c:extLst>
        </c:ser>
        <c:ser>
          <c:idx val="11"/>
          <c:order val="3"/>
          <c:tx>
            <c:strRef>
              <c:f>SUMMARY_OUTPUTS!$B$77</c:f>
              <c:strCache>
                <c:ptCount val="1"/>
                <c:pt idx="0">
                  <c:v>Geography Scenario Selected</c:v>
                </c:pt>
              </c:strCache>
            </c:strRef>
          </c:tx>
          <c:spPr>
            <a:ln>
              <a:solidFill>
                <a:srgbClr val="FF0000"/>
              </a:solidFill>
              <a:prstDash val="sysDot"/>
            </a:ln>
          </c:spPr>
          <c:marker>
            <c:symbol val="x"/>
            <c:size val="7"/>
            <c:spPr>
              <a:noFill/>
            </c:spPr>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SUMMARY_OUTPUTS!$C$77:$N$77</c:f>
              <c:numCache>
                <c:formatCode>#,##0</c:formatCode>
                <c:ptCount val="12"/>
                <c:pt idx="0">
                  <c:v>10518.362186302702</c:v>
                </c:pt>
                <c:pt idx="1">
                  <c:v>10592.197160123502</c:v>
                </c:pt>
                <c:pt idx="2">
                  <c:v>10991.644935793051</c:v>
                </c:pt>
                <c:pt idx="3">
                  <c:v>11415.269146232955</c:v>
                </c:pt>
                <c:pt idx="4">
                  <c:v>11567.794354132981</c:v>
                </c:pt>
                <c:pt idx="5">
                  <c:v>11664.678552531093</c:v>
                </c:pt>
                <c:pt idx="6">
                  <c:v>11757.312130654836</c:v>
                </c:pt>
                <c:pt idx="7">
                  <c:v>11847.832710968347</c:v>
                </c:pt>
                <c:pt idx="8">
                  <c:v>11867.451639056904</c:v>
                </c:pt>
                <c:pt idx="9">
                  <c:v>11851.220190458745</c:v>
                </c:pt>
                <c:pt idx="10">
                  <c:v>11813.654322341292</c:v>
                </c:pt>
                <c:pt idx="11">
                  <c:v>11789.047949016856</c:v>
                </c:pt>
              </c:numCache>
            </c:numRef>
          </c:val>
          <c:smooth val="0"/>
          <c:extLst>
            <c:ext xmlns:c16="http://schemas.microsoft.com/office/drawing/2014/chart" uri="{C3380CC4-5D6E-409C-BE32-E72D297353CC}">
              <c16:uniqueId val="{00000003-A908-46A4-90F1-3E03D3043AD0}"/>
            </c:ext>
          </c:extLst>
        </c:ser>
        <c:ser>
          <c:idx val="38"/>
          <c:order val="4"/>
          <c:tx>
            <c:strRef>
              <c:f>SUMMARY_OUTPUTS!$B$83</c:f>
              <c:strCache>
                <c:ptCount val="1"/>
                <c:pt idx="0">
                  <c:v>History All Central Scenario</c:v>
                </c:pt>
              </c:strCache>
            </c:strRef>
          </c:tx>
          <c:spPr>
            <a:ln>
              <a:solidFill>
                <a:srgbClr val="92D050"/>
              </a:solidFill>
              <a:prstDash val="solid"/>
            </a:ln>
          </c:spPr>
          <c:marker>
            <c:symbol val="square"/>
            <c:size val="7"/>
            <c:spPr>
              <a:solidFill>
                <a:srgbClr val="92D050"/>
              </a:solidFill>
            </c:spPr>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SUMMARY_OUTPUTS!$C$83:$N$83</c:f>
              <c:numCache>
                <c:formatCode>#,##0</c:formatCode>
                <c:ptCount val="12"/>
                <c:pt idx="0">
                  <c:v>11192.678423023735</c:v>
                </c:pt>
                <c:pt idx="1">
                  <c:v>11256.687485244267</c:v>
                </c:pt>
                <c:pt idx="2">
                  <c:v>11599.369617515154</c:v>
                </c:pt>
                <c:pt idx="3">
                  <c:v>11967.19602921409</c:v>
                </c:pt>
                <c:pt idx="4">
                  <c:v>12089.537654010986</c:v>
                </c:pt>
                <c:pt idx="5">
                  <c:v>12190.325841181235</c:v>
                </c:pt>
                <c:pt idx="6">
                  <c:v>12292.037124641112</c:v>
                </c:pt>
                <c:pt idx="7">
                  <c:v>12389.451752886342</c:v>
                </c:pt>
                <c:pt idx="8">
                  <c:v>12418.332954775977</c:v>
                </c:pt>
                <c:pt idx="9">
                  <c:v>12411.854918401496</c:v>
                </c:pt>
                <c:pt idx="10">
                  <c:v>12383.558824959737</c:v>
                </c:pt>
                <c:pt idx="11">
                  <c:v>12364.268616074811</c:v>
                </c:pt>
              </c:numCache>
            </c:numRef>
          </c:val>
          <c:smooth val="0"/>
          <c:extLst>
            <c:ext xmlns:c16="http://schemas.microsoft.com/office/drawing/2014/chart" uri="{C3380CC4-5D6E-409C-BE32-E72D297353CC}">
              <c16:uniqueId val="{00000004-A908-46A4-90F1-3E03D3043AD0}"/>
            </c:ext>
          </c:extLst>
        </c:ser>
        <c:ser>
          <c:idx val="18"/>
          <c:order val="5"/>
          <c:tx>
            <c:strRef>
              <c:f>SUMMARY_OUTPUTS!$B$78</c:f>
              <c:strCache>
                <c:ptCount val="1"/>
                <c:pt idx="0">
                  <c:v>History Scenario Selected</c:v>
                </c:pt>
              </c:strCache>
            </c:strRef>
          </c:tx>
          <c:spPr>
            <a:ln>
              <a:solidFill>
                <a:srgbClr val="92D050"/>
              </a:solidFill>
              <a:prstDash val="sysDot"/>
            </a:ln>
          </c:spPr>
          <c:marker>
            <c:symbol val="x"/>
            <c:size val="7"/>
            <c:spPr>
              <a:noFill/>
            </c:spPr>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SUMMARY_OUTPUTS!$C$78:$N$78</c:f>
              <c:numCache>
                <c:formatCode>#,##0</c:formatCode>
                <c:ptCount val="12"/>
                <c:pt idx="0">
                  <c:v>11192.678423023735</c:v>
                </c:pt>
                <c:pt idx="1">
                  <c:v>11256.687485244267</c:v>
                </c:pt>
                <c:pt idx="2">
                  <c:v>11599.369617515154</c:v>
                </c:pt>
                <c:pt idx="3">
                  <c:v>11967.19602921409</c:v>
                </c:pt>
                <c:pt idx="4">
                  <c:v>12089.537654010986</c:v>
                </c:pt>
                <c:pt idx="5">
                  <c:v>12190.325841181235</c:v>
                </c:pt>
                <c:pt idx="6">
                  <c:v>12292.037124641112</c:v>
                </c:pt>
                <c:pt idx="7">
                  <c:v>12389.451752886342</c:v>
                </c:pt>
                <c:pt idx="8">
                  <c:v>12418.332954775977</c:v>
                </c:pt>
                <c:pt idx="9">
                  <c:v>12411.854918401496</c:v>
                </c:pt>
                <c:pt idx="10">
                  <c:v>12383.558824959737</c:v>
                </c:pt>
                <c:pt idx="11">
                  <c:v>12364.268616074811</c:v>
                </c:pt>
              </c:numCache>
            </c:numRef>
          </c:val>
          <c:smooth val="0"/>
          <c:extLst>
            <c:ext xmlns:c16="http://schemas.microsoft.com/office/drawing/2014/chart" uri="{C3380CC4-5D6E-409C-BE32-E72D297353CC}">
              <c16:uniqueId val="{00000005-A908-46A4-90F1-3E03D3043AD0}"/>
            </c:ext>
          </c:extLst>
        </c:ser>
        <c:dLbls>
          <c:showLegendKey val="0"/>
          <c:showVal val="0"/>
          <c:showCatName val="0"/>
          <c:showSerName val="0"/>
          <c:showPercent val="0"/>
          <c:showBubbleSize val="0"/>
        </c:dLbls>
        <c:marker val="1"/>
        <c:smooth val="0"/>
        <c:axId val="147247488"/>
        <c:axId val="147249408"/>
      </c:lineChart>
      <c:catAx>
        <c:axId val="147247488"/>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7249408"/>
        <c:crosses val="autoZero"/>
        <c:auto val="1"/>
        <c:lblAlgn val="ctr"/>
        <c:lblOffset val="100"/>
        <c:noMultiLvlLbl val="0"/>
      </c:catAx>
      <c:valAx>
        <c:axId val="147249408"/>
        <c:scaling>
          <c:orientation val="minMax"/>
        </c:scaling>
        <c:delete val="0"/>
        <c:axPos val="l"/>
        <c:majorGridlines>
          <c:spPr>
            <a:ln>
              <a:solidFill>
                <a:schemeClr val="bg1">
                  <a:lumMod val="85000"/>
                  <a:alpha val="50000"/>
                </a:schemeClr>
              </a:solidFill>
            </a:ln>
          </c:spPr>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7247488"/>
        <c:crosses val="autoZero"/>
        <c:crossBetween val="midCat"/>
      </c:valAx>
      <c:spPr>
        <a:ln>
          <a:solidFill>
            <a:schemeClr val="tx1">
              <a:lumMod val="95000"/>
              <a:lumOff val="5000"/>
            </a:schemeClr>
          </a:solidFill>
        </a:ln>
      </c:spPr>
    </c:plotArea>
    <c:legend>
      <c:legendPos val="r"/>
      <c:layout>
        <c:manualLayout>
          <c:xMode val="edge"/>
          <c:yMode val="edge"/>
          <c:x val="0.72769840133619657"/>
          <c:y val="6.5609778428859192E-2"/>
          <c:w val="0.27230159866380332"/>
          <c:h val="0.77713727644509545"/>
        </c:manualLayout>
      </c:layout>
      <c:overlay val="0"/>
      <c:txPr>
        <a:bodyPr/>
        <a:lstStyle/>
        <a:p>
          <a:pPr>
            <a:defRPr sz="9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TECHNOLOGIES</a:t>
            </a:r>
          </a:p>
        </c:rich>
      </c:tx>
      <c:overlay val="0"/>
    </c:title>
    <c:autoTitleDeleted val="0"/>
    <c:plotArea>
      <c:layout>
        <c:manualLayout>
          <c:layoutTarget val="inner"/>
          <c:xMode val="edge"/>
          <c:yMode val="edge"/>
          <c:x val="0.11423840769903762"/>
          <c:y val="0.12283573928258967"/>
          <c:w val="0.56710672471401824"/>
          <c:h val="0.69329177602799663"/>
        </c:manualLayout>
      </c:layout>
      <c:lineChart>
        <c:grouping val="standard"/>
        <c:varyColors val="0"/>
        <c:ser>
          <c:idx val="26"/>
          <c:order val="0"/>
          <c:tx>
            <c:strRef>
              <c:f>Entrant_need_figures!$B$115</c:f>
              <c:strCache>
                <c:ptCount val="1"/>
                <c:pt idx="0">
                  <c:v>COMPUTING All Central Scenario</c:v>
                </c:pt>
              </c:strCache>
            </c:strRef>
          </c:tx>
          <c:spPr>
            <a:ln>
              <a:solidFill>
                <a:srgbClr val="00206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Entrant_need_figures!$C$115:$N$115</c:f>
              <c:numCache>
                <c:formatCode>#,##0</c:formatCode>
                <c:ptCount val="12"/>
                <c:pt idx="0">
                  <c:v>709.32546447980587</c:v>
                </c:pt>
                <c:pt idx="1">
                  <c:v>843.57843472215291</c:v>
                </c:pt>
                <c:pt idx="2">
                  <c:v>606.54529199878812</c:v>
                </c:pt>
                <c:pt idx="3">
                  <c:v>583.35086242820535</c:v>
                </c:pt>
                <c:pt idx="4">
                  <c:v>773.9857188455577</c:v>
                </c:pt>
                <c:pt idx="5">
                  <c:v>832.54281536747317</c:v>
                </c:pt>
                <c:pt idx="6">
                  <c:v>846.49492966501373</c:v>
                </c:pt>
                <c:pt idx="7">
                  <c:v>853.1581471224514</c:v>
                </c:pt>
                <c:pt idx="8">
                  <c:v>827.13041414329996</c:v>
                </c:pt>
                <c:pt idx="9">
                  <c:v>808.33190401463776</c:v>
                </c:pt>
                <c:pt idx="10">
                  <c:v>796.29075672587828</c:v>
                </c:pt>
                <c:pt idx="11">
                  <c:v>800.54945796281163</c:v>
                </c:pt>
              </c:numCache>
            </c:numRef>
          </c:val>
          <c:smooth val="0"/>
          <c:extLst>
            <c:ext xmlns:c16="http://schemas.microsoft.com/office/drawing/2014/chart" uri="{C3380CC4-5D6E-409C-BE32-E72D297353CC}">
              <c16:uniqueId val="{00000000-3526-4487-A2BF-65FD885EE21A}"/>
            </c:ext>
          </c:extLst>
        </c:ser>
        <c:ser>
          <c:idx val="6"/>
          <c:order val="1"/>
          <c:tx>
            <c:strRef>
              <c:f>Entrant_need_figures!$B$94</c:f>
              <c:strCache>
                <c:ptCount val="1"/>
                <c:pt idx="0">
                  <c:v>COMPUTING Scenario Selected</c:v>
                </c:pt>
              </c:strCache>
            </c:strRef>
          </c:tx>
          <c:spPr>
            <a:ln>
              <a:solidFill>
                <a:srgbClr val="00206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Entrant_need_figures!$C$94:$N$94</c:f>
              <c:numCache>
                <c:formatCode>#,##0</c:formatCode>
                <c:ptCount val="12"/>
                <c:pt idx="0">
                  <c:v>709.32546447980587</c:v>
                </c:pt>
                <c:pt idx="1">
                  <c:v>843.57843472215291</c:v>
                </c:pt>
                <c:pt idx="2">
                  <c:v>606.54529199878812</c:v>
                </c:pt>
                <c:pt idx="3">
                  <c:v>583.35086242820535</c:v>
                </c:pt>
                <c:pt idx="4">
                  <c:v>773.9857188455577</c:v>
                </c:pt>
                <c:pt idx="5">
                  <c:v>832.54281536747317</c:v>
                </c:pt>
                <c:pt idx="6">
                  <c:v>846.49492966501373</c:v>
                </c:pt>
                <c:pt idx="7">
                  <c:v>853.1581471224514</c:v>
                </c:pt>
                <c:pt idx="8">
                  <c:v>827.13041414329996</c:v>
                </c:pt>
                <c:pt idx="9">
                  <c:v>808.33190401463776</c:v>
                </c:pt>
                <c:pt idx="10">
                  <c:v>796.29075672587828</c:v>
                </c:pt>
                <c:pt idx="11">
                  <c:v>800.54945796281163</c:v>
                </c:pt>
              </c:numCache>
            </c:numRef>
          </c:val>
          <c:smooth val="0"/>
          <c:extLst>
            <c:ext xmlns:c16="http://schemas.microsoft.com/office/drawing/2014/chart" uri="{C3380CC4-5D6E-409C-BE32-E72D297353CC}">
              <c16:uniqueId val="{00000001-3526-4487-A2BF-65FD885EE21A}"/>
            </c:ext>
          </c:extLst>
        </c:ser>
        <c:ser>
          <c:idx val="27"/>
          <c:order val="2"/>
          <c:tx>
            <c:strRef>
              <c:f>Entrant_need_figures!$B$116</c:f>
              <c:strCache>
                <c:ptCount val="1"/>
                <c:pt idx="0">
                  <c:v>DESIGN &amp; TECHNOLOGY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Entrant_need_figures!$C$116:$N$116</c:f>
              <c:numCache>
                <c:formatCode>#,##0</c:formatCode>
                <c:ptCount val="12"/>
                <c:pt idx="0">
                  <c:v>1245.0689442608946</c:v>
                </c:pt>
                <c:pt idx="1">
                  <c:v>1311.846587985312</c:v>
                </c:pt>
                <c:pt idx="2">
                  <c:v>1012.1564823549604</c:v>
                </c:pt>
                <c:pt idx="3">
                  <c:v>918.40314532993511</c:v>
                </c:pt>
                <c:pt idx="4">
                  <c:v>1109.0705573766031</c:v>
                </c:pt>
                <c:pt idx="5">
                  <c:v>1164.802208393276</c:v>
                </c:pt>
                <c:pt idx="6">
                  <c:v>1142.0498555740651</c:v>
                </c:pt>
                <c:pt idx="7">
                  <c:v>1162.780409032571</c:v>
                </c:pt>
                <c:pt idx="8">
                  <c:v>1093.2713559971535</c:v>
                </c:pt>
                <c:pt idx="9">
                  <c:v>1024.9326813218624</c:v>
                </c:pt>
                <c:pt idx="10">
                  <c:v>991.48896928915133</c:v>
                </c:pt>
                <c:pt idx="11">
                  <c:v>1034.7806866282249</c:v>
                </c:pt>
              </c:numCache>
            </c:numRef>
          </c:val>
          <c:smooth val="0"/>
          <c:extLst>
            <c:ext xmlns:c16="http://schemas.microsoft.com/office/drawing/2014/chart" uri="{C3380CC4-5D6E-409C-BE32-E72D297353CC}">
              <c16:uniqueId val="{00000002-3526-4487-A2BF-65FD885EE21A}"/>
            </c:ext>
          </c:extLst>
        </c:ser>
        <c:ser>
          <c:idx val="7"/>
          <c:order val="3"/>
          <c:tx>
            <c:strRef>
              <c:f>Entrant_need_figures!$B$95</c:f>
              <c:strCache>
                <c:ptCount val="1"/>
                <c:pt idx="0">
                  <c:v>DESIGN &amp; TECHNOLOGY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Entrant_need_figures!$C$95:$N$95</c:f>
              <c:numCache>
                <c:formatCode>#,##0</c:formatCode>
                <c:ptCount val="12"/>
                <c:pt idx="0">
                  <c:v>1245.0689442608946</c:v>
                </c:pt>
                <c:pt idx="1">
                  <c:v>1311.846587985312</c:v>
                </c:pt>
                <c:pt idx="2">
                  <c:v>1012.1564823549604</c:v>
                </c:pt>
                <c:pt idx="3">
                  <c:v>918.40314532993511</c:v>
                </c:pt>
                <c:pt idx="4">
                  <c:v>1109.0705573766031</c:v>
                </c:pt>
                <c:pt idx="5">
                  <c:v>1164.802208393276</c:v>
                </c:pt>
                <c:pt idx="6">
                  <c:v>1142.0498555740651</c:v>
                </c:pt>
                <c:pt idx="7">
                  <c:v>1162.780409032571</c:v>
                </c:pt>
                <c:pt idx="8">
                  <c:v>1093.2713559971535</c:v>
                </c:pt>
                <c:pt idx="9">
                  <c:v>1024.9326813218624</c:v>
                </c:pt>
                <c:pt idx="10">
                  <c:v>991.48896928915133</c:v>
                </c:pt>
                <c:pt idx="11">
                  <c:v>1034.7806866282249</c:v>
                </c:pt>
              </c:numCache>
            </c:numRef>
          </c:val>
          <c:smooth val="0"/>
          <c:extLst>
            <c:ext xmlns:c16="http://schemas.microsoft.com/office/drawing/2014/chart" uri="{C3380CC4-5D6E-409C-BE32-E72D297353CC}">
              <c16:uniqueId val="{00000003-3526-4487-A2BF-65FD885EE21A}"/>
            </c:ext>
          </c:extLst>
        </c:ser>
        <c:ser>
          <c:idx val="0"/>
          <c:order val="4"/>
          <c:tx>
            <c:strRef>
              <c:f>Entrant_need_figures!$B$119</c:f>
              <c:strCache>
                <c:ptCount val="1"/>
                <c:pt idx="0">
                  <c:v>FOOD All Central Scenario</c:v>
                </c:pt>
              </c:strCache>
            </c:strRef>
          </c:tx>
          <c:spPr>
            <a:ln>
              <a:solidFill>
                <a:srgbClr val="92D050"/>
              </a:solidFill>
            </a:ln>
          </c:spPr>
          <c:marker>
            <c:symbol val="none"/>
          </c:marker>
          <c:val>
            <c:numRef>
              <c:f>Entrant_need_figures!$C$119:$N$119</c:f>
              <c:numCache>
                <c:formatCode>#,##0</c:formatCode>
                <c:ptCount val="12"/>
                <c:pt idx="0">
                  <c:v>234.07235550154263</c:v>
                </c:pt>
                <c:pt idx="1">
                  <c:v>284.27617634968738</c:v>
                </c:pt>
                <c:pt idx="2">
                  <c:v>194.17053582383005</c:v>
                </c:pt>
                <c:pt idx="3">
                  <c:v>170.8270791023503</c:v>
                </c:pt>
                <c:pt idx="4">
                  <c:v>230.37708101191996</c:v>
                </c:pt>
                <c:pt idx="5">
                  <c:v>245.70104364650734</c:v>
                </c:pt>
                <c:pt idx="6">
                  <c:v>246.34790451003173</c:v>
                </c:pt>
                <c:pt idx="7">
                  <c:v>236.46023169056463</c:v>
                </c:pt>
                <c:pt idx="8">
                  <c:v>224.73956387035648</c:v>
                </c:pt>
                <c:pt idx="9">
                  <c:v>226.24983913949038</c:v>
                </c:pt>
                <c:pt idx="10">
                  <c:v>222.57327350751743</c:v>
                </c:pt>
                <c:pt idx="11">
                  <c:v>210.23572617202188</c:v>
                </c:pt>
              </c:numCache>
            </c:numRef>
          </c:val>
          <c:smooth val="0"/>
          <c:extLst>
            <c:ext xmlns:c16="http://schemas.microsoft.com/office/drawing/2014/chart" uri="{C3380CC4-5D6E-409C-BE32-E72D297353CC}">
              <c16:uniqueId val="{00000004-3526-4487-A2BF-65FD885EE21A}"/>
            </c:ext>
          </c:extLst>
        </c:ser>
        <c:ser>
          <c:idx val="1"/>
          <c:order val="5"/>
          <c:tx>
            <c:strRef>
              <c:f>Entrant_need_figures!$B$98</c:f>
              <c:strCache>
                <c:ptCount val="1"/>
                <c:pt idx="0">
                  <c:v>FOOD Scenario Selected</c:v>
                </c:pt>
              </c:strCache>
            </c:strRef>
          </c:tx>
          <c:spPr>
            <a:ln>
              <a:solidFill>
                <a:srgbClr val="92D050"/>
              </a:solidFill>
              <a:prstDash val="sysDot"/>
            </a:ln>
          </c:spPr>
          <c:marker>
            <c:symbol val="none"/>
          </c:marker>
          <c:val>
            <c:numRef>
              <c:f>Entrant_need_figures!$C$98:$N$98</c:f>
              <c:numCache>
                <c:formatCode>#,##0</c:formatCode>
                <c:ptCount val="12"/>
                <c:pt idx="0">
                  <c:v>234.07235550154263</c:v>
                </c:pt>
                <c:pt idx="1">
                  <c:v>284.27617634968738</c:v>
                </c:pt>
                <c:pt idx="2">
                  <c:v>194.17053582383005</c:v>
                </c:pt>
                <c:pt idx="3">
                  <c:v>170.8270791023503</c:v>
                </c:pt>
                <c:pt idx="4">
                  <c:v>230.37708101191996</c:v>
                </c:pt>
                <c:pt idx="5">
                  <c:v>245.70104364650734</c:v>
                </c:pt>
                <c:pt idx="6">
                  <c:v>246.34790451003173</c:v>
                </c:pt>
                <c:pt idx="7">
                  <c:v>236.46023169056463</c:v>
                </c:pt>
                <c:pt idx="8">
                  <c:v>224.73956387035648</c:v>
                </c:pt>
                <c:pt idx="9">
                  <c:v>226.24983913949038</c:v>
                </c:pt>
                <c:pt idx="10">
                  <c:v>222.57327350751743</c:v>
                </c:pt>
                <c:pt idx="11">
                  <c:v>210.23572617202188</c:v>
                </c:pt>
              </c:numCache>
            </c:numRef>
          </c:val>
          <c:smooth val="0"/>
          <c:extLst>
            <c:ext xmlns:c16="http://schemas.microsoft.com/office/drawing/2014/chart" uri="{C3380CC4-5D6E-409C-BE32-E72D297353CC}">
              <c16:uniqueId val="{00000005-3526-4487-A2BF-65FD885EE21A}"/>
            </c:ext>
          </c:extLst>
        </c:ser>
        <c:dLbls>
          <c:showLegendKey val="0"/>
          <c:showVal val="0"/>
          <c:showCatName val="0"/>
          <c:showSerName val="0"/>
          <c:showPercent val="0"/>
          <c:showBubbleSize val="0"/>
        </c:dLbls>
        <c:smooth val="0"/>
        <c:axId val="149101184"/>
        <c:axId val="149115264"/>
      </c:lineChart>
      <c:catAx>
        <c:axId val="14910118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15264"/>
        <c:crosses val="autoZero"/>
        <c:auto val="1"/>
        <c:lblAlgn val="ctr"/>
        <c:lblOffset val="100"/>
        <c:noMultiLvlLbl val="0"/>
      </c:catAx>
      <c:valAx>
        <c:axId val="14911526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01184"/>
        <c:crosses val="autoZero"/>
        <c:crossBetween val="between"/>
      </c:valAx>
      <c:spPr>
        <a:ln>
          <a:solidFill>
            <a:schemeClr val="tx1">
              <a:lumMod val="95000"/>
              <a:lumOff val="5000"/>
            </a:schemeClr>
          </a:solidFill>
        </a:ln>
      </c:spPr>
    </c:plotArea>
    <c:legend>
      <c:legendPos val="r"/>
      <c:layout>
        <c:manualLayout>
          <c:xMode val="edge"/>
          <c:yMode val="edge"/>
          <c:x val="0.69656331253719206"/>
          <c:y val="6.4460113217555126E-2"/>
          <c:w val="0.27912831155244511"/>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1423840769903762"/>
          <c:y val="0.12283573928258967"/>
          <c:w val="0.57269959191744868"/>
          <c:h val="0.69329177602799663"/>
        </c:manualLayout>
      </c:layout>
      <c:lineChart>
        <c:grouping val="standard"/>
        <c:varyColors val="0"/>
        <c:ser>
          <c:idx val="23"/>
          <c:order val="0"/>
          <c:tx>
            <c:strRef>
              <c:f>Entrant_need_figures!$B$112</c:f>
              <c:strCache>
                <c:ptCount val="1"/>
                <c:pt idx="0">
                  <c:v>BUSINESS STUDIES All Central Scenario</c:v>
                </c:pt>
              </c:strCache>
            </c:strRef>
          </c:tx>
          <c:spPr>
            <a:ln>
              <a:solidFill>
                <a:srgbClr val="00206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Entrant_need_figures!$C$112:$N$112</c:f>
              <c:numCache>
                <c:formatCode>#,##0</c:formatCode>
                <c:ptCount val="12"/>
                <c:pt idx="0">
                  <c:v>362.24872735684426</c:v>
                </c:pt>
                <c:pt idx="1">
                  <c:v>373.05911124335444</c:v>
                </c:pt>
                <c:pt idx="2">
                  <c:v>322.16379969187324</c:v>
                </c:pt>
                <c:pt idx="3">
                  <c:v>242.64341944863361</c:v>
                </c:pt>
                <c:pt idx="4">
                  <c:v>361.07790710831665</c:v>
                </c:pt>
                <c:pt idx="5">
                  <c:v>416.6983553825952</c:v>
                </c:pt>
                <c:pt idx="6">
                  <c:v>451.85055300150242</c:v>
                </c:pt>
                <c:pt idx="7">
                  <c:v>438.31222345428705</c:v>
                </c:pt>
                <c:pt idx="8">
                  <c:v>452.22124837084499</c:v>
                </c:pt>
                <c:pt idx="9">
                  <c:v>466.43200415197572</c:v>
                </c:pt>
                <c:pt idx="10">
                  <c:v>469.10526220038776</c:v>
                </c:pt>
                <c:pt idx="11">
                  <c:v>440.86073111453987</c:v>
                </c:pt>
              </c:numCache>
            </c:numRef>
          </c:val>
          <c:smooth val="0"/>
          <c:extLst>
            <c:ext xmlns:c16="http://schemas.microsoft.com/office/drawing/2014/chart" uri="{C3380CC4-5D6E-409C-BE32-E72D297353CC}">
              <c16:uniqueId val="{00000000-AA35-413D-AB55-D79D431F8ACD}"/>
            </c:ext>
          </c:extLst>
        </c:ser>
        <c:ser>
          <c:idx val="3"/>
          <c:order val="1"/>
          <c:tx>
            <c:strRef>
              <c:f>Entrant_need_figures!$B$91</c:f>
              <c:strCache>
                <c:ptCount val="1"/>
                <c:pt idx="0">
                  <c:v>BUSINESS STUDIES Scenario Selected</c:v>
                </c:pt>
              </c:strCache>
            </c:strRef>
          </c:tx>
          <c:spPr>
            <a:ln>
              <a:solidFill>
                <a:srgbClr val="00206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Entrant_need_figures!$C$91:$N$91</c:f>
              <c:numCache>
                <c:formatCode>#,##0</c:formatCode>
                <c:ptCount val="12"/>
                <c:pt idx="0">
                  <c:v>362.24872735684426</c:v>
                </c:pt>
                <c:pt idx="1">
                  <c:v>373.05911124335444</c:v>
                </c:pt>
                <c:pt idx="2">
                  <c:v>322.16379969187324</c:v>
                </c:pt>
                <c:pt idx="3">
                  <c:v>242.64341944863361</c:v>
                </c:pt>
                <c:pt idx="4">
                  <c:v>361.07790710831665</c:v>
                </c:pt>
                <c:pt idx="5">
                  <c:v>416.6983553825952</c:v>
                </c:pt>
                <c:pt idx="6">
                  <c:v>451.85055300150242</c:v>
                </c:pt>
                <c:pt idx="7">
                  <c:v>438.31222345428705</c:v>
                </c:pt>
                <c:pt idx="8">
                  <c:v>452.22124837084499</c:v>
                </c:pt>
                <c:pt idx="9">
                  <c:v>466.43200415197572</c:v>
                </c:pt>
                <c:pt idx="10">
                  <c:v>469.10526220038776</c:v>
                </c:pt>
                <c:pt idx="11">
                  <c:v>440.86073111453987</c:v>
                </c:pt>
              </c:numCache>
            </c:numRef>
          </c:val>
          <c:smooth val="0"/>
          <c:extLst>
            <c:ext xmlns:c16="http://schemas.microsoft.com/office/drawing/2014/chart" uri="{C3380CC4-5D6E-409C-BE32-E72D297353CC}">
              <c16:uniqueId val="{00000001-AA35-413D-AB55-D79D431F8ACD}"/>
            </c:ext>
          </c:extLst>
        </c:ser>
        <c:ser>
          <c:idx val="35"/>
          <c:order val="2"/>
          <c:tx>
            <c:strRef>
              <c:f>Entrant_need_figures!$B$125</c:f>
              <c:strCache>
                <c:ptCount val="1"/>
                <c:pt idx="0">
                  <c:v>OTHERS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Entrant_need_figures!$C$125:$N$125</c:f>
              <c:numCache>
                <c:formatCode>#,##0</c:formatCode>
                <c:ptCount val="12"/>
                <c:pt idx="0">
                  <c:v>1500.072456160216</c:v>
                </c:pt>
                <c:pt idx="1">
                  <c:v>1426.8587676432212</c:v>
                </c:pt>
                <c:pt idx="2">
                  <c:v>1185.3582393233153</c:v>
                </c:pt>
                <c:pt idx="3">
                  <c:v>976.81158309329089</c:v>
                </c:pt>
                <c:pt idx="4">
                  <c:v>1246.1324373362588</c:v>
                </c:pt>
                <c:pt idx="5">
                  <c:v>1453.4041357684314</c:v>
                </c:pt>
                <c:pt idx="6">
                  <c:v>1534.617368578306</c:v>
                </c:pt>
                <c:pt idx="7">
                  <c:v>1533.1794714305215</c:v>
                </c:pt>
                <c:pt idx="8">
                  <c:v>1557.5545323627464</c:v>
                </c:pt>
                <c:pt idx="9">
                  <c:v>1542.6215110310686</c:v>
                </c:pt>
                <c:pt idx="10">
                  <c:v>1536.1819899927011</c:v>
                </c:pt>
                <c:pt idx="11">
                  <c:v>1520.0108002949419</c:v>
                </c:pt>
              </c:numCache>
            </c:numRef>
          </c:val>
          <c:smooth val="0"/>
          <c:extLst>
            <c:ext xmlns:c16="http://schemas.microsoft.com/office/drawing/2014/chart" uri="{C3380CC4-5D6E-409C-BE32-E72D297353CC}">
              <c16:uniqueId val="{00000002-AA35-413D-AB55-D79D431F8ACD}"/>
            </c:ext>
          </c:extLst>
        </c:ser>
        <c:ser>
          <c:idx val="15"/>
          <c:order val="3"/>
          <c:tx>
            <c:strRef>
              <c:f>Entrant_need_figures!$B$104</c:f>
              <c:strCache>
                <c:ptCount val="1"/>
                <c:pt idx="0">
                  <c:v>OTHERS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Entrant_need_figures!$C$104:$N$104</c:f>
              <c:numCache>
                <c:formatCode>#,##0</c:formatCode>
                <c:ptCount val="12"/>
                <c:pt idx="0">
                  <c:v>1500.072456160216</c:v>
                </c:pt>
                <c:pt idx="1">
                  <c:v>1426.8587676432212</c:v>
                </c:pt>
                <c:pt idx="2">
                  <c:v>1185.3582393233153</c:v>
                </c:pt>
                <c:pt idx="3">
                  <c:v>976.81158309329089</c:v>
                </c:pt>
                <c:pt idx="4">
                  <c:v>1246.1324373362588</c:v>
                </c:pt>
                <c:pt idx="5">
                  <c:v>1453.4041357684314</c:v>
                </c:pt>
                <c:pt idx="6">
                  <c:v>1534.617368578306</c:v>
                </c:pt>
                <c:pt idx="7">
                  <c:v>1533.1794714305215</c:v>
                </c:pt>
                <c:pt idx="8">
                  <c:v>1557.5545323627464</c:v>
                </c:pt>
                <c:pt idx="9">
                  <c:v>1542.6215110310686</c:v>
                </c:pt>
                <c:pt idx="10">
                  <c:v>1536.1819899927011</c:v>
                </c:pt>
                <c:pt idx="11">
                  <c:v>1520.0108002949419</c:v>
                </c:pt>
              </c:numCache>
            </c:numRef>
          </c:val>
          <c:smooth val="0"/>
          <c:extLst>
            <c:ext xmlns:c16="http://schemas.microsoft.com/office/drawing/2014/chart" uri="{C3380CC4-5D6E-409C-BE32-E72D297353CC}">
              <c16:uniqueId val="{00000003-AA35-413D-AB55-D79D431F8ACD}"/>
            </c:ext>
          </c:extLst>
        </c:ser>
        <c:ser>
          <c:idx val="36"/>
          <c:order val="4"/>
          <c:tx>
            <c:strRef>
              <c:f>Entrant_need_figures!$B$126</c:f>
              <c:strCache>
                <c:ptCount val="1"/>
                <c:pt idx="0">
                  <c:v>PHYSICAL EDUCATION All Central Scenario</c:v>
                </c:pt>
              </c:strCache>
            </c:strRef>
          </c:tx>
          <c:spPr>
            <a:ln>
              <a:solidFill>
                <a:srgbClr val="92D05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Entrant_need_figures!$C$126:$N$126</c:f>
              <c:numCache>
                <c:formatCode>#,##0</c:formatCode>
                <c:ptCount val="12"/>
                <c:pt idx="0">
                  <c:v>1349.2738287837035</c:v>
                </c:pt>
                <c:pt idx="1">
                  <c:v>1686.8057178190093</c:v>
                </c:pt>
                <c:pt idx="2">
                  <c:v>1515.9865558265149</c:v>
                </c:pt>
                <c:pt idx="3">
                  <c:v>1482.5629363650601</c:v>
                </c:pt>
                <c:pt idx="4">
                  <c:v>1662.3140725742633</c:v>
                </c:pt>
                <c:pt idx="5">
                  <c:v>1742.4954335829016</c:v>
                </c:pt>
                <c:pt idx="6">
                  <c:v>1768.7514463063585</c:v>
                </c:pt>
                <c:pt idx="7">
                  <c:v>1780.1332561342128</c:v>
                </c:pt>
                <c:pt idx="8">
                  <c:v>1704.1827534635227</c:v>
                </c:pt>
                <c:pt idx="9">
                  <c:v>1683.241480888559</c:v>
                </c:pt>
                <c:pt idx="10">
                  <c:v>1664.9481247333433</c:v>
                </c:pt>
                <c:pt idx="11">
                  <c:v>1669.1868353152549</c:v>
                </c:pt>
              </c:numCache>
            </c:numRef>
          </c:val>
          <c:smooth val="0"/>
          <c:extLst>
            <c:ext xmlns:c16="http://schemas.microsoft.com/office/drawing/2014/chart" uri="{C3380CC4-5D6E-409C-BE32-E72D297353CC}">
              <c16:uniqueId val="{00000004-AA35-413D-AB55-D79D431F8ACD}"/>
            </c:ext>
          </c:extLst>
        </c:ser>
        <c:ser>
          <c:idx val="16"/>
          <c:order val="5"/>
          <c:tx>
            <c:strRef>
              <c:f>Entrant_need_figures!$B$105</c:f>
              <c:strCache>
                <c:ptCount val="1"/>
                <c:pt idx="0">
                  <c:v>PHYSICAL EDUCATION Scenario Selected</c:v>
                </c:pt>
              </c:strCache>
            </c:strRef>
          </c:tx>
          <c:spPr>
            <a:ln>
              <a:solidFill>
                <a:srgbClr val="92D05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Entrant_need_figures!$C$105:$N$105</c:f>
              <c:numCache>
                <c:formatCode>#,##0</c:formatCode>
                <c:ptCount val="12"/>
                <c:pt idx="0">
                  <c:v>1349.2738287837035</c:v>
                </c:pt>
                <c:pt idx="1">
                  <c:v>1686.8057178190093</c:v>
                </c:pt>
                <c:pt idx="2">
                  <c:v>1515.9865558265149</c:v>
                </c:pt>
                <c:pt idx="3">
                  <c:v>1482.5629363650601</c:v>
                </c:pt>
                <c:pt idx="4">
                  <c:v>1662.3140725742633</c:v>
                </c:pt>
                <c:pt idx="5">
                  <c:v>1742.4954335829016</c:v>
                </c:pt>
                <c:pt idx="6">
                  <c:v>1768.7514463063585</c:v>
                </c:pt>
                <c:pt idx="7">
                  <c:v>1780.1332561342128</c:v>
                </c:pt>
                <c:pt idx="8">
                  <c:v>1704.1827534635227</c:v>
                </c:pt>
                <c:pt idx="9">
                  <c:v>1683.241480888559</c:v>
                </c:pt>
                <c:pt idx="10">
                  <c:v>1664.9481247333433</c:v>
                </c:pt>
                <c:pt idx="11">
                  <c:v>1669.1868353152549</c:v>
                </c:pt>
              </c:numCache>
            </c:numRef>
          </c:val>
          <c:smooth val="0"/>
          <c:extLst>
            <c:ext xmlns:c16="http://schemas.microsoft.com/office/drawing/2014/chart" uri="{C3380CC4-5D6E-409C-BE32-E72D297353CC}">
              <c16:uniqueId val="{00000005-AA35-413D-AB55-D79D431F8ACD}"/>
            </c:ext>
          </c:extLst>
        </c:ser>
        <c:dLbls>
          <c:showLegendKey val="0"/>
          <c:showVal val="0"/>
          <c:showCatName val="0"/>
          <c:showSerName val="0"/>
          <c:showPercent val="0"/>
          <c:showBubbleSize val="0"/>
        </c:dLbls>
        <c:smooth val="0"/>
        <c:axId val="149154432"/>
        <c:axId val="149164416"/>
      </c:lineChart>
      <c:catAx>
        <c:axId val="14915443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164416"/>
        <c:crosses val="autoZero"/>
        <c:auto val="1"/>
        <c:lblAlgn val="ctr"/>
        <c:lblOffset val="100"/>
        <c:noMultiLvlLbl val="0"/>
      </c:catAx>
      <c:valAx>
        <c:axId val="1491644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154432"/>
        <c:crosses val="autoZero"/>
        <c:crossBetween val="between"/>
      </c:valAx>
      <c:spPr>
        <a:ln>
          <a:solidFill>
            <a:schemeClr val="tx1">
              <a:lumMod val="95000"/>
              <a:lumOff val="5000"/>
            </a:schemeClr>
          </a:solidFill>
        </a:ln>
      </c:spPr>
    </c:plotArea>
    <c:legend>
      <c:legendPos val="r"/>
      <c:layout>
        <c:manualLayout>
          <c:xMode val="edge"/>
          <c:yMode val="edge"/>
          <c:x val="0.70469921964452431"/>
          <c:y val="6.6202456400267035E-2"/>
          <c:w val="0.27265144709260336"/>
          <c:h val="0.8850203480662478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BY PHASE</a:t>
            </a:r>
          </a:p>
        </c:rich>
      </c:tx>
      <c:overlay val="0"/>
    </c:title>
    <c:autoTitleDeleted val="0"/>
    <c:plotArea>
      <c:layout>
        <c:manualLayout>
          <c:layoutTarget val="inner"/>
          <c:xMode val="edge"/>
          <c:yMode val="edge"/>
          <c:x val="0.12832174103237096"/>
          <c:y val="0.10612277631962672"/>
          <c:w val="0.582133069529297"/>
          <c:h val="0.70456819573156559"/>
        </c:manualLayout>
      </c:layout>
      <c:lineChart>
        <c:grouping val="standard"/>
        <c:varyColors val="0"/>
        <c:ser>
          <c:idx val="0"/>
          <c:order val="0"/>
          <c:tx>
            <c:strRef>
              <c:f>Teacher_need_figures!$B$39</c:f>
              <c:strCache>
                <c:ptCount val="1"/>
                <c:pt idx="0">
                  <c:v>PRIMARY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Teacher_need_figures!$C$39:$N$39</c:f>
              <c:numCache>
                <c:formatCode>#,##0</c:formatCode>
                <c:ptCount val="12"/>
                <c:pt idx="0">
                  <c:v>242289.97801032916</c:v>
                </c:pt>
                <c:pt idx="1">
                  <c:v>243816.50498787969</c:v>
                </c:pt>
                <c:pt idx="2">
                  <c:v>244473.00051685341</c:v>
                </c:pt>
                <c:pt idx="3">
                  <c:v>244493.08548462985</c:v>
                </c:pt>
                <c:pt idx="4">
                  <c:v>244756.56223781532</c:v>
                </c:pt>
                <c:pt idx="5">
                  <c:v>244837.80568339408</c:v>
                </c:pt>
                <c:pt idx="6">
                  <c:v>244626.1931197551</c:v>
                </c:pt>
                <c:pt idx="7">
                  <c:v>244233.40708441578</c:v>
                </c:pt>
                <c:pt idx="8">
                  <c:v>244470.60548841688</c:v>
                </c:pt>
                <c:pt idx="9">
                  <c:v>245157.17144903576</c:v>
                </c:pt>
                <c:pt idx="10">
                  <c:v>245898.02721211434</c:v>
                </c:pt>
                <c:pt idx="11">
                  <c:v>246453.8722658148</c:v>
                </c:pt>
              </c:numCache>
            </c:numRef>
          </c:val>
          <c:smooth val="0"/>
          <c:extLst>
            <c:ext xmlns:c16="http://schemas.microsoft.com/office/drawing/2014/chart" uri="{C3380CC4-5D6E-409C-BE32-E72D297353CC}">
              <c16:uniqueId val="{00000000-02F1-4F78-A859-0238FB35BAE9}"/>
            </c:ext>
          </c:extLst>
        </c:ser>
        <c:ser>
          <c:idx val="3"/>
          <c:order val="1"/>
          <c:tx>
            <c:strRef>
              <c:f>Teacher_need_figures!$B$14</c:f>
              <c:strCache>
                <c:ptCount val="1"/>
                <c:pt idx="0">
                  <c:v>PRIMARY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Teacher_need_figures!$C$14:$N$14</c:f>
              <c:numCache>
                <c:formatCode>#,##0</c:formatCode>
                <c:ptCount val="12"/>
                <c:pt idx="0">
                  <c:v>242289.97801032916</c:v>
                </c:pt>
                <c:pt idx="1">
                  <c:v>243816.50498787969</c:v>
                </c:pt>
                <c:pt idx="2">
                  <c:v>244473.00051685341</c:v>
                </c:pt>
                <c:pt idx="3">
                  <c:v>244493.08548462985</c:v>
                </c:pt>
                <c:pt idx="4">
                  <c:v>244756.56223781532</c:v>
                </c:pt>
                <c:pt idx="5">
                  <c:v>244837.80568339408</c:v>
                </c:pt>
                <c:pt idx="6">
                  <c:v>244626.1931197551</c:v>
                </c:pt>
                <c:pt idx="7">
                  <c:v>244233.40708441578</c:v>
                </c:pt>
                <c:pt idx="8">
                  <c:v>244470.60548841688</c:v>
                </c:pt>
                <c:pt idx="9">
                  <c:v>245157.17144903576</c:v>
                </c:pt>
                <c:pt idx="10">
                  <c:v>245898.02721211434</c:v>
                </c:pt>
                <c:pt idx="11">
                  <c:v>246453.8722658148</c:v>
                </c:pt>
              </c:numCache>
            </c:numRef>
          </c:val>
          <c:smooth val="0"/>
          <c:extLst>
            <c:ext xmlns:c16="http://schemas.microsoft.com/office/drawing/2014/chart" uri="{C3380CC4-5D6E-409C-BE32-E72D297353CC}">
              <c16:uniqueId val="{00000001-02F1-4F78-A859-0238FB35BAE9}"/>
            </c:ext>
          </c:extLst>
        </c:ser>
        <c:ser>
          <c:idx val="1"/>
          <c:order val="2"/>
          <c:tx>
            <c:strRef>
              <c:f>Teacher_need_figures!$B$59</c:f>
              <c:strCache>
                <c:ptCount val="1"/>
                <c:pt idx="0">
                  <c:v>SECONDARY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Teacher_need_figures!$C$59:$N$59</c:f>
              <c:numCache>
                <c:formatCode>#,##0</c:formatCode>
                <c:ptCount val="12"/>
                <c:pt idx="0">
                  <c:v>213976.00504540943</c:v>
                </c:pt>
                <c:pt idx="1">
                  <c:v>215448.23496505464</c:v>
                </c:pt>
                <c:pt idx="2">
                  <c:v>217665.58493798462</c:v>
                </c:pt>
                <c:pt idx="3">
                  <c:v>220113.00223502028</c:v>
                </c:pt>
                <c:pt idx="4">
                  <c:v>222083.21597704067</c:v>
                </c:pt>
                <c:pt idx="5">
                  <c:v>224012.64325451854</c:v>
                </c:pt>
                <c:pt idx="6">
                  <c:v>226115.09681652434</c:v>
                </c:pt>
                <c:pt idx="7">
                  <c:v>227913.16234106064</c:v>
                </c:pt>
                <c:pt idx="8">
                  <c:v>228568.5499006052</c:v>
                </c:pt>
                <c:pt idx="9">
                  <c:v>228824.14188092307</c:v>
                </c:pt>
                <c:pt idx="10">
                  <c:v>228710.60157528741</c:v>
                </c:pt>
                <c:pt idx="11">
                  <c:v>228387.83509911041</c:v>
                </c:pt>
              </c:numCache>
            </c:numRef>
          </c:val>
          <c:smooth val="0"/>
          <c:extLst>
            <c:ext xmlns:c16="http://schemas.microsoft.com/office/drawing/2014/chart" uri="{C3380CC4-5D6E-409C-BE32-E72D297353CC}">
              <c16:uniqueId val="{00000002-02F1-4F78-A859-0238FB35BAE9}"/>
            </c:ext>
          </c:extLst>
        </c:ser>
        <c:ser>
          <c:idx val="2"/>
          <c:order val="3"/>
          <c:tx>
            <c:strRef>
              <c:f>Teacher_need_figures!$B$34</c:f>
              <c:strCache>
                <c:ptCount val="1"/>
                <c:pt idx="0">
                  <c:v>SECONDARY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Teacher_need_figures!$C$34:$N$34</c:f>
              <c:numCache>
                <c:formatCode>#,##0</c:formatCode>
                <c:ptCount val="12"/>
                <c:pt idx="0">
                  <c:v>213976.00504540943</c:v>
                </c:pt>
                <c:pt idx="1">
                  <c:v>215448.23496505464</c:v>
                </c:pt>
                <c:pt idx="2">
                  <c:v>217665.58493798462</c:v>
                </c:pt>
                <c:pt idx="3">
                  <c:v>220113.00223502028</c:v>
                </c:pt>
                <c:pt idx="4">
                  <c:v>222083.21597704067</c:v>
                </c:pt>
                <c:pt idx="5">
                  <c:v>224012.64325451854</c:v>
                </c:pt>
                <c:pt idx="6">
                  <c:v>226115.09681652434</c:v>
                </c:pt>
                <c:pt idx="7">
                  <c:v>227913.16234106064</c:v>
                </c:pt>
                <c:pt idx="8">
                  <c:v>228568.5499006052</c:v>
                </c:pt>
                <c:pt idx="9">
                  <c:v>228824.14188092307</c:v>
                </c:pt>
                <c:pt idx="10">
                  <c:v>228710.60157528741</c:v>
                </c:pt>
                <c:pt idx="11">
                  <c:v>228387.83509911041</c:v>
                </c:pt>
              </c:numCache>
            </c:numRef>
          </c:val>
          <c:smooth val="0"/>
          <c:extLst>
            <c:ext xmlns:c16="http://schemas.microsoft.com/office/drawing/2014/chart" uri="{C3380CC4-5D6E-409C-BE32-E72D297353CC}">
              <c16:uniqueId val="{00000003-02F1-4F78-A859-0238FB35BAE9}"/>
            </c:ext>
          </c:extLst>
        </c:ser>
        <c:dLbls>
          <c:showLegendKey val="0"/>
          <c:showVal val="0"/>
          <c:showCatName val="0"/>
          <c:showSerName val="0"/>
          <c:showPercent val="0"/>
          <c:showBubbleSize val="0"/>
        </c:dLbls>
        <c:smooth val="0"/>
        <c:axId val="149566592"/>
        <c:axId val="149568128"/>
      </c:lineChart>
      <c:catAx>
        <c:axId val="14956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68128"/>
        <c:crosses val="autoZero"/>
        <c:auto val="1"/>
        <c:lblAlgn val="ctr"/>
        <c:lblOffset val="100"/>
        <c:noMultiLvlLbl val="0"/>
      </c:catAx>
      <c:valAx>
        <c:axId val="14956812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66592"/>
        <c:crosses val="autoZero"/>
        <c:crossBetween val="between"/>
      </c:valAx>
      <c:spPr>
        <a:ln>
          <a:solidFill>
            <a:schemeClr val="tx1">
              <a:lumMod val="95000"/>
              <a:lumOff val="5000"/>
            </a:schemeClr>
          </a:solidFill>
        </a:ln>
      </c:spPr>
    </c:plotArea>
    <c:legend>
      <c:legendPos val="r"/>
      <c:layout>
        <c:manualLayout>
          <c:xMode val="edge"/>
          <c:yMode val="edge"/>
          <c:x val="0.72287267931241483"/>
          <c:y val="9.375E-2"/>
          <c:w val="0.25793032131417626"/>
          <c:h val="0.7604181248177310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ENGLISH AND MATHEMATICS</a:t>
            </a:r>
          </a:p>
        </c:rich>
      </c:tx>
      <c:overlay val="0"/>
    </c:title>
    <c:autoTitleDeleted val="0"/>
    <c:plotArea>
      <c:layout>
        <c:manualLayout>
          <c:layoutTarget val="inner"/>
          <c:xMode val="edge"/>
          <c:yMode val="edge"/>
          <c:x val="0.12832174103237096"/>
          <c:y val="0.11075240594925634"/>
          <c:w val="0.58563100285541236"/>
          <c:h val="0.71343980187960376"/>
        </c:manualLayout>
      </c:layout>
      <c:lineChart>
        <c:grouping val="standard"/>
        <c:varyColors val="0"/>
        <c:ser>
          <c:idx val="9"/>
          <c:order val="0"/>
          <c:tx>
            <c:strRef>
              <c:f>Teacher_need_figures!$B$48</c:f>
              <c:strCache>
                <c:ptCount val="1"/>
                <c:pt idx="0">
                  <c:v>ENGLISH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Teacher_need_figures!$C$48:$N$48</c:f>
              <c:numCache>
                <c:formatCode>#,##0</c:formatCode>
                <c:ptCount val="12"/>
                <c:pt idx="0">
                  <c:v>30045.430109827248</c:v>
                </c:pt>
                <c:pt idx="1">
                  <c:v>30333.400701627972</c:v>
                </c:pt>
                <c:pt idx="2">
                  <c:v>30740.580743117873</c:v>
                </c:pt>
                <c:pt idx="3">
                  <c:v>31138.164239620182</c:v>
                </c:pt>
                <c:pt idx="4">
                  <c:v>31431.480605286102</c:v>
                </c:pt>
                <c:pt idx="5">
                  <c:v>31724.957576132929</c:v>
                </c:pt>
                <c:pt idx="6">
                  <c:v>32026.858636939469</c:v>
                </c:pt>
                <c:pt idx="7">
                  <c:v>32259.412600544802</c:v>
                </c:pt>
                <c:pt idx="8">
                  <c:v>32303.914557396369</c:v>
                </c:pt>
                <c:pt idx="9">
                  <c:v>32322.338999171592</c:v>
                </c:pt>
                <c:pt idx="10">
                  <c:v>32290.376328559087</c:v>
                </c:pt>
                <c:pt idx="11">
                  <c:v>32194.629621922984</c:v>
                </c:pt>
              </c:numCache>
            </c:numRef>
          </c:val>
          <c:smooth val="0"/>
          <c:extLst>
            <c:ext xmlns:c16="http://schemas.microsoft.com/office/drawing/2014/chart" uri="{C3380CC4-5D6E-409C-BE32-E72D297353CC}">
              <c16:uniqueId val="{00000000-3A21-4884-A34F-8054EB3F6694}"/>
            </c:ext>
          </c:extLst>
        </c:ser>
        <c:ser>
          <c:idx val="1"/>
          <c:order val="1"/>
          <c:tx>
            <c:strRef>
              <c:f>Teacher_need_figures!$B$23</c:f>
              <c:strCache>
                <c:ptCount val="1"/>
                <c:pt idx="0">
                  <c:v>ENGLISH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Teacher_need_figures!$C$23:$N$23</c:f>
              <c:numCache>
                <c:formatCode>#,##0</c:formatCode>
                <c:ptCount val="12"/>
                <c:pt idx="0">
                  <c:v>30045.430109827248</c:v>
                </c:pt>
                <c:pt idx="1">
                  <c:v>30333.400701627972</c:v>
                </c:pt>
                <c:pt idx="2">
                  <c:v>30740.580743117873</c:v>
                </c:pt>
                <c:pt idx="3">
                  <c:v>31138.164239620182</c:v>
                </c:pt>
                <c:pt idx="4">
                  <c:v>31431.480605286102</c:v>
                </c:pt>
                <c:pt idx="5">
                  <c:v>31724.957576132929</c:v>
                </c:pt>
                <c:pt idx="6">
                  <c:v>32026.858636939469</c:v>
                </c:pt>
                <c:pt idx="7">
                  <c:v>32259.412600544802</c:v>
                </c:pt>
                <c:pt idx="8">
                  <c:v>32303.914557396369</c:v>
                </c:pt>
                <c:pt idx="9">
                  <c:v>32322.338999171592</c:v>
                </c:pt>
                <c:pt idx="10">
                  <c:v>32290.376328559087</c:v>
                </c:pt>
                <c:pt idx="11">
                  <c:v>32194.629621922984</c:v>
                </c:pt>
              </c:numCache>
            </c:numRef>
          </c:val>
          <c:smooth val="0"/>
          <c:extLst>
            <c:ext xmlns:c16="http://schemas.microsoft.com/office/drawing/2014/chart" uri="{C3380CC4-5D6E-409C-BE32-E72D297353CC}">
              <c16:uniqueId val="{00000001-3A21-4884-A34F-8054EB3F6694}"/>
            </c:ext>
          </c:extLst>
        </c:ser>
        <c:ser>
          <c:idx val="12"/>
          <c:order val="2"/>
          <c:tx>
            <c:strRef>
              <c:f>Teacher_need_figures!$B$52</c:f>
              <c:strCache>
                <c:ptCount val="1"/>
                <c:pt idx="0">
                  <c:v>MATHEMATICS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Teacher_need_figures!$C$52:$N$52</c:f>
              <c:numCache>
                <c:formatCode>#,##0</c:formatCode>
                <c:ptCount val="12"/>
                <c:pt idx="0">
                  <c:v>31128.110157317467</c:v>
                </c:pt>
                <c:pt idx="1">
                  <c:v>31665.531388362488</c:v>
                </c:pt>
                <c:pt idx="2">
                  <c:v>32100.361692253198</c:v>
                </c:pt>
                <c:pt idx="3">
                  <c:v>32582.828012347269</c:v>
                </c:pt>
                <c:pt idx="4">
                  <c:v>33003.668201745655</c:v>
                </c:pt>
                <c:pt idx="5">
                  <c:v>33301.534329916365</c:v>
                </c:pt>
                <c:pt idx="6">
                  <c:v>33615.152538711307</c:v>
                </c:pt>
                <c:pt idx="7">
                  <c:v>33865.334671084165</c:v>
                </c:pt>
                <c:pt idx="8">
                  <c:v>33930.636804597707</c:v>
                </c:pt>
                <c:pt idx="9">
                  <c:v>33958.682466908453</c:v>
                </c:pt>
                <c:pt idx="10">
                  <c:v>33933.81252854225</c:v>
                </c:pt>
                <c:pt idx="11">
                  <c:v>33853.43348167192</c:v>
                </c:pt>
              </c:numCache>
            </c:numRef>
          </c:val>
          <c:smooth val="0"/>
          <c:extLst>
            <c:ext xmlns:c16="http://schemas.microsoft.com/office/drawing/2014/chart" uri="{C3380CC4-5D6E-409C-BE32-E72D297353CC}">
              <c16:uniqueId val="{00000002-3A21-4884-A34F-8054EB3F6694}"/>
            </c:ext>
          </c:extLst>
        </c:ser>
        <c:ser>
          <c:idx val="0"/>
          <c:order val="3"/>
          <c:tx>
            <c:strRef>
              <c:f>Teacher_need_figures!$B$27</c:f>
              <c:strCache>
                <c:ptCount val="1"/>
                <c:pt idx="0">
                  <c:v>MATHEMATICS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Teacher_need_figures!$C$27:$N$27</c:f>
              <c:numCache>
                <c:formatCode>#,##0</c:formatCode>
                <c:ptCount val="12"/>
                <c:pt idx="0">
                  <c:v>31128.110157317467</c:v>
                </c:pt>
                <c:pt idx="1">
                  <c:v>31665.531388362488</c:v>
                </c:pt>
                <c:pt idx="2">
                  <c:v>32100.361692253198</c:v>
                </c:pt>
                <c:pt idx="3">
                  <c:v>32582.828012347269</c:v>
                </c:pt>
                <c:pt idx="4">
                  <c:v>33003.668201745655</c:v>
                </c:pt>
                <c:pt idx="5">
                  <c:v>33301.534329916365</c:v>
                </c:pt>
                <c:pt idx="6">
                  <c:v>33615.152538711307</c:v>
                </c:pt>
                <c:pt idx="7">
                  <c:v>33865.334671084165</c:v>
                </c:pt>
                <c:pt idx="8">
                  <c:v>33930.636804597707</c:v>
                </c:pt>
                <c:pt idx="9">
                  <c:v>33958.682466908453</c:v>
                </c:pt>
                <c:pt idx="10">
                  <c:v>33933.81252854225</c:v>
                </c:pt>
                <c:pt idx="11">
                  <c:v>33853.43348167192</c:v>
                </c:pt>
              </c:numCache>
            </c:numRef>
          </c:val>
          <c:smooth val="0"/>
          <c:extLst>
            <c:ext xmlns:c16="http://schemas.microsoft.com/office/drawing/2014/chart" uri="{C3380CC4-5D6E-409C-BE32-E72D297353CC}">
              <c16:uniqueId val="{00000003-3A21-4884-A34F-8054EB3F6694}"/>
            </c:ext>
          </c:extLst>
        </c:ser>
        <c:dLbls>
          <c:showLegendKey val="0"/>
          <c:showVal val="0"/>
          <c:showCatName val="0"/>
          <c:showSerName val="0"/>
          <c:showPercent val="0"/>
          <c:showBubbleSize val="0"/>
        </c:dLbls>
        <c:smooth val="0"/>
        <c:axId val="149604992"/>
        <c:axId val="149295488"/>
      </c:lineChart>
      <c:catAx>
        <c:axId val="1496049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295488"/>
        <c:crosses val="autoZero"/>
        <c:auto val="1"/>
        <c:lblAlgn val="ctr"/>
        <c:lblOffset val="100"/>
        <c:noMultiLvlLbl val="0"/>
      </c:catAx>
      <c:valAx>
        <c:axId val="149295488"/>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04992"/>
        <c:crosses val="autoZero"/>
        <c:crossBetween val="between"/>
      </c:valAx>
      <c:spPr>
        <a:ln>
          <a:solidFill>
            <a:schemeClr val="tx1">
              <a:lumMod val="95000"/>
              <a:lumOff val="5000"/>
            </a:schemeClr>
          </a:solidFill>
        </a:ln>
      </c:spPr>
    </c:plotArea>
    <c:legend>
      <c:legendPos val="r"/>
      <c:layout>
        <c:manualLayout>
          <c:xMode val="edge"/>
          <c:yMode val="edge"/>
          <c:x val="0.72973026887472126"/>
          <c:y val="9.2334677677485433E-2"/>
          <c:w val="0.25307148926408252"/>
          <c:h val="0.7595844421886288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SCIENCES</a:t>
            </a:r>
          </a:p>
        </c:rich>
      </c:tx>
      <c:overlay val="0"/>
    </c:title>
    <c:autoTitleDeleted val="0"/>
    <c:plotArea>
      <c:layout>
        <c:manualLayout>
          <c:layoutTarget val="inner"/>
          <c:xMode val="edge"/>
          <c:yMode val="edge"/>
          <c:x val="0.12832174103237096"/>
          <c:y val="0.11075240594925634"/>
          <c:w val="0.58116783789123139"/>
          <c:h val="0.70895951514125255"/>
        </c:manualLayout>
      </c:layout>
      <c:lineChart>
        <c:grouping val="standard"/>
        <c:varyColors val="0"/>
        <c:ser>
          <c:idx val="2"/>
          <c:order val="0"/>
          <c:tx>
            <c:strRef>
              <c:f>Teacher_need_figures!$B$41</c:f>
              <c:strCache>
                <c:ptCount val="1"/>
                <c:pt idx="0">
                  <c:v>BIOLOGY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Teacher_need_figures!$C$41:$N$41</c:f>
              <c:numCache>
                <c:formatCode>#,##0</c:formatCode>
                <c:ptCount val="12"/>
                <c:pt idx="0">
                  <c:v>12786.987412851919</c:v>
                </c:pt>
                <c:pt idx="1">
                  <c:v>12855.738513404587</c:v>
                </c:pt>
                <c:pt idx="2">
                  <c:v>12998.316050469002</c:v>
                </c:pt>
                <c:pt idx="3">
                  <c:v>13138.105245734181</c:v>
                </c:pt>
                <c:pt idx="4">
                  <c:v>13246.541294911551</c:v>
                </c:pt>
                <c:pt idx="5">
                  <c:v>13373.709515062588</c:v>
                </c:pt>
                <c:pt idx="6">
                  <c:v>13528.547619574107</c:v>
                </c:pt>
                <c:pt idx="7">
                  <c:v>13635.027100789352</c:v>
                </c:pt>
                <c:pt idx="8">
                  <c:v>13684.461372087695</c:v>
                </c:pt>
                <c:pt idx="9">
                  <c:v>13743.463089448744</c:v>
                </c:pt>
                <c:pt idx="10">
                  <c:v>13784.393459502542</c:v>
                </c:pt>
                <c:pt idx="11">
                  <c:v>13763.711607784684</c:v>
                </c:pt>
              </c:numCache>
            </c:numRef>
          </c:val>
          <c:smooth val="0"/>
          <c:extLst>
            <c:ext xmlns:c16="http://schemas.microsoft.com/office/drawing/2014/chart" uri="{C3380CC4-5D6E-409C-BE32-E72D297353CC}">
              <c16:uniqueId val="{00000000-4DD2-42AF-8324-4306C5100D7F}"/>
            </c:ext>
          </c:extLst>
        </c:ser>
        <c:ser>
          <c:idx val="0"/>
          <c:order val="1"/>
          <c:tx>
            <c:strRef>
              <c:f>Teacher_need_figures!$B$16</c:f>
              <c:strCache>
                <c:ptCount val="1"/>
                <c:pt idx="0">
                  <c:v>BIOLOGY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Teacher_need_figures!$C$16:$N$16</c:f>
              <c:numCache>
                <c:formatCode>#,##0</c:formatCode>
                <c:ptCount val="12"/>
                <c:pt idx="0">
                  <c:v>12786.987412851919</c:v>
                </c:pt>
                <c:pt idx="1">
                  <c:v>12855.738513404587</c:v>
                </c:pt>
                <c:pt idx="2">
                  <c:v>12998.316050469002</c:v>
                </c:pt>
                <c:pt idx="3">
                  <c:v>13138.105245734181</c:v>
                </c:pt>
                <c:pt idx="4">
                  <c:v>13246.541294911551</c:v>
                </c:pt>
                <c:pt idx="5">
                  <c:v>13373.709515062588</c:v>
                </c:pt>
                <c:pt idx="6">
                  <c:v>13528.547619574107</c:v>
                </c:pt>
                <c:pt idx="7">
                  <c:v>13635.027100789352</c:v>
                </c:pt>
                <c:pt idx="8">
                  <c:v>13684.461372087695</c:v>
                </c:pt>
                <c:pt idx="9">
                  <c:v>13743.463089448744</c:v>
                </c:pt>
                <c:pt idx="10">
                  <c:v>13784.393459502542</c:v>
                </c:pt>
                <c:pt idx="11">
                  <c:v>13763.711607784684</c:v>
                </c:pt>
              </c:numCache>
            </c:numRef>
          </c:val>
          <c:smooth val="0"/>
          <c:extLst>
            <c:ext xmlns:c16="http://schemas.microsoft.com/office/drawing/2014/chart" uri="{C3380CC4-5D6E-409C-BE32-E72D297353CC}">
              <c16:uniqueId val="{00000001-4DD2-42AF-8324-4306C5100D7F}"/>
            </c:ext>
          </c:extLst>
        </c:ser>
        <c:ser>
          <c:idx val="4"/>
          <c:order val="2"/>
          <c:tx>
            <c:strRef>
              <c:f>Teacher_need_figures!$B$43</c:f>
              <c:strCache>
                <c:ptCount val="1"/>
                <c:pt idx="0">
                  <c:v>CHEMISTRY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Teacher_need_figures!$C$43:$N$43</c:f>
              <c:numCache>
                <c:formatCode>#,##0</c:formatCode>
                <c:ptCount val="12"/>
                <c:pt idx="0">
                  <c:v>11068.508981061603</c:v>
                </c:pt>
                <c:pt idx="1">
                  <c:v>11129.85258610651</c:v>
                </c:pt>
                <c:pt idx="2">
                  <c:v>11260.285419513875</c:v>
                </c:pt>
                <c:pt idx="3">
                  <c:v>11383.268474585764</c:v>
                </c:pt>
                <c:pt idx="4">
                  <c:v>11478.037676404865</c:v>
                </c:pt>
                <c:pt idx="5">
                  <c:v>11591.815611587474</c:v>
                </c:pt>
                <c:pt idx="6">
                  <c:v>11731.989151799509</c:v>
                </c:pt>
                <c:pt idx="7">
                  <c:v>11822.684634785315</c:v>
                </c:pt>
                <c:pt idx="8">
                  <c:v>11864.545594307421</c:v>
                </c:pt>
                <c:pt idx="9">
                  <c:v>11923.190684157031</c:v>
                </c:pt>
                <c:pt idx="10">
                  <c:v>11967.082084944395</c:v>
                </c:pt>
                <c:pt idx="11">
                  <c:v>11945.784885887244</c:v>
                </c:pt>
              </c:numCache>
            </c:numRef>
          </c:val>
          <c:smooth val="0"/>
          <c:extLst>
            <c:ext xmlns:c16="http://schemas.microsoft.com/office/drawing/2014/chart" uri="{C3380CC4-5D6E-409C-BE32-E72D297353CC}">
              <c16:uniqueId val="{00000002-4DD2-42AF-8324-4306C5100D7F}"/>
            </c:ext>
          </c:extLst>
        </c:ser>
        <c:ser>
          <c:idx val="3"/>
          <c:order val="3"/>
          <c:tx>
            <c:strRef>
              <c:f>Teacher_need_figures!$B$18</c:f>
              <c:strCache>
                <c:ptCount val="1"/>
                <c:pt idx="0">
                  <c:v>CHEMISTRY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Teacher_need_figures!$C$18:$N$18</c:f>
              <c:numCache>
                <c:formatCode>#,##0</c:formatCode>
                <c:ptCount val="12"/>
                <c:pt idx="0">
                  <c:v>11068.508981061603</c:v>
                </c:pt>
                <c:pt idx="1">
                  <c:v>11129.85258610651</c:v>
                </c:pt>
                <c:pt idx="2">
                  <c:v>11260.285419513875</c:v>
                </c:pt>
                <c:pt idx="3">
                  <c:v>11383.268474585764</c:v>
                </c:pt>
                <c:pt idx="4">
                  <c:v>11478.037676404865</c:v>
                </c:pt>
                <c:pt idx="5">
                  <c:v>11591.815611587474</c:v>
                </c:pt>
                <c:pt idx="6">
                  <c:v>11731.989151799509</c:v>
                </c:pt>
                <c:pt idx="7">
                  <c:v>11822.684634785315</c:v>
                </c:pt>
                <c:pt idx="8">
                  <c:v>11864.545594307421</c:v>
                </c:pt>
                <c:pt idx="9">
                  <c:v>11923.190684157031</c:v>
                </c:pt>
                <c:pt idx="10">
                  <c:v>11967.082084944395</c:v>
                </c:pt>
                <c:pt idx="11">
                  <c:v>11945.784885887244</c:v>
                </c:pt>
              </c:numCache>
            </c:numRef>
          </c:val>
          <c:smooth val="0"/>
          <c:extLst>
            <c:ext xmlns:c16="http://schemas.microsoft.com/office/drawing/2014/chart" uri="{C3380CC4-5D6E-409C-BE32-E72D297353CC}">
              <c16:uniqueId val="{00000003-4DD2-42AF-8324-4306C5100D7F}"/>
            </c:ext>
          </c:extLst>
        </c:ser>
        <c:ser>
          <c:idx val="17"/>
          <c:order val="4"/>
          <c:tx>
            <c:strRef>
              <c:f>Teacher_need_figures!$B$57</c:f>
              <c:strCache>
                <c:ptCount val="1"/>
                <c:pt idx="0">
                  <c:v>PHYSICS All Central Scenario</c:v>
                </c:pt>
              </c:strCache>
            </c:strRef>
          </c:tx>
          <c:spPr>
            <a:ln>
              <a:solidFill>
                <a:srgbClr val="92D05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Teacher_need_figures!$C$57:$N$57</c:f>
              <c:numCache>
                <c:formatCode>#,##0</c:formatCode>
                <c:ptCount val="12"/>
                <c:pt idx="0">
                  <c:v>10725.251800299693</c:v>
                </c:pt>
                <c:pt idx="1">
                  <c:v>10795.237162264597</c:v>
                </c:pt>
                <c:pt idx="2">
                  <c:v>10936.738865252666</c:v>
                </c:pt>
                <c:pt idx="3">
                  <c:v>11065.944998845214</c:v>
                </c:pt>
                <c:pt idx="4">
                  <c:v>11162.671456202223</c:v>
                </c:pt>
                <c:pt idx="5">
                  <c:v>11276.285763812999</c:v>
                </c:pt>
                <c:pt idx="6">
                  <c:v>11413.977518269763</c:v>
                </c:pt>
                <c:pt idx="7">
                  <c:v>11499.237254241132</c:v>
                </c:pt>
                <c:pt idx="8">
                  <c:v>11533.927145164296</c:v>
                </c:pt>
                <c:pt idx="9">
                  <c:v>11589.923896002259</c:v>
                </c:pt>
                <c:pt idx="10">
                  <c:v>11631.942741265495</c:v>
                </c:pt>
                <c:pt idx="11">
                  <c:v>11604.656566877386</c:v>
                </c:pt>
              </c:numCache>
            </c:numRef>
          </c:val>
          <c:smooth val="0"/>
          <c:extLst>
            <c:ext xmlns:c16="http://schemas.microsoft.com/office/drawing/2014/chart" uri="{C3380CC4-5D6E-409C-BE32-E72D297353CC}">
              <c16:uniqueId val="{00000004-4DD2-42AF-8324-4306C5100D7F}"/>
            </c:ext>
          </c:extLst>
        </c:ser>
        <c:ser>
          <c:idx val="1"/>
          <c:order val="5"/>
          <c:tx>
            <c:strRef>
              <c:f>Teacher_need_figures!$B$32</c:f>
              <c:strCache>
                <c:ptCount val="1"/>
                <c:pt idx="0">
                  <c:v>PHYSICS Scenario Selected</c:v>
                </c:pt>
              </c:strCache>
            </c:strRef>
          </c:tx>
          <c:spPr>
            <a:ln>
              <a:solidFill>
                <a:srgbClr val="92D05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Teacher_need_figures!$C$32:$N$32</c:f>
              <c:numCache>
                <c:formatCode>#,##0</c:formatCode>
                <c:ptCount val="12"/>
                <c:pt idx="0">
                  <c:v>10725.251800299693</c:v>
                </c:pt>
                <c:pt idx="1">
                  <c:v>10795.237162264597</c:v>
                </c:pt>
                <c:pt idx="2">
                  <c:v>10936.738865252666</c:v>
                </c:pt>
                <c:pt idx="3">
                  <c:v>11065.944998845214</c:v>
                </c:pt>
                <c:pt idx="4">
                  <c:v>11162.671456202223</c:v>
                </c:pt>
                <c:pt idx="5">
                  <c:v>11276.285763812999</c:v>
                </c:pt>
                <c:pt idx="6">
                  <c:v>11413.977518269763</c:v>
                </c:pt>
                <c:pt idx="7">
                  <c:v>11499.237254241132</c:v>
                </c:pt>
                <c:pt idx="8">
                  <c:v>11533.927145164296</c:v>
                </c:pt>
                <c:pt idx="9">
                  <c:v>11589.923896002259</c:v>
                </c:pt>
                <c:pt idx="10">
                  <c:v>11631.942741265495</c:v>
                </c:pt>
                <c:pt idx="11">
                  <c:v>11604.656566877386</c:v>
                </c:pt>
              </c:numCache>
            </c:numRef>
          </c:val>
          <c:smooth val="0"/>
          <c:extLst>
            <c:ext xmlns:c16="http://schemas.microsoft.com/office/drawing/2014/chart" uri="{C3380CC4-5D6E-409C-BE32-E72D297353CC}">
              <c16:uniqueId val="{00000005-4DD2-42AF-8324-4306C5100D7F}"/>
            </c:ext>
          </c:extLst>
        </c:ser>
        <c:dLbls>
          <c:showLegendKey val="0"/>
          <c:showVal val="0"/>
          <c:showCatName val="0"/>
          <c:showSerName val="0"/>
          <c:showPercent val="0"/>
          <c:showBubbleSize val="0"/>
        </c:dLbls>
        <c:smooth val="0"/>
        <c:axId val="149338752"/>
        <c:axId val="149344640"/>
      </c:lineChart>
      <c:catAx>
        <c:axId val="14933875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344640"/>
        <c:crosses val="autoZero"/>
        <c:auto val="1"/>
        <c:lblAlgn val="ctr"/>
        <c:lblOffset val="100"/>
        <c:noMultiLvlLbl val="0"/>
      </c:catAx>
      <c:valAx>
        <c:axId val="149344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338752"/>
        <c:crosses val="autoZero"/>
        <c:crossBetween val="between"/>
      </c:valAx>
      <c:spPr>
        <a:ln>
          <a:solidFill>
            <a:schemeClr val="tx1">
              <a:lumMod val="95000"/>
              <a:lumOff val="5000"/>
            </a:schemeClr>
          </a:solidFill>
        </a:ln>
      </c:spPr>
    </c:plotArea>
    <c:legend>
      <c:legendPos val="r"/>
      <c:layout>
        <c:manualLayout>
          <c:xMode val="edge"/>
          <c:yMode val="edge"/>
          <c:x val="0.72370731621819395"/>
          <c:y val="7.1180737824438609E-2"/>
          <c:w val="0.25793032131417637"/>
          <c:h val="0.8680570137066199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TECHNOLOGIES</a:t>
            </a:r>
          </a:p>
        </c:rich>
      </c:tx>
      <c:overlay val="0"/>
    </c:title>
    <c:autoTitleDeleted val="0"/>
    <c:plotArea>
      <c:layout>
        <c:manualLayout>
          <c:layoutTarget val="inner"/>
          <c:xMode val="edge"/>
          <c:yMode val="edge"/>
          <c:x val="0.12832174103237096"/>
          <c:y val="0.11075240594925634"/>
          <c:w val="0.57642873835975983"/>
          <c:h val="0.70887533160231642"/>
        </c:manualLayout>
      </c:layout>
      <c:lineChart>
        <c:grouping val="standard"/>
        <c:varyColors val="0"/>
        <c:ser>
          <c:idx val="6"/>
          <c:order val="0"/>
          <c:tx>
            <c:strRef>
              <c:f>Teacher_need_figures!$B$45</c:f>
              <c:strCache>
                <c:ptCount val="1"/>
                <c:pt idx="0">
                  <c:v>COMPUTING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Teacher_need_figures!$C$45:$N$45</c:f>
              <c:numCache>
                <c:formatCode>#,##0</c:formatCode>
                <c:ptCount val="12"/>
                <c:pt idx="0">
                  <c:v>7510.2346856737895</c:v>
                </c:pt>
                <c:pt idx="1">
                  <c:v>7534.6411432498553</c:v>
                </c:pt>
                <c:pt idx="2">
                  <c:v>7318.2295859772075</c:v>
                </c:pt>
                <c:pt idx="3">
                  <c:v>7103.8364078234217</c:v>
                </c:pt>
                <c:pt idx="4">
                  <c:v>7103.7888064980007</c:v>
                </c:pt>
                <c:pt idx="5">
                  <c:v>7160.731983145397</c:v>
                </c:pt>
                <c:pt idx="6">
                  <c:v>7223.7313653134643</c:v>
                </c:pt>
                <c:pt idx="7">
                  <c:v>7285.2061506055279</c:v>
                </c:pt>
                <c:pt idx="8">
                  <c:v>7313.0393557838233</c:v>
                </c:pt>
                <c:pt idx="9">
                  <c:v>7318.6843950857137</c:v>
                </c:pt>
                <c:pt idx="10">
                  <c:v>7311.6741857708776</c:v>
                </c:pt>
                <c:pt idx="11">
                  <c:v>7309.9188689425937</c:v>
                </c:pt>
              </c:numCache>
            </c:numRef>
          </c:val>
          <c:smooth val="0"/>
          <c:extLst>
            <c:ext xmlns:c16="http://schemas.microsoft.com/office/drawing/2014/chart" uri="{C3380CC4-5D6E-409C-BE32-E72D297353CC}">
              <c16:uniqueId val="{00000000-DE49-40B2-B830-0844D4EDBA97}"/>
            </c:ext>
          </c:extLst>
        </c:ser>
        <c:ser>
          <c:idx val="0"/>
          <c:order val="1"/>
          <c:tx>
            <c:strRef>
              <c:f>Teacher_need_figures!$B$20</c:f>
              <c:strCache>
                <c:ptCount val="1"/>
                <c:pt idx="0">
                  <c:v>COMPUTING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Teacher_need_figures!$C$20:$N$20</c:f>
              <c:numCache>
                <c:formatCode>#,##0</c:formatCode>
                <c:ptCount val="12"/>
                <c:pt idx="0">
                  <c:v>7510.2346856737895</c:v>
                </c:pt>
                <c:pt idx="1">
                  <c:v>7534.6411432498553</c:v>
                </c:pt>
                <c:pt idx="2">
                  <c:v>7318.2295859772075</c:v>
                </c:pt>
                <c:pt idx="3">
                  <c:v>7103.8364078234217</c:v>
                </c:pt>
                <c:pt idx="4">
                  <c:v>7103.7888064980007</c:v>
                </c:pt>
                <c:pt idx="5">
                  <c:v>7160.731983145397</c:v>
                </c:pt>
                <c:pt idx="6">
                  <c:v>7223.7313653134643</c:v>
                </c:pt>
                <c:pt idx="7">
                  <c:v>7285.2061506055279</c:v>
                </c:pt>
                <c:pt idx="8">
                  <c:v>7313.0393557838233</c:v>
                </c:pt>
                <c:pt idx="9">
                  <c:v>7318.6843950857137</c:v>
                </c:pt>
                <c:pt idx="10">
                  <c:v>7311.6741857708776</c:v>
                </c:pt>
                <c:pt idx="11">
                  <c:v>7309.9188689425937</c:v>
                </c:pt>
              </c:numCache>
            </c:numRef>
          </c:val>
          <c:smooth val="0"/>
          <c:extLst>
            <c:ext xmlns:c16="http://schemas.microsoft.com/office/drawing/2014/chart" uri="{C3380CC4-5D6E-409C-BE32-E72D297353CC}">
              <c16:uniqueId val="{00000001-DE49-40B2-B830-0844D4EDBA97}"/>
            </c:ext>
          </c:extLst>
        </c:ser>
        <c:ser>
          <c:idx val="7"/>
          <c:order val="2"/>
          <c:tx>
            <c:strRef>
              <c:f>Teacher_need_figures!$B$46</c:f>
              <c:strCache>
                <c:ptCount val="1"/>
                <c:pt idx="0">
                  <c:v>DESIGN &amp; TECHNOLOGY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Teacher_need_figures!$C$46:$N$46</c:f>
              <c:numCache>
                <c:formatCode>#,##0</c:formatCode>
                <c:ptCount val="12"/>
                <c:pt idx="0">
                  <c:v>10441.074820779617</c:v>
                </c:pt>
                <c:pt idx="1">
                  <c:v>10527.780594865922</c:v>
                </c:pt>
                <c:pt idx="2">
                  <c:v>10281.479861267137</c:v>
                </c:pt>
                <c:pt idx="3">
                  <c:v>10046.130655005754</c:v>
                </c:pt>
                <c:pt idx="4">
                  <c:v>10046.550813318294</c:v>
                </c:pt>
                <c:pt idx="5">
                  <c:v>10118.934302150517</c:v>
                </c:pt>
                <c:pt idx="6">
                  <c:v>10174.289952080673</c:v>
                </c:pt>
                <c:pt idx="7">
                  <c:v>10255.565969553618</c:v>
                </c:pt>
                <c:pt idx="8">
                  <c:v>10267.945214707341</c:v>
                </c:pt>
                <c:pt idx="9">
                  <c:v>10218.290568571876</c:v>
                </c:pt>
                <c:pt idx="10">
                  <c:v>10146.573350413757</c:v>
                </c:pt>
                <c:pt idx="11">
                  <c:v>10130.573798685271</c:v>
                </c:pt>
              </c:numCache>
            </c:numRef>
          </c:val>
          <c:smooth val="0"/>
          <c:extLst>
            <c:ext xmlns:c16="http://schemas.microsoft.com/office/drawing/2014/chart" uri="{C3380CC4-5D6E-409C-BE32-E72D297353CC}">
              <c16:uniqueId val="{00000002-DE49-40B2-B830-0844D4EDBA97}"/>
            </c:ext>
          </c:extLst>
        </c:ser>
        <c:ser>
          <c:idx val="1"/>
          <c:order val="3"/>
          <c:tx>
            <c:strRef>
              <c:f>Teacher_need_figures!$B$21</c:f>
              <c:strCache>
                <c:ptCount val="1"/>
                <c:pt idx="0">
                  <c:v>DESIGN &amp; TECHNOLOGY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Teacher_need_figures!$C$21:$N$21</c:f>
              <c:numCache>
                <c:formatCode>#,##0</c:formatCode>
                <c:ptCount val="12"/>
                <c:pt idx="0">
                  <c:v>10441.074820779617</c:v>
                </c:pt>
                <c:pt idx="1">
                  <c:v>10527.780594865922</c:v>
                </c:pt>
                <c:pt idx="2">
                  <c:v>10281.479861267137</c:v>
                </c:pt>
                <c:pt idx="3">
                  <c:v>10046.130655005754</c:v>
                </c:pt>
                <c:pt idx="4">
                  <c:v>10046.550813318294</c:v>
                </c:pt>
                <c:pt idx="5">
                  <c:v>10118.934302150517</c:v>
                </c:pt>
                <c:pt idx="6">
                  <c:v>10174.289952080673</c:v>
                </c:pt>
                <c:pt idx="7">
                  <c:v>10255.565969553618</c:v>
                </c:pt>
                <c:pt idx="8">
                  <c:v>10267.945214707341</c:v>
                </c:pt>
                <c:pt idx="9">
                  <c:v>10218.290568571876</c:v>
                </c:pt>
                <c:pt idx="10">
                  <c:v>10146.573350413757</c:v>
                </c:pt>
                <c:pt idx="11">
                  <c:v>10130.573798685271</c:v>
                </c:pt>
              </c:numCache>
            </c:numRef>
          </c:val>
          <c:smooth val="0"/>
          <c:extLst>
            <c:ext xmlns:c16="http://schemas.microsoft.com/office/drawing/2014/chart" uri="{C3380CC4-5D6E-409C-BE32-E72D297353CC}">
              <c16:uniqueId val="{00000003-DE49-40B2-B830-0844D4EDBA97}"/>
            </c:ext>
          </c:extLst>
        </c:ser>
        <c:ser>
          <c:idx val="3"/>
          <c:order val="4"/>
          <c:tx>
            <c:strRef>
              <c:f>Teacher_need_figures!$B$49</c:f>
              <c:strCache>
                <c:ptCount val="1"/>
                <c:pt idx="0">
                  <c:v>FOOD All Central Scenario</c:v>
                </c:pt>
              </c:strCache>
            </c:strRef>
          </c:tx>
          <c:spPr>
            <a:ln>
              <a:solidFill>
                <a:srgbClr val="92D050"/>
              </a:solidFill>
            </a:ln>
          </c:spPr>
          <c:marker>
            <c:symbol val="none"/>
          </c:marker>
          <c:val>
            <c:numRef>
              <c:f>Teacher_need_figures!$C$49:$N$49</c:f>
              <c:numCache>
                <c:formatCode>#,##0</c:formatCode>
                <c:ptCount val="12"/>
                <c:pt idx="0">
                  <c:v>2075.8992087342663</c:v>
                </c:pt>
                <c:pt idx="1">
                  <c:v>2088.5494776737537</c:v>
                </c:pt>
                <c:pt idx="2">
                  <c:v>2020.5594005340956</c:v>
                </c:pt>
                <c:pt idx="3">
                  <c:v>1945.3740580544352</c:v>
                </c:pt>
                <c:pt idx="4">
                  <c:v>1944.7047009758676</c:v>
                </c:pt>
                <c:pt idx="5">
                  <c:v>1964.7747432789229</c:v>
                </c:pt>
                <c:pt idx="6">
                  <c:v>1987.6196856729764</c:v>
                </c:pt>
                <c:pt idx="7">
                  <c:v>2001.6146928070627</c:v>
                </c:pt>
                <c:pt idx="8">
                  <c:v>2005.2494063786851</c:v>
                </c:pt>
                <c:pt idx="9">
                  <c:v>2012.3431150457295</c:v>
                </c:pt>
                <c:pt idx="10">
                  <c:v>2016.9028684008081</c:v>
                </c:pt>
                <c:pt idx="11">
                  <c:v>2010.1952409179387</c:v>
                </c:pt>
              </c:numCache>
            </c:numRef>
          </c:val>
          <c:smooth val="0"/>
          <c:extLst>
            <c:ext xmlns:c16="http://schemas.microsoft.com/office/drawing/2014/chart" uri="{C3380CC4-5D6E-409C-BE32-E72D297353CC}">
              <c16:uniqueId val="{00000004-DE49-40B2-B830-0844D4EDBA97}"/>
            </c:ext>
          </c:extLst>
        </c:ser>
        <c:ser>
          <c:idx val="2"/>
          <c:order val="5"/>
          <c:tx>
            <c:strRef>
              <c:f>Teacher_need_figures!$B$24</c:f>
              <c:strCache>
                <c:ptCount val="1"/>
                <c:pt idx="0">
                  <c:v>FOOD Scenario Selected</c:v>
                </c:pt>
              </c:strCache>
            </c:strRef>
          </c:tx>
          <c:spPr>
            <a:ln>
              <a:solidFill>
                <a:srgbClr val="92D050"/>
              </a:solidFill>
              <a:prstDash val="sysDot"/>
            </a:ln>
          </c:spPr>
          <c:marker>
            <c:symbol val="none"/>
          </c:marker>
          <c:val>
            <c:numRef>
              <c:f>Teacher_need_figures!$C$24:$N$24</c:f>
              <c:numCache>
                <c:formatCode>#,##0</c:formatCode>
                <c:ptCount val="12"/>
                <c:pt idx="0">
                  <c:v>2075.8992087342663</c:v>
                </c:pt>
                <c:pt idx="1">
                  <c:v>2088.5494776737537</c:v>
                </c:pt>
                <c:pt idx="2">
                  <c:v>2020.5594005340956</c:v>
                </c:pt>
                <c:pt idx="3">
                  <c:v>1945.3740580544352</c:v>
                </c:pt>
                <c:pt idx="4">
                  <c:v>1944.7047009758676</c:v>
                </c:pt>
                <c:pt idx="5">
                  <c:v>1964.7747432789229</c:v>
                </c:pt>
                <c:pt idx="6">
                  <c:v>1987.6196856729764</c:v>
                </c:pt>
                <c:pt idx="7">
                  <c:v>2001.6146928070627</c:v>
                </c:pt>
                <c:pt idx="8">
                  <c:v>2005.2494063786851</c:v>
                </c:pt>
                <c:pt idx="9">
                  <c:v>2012.3431150457295</c:v>
                </c:pt>
                <c:pt idx="10">
                  <c:v>2016.9028684008081</c:v>
                </c:pt>
                <c:pt idx="11">
                  <c:v>2010.1952409179387</c:v>
                </c:pt>
              </c:numCache>
            </c:numRef>
          </c:val>
          <c:smooth val="0"/>
          <c:extLst>
            <c:ext xmlns:c16="http://schemas.microsoft.com/office/drawing/2014/chart" uri="{C3380CC4-5D6E-409C-BE32-E72D297353CC}">
              <c16:uniqueId val="{00000005-DE49-40B2-B830-0844D4EDBA97}"/>
            </c:ext>
          </c:extLst>
        </c:ser>
        <c:dLbls>
          <c:showLegendKey val="0"/>
          <c:showVal val="0"/>
          <c:showCatName val="0"/>
          <c:showSerName val="0"/>
          <c:showPercent val="0"/>
          <c:showBubbleSize val="0"/>
        </c:dLbls>
        <c:smooth val="0"/>
        <c:axId val="149462016"/>
        <c:axId val="149472000"/>
      </c:lineChart>
      <c:catAx>
        <c:axId val="1494620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472000"/>
        <c:crosses val="autoZero"/>
        <c:auto val="1"/>
        <c:lblAlgn val="ctr"/>
        <c:lblOffset val="100"/>
        <c:noMultiLvlLbl val="0"/>
      </c:catAx>
      <c:valAx>
        <c:axId val="14947200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462016"/>
        <c:crosses val="autoZero"/>
        <c:crossBetween val="between"/>
      </c:valAx>
      <c:spPr>
        <a:ln>
          <a:solidFill>
            <a:schemeClr val="tx1">
              <a:lumMod val="95000"/>
              <a:lumOff val="5000"/>
            </a:schemeClr>
          </a:solidFill>
        </a:ln>
      </c:spPr>
    </c:plotArea>
    <c:legend>
      <c:legendPos val="r"/>
      <c:layout>
        <c:manualLayout>
          <c:xMode val="edge"/>
          <c:yMode val="edge"/>
          <c:x val="0.71580734213319896"/>
          <c:y val="2.9514071157771944E-2"/>
          <c:w val="0.26617550124135581"/>
          <c:h val="0.8628488626421697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ARTS</a:t>
            </a:r>
          </a:p>
        </c:rich>
      </c:tx>
      <c:overlay val="0"/>
    </c:title>
    <c:autoTitleDeleted val="0"/>
    <c:plotArea>
      <c:layout>
        <c:manualLayout>
          <c:layoutTarget val="inner"/>
          <c:xMode val="edge"/>
          <c:yMode val="edge"/>
          <c:x val="0.12832174103237096"/>
          <c:y val="0.11075240594925634"/>
          <c:w val="0.5839975916988871"/>
          <c:h val="0.70879159824273308"/>
        </c:manualLayout>
      </c:layout>
      <c:lineChart>
        <c:grouping val="standard"/>
        <c:varyColors val="0"/>
        <c:ser>
          <c:idx val="1"/>
          <c:order val="0"/>
          <c:tx>
            <c:strRef>
              <c:f>Teacher_need_figures!$B$40</c:f>
              <c:strCache>
                <c:ptCount val="1"/>
                <c:pt idx="0">
                  <c:v>ART &amp; DESIGN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Teacher_need_figures!$C$40:$N$40</c:f>
              <c:numCache>
                <c:formatCode>#,##0</c:formatCode>
                <c:ptCount val="12"/>
                <c:pt idx="0">
                  <c:v>8310.5880067254166</c:v>
                </c:pt>
                <c:pt idx="1">
                  <c:v>8341.9492808008581</c:v>
                </c:pt>
                <c:pt idx="2">
                  <c:v>8263.3569449253591</c:v>
                </c:pt>
                <c:pt idx="3">
                  <c:v>8200.1412123163773</c:v>
                </c:pt>
                <c:pt idx="4">
                  <c:v>8247.0972917838062</c:v>
                </c:pt>
                <c:pt idx="5">
                  <c:v>8308.7412098493205</c:v>
                </c:pt>
                <c:pt idx="6">
                  <c:v>8371.7661985209452</c:v>
                </c:pt>
                <c:pt idx="7">
                  <c:v>8443.8747079762379</c:v>
                </c:pt>
                <c:pt idx="8">
                  <c:v>8473.5651607866948</c:v>
                </c:pt>
                <c:pt idx="9">
                  <c:v>8465.4356425603892</c:v>
                </c:pt>
                <c:pt idx="10">
                  <c:v>8441.2110439638218</c:v>
                </c:pt>
                <c:pt idx="11">
                  <c:v>8440.59254846978</c:v>
                </c:pt>
              </c:numCache>
            </c:numRef>
          </c:val>
          <c:smooth val="0"/>
          <c:extLst>
            <c:ext xmlns:c16="http://schemas.microsoft.com/office/drawing/2014/chart" uri="{C3380CC4-5D6E-409C-BE32-E72D297353CC}">
              <c16:uniqueId val="{00000000-B02A-4364-A4AE-18A839CC1AF8}"/>
            </c:ext>
          </c:extLst>
        </c:ser>
        <c:ser>
          <c:idx val="0"/>
          <c:order val="1"/>
          <c:tx>
            <c:strRef>
              <c:f>Teacher_need_figures!$B$15</c:f>
              <c:strCache>
                <c:ptCount val="1"/>
                <c:pt idx="0">
                  <c:v>ART &amp; DESIGN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Teacher_need_figures!$C$15:$N$15</c:f>
              <c:numCache>
                <c:formatCode>#,##0</c:formatCode>
                <c:ptCount val="12"/>
                <c:pt idx="0">
                  <c:v>8310.5880067254166</c:v>
                </c:pt>
                <c:pt idx="1">
                  <c:v>8341.9492808008581</c:v>
                </c:pt>
                <c:pt idx="2">
                  <c:v>8263.3569449253591</c:v>
                </c:pt>
                <c:pt idx="3">
                  <c:v>8200.1412123163773</c:v>
                </c:pt>
                <c:pt idx="4">
                  <c:v>8247.0972917838062</c:v>
                </c:pt>
                <c:pt idx="5">
                  <c:v>8308.7412098493205</c:v>
                </c:pt>
                <c:pt idx="6">
                  <c:v>8371.7661985209452</c:v>
                </c:pt>
                <c:pt idx="7">
                  <c:v>8443.8747079762379</c:v>
                </c:pt>
                <c:pt idx="8">
                  <c:v>8473.5651607866948</c:v>
                </c:pt>
                <c:pt idx="9">
                  <c:v>8465.4356425603892</c:v>
                </c:pt>
                <c:pt idx="10">
                  <c:v>8441.2110439638218</c:v>
                </c:pt>
                <c:pt idx="11">
                  <c:v>8440.59254846978</c:v>
                </c:pt>
              </c:numCache>
            </c:numRef>
          </c:val>
          <c:smooth val="0"/>
          <c:extLst>
            <c:ext xmlns:c16="http://schemas.microsoft.com/office/drawing/2014/chart" uri="{C3380CC4-5D6E-409C-BE32-E72D297353CC}">
              <c16:uniqueId val="{00000001-B02A-4364-A4AE-18A839CC1AF8}"/>
            </c:ext>
          </c:extLst>
        </c:ser>
        <c:ser>
          <c:idx val="8"/>
          <c:order val="2"/>
          <c:tx>
            <c:strRef>
              <c:f>Teacher_need_figures!$B$47</c:f>
              <c:strCache>
                <c:ptCount val="1"/>
                <c:pt idx="0">
                  <c:v>DRAMA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Teacher_need_figures!$C$47:$N$47</c:f>
              <c:numCache>
                <c:formatCode>#,##0</c:formatCode>
                <c:ptCount val="12"/>
                <c:pt idx="0">
                  <c:v>4997.2888230103827</c:v>
                </c:pt>
                <c:pt idx="1">
                  <c:v>5025.8114145193067</c:v>
                </c:pt>
                <c:pt idx="2">
                  <c:v>5018.1325596308079</c:v>
                </c:pt>
                <c:pt idx="3">
                  <c:v>5020.895461785487</c:v>
                </c:pt>
                <c:pt idx="4">
                  <c:v>5020.0737628608276</c:v>
                </c:pt>
                <c:pt idx="5">
                  <c:v>5057.9063715487991</c:v>
                </c:pt>
                <c:pt idx="6">
                  <c:v>5093.6859805130989</c:v>
                </c:pt>
                <c:pt idx="7">
                  <c:v>5136.0193195775992</c:v>
                </c:pt>
                <c:pt idx="8">
                  <c:v>5149.5011668603438</c:v>
                </c:pt>
                <c:pt idx="9">
                  <c:v>5138.9404800018383</c:v>
                </c:pt>
                <c:pt idx="10">
                  <c:v>5118.3350388019735</c:v>
                </c:pt>
                <c:pt idx="11">
                  <c:v>5114.396654662788</c:v>
                </c:pt>
              </c:numCache>
            </c:numRef>
          </c:val>
          <c:smooth val="0"/>
          <c:extLst>
            <c:ext xmlns:c16="http://schemas.microsoft.com/office/drawing/2014/chart" uri="{C3380CC4-5D6E-409C-BE32-E72D297353CC}">
              <c16:uniqueId val="{00000002-B02A-4364-A4AE-18A839CC1AF8}"/>
            </c:ext>
          </c:extLst>
        </c:ser>
        <c:ser>
          <c:idx val="2"/>
          <c:order val="3"/>
          <c:tx>
            <c:strRef>
              <c:f>Teacher_need_figures!$B$22</c:f>
              <c:strCache>
                <c:ptCount val="1"/>
                <c:pt idx="0">
                  <c:v>DRAMA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Teacher_need_figures!$C$22:$N$22</c:f>
              <c:numCache>
                <c:formatCode>#,##0</c:formatCode>
                <c:ptCount val="12"/>
                <c:pt idx="0">
                  <c:v>4997.2888230103827</c:v>
                </c:pt>
                <c:pt idx="1">
                  <c:v>5025.8114145193067</c:v>
                </c:pt>
                <c:pt idx="2">
                  <c:v>5018.1325596308079</c:v>
                </c:pt>
                <c:pt idx="3">
                  <c:v>5020.895461785487</c:v>
                </c:pt>
                <c:pt idx="4">
                  <c:v>5020.0737628608276</c:v>
                </c:pt>
                <c:pt idx="5">
                  <c:v>5057.9063715487991</c:v>
                </c:pt>
                <c:pt idx="6">
                  <c:v>5093.6859805130989</c:v>
                </c:pt>
                <c:pt idx="7">
                  <c:v>5136.0193195775992</c:v>
                </c:pt>
                <c:pt idx="8">
                  <c:v>5149.5011668603438</c:v>
                </c:pt>
                <c:pt idx="9">
                  <c:v>5138.9404800018383</c:v>
                </c:pt>
                <c:pt idx="10">
                  <c:v>5118.3350388019735</c:v>
                </c:pt>
                <c:pt idx="11">
                  <c:v>5114.396654662788</c:v>
                </c:pt>
              </c:numCache>
            </c:numRef>
          </c:val>
          <c:smooth val="0"/>
          <c:extLst>
            <c:ext xmlns:c16="http://schemas.microsoft.com/office/drawing/2014/chart" uri="{C3380CC4-5D6E-409C-BE32-E72D297353CC}">
              <c16:uniqueId val="{00000003-B02A-4364-A4AE-18A839CC1AF8}"/>
            </c:ext>
          </c:extLst>
        </c:ser>
        <c:ser>
          <c:idx val="14"/>
          <c:order val="4"/>
          <c:tx>
            <c:strRef>
              <c:f>Teacher_need_figures!$B$54</c:f>
              <c:strCache>
                <c:ptCount val="1"/>
                <c:pt idx="0">
                  <c:v>MUSIC All Central Scenario</c:v>
                </c:pt>
              </c:strCache>
            </c:strRef>
          </c:tx>
          <c:spPr>
            <a:ln>
              <a:solidFill>
                <a:srgbClr val="92D05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Teacher_need_figures!$C$54:$N$54</c:f>
              <c:numCache>
                <c:formatCode>#,##0</c:formatCode>
                <c:ptCount val="12"/>
                <c:pt idx="0">
                  <c:v>5182.1227072399643</c:v>
                </c:pt>
                <c:pt idx="1">
                  <c:v>5224.0051096452526</c:v>
                </c:pt>
                <c:pt idx="2">
                  <c:v>5274.0985798285237</c:v>
                </c:pt>
                <c:pt idx="3">
                  <c:v>5340.7515597968822</c:v>
                </c:pt>
                <c:pt idx="4">
                  <c:v>5392.9701813324909</c:v>
                </c:pt>
                <c:pt idx="5">
                  <c:v>5429.8503815617332</c:v>
                </c:pt>
                <c:pt idx="6">
                  <c:v>5456.5282095905159</c:v>
                </c:pt>
                <c:pt idx="7">
                  <c:v>5501.1445781630673</c:v>
                </c:pt>
                <c:pt idx="8">
                  <c:v>5508.718496895669</c:v>
                </c:pt>
                <c:pt idx="9">
                  <c:v>5478.4692114884219</c:v>
                </c:pt>
                <c:pt idx="10">
                  <c:v>5435.9069019080916</c:v>
                </c:pt>
                <c:pt idx="11">
                  <c:v>5429.4623651065795</c:v>
                </c:pt>
              </c:numCache>
            </c:numRef>
          </c:val>
          <c:smooth val="0"/>
          <c:extLst>
            <c:ext xmlns:c16="http://schemas.microsoft.com/office/drawing/2014/chart" uri="{C3380CC4-5D6E-409C-BE32-E72D297353CC}">
              <c16:uniqueId val="{00000004-B02A-4364-A4AE-18A839CC1AF8}"/>
            </c:ext>
          </c:extLst>
        </c:ser>
        <c:ser>
          <c:idx val="3"/>
          <c:order val="5"/>
          <c:tx>
            <c:strRef>
              <c:f>Teacher_need_figures!$B$29</c:f>
              <c:strCache>
                <c:ptCount val="1"/>
                <c:pt idx="0">
                  <c:v>MUSIC Scenario Selected</c:v>
                </c:pt>
              </c:strCache>
            </c:strRef>
          </c:tx>
          <c:spPr>
            <a:ln>
              <a:solidFill>
                <a:srgbClr val="92D05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Teacher_need_figures!$C$29:$N$29</c:f>
              <c:numCache>
                <c:formatCode>#,##0</c:formatCode>
                <c:ptCount val="12"/>
                <c:pt idx="0">
                  <c:v>5182.1227072399643</c:v>
                </c:pt>
                <c:pt idx="1">
                  <c:v>5224.0051096452526</c:v>
                </c:pt>
                <c:pt idx="2">
                  <c:v>5274.0985798285237</c:v>
                </c:pt>
                <c:pt idx="3">
                  <c:v>5340.7515597968822</c:v>
                </c:pt>
                <c:pt idx="4">
                  <c:v>5392.9701813324909</c:v>
                </c:pt>
                <c:pt idx="5">
                  <c:v>5429.8503815617332</c:v>
                </c:pt>
                <c:pt idx="6">
                  <c:v>5456.5282095905159</c:v>
                </c:pt>
                <c:pt idx="7">
                  <c:v>5501.1445781630673</c:v>
                </c:pt>
                <c:pt idx="8">
                  <c:v>5508.718496895669</c:v>
                </c:pt>
                <c:pt idx="9">
                  <c:v>5478.4692114884219</c:v>
                </c:pt>
                <c:pt idx="10">
                  <c:v>5435.9069019080916</c:v>
                </c:pt>
                <c:pt idx="11">
                  <c:v>5429.4623651065795</c:v>
                </c:pt>
              </c:numCache>
            </c:numRef>
          </c:val>
          <c:smooth val="0"/>
          <c:extLst>
            <c:ext xmlns:c16="http://schemas.microsoft.com/office/drawing/2014/chart" uri="{C3380CC4-5D6E-409C-BE32-E72D297353CC}">
              <c16:uniqueId val="{00000005-B02A-4364-A4AE-18A839CC1AF8}"/>
            </c:ext>
          </c:extLst>
        </c:ser>
        <c:dLbls>
          <c:showLegendKey val="0"/>
          <c:showVal val="0"/>
          <c:showCatName val="0"/>
          <c:showSerName val="0"/>
          <c:showPercent val="0"/>
          <c:showBubbleSize val="0"/>
        </c:dLbls>
        <c:smooth val="0"/>
        <c:axId val="149515264"/>
        <c:axId val="149529344"/>
      </c:lineChart>
      <c:catAx>
        <c:axId val="1495152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529344"/>
        <c:crosses val="autoZero"/>
        <c:auto val="1"/>
        <c:lblAlgn val="ctr"/>
        <c:lblOffset val="100"/>
        <c:noMultiLvlLbl val="0"/>
      </c:catAx>
      <c:valAx>
        <c:axId val="14952934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515264"/>
        <c:crosses val="autoZero"/>
        <c:crossBetween val="between"/>
      </c:valAx>
      <c:spPr>
        <a:ln>
          <a:solidFill>
            <a:schemeClr val="tx1">
              <a:lumMod val="95000"/>
              <a:lumOff val="5000"/>
            </a:schemeClr>
          </a:solidFill>
        </a:ln>
      </c:spPr>
    </c:plotArea>
    <c:legend>
      <c:legendPos val="r"/>
      <c:layout>
        <c:manualLayout>
          <c:xMode val="edge"/>
          <c:yMode val="edge"/>
          <c:x val="0.72704621438179995"/>
          <c:y val="2.768166089965398E-2"/>
          <c:w val="0.251252524986964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2832174103237096"/>
          <c:y val="0.11075240594925634"/>
          <c:w val="0.57466236755554945"/>
          <c:h val="0.71324792622847277"/>
        </c:manualLayout>
      </c:layout>
      <c:lineChart>
        <c:grouping val="standard"/>
        <c:varyColors val="0"/>
        <c:ser>
          <c:idx val="10"/>
          <c:order val="0"/>
          <c:tx>
            <c:strRef>
              <c:f>Teacher_need_figures!$B$50</c:f>
              <c:strCache>
                <c:ptCount val="1"/>
                <c:pt idx="0">
                  <c:v>GEOGRAPHY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Teacher_need_figures!$C$50:$N$50</c:f>
              <c:numCache>
                <c:formatCode>#,##0</c:formatCode>
                <c:ptCount val="12"/>
                <c:pt idx="0">
                  <c:v>10518.362186302702</c:v>
                </c:pt>
                <c:pt idx="1">
                  <c:v>10592.197160123502</c:v>
                </c:pt>
                <c:pt idx="2">
                  <c:v>10991.644935793051</c:v>
                </c:pt>
                <c:pt idx="3">
                  <c:v>11415.269146232955</c:v>
                </c:pt>
                <c:pt idx="4">
                  <c:v>11567.794354132981</c:v>
                </c:pt>
                <c:pt idx="5">
                  <c:v>11664.678552531093</c:v>
                </c:pt>
                <c:pt idx="6">
                  <c:v>11757.312130654836</c:v>
                </c:pt>
                <c:pt idx="7">
                  <c:v>11847.832710968347</c:v>
                </c:pt>
                <c:pt idx="8">
                  <c:v>11867.451639056904</c:v>
                </c:pt>
                <c:pt idx="9">
                  <c:v>11851.220190458745</c:v>
                </c:pt>
                <c:pt idx="10">
                  <c:v>11813.654322341292</c:v>
                </c:pt>
                <c:pt idx="11">
                  <c:v>11789.047949016856</c:v>
                </c:pt>
              </c:numCache>
            </c:numRef>
          </c:val>
          <c:smooth val="0"/>
          <c:extLst>
            <c:ext xmlns:c16="http://schemas.microsoft.com/office/drawing/2014/chart" uri="{C3380CC4-5D6E-409C-BE32-E72D297353CC}">
              <c16:uniqueId val="{00000000-16A6-4482-894C-411C87FA93BF}"/>
            </c:ext>
          </c:extLst>
        </c:ser>
        <c:ser>
          <c:idx val="0"/>
          <c:order val="1"/>
          <c:tx>
            <c:strRef>
              <c:f>Teacher_need_figures!$B$25</c:f>
              <c:strCache>
                <c:ptCount val="1"/>
                <c:pt idx="0">
                  <c:v>GEOGRAPHY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Teacher_need_figures!$C$25:$N$25</c:f>
              <c:numCache>
                <c:formatCode>#,##0</c:formatCode>
                <c:ptCount val="12"/>
                <c:pt idx="0">
                  <c:v>10518.362186302702</c:v>
                </c:pt>
                <c:pt idx="1">
                  <c:v>10592.197160123502</c:v>
                </c:pt>
                <c:pt idx="2">
                  <c:v>10991.644935793051</c:v>
                </c:pt>
                <c:pt idx="3">
                  <c:v>11415.269146232955</c:v>
                </c:pt>
                <c:pt idx="4">
                  <c:v>11567.794354132981</c:v>
                </c:pt>
                <c:pt idx="5">
                  <c:v>11664.678552531093</c:v>
                </c:pt>
                <c:pt idx="6">
                  <c:v>11757.312130654836</c:v>
                </c:pt>
                <c:pt idx="7">
                  <c:v>11847.832710968347</c:v>
                </c:pt>
                <c:pt idx="8">
                  <c:v>11867.451639056904</c:v>
                </c:pt>
                <c:pt idx="9">
                  <c:v>11851.220190458745</c:v>
                </c:pt>
                <c:pt idx="10">
                  <c:v>11813.654322341292</c:v>
                </c:pt>
                <c:pt idx="11">
                  <c:v>11789.047949016856</c:v>
                </c:pt>
              </c:numCache>
            </c:numRef>
          </c:val>
          <c:smooth val="0"/>
          <c:extLst>
            <c:ext xmlns:c16="http://schemas.microsoft.com/office/drawing/2014/chart" uri="{C3380CC4-5D6E-409C-BE32-E72D297353CC}">
              <c16:uniqueId val="{00000001-16A6-4482-894C-411C87FA93BF}"/>
            </c:ext>
          </c:extLst>
        </c:ser>
        <c:ser>
          <c:idx val="11"/>
          <c:order val="2"/>
          <c:tx>
            <c:strRef>
              <c:f>Teacher_need_figures!$B$51</c:f>
              <c:strCache>
                <c:ptCount val="1"/>
                <c:pt idx="0">
                  <c:v>HISTORY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Teacher_need_figures!$C$51:$N$51</c:f>
              <c:numCache>
                <c:formatCode>#,##0</c:formatCode>
                <c:ptCount val="12"/>
                <c:pt idx="0">
                  <c:v>11192.678423023735</c:v>
                </c:pt>
                <c:pt idx="1">
                  <c:v>11256.687485244267</c:v>
                </c:pt>
                <c:pt idx="2">
                  <c:v>11599.369617515154</c:v>
                </c:pt>
                <c:pt idx="3">
                  <c:v>11967.19602921409</c:v>
                </c:pt>
                <c:pt idx="4">
                  <c:v>12089.537654010986</c:v>
                </c:pt>
                <c:pt idx="5">
                  <c:v>12190.325841181235</c:v>
                </c:pt>
                <c:pt idx="6">
                  <c:v>12292.037124641112</c:v>
                </c:pt>
                <c:pt idx="7">
                  <c:v>12389.451752886342</c:v>
                </c:pt>
                <c:pt idx="8">
                  <c:v>12418.332954775977</c:v>
                </c:pt>
                <c:pt idx="9">
                  <c:v>12411.854918401496</c:v>
                </c:pt>
                <c:pt idx="10">
                  <c:v>12383.558824959737</c:v>
                </c:pt>
                <c:pt idx="11">
                  <c:v>12364.268616074811</c:v>
                </c:pt>
              </c:numCache>
            </c:numRef>
          </c:val>
          <c:smooth val="0"/>
          <c:extLst>
            <c:ext xmlns:c16="http://schemas.microsoft.com/office/drawing/2014/chart" uri="{C3380CC4-5D6E-409C-BE32-E72D297353CC}">
              <c16:uniqueId val="{00000002-16A6-4482-894C-411C87FA93BF}"/>
            </c:ext>
          </c:extLst>
        </c:ser>
        <c:ser>
          <c:idx val="1"/>
          <c:order val="3"/>
          <c:tx>
            <c:strRef>
              <c:f>Teacher_need_figures!$B$26</c:f>
              <c:strCache>
                <c:ptCount val="1"/>
                <c:pt idx="0">
                  <c:v>HISTORY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Teacher_need_figures!$C$26:$N$26</c:f>
              <c:numCache>
                <c:formatCode>#,##0</c:formatCode>
                <c:ptCount val="12"/>
                <c:pt idx="0">
                  <c:v>11192.678423023735</c:v>
                </c:pt>
                <c:pt idx="1">
                  <c:v>11256.687485244267</c:v>
                </c:pt>
                <c:pt idx="2">
                  <c:v>11599.369617515154</c:v>
                </c:pt>
                <c:pt idx="3">
                  <c:v>11967.19602921409</c:v>
                </c:pt>
                <c:pt idx="4">
                  <c:v>12089.537654010986</c:v>
                </c:pt>
                <c:pt idx="5">
                  <c:v>12190.325841181235</c:v>
                </c:pt>
                <c:pt idx="6">
                  <c:v>12292.037124641112</c:v>
                </c:pt>
                <c:pt idx="7">
                  <c:v>12389.451752886342</c:v>
                </c:pt>
                <c:pt idx="8">
                  <c:v>12418.332954775977</c:v>
                </c:pt>
                <c:pt idx="9">
                  <c:v>12411.854918401496</c:v>
                </c:pt>
                <c:pt idx="10">
                  <c:v>12383.558824959737</c:v>
                </c:pt>
                <c:pt idx="11">
                  <c:v>12364.268616074811</c:v>
                </c:pt>
              </c:numCache>
            </c:numRef>
          </c:val>
          <c:smooth val="0"/>
          <c:extLst>
            <c:ext xmlns:c16="http://schemas.microsoft.com/office/drawing/2014/chart" uri="{C3380CC4-5D6E-409C-BE32-E72D297353CC}">
              <c16:uniqueId val="{00000003-16A6-4482-894C-411C87FA93BF}"/>
            </c:ext>
          </c:extLst>
        </c:ser>
        <c:ser>
          <c:idx val="18"/>
          <c:order val="4"/>
          <c:tx>
            <c:strRef>
              <c:f>Teacher_need_figures!$B$58</c:f>
              <c:strCache>
                <c:ptCount val="1"/>
                <c:pt idx="0">
                  <c:v>RELIGIOUS EDUCATION All Central Scenario</c:v>
                </c:pt>
              </c:strCache>
            </c:strRef>
          </c:tx>
          <c:spPr>
            <a:ln>
              <a:solidFill>
                <a:srgbClr val="92D05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Teacher_need_figures!$C$58:$N$58</c:f>
              <c:numCache>
                <c:formatCode>#,##0</c:formatCode>
                <c:ptCount val="12"/>
                <c:pt idx="0">
                  <c:v>7377.2618621307392</c:v>
                </c:pt>
                <c:pt idx="1">
                  <c:v>7422.7824256240674</c:v>
                </c:pt>
                <c:pt idx="2">
                  <c:v>7500.1802969344735</c:v>
                </c:pt>
                <c:pt idx="3">
                  <c:v>7582.9020625192106</c:v>
                </c:pt>
                <c:pt idx="4">
                  <c:v>7654.767656974067</c:v>
                </c:pt>
                <c:pt idx="5">
                  <c:v>7720.9539954092179</c:v>
                </c:pt>
                <c:pt idx="6">
                  <c:v>7788.0683359980958</c:v>
                </c:pt>
                <c:pt idx="7">
                  <c:v>7848.1363830283999</c:v>
                </c:pt>
                <c:pt idx="8">
                  <c:v>7863.9567848257848</c:v>
                </c:pt>
                <c:pt idx="9">
                  <c:v>7862.2904175380427</c:v>
                </c:pt>
                <c:pt idx="10">
                  <c:v>7847.2755854418974</c:v>
                </c:pt>
                <c:pt idx="11">
                  <c:v>7831.5078431053325</c:v>
                </c:pt>
              </c:numCache>
            </c:numRef>
          </c:val>
          <c:smooth val="0"/>
          <c:extLst>
            <c:ext xmlns:c16="http://schemas.microsoft.com/office/drawing/2014/chart" uri="{C3380CC4-5D6E-409C-BE32-E72D297353CC}">
              <c16:uniqueId val="{00000004-16A6-4482-894C-411C87FA93BF}"/>
            </c:ext>
          </c:extLst>
        </c:ser>
        <c:ser>
          <c:idx val="2"/>
          <c:order val="5"/>
          <c:tx>
            <c:strRef>
              <c:f>Teacher_need_figures!$B$33</c:f>
              <c:strCache>
                <c:ptCount val="1"/>
                <c:pt idx="0">
                  <c:v>RELIGIOUS EDUCATION Scenario Selected</c:v>
                </c:pt>
              </c:strCache>
            </c:strRef>
          </c:tx>
          <c:spPr>
            <a:ln>
              <a:solidFill>
                <a:srgbClr val="92D05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Teacher_need_figures!$C$33:$N$33</c:f>
              <c:numCache>
                <c:formatCode>#,##0</c:formatCode>
                <c:ptCount val="12"/>
                <c:pt idx="0">
                  <c:v>7377.2618621307392</c:v>
                </c:pt>
                <c:pt idx="1">
                  <c:v>7422.7824256240674</c:v>
                </c:pt>
                <c:pt idx="2">
                  <c:v>7500.1802969344735</c:v>
                </c:pt>
                <c:pt idx="3">
                  <c:v>7582.9020625192106</c:v>
                </c:pt>
                <c:pt idx="4">
                  <c:v>7654.767656974067</c:v>
                </c:pt>
                <c:pt idx="5">
                  <c:v>7720.9539954092179</c:v>
                </c:pt>
                <c:pt idx="6">
                  <c:v>7788.0683359980958</c:v>
                </c:pt>
                <c:pt idx="7">
                  <c:v>7848.1363830283999</c:v>
                </c:pt>
                <c:pt idx="8">
                  <c:v>7863.9567848257848</c:v>
                </c:pt>
                <c:pt idx="9">
                  <c:v>7862.2904175380427</c:v>
                </c:pt>
                <c:pt idx="10">
                  <c:v>7847.2755854418974</c:v>
                </c:pt>
                <c:pt idx="11">
                  <c:v>7831.5078431053325</c:v>
                </c:pt>
              </c:numCache>
            </c:numRef>
          </c:val>
          <c:smooth val="0"/>
          <c:extLst>
            <c:ext xmlns:c16="http://schemas.microsoft.com/office/drawing/2014/chart" uri="{C3380CC4-5D6E-409C-BE32-E72D297353CC}">
              <c16:uniqueId val="{00000005-16A6-4482-894C-411C87FA93BF}"/>
            </c:ext>
          </c:extLst>
        </c:ser>
        <c:dLbls>
          <c:showLegendKey val="0"/>
          <c:showVal val="0"/>
          <c:showCatName val="0"/>
          <c:showSerName val="0"/>
          <c:showPercent val="0"/>
          <c:showBubbleSize val="0"/>
        </c:dLbls>
        <c:smooth val="0"/>
        <c:axId val="149633664"/>
        <c:axId val="149651840"/>
      </c:lineChart>
      <c:catAx>
        <c:axId val="14963366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651840"/>
        <c:crosses val="autoZero"/>
        <c:auto val="1"/>
        <c:lblAlgn val="ctr"/>
        <c:lblOffset val="100"/>
        <c:noMultiLvlLbl val="0"/>
      </c:catAx>
      <c:valAx>
        <c:axId val="149651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633664"/>
        <c:crosses val="autoZero"/>
        <c:crossBetween val="between"/>
      </c:valAx>
      <c:spPr>
        <a:ln>
          <a:solidFill>
            <a:schemeClr val="tx1">
              <a:lumMod val="95000"/>
              <a:lumOff val="5000"/>
            </a:schemeClr>
          </a:solidFill>
        </a:ln>
      </c:spPr>
    </c:plotArea>
    <c:legend>
      <c:legendPos val="r"/>
      <c:layout>
        <c:manualLayout>
          <c:xMode val="edge"/>
          <c:yMode val="edge"/>
          <c:x val="0.71335025390312967"/>
          <c:y val="5.0173192018817717E-2"/>
          <c:w val="0.26208041151412731"/>
          <c:h val="0.8961937716262975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OTHERS</a:t>
            </a:r>
          </a:p>
        </c:rich>
      </c:tx>
      <c:overlay val="0"/>
    </c:title>
    <c:autoTitleDeleted val="0"/>
    <c:plotArea>
      <c:layout>
        <c:manualLayout>
          <c:layoutTarget val="inner"/>
          <c:xMode val="edge"/>
          <c:yMode val="edge"/>
          <c:x val="0.12832174103237096"/>
          <c:y val="0.11075240594925634"/>
          <c:w val="0.58683129662555622"/>
          <c:h val="0.71770425421421258"/>
        </c:manualLayout>
      </c:layout>
      <c:lineChart>
        <c:grouping val="standard"/>
        <c:varyColors val="0"/>
        <c:ser>
          <c:idx val="3"/>
          <c:order val="0"/>
          <c:tx>
            <c:strRef>
              <c:f>Teacher_need_figures!$B$42</c:f>
              <c:strCache>
                <c:ptCount val="1"/>
                <c:pt idx="0">
                  <c:v>BUSINESS STUDIES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Teacher_need_figures!$C$42:$N$42</c:f>
              <c:numCache>
                <c:formatCode>#,##0</c:formatCode>
                <c:ptCount val="12"/>
                <c:pt idx="0">
                  <c:v>4112.7854114647489</c:v>
                </c:pt>
                <c:pt idx="1">
                  <c:v>4055.1181721093221</c:v>
                </c:pt>
                <c:pt idx="2">
                  <c:v>3888.3058629551306</c:v>
                </c:pt>
                <c:pt idx="3">
                  <c:v>3726.3896860129285</c:v>
                </c:pt>
                <c:pt idx="4">
                  <c:v>3700.1602214135623</c:v>
                </c:pt>
                <c:pt idx="5">
                  <c:v>3732.113720085189</c:v>
                </c:pt>
                <c:pt idx="6">
                  <c:v>3795.6822886090704</c:v>
                </c:pt>
                <c:pt idx="7">
                  <c:v>3839.0570157411021</c:v>
                </c:pt>
                <c:pt idx="8">
                  <c:v>3892.0307178782004</c:v>
                </c:pt>
                <c:pt idx="9">
                  <c:v>3954.0926367676466</c:v>
                </c:pt>
                <c:pt idx="10">
                  <c:v>4012.9661119373727</c:v>
                </c:pt>
                <c:pt idx="11">
                  <c:v>4038.2663451950598</c:v>
                </c:pt>
              </c:numCache>
            </c:numRef>
          </c:val>
          <c:smooth val="0"/>
          <c:extLst>
            <c:ext xmlns:c16="http://schemas.microsoft.com/office/drawing/2014/chart" uri="{C3380CC4-5D6E-409C-BE32-E72D297353CC}">
              <c16:uniqueId val="{00000000-D567-49AC-ABEB-3FEF7DC0A88F}"/>
            </c:ext>
          </c:extLst>
        </c:ser>
        <c:ser>
          <c:idx val="0"/>
          <c:order val="1"/>
          <c:tx>
            <c:strRef>
              <c:f>Teacher_need_figures!$B$17</c:f>
              <c:strCache>
                <c:ptCount val="1"/>
                <c:pt idx="0">
                  <c:v>BUSINESS STUDIES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Teacher_need_figures!$C$17:$N$17</c:f>
              <c:numCache>
                <c:formatCode>#,##0</c:formatCode>
                <c:ptCount val="12"/>
                <c:pt idx="0">
                  <c:v>4112.7854114647489</c:v>
                </c:pt>
                <c:pt idx="1">
                  <c:v>4055.1181721093221</c:v>
                </c:pt>
                <c:pt idx="2">
                  <c:v>3888.3058629551306</c:v>
                </c:pt>
                <c:pt idx="3">
                  <c:v>3726.3896860129285</c:v>
                </c:pt>
                <c:pt idx="4">
                  <c:v>3700.1602214135623</c:v>
                </c:pt>
                <c:pt idx="5">
                  <c:v>3732.113720085189</c:v>
                </c:pt>
                <c:pt idx="6">
                  <c:v>3795.6822886090704</c:v>
                </c:pt>
                <c:pt idx="7">
                  <c:v>3839.0570157411021</c:v>
                </c:pt>
                <c:pt idx="8">
                  <c:v>3892.0307178782004</c:v>
                </c:pt>
                <c:pt idx="9">
                  <c:v>3954.0926367676466</c:v>
                </c:pt>
                <c:pt idx="10">
                  <c:v>4012.9661119373727</c:v>
                </c:pt>
                <c:pt idx="11">
                  <c:v>4038.2663451950598</c:v>
                </c:pt>
              </c:numCache>
            </c:numRef>
          </c:val>
          <c:smooth val="0"/>
          <c:extLst>
            <c:ext xmlns:c16="http://schemas.microsoft.com/office/drawing/2014/chart" uri="{C3380CC4-5D6E-409C-BE32-E72D297353CC}">
              <c16:uniqueId val="{00000001-D567-49AC-ABEB-3FEF7DC0A88F}"/>
            </c:ext>
          </c:extLst>
        </c:ser>
        <c:ser>
          <c:idx val="15"/>
          <c:order val="2"/>
          <c:tx>
            <c:strRef>
              <c:f>Teacher_need_figures!$B$55</c:f>
              <c:strCache>
                <c:ptCount val="1"/>
                <c:pt idx="0">
                  <c:v>OTHERS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Teacher_need_figures!$C$55:$N$55</c:f>
              <c:numCache>
                <c:formatCode>#,##0</c:formatCode>
                <c:ptCount val="12"/>
                <c:pt idx="0">
                  <c:v>14320.519643904654</c:v>
                </c:pt>
                <c:pt idx="1">
                  <c:v>14167.017824214381</c:v>
                </c:pt>
                <c:pt idx="2">
                  <c:v>13644.45192629548</c:v>
                </c:pt>
                <c:pt idx="3">
                  <c:v>13168.958005566721</c:v>
                </c:pt>
                <c:pt idx="4">
                  <c:v>13028.336477663877</c:v>
                </c:pt>
                <c:pt idx="5">
                  <c:v>13119.243677203196</c:v>
                </c:pt>
                <c:pt idx="6">
                  <c:v>13287.741271802557</c:v>
                </c:pt>
                <c:pt idx="7">
                  <c:v>13441.112319312042</c:v>
                </c:pt>
                <c:pt idx="8">
                  <c:v>13605.666391187309</c:v>
                </c:pt>
                <c:pt idx="9">
                  <c:v>13740.245374084607</c:v>
                </c:pt>
                <c:pt idx="10">
                  <c:v>13856.137858966566</c:v>
                </c:pt>
                <c:pt idx="11">
                  <c:v>13945.356467368034</c:v>
                </c:pt>
              </c:numCache>
            </c:numRef>
          </c:val>
          <c:smooth val="0"/>
          <c:extLst>
            <c:ext xmlns:c16="http://schemas.microsoft.com/office/drawing/2014/chart" uri="{C3380CC4-5D6E-409C-BE32-E72D297353CC}">
              <c16:uniqueId val="{00000002-D567-49AC-ABEB-3FEF7DC0A88F}"/>
            </c:ext>
          </c:extLst>
        </c:ser>
        <c:ser>
          <c:idx val="1"/>
          <c:order val="3"/>
          <c:tx>
            <c:strRef>
              <c:f>Teacher_need_figures!$B$30</c:f>
              <c:strCache>
                <c:ptCount val="1"/>
                <c:pt idx="0">
                  <c:v>OTHERS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Teacher_need_figures!$C$30:$N$30</c:f>
              <c:numCache>
                <c:formatCode>#,##0</c:formatCode>
                <c:ptCount val="12"/>
                <c:pt idx="0">
                  <c:v>14320.519643904654</c:v>
                </c:pt>
                <c:pt idx="1">
                  <c:v>14167.017824214381</c:v>
                </c:pt>
                <c:pt idx="2">
                  <c:v>13644.45192629548</c:v>
                </c:pt>
                <c:pt idx="3">
                  <c:v>13168.958005566721</c:v>
                </c:pt>
                <c:pt idx="4">
                  <c:v>13028.336477663877</c:v>
                </c:pt>
                <c:pt idx="5">
                  <c:v>13119.243677203196</c:v>
                </c:pt>
                <c:pt idx="6">
                  <c:v>13287.741271802557</c:v>
                </c:pt>
                <c:pt idx="7">
                  <c:v>13441.112319312042</c:v>
                </c:pt>
                <c:pt idx="8">
                  <c:v>13605.666391187309</c:v>
                </c:pt>
                <c:pt idx="9">
                  <c:v>13740.245374084607</c:v>
                </c:pt>
                <c:pt idx="10">
                  <c:v>13856.137858966566</c:v>
                </c:pt>
                <c:pt idx="11">
                  <c:v>13945.356467368034</c:v>
                </c:pt>
              </c:numCache>
            </c:numRef>
          </c:val>
          <c:smooth val="0"/>
          <c:extLst>
            <c:ext xmlns:c16="http://schemas.microsoft.com/office/drawing/2014/chart" uri="{C3380CC4-5D6E-409C-BE32-E72D297353CC}">
              <c16:uniqueId val="{00000003-D567-49AC-ABEB-3FEF7DC0A88F}"/>
            </c:ext>
          </c:extLst>
        </c:ser>
        <c:ser>
          <c:idx val="16"/>
          <c:order val="4"/>
          <c:tx>
            <c:strRef>
              <c:f>Teacher_need_figures!$B$56</c:f>
              <c:strCache>
                <c:ptCount val="1"/>
                <c:pt idx="0">
                  <c:v>PHYSICAL EDUCATION All Central Scenario</c:v>
                </c:pt>
              </c:strCache>
            </c:strRef>
          </c:tx>
          <c:spPr>
            <a:ln>
              <a:solidFill>
                <a:srgbClr val="92D05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Teacher_need_figures!$C$56:$N$56</c:f>
              <c:numCache>
                <c:formatCode>#,##0</c:formatCode>
                <c:ptCount val="12"/>
                <c:pt idx="0">
                  <c:v>16924.886854184697</c:v>
                </c:pt>
                <c:pt idx="1">
                  <c:v>17045.013299898539</c:v>
                </c:pt>
                <c:pt idx="2">
                  <c:v>16956.087003196979</c:v>
                </c:pt>
                <c:pt idx="3">
                  <c:v>16863.039703106369</c:v>
                </c:pt>
                <c:pt idx="4">
                  <c:v>16951.559238171318</c:v>
                </c:pt>
                <c:pt idx="5">
                  <c:v>17100.221557807639</c:v>
                </c:pt>
                <c:pt idx="6">
                  <c:v>17247.144454354897</c:v>
                </c:pt>
                <c:pt idx="7">
                  <c:v>17376.861204319455</c:v>
                </c:pt>
                <c:pt idx="8">
                  <c:v>17403.765600561375</c:v>
                </c:pt>
                <c:pt idx="9">
                  <c:v>17393.955577466586</c:v>
                </c:pt>
                <c:pt idx="10">
                  <c:v>17354.566627480825</c:v>
                </c:pt>
                <c:pt idx="11">
                  <c:v>17312.191984170175</c:v>
                </c:pt>
              </c:numCache>
            </c:numRef>
          </c:val>
          <c:smooth val="0"/>
          <c:extLst>
            <c:ext xmlns:c16="http://schemas.microsoft.com/office/drawing/2014/chart" uri="{C3380CC4-5D6E-409C-BE32-E72D297353CC}">
              <c16:uniqueId val="{00000004-D567-49AC-ABEB-3FEF7DC0A88F}"/>
            </c:ext>
          </c:extLst>
        </c:ser>
        <c:ser>
          <c:idx val="2"/>
          <c:order val="5"/>
          <c:tx>
            <c:strRef>
              <c:f>Teacher_need_figures!$B$31</c:f>
              <c:strCache>
                <c:ptCount val="1"/>
                <c:pt idx="0">
                  <c:v>PHYSICAL EDUCATION Scenario Selected</c:v>
                </c:pt>
              </c:strCache>
            </c:strRef>
          </c:tx>
          <c:spPr>
            <a:ln>
              <a:solidFill>
                <a:srgbClr val="92D05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Teacher_need_figures!$C$31:$N$31</c:f>
              <c:numCache>
                <c:formatCode>#,##0</c:formatCode>
                <c:ptCount val="12"/>
                <c:pt idx="0">
                  <c:v>16924.886854184697</c:v>
                </c:pt>
                <c:pt idx="1">
                  <c:v>17045.013299898539</c:v>
                </c:pt>
                <c:pt idx="2">
                  <c:v>16956.087003196979</c:v>
                </c:pt>
                <c:pt idx="3">
                  <c:v>16863.039703106369</c:v>
                </c:pt>
                <c:pt idx="4">
                  <c:v>16951.559238171318</c:v>
                </c:pt>
                <c:pt idx="5">
                  <c:v>17100.221557807639</c:v>
                </c:pt>
                <c:pt idx="6">
                  <c:v>17247.144454354897</c:v>
                </c:pt>
                <c:pt idx="7">
                  <c:v>17376.861204319455</c:v>
                </c:pt>
                <c:pt idx="8">
                  <c:v>17403.765600561375</c:v>
                </c:pt>
                <c:pt idx="9">
                  <c:v>17393.955577466586</c:v>
                </c:pt>
                <c:pt idx="10">
                  <c:v>17354.566627480825</c:v>
                </c:pt>
                <c:pt idx="11">
                  <c:v>17312.191984170175</c:v>
                </c:pt>
              </c:numCache>
            </c:numRef>
          </c:val>
          <c:smooth val="0"/>
          <c:extLst>
            <c:ext xmlns:c16="http://schemas.microsoft.com/office/drawing/2014/chart" uri="{C3380CC4-5D6E-409C-BE32-E72D297353CC}">
              <c16:uniqueId val="{00000005-D567-49AC-ABEB-3FEF7DC0A88F}"/>
            </c:ext>
          </c:extLst>
        </c:ser>
        <c:dLbls>
          <c:showLegendKey val="0"/>
          <c:showVal val="0"/>
          <c:showCatName val="0"/>
          <c:showSerName val="0"/>
          <c:showPercent val="0"/>
          <c:showBubbleSize val="0"/>
        </c:dLbls>
        <c:smooth val="0"/>
        <c:axId val="149764736"/>
        <c:axId val="149778816"/>
      </c:lineChart>
      <c:catAx>
        <c:axId val="14976473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778816"/>
        <c:crosses val="autoZero"/>
        <c:auto val="1"/>
        <c:lblAlgn val="ctr"/>
        <c:lblOffset val="100"/>
        <c:noMultiLvlLbl val="0"/>
      </c:catAx>
      <c:valAx>
        <c:axId val="14977881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764736"/>
        <c:crosses val="autoZero"/>
        <c:crossBetween val="between"/>
      </c:valAx>
      <c:spPr>
        <a:ln>
          <a:solidFill>
            <a:schemeClr val="tx1">
              <a:lumMod val="95000"/>
              <a:lumOff val="5000"/>
            </a:schemeClr>
          </a:solidFill>
        </a:ln>
      </c:spPr>
    </c:plotArea>
    <c:legend>
      <c:legendPos val="r"/>
      <c:layout>
        <c:manualLayout>
          <c:xMode val="edge"/>
          <c:yMode val="edge"/>
          <c:x val="0.73288937380323282"/>
          <c:y val="3.1141868512110725E-2"/>
          <c:w val="0.2445747286597522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2832174103237096"/>
          <c:y val="0.11075240594925634"/>
          <c:w val="0.57181425256816532"/>
          <c:h val="0.71324792622847277"/>
        </c:manualLayout>
      </c:layout>
      <c:lineChart>
        <c:grouping val="standard"/>
        <c:varyColors val="0"/>
        <c:ser>
          <c:idx val="5"/>
          <c:order val="0"/>
          <c:tx>
            <c:strRef>
              <c:f>Teacher_need_figures!$B$44</c:f>
              <c:strCache>
                <c:ptCount val="1"/>
                <c:pt idx="0">
                  <c:v>CLASSICS All Central Scenario</c:v>
                </c:pt>
              </c:strCache>
            </c:strRef>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Teacher_need_figures!$C$44:$N$44</c:f>
              <c:numCache>
                <c:formatCode>#,##0</c:formatCode>
                <c:ptCount val="12"/>
                <c:pt idx="0">
                  <c:v>318.24964480117319</c:v>
                </c:pt>
                <c:pt idx="1">
                  <c:v>316.66378192264295</c:v>
                </c:pt>
                <c:pt idx="2">
                  <c:v>316.17539575582185</c:v>
                </c:pt>
                <c:pt idx="3">
                  <c:v>316.8320077141023</c:v>
                </c:pt>
                <c:pt idx="4">
                  <c:v>318.22126343422786</c:v>
                </c:pt>
                <c:pt idx="5">
                  <c:v>320.55922029487579</c:v>
                </c:pt>
                <c:pt idx="6">
                  <c:v>323.9615218164621</c:v>
                </c:pt>
                <c:pt idx="7">
                  <c:v>327.23843536550851</c:v>
                </c:pt>
                <c:pt idx="8">
                  <c:v>329.9037008362418</c:v>
                </c:pt>
                <c:pt idx="9">
                  <c:v>331.60054560560565</c:v>
                </c:pt>
                <c:pt idx="10">
                  <c:v>332.77509243618636</c:v>
                </c:pt>
                <c:pt idx="11">
                  <c:v>333.88423337973057</c:v>
                </c:pt>
              </c:numCache>
            </c:numRef>
          </c:val>
          <c:smooth val="0"/>
          <c:extLst>
            <c:ext xmlns:c16="http://schemas.microsoft.com/office/drawing/2014/chart" uri="{C3380CC4-5D6E-409C-BE32-E72D297353CC}">
              <c16:uniqueId val="{00000000-F919-4202-AF85-9AF3B105CCF0}"/>
            </c:ext>
          </c:extLst>
        </c:ser>
        <c:ser>
          <c:idx val="1"/>
          <c:order val="1"/>
          <c:tx>
            <c:strRef>
              <c:f>Teacher_need_figures!$B$19</c:f>
              <c:strCache>
                <c:ptCount val="1"/>
                <c:pt idx="0">
                  <c:v>CLASSICS Scenario Selected</c:v>
                </c:pt>
              </c:strCache>
            </c:strRef>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Teacher_need_figures!$C$19:$N$19</c:f>
              <c:numCache>
                <c:formatCode>#,##0</c:formatCode>
                <c:ptCount val="12"/>
                <c:pt idx="0">
                  <c:v>318.24964480117319</c:v>
                </c:pt>
                <c:pt idx="1">
                  <c:v>316.66378192264295</c:v>
                </c:pt>
                <c:pt idx="2">
                  <c:v>316.17539575582185</c:v>
                </c:pt>
                <c:pt idx="3">
                  <c:v>316.8320077141023</c:v>
                </c:pt>
                <c:pt idx="4">
                  <c:v>318.22126343422786</c:v>
                </c:pt>
                <c:pt idx="5">
                  <c:v>320.55922029487579</c:v>
                </c:pt>
                <c:pt idx="6">
                  <c:v>323.9615218164621</c:v>
                </c:pt>
                <c:pt idx="7">
                  <c:v>327.23843536550851</c:v>
                </c:pt>
                <c:pt idx="8">
                  <c:v>329.9037008362418</c:v>
                </c:pt>
                <c:pt idx="9">
                  <c:v>331.60054560560565</c:v>
                </c:pt>
                <c:pt idx="10">
                  <c:v>332.77509243618636</c:v>
                </c:pt>
                <c:pt idx="11">
                  <c:v>333.88423337973057</c:v>
                </c:pt>
              </c:numCache>
            </c:numRef>
          </c:val>
          <c:smooth val="0"/>
          <c:extLst>
            <c:ext xmlns:c16="http://schemas.microsoft.com/office/drawing/2014/chart" uri="{C3380CC4-5D6E-409C-BE32-E72D297353CC}">
              <c16:uniqueId val="{00000001-F919-4202-AF85-9AF3B105CCF0}"/>
            </c:ext>
          </c:extLst>
        </c:ser>
        <c:ser>
          <c:idx val="0"/>
          <c:order val="2"/>
          <c:tx>
            <c:strRef>
              <c:f>Teacher_need_figures!$B$53</c:f>
              <c:strCache>
                <c:ptCount val="1"/>
                <c:pt idx="0">
                  <c:v>MODERN FOREIGN LANGUAGES All Central Scenario</c:v>
                </c:pt>
              </c:strCache>
            </c:strRef>
          </c:tx>
          <c:spPr>
            <a:ln>
              <a:solidFill>
                <a:schemeClr val="tx2">
                  <a:lumMod val="50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Teacher_need_figures!$C$53:$N$53</c:f>
              <c:numCache>
                <c:formatCode>#,##0</c:formatCode>
                <c:ptCount val="12"/>
                <c:pt idx="0">
                  <c:v>14939.764306075618</c:v>
                </c:pt>
                <c:pt idx="1">
                  <c:v>15070.257443396837</c:v>
                </c:pt>
                <c:pt idx="2">
                  <c:v>16557.230196768789</c:v>
                </c:pt>
                <c:pt idx="3">
                  <c:v>18106.97526873889</c:v>
                </c:pt>
                <c:pt idx="4">
                  <c:v>18695.254319919968</c:v>
                </c:pt>
                <c:pt idx="5">
                  <c:v>18855.304901959025</c:v>
                </c:pt>
                <c:pt idx="6">
                  <c:v>18999.002831661492</c:v>
                </c:pt>
                <c:pt idx="7">
                  <c:v>19138.350839311574</c:v>
                </c:pt>
                <c:pt idx="8">
                  <c:v>19151.937836517376</c:v>
                </c:pt>
                <c:pt idx="9">
                  <c:v>19109.119672158304</c:v>
                </c:pt>
                <c:pt idx="10">
                  <c:v>19031.45661965046</c:v>
                </c:pt>
                <c:pt idx="11">
                  <c:v>18975.956019871268</c:v>
                </c:pt>
              </c:numCache>
            </c:numRef>
          </c:val>
          <c:smooth val="0"/>
          <c:extLst>
            <c:ext xmlns:c16="http://schemas.microsoft.com/office/drawing/2014/chart" uri="{C3380CC4-5D6E-409C-BE32-E72D297353CC}">
              <c16:uniqueId val="{00000002-F919-4202-AF85-9AF3B105CCF0}"/>
            </c:ext>
          </c:extLst>
        </c:ser>
        <c:ser>
          <c:idx val="2"/>
          <c:order val="3"/>
          <c:tx>
            <c:strRef>
              <c:f>Teacher_need_figures!$B$28</c:f>
              <c:strCache>
                <c:ptCount val="1"/>
                <c:pt idx="0">
                  <c:v>MODERN FOREIGN LANGUAGES Scenario Selected</c:v>
                </c:pt>
              </c:strCache>
            </c:strRef>
          </c:tx>
          <c:spPr>
            <a:ln>
              <a:solidFill>
                <a:schemeClr val="tx2">
                  <a:lumMod val="50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Teacher_need_figures!$C$28:$N$28</c:f>
              <c:numCache>
                <c:formatCode>#,##0</c:formatCode>
                <c:ptCount val="12"/>
                <c:pt idx="0">
                  <c:v>14939.764306075618</c:v>
                </c:pt>
                <c:pt idx="1">
                  <c:v>15070.257443396837</c:v>
                </c:pt>
                <c:pt idx="2">
                  <c:v>16557.230196768789</c:v>
                </c:pt>
                <c:pt idx="3">
                  <c:v>18106.97526873889</c:v>
                </c:pt>
                <c:pt idx="4">
                  <c:v>18695.254319919968</c:v>
                </c:pt>
                <c:pt idx="5">
                  <c:v>18855.304901959025</c:v>
                </c:pt>
                <c:pt idx="6">
                  <c:v>18999.002831661492</c:v>
                </c:pt>
                <c:pt idx="7">
                  <c:v>19138.350839311574</c:v>
                </c:pt>
                <c:pt idx="8">
                  <c:v>19151.937836517376</c:v>
                </c:pt>
                <c:pt idx="9">
                  <c:v>19109.119672158304</c:v>
                </c:pt>
                <c:pt idx="10">
                  <c:v>19031.45661965046</c:v>
                </c:pt>
                <c:pt idx="11">
                  <c:v>18975.956019871268</c:v>
                </c:pt>
              </c:numCache>
            </c:numRef>
          </c:val>
          <c:smooth val="0"/>
          <c:extLst>
            <c:ext xmlns:c16="http://schemas.microsoft.com/office/drawing/2014/chart" uri="{C3380CC4-5D6E-409C-BE32-E72D297353CC}">
              <c16:uniqueId val="{00000003-F919-4202-AF85-9AF3B105CCF0}"/>
            </c:ext>
          </c:extLst>
        </c:ser>
        <c:dLbls>
          <c:showLegendKey val="0"/>
          <c:showVal val="0"/>
          <c:showCatName val="0"/>
          <c:showSerName val="0"/>
          <c:showPercent val="0"/>
          <c:showBubbleSize val="0"/>
        </c:dLbls>
        <c:smooth val="0"/>
        <c:axId val="149819776"/>
        <c:axId val="149821312"/>
      </c:lineChart>
      <c:catAx>
        <c:axId val="149819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9821312"/>
        <c:crosses val="autoZero"/>
        <c:auto val="1"/>
        <c:lblAlgn val="ctr"/>
        <c:lblOffset val="100"/>
        <c:noMultiLvlLbl val="0"/>
      </c:catAx>
      <c:valAx>
        <c:axId val="14982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9819776"/>
        <c:crosses val="autoZero"/>
        <c:crossBetween val="between"/>
      </c:valAx>
      <c:spPr>
        <a:ln>
          <a:solidFill>
            <a:schemeClr val="tx1">
              <a:lumMod val="95000"/>
              <a:lumOff val="5000"/>
            </a:schemeClr>
          </a:solidFill>
        </a:ln>
      </c:spPr>
    </c:plotArea>
    <c:legend>
      <c:legendPos val="r"/>
      <c:layout>
        <c:manualLayout>
          <c:xMode val="edge"/>
          <c:yMode val="edge"/>
          <c:x val="0.71171225240597047"/>
          <c:y val="6.401402246864471E-2"/>
          <c:w val="0.26617550124135581"/>
          <c:h val="0.813148788927335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Comparison of entrant teacher need values derived by the user and those by using the default scenarios</a:t>
            </a:r>
          </a:p>
        </c:rich>
      </c:tx>
      <c:overlay val="0"/>
    </c:title>
    <c:autoTitleDeleted val="0"/>
    <c:plotArea>
      <c:layout>
        <c:manualLayout>
          <c:layoutTarget val="inner"/>
          <c:xMode val="edge"/>
          <c:yMode val="edge"/>
          <c:x val="0.1184199503573706"/>
          <c:y val="0.14908736407949005"/>
          <c:w val="0.51890756605957833"/>
          <c:h val="0.70578102737157855"/>
        </c:manualLayout>
      </c:layout>
      <c:lineChart>
        <c:grouping val="standard"/>
        <c:varyColors val="0"/>
        <c:ser>
          <c:idx val="0"/>
          <c:order val="0"/>
          <c:tx>
            <c:strRef>
              <c:f>USER_TESTING_TAB!$AA$32</c:f>
              <c:strCache>
                <c:ptCount val="1"/>
                <c:pt idx="0">
                  <c:v>Primary - default scenarios</c:v>
                </c:pt>
              </c:strCache>
            </c:strRef>
          </c:tx>
          <c:spPr>
            <a:ln>
              <a:solidFill>
                <a:sysClr val="windowText" lastClr="000000"/>
              </a:solidFill>
            </a:ln>
          </c:spPr>
          <c:marker>
            <c:symbol val="none"/>
          </c:marker>
          <c:cat>
            <c:strRef>
              <c:f>USER_TESTING_TAB!$AB$31:$AM$31</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USER_TESTING_TAB!$AB$32:$AM$32</c:f>
              <c:numCache>
                <c:formatCode>#,##0</c:formatCode>
                <c:ptCount val="12"/>
                <c:pt idx="0">
                  <c:v>27538.544661464744</c:v>
                </c:pt>
                <c:pt idx="1">
                  <c:v>26105.002673937081</c:v>
                </c:pt>
                <c:pt idx="2">
                  <c:v>25804.401119795846</c:v>
                </c:pt>
                <c:pt idx="3">
                  <c:v>24509.091093232932</c:v>
                </c:pt>
                <c:pt idx="4">
                  <c:v>24656.998817781678</c:v>
                </c:pt>
                <c:pt idx="5">
                  <c:v>24432.263410506512</c:v>
                </c:pt>
                <c:pt idx="6">
                  <c:v>24102.311757997213</c:v>
                </c:pt>
                <c:pt idx="7">
                  <c:v>23873.194543470338</c:v>
                </c:pt>
                <c:pt idx="8">
                  <c:v>24450.504710155619</c:v>
                </c:pt>
                <c:pt idx="9">
                  <c:v>24916.785672652128</c:v>
                </c:pt>
                <c:pt idx="10">
                  <c:v>25036.449572418685</c:v>
                </c:pt>
                <c:pt idx="11">
                  <c:v>24924.618653464819</c:v>
                </c:pt>
              </c:numCache>
            </c:numRef>
          </c:val>
          <c:smooth val="0"/>
          <c:extLst>
            <c:ext xmlns:c16="http://schemas.microsoft.com/office/drawing/2014/chart" uri="{C3380CC4-5D6E-409C-BE32-E72D297353CC}">
              <c16:uniqueId val="{00000000-9FF7-49CA-A51A-9479C12E484D}"/>
            </c:ext>
          </c:extLst>
        </c:ser>
        <c:ser>
          <c:idx val="2"/>
          <c:order val="1"/>
          <c:tx>
            <c:strRef>
              <c:f>USER_TESTING_TAB!$AA$34</c:f>
              <c:strCache>
                <c:ptCount val="1"/>
                <c:pt idx="0">
                  <c:v>Primary - user selected scenarios</c:v>
                </c:pt>
              </c:strCache>
            </c:strRef>
          </c:tx>
          <c:spPr>
            <a:ln>
              <a:solidFill>
                <a:sysClr val="windowText" lastClr="000000"/>
              </a:solidFill>
              <a:prstDash val="sysDot"/>
            </a:ln>
          </c:spPr>
          <c:marker>
            <c:symbol val="none"/>
          </c:marker>
          <c:cat>
            <c:strRef>
              <c:f>USER_TESTING_TAB!$AB$31:$AM$31</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USER_TESTING_TAB!$AB$34:$AM$34</c:f>
              <c:numCache>
                <c:formatCode>#,##0</c:formatCode>
                <c:ptCount val="12"/>
                <c:pt idx="0">
                  <c:v>27538.544661464744</c:v>
                </c:pt>
                <c:pt idx="1">
                  <c:v>26105.002673937081</c:v>
                </c:pt>
                <c:pt idx="2">
                  <c:v>25804.401119795846</c:v>
                </c:pt>
                <c:pt idx="3">
                  <c:v>24509.091093232932</c:v>
                </c:pt>
                <c:pt idx="4">
                  <c:v>24656.998817781678</c:v>
                </c:pt>
                <c:pt idx="5">
                  <c:v>24432.263410506512</c:v>
                </c:pt>
                <c:pt idx="6">
                  <c:v>24102.311757997213</c:v>
                </c:pt>
                <c:pt idx="7">
                  <c:v>23873.194543470338</c:v>
                </c:pt>
                <c:pt idx="8">
                  <c:v>24450.504710155619</c:v>
                </c:pt>
                <c:pt idx="9">
                  <c:v>24916.785672652128</c:v>
                </c:pt>
                <c:pt idx="10">
                  <c:v>25036.449572418685</c:v>
                </c:pt>
                <c:pt idx="11">
                  <c:v>24924.618653464819</c:v>
                </c:pt>
              </c:numCache>
            </c:numRef>
          </c:val>
          <c:smooth val="0"/>
          <c:extLst>
            <c:ext xmlns:c16="http://schemas.microsoft.com/office/drawing/2014/chart" uri="{C3380CC4-5D6E-409C-BE32-E72D297353CC}">
              <c16:uniqueId val="{00000001-9FF7-49CA-A51A-9479C12E484D}"/>
            </c:ext>
          </c:extLst>
        </c:ser>
        <c:ser>
          <c:idx val="1"/>
          <c:order val="2"/>
          <c:tx>
            <c:strRef>
              <c:f>USER_TESTING_TAB!$AA$33</c:f>
              <c:strCache>
                <c:ptCount val="1"/>
                <c:pt idx="0">
                  <c:v>Secondary - default scenarios</c:v>
                </c:pt>
              </c:strCache>
            </c:strRef>
          </c:tx>
          <c:spPr>
            <a:ln>
              <a:solidFill>
                <a:srgbClr val="FF0000"/>
              </a:solidFill>
            </a:ln>
          </c:spPr>
          <c:marker>
            <c:symbol val="none"/>
          </c:marker>
          <c:cat>
            <c:strRef>
              <c:f>USER_TESTING_TAB!$AB$31:$AM$31</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USER_TESTING_TAB!$AB$33:$AM$33</c:f>
              <c:numCache>
                <c:formatCode>#,##0</c:formatCode>
                <c:ptCount val="12"/>
                <c:pt idx="0">
                  <c:v>25325.981524290863</c:v>
                </c:pt>
                <c:pt idx="1">
                  <c:v>24864.32398892309</c:v>
                </c:pt>
                <c:pt idx="2">
                  <c:v>26448.871508078941</c:v>
                </c:pt>
                <c:pt idx="3">
                  <c:v>25797.106539924709</c:v>
                </c:pt>
                <c:pt idx="4">
                  <c:v>25450.041469507818</c:v>
                </c:pt>
                <c:pt idx="5">
                  <c:v>25527.010741858019</c:v>
                </c:pt>
                <c:pt idx="6">
                  <c:v>25845.896651495765</c:v>
                </c:pt>
                <c:pt idx="7">
                  <c:v>25731.139914905129</c:v>
                </c:pt>
                <c:pt idx="8">
                  <c:v>24759.538609418585</c:v>
                </c:pt>
                <c:pt idx="9">
                  <c:v>24416.167627861571</c:v>
                </c:pt>
                <c:pt idx="10">
                  <c:v>24069.983113000369</c:v>
                </c:pt>
                <c:pt idx="11">
                  <c:v>23849.453533819546</c:v>
                </c:pt>
              </c:numCache>
            </c:numRef>
          </c:val>
          <c:smooth val="0"/>
          <c:extLst>
            <c:ext xmlns:c16="http://schemas.microsoft.com/office/drawing/2014/chart" uri="{C3380CC4-5D6E-409C-BE32-E72D297353CC}">
              <c16:uniqueId val="{00000002-9FF7-49CA-A51A-9479C12E484D}"/>
            </c:ext>
          </c:extLst>
        </c:ser>
        <c:ser>
          <c:idx val="3"/>
          <c:order val="3"/>
          <c:tx>
            <c:strRef>
              <c:f>USER_TESTING_TAB!$AA$35</c:f>
              <c:strCache>
                <c:ptCount val="1"/>
                <c:pt idx="0">
                  <c:v>Secondary - user selected scenarios</c:v>
                </c:pt>
              </c:strCache>
            </c:strRef>
          </c:tx>
          <c:spPr>
            <a:ln>
              <a:solidFill>
                <a:srgbClr val="FF0000"/>
              </a:solidFill>
              <a:prstDash val="sysDot"/>
            </a:ln>
          </c:spPr>
          <c:marker>
            <c:symbol val="none"/>
          </c:marker>
          <c:cat>
            <c:strRef>
              <c:f>USER_TESTING_TAB!$AB$31:$AM$31</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USER_TESTING_TAB!$AB$35:$AM$35</c:f>
              <c:numCache>
                <c:formatCode>#,##0</c:formatCode>
                <c:ptCount val="12"/>
                <c:pt idx="0">
                  <c:v>25325.981524290863</c:v>
                </c:pt>
                <c:pt idx="1">
                  <c:v>24864.32398892309</c:v>
                </c:pt>
                <c:pt idx="2">
                  <c:v>26448.871508078941</c:v>
                </c:pt>
                <c:pt idx="3">
                  <c:v>25797.106539924709</c:v>
                </c:pt>
                <c:pt idx="4">
                  <c:v>25450.041469507818</c:v>
                </c:pt>
                <c:pt idx="5">
                  <c:v>25527.010741858019</c:v>
                </c:pt>
                <c:pt idx="6">
                  <c:v>25845.896651495765</c:v>
                </c:pt>
                <c:pt idx="7">
                  <c:v>25731.139914905129</c:v>
                </c:pt>
                <c:pt idx="8">
                  <c:v>24759.538609418585</c:v>
                </c:pt>
                <c:pt idx="9">
                  <c:v>24416.167627861571</c:v>
                </c:pt>
                <c:pt idx="10">
                  <c:v>24069.983113000369</c:v>
                </c:pt>
                <c:pt idx="11">
                  <c:v>23849.453533819546</c:v>
                </c:pt>
              </c:numCache>
            </c:numRef>
          </c:val>
          <c:smooth val="0"/>
          <c:extLst>
            <c:ext xmlns:c16="http://schemas.microsoft.com/office/drawing/2014/chart" uri="{C3380CC4-5D6E-409C-BE32-E72D297353CC}">
              <c16:uniqueId val="{00000003-9FF7-49CA-A51A-9479C12E484D}"/>
            </c:ext>
          </c:extLst>
        </c:ser>
        <c:dLbls>
          <c:showLegendKey val="0"/>
          <c:showVal val="0"/>
          <c:showCatName val="0"/>
          <c:showSerName val="0"/>
          <c:showPercent val="0"/>
          <c:showBubbleSize val="0"/>
        </c:dLbls>
        <c:smooth val="0"/>
        <c:axId val="148343808"/>
        <c:axId val="148349696"/>
      </c:lineChart>
      <c:catAx>
        <c:axId val="1483438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349696"/>
        <c:crosses val="autoZero"/>
        <c:auto val="1"/>
        <c:lblAlgn val="ctr"/>
        <c:lblOffset val="100"/>
        <c:noMultiLvlLbl val="0"/>
      </c:catAx>
      <c:valAx>
        <c:axId val="1483496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Entrant 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343808"/>
        <c:crosses val="autoZero"/>
        <c:crossBetween val="between"/>
      </c:valAx>
      <c:spPr>
        <a:ln>
          <a:solidFill>
            <a:sysClr val="windowText" lastClr="000000"/>
          </a:solidFill>
        </a:ln>
      </c:spPr>
    </c:plotArea>
    <c:legend>
      <c:legendPos val="r"/>
      <c:layout>
        <c:manualLayout>
          <c:xMode val="edge"/>
          <c:yMode val="edge"/>
          <c:x val="0.66185947910357368"/>
          <c:y val="0.25581422477229104"/>
          <c:w val="0.30769247594050742"/>
          <c:h val="0.51421242887274743"/>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Projections of pupil numbers under different scenarios</a:t>
            </a:r>
          </a:p>
        </c:rich>
      </c:tx>
      <c:layout>
        <c:manualLayout>
          <c:xMode val="edge"/>
          <c:yMode val="edge"/>
          <c:x val="0.21057087923889753"/>
          <c:y val="6.1049122414200598E-3"/>
        </c:manualLayout>
      </c:layout>
      <c:overlay val="1"/>
    </c:title>
    <c:autoTitleDeleted val="0"/>
    <c:plotArea>
      <c:layout>
        <c:manualLayout>
          <c:layoutTarget val="inner"/>
          <c:xMode val="edge"/>
          <c:yMode val="edge"/>
          <c:x val="0.10494225939961993"/>
          <c:y val="8.5859267591551061E-2"/>
          <c:w val="0.71495434193720442"/>
          <c:h val="0.78793933367024771"/>
        </c:manualLayout>
      </c:layout>
      <c:lineChart>
        <c:grouping val="standard"/>
        <c:varyColors val="0"/>
        <c:ser>
          <c:idx val="0"/>
          <c:order val="0"/>
          <c:tx>
            <c:strRef>
              <c:f>Pupil_Projections_scenarios!$B$39</c:f>
              <c:strCache>
                <c:ptCount val="1"/>
                <c:pt idx="0">
                  <c:v>Primary age LOW</c:v>
                </c:pt>
              </c:strCache>
            </c:strRef>
          </c:tx>
          <c:spPr>
            <a:ln>
              <a:solidFill>
                <a:srgbClr val="FF0000"/>
              </a:solidFill>
              <a:prstDash val="sysDot"/>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Pupil_Projections_scenarios!$C$39:$Z$39</c:f>
              <c:numCache>
                <c:formatCode>#,##0</c:formatCode>
                <c:ptCount val="24"/>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4667419.9398695249</c:v>
                </c:pt>
                <c:pt idx="13">
                  <c:v>4724098.4138873443</c:v>
                </c:pt>
                <c:pt idx="14">
                  <c:v>4745204.8245316185</c:v>
                </c:pt>
                <c:pt idx="15">
                  <c:v>4735436.692694962</c:v>
                </c:pt>
                <c:pt idx="16">
                  <c:v>4720384.9428184703</c:v>
                </c:pt>
                <c:pt idx="17">
                  <c:v>4686410.057521658</c:v>
                </c:pt>
                <c:pt idx="18">
                  <c:v>4631287.970524773</c:v>
                </c:pt>
                <c:pt idx="19">
                  <c:v>4560789.4130896209</c:v>
                </c:pt>
                <c:pt idx="20">
                  <c:v>4507494.961918328</c:v>
                </c:pt>
                <c:pt idx="21">
                  <c:v>4465382.6294872109</c:v>
                </c:pt>
                <c:pt idx="22">
                  <c:v>4423052.6921859132</c:v>
                </c:pt>
                <c:pt idx="23">
                  <c:v>4385148.6217694012</c:v>
                </c:pt>
              </c:numCache>
            </c:numRef>
          </c:val>
          <c:smooth val="0"/>
          <c:extLst>
            <c:ext xmlns:c16="http://schemas.microsoft.com/office/drawing/2014/chart" uri="{C3380CC4-5D6E-409C-BE32-E72D297353CC}">
              <c16:uniqueId val="{00000000-A31A-47BC-8E58-B8689B67C316}"/>
            </c:ext>
          </c:extLst>
        </c:ser>
        <c:ser>
          <c:idx val="1"/>
          <c:order val="1"/>
          <c:tx>
            <c:strRef>
              <c:f>Pupil_Projections_scenarios!$B$40</c:f>
              <c:strCache>
                <c:ptCount val="1"/>
                <c:pt idx="0">
                  <c:v>Primary age CENTRAL</c:v>
                </c:pt>
              </c:strCache>
            </c:strRef>
          </c:tx>
          <c:spPr>
            <a:ln>
              <a:solidFill>
                <a:srgbClr val="FF000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Pupil_Projections_scenarios!$C$40:$Z$40</c:f>
              <c:numCache>
                <c:formatCode>#,##0</c:formatCode>
                <c:ptCount val="24"/>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4669403.6051013358</c:v>
                </c:pt>
                <c:pt idx="13">
                  <c:v>4728615.0056829667</c:v>
                </c:pt>
                <c:pt idx="14">
                  <c:v>4754148.1072515734</c:v>
                </c:pt>
                <c:pt idx="15">
                  <c:v>4754929.3367273957</c:v>
                </c:pt>
                <c:pt idx="16">
                  <c:v>4765188.6443500407</c:v>
                </c:pt>
                <c:pt idx="17">
                  <c:v>4768353.1674103234</c:v>
                </c:pt>
                <c:pt idx="18">
                  <c:v>4760117.7392643597</c:v>
                </c:pt>
                <c:pt idx="19">
                  <c:v>4744856.0009206505</c:v>
                </c:pt>
                <c:pt idx="20">
                  <c:v>4754081.3268117374</c:v>
                </c:pt>
                <c:pt idx="21">
                  <c:v>4780859.047119638</c:v>
                </c:pt>
                <c:pt idx="22">
                  <c:v>4809841.7847702289</c:v>
                </c:pt>
                <c:pt idx="23">
                  <c:v>4831636.05383253</c:v>
                </c:pt>
              </c:numCache>
            </c:numRef>
          </c:val>
          <c:smooth val="0"/>
          <c:extLst>
            <c:ext xmlns:c16="http://schemas.microsoft.com/office/drawing/2014/chart" uri="{C3380CC4-5D6E-409C-BE32-E72D297353CC}">
              <c16:uniqueId val="{00000001-A31A-47BC-8E58-B8689B67C316}"/>
            </c:ext>
          </c:extLst>
        </c:ser>
        <c:ser>
          <c:idx val="2"/>
          <c:order val="2"/>
          <c:tx>
            <c:strRef>
              <c:f>Pupil_Projections_scenarios!$B$41</c:f>
              <c:strCache>
                <c:ptCount val="1"/>
                <c:pt idx="0">
                  <c:v>Primary age HIGH</c:v>
                </c:pt>
              </c:strCache>
            </c:strRef>
          </c:tx>
          <c:spPr>
            <a:ln>
              <a:solidFill>
                <a:srgbClr val="FF0000"/>
              </a:solidFill>
              <a:prstDash val="sysDash"/>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Pupil_Projections_scenarios!$C$41:$Z$41</c:f>
              <c:numCache>
                <c:formatCode>#,##0</c:formatCode>
                <c:ptCount val="24"/>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4671388.1460606074</c:v>
                </c:pt>
                <c:pt idx="13">
                  <c:v>4733115.2348120278</c:v>
                </c:pt>
                <c:pt idx="14">
                  <c:v>4762904.3248919779</c:v>
                </c:pt>
                <c:pt idx="15">
                  <c:v>4773005.3617659593</c:v>
                </c:pt>
                <c:pt idx="16">
                  <c:v>4803798.3480132939</c:v>
                </c:pt>
                <c:pt idx="17">
                  <c:v>4831794.2220384879</c:v>
                </c:pt>
                <c:pt idx="18">
                  <c:v>4852968.2305780109</c:v>
                </c:pt>
                <c:pt idx="19">
                  <c:v>4872602.9333871268</c:v>
                </c:pt>
                <c:pt idx="20">
                  <c:v>4923032.2432402028</c:v>
                </c:pt>
                <c:pt idx="21">
                  <c:v>4997823.4105701968</c:v>
                </c:pt>
                <c:pt idx="22">
                  <c:v>5078763.4492232995</c:v>
                </c:pt>
                <c:pt idx="23">
                  <c:v>5146137.8783389097</c:v>
                </c:pt>
              </c:numCache>
            </c:numRef>
          </c:val>
          <c:smooth val="0"/>
          <c:extLst>
            <c:ext xmlns:c16="http://schemas.microsoft.com/office/drawing/2014/chart" uri="{C3380CC4-5D6E-409C-BE32-E72D297353CC}">
              <c16:uniqueId val="{00000002-A31A-47BC-8E58-B8689B67C316}"/>
            </c:ext>
          </c:extLst>
        </c:ser>
        <c:ser>
          <c:idx val="5"/>
          <c:order val="3"/>
          <c:tx>
            <c:strRef>
              <c:f>Pupil_Projections_scenarios!$B$45</c:f>
              <c:strCache>
                <c:ptCount val="1"/>
                <c:pt idx="0">
                  <c:v>KS3 LOW</c:v>
                </c:pt>
              </c:strCache>
            </c:strRef>
          </c:tx>
          <c:spPr>
            <a:ln>
              <a:solidFill>
                <a:srgbClr val="00B050"/>
              </a:solidFill>
              <a:prstDash val="sysDot"/>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Pupil_Projections_scenarios!$C$45:$Z$45</c:f>
              <c:numCache>
                <c:formatCode>_-* #,##0_-;\-* #,##0_-;_-* "-"??_-;_-@_-</c:formatCode>
                <c:ptCount val="24"/>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1683828.6238711553</c:v>
                </c:pt>
                <c:pt idx="13">
                  <c:v>1727890.7818067675</c:v>
                </c:pt>
                <c:pt idx="14">
                  <c:v>1775584.5153139823</c:v>
                </c:pt>
                <c:pt idx="15">
                  <c:v>1835920.5632854216</c:v>
                </c:pt>
                <c:pt idx="16">
                  <c:v>1878830.7214345573</c:v>
                </c:pt>
                <c:pt idx="17">
                  <c:v>1912449.2663182598</c:v>
                </c:pt>
                <c:pt idx="18">
                  <c:v>1936687.2722497336</c:v>
                </c:pt>
                <c:pt idx="19">
                  <c:v>1974307.7242090211</c:v>
                </c:pt>
                <c:pt idx="20">
                  <c:v>1977243.1093400954</c:v>
                </c:pt>
                <c:pt idx="21">
                  <c:v>1948835.5390007489</c:v>
                </c:pt>
                <c:pt idx="22">
                  <c:v>1906414.5498010265</c:v>
                </c:pt>
                <c:pt idx="23">
                  <c:v>1877875.0233929039</c:v>
                </c:pt>
              </c:numCache>
            </c:numRef>
          </c:val>
          <c:smooth val="0"/>
          <c:extLst>
            <c:ext xmlns:c16="http://schemas.microsoft.com/office/drawing/2014/chart" uri="{C3380CC4-5D6E-409C-BE32-E72D297353CC}">
              <c16:uniqueId val="{00000003-A31A-47BC-8E58-B8689B67C316}"/>
            </c:ext>
          </c:extLst>
        </c:ser>
        <c:ser>
          <c:idx val="6"/>
          <c:order val="4"/>
          <c:tx>
            <c:strRef>
              <c:f>Pupil_Projections_scenarios!$B$46</c:f>
              <c:strCache>
                <c:ptCount val="1"/>
                <c:pt idx="0">
                  <c:v>KS3 CENTRAL</c:v>
                </c:pt>
              </c:strCache>
            </c:strRef>
          </c:tx>
          <c:spPr>
            <a:ln>
              <a:solidFill>
                <a:srgbClr val="00B05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Pupil_Projections_scenarios!$C$46:$Z$46</c:f>
              <c:numCache>
                <c:formatCode>_-* #,##0_-;\-* #,##0_-;_-* "-"??_-;_-@_-</c:formatCode>
                <c:ptCount val="24"/>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1684263.7099882406</c:v>
                </c:pt>
                <c:pt idx="13">
                  <c:v>1728753.1396461697</c:v>
                </c:pt>
                <c:pt idx="14">
                  <c:v>1776887.7109150444</c:v>
                </c:pt>
                <c:pt idx="15">
                  <c:v>1837687.6258995868</c:v>
                </c:pt>
                <c:pt idx="16">
                  <c:v>1881127.9885499382</c:v>
                </c:pt>
                <c:pt idx="17">
                  <c:v>1915313.121305503</c:v>
                </c:pt>
                <c:pt idx="18">
                  <c:v>1940527.0547370678</c:v>
                </c:pt>
                <c:pt idx="19">
                  <c:v>1979340.1487121659</c:v>
                </c:pt>
                <c:pt idx="20">
                  <c:v>1983726.1049581233</c:v>
                </c:pt>
                <c:pt idx="21">
                  <c:v>1956668.4677220159</c:v>
                </c:pt>
                <c:pt idx="22">
                  <c:v>1918632.3095877871</c:v>
                </c:pt>
                <c:pt idx="23">
                  <c:v>1909994.1147172714</c:v>
                </c:pt>
              </c:numCache>
            </c:numRef>
          </c:val>
          <c:smooth val="0"/>
          <c:extLst>
            <c:ext xmlns:c16="http://schemas.microsoft.com/office/drawing/2014/chart" uri="{C3380CC4-5D6E-409C-BE32-E72D297353CC}">
              <c16:uniqueId val="{00000004-A31A-47BC-8E58-B8689B67C316}"/>
            </c:ext>
          </c:extLst>
        </c:ser>
        <c:ser>
          <c:idx val="7"/>
          <c:order val="5"/>
          <c:tx>
            <c:strRef>
              <c:f>Pupil_Projections_scenarios!$B$47</c:f>
              <c:strCache>
                <c:ptCount val="1"/>
                <c:pt idx="0">
                  <c:v>KS3 HIGH</c:v>
                </c:pt>
              </c:strCache>
            </c:strRef>
          </c:tx>
          <c:spPr>
            <a:ln>
              <a:solidFill>
                <a:srgbClr val="92D050"/>
              </a:solidFill>
              <a:prstDash val="dash"/>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Pupil_Projections_scenarios!$C$47:$Z$47</c:f>
              <c:numCache>
                <c:formatCode>_-* #,##0_-;\-* #,##0_-;_-* "-"??_-;_-@_-</c:formatCode>
                <c:ptCount val="24"/>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1684694.0976149417</c:v>
                </c:pt>
                <c:pt idx="13">
                  <c:v>1729604.2710067979</c:v>
                </c:pt>
                <c:pt idx="14">
                  <c:v>1778171.2770992236</c:v>
                </c:pt>
                <c:pt idx="15">
                  <c:v>1839439.0540544526</c:v>
                </c:pt>
                <c:pt idx="16">
                  <c:v>1883411.9798854964</c:v>
                </c:pt>
                <c:pt idx="17">
                  <c:v>1918161.5737690255</c:v>
                </c:pt>
                <c:pt idx="18">
                  <c:v>1944334.2022429933</c:v>
                </c:pt>
                <c:pt idx="19">
                  <c:v>1984321.3782253668</c:v>
                </c:pt>
                <c:pt idx="20">
                  <c:v>1990135.6120818914</c:v>
                </c:pt>
                <c:pt idx="21">
                  <c:v>1964427.3978935303</c:v>
                </c:pt>
                <c:pt idx="22">
                  <c:v>1930635.0101398407</c:v>
                </c:pt>
                <c:pt idx="23">
                  <c:v>1939587.2044791293</c:v>
                </c:pt>
              </c:numCache>
            </c:numRef>
          </c:val>
          <c:smooth val="0"/>
          <c:extLst>
            <c:ext xmlns:c16="http://schemas.microsoft.com/office/drawing/2014/chart" uri="{C3380CC4-5D6E-409C-BE32-E72D297353CC}">
              <c16:uniqueId val="{00000005-A31A-47BC-8E58-B8689B67C316}"/>
            </c:ext>
          </c:extLst>
        </c:ser>
        <c:ser>
          <c:idx val="10"/>
          <c:order val="6"/>
          <c:tx>
            <c:strRef>
              <c:f>Pupil_Projections_scenarios!$B$51</c:f>
              <c:strCache>
                <c:ptCount val="1"/>
                <c:pt idx="0">
                  <c:v>KS4 LOW</c:v>
                </c:pt>
              </c:strCache>
            </c:strRef>
          </c:tx>
          <c:spPr>
            <a:ln>
              <a:solidFill>
                <a:srgbClr val="002060"/>
              </a:solidFill>
              <a:prstDash val="sysDot"/>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Pupil_Projections_scenarios!$C$51:$Z$51</c:f>
              <c:numCache>
                <c:formatCode>_-* #,##0_-;\-* #,##0_-;_-* "-"??_-;_-@_-</c:formatCode>
                <c:ptCount val="24"/>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1040258.3702945485</c:v>
                </c:pt>
                <c:pt idx="13">
                  <c:v>1057681.2916650109</c:v>
                </c:pt>
                <c:pt idx="14">
                  <c:v>1096688.9526346519</c:v>
                </c:pt>
                <c:pt idx="15">
                  <c:v>1126286.6917977219</c:v>
                </c:pt>
                <c:pt idx="16">
                  <c:v>1151225.4512523098</c:v>
                </c:pt>
                <c:pt idx="17">
                  <c:v>1185850.5882003792</c:v>
                </c:pt>
                <c:pt idx="18">
                  <c:v>1231843.8786875182</c:v>
                </c:pt>
                <c:pt idx="19">
                  <c:v>1252778.9940264528</c:v>
                </c:pt>
                <c:pt idx="20">
                  <c:v>1261682.0120782063</c:v>
                </c:pt>
                <c:pt idx="21">
                  <c:v>1289170.4471787717</c:v>
                </c:pt>
                <c:pt idx="22">
                  <c:v>1314138.8230858098</c:v>
                </c:pt>
                <c:pt idx="23">
                  <c:v>1301649.3716012938</c:v>
                </c:pt>
              </c:numCache>
            </c:numRef>
          </c:val>
          <c:smooth val="0"/>
          <c:extLst>
            <c:ext xmlns:c16="http://schemas.microsoft.com/office/drawing/2014/chart" uri="{C3380CC4-5D6E-409C-BE32-E72D297353CC}">
              <c16:uniqueId val="{00000006-A31A-47BC-8E58-B8689B67C316}"/>
            </c:ext>
          </c:extLst>
        </c:ser>
        <c:ser>
          <c:idx val="11"/>
          <c:order val="7"/>
          <c:tx>
            <c:strRef>
              <c:f>Pupil_Projections_scenarios!$B$52</c:f>
              <c:strCache>
                <c:ptCount val="1"/>
                <c:pt idx="0">
                  <c:v>KS4 CENTRAL</c:v>
                </c:pt>
              </c:strCache>
            </c:strRef>
          </c:tx>
          <c:spPr>
            <a:ln>
              <a:solidFill>
                <a:srgbClr val="00206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Pupil_Projections_scenarios!$C$52:$Z$52</c:f>
              <c:numCache>
                <c:formatCode>_-* #,##0_-;\-* #,##0_-;_-* "-"??_-;_-@_-</c:formatCode>
                <c:ptCount val="24"/>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1040625.6043942383</c:v>
                </c:pt>
                <c:pt idx="13">
                  <c:v>1058358.5821559713</c:v>
                </c:pt>
                <c:pt idx="14">
                  <c:v>1097644.5657882683</c:v>
                </c:pt>
                <c:pt idx="15">
                  <c:v>1127512.3599218801</c:v>
                </c:pt>
                <c:pt idx="16">
                  <c:v>1152699.2067537962</c:v>
                </c:pt>
                <c:pt idx="17">
                  <c:v>1187590.8202413935</c:v>
                </c:pt>
                <c:pt idx="18">
                  <c:v>1233917.8070985656</c:v>
                </c:pt>
                <c:pt idx="19">
                  <c:v>1255218.8994874852</c:v>
                </c:pt>
                <c:pt idx="20">
                  <c:v>1264502.0497479856</c:v>
                </c:pt>
                <c:pt idx="21">
                  <c:v>1292760.7570925467</c:v>
                </c:pt>
                <c:pt idx="22">
                  <c:v>1318712.4272962825</c:v>
                </c:pt>
                <c:pt idx="23">
                  <c:v>1307078.5028154906</c:v>
                </c:pt>
              </c:numCache>
            </c:numRef>
          </c:val>
          <c:smooth val="0"/>
          <c:extLst>
            <c:ext xmlns:c16="http://schemas.microsoft.com/office/drawing/2014/chart" uri="{C3380CC4-5D6E-409C-BE32-E72D297353CC}">
              <c16:uniqueId val="{00000007-A31A-47BC-8E58-B8689B67C316}"/>
            </c:ext>
          </c:extLst>
        </c:ser>
        <c:ser>
          <c:idx val="12"/>
          <c:order val="8"/>
          <c:tx>
            <c:strRef>
              <c:f>Pupil_Projections_scenarios!$B$53</c:f>
              <c:strCache>
                <c:ptCount val="1"/>
                <c:pt idx="0">
                  <c:v>KS4 HIGH</c:v>
                </c:pt>
              </c:strCache>
            </c:strRef>
          </c:tx>
          <c:spPr>
            <a:ln>
              <a:solidFill>
                <a:srgbClr val="002060"/>
              </a:solidFill>
              <a:prstDash val="sysDash"/>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Pupil_Projections_scenarios!$C$53:$Z$53</c:f>
              <c:numCache>
                <c:formatCode>_-* #,##0_-;\-* #,##0_-;_-* "-"??_-;_-@_-</c:formatCode>
                <c:ptCount val="24"/>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1040991.230668921</c:v>
                </c:pt>
                <c:pt idx="13">
                  <c:v>1059027.9348431393</c:v>
                </c:pt>
                <c:pt idx="14">
                  <c:v>1098595.4831508426</c:v>
                </c:pt>
                <c:pt idx="15">
                  <c:v>1128725.9347578203</c:v>
                </c:pt>
                <c:pt idx="16">
                  <c:v>1154152.4145374876</c:v>
                </c:pt>
                <c:pt idx="17">
                  <c:v>1189310.4719968319</c:v>
                </c:pt>
                <c:pt idx="18">
                  <c:v>1235971.3985704568</c:v>
                </c:pt>
                <c:pt idx="19">
                  <c:v>1257630.5766059568</c:v>
                </c:pt>
                <c:pt idx="20">
                  <c:v>1267294.8686386226</c:v>
                </c:pt>
                <c:pt idx="21">
                  <c:v>1296308.3439918964</c:v>
                </c:pt>
                <c:pt idx="22">
                  <c:v>1323221.4384614143</c:v>
                </c:pt>
                <c:pt idx="23">
                  <c:v>1312445.2698794992</c:v>
                </c:pt>
              </c:numCache>
            </c:numRef>
          </c:val>
          <c:smooth val="0"/>
          <c:extLst>
            <c:ext xmlns:c16="http://schemas.microsoft.com/office/drawing/2014/chart" uri="{C3380CC4-5D6E-409C-BE32-E72D297353CC}">
              <c16:uniqueId val="{00000008-A31A-47BC-8E58-B8689B67C316}"/>
            </c:ext>
          </c:extLst>
        </c:ser>
        <c:ser>
          <c:idx val="15"/>
          <c:order val="9"/>
          <c:tx>
            <c:strRef>
              <c:f>Pupil_Projections_scenarios!$B$57</c:f>
              <c:strCache>
                <c:ptCount val="1"/>
                <c:pt idx="0">
                  <c:v>KS5 LOW</c:v>
                </c:pt>
              </c:strCache>
            </c:strRef>
          </c:tx>
          <c:spPr>
            <a:ln>
              <a:solidFill>
                <a:srgbClr val="FFC000"/>
              </a:solidFill>
              <a:prstDash val="sysDot"/>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Pupil_Projections_scenarios!$C$57:$Z$57</c:f>
              <c:numCache>
                <c:formatCode>_-* #,##0_-;\-* #,##0_-;_-* "-"??_-;_-@_-</c:formatCode>
                <c:ptCount val="24"/>
                <c:pt idx="0">
                  <c:v>355184.5</c:v>
                </c:pt>
                <c:pt idx="1">
                  <c:v>361355</c:v>
                </c:pt>
                <c:pt idx="2">
                  <c:v>370116</c:v>
                </c:pt>
                <c:pt idx="3">
                  <c:v>380453</c:v>
                </c:pt>
                <c:pt idx="4">
                  <c:v>394342</c:v>
                </c:pt>
                <c:pt idx="5">
                  <c:v>412859.5</c:v>
                </c:pt>
                <c:pt idx="6">
                  <c:v>423222</c:v>
                </c:pt>
                <c:pt idx="7">
                  <c:v>423232.5</c:v>
                </c:pt>
                <c:pt idx="8">
                  <c:v>428860</c:v>
                </c:pt>
                <c:pt idx="9">
                  <c:v>439034.5</c:v>
                </c:pt>
                <c:pt idx="10">
                  <c:v>442772</c:v>
                </c:pt>
                <c:pt idx="11">
                  <c:v>433788</c:v>
                </c:pt>
                <c:pt idx="12">
                  <c:v>427506.57554242498</c:v>
                </c:pt>
                <c:pt idx="13">
                  <c:v>418040.7088398693</c:v>
                </c:pt>
                <c:pt idx="14">
                  <c:v>408719.2861263958</c:v>
                </c:pt>
                <c:pt idx="15">
                  <c:v>404624.86167162831</c:v>
                </c:pt>
                <c:pt idx="16">
                  <c:v>406057.69469927071</c:v>
                </c:pt>
                <c:pt idx="17">
                  <c:v>412594.70099183789</c:v>
                </c:pt>
                <c:pt idx="18">
                  <c:v>424886.36510405509</c:v>
                </c:pt>
                <c:pt idx="19">
                  <c:v>437362.37389861711</c:v>
                </c:pt>
                <c:pt idx="20">
                  <c:v>450552.21668468311</c:v>
                </c:pt>
                <c:pt idx="21">
                  <c:v>459967.87195822911</c:v>
                </c:pt>
                <c:pt idx="22">
                  <c:v>467670.69891888578</c:v>
                </c:pt>
                <c:pt idx="23">
                  <c:v>475050.94268619857</c:v>
                </c:pt>
              </c:numCache>
            </c:numRef>
          </c:val>
          <c:smooth val="0"/>
          <c:extLst>
            <c:ext xmlns:c16="http://schemas.microsoft.com/office/drawing/2014/chart" uri="{C3380CC4-5D6E-409C-BE32-E72D297353CC}">
              <c16:uniqueId val="{00000009-A31A-47BC-8E58-B8689B67C316}"/>
            </c:ext>
          </c:extLst>
        </c:ser>
        <c:ser>
          <c:idx val="16"/>
          <c:order val="10"/>
          <c:tx>
            <c:strRef>
              <c:f>Pupil_Projections_scenarios!$B$58</c:f>
              <c:strCache>
                <c:ptCount val="1"/>
                <c:pt idx="0">
                  <c:v>KS5 CENTRAL</c:v>
                </c:pt>
              </c:strCache>
            </c:strRef>
          </c:tx>
          <c:spPr>
            <a:ln>
              <a:solidFill>
                <a:srgbClr val="FFC00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Pupil_Projections_scenarios!$C$58:$Z$58</c:f>
              <c:numCache>
                <c:formatCode>_-* #,##0_-;\-* #,##0_-;_-* "-"??_-;_-@_-</c:formatCode>
                <c:ptCount val="24"/>
                <c:pt idx="0">
                  <c:v>355184.5</c:v>
                </c:pt>
                <c:pt idx="1">
                  <c:v>361355</c:v>
                </c:pt>
                <c:pt idx="2">
                  <c:v>370116</c:v>
                </c:pt>
                <c:pt idx="3">
                  <c:v>380453</c:v>
                </c:pt>
                <c:pt idx="4">
                  <c:v>394342</c:v>
                </c:pt>
                <c:pt idx="5">
                  <c:v>412859.5</c:v>
                </c:pt>
                <c:pt idx="6">
                  <c:v>423222</c:v>
                </c:pt>
                <c:pt idx="7">
                  <c:v>423232.5</c:v>
                </c:pt>
                <c:pt idx="8">
                  <c:v>428860</c:v>
                </c:pt>
                <c:pt idx="9">
                  <c:v>439034.5</c:v>
                </c:pt>
                <c:pt idx="10">
                  <c:v>442772</c:v>
                </c:pt>
                <c:pt idx="11">
                  <c:v>433788</c:v>
                </c:pt>
                <c:pt idx="12">
                  <c:v>428545.20451393852</c:v>
                </c:pt>
                <c:pt idx="13">
                  <c:v>419361.78857838438</c:v>
                </c:pt>
                <c:pt idx="14">
                  <c:v>410245.50884306151</c:v>
                </c:pt>
                <c:pt idx="15">
                  <c:v>406321.98384626833</c:v>
                </c:pt>
                <c:pt idx="16">
                  <c:v>407908.7817738661</c:v>
                </c:pt>
                <c:pt idx="17">
                  <c:v>414599.54691593052</c:v>
                </c:pt>
                <c:pt idx="18">
                  <c:v>427051.82731021068</c:v>
                </c:pt>
                <c:pt idx="19">
                  <c:v>439692.43116813409</c:v>
                </c:pt>
                <c:pt idx="20">
                  <c:v>453063.3820700291</c:v>
                </c:pt>
                <c:pt idx="21">
                  <c:v>462667.53121151531</c:v>
                </c:pt>
                <c:pt idx="22">
                  <c:v>470577.77984100528</c:v>
                </c:pt>
                <c:pt idx="23">
                  <c:v>478187.03901394637</c:v>
                </c:pt>
              </c:numCache>
            </c:numRef>
          </c:val>
          <c:smooth val="0"/>
          <c:extLst>
            <c:ext xmlns:c16="http://schemas.microsoft.com/office/drawing/2014/chart" uri="{C3380CC4-5D6E-409C-BE32-E72D297353CC}">
              <c16:uniqueId val="{0000000A-A31A-47BC-8E58-B8689B67C316}"/>
            </c:ext>
          </c:extLst>
        </c:ser>
        <c:ser>
          <c:idx val="17"/>
          <c:order val="11"/>
          <c:tx>
            <c:strRef>
              <c:f>Pupil_Projections_scenarios!$B$59</c:f>
              <c:strCache>
                <c:ptCount val="1"/>
                <c:pt idx="0">
                  <c:v>KS5 HIGH</c:v>
                </c:pt>
              </c:strCache>
            </c:strRef>
          </c:tx>
          <c:spPr>
            <a:ln>
              <a:prstDash val="sysDash"/>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Pupil_Projections_scenarios!$C$59:$Z$59</c:f>
              <c:numCache>
                <c:formatCode>_-* #,##0_-;\-* #,##0_-;_-* "-"??_-;_-@_-</c:formatCode>
                <c:ptCount val="24"/>
                <c:pt idx="0">
                  <c:v>355184.5</c:v>
                </c:pt>
                <c:pt idx="1">
                  <c:v>361355</c:v>
                </c:pt>
                <c:pt idx="2">
                  <c:v>370116</c:v>
                </c:pt>
                <c:pt idx="3">
                  <c:v>380453</c:v>
                </c:pt>
                <c:pt idx="4">
                  <c:v>394342</c:v>
                </c:pt>
                <c:pt idx="5">
                  <c:v>412859.5</c:v>
                </c:pt>
                <c:pt idx="6">
                  <c:v>423222</c:v>
                </c:pt>
                <c:pt idx="7">
                  <c:v>423232.5</c:v>
                </c:pt>
                <c:pt idx="8">
                  <c:v>428860</c:v>
                </c:pt>
                <c:pt idx="9">
                  <c:v>439034.5</c:v>
                </c:pt>
                <c:pt idx="10">
                  <c:v>442772</c:v>
                </c:pt>
                <c:pt idx="11">
                  <c:v>433788</c:v>
                </c:pt>
                <c:pt idx="12">
                  <c:v>429585.80476680811</c:v>
                </c:pt>
                <c:pt idx="13">
                  <c:v>420682.98320257937</c:v>
                </c:pt>
                <c:pt idx="14">
                  <c:v>411772.9129877091</c:v>
                </c:pt>
                <c:pt idx="15">
                  <c:v>408021.94717836031</c:v>
                </c:pt>
                <c:pt idx="16">
                  <c:v>409761.66526543599</c:v>
                </c:pt>
                <c:pt idx="17">
                  <c:v>416603.37819283642</c:v>
                </c:pt>
                <c:pt idx="18">
                  <c:v>429213.66771248693</c:v>
                </c:pt>
                <c:pt idx="19">
                  <c:v>442018.47401236498</c:v>
                </c:pt>
                <c:pt idx="20">
                  <c:v>455567.87907074025</c:v>
                </c:pt>
                <c:pt idx="21">
                  <c:v>465360.2874827921</c:v>
                </c:pt>
                <c:pt idx="22">
                  <c:v>473481.62102393521</c:v>
                </c:pt>
                <c:pt idx="23">
                  <c:v>481317.612936171</c:v>
                </c:pt>
              </c:numCache>
            </c:numRef>
          </c:val>
          <c:smooth val="0"/>
          <c:extLst>
            <c:ext xmlns:c16="http://schemas.microsoft.com/office/drawing/2014/chart" uri="{C3380CC4-5D6E-409C-BE32-E72D297353CC}">
              <c16:uniqueId val="{0000000B-A31A-47BC-8E58-B8689B67C316}"/>
            </c:ext>
          </c:extLst>
        </c:ser>
        <c:ser>
          <c:idx val="3"/>
          <c:order val="12"/>
          <c:tx>
            <c:strRef>
              <c:f>Pupil_Projections_scenarios!$B$63</c:f>
              <c:strCache>
                <c:ptCount val="1"/>
                <c:pt idx="0">
                  <c:v>Secondary ALL LOW</c:v>
                </c:pt>
              </c:strCache>
            </c:strRef>
          </c:tx>
          <c:spPr>
            <a:ln>
              <a:solidFill>
                <a:srgbClr val="00B0F0"/>
              </a:solidFill>
              <a:prstDash val="sysDot"/>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Pupil_Projections_scenarios!$C$63:$Z$63</c:f>
              <c:numCache>
                <c:formatCode>_-* #,##0_-;\-* #,##0_-;_-* "-"??_-;_-@_-</c:formatCode>
                <c:ptCount val="24"/>
                <c:pt idx="0">
                  <c:v>3308483</c:v>
                </c:pt>
                <c:pt idx="1">
                  <c:v>3305157.563270269</c:v>
                </c:pt>
                <c:pt idx="2">
                  <c:v>3282404</c:v>
                </c:pt>
                <c:pt idx="3">
                  <c:v>3248902.5</c:v>
                </c:pt>
                <c:pt idx="4">
                  <c:v>3231650</c:v>
                </c:pt>
                <c:pt idx="5">
                  <c:v>3227785.5</c:v>
                </c:pt>
                <c:pt idx="6">
                  <c:v>3212254</c:v>
                </c:pt>
                <c:pt idx="7">
                  <c:v>3185686.5</c:v>
                </c:pt>
                <c:pt idx="8">
                  <c:v>3158780</c:v>
                </c:pt>
                <c:pt idx="9">
                  <c:v>3125924</c:v>
                </c:pt>
                <c:pt idx="10">
                  <c:v>3119799</c:v>
                </c:pt>
                <c:pt idx="11">
                  <c:v>3121988</c:v>
                </c:pt>
                <c:pt idx="12">
                  <c:v>3151593.5697081285</c:v>
                </c:pt>
                <c:pt idx="13">
                  <c:v>3203612.7823116472</c:v>
                </c:pt>
                <c:pt idx="14">
                  <c:v>3280992.7540750299</c:v>
                </c:pt>
                <c:pt idx="15">
                  <c:v>3366832.1167547721</c:v>
                </c:pt>
                <c:pt idx="16">
                  <c:v>3436113.8673861381</c:v>
                </c:pt>
                <c:pt idx="17">
                  <c:v>3510894.5555104767</c:v>
                </c:pt>
                <c:pt idx="18">
                  <c:v>3593417.5160413068</c:v>
                </c:pt>
                <c:pt idx="19">
                  <c:v>3664449.0921340911</c:v>
                </c:pt>
                <c:pt idx="20">
                  <c:v>3689477.3381029852</c:v>
                </c:pt>
                <c:pt idx="21">
                  <c:v>3697973.8581377496</c:v>
                </c:pt>
                <c:pt idx="22">
                  <c:v>3688224.0718057221</c:v>
                </c:pt>
                <c:pt idx="23">
                  <c:v>3654575.3376803962</c:v>
                </c:pt>
              </c:numCache>
            </c:numRef>
          </c:val>
          <c:smooth val="0"/>
          <c:extLst>
            <c:ext xmlns:c16="http://schemas.microsoft.com/office/drawing/2014/chart" uri="{C3380CC4-5D6E-409C-BE32-E72D297353CC}">
              <c16:uniqueId val="{0000000C-A31A-47BC-8E58-B8689B67C316}"/>
            </c:ext>
          </c:extLst>
        </c:ser>
        <c:ser>
          <c:idx val="4"/>
          <c:order val="13"/>
          <c:tx>
            <c:strRef>
              <c:f>Pupil_Projections_scenarios!$B$64</c:f>
              <c:strCache>
                <c:ptCount val="1"/>
                <c:pt idx="0">
                  <c:v>Secondary ALL CENTRAL</c:v>
                </c:pt>
              </c:strCache>
            </c:strRef>
          </c:tx>
          <c:spPr>
            <a:ln>
              <a:solidFill>
                <a:srgbClr val="00B0F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Pupil_Projections_scenarios!$C$64:$Z$64</c:f>
              <c:numCache>
                <c:formatCode>_-* #,##0_-;\-* #,##0_-;_-* "-"??_-;_-@_-</c:formatCode>
                <c:ptCount val="24"/>
                <c:pt idx="0">
                  <c:v>3308483</c:v>
                </c:pt>
                <c:pt idx="1">
                  <c:v>3305157.563270269</c:v>
                </c:pt>
                <c:pt idx="2">
                  <c:v>3282404</c:v>
                </c:pt>
                <c:pt idx="3">
                  <c:v>3248902.5</c:v>
                </c:pt>
                <c:pt idx="4">
                  <c:v>3231650</c:v>
                </c:pt>
                <c:pt idx="5">
                  <c:v>3227785.5</c:v>
                </c:pt>
                <c:pt idx="6">
                  <c:v>3212254</c:v>
                </c:pt>
                <c:pt idx="7">
                  <c:v>3185686.5</c:v>
                </c:pt>
                <c:pt idx="8">
                  <c:v>3158780</c:v>
                </c:pt>
                <c:pt idx="9">
                  <c:v>3125924</c:v>
                </c:pt>
                <c:pt idx="10">
                  <c:v>3119799</c:v>
                </c:pt>
                <c:pt idx="11">
                  <c:v>3121988</c:v>
                </c:pt>
                <c:pt idx="12">
                  <c:v>3153434.5188964177</c:v>
                </c:pt>
                <c:pt idx="13">
                  <c:v>3206473.5103805256</c:v>
                </c:pt>
                <c:pt idx="14">
                  <c:v>3284777.7855463745</c:v>
                </c:pt>
                <c:pt idx="15">
                  <c:v>3371521.969667735</c:v>
                </c:pt>
                <c:pt idx="16">
                  <c:v>3441735.9770776005</c:v>
                </c:pt>
                <c:pt idx="17">
                  <c:v>3517503.4884628272</c:v>
                </c:pt>
                <c:pt idx="18">
                  <c:v>3601496.689145844</c:v>
                </c:pt>
                <c:pt idx="19">
                  <c:v>3674251.4793677852</c:v>
                </c:pt>
                <c:pt idx="20">
                  <c:v>3701291.536776138</c:v>
                </c:pt>
                <c:pt idx="21">
                  <c:v>3712096.756026078</c:v>
                </c:pt>
                <c:pt idx="22">
                  <c:v>3707922.516725075</c:v>
                </c:pt>
                <c:pt idx="23">
                  <c:v>3695259.6565467082</c:v>
                </c:pt>
              </c:numCache>
            </c:numRef>
          </c:val>
          <c:smooth val="0"/>
          <c:extLst>
            <c:ext xmlns:c16="http://schemas.microsoft.com/office/drawing/2014/chart" uri="{C3380CC4-5D6E-409C-BE32-E72D297353CC}">
              <c16:uniqueId val="{0000000D-A31A-47BC-8E58-B8689B67C316}"/>
            </c:ext>
          </c:extLst>
        </c:ser>
        <c:ser>
          <c:idx val="8"/>
          <c:order val="14"/>
          <c:tx>
            <c:strRef>
              <c:f>Pupil_Projections_scenarios!$B$65</c:f>
              <c:strCache>
                <c:ptCount val="1"/>
                <c:pt idx="0">
                  <c:v>Secondary ALL HIGH</c:v>
                </c:pt>
              </c:strCache>
            </c:strRef>
          </c:tx>
          <c:spPr>
            <a:ln>
              <a:solidFill>
                <a:srgbClr val="00B0F0"/>
              </a:solidFill>
              <a:prstDash val="sysDash"/>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Pupil_Projections_scenarios!$C$65:$Z$65</c:f>
              <c:numCache>
                <c:formatCode>_-* #,##0_-;\-* #,##0_-;_-* "-"??_-;_-@_-</c:formatCode>
                <c:ptCount val="24"/>
                <c:pt idx="0">
                  <c:v>3308483</c:v>
                </c:pt>
                <c:pt idx="1">
                  <c:v>3305157.563270269</c:v>
                </c:pt>
                <c:pt idx="2">
                  <c:v>3282404</c:v>
                </c:pt>
                <c:pt idx="3">
                  <c:v>3248902.5</c:v>
                </c:pt>
                <c:pt idx="4">
                  <c:v>3231650</c:v>
                </c:pt>
                <c:pt idx="5">
                  <c:v>3227785.5</c:v>
                </c:pt>
                <c:pt idx="6">
                  <c:v>3212254</c:v>
                </c:pt>
                <c:pt idx="7">
                  <c:v>3185686.5</c:v>
                </c:pt>
                <c:pt idx="8">
                  <c:v>3158780</c:v>
                </c:pt>
                <c:pt idx="9">
                  <c:v>3125924</c:v>
                </c:pt>
                <c:pt idx="10">
                  <c:v>3119799</c:v>
                </c:pt>
                <c:pt idx="11">
                  <c:v>3121988</c:v>
                </c:pt>
                <c:pt idx="12">
                  <c:v>3155271.1330506708</c:v>
                </c:pt>
                <c:pt idx="13">
                  <c:v>3209315.1890525166</c:v>
                </c:pt>
                <c:pt idx="14">
                  <c:v>3288539.6732377755</c:v>
                </c:pt>
                <c:pt idx="15">
                  <c:v>3376186.9359906334</c:v>
                </c:pt>
                <c:pt idx="16">
                  <c:v>3447326.0596884196</c:v>
                </c:pt>
                <c:pt idx="17">
                  <c:v>3524075.4239586936</c:v>
                </c:pt>
                <c:pt idx="18">
                  <c:v>3609519.2685259371</c:v>
                </c:pt>
                <c:pt idx="19">
                  <c:v>3683970.4288436887</c:v>
                </c:pt>
                <c:pt idx="20">
                  <c:v>3712998.3597912542</c:v>
                </c:pt>
                <c:pt idx="21">
                  <c:v>3726096.0293682185</c:v>
                </c:pt>
                <c:pt idx="22">
                  <c:v>3727338.0696251905</c:v>
                </c:pt>
                <c:pt idx="23">
                  <c:v>3733350.0872947993</c:v>
                </c:pt>
              </c:numCache>
            </c:numRef>
          </c:val>
          <c:smooth val="0"/>
          <c:extLst>
            <c:ext xmlns:c16="http://schemas.microsoft.com/office/drawing/2014/chart" uri="{C3380CC4-5D6E-409C-BE32-E72D297353CC}">
              <c16:uniqueId val="{0000000E-A31A-47BC-8E58-B8689B67C316}"/>
            </c:ext>
          </c:extLst>
        </c:ser>
        <c:dLbls>
          <c:showLegendKey val="0"/>
          <c:showVal val="0"/>
          <c:showCatName val="0"/>
          <c:showSerName val="0"/>
          <c:showPercent val="0"/>
          <c:showBubbleSize val="0"/>
        </c:dLbls>
        <c:smooth val="0"/>
        <c:axId val="148612608"/>
        <c:axId val="148614144"/>
      </c:lineChart>
      <c:catAx>
        <c:axId val="14861260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48614144"/>
        <c:crosses val="autoZero"/>
        <c:auto val="1"/>
        <c:lblAlgn val="ctr"/>
        <c:lblOffset val="100"/>
        <c:noMultiLvlLbl val="0"/>
      </c:catAx>
      <c:valAx>
        <c:axId val="148614144"/>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9.0530749524572896E-3"/>
              <c:y val="0.3736052543195133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612608"/>
        <c:crosses val="autoZero"/>
        <c:crossBetween val="between"/>
      </c:valAx>
      <c:spPr>
        <a:ln>
          <a:solidFill>
            <a:srgbClr val="002060"/>
          </a:solidFill>
        </a:ln>
      </c:spPr>
    </c:plotArea>
    <c:legend>
      <c:legendPos val="r"/>
      <c:layout>
        <c:manualLayout>
          <c:xMode val="edge"/>
          <c:yMode val="edge"/>
          <c:x val="0.83233574845060532"/>
          <c:y val="6.3981291438096305E-2"/>
          <c:w val="0.15718568113117592"/>
          <c:h val="0.8388645495142490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Historical and projected pupil numbers by Key Stage &amp; Phase</a:t>
            </a:r>
          </a:p>
        </c:rich>
      </c:tx>
      <c:layout>
        <c:manualLayout>
          <c:xMode val="edge"/>
          <c:yMode val="edge"/>
          <c:x val="0.11465068700673843"/>
          <c:y val="1.8111208321182074E-2"/>
        </c:manualLayout>
      </c:layout>
      <c:overlay val="0"/>
    </c:title>
    <c:autoTitleDeleted val="0"/>
    <c:plotArea>
      <c:layout>
        <c:manualLayout>
          <c:layoutTarget val="inner"/>
          <c:xMode val="edge"/>
          <c:yMode val="edge"/>
          <c:x val="0.11631919796433213"/>
          <c:y val="0.10907210776399626"/>
          <c:w val="0.68848965478360546"/>
          <c:h val="0.79313023103871672"/>
        </c:manualLayout>
      </c:layout>
      <c:lineChart>
        <c:grouping val="standard"/>
        <c:varyColors val="0"/>
        <c:ser>
          <c:idx val="0"/>
          <c:order val="0"/>
          <c:tx>
            <c:strRef>
              <c:f>Pupil_Projections_scenarios!$B$72</c:f>
              <c:strCache>
                <c:ptCount val="1"/>
                <c:pt idx="0">
                  <c:v>Primary historical</c:v>
                </c:pt>
              </c:strCache>
            </c:strRef>
          </c:tx>
          <c:spPr>
            <a:ln>
              <a:solidFill>
                <a:srgbClr val="FF0000"/>
              </a:solidFill>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Pupil_Projections_scenarios!$C$72:$Z$72</c:f>
              <c:numCache>
                <c:formatCode>_-* #,##0_-;\-* #,##0_-;_-* "-"??_-;_-@_-</c:formatCode>
                <c:ptCount val="24"/>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numCache>
            </c:numRef>
          </c:val>
          <c:smooth val="0"/>
          <c:extLst>
            <c:ext xmlns:c16="http://schemas.microsoft.com/office/drawing/2014/chart" uri="{C3380CC4-5D6E-409C-BE32-E72D297353CC}">
              <c16:uniqueId val="{00000000-CE6C-4467-88B2-BB5B340406A2}"/>
            </c:ext>
          </c:extLst>
        </c:ser>
        <c:ser>
          <c:idx val="1"/>
          <c:order val="1"/>
          <c:tx>
            <c:strRef>
              <c:f>Pupil_Projections_scenarios!$B$73</c:f>
              <c:strCache>
                <c:ptCount val="1"/>
                <c:pt idx="0">
                  <c:v>Primary projected</c:v>
                </c:pt>
              </c:strCache>
            </c:strRef>
          </c:tx>
          <c:spPr>
            <a:ln>
              <a:solidFill>
                <a:srgbClr val="FF0000"/>
              </a:solidFill>
              <a:prstDash val="sysDot"/>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Pupil_Projections_scenarios!$C$73:$Z$73</c:f>
              <c:numCache>
                <c:formatCode>_-* #,##0_-;\-* #,##0_-;_-* "-"??_-;_-@_-</c:formatCode>
                <c:ptCount val="24"/>
                <c:pt idx="11">
                  <c:v>4574041.5</c:v>
                </c:pt>
                <c:pt idx="12">
                  <c:v>4669403.6051013358</c:v>
                </c:pt>
                <c:pt idx="13">
                  <c:v>4728615.0056829667</c:v>
                </c:pt>
                <c:pt idx="14">
                  <c:v>4754148.1072515734</c:v>
                </c:pt>
                <c:pt idx="15">
                  <c:v>4754929.3367273957</c:v>
                </c:pt>
                <c:pt idx="16">
                  <c:v>4765188.6443500407</c:v>
                </c:pt>
                <c:pt idx="17">
                  <c:v>4768353.1674103234</c:v>
                </c:pt>
                <c:pt idx="18">
                  <c:v>4760117.7392643597</c:v>
                </c:pt>
                <c:pt idx="19">
                  <c:v>4744856.0009206505</c:v>
                </c:pt>
                <c:pt idx="20">
                  <c:v>4754081.3268117374</c:v>
                </c:pt>
                <c:pt idx="21">
                  <c:v>4780859.047119638</c:v>
                </c:pt>
                <c:pt idx="22">
                  <c:v>4809841.7847702289</c:v>
                </c:pt>
                <c:pt idx="23">
                  <c:v>4831636.05383253</c:v>
                </c:pt>
              </c:numCache>
            </c:numRef>
          </c:val>
          <c:smooth val="0"/>
          <c:extLst>
            <c:ext xmlns:c16="http://schemas.microsoft.com/office/drawing/2014/chart" uri="{C3380CC4-5D6E-409C-BE32-E72D297353CC}">
              <c16:uniqueId val="{00000001-CE6C-4467-88B2-BB5B340406A2}"/>
            </c:ext>
          </c:extLst>
        </c:ser>
        <c:ser>
          <c:idx val="2"/>
          <c:order val="2"/>
          <c:tx>
            <c:strRef>
              <c:f>Pupil_Projections_scenarios!$B$74</c:f>
              <c:strCache>
                <c:ptCount val="1"/>
                <c:pt idx="0">
                  <c:v>Secondary (all) historical</c:v>
                </c:pt>
              </c:strCache>
            </c:strRef>
          </c:tx>
          <c:spPr>
            <a:ln>
              <a:solidFill>
                <a:srgbClr val="00B0F0"/>
              </a:solidFill>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Pupil_Projections_scenarios!$C$74:$Z$74</c:f>
              <c:numCache>
                <c:formatCode>_-* #,##0_-;\-* #,##0_-;_-* "-"??_-;_-@_-</c:formatCode>
                <c:ptCount val="24"/>
                <c:pt idx="0">
                  <c:v>3308483</c:v>
                </c:pt>
                <c:pt idx="1">
                  <c:v>3305157.563270269</c:v>
                </c:pt>
                <c:pt idx="2">
                  <c:v>3282404</c:v>
                </c:pt>
                <c:pt idx="3">
                  <c:v>3248902.5</c:v>
                </c:pt>
                <c:pt idx="4">
                  <c:v>3231650</c:v>
                </c:pt>
                <c:pt idx="5">
                  <c:v>3227785.5</c:v>
                </c:pt>
                <c:pt idx="6">
                  <c:v>3212254</c:v>
                </c:pt>
                <c:pt idx="7">
                  <c:v>3185686.5</c:v>
                </c:pt>
                <c:pt idx="8">
                  <c:v>3158780</c:v>
                </c:pt>
                <c:pt idx="9">
                  <c:v>3125924</c:v>
                </c:pt>
                <c:pt idx="10">
                  <c:v>3119799</c:v>
                </c:pt>
                <c:pt idx="11">
                  <c:v>3121988</c:v>
                </c:pt>
              </c:numCache>
            </c:numRef>
          </c:val>
          <c:smooth val="0"/>
          <c:extLst>
            <c:ext xmlns:c16="http://schemas.microsoft.com/office/drawing/2014/chart" uri="{C3380CC4-5D6E-409C-BE32-E72D297353CC}">
              <c16:uniqueId val="{00000002-CE6C-4467-88B2-BB5B340406A2}"/>
            </c:ext>
          </c:extLst>
        </c:ser>
        <c:ser>
          <c:idx val="3"/>
          <c:order val="3"/>
          <c:tx>
            <c:strRef>
              <c:f>Pupil_Projections_scenarios!$B$75</c:f>
              <c:strCache>
                <c:ptCount val="1"/>
                <c:pt idx="0">
                  <c:v>Secondary (all) projected</c:v>
                </c:pt>
              </c:strCache>
            </c:strRef>
          </c:tx>
          <c:spPr>
            <a:ln>
              <a:solidFill>
                <a:srgbClr val="00B0F0"/>
              </a:solidFill>
              <a:prstDash val="sysDot"/>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Pupil_Projections_scenarios!$C$75:$Z$75</c:f>
              <c:numCache>
                <c:formatCode>_-* #,##0_-;\-* #,##0_-;_-* "-"??_-;_-@_-</c:formatCode>
                <c:ptCount val="24"/>
                <c:pt idx="11">
                  <c:v>3121988</c:v>
                </c:pt>
                <c:pt idx="12">
                  <c:v>3153434.5188964177</c:v>
                </c:pt>
                <c:pt idx="13">
                  <c:v>3206473.5103805256</c:v>
                </c:pt>
                <c:pt idx="14">
                  <c:v>3284777.7855463745</c:v>
                </c:pt>
                <c:pt idx="15">
                  <c:v>3371521.969667735</c:v>
                </c:pt>
                <c:pt idx="16">
                  <c:v>3441735.9770776005</c:v>
                </c:pt>
                <c:pt idx="17">
                  <c:v>3517503.4884628272</c:v>
                </c:pt>
                <c:pt idx="18">
                  <c:v>3601496.689145844</c:v>
                </c:pt>
                <c:pt idx="19">
                  <c:v>3674251.4793677852</c:v>
                </c:pt>
                <c:pt idx="20">
                  <c:v>3701291.536776138</c:v>
                </c:pt>
                <c:pt idx="21">
                  <c:v>3712096.756026078</c:v>
                </c:pt>
                <c:pt idx="22">
                  <c:v>3707922.516725075</c:v>
                </c:pt>
                <c:pt idx="23">
                  <c:v>3695259.6565467082</c:v>
                </c:pt>
              </c:numCache>
            </c:numRef>
          </c:val>
          <c:smooth val="0"/>
          <c:extLst>
            <c:ext xmlns:c16="http://schemas.microsoft.com/office/drawing/2014/chart" uri="{C3380CC4-5D6E-409C-BE32-E72D297353CC}">
              <c16:uniqueId val="{00000003-CE6C-4467-88B2-BB5B340406A2}"/>
            </c:ext>
          </c:extLst>
        </c:ser>
        <c:ser>
          <c:idx val="4"/>
          <c:order val="4"/>
          <c:tx>
            <c:strRef>
              <c:f>Pupil_Projections_scenarios!$B$76</c:f>
              <c:strCache>
                <c:ptCount val="1"/>
                <c:pt idx="0">
                  <c:v>Key stage 3 historical</c:v>
                </c:pt>
              </c:strCache>
            </c:strRef>
          </c:tx>
          <c:spPr>
            <a:ln>
              <a:solidFill>
                <a:srgbClr val="00B050"/>
              </a:solidFill>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Pupil_Projections_scenarios!$C$76:$Z$76</c:f>
              <c:numCache>
                <c:formatCode>_-* #,##0_-;\-* #,##0_-;_-* "-"??_-;_-@_-</c:formatCode>
                <c:ptCount val="24"/>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numCache>
            </c:numRef>
          </c:val>
          <c:smooth val="0"/>
          <c:extLst>
            <c:ext xmlns:c16="http://schemas.microsoft.com/office/drawing/2014/chart" uri="{C3380CC4-5D6E-409C-BE32-E72D297353CC}">
              <c16:uniqueId val="{00000004-CE6C-4467-88B2-BB5B340406A2}"/>
            </c:ext>
          </c:extLst>
        </c:ser>
        <c:ser>
          <c:idx val="5"/>
          <c:order val="5"/>
          <c:tx>
            <c:strRef>
              <c:f>Pupil_Projections_scenarios!$B$77</c:f>
              <c:strCache>
                <c:ptCount val="1"/>
                <c:pt idx="0">
                  <c:v>Key stage 3 projected</c:v>
                </c:pt>
              </c:strCache>
            </c:strRef>
          </c:tx>
          <c:spPr>
            <a:ln>
              <a:solidFill>
                <a:srgbClr val="00B050"/>
              </a:solidFill>
              <a:prstDash val="sysDot"/>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Pupil_Projections_scenarios!$C$77:$Z$77</c:f>
              <c:numCache>
                <c:formatCode>General</c:formatCode>
                <c:ptCount val="24"/>
                <c:pt idx="11" formatCode="_-* #,##0_-;\-* #,##0_-;_-* &quot;-&quot;??_-;_-@_-">
                  <c:v>1630717</c:v>
                </c:pt>
                <c:pt idx="12" formatCode="_-* #,##0_-;\-* #,##0_-;_-* &quot;-&quot;??_-;_-@_-">
                  <c:v>1684263.7099882406</c:v>
                </c:pt>
                <c:pt idx="13" formatCode="_-* #,##0_-;\-* #,##0_-;_-* &quot;-&quot;??_-;_-@_-">
                  <c:v>1728753.1396461697</c:v>
                </c:pt>
                <c:pt idx="14" formatCode="_-* #,##0_-;\-* #,##0_-;_-* &quot;-&quot;??_-;_-@_-">
                  <c:v>1776887.7109150444</c:v>
                </c:pt>
                <c:pt idx="15" formatCode="_-* #,##0_-;\-* #,##0_-;_-* &quot;-&quot;??_-;_-@_-">
                  <c:v>1837687.6258995868</c:v>
                </c:pt>
                <c:pt idx="16" formatCode="_-* #,##0_-;\-* #,##0_-;_-* &quot;-&quot;??_-;_-@_-">
                  <c:v>1881127.9885499382</c:v>
                </c:pt>
                <c:pt idx="17" formatCode="_-* #,##0_-;\-* #,##0_-;_-* &quot;-&quot;??_-;_-@_-">
                  <c:v>1915313.121305503</c:v>
                </c:pt>
                <c:pt idx="18" formatCode="_-* #,##0_-;\-* #,##0_-;_-* &quot;-&quot;??_-;_-@_-">
                  <c:v>1940527.0547370678</c:v>
                </c:pt>
                <c:pt idx="19" formatCode="_-* #,##0_-;\-* #,##0_-;_-* &quot;-&quot;??_-;_-@_-">
                  <c:v>1979340.1487121659</c:v>
                </c:pt>
                <c:pt idx="20" formatCode="_-* #,##0_-;\-* #,##0_-;_-* &quot;-&quot;??_-;_-@_-">
                  <c:v>1983726.1049581233</c:v>
                </c:pt>
                <c:pt idx="21" formatCode="_-* #,##0_-;\-* #,##0_-;_-* &quot;-&quot;??_-;_-@_-">
                  <c:v>1956668.4677220159</c:v>
                </c:pt>
                <c:pt idx="22" formatCode="_-* #,##0_-;\-* #,##0_-;_-* &quot;-&quot;??_-;_-@_-">
                  <c:v>1918632.3095877871</c:v>
                </c:pt>
                <c:pt idx="23" formatCode="_-* #,##0_-;\-* #,##0_-;_-* &quot;-&quot;??_-;_-@_-">
                  <c:v>1909994.1147172714</c:v>
                </c:pt>
              </c:numCache>
            </c:numRef>
          </c:val>
          <c:smooth val="0"/>
          <c:extLst>
            <c:ext xmlns:c16="http://schemas.microsoft.com/office/drawing/2014/chart" uri="{C3380CC4-5D6E-409C-BE32-E72D297353CC}">
              <c16:uniqueId val="{00000005-CE6C-4467-88B2-BB5B340406A2}"/>
            </c:ext>
          </c:extLst>
        </c:ser>
        <c:ser>
          <c:idx val="6"/>
          <c:order val="6"/>
          <c:tx>
            <c:strRef>
              <c:f>Pupil_Projections_scenarios!$B$78</c:f>
              <c:strCache>
                <c:ptCount val="1"/>
                <c:pt idx="0">
                  <c:v>Key stage 4 historical</c:v>
                </c:pt>
              </c:strCache>
            </c:strRef>
          </c:tx>
          <c:spPr>
            <a:ln>
              <a:solidFill>
                <a:srgbClr val="002060"/>
              </a:solidFill>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Pupil_Projections_scenarios!$C$78:$Z$78</c:f>
              <c:numCache>
                <c:formatCode>_-* #,##0_-;\-* #,##0_-;_-* "-"??_-;_-@_-</c:formatCode>
                <c:ptCount val="24"/>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numCache>
            </c:numRef>
          </c:val>
          <c:smooth val="0"/>
          <c:extLst>
            <c:ext xmlns:c16="http://schemas.microsoft.com/office/drawing/2014/chart" uri="{C3380CC4-5D6E-409C-BE32-E72D297353CC}">
              <c16:uniqueId val="{00000006-CE6C-4467-88B2-BB5B340406A2}"/>
            </c:ext>
          </c:extLst>
        </c:ser>
        <c:ser>
          <c:idx val="7"/>
          <c:order val="7"/>
          <c:tx>
            <c:strRef>
              <c:f>Pupil_Projections_scenarios!$B$79</c:f>
              <c:strCache>
                <c:ptCount val="1"/>
                <c:pt idx="0">
                  <c:v>Key stage 4 projected</c:v>
                </c:pt>
              </c:strCache>
            </c:strRef>
          </c:tx>
          <c:spPr>
            <a:ln>
              <a:solidFill>
                <a:srgbClr val="002060"/>
              </a:solidFill>
              <a:prstDash val="sysDot"/>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Pupil_Projections_scenarios!$C$79:$Z$79</c:f>
              <c:numCache>
                <c:formatCode>General</c:formatCode>
                <c:ptCount val="24"/>
                <c:pt idx="11" formatCode="_-* #,##0_-;\-* #,##0_-;_-* &quot;-&quot;??_-;_-@_-">
                  <c:v>1057483</c:v>
                </c:pt>
                <c:pt idx="12" formatCode="_-* #,##0_-;\-* #,##0_-;_-* &quot;-&quot;??_-;_-@_-">
                  <c:v>1040625.6043942383</c:v>
                </c:pt>
                <c:pt idx="13" formatCode="_-* #,##0_-;\-* #,##0_-;_-* &quot;-&quot;??_-;_-@_-">
                  <c:v>1058358.5821559713</c:v>
                </c:pt>
                <c:pt idx="14" formatCode="_-* #,##0_-;\-* #,##0_-;_-* &quot;-&quot;??_-;_-@_-">
                  <c:v>1097644.5657882683</c:v>
                </c:pt>
                <c:pt idx="15" formatCode="_-* #,##0_-;\-* #,##0_-;_-* &quot;-&quot;??_-;_-@_-">
                  <c:v>1127512.3599218801</c:v>
                </c:pt>
                <c:pt idx="16" formatCode="_-* #,##0_-;\-* #,##0_-;_-* &quot;-&quot;??_-;_-@_-">
                  <c:v>1152699.2067537962</c:v>
                </c:pt>
                <c:pt idx="17" formatCode="_-* #,##0_-;\-* #,##0_-;_-* &quot;-&quot;??_-;_-@_-">
                  <c:v>1187590.8202413935</c:v>
                </c:pt>
                <c:pt idx="18" formatCode="_-* #,##0_-;\-* #,##0_-;_-* &quot;-&quot;??_-;_-@_-">
                  <c:v>1233917.8070985656</c:v>
                </c:pt>
                <c:pt idx="19" formatCode="_-* #,##0_-;\-* #,##0_-;_-* &quot;-&quot;??_-;_-@_-">
                  <c:v>1255218.8994874852</c:v>
                </c:pt>
                <c:pt idx="20" formatCode="_-* #,##0_-;\-* #,##0_-;_-* &quot;-&quot;??_-;_-@_-">
                  <c:v>1264502.0497479856</c:v>
                </c:pt>
                <c:pt idx="21" formatCode="_-* #,##0_-;\-* #,##0_-;_-* &quot;-&quot;??_-;_-@_-">
                  <c:v>1292760.7570925467</c:v>
                </c:pt>
                <c:pt idx="22" formatCode="_-* #,##0_-;\-* #,##0_-;_-* &quot;-&quot;??_-;_-@_-">
                  <c:v>1318712.4272962825</c:v>
                </c:pt>
                <c:pt idx="23" formatCode="_-* #,##0_-;\-* #,##0_-;_-* &quot;-&quot;??_-;_-@_-">
                  <c:v>1307078.5028154906</c:v>
                </c:pt>
              </c:numCache>
            </c:numRef>
          </c:val>
          <c:smooth val="0"/>
          <c:extLst>
            <c:ext xmlns:c16="http://schemas.microsoft.com/office/drawing/2014/chart" uri="{C3380CC4-5D6E-409C-BE32-E72D297353CC}">
              <c16:uniqueId val="{00000007-CE6C-4467-88B2-BB5B340406A2}"/>
            </c:ext>
          </c:extLst>
        </c:ser>
        <c:ser>
          <c:idx val="8"/>
          <c:order val="8"/>
          <c:tx>
            <c:strRef>
              <c:f>Pupil_Projections_scenarios!$B$80</c:f>
              <c:strCache>
                <c:ptCount val="1"/>
                <c:pt idx="0">
                  <c:v>Key stage 5 historical</c:v>
                </c:pt>
              </c:strCache>
            </c:strRef>
          </c:tx>
          <c:spPr>
            <a:ln>
              <a:solidFill>
                <a:srgbClr val="FFC000"/>
              </a:solidFill>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Pupil_Projections_scenarios!$C$80:$Z$80</c:f>
              <c:numCache>
                <c:formatCode>_-* #,##0_-;\-* #,##0_-;_-* "-"??_-;_-@_-</c:formatCode>
                <c:ptCount val="24"/>
                <c:pt idx="0">
                  <c:v>355184.5</c:v>
                </c:pt>
                <c:pt idx="1">
                  <c:v>361355</c:v>
                </c:pt>
                <c:pt idx="2">
                  <c:v>370116</c:v>
                </c:pt>
                <c:pt idx="3">
                  <c:v>380453</c:v>
                </c:pt>
                <c:pt idx="4">
                  <c:v>394342</c:v>
                </c:pt>
                <c:pt idx="5">
                  <c:v>412859.5</c:v>
                </c:pt>
                <c:pt idx="6">
                  <c:v>423222</c:v>
                </c:pt>
                <c:pt idx="7">
                  <c:v>423232.5</c:v>
                </c:pt>
                <c:pt idx="8">
                  <c:v>428860</c:v>
                </c:pt>
                <c:pt idx="9">
                  <c:v>439034.5</c:v>
                </c:pt>
                <c:pt idx="10">
                  <c:v>442772</c:v>
                </c:pt>
                <c:pt idx="11">
                  <c:v>433788</c:v>
                </c:pt>
              </c:numCache>
            </c:numRef>
          </c:val>
          <c:smooth val="0"/>
          <c:extLst>
            <c:ext xmlns:c16="http://schemas.microsoft.com/office/drawing/2014/chart" uri="{C3380CC4-5D6E-409C-BE32-E72D297353CC}">
              <c16:uniqueId val="{00000008-CE6C-4467-88B2-BB5B340406A2}"/>
            </c:ext>
          </c:extLst>
        </c:ser>
        <c:ser>
          <c:idx val="9"/>
          <c:order val="9"/>
          <c:tx>
            <c:strRef>
              <c:f>Pupil_Projections_scenarios!$B$81</c:f>
              <c:strCache>
                <c:ptCount val="1"/>
                <c:pt idx="0">
                  <c:v>Key stage 5 projected</c:v>
                </c:pt>
              </c:strCache>
            </c:strRef>
          </c:tx>
          <c:spPr>
            <a:ln>
              <a:solidFill>
                <a:srgbClr val="FFC000"/>
              </a:solidFill>
              <a:prstDash val="sysDot"/>
            </a:ln>
          </c:spPr>
          <c:marker>
            <c:symbol val="none"/>
          </c:marker>
          <c:cat>
            <c:strRef>
              <c:f>Pupil_Projections_scenarios!$C$71:$Z$71</c:f>
              <c:strCache>
                <c:ptCount val="24"/>
                <c:pt idx="0">
                  <c:v> 2004/05 </c:v>
                </c:pt>
                <c:pt idx="1">
                  <c:v> 2005/06 </c:v>
                </c:pt>
                <c:pt idx="2">
                  <c:v> 2006/07 </c:v>
                </c:pt>
                <c:pt idx="3">
                  <c:v> 2007/08 </c:v>
                </c:pt>
                <c:pt idx="4">
                  <c:v> 2008/09 </c:v>
                </c:pt>
                <c:pt idx="5">
                  <c:v> 2009/10 </c:v>
                </c:pt>
                <c:pt idx="6">
                  <c:v> 2010/11 </c:v>
                </c:pt>
                <c:pt idx="7">
                  <c:v> 2011/12 </c:v>
                </c:pt>
                <c:pt idx="8">
                  <c:v> 2012/13 </c:v>
                </c:pt>
                <c:pt idx="9">
                  <c:v> 2013/14 </c:v>
                </c:pt>
                <c:pt idx="10">
                  <c:v> 2014/15 </c:v>
                </c:pt>
                <c:pt idx="11">
                  <c:v> 2015/16 </c:v>
                </c:pt>
                <c:pt idx="12">
                  <c:v> 2016/17 </c:v>
                </c:pt>
                <c:pt idx="13">
                  <c:v> 2017/18 </c:v>
                </c:pt>
                <c:pt idx="14">
                  <c:v> 2018/19 </c:v>
                </c:pt>
                <c:pt idx="15">
                  <c:v> 2019/20 </c:v>
                </c:pt>
                <c:pt idx="16">
                  <c:v> 2020/21 </c:v>
                </c:pt>
                <c:pt idx="17">
                  <c:v> 2021/22 </c:v>
                </c:pt>
                <c:pt idx="18">
                  <c:v> 2022/23 </c:v>
                </c:pt>
                <c:pt idx="19">
                  <c:v> 2023/24 </c:v>
                </c:pt>
                <c:pt idx="20">
                  <c:v> 2024/25 </c:v>
                </c:pt>
                <c:pt idx="21">
                  <c:v> 2025/26 </c:v>
                </c:pt>
                <c:pt idx="22">
                  <c:v> 2026/27 </c:v>
                </c:pt>
                <c:pt idx="23">
                  <c:v> 2027/28 </c:v>
                </c:pt>
              </c:strCache>
            </c:strRef>
          </c:cat>
          <c:val>
            <c:numRef>
              <c:f>Pupil_Projections_scenarios!$C$81:$Z$81</c:f>
              <c:numCache>
                <c:formatCode>General</c:formatCode>
                <c:ptCount val="24"/>
                <c:pt idx="11" formatCode="_-* #,##0_-;\-* #,##0_-;_-* &quot;-&quot;??_-;_-@_-">
                  <c:v>433788</c:v>
                </c:pt>
                <c:pt idx="12" formatCode="_-* #,##0_-;\-* #,##0_-;_-* &quot;-&quot;??_-;_-@_-">
                  <c:v>428545.20451393852</c:v>
                </c:pt>
                <c:pt idx="13" formatCode="_-* #,##0_-;\-* #,##0_-;_-* &quot;-&quot;??_-;_-@_-">
                  <c:v>419361.78857838438</c:v>
                </c:pt>
                <c:pt idx="14" formatCode="_-* #,##0_-;\-* #,##0_-;_-* &quot;-&quot;??_-;_-@_-">
                  <c:v>410245.50884306151</c:v>
                </c:pt>
                <c:pt idx="15" formatCode="_-* #,##0_-;\-* #,##0_-;_-* &quot;-&quot;??_-;_-@_-">
                  <c:v>406321.98384626833</c:v>
                </c:pt>
                <c:pt idx="16" formatCode="_-* #,##0_-;\-* #,##0_-;_-* &quot;-&quot;??_-;_-@_-">
                  <c:v>407908.7817738661</c:v>
                </c:pt>
                <c:pt idx="17" formatCode="_-* #,##0_-;\-* #,##0_-;_-* &quot;-&quot;??_-;_-@_-">
                  <c:v>414599.54691593052</c:v>
                </c:pt>
                <c:pt idx="18" formatCode="_-* #,##0_-;\-* #,##0_-;_-* &quot;-&quot;??_-;_-@_-">
                  <c:v>427051.82731021068</c:v>
                </c:pt>
                <c:pt idx="19" formatCode="_-* #,##0_-;\-* #,##0_-;_-* &quot;-&quot;??_-;_-@_-">
                  <c:v>439692.43116813409</c:v>
                </c:pt>
                <c:pt idx="20" formatCode="_-* #,##0_-;\-* #,##0_-;_-* &quot;-&quot;??_-;_-@_-">
                  <c:v>453063.3820700291</c:v>
                </c:pt>
                <c:pt idx="21" formatCode="_-* #,##0_-;\-* #,##0_-;_-* &quot;-&quot;??_-;_-@_-">
                  <c:v>462667.53121151531</c:v>
                </c:pt>
                <c:pt idx="22" formatCode="_-* #,##0_-;\-* #,##0_-;_-* &quot;-&quot;??_-;_-@_-">
                  <c:v>470577.77984100528</c:v>
                </c:pt>
                <c:pt idx="23" formatCode="_-* #,##0_-;\-* #,##0_-;_-* &quot;-&quot;??_-;_-@_-">
                  <c:v>478187.03901394637</c:v>
                </c:pt>
              </c:numCache>
            </c:numRef>
          </c:val>
          <c:smooth val="0"/>
          <c:extLst>
            <c:ext xmlns:c16="http://schemas.microsoft.com/office/drawing/2014/chart" uri="{C3380CC4-5D6E-409C-BE32-E72D297353CC}">
              <c16:uniqueId val="{00000009-CE6C-4467-88B2-BB5B340406A2}"/>
            </c:ext>
          </c:extLst>
        </c:ser>
        <c:dLbls>
          <c:showLegendKey val="0"/>
          <c:showVal val="0"/>
          <c:showCatName val="0"/>
          <c:showSerName val="0"/>
          <c:showPercent val="0"/>
          <c:showBubbleSize val="0"/>
        </c:dLbls>
        <c:smooth val="0"/>
        <c:axId val="150213760"/>
        <c:axId val="150215296"/>
      </c:lineChart>
      <c:catAx>
        <c:axId val="15021376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0215296"/>
        <c:crosses val="autoZero"/>
        <c:auto val="1"/>
        <c:lblAlgn val="ctr"/>
        <c:lblOffset val="100"/>
        <c:noMultiLvlLbl val="0"/>
      </c:catAx>
      <c:valAx>
        <c:axId val="15021529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914032754265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13760"/>
        <c:crosses val="autoZero"/>
        <c:crossBetween val="between"/>
      </c:valAx>
      <c:spPr>
        <a:ln>
          <a:solidFill>
            <a:sysClr val="windowText" lastClr="000000"/>
          </a:solidFill>
        </a:ln>
      </c:spPr>
    </c:plotArea>
    <c:legend>
      <c:legendPos val="r"/>
      <c:layout>
        <c:manualLayout>
          <c:xMode val="edge"/>
          <c:yMode val="edge"/>
          <c:x val="0.82025640165768243"/>
          <c:y val="9.351861572858948E-2"/>
          <c:w val="0.16750143984497701"/>
          <c:h val="0.8231488286186448"/>
        </c:manualLayout>
      </c:layout>
      <c:overlay val="0"/>
      <c:spPr>
        <a:solidFill>
          <a:schemeClr val="bg1"/>
        </a:solidFill>
        <a:ln>
          <a:noFill/>
        </a:ln>
      </c:spPr>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Historical and projected pupil numbers by Key Stage &amp; Phase</a:t>
            </a:r>
          </a:p>
        </c:rich>
      </c:tx>
      <c:layout>
        <c:manualLayout>
          <c:xMode val="edge"/>
          <c:yMode val="edge"/>
          <c:x val="0.12607492304410667"/>
          <c:y val="1.8111402741324001E-2"/>
        </c:manualLayout>
      </c:layout>
      <c:overlay val="0"/>
    </c:title>
    <c:autoTitleDeleted val="0"/>
    <c:plotArea>
      <c:layout>
        <c:manualLayout>
          <c:layoutTarget val="inner"/>
          <c:xMode val="edge"/>
          <c:yMode val="edge"/>
          <c:x val="0.12512467405427335"/>
          <c:y val="0.10685780785149175"/>
          <c:w val="0.70150967158491984"/>
          <c:h val="0.79207624374724317"/>
        </c:manualLayout>
      </c:layout>
      <c:lineChart>
        <c:grouping val="standard"/>
        <c:varyColors val="0"/>
        <c:ser>
          <c:idx val="1"/>
          <c:order val="0"/>
          <c:tx>
            <c:v>Primary</c:v>
          </c:tx>
          <c:spPr>
            <a:ln>
              <a:solidFill>
                <a:srgbClr val="FF000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Pupil_Projections_scenarios!$C$40:$Z$40</c:f>
              <c:numCache>
                <c:formatCode>#,##0</c:formatCode>
                <c:ptCount val="24"/>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4669403.6051013358</c:v>
                </c:pt>
                <c:pt idx="13">
                  <c:v>4728615.0056829667</c:v>
                </c:pt>
                <c:pt idx="14">
                  <c:v>4754148.1072515734</c:v>
                </c:pt>
                <c:pt idx="15">
                  <c:v>4754929.3367273957</c:v>
                </c:pt>
                <c:pt idx="16">
                  <c:v>4765188.6443500407</c:v>
                </c:pt>
                <c:pt idx="17">
                  <c:v>4768353.1674103234</c:v>
                </c:pt>
                <c:pt idx="18">
                  <c:v>4760117.7392643597</c:v>
                </c:pt>
                <c:pt idx="19">
                  <c:v>4744856.0009206505</c:v>
                </c:pt>
                <c:pt idx="20">
                  <c:v>4754081.3268117374</c:v>
                </c:pt>
                <c:pt idx="21">
                  <c:v>4780859.047119638</c:v>
                </c:pt>
                <c:pt idx="22">
                  <c:v>4809841.7847702289</c:v>
                </c:pt>
                <c:pt idx="23">
                  <c:v>4831636.05383253</c:v>
                </c:pt>
              </c:numCache>
            </c:numRef>
          </c:val>
          <c:smooth val="0"/>
          <c:extLst>
            <c:ext xmlns:c16="http://schemas.microsoft.com/office/drawing/2014/chart" uri="{C3380CC4-5D6E-409C-BE32-E72D297353CC}">
              <c16:uniqueId val="{00000000-2456-4798-8941-7971BEAC9D93}"/>
            </c:ext>
          </c:extLst>
        </c:ser>
        <c:ser>
          <c:idx val="4"/>
          <c:order val="1"/>
          <c:tx>
            <c:v>Secondary All</c:v>
          </c:tx>
          <c:spPr>
            <a:ln>
              <a:solidFill>
                <a:srgbClr val="00B0F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Pupil_Projections_scenarios!$C$64:$Z$64</c:f>
              <c:numCache>
                <c:formatCode>_-* #,##0_-;\-* #,##0_-;_-* "-"??_-;_-@_-</c:formatCode>
                <c:ptCount val="24"/>
                <c:pt idx="0">
                  <c:v>3308483</c:v>
                </c:pt>
                <c:pt idx="1">
                  <c:v>3305157.563270269</c:v>
                </c:pt>
                <c:pt idx="2">
                  <c:v>3282404</c:v>
                </c:pt>
                <c:pt idx="3">
                  <c:v>3248902.5</c:v>
                </c:pt>
                <c:pt idx="4">
                  <c:v>3231650</c:v>
                </c:pt>
                <c:pt idx="5">
                  <c:v>3227785.5</c:v>
                </c:pt>
                <c:pt idx="6">
                  <c:v>3212254</c:v>
                </c:pt>
                <c:pt idx="7">
                  <c:v>3185686.5</c:v>
                </c:pt>
                <c:pt idx="8">
                  <c:v>3158780</c:v>
                </c:pt>
                <c:pt idx="9">
                  <c:v>3125924</c:v>
                </c:pt>
                <c:pt idx="10">
                  <c:v>3119799</c:v>
                </c:pt>
                <c:pt idx="11">
                  <c:v>3121988</c:v>
                </c:pt>
                <c:pt idx="12">
                  <c:v>3153434.5188964177</c:v>
                </c:pt>
                <c:pt idx="13">
                  <c:v>3206473.5103805256</c:v>
                </c:pt>
                <c:pt idx="14">
                  <c:v>3284777.7855463745</c:v>
                </c:pt>
                <c:pt idx="15">
                  <c:v>3371521.969667735</c:v>
                </c:pt>
                <c:pt idx="16">
                  <c:v>3441735.9770776005</c:v>
                </c:pt>
                <c:pt idx="17">
                  <c:v>3517503.4884628272</c:v>
                </c:pt>
                <c:pt idx="18">
                  <c:v>3601496.689145844</c:v>
                </c:pt>
                <c:pt idx="19">
                  <c:v>3674251.4793677852</c:v>
                </c:pt>
                <c:pt idx="20">
                  <c:v>3701291.536776138</c:v>
                </c:pt>
                <c:pt idx="21">
                  <c:v>3712096.756026078</c:v>
                </c:pt>
                <c:pt idx="22">
                  <c:v>3707922.516725075</c:v>
                </c:pt>
                <c:pt idx="23">
                  <c:v>3695259.6565467082</c:v>
                </c:pt>
              </c:numCache>
            </c:numRef>
          </c:val>
          <c:smooth val="0"/>
          <c:extLst>
            <c:ext xmlns:c16="http://schemas.microsoft.com/office/drawing/2014/chart" uri="{C3380CC4-5D6E-409C-BE32-E72D297353CC}">
              <c16:uniqueId val="{00000001-2456-4798-8941-7971BEAC9D93}"/>
            </c:ext>
          </c:extLst>
        </c:ser>
        <c:ser>
          <c:idx val="6"/>
          <c:order val="2"/>
          <c:tx>
            <c:v>Key Stage 3</c:v>
          </c:tx>
          <c:spPr>
            <a:ln>
              <a:solidFill>
                <a:srgbClr val="00B05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Pupil_Projections_scenarios!$C$46:$Z$46</c:f>
              <c:numCache>
                <c:formatCode>_-* #,##0_-;\-* #,##0_-;_-* "-"??_-;_-@_-</c:formatCode>
                <c:ptCount val="24"/>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1684263.7099882406</c:v>
                </c:pt>
                <c:pt idx="13">
                  <c:v>1728753.1396461697</c:v>
                </c:pt>
                <c:pt idx="14">
                  <c:v>1776887.7109150444</c:v>
                </c:pt>
                <c:pt idx="15">
                  <c:v>1837687.6258995868</c:v>
                </c:pt>
                <c:pt idx="16">
                  <c:v>1881127.9885499382</c:v>
                </c:pt>
                <c:pt idx="17">
                  <c:v>1915313.121305503</c:v>
                </c:pt>
                <c:pt idx="18">
                  <c:v>1940527.0547370678</c:v>
                </c:pt>
                <c:pt idx="19">
                  <c:v>1979340.1487121659</c:v>
                </c:pt>
                <c:pt idx="20">
                  <c:v>1983726.1049581233</c:v>
                </c:pt>
                <c:pt idx="21">
                  <c:v>1956668.4677220159</c:v>
                </c:pt>
                <c:pt idx="22">
                  <c:v>1918632.3095877871</c:v>
                </c:pt>
                <c:pt idx="23">
                  <c:v>1909994.1147172714</c:v>
                </c:pt>
              </c:numCache>
            </c:numRef>
          </c:val>
          <c:smooth val="0"/>
          <c:extLst>
            <c:ext xmlns:c16="http://schemas.microsoft.com/office/drawing/2014/chart" uri="{C3380CC4-5D6E-409C-BE32-E72D297353CC}">
              <c16:uniqueId val="{00000002-2456-4798-8941-7971BEAC9D93}"/>
            </c:ext>
          </c:extLst>
        </c:ser>
        <c:ser>
          <c:idx val="11"/>
          <c:order val="3"/>
          <c:tx>
            <c:v>Key Stage 4</c:v>
          </c:tx>
          <c:spPr>
            <a:ln>
              <a:solidFill>
                <a:srgbClr val="00206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Pupil_Projections_scenarios!$C$52:$Z$52</c:f>
              <c:numCache>
                <c:formatCode>_-* #,##0_-;\-* #,##0_-;_-* "-"??_-;_-@_-</c:formatCode>
                <c:ptCount val="24"/>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1040625.6043942383</c:v>
                </c:pt>
                <c:pt idx="13">
                  <c:v>1058358.5821559713</c:v>
                </c:pt>
                <c:pt idx="14">
                  <c:v>1097644.5657882683</c:v>
                </c:pt>
                <c:pt idx="15">
                  <c:v>1127512.3599218801</c:v>
                </c:pt>
                <c:pt idx="16">
                  <c:v>1152699.2067537962</c:v>
                </c:pt>
                <c:pt idx="17">
                  <c:v>1187590.8202413935</c:v>
                </c:pt>
                <c:pt idx="18">
                  <c:v>1233917.8070985656</c:v>
                </c:pt>
                <c:pt idx="19">
                  <c:v>1255218.8994874852</c:v>
                </c:pt>
                <c:pt idx="20">
                  <c:v>1264502.0497479856</c:v>
                </c:pt>
                <c:pt idx="21">
                  <c:v>1292760.7570925467</c:v>
                </c:pt>
                <c:pt idx="22">
                  <c:v>1318712.4272962825</c:v>
                </c:pt>
                <c:pt idx="23">
                  <c:v>1307078.5028154906</c:v>
                </c:pt>
              </c:numCache>
            </c:numRef>
          </c:val>
          <c:smooth val="0"/>
          <c:extLst>
            <c:ext xmlns:c16="http://schemas.microsoft.com/office/drawing/2014/chart" uri="{C3380CC4-5D6E-409C-BE32-E72D297353CC}">
              <c16:uniqueId val="{00000003-2456-4798-8941-7971BEAC9D93}"/>
            </c:ext>
          </c:extLst>
        </c:ser>
        <c:ser>
          <c:idx val="16"/>
          <c:order val="4"/>
          <c:tx>
            <c:v>Key Stage 5</c:v>
          </c:tx>
          <c:spPr>
            <a:ln>
              <a:solidFill>
                <a:srgbClr val="FFC000"/>
              </a:solidFill>
            </a:ln>
          </c:spPr>
          <c:marker>
            <c:symbol val="none"/>
          </c:marker>
          <c:cat>
            <c:strRef>
              <c:f>Pupil_Projections_scenarios!$C$38:$Z$38</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Pupil_Projections_scenarios!$C$58:$Z$58</c:f>
              <c:numCache>
                <c:formatCode>_-* #,##0_-;\-* #,##0_-;_-* "-"??_-;_-@_-</c:formatCode>
                <c:ptCount val="24"/>
                <c:pt idx="0">
                  <c:v>355184.5</c:v>
                </c:pt>
                <c:pt idx="1">
                  <c:v>361355</c:v>
                </c:pt>
                <c:pt idx="2">
                  <c:v>370116</c:v>
                </c:pt>
                <c:pt idx="3">
                  <c:v>380453</c:v>
                </c:pt>
                <c:pt idx="4">
                  <c:v>394342</c:v>
                </c:pt>
                <c:pt idx="5">
                  <c:v>412859.5</c:v>
                </c:pt>
                <c:pt idx="6">
                  <c:v>423222</c:v>
                </c:pt>
                <c:pt idx="7">
                  <c:v>423232.5</c:v>
                </c:pt>
                <c:pt idx="8">
                  <c:v>428860</c:v>
                </c:pt>
                <c:pt idx="9">
                  <c:v>439034.5</c:v>
                </c:pt>
                <c:pt idx="10">
                  <c:v>442772</c:v>
                </c:pt>
                <c:pt idx="11">
                  <c:v>433788</c:v>
                </c:pt>
                <c:pt idx="12">
                  <c:v>428545.20451393852</c:v>
                </c:pt>
                <c:pt idx="13">
                  <c:v>419361.78857838438</c:v>
                </c:pt>
                <c:pt idx="14">
                  <c:v>410245.50884306151</c:v>
                </c:pt>
                <c:pt idx="15">
                  <c:v>406321.98384626833</c:v>
                </c:pt>
                <c:pt idx="16">
                  <c:v>407908.7817738661</c:v>
                </c:pt>
                <c:pt idx="17">
                  <c:v>414599.54691593052</c:v>
                </c:pt>
                <c:pt idx="18">
                  <c:v>427051.82731021068</c:v>
                </c:pt>
                <c:pt idx="19">
                  <c:v>439692.43116813409</c:v>
                </c:pt>
                <c:pt idx="20">
                  <c:v>453063.3820700291</c:v>
                </c:pt>
                <c:pt idx="21">
                  <c:v>462667.53121151531</c:v>
                </c:pt>
                <c:pt idx="22">
                  <c:v>470577.77984100528</c:v>
                </c:pt>
                <c:pt idx="23">
                  <c:v>478187.03901394637</c:v>
                </c:pt>
              </c:numCache>
            </c:numRef>
          </c:val>
          <c:smooth val="0"/>
          <c:extLst>
            <c:ext xmlns:c16="http://schemas.microsoft.com/office/drawing/2014/chart" uri="{C3380CC4-5D6E-409C-BE32-E72D297353CC}">
              <c16:uniqueId val="{00000004-2456-4798-8941-7971BEAC9D93}"/>
            </c:ext>
          </c:extLst>
        </c:ser>
        <c:dLbls>
          <c:showLegendKey val="0"/>
          <c:showVal val="0"/>
          <c:showCatName val="0"/>
          <c:showSerName val="0"/>
          <c:showPercent val="0"/>
          <c:showBubbleSize val="0"/>
        </c:dLbls>
        <c:smooth val="0"/>
        <c:axId val="150243584"/>
        <c:axId val="150261760"/>
      </c:lineChart>
      <c:catAx>
        <c:axId val="15024358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0261760"/>
        <c:crosses val="autoZero"/>
        <c:auto val="1"/>
        <c:lblAlgn val="ctr"/>
        <c:lblOffset val="100"/>
        <c:noMultiLvlLbl val="0"/>
      </c:catAx>
      <c:valAx>
        <c:axId val="150261760"/>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1.5980415322773427E-2"/>
              <c:y val="0.37360532711188876"/>
            </c:manualLayout>
          </c:layout>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243584"/>
        <c:crosses val="autoZero"/>
        <c:crossBetween val="between"/>
      </c:valAx>
      <c:spPr>
        <a:ln>
          <a:solidFill>
            <a:srgbClr val="002060"/>
          </a:solidFill>
        </a:ln>
      </c:spPr>
    </c:plotArea>
    <c:legend>
      <c:legendPos val="r"/>
      <c:layout>
        <c:manualLayout>
          <c:xMode val="edge"/>
          <c:yMode val="edge"/>
          <c:x val="0.86206943315594553"/>
          <c:y val="8.2407504617478367E-2"/>
          <c:w val="0.12862621318161593"/>
          <c:h val="0.8055563332361231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Year-on-year change rate for pupil population compared to year before </a:t>
            </a:r>
          </a:p>
        </c:rich>
      </c:tx>
      <c:layout>
        <c:manualLayout>
          <c:xMode val="edge"/>
          <c:yMode val="edge"/>
          <c:x val="0.1511717785983358"/>
          <c:y val="2.9440171486684813E-3"/>
        </c:manualLayout>
      </c:layout>
      <c:overlay val="0"/>
    </c:title>
    <c:autoTitleDeleted val="0"/>
    <c:plotArea>
      <c:layout>
        <c:manualLayout>
          <c:layoutTarget val="inner"/>
          <c:xMode val="edge"/>
          <c:yMode val="edge"/>
          <c:x val="7.9354330708661422E-2"/>
          <c:y val="7.1691004961902199E-2"/>
          <c:w val="0.72986828919112379"/>
          <c:h val="0.89523600842533824"/>
        </c:manualLayout>
      </c:layout>
      <c:lineChart>
        <c:grouping val="standard"/>
        <c:varyColors val="0"/>
        <c:ser>
          <c:idx val="2"/>
          <c:order val="0"/>
          <c:tx>
            <c:strRef>
              <c:f>Pupil_Projections_scenarios!$B$126</c:f>
              <c:strCache>
                <c:ptCount val="1"/>
                <c:pt idx="0">
                  <c:v>Primary - historical</c:v>
                </c:pt>
              </c:strCache>
            </c:strRef>
          </c:tx>
          <c:spPr>
            <a:ln>
              <a:solidFill>
                <a:schemeClr val="tx1">
                  <a:lumMod val="95000"/>
                  <a:lumOff val="5000"/>
                </a:schemeClr>
              </a:solidFill>
            </a:ln>
          </c:spPr>
          <c:marker>
            <c:symbol val="none"/>
          </c:marker>
          <c:cat>
            <c:strRef>
              <c:f>Pupil_Projections_scenarios!$C$121:$Y$121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Pupil_Projections_scenarios!$C$126:$Y$126</c:f>
              <c:numCache>
                <c:formatCode>0%</c:formatCode>
                <c:ptCount val="23"/>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numCache>
            </c:numRef>
          </c:val>
          <c:smooth val="0"/>
          <c:extLst>
            <c:ext xmlns:c16="http://schemas.microsoft.com/office/drawing/2014/chart" uri="{C3380CC4-5D6E-409C-BE32-E72D297353CC}">
              <c16:uniqueId val="{00000000-6D23-400C-B765-7DD5DFF071BD}"/>
            </c:ext>
          </c:extLst>
        </c:ser>
        <c:ser>
          <c:idx val="3"/>
          <c:order val="1"/>
          <c:tx>
            <c:strRef>
              <c:f>Pupil_Projections_scenarios!$B$127</c:f>
              <c:strCache>
                <c:ptCount val="1"/>
                <c:pt idx="0">
                  <c:v>Secondary - historical</c:v>
                </c:pt>
              </c:strCache>
            </c:strRef>
          </c:tx>
          <c:spPr>
            <a:ln>
              <a:solidFill>
                <a:srgbClr val="FF0000"/>
              </a:solidFill>
            </a:ln>
          </c:spPr>
          <c:marker>
            <c:symbol val="none"/>
          </c:marker>
          <c:cat>
            <c:strRef>
              <c:f>Pupil_Projections_scenarios!$C$121:$Y$121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Pupil_Projections_scenarios!$C$127:$Y$127</c:f>
              <c:numCache>
                <c:formatCode>0%</c:formatCode>
                <c:ptCount val="23"/>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-1.9594206385056068E-3</c:v>
                </c:pt>
                <c:pt idx="10">
                  <c:v>7.0164776641059245E-4</c:v>
                </c:pt>
              </c:numCache>
            </c:numRef>
          </c:val>
          <c:smooth val="0"/>
          <c:extLst>
            <c:ext xmlns:c16="http://schemas.microsoft.com/office/drawing/2014/chart" uri="{C3380CC4-5D6E-409C-BE32-E72D297353CC}">
              <c16:uniqueId val="{00000001-6D23-400C-B765-7DD5DFF071BD}"/>
            </c:ext>
          </c:extLst>
        </c:ser>
        <c:ser>
          <c:idx val="0"/>
          <c:order val="2"/>
          <c:tx>
            <c:strRef>
              <c:f>Pupil_Projections_scenarios!$B$128</c:f>
              <c:strCache>
                <c:ptCount val="1"/>
                <c:pt idx="0">
                  <c:v>Primary - projections</c:v>
                </c:pt>
              </c:strCache>
            </c:strRef>
          </c:tx>
          <c:spPr>
            <a:ln>
              <a:solidFill>
                <a:schemeClr val="tx1">
                  <a:lumMod val="95000"/>
                  <a:lumOff val="5000"/>
                </a:schemeClr>
              </a:solidFill>
              <a:prstDash val="sysDot"/>
            </a:ln>
          </c:spPr>
          <c:marker>
            <c:symbol val="none"/>
          </c:marker>
          <c:cat>
            <c:strRef>
              <c:f>Pupil_Projections_scenarios!$C$121:$Y$121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Pupil_Projections_scenarios!$C$128:$Y$128</c:f>
              <c:numCache>
                <c:formatCode>General</c:formatCode>
                <c:ptCount val="23"/>
                <c:pt idx="10" formatCode="0%">
                  <c:v>2.478080778163181E-2</c:v>
                </c:pt>
                <c:pt idx="11" formatCode="0%">
                  <c:v>2.0848543919274844E-2</c:v>
                </c:pt>
                <c:pt idx="12" formatCode="0%">
                  <c:v>1.2680720192390794E-2</c:v>
                </c:pt>
                <c:pt idx="13" formatCode="0%">
                  <c:v>5.3996998144108512E-3</c:v>
                </c:pt>
                <c:pt idx="14" formatCode="0%">
                  <c:v>1.643258599013099E-4</c:v>
                </c:pt>
                <c:pt idx="15" formatCode="0%">
                  <c:v>2.1576151602088942E-3</c:v>
                </c:pt>
                <c:pt idx="16" formatCode="0%">
                  <c:v>6.6409187473297291E-4</c:v>
                </c:pt>
                <c:pt idx="17" formatCode="0%">
                  <c:v>-1.7271011304803021E-3</c:v>
                </c:pt>
                <c:pt idx="18" formatCode="0%">
                  <c:v>-3.2061682461803423E-3</c:v>
                </c:pt>
                <c:pt idx="19" formatCode="0%">
                  <c:v>1.9442794237163003E-3</c:v>
                </c:pt>
                <c:pt idx="20" formatCode="0%">
                  <c:v>5.6325751427266178E-3</c:v>
                </c:pt>
                <c:pt idx="21" formatCode="0%">
                  <c:v>6.062244748263894E-3</c:v>
                </c:pt>
                <c:pt idx="22" formatCode="0%">
                  <c:v>4.531182113164306E-3</c:v>
                </c:pt>
              </c:numCache>
            </c:numRef>
          </c:val>
          <c:smooth val="0"/>
          <c:extLst>
            <c:ext xmlns:c16="http://schemas.microsoft.com/office/drawing/2014/chart" uri="{C3380CC4-5D6E-409C-BE32-E72D297353CC}">
              <c16:uniqueId val="{00000002-6D23-400C-B765-7DD5DFF071BD}"/>
            </c:ext>
          </c:extLst>
        </c:ser>
        <c:ser>
          <c:idx val="1"/>
          <c:order val="3"/>
          <c:tx>
            <c:strRef>
              <c:f>Pupil_Projections_scenarios!$B$129</c:f>
              <c:strCache>
                <c:ptCount val="1"/>
                <c:pt idx="0">
                  <c:v>Secondary - projections</c:v>
                </c:pt>
              </c:strCache>
            </c:strRef>
          </c:tx>
          <c:spPr>
            <a:ln>
              <a:solidFill>
                <a:srgbClr val="FF0000"/>
              </a:solidFill>
              <a:prstDash val="sysDot"/>
            </a:ln>
          </c:spPr>
          <c:marker>
            <c:symbol val="none"/>
          </c:marker>
          <c:cat>
            <c:strRef>
              <c:f>Pupil_Projections_scenarios!$C$121:$Y$121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Pupil_Projections_scenarios!$C$129:$Y$129</c:f>
              <c:numCache>
                <c:formatCode>General</c:formatCode>
                <c:ptCount val="23"/>
                <c:pt idx="10" formatCode="0%">
                  <c:v>7.0164776641059245E-4</c:v>
                </c:pt>
                <c:pt idx="11" formatCode="0%">
                  <c:v>1.0072594416255826E-2</c:v>
                </c:pt>
                <c:pt idx="12" formatCode="0%">
                  <c:v>1.6819436448190322E-2</c:v>
                </c:pt>
                <c:pt idx="13" formatCode="0%">
                  <c:v>2.44206836302715E-2</c:v>
                </c:pt>
                <c:pt idx="14" formatCode="0%">
                  <c:v>2.6407930698706887E-2</c:v>
                </c:pt>
                <c:pt idx="15" formatCode="0%">
                  <c:v>2.0825611709356626E-2</c:v>
                </c:pt>
                <c:pt idx="16" formatCode="0%">
                  <c:v>2.2014329945657624E-2</c:v>
                </c:pt>
                <c:pt idx="17" formatCode="0%">
                  <c:v>2.3878640336394492E-2</c:v>
                </c:pt>
                <c:pt idx="18" formatCode="0%">
                  <c:v>2.0201265335383724E-2</c:v>
                </c:pt>
                <c:pt idx="19" formatCode="0%">
                  <c:v>7.3593376937295353E-3</c:v>
                </c:pt>
                <c:pt idx="20" formatCode="0%">
                  <c:v>2.9193105008289799E-3</c:v>
                </c:pt>
                <c:pt idx="21" formatCode="0%">
                  <c:v>-1.1244963629320134E-3</c:v>
                </c:pt>
                <c:pt idx="22" formatCode="0%">
                  <c:v>-3.415082197982634E-3</c:v>
                </c:pt>
              </c:numCache>
            </c:numRef>
          </c:val>
          <c:smooth val="0"/>
          <c:extLst>
            <c:ext xmlns:c16="http://schemas.microsoft.com/office/drawing/2014/chart" uri="{C3380CC4-5D6E-409C-BE32-E72D297353CC}">
              <c16:uniqueId val="{00000003-6D23-400C-B765-7DD5DFF071BD}"/>
            </c:ext>
          </c:extLst>
        </c:ser>
        <c:dLbls>
          <c:showLegendKey val="0"/>
          <c:showVal val="0"/>
          <c:showCatName val="0"/>
          <c:showSerName val="0"/>
          <c:showPercent val="0"/>
          <c:showBubbleSize val="0"/>
        </c:dLbls>
        <c:smooth val="0"/>
        <c:axId val="150310912"/>
        <c:axId val="150312448"/>
      </c:lineChart>
      <c:catAx>
        <c:axId val="15031091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50312448"/>
        <c:crosses val="autoZero"/>
        <c:auto val="1"/>
        <c:lblAlgn val="ctr"/>
        <c:lblOffset val="100"/>
        <c:noMultiLvlLbl val="0"/>
      </c:catAx>
      <c:valAx>
        <c:axId val="15031244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1091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1912734157823419"/>
          <c:y val="0.20069642106801613"/>
          <c:w val="0.168399228903096"/>
          <c:h val="0.6009295357801852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Male teacher wastage scalars from Econometric Wastage Model</a:t>
            </a:r>
          </a:p>
        </c:rich>
      </c:tx>
      <c:overlay val="0"/>
    </c:title>
    <c:autoTitleDeleted val="0"/>
    <c:plotArea>
      <c:layout>
        <c:manualLayout>
          <c:layoutTarget val="inner"/>
          <c:xMode val="edge"/>
          <c:yMode val="edge"/>
          <c:x val="8.8186546126178669E-2"/>
          <c:y val="0.11670911643444147"/>
          <c:w val="0.72014617964421113"/>
          <c:h val="0.79492517187994205"/>
        </c:manualLayout>
      </c:layout>
      <c:lineChart>
        <c:grouping val="standard"/>
        <c:varyColors val="0"/>
        <c:ser>
          <c:idx val="0"/>
          <c:order val="0"/>
          <c:tx>
            <c:strRef>
              <c:f>RAW_DATA_INPUTS!$B$206</c:f>
              <c:strCache>
                <c:ptCount val="1"/>
                <c:pt idx="0">
                  <c:v>Male Low</c:v>
                </c:pt>
              </c:strCache>
            </c:strRef>
          </c:tx>
          <c:spPr>
            <a:ln>
              <a:solidFill>
                <a:schemeClr val="tx1">
                  <a:lumMod val="95000"/>
                  <a:lumOff val="5000"/>
                </a:schemeClr>
              </a:solidFill>
              <a:prstDash val="sysDot"/>
            </a:ln>
          </c:spPr>
          <c:marker>
            <c:symbol val="none"/>
          </c:marker>
          <c:cat>
            <c:strRef>
              <c:f>RAW_DATA_INPUTS!$C$205:$I$205</c:f>
              <c:strCache>
                <c:ptCount val="7"/>
                <c:pt idx="0">
                  <c:v>2014/15</c:v>
                </c:pt>
                <c:pt idx="1">
                  <c:v>2015/16</c:v>
                </c:pt>
                <c:pt idx="2">
                  <c:v>2016/17</c:v>
                </c:pt>
                <c:pt idx="3">
                  <c:v>2017/18</c:v>
                </c:pt>
                <c:pt idx="4">
                  <c:v>2018/19</c:v>
                </c:pt>
                <c:pt idx="5">
                  <c:v>2019/20</c:v>
                </c:pt>
                <c:pt idx="6">
                  <c:v>2020/21</c:v>
                </c:pt>
              </c:strCache>
            </c:strRef>
          </c:cat>
          <c:val>
            <c:numRef>
              <c:f>RAW_DATA_INPUTS!$C$206:$I$206</c:f>
              <c:numCache>
                <c:formatCode>0.00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0-B230-47E9-9838-62416BACA45A}"/>
            </c:ext>
          </c:extLst>
        </c:ser>
        <c:ser>
          <c:idx val="1"/>
          <c:order val="1"/>
          <c:tx>
            <c:strRef>
              <c:f>RAW_DATA_INPUTS!$B$207</c:f>
              <c:strCache>
                <c:ptCount val="1"/>
                <c:pt idx="0">
                  <c:v>Male Central</c:v>
                </c:pt>
              </c:strCache>
            </c:strRef>
          </c:tx>
          <c:spPr>
            <a:ln>
              <a:solidFill>
                <a:schemeClr val="tx1">
                  <a:lumMod val="95000"/>
                  <a:lumOff val="5000"/>
                </a:schemeClr>
              </a:solidFill>
            </a:ln>
          </c:spPr>
          <c:marker>
            <c:symbol val="none"/>
          </c:marker>
          <c:cat>
            <c:strRef>
              <c:f>RAW_DATA_INPUTS!$C$205:$I$205</c:f>
              <c:strCache>
                <c:ptCount val="7"/>
                <c:pt idx="0">
                  <c:v>2014/15</c:v>
                </c:pt>
                <c:pt idx="1">
                  <c:v>2015/16</c:v>
                </c:pt>
                <c:pt idx="2">
                  <c:v>2016/17</c:v>
                </c:pt>
                <c:pt idx="3">
                  <c:v>2017/18</c:v>
                </c:pt>
                <c:pt idx="4">
                  <c:v>2018/19</c:v>
                </c:pt>
                <c:pt idx="5">
                  <c:v>2019/20</c:v>
                </c:pt>
                <c:pt idx="6">
                  <c:v>2020/21</c:v>
                </c:pt>
              </c:strCache>
            </c:strRef>
          </c:cat>
          <c:val>
            <c:numRef>
              <c:f>RAW_DATA_INPUTS!$C$207:$I$207</c:f>
              <c:numCache>
                <c:formatCode>0.00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1-B230-47E9-9838-62416BACA45A}"/>
            </c:ext>
          </c:extLst>
        </c:ser>
        <c:ser>
          <c:idx val="2"/>
          <c:order val="2"/>
          <c:tx>
            <c:strRef>
              <c:f>RAW_DATA_INPUTS!$B$208</c:f>
              <c:strCache>
                <c:ptCount val="1"/>
                <c:pt idx="0">
                  <c:v>Male High</c:v>
                </c:pt>
              </c:strCache>
            </c:strRef>
          </c:tx>
          <c:spPr>
            <a:ln>
              <a:solidFill>
                <a:schemeClr val="tx1">
                  <a:lumMod val="95000"/>
                  <a:lumOff val="5000"/>
                </a:schemeClr>
              </a:solidFill>
              <a:prstDash val="sysDash"/>
            </a:ln>
          </c:spPr>
          <c:marker>
            <c:symbol val="none"/>
          </c:marker>
          <c:cat>
            <c:strRef>
              <c:f>RAW_DATA_INPUTS!$C$205:$I$205</c:f>
              <c:strCache>
                <c:ptCount val="7"/>
                <c:pt idx="0">
                  <c:v>2014/15</c:v>
                </c:pt>
                <c:pt idx="1">
                  <c:v>2015/16</c:v>
                </c:pt>
                <c:pt idx="2">
                  <c:v>2016/17</c:v>
                </c:pt>
                <c:pt idx="3">
                  <c:v>2017/18</c:v>
                </c:pt>
                <c:pt idx="4">
                  <c:v>2018/19</c:v>
                </c:pt>
                <c:pt idx="5">
                  <c:v>2019/20</c:v>
                </c:pt>
                <c:pt idx="6">
                  <c:v>2020/21</c:v>
                </c:pt>
              </c:strCache>
            </c:strRef>
          </c:cat>
          <c:val>
            <c:numRef>
              <c:f>RAW_DATA_INPUTS!$C$208:$I$208</c:f>
              <c:numCache>
                <c:formatCode>0.00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B230-47E9-9838-62416BACA45A}"/>
            </c:ext>
          </c:extLst>
        </c:ser>
        <c:dLbls>
          <c:showLegendKey val="0"/>
          <c:showVal val="0"/>
          <c:showCatName val="0"/>
          <c:showSerName val="0"/>
          <c:showPercent val="0"/>
          <c:showBubbleSize val="0"/>
        </c:dLbls>
        <c:smooth val="0"/>
        <c:axId val="146255872"/>
        <c:axId val="146257408"/>
      </c:lineChart>
      <c:catAx>
        <c:axId val="14625587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6257408"/>
        <c:crosses val="autoZero"/>
        <c:auto val="1"/>
        <c:lblAlgn val="ctr"/>
        <c:lblOffset val="100"/>
        <c:noMultiLvlLbl val="0"/>
      </c:catAx>
      <c:valAx>
        <c:axId val="146257408"/>
        <c:scaling>
          <c:orientation val="minMax"/>
          <c:max val="1.4"/>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6255872"/>
        <c:crosses val="autoZero"/>
        <c:crossBetween val="between"/>
      </c:valAx>
      <c:spPr>
        <a:ln>
          <a:solidFill>
            <a:schemeClr val="tx1">
              <a:lumMod val="95000"/>
              <a:lumOff val="5000"/>
            </a:schemeClr>
          </a:solidFill>
        </a:ln>
      </c:spPr>
    </c:plotArea>
    <c:legend>
      <c:legendPos val="r"/>
      <c:layout>
        <c:manualLayout>
          <c:xMode val="edge"/>
          <c:yMode val="edge"/>
          <c:x val="0.82849297364800356"/>
          <c:y val="0.4500654704065048"/>
          <c:w val="0.15698485822052333"/>
          <c:h val="0.18158260818412764"/>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Female teacher wastage scalars from Econometric Wastage Model</a:t>
            </a:r>
          </a:p>
        </c:rich>
      </c:tx>
      <c:overlay val="0"/>
    </c:title>
    <c:autoTitleDeleted val="0"/>
    <c:plotArea>
      <c:layout>
        <c:manualLayout>
          <c:layoutTarget val="inner"/>
          <c:xMode val="edge"/>
          <c:yMode val="edge"/>
          <c:x val="8.8186546126178669E-2"/>
          <c:y val="0.11670911643444147"/>
          <c:w val="0.70278506853310008"/>
          <c:h val="0.79492517187994205"/>
        </c:manualLayout>
      </c:layout>
      <c:lineChart>
        <c:grouping val="standard"/>
        <c:varyColors val="0"/>
        <c:ser>
          <c:idx val="3"/>
          <c:order val="0"/>
          <c:tx>
            <c:strRef>
              <c:f>RAW_DATA_INPUTS!$B$209</c:f>
              <c:strCache>
                <c:ptCount val="1"/>
                <c:pt idx="0">
                  <c:v>Female Low</c:v>
                </c:pt>
              </c:strCache>
            </c:strRef>
          </c:tx>
          <c:spPr>
            <a:ln>
              <a:solidFill>
                <a:srgbClr val="FF0000"/>
              </a:solidFill>
              <a:prstDash val="sysDot"/>
            </a:ln>
          </c:spPr>
          <c:marker>
            <c:symbol val="none"/>
          </c:marker>
          <c:cat>
            <c:strRef>
              <c:f>RAW_DATA_INPUTS!$C$205:$I$205</c:f>
              <c:strCache>
                <c:ptCount val="7"/>
                <c:pt idx="0">
                  <c:v>2014/15</c:v>
                </c:pt>
                <c:pt idx="1">
                  <c:v>2015/16</c:v>
                </c:pt>
                <c:pt idx="2">
                  <c:v>2016/17</c:v>
                </c:pt>
                <c:pt idx="3">
                  <c:v>2017/18</c:v>
                </c:pt>
                <c:pt idx="4">
                  <c:v>2018/19</c:v>
                </c:pt>
                <c:pt idx="5">
                  <c:v>2019/20</c:v>
                </c:pt>
                <c:pt idx="6">
                  <c:v>2020/21</c:v>
                </c:pt>
              </c:strCache>
            </c:strRef>
          </c:cat>
          <c:val>
            <c:numRef>
              <c:f>RAW_DATA_INPUTS!$C$209:$I$209</c:f>
              <c:numCache>
                <c:formatCode>0.00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0-8D77-4682-B712-4B39DE8E452D}"/>
            </c:ext>
          </c:extLst>
        </c:ser>
        <c:ser>
          <c:idx val="4"/>
          <c:order val="1"/>
          <c:tx>
            <c:strRef>
              <c:f>RAW_DATA_INPUTS!$B$210</c:f>
              <c:strCache>
                <c:ptCount val="1"/>
                <c:pt idx="0">
                  <c:v>Female Central</c:v>
                </c:pt>
              </c:strCache>
            </c:strRef>
          </c:tx>
          <c:spPr>
            <a:ln>
              <a:solidFill>
                <a:srgbClr val="FF0000"/>
              </a:solidFill>
            </a:ln>
          </c:spPr>
          <c:marker>
            <c:symbol val="none"/>
          </c:marker>
          <c:cat>
            <c:strRef>
              <c:f>RAW_DATA_INPUTS!$C$205:$I$205</c:f>
              <c:strCache>
                <c:ptCount val="7"/>
                <c:pt idx="0">
                  <c:v>2014/15</c:v>
                </c:pt>
                <c:pt idx="1">
                  <c:v>2015/16</c:v>
                </c:pt>
                <c:pt idx="2">
                  <c:v>2016/17</c:v>
                </c:pt>
                <c:pt idx="3">
                  <c:v>2017/18</c:v>
                </c:pt>
                <c:pt idx="4">
                  <c:v>2018/19</c:v>
                </c:pt>
                <c:pt idx="5">
                  <c:v>2019/20</c:v>
                </c:pt>
                <c:pt idx="6">
                  <c:v>2020/21</c:v>
                </c:pt>
              </c:strCache>
            </c:strRef>
          </c:cat>
          <c:val>
            <c:numRef>
              <c:f>RAW_DATA_INPUTS!$C$210:$I$210</c:f>
              <c:numCache>
                <c:formatCode>0.00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1-8D77-4682-B712-4B39DE8E452D}"/>
            </c:ext>
          </c:extLst>
        </c:ser>
        <c:ser>
          <c:idx val="5"/>
          <c:order val="2"/>
          <c:tx>
            <c:strRef>
              <c:f>RAW_DATA_INPUTS!$B$211</c:f>
              <c:strCache>
                <c:ptCount val="1"/>
                <c:pt idx="0">
                  <c:v>Female High</c:v>
                </c:pt>
              </c:strCache>
            </c:strRef>
          </c:tx>
          <c:spPr>
            <a:ln>
              <a:solidFill>
                <a:srgbClr val="FF0000"/>
              </a:solidFill>
              <a:prstDash val="sysDash"/>
            </a:ln>
          </c:spPr>
          <c:marker>
            <c:symbol val="none"/>
          </c:marker>
          <c:cat>
            <c:strRef>
              <c:f>RAW_DATA_INPUTS!$C$205:$I$205</c:f>
              <c:strCache>
                <c:ptCount val="7"/>
                <c:pt idx="0">
                  <c:v>2014/15</c:v>
                </c:pt>
                <c:pt idx="1">
                  <c:v>2015/16</c:v>
                </c:pt>
                <c:pt idx="2">
                  <c:v>2016/17</c:v>
                </c:pt>
                <c:pt idx="3">
                  <c:v>2017/18</c:v>
                </c:pt>
                <c:pt idx="4">
                  <c:v>2018/19</c:v>
                </c:pt>
                <c:pt idx="5">
                  <c:v>2019/20</c:v>
                </c:pt>
                <c:pt idx="6">
                  <c:v>2020/21</c:v>
                </c:pt>
              </c:strCache>
            </c:strRef>
          </c:cat>
          <c:val>
            <c:numRef>
              <c:f>RAW_DATA_INPUTS!$C$211:$I$211</c:f>
              <c:numCache>
                <c:formatCode>0.00</c:formatCode>
                <c:ptCount val="7"/>
                <c:pt idx="0">
                  <c:v>1</c:v>
                </c:pt>
                <c:pt idx="1">
                  <c:v>1</c:v>
                </c:pt>
                <c:pt idx="2">
                  <c:v>1</c:v>
                </c:pt>
                <c:pt idx="3">
                  <c:v>1</c:v>
                </c:pt>
                <c:pt idx="4">
                  <c:v>1</c:v>
                </c:pt>
                <c:pt idx="5">
                  <c:v>1</c:v>
                </c:pt>
                <c:pt idx="6">
                  <c:v>1</c:v>
                </c:pt>
              </c:numCache>
            </c:numRef>
          </c:val>
          <c:smooth val="0"/>
          <c:extLst>
            <c:ext xmlns:c16="http://schemas.microsoft.com/office/drawing/2014/chart" uri="{C3380CC4-5D6E-409C-BE32-E72D297353CC}">
              <c16:uniqueId val="{00000002-8D77-4682-B712-4B39DE8E452D}"/>
            </c:ext>
          </c:extLst>
        </c:ser>
        <c:dLbls>
          <c:showLegendKey val="0"/>
          <c:showVal val="0"/>
          <c:showCatName val="0"/>
          <c:showSerName val="0"/>
          <c:showPercent val="0"/>
          <c:showBubbleSize val="0"/>
        </c:dLbls>
        <c:smooth val="0"/>
        <c:axId val="150364928"/>
        <c:axId val="150366464"/>
      </c:lineChart>
      <c:catAx>
        <c:axId val="1503649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66464"/>
        <c:crosses val="autoZero"/>
        <c:auto val="1"/>
        <c:lblAlgn val="ctr"/>
        <c:lblOffset val="100"/>
        <c:noMultiLvlLbl val="0"/>
      </c:catAx>
      <c:valAx>
        <c:axId val="150366464"/>
        <c:scaling>
          <c:orientation val="minMax"/>
          <c:max val="1.4"/>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 scalar</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364928"/>
        <c:crosses val="autoZero"/>
        <c:crossBetween val="between"/>
      </c:valAx>
      <c:spPr>
        <a:ln>
          <a:solidFill>
            <a:schemeClr val="tx1">
              <a:lumMod val="95000"/>
              <a:lumOff val="5000"/>
            </a:schemeClr>
          </a:solidFill>
        </a:ln>
      </c:spPr>
    </c:plotArea>
    <c:legend>
      <c:legendPos val="r"/>
      <c:layout>
        <c:manualLayout>
          <c:xMode val="edge"/>
          <c:yMode val="edge"/>
          <c:x val="0.81258695360175404"/>
          <c:y val="0.4500654704065048"/>
          <c:w val="0.17358236859396725"/>
          <c:h val="0.18158260818412764"/>
        </c:manualLayout>
      </c:layout>
      <c:overlay val="0"/>
      <c:txPr>
        <a:bodyPr/>
        <a:lstStyle/>
        <a:p>
          <a:pPr>
            <a:defRPr sz="59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Percentage of the qualified teacher stock leaving as wastage each year </a:t>
            </a:r>
          </a:p>
        </c:rich>
      </c:tx>
      <c:layout>
        <c:manualLayout>
          <c:xMode val="edge"/>
          <c:yMode val="edge"/>
          <c:x val="0.10911813505411512"/>
          <c:y val="4.6303250555219059E-3"/>
        </c:manualLayout>
      </c:layout>
      <c:overlay val="0"/>
    </c:title>
    <c:autoTitleDeleted val="0"/>
    <c:plotArea>
      <c:layout>
        <c:manualLayout>
          <c:layoutTarget val="inner"/>
          <c:xMode val="edge"/>
          <c:yMode val="edge"/>
          <c:x val="0.1073497375328084"/>
          <c:y val="0.17112277631962672"/>
          <c:w val="0.69371937882764656"/>
          <c:h val="0.72678623505395157"/>
        </c:manualLayout>
      </c:layout>
      <c:lineChart>
        <c:grouping val="standard"/>
        <c:varyColors val="0"/>
        <c:ser>
          <c:idx val="0"/>
          <c:order val="0"/>
          <c:tx>
            <c:strRef>
              <c:f>RAW_DATA_INPUTS!$O$132</c:f>
              <c:strCache>
                <c:ptCount val="1"/>
                <c:pt idx="0">
                  <c:v>20-29</c:v>
                </c:pt>
              </c:strCache>
            </c:strRef>
          </c:tx>
          <c:spPr>
            <a:ln>
              <a:solidFill>
                <a:schemeClr val="tx1">
                  <a:lumMod val="95000"/>
                  <a:lumOff val="5000"/>
                </a:schemeClr>
              </a:solidFill>
            </a:ln>
          </c:spPr>
          <c:marker>
            <c:symbol val="none"/>
          </c:marker>
          <c:cat>
            <c:strRef>
              <c:f>RAW_DATA_INPUTS!$P$131:$S$131</c:f>
              <c:strCache>
                <c:ptCount val="4"/>
                <c:pt idx="0">
                  <c:v>2011/12</c:v>
                </c:pt>
                <c:pt idx="1">
                  <c:v>2012/13</c:v>
                </c:pt>
                <c:pt idx="2">
                  <c:v>2013/14</c:v>
                </c:pt>
                <c:pt idx="3">
                  <c:v>2014/15</c:v>
                </c:pt>
              </c:strCache>
            </c:strRef>
          </c:cat>
          <c:val>
            <c:numRef>
              <c:f>RAW_DATA_INPUTS!$P$132:$S$132</c:f>
              <c:numCache>
                <c:formatCode>0%</c:formatCode>
                <c:ptCount val="4"/>
                <c:pt idx="0">
                  <c:v>8.2393465811776506E-2</c:v>
                </c:pt>
                <c:pt idx="1">
                  <c:v>8.711755175062276E-2</c:v>
                </c:pt>
                <c:pt idx="2">
                  <c:v>9.6418651905979605E-2</c:v>
                </c:pt>
                <c:pt idx="3">
                  <c:v>0.10556893105989204</c:v>
                </c:pt>
              </c:numCache>
            </c:numRef>
          </c:val>
          <c:smooth val="0"/>
          <c:extLst>
            <c:ext xmlns:c16="http://schemas.microsoft.com/office/drawing/2014/chart" uri="{C3380CC4-5D6E-409C-BE32-E72D297353CC}">
              <c16:uniqueId val="{00000000-8FD1-4E1A-BB3A-BD7609C16979}"/>
            </c:ext>
          </c:extLst>
        </c:ser>
        <c:ser>
          <c:idx val="1"/>
          <c:order val="1"/>
          <c:tx>
            <c:strRef>
              <c:f>RAW_DATA_INPUTS!$O$133</c:f>
              <c:strCache>
                <c:ptCount val="1"/>
                <c:pt idx="0">
                  <c:v>30-39</c:v>
                </c:pt>
              </c:strCache>
            </c:strRef>
          </c:tx>
          <c:spPr>
            <a:ln>
              <a:solidFill>
                <a:schemeClr val="tx1">
                  <a:lumMod val="95000"/>
                  <a:lumOff val="5000"/>
                </a:schemeClr>
              </a:solidFill>
              <a:prstDash val="sysDot"/>
            </a:ln>
          </c:spPr>
          <c:marker>
            <c:symbol val="none"/>
          </c:marker>
          <c:cat>
            <c:strRef>
              <c:f>RAW_DATA_INPUTS!$P$131:$S$131</c:f>
              <c:strCache>
                <c:ptCount val="4"/>
                <c:pt idx="0">
                  <c:v>2011/12</c:v>
                </c:pt>
                <c:pt idx="1">
                  <c:v>2012/13</c:v>
                </c:pt>
                <c:pt idx="2">
                  <c:v>2013/14</c:v>
                </c:pt>
                <c:pt idx="3">
                  <c:v>2014/15</c:v>
                </c:pt>
              </c:strCache>
            </c:strRef>
          </c:cat>
          <c:val>
            <c:numRef>
              <c:f>RAW_DATA_INPUTS!$P$133:$S$133</c:f>
              <c:numCache>
                <c:formatCode>0%</c:formatCode>
                <c:ptCount val="4"/>
                <c:pt idx="0">
                  <c:v>6.6632651278139235E-2</c:v>
                </c:pt>
                <c:pt idx="1">
                  <c:v>7.2300820203756874E-2</c:v>
                </c:pt>
                <c:pt idx="2">
                  <c:v>7.8403614514385281E-2</c:v>
                </c:pt>
                <c:pt idx="3">
                  <c:v>8.4575840382075884E-2</c:v>
                </c:pt>
              </c:numCache>
            </c:numRef>
          </c:val>
          <c:smooth val="0"/>
          <c:extLst>
            <c:ext xmlns:c16="http://schemas.microsoft.com/office/drawing/2014/chart" uri="{C3380CC4-5D6E-409C-BE32-E72D297353CC}">
              <c16:uniqueId val="{00000001-8FD1-4E1A-BB3A-BD7609C16979}"/>
            </c:ext>
          </c:extLst>
        </c:ser>
        <c:ser>
          <c:idx val="2"/>
          <c:order val="2"/>
          <c:tx>
            <c:strRef>
              <c:f>RAW_DATA_INPUTS!$O$134</c:f>
              <c:strCache>
                <c:ptCount val="1"/>
                <c:pt idx="0">
                  <c:v>40-49</c:v>
                </c:pt>
              </c:strCache>
            </c:strRef>
          </c:tx>
          <c:spPr>
            <a:ln>
              <a:solidFill>
                <a:srgbClr val="FF0000"/>
              </a:solidFill>
            </a:ln>
          </c:spPr>
          <c:marker>
            <c:symbol val="none"/>
          </c:marker>
          <c:cat>
            <c:strRef>
              <c:f>RAW_DATA_INPUTS!$P$131:$S$131</c:f>
              <c:strCache>
                <c:ptCount val="4"/>
                <c:pt idx="0">
                  <c:v>2011/12</c:v>
                </c:pt>
                <c:pt idx="1">
                  <c:v>2012/13</c:v>
                </c:pt>
                <c:pt idx="2">
                  <c:v>2013/14</c:v>
                </c:pt>
                <c:pt idx="3">
                  <c:v>2014/15</c:v>
                </c:pt>
              </c:strCache>
            </c:strRef>
          </c:cat>
          <c:val>
            <c:numRef>
              <c:f>RAW_DATA_INPUTS!$P$134:$S$134</c:f>
              <c:numCache>
                <c:formatCode>0%</c:formatCode>
                <c:ptCount val="4"/>
                <c:pt idx="0">
                  <c:v>6.2693140080116616E-2</c:v>
                </c:pt>
                <c:pt idx="1">
                  <c:v>6.8159342840138595E-2</c:v>
                </c:pt>
                <c:pt idx="2">
                  <c:v>7.6765644983882581E-2</c:v>
                </c:pt>
                <c:pt idx="3">
                  <c:v>8.0246021248262495E-2</c:v>
                </c:pt>
              </c:numCache>
            </c:numRef>
          </c:val>
          <c:smooth val="0"/>
          <c:extLst>
            <c:ext xmlns:c16="http://schemas.microsoft.com/office/drawing/2014/chart" uri="{C3380CC4-5D6E-409C-BE32-E72D297353CC}">
              <c16:uniqueId val="{00000002-8FD1-4E1A-BB3A-BD7609C16979}"/>
            </c:ext>
          </c:extLst>
        </c:ser>
        <c:ser>
          <c:idx val="3"/>
          <c:order val="3"/>
          <c:tx>
            <c:strRef>
              <c:f>RAW_DATA_INPUTS!$O$135</c:f>
              <c:strCache>
                <c:ptCount val="1"/>
                <c:pt idx="0">
                  <c:v>50-59</c:v>
                </c:pt>
              </c:strCache>
            </c:strRef>
          </c:tx>
          <c:spPr>
            <a:ln>
              <a:solidFill>
                <a:srgbClr val="FF0000"/>
              </a:solidFill>
              <a:prstDash val="sysDash"/>
            </a:ln>
          </c:spPr>
          <c:marker>
            <c:symbol val="none"/>
          </c:marker>
          <c:cat>
            <c:strRef>
              <c:f>RAW_DATA_INPUTS!$P$131:$S$131</c:f>
              <c:strCache>
                <c:ptCount val="4"/>
                <c:pt idx="0">
                  <c:v>2011/12</c:v>
                </c:pt>
                <c:pt idx="1">
                  <c:v>2012/13</c:v>
                </c:pt>
                <c:pt idx="2">
                  <c:v>2013/14</c:v>
                </c:pt>
                <c:pt idx="3">
                  <c:v>2014/15</c:v>
                </c:pt>
              </c:strCache>
            </c:strRef>
          </c:cat>
          <c:val>
            <c:numRef>
              <c:f>RAW_DATA_INPUTS!$P$135:$S$135</c:f>
              <c:numCache>
                <c:formatCode>0%</c:formatCode>
                <c:ptCount val="4"/>
                <c:pt idx="0">
                  <c:v>3.8640627071855706E-2</c:v>
                </c:pt>
                <c:pt idx="1">
                  <c:v>5.2538375697571721E-2</c:v>
                </c:pt>
                <c:pt idx="2">
                  <c:v>6.8650009744859214E-2</c:v>
                </c:pt>
                <c:pt idx="3">
                  <c:v>7.980301409185947E-2</c:v>
                </c:pt>
              </c:numCache>
            </c:numRef>
          </c:val>
          <c:smooth val="0"/>
          <c:extLst>
            <c:ext xmlns:c16="http://schemas.microsoft.com/office/drawing/2014/chart" uri="{C3380CC4-5D6E-409C-BE32-E72D297353CC}">
              <c16:uniqueId val="{00000003-8FD1-4E1A-BB3A-BD7609C16979}"/>
            </c:ext>
          </c:extLst>
        </c:ser>
        <c:ser>
          <c:idx val="4"/>
          <c:order val="4"/>
          <c:tx>
            <c:strRef>
              <c:f>RAW_DATA_INPUTS!$O$136</c:f>
              <c:strCache>
                <c:ptCount val="1"/>
                <c:pt idx="0">
                  <c:v>60 plus</c:v>
                </c:pt>
              </c:strCache>
            </c:strRef>
          </c:tx>
          <c:spPr>
            <a:ln>
              <a:solidFill>
                <a:srgbClr val="92D050"/>
              </a:solidFill>
            </a:ln>
          </c:spPr>
          <c:marker>
            <c:symbol val="none"/>
          </c:marker>
          <c:cat>
            <c:strRef>
              <c:f>RAW_DATA_INPUTS!$P$131:$S$131</c:f>
              <c:strCache>
                <c:ptCount val="4"/>
                <c:pt idx="0">
                  <c:v>2011/12</c:v>
                </c:pt>
                <c:pt idx="1">
                  <c:v>2012/13</c:v>
                </c:pt>
                <c:pt idx="2">
                  <c:v>2013/14</c:v>
                </c:pt>
                <c:pt idx="3">
                  <c:v>2014/15</c:v>
                </c:pt>
              </c:strCache>
            </c:strRef>
          </c:cat>
          <c:val>
            <c:numRef>
              <c:f>RAW_DATA_INPUTS!$P$136:$S$136</c:f>
              <c:numCache>
                <c:formatCode>0%</c:formatCode>
                <c:ptCount val="4"/>
                <c:pt idx="0">
                  <c:v>1.2664576947184938E-2</c:v>
                </c:pt>
                <c:pt idx="1">
                  <c:v>1.4077554262851392E-2</c:v>
                </c:pt>
                <c:pt idx="2">
                  <c:v>2.0150037643752457E-2</c:v>
                </c:pt>
                <c:pt idx="3">
                  <c:v>2.4922372601920432E-2</c:v>
                </c:pt>
              </c:numCache>
            </c:numRef>
          </c:val>
          <c:smooth val="0"/>
          <c:extLst>
            <c:ext xmlns:c16="http://schemas.microsoft.com/office/drawing/2014/chart" uri="{C3380CC4-5D6E-409C-BE32-E72D297353CC}">
              <c16:uniqueId val="{00000004-8FD1-4E1A-BB3A-BD7609C16979}"/>
            </c:ext>
          </c:extLst>
        </c:ser>
        <c:dLbls>
          <c:showLegendKey val="0"/>
          <c:showVal val="0"/>
          <c:showCatName val="0"/>
          <c:showSerName val="0"/>
          <c:showPercent val="0"/>
          <c:showBubbleSize val="0"/>
        </c:dLbls>
        <c:smooth val="0"/>
        <c:axId val="150962176"/>
        <c:axId val="150963712"/>
      </c:lineChart>
      <c:catAx>
        <c:axId val="1509621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963712"/>
        <c:crosses val="autoZero"/>
        <c:auto val="1"/>
        <c:lblAlgn val="ctr"/>
        <c:lblOffset val="100"/>
        <c:noMultiLvlLbl val="0"/>
      </c:catAx>
      <c:valAx>
        <c:axId val="1509637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 of stock leaving the stock</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0962176"/>
        <c:crosses val="autoZero"/>
        <c:crossBetween val="between"/>
      </c:valAx>
      <c:spPr>
        <a:ln>
          <a:solidFill>
            <a:schemeClr val="tx1">
              <a:lumMod val="95000"/>
              <a:lumOff val="5000"/>
            </a:schemeClr>
          </a:solidFill>
        </a:ln>
      </c:spPr>
    </c:plotArea>
    <c:legend>
      <c:legendPos val="r"/>
      <c:layout>
        <c:manualLayout>
          <c:xMode val="edge"/>
          <c:yMode val="edge"/>
          <c:x val="0.78704604256181965"/>
          <c:y val="0.28269331718150614"/>
          <c:w val="0.16977437405573637"/>
          <c:h val="0.50961720169594182"/>
        </c:manualLayout>
      </c:layout>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Percentage of the qualified teacher stock leaving as retirements each year </a:t>
            </a:r>
          </a:p>
        </c:rich>
      </c:tx>
      <c:layout>
        <c:manualLayout>
          <c:xMode val="edge"/>
          <c:yMode val="edge"/>
          <c:x val="0.10911813505411512"/>
          <c:y val="4.6301052169632458E-3"/>
        </c:manualLayout>
      </c:layout>
      <c:overlay val="0"/>
    </c:title>
    <c:autoTitleDeleted val="0"/>
    <c:plotArea>
      <c:layout>
        <c:manualLayout>
          <c:layoutTarget val="inner"/>
          <c:xMode val="edge"/>
          <c:yMode val="edge"/>
          <c:x val="0.12119898897790499"/>
          <c:y val="0.17112277631962672"/>
          <c:w val="0.67987004758713243"/>
          <c:h val="0.72678623505395157"/>
        </c:manualLayout>
      </c:layout>
      <c:lineChart>
        <c:grouping val="standard"/>
        <c:varyColors val="0"/>
        <c:ser>
          <c:idx val="0"/>
          <c:order val="0"/>
          <c:tx>
            <c:strRef>
              <c:f>RAW_DATA_INPUTS!$O$139</c:f>
              <c:strCache>
                <c:ptCount val="1"/>
                <c:pt idx="0">
                  <c:v>20-29</c:v>
                </c:pt>
              </c:strCache>
            </c:strRef>
          </c:tx>
          <c:spPr>
            <a:ln>
              <a:solidFill>
                <a:schemeClr val="tx1">
                  <a:lumMod val="95000"/>
                  <a:lumOff val="5000"/>
                </a:schemeClr>
              </a:solidFill>
            </a:ln>
          </c:spPr>
          <c:marker>
            <c:symbol val="none"/>
          </c:marker>
          <c:cat>
            <c:strRef>
              <c:f>RAW_DATA_INPUTS!$P$138:$S$138</c:f>
              <c:strCache>
                <c:ptCount val="4"/>
                <c:pt idx="0">
                  <c:v>2011/12</c:v>
                </c:pt>
                <c:pt idx="1">
                  <c:v>2012/13</c:v>
                </c:pt>
                <c:pt idx="2">
                  <c:v>2013/14</c:v>
                </c:pt>
                <c:pt idx="3">
                  <c:v>2014/15</c:v>
                </c:pt>
              </c:strCache>
            </c:strRef>
          </c:cat>
          <c:val>
            <c:numRef>
              <c:f>RAW_DATA_INPUTS!$P$139:$S$139</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5FDF-4156-9BEF-1C2DE262CF26}"/>
            </c:ext>
          </c:extLst>
        </c:ser>
        <c:ser>
          <c:idx val="1"/>
          <c:order val="1"/>
          <c:tx>
            <c:strRef>
              <c:f>RAW_DATA_INPUTS!$O$140</c:f>
              <c:strCache>
                <c:ptCount val="1"/>
                <c:pt idx="0">
                  <c:v>30-39</c:v>
                </c:pt>
              </c:strCache>
            </c:strRef>
          </c:tx>
          <c:spPr>
            <a:ln>
              <a:solidFill>
                <a:schemeClr val="tx1">
                  <a:lumMod val="95000"/>
                  <a:lumOff val="5000"/>
                </a:schemeClr>
              </a:solidFill>
              <a:prstDash val="sysDot"/>
            </a:ln>
          </c:spPr>
          <c:marker>
            <c:symbol val="none"/>
          </c:marker>
          <c:cat>
            <c:strRef>
              <c:f>RAW_DATA_INPUTS!$P$138:$S$138</c:f>
              <c:strCache>
                <c:ptCount val="4"/>
                <c:pt idx="0">
                  <c:v>2011/12</c:v>
                </c:pt>
                <c:pt idx="1">
                  <c:v>2012/13</c:v>
                </c:pt>
                <c:pt idx="2">
                  <c:v>2013/14</c:v>
                </c:pt>
                <c:pt idx="3">
                  <c:v>2014/15</c:v>
                </c:pt>
              </c:strCache>
            </c:strRef>
          </c:cat>
          <c:val>
            <c:numRef>
              <c:f>RAW_DATA_INPUTS!$P$140:$S$140</c:f>
              <c:numCache>
                <c:formatCode>0%</c:formatCode>
                <c:ptCount val="4"/>
                <c:pt idx="0">
                  <c:v>1.7210121865206292E-4</c:v>
                </c:pt>
                <c:pt idx="1">
                  <c:v>1.6127969840519106E-4</c:v>
                </c:pt>
                <c:pt idx="2">
                  <c:v>2.0242301834103133E-4</c:v>
                </c:pt>
                <c:pt idx="3">
                  <c:v>1.9447184153979636E-4</c:v>
                </c:pt>
              </c:numCache>
            </c:numRef>
          </c:val>
          <c:smooth val="0"/>
          <c:extLst>
            <c:ext xmlns:c16="http://schemas.microsoft.com/office/drawing/2014/chart" uri="{C3380CC4-5D6E-409C-BE32-E72D297353CC}">
              <c16:uniqueId val="{00000001-5FDF-4156-9BEF-1C2DE262CF26}"/>
            </c:ext>
          </c:extLst>
        </c:ser>
        <c:ser>
          <c:idx val="2"/>
          <c:order val="2"/>
          <c:tx>
            <c:strRef>
              <c:f>RAW_DATA_INPUTS!$O$141</c:f>
              <c:strCache>
                <c:ptCount val="1"/>
                <c:pt idx="0">
                  <c:v>40-49</c:v>
                </c:pt>
              </c:strCache>
            </c:strRef>
          </c:tx>
          <c:spPr>
            <a:ln>
              <a:solidFill>
                <a:srgbClr val="FF0000"/>
              </a:solidFill>
            </a:ln>
          </c:spPr>
          <c:marker>
            <c:symbol val="none"/>
          </c:marker>
          <c:cat>
            <c:strRef>
              <c:f>RAW_DATA_INPUTS!$P$138:$S$138</c:f>
              <c:strCache>
                <c:ptCount val="4"/>
                <c:pt idx="0">
                  <c:v>2011/12</c:v>
                </c:pt>
                <c:pt idx="1">
                  <c:v>2012/13</c:v>
                </c:pt>
                <c:pt idx="2">
                  <c:v>2013/14</c:v>
                </c:pt>
                <c:pt idx="3">
                  <c:v>2014/15</c:v>
                </c:pt>
              </c:strCache>
            </c:strRef>
          </c:cat>
          <c:val>
            <c:numRef>
              <c:f>RAW_DATA_INPUTS!$P$141:$S$141</c:f>
              <c:numCache>
                <c:formatCode>0%</c:formatCode>
                <c:ptCount val="4"/>
                <c:pt idx="0">
                  <c:v>8.929462605450129E-4</c:v>
                </c:pt>
                <c:pt idx="1">
                  <c:v>8.7382070007745833E-4</c:v>
                </c:pt>
                <c:pt idx="2">
                  <c:v>8.6438272003026395E-4</c:v>
                </c:pt>
                <c:pt idx="3">
                  <c:v>6.256746156683634E-4</c:v>
                </c:pt>
              </c:numCache>
            </c:numRef>
          </c:val>
          <c:smooth val="0"/>
          <c:extLst>
            <c:ext xmlns:c16="http://schemas.microsoft.com/office/drawing/2014/chart" uri="{C3380CC4-5D6E-409C-BE32-E72D297353CC}">
              <c16:uniqueId val="{00000002-5FDF-4156-9BEF-1C2DE262CF26}"/>
            </c:ext>
          </c:extLst>
        </c:ser>
        <c:ser>
          <c:idx val="3"/>
          <c:order val="3"/>
          <c:tx>
            <c:strRef>
              <c:f>RAW_DATA_INPUTS!$O$142</c:f>
              <c:strCache>
                <c:ptCount val="1"/>
                <c:pt idx="0">
                  <c:v>50-59</c:v>
                </c:pt>
              </c:strCache>
            </c:strRef>
          </c:tx>
          <c:spPr>
            <a:ln>
              <a:solidFill>
                <a:srgbClr val="FF0000"/>
              </a:solidFill>
              <a:prstDash val="sysDash"/>
            </a:ln>
          </c:spPr>
          <c:marker>
            <c:symbol val="none"/>
          </c:marker>
          <c:cat>
            <c:strRef>
              <c:f>RAW_DATA_INPUTS!$P$138:$S$138</c:f>
              <c:strCache>
                <c:ptCount val="4"/>
                <c:pt idx="0">
                  <c:v>2011/12</c:v>
                </c:pt>
                <c:pt idx="1">
                  <c:v>2012/13</c:v>
                </c:pt>
                <c:pt idx="2">
                  <c:v>2013/14</c:v>
                </c:pt>
                <c:pt idx="3">
                  <c:v>2014/15</c:v>
                </c:pt>
              </c:strCache>
            </c:strRef>
          </c:cat>
          <c:val>
            <c:numRef>
              <c:f>RAW_DATA_INPUTS!$P$142:$S$142</c:f>
              <c:numCache>
                <c:formatCode>0%</c:formatCode>
                <c:ptCount val="4"/>
                <c:pt idx="0">
                  <c:v>0.10998735636053598</c:v>
                </c:pt>
                <c:pt idx="1">
                  <c:v>0.1016148039742112</c:v>
                </c:pt>
                <c:pt idx="2">
                  <c:v>9.6733408824907205E-2</c:v>
                </c:pt>
                <c:pt idx="3">
                  <c:v>8.5275727826731651E-2</c:v>
                </c:pt>
              </c:numCache>
            </c:numRef>
          </c:val>
          <c:smooth val="0"/>
          <c:extLst>
            <c:ext xmlns:c16="http://schemas.microsoft.com/office/drawing/2014/chart" uri="{C3380CC4-5D6E-409C-BE32-E72D297353CC}">
              <c16:uniqueId val="{00000003-5FDF-4156-9BEF-1C2DE262CF26}"/>
            </c:ext>
          </c:extLst>
        </c:ser>
        <c:ser>
          <c:idx val="4"/>
          <c:order val="4"/>
          <c:tx>
            <c:strRef>
              <c:f>RAW_DATA_INPUTS!$O$143</c:f>
              <c:strCache>
                <c:ptCount val="1"/>
                <c:pt idx="0">
                  <c:v>60 plus</c:v>
                </c:pt>
              </c:strCache>
            </c:strRef>
          </c:tx>
          <c:spPr>
            <a:ln>
              <a:solidFill>
                <a:srgbClr val="92D050"/>
              </a:solidFill>
            </a:ln>
          </c:spPr>
          <c:marker>
            <c:symbol val="none"/>
          </c:marker>
          <c:cat>
            <c:strRef>
              <c:f>RAW_DATA_INPUTS!$P$138:$S$138</c:f>
              <c:strCache>
                <c:ptCount val="4"/>
                <c:pt idx="0">
                  <c:v>2011/12</c:v>
                </c:pt>
                <c:pt idx="1">
                  <c:v>2012/13</c:v>
                </c:pt>
                <c:pt idx="2">
                  <c:v>2013/14</c:v>
                </c:pt>
                <c:pt idx="3">
                  <c:v>2014/15</c:v>
                </c:pt>
              </c:strCache>
            </c:strRef>
          </c:cat>
          <c:val>
            <c:numRef>
              <c:f>RAW_DATA_INPUTS!$P$143:$S$143</c:f>
              <c:numCache>
                <c:formatCode>0%</c:formatCode>
                <c:ptCount val="4"/>
                <c:pt idx="0">
                  <c:v>0.36168322250267992</c:v>
                </c:pt>
                <c:pt idx="1">
                  <c:v>0.36753270808887917</c:v>
                </c:pt>
                <c:pt idx="2">
                  <c:v>0.37396570356854675</c:v>
                </c:pt>
                <c:pt idx="3">
                  <c:v>0.33977543744014199</c:v>
                </c:pt>
              </c:numCache>
            </c:numRef>
          </c:val>
          <c:smooth val="0"/>
          <c:extLst>
            <c:ext xmlns:c16="http://schemas.microsoft.com/office/drawing/2014/chart" uri="{C3380CC4-5D6E-409C-BE32-E72D297353CC}">
              <c16:uniqueId val="{00000004-5FDF-4156-9BEF-1C2DE262CF26}"/>
            </c:ext>
          </c:extLst>
        </c:ser>
        <c:dLbls>
          <c:showLegendKey val="0"/>
          <c:showVal val="0"/>
          <c:showCatName val="0"/>
          <c:showSerName val="0"/>
          <c:showPercent val="0"/>
          <c:showBubbleSize val="0"/>
        </c:dLbls>
        <c:smooth val="0"/>
        <c:axId val="150993920"/>
        <c:axId val="150868736"/>
      </c:lineChart>
      <c:catAx>
        <c:axId val="15099392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868736"/>
        <c:crosses val="autoZero"/>
        <c:auto val="1"/>
        <c:lblAlgn val="ctr"/>
        <c:lblOffset val="100"/>
        <c:noMultiLvlLbl val="0"/>
      </c:catAx>
      <c:valAx>
        <c:axId val="150868736"/>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 of stock leaving the stock</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0993920"/>
        <c:crosses val="autoZero"/>
        <c:crossBetween val="between"/>
      </c:valAx>
      <c:spPr>
        <a:ln>
          <a:solidFill>
            <a:schemeClr val="tx1">
              <a:lumMod val="95000"/>
              <a:lumOff val="5000"/>
            </a:schemeClr>
          </a:solidFill>
        </a:ln>
      </c:spPr>
    </c:plotArea>
    <c:legend>
      <c:legendPos val="r"/>
      <c:layout>
        <c:manualLayout>
          <c:xMode val="edge"/>
          <c:yMode val="edge"/>
          <c:x val="0.8105985425886072"/>
          <c:y val="0.28962935325631828"/>
          <c:w val="0.16977437405573637"/>
          <c:h val="0.51272210575278643"/>
        </c:manualLayout>
      </c:layout>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Percentage of the qualified teacher stock leaving as deaths in service each year </a:t>
            </a:r>
          </a:p>
        </c:rich>
      </c:tx>
      <c:layout>
        <c:manualLayout>
          <c:xMode val="edge"/>
          <c:yMode val="edge"/>
          <c:x val="0.10911813505411512"/>
          <c:y val="4.6296943095070009E-3"/>
        </c:manualLayout>
      </c:layout>
      <c:overlay val="0"/>
    </c:title>
    <c:autoTitleDeleted val="0"/>
    <c:plotArea>
      <c:layout>
        <c:manualLayout>
          <c:layoutTarget val="inner"/>
          <c:xMode val="edge"/>
          <c:yMode val="edge"/>
          <c:x val="0.12950858036192742"/>
          <c:y val="0.17112277631962672"/>
          <c:w val="0.67156045620311"/>
          <c:h val="0.72678623505395157"/>
        </c:manualLayout>
      </c:layout>
      <c:lineChart>
        <c:grouping val="standard"/>
        <c:varyColors val="0"/>
        <c:ser>
          <c:idx val="0"/>
          <c:order val="0"/>
          <c:tx>
            <c:strRef>
              <c:f>RAW_DATA_INPUTS!$O$146</c:f>
              <c:strCache>
                <c:ptCount val="1"/>
                <c:pt idx="0">
                  <c:v>20-29</c:v>
                </c:pt>
              </c:strCache>
            </c:strRef>
          </c:tx>
          <c:spPr>
            <a:ln>
              <a:solidFill>
                <a:schemeClr val="tx1">
                  <a:lumMod val="95000"/>
                  <a:lumOff val="5000"/>
                </a:schemeClr>
              </a:solidFill>
            </a:ln>
          </c:spPr>
          <c:marker>
            <c:symbol val="none"/>
          </c:marker>
          <c:cat>
            <c:strRef>
              <c:f>RAW_DATA_INPUTS!$P$145:$S$145</c:f>
              <c:strCache>
                <c:ptCount val="4"/>
                <c:pt idx="0">
                  <c:v>2011/12</c:v>
                </c:pt>
                <c:pt idx="1">
                  <c:v>2012/13</c:v>
                </c:pt>
                <c:pt idx="2">
                  <c:v>2013/14</c:v>
                </c:pt>
                <c:pt idx="3">
                  <c:v>2014/15</c:v>
                </c:pt>
              </c:strCache>
            </c:strRef>
          </c:cat>
          <c:val>
            <c:numRef>
              <c:f>RAW_DATA_INPUTS!$P$146:$S$146</c:f>
              <c:numCache>
                <c:formatCode>0.00%</c:formatCode>
                <c:ptCount val="4"/>
                <c:pt idx="0">
                  <c:v>5.1626437745955454E-5</c:v>
                </c:pt>
                <c:pt idx="1">
                  <c:v>4.9963622485740582E-5</c:v>
                </c:pt>
                <c:pt idx="2">
                  <c:v>4.8928355500748837E-5</c:v>
                </c:pt>
                <c:pt idx="3">
                  <c:v>4.8025795922871185E-5</c:v>
                </c:pt>
              </c:numCache>
            </c:numRef>
          </c:val>
          <c:smooth val="0"/>
          <c:extLst>
            <c:ext xmlns:c16="http://schemas.microsoft.com/office/drawing/2014/chart" uri="{C3380CC4-5D6E-409C-BE32-E72D297353CC}">
              <c16:uniqueId val="{00000000-82A6-4D67-86D8-986340575DA4}"/>
            </c:ext>
          </c:extLst>
        </c:ser>
        <c:ser>
          <c:idx val="1"/>
          <c:order val="1"/>
          <c:tx>
            <c:strRef>
              <c:f>RAW_DATA_INPUTS!$O$147</c:f>
              <c:strCache>
                <c:ptCount val="1"/>
                <c:pt idx="0">
                  <c:v>30-39</c:v>
                </c:pt>
              </c:strCache>
            </c:strRef>
          </c:tx>
          <c:spPr>
            <a:ln>
              <a:solidFill>
                <a:schemeClr val="tx1">
                  <a:lumMod val="95000"/>
                  <a:lumOff val="5000"/>
                </a:schemeClr>
              </a:solidFill>
              <a:prstDash val="sysDot"/>
            </a:ln>
          </c:spPr>
          <c:marker>
            <c:symbol val="none"/>
          </c:marker>
          <c:cat>
            <c:strRef>
              <c:f>RAW_DATA_INPUTS!$P$145:$S$145</c:f>
              <c:strCache>
                <c:ptCount val="4"/>
                <c:pt idx="0">
                  <c:v>2011/12</c:v>
                </c:pt>
                <c:pt idx="1">
                  <c:v>2012/13</c:v>
                </c:pt>
                <c:pt idx="2">
                  <c:v>2013/14</c:v>
                </c:pt>
                <c:pt idx="3">
                  <c:v>2014/15</c:v>
                </c:pt>
              </c:strCache>
            </c:strRef>
          </c:cat>
          <c:val>
            <c:numRef>
              <c:f>RAW_DATA_INPUTS!$P$147:$S$147</c:f>
              <c:numCache>
                <c:formatCode>0.00%</c:formatCode>
                <c:ptCount val="4"/>
                <c:pt idx="0">
                  <c:v>2.8755221666578671E-4</c:v>
                </c:pt>
                <c:pt idx="1">
                  <c:v>1.9217794584585354E-4</c:v>
                </c:pt>
                <c:pt idx="2">
                  <c:v>1.8423766560028587E-4</c:v>
                </c:pt>
                <c:pt idx="3">
                  <c:v>1.8188976783866536E-4</c:v>
                </c:pt>
              </c:numCache>
            </c:numRef>
          </c:val>
          <c:smooth val="0"/>
          <c:extLst>
            <c:ext xmlns:c16="http://schemas.microsoft.com/office/drawing/2014/chart" uri="{C3380CC4-5D6E-409C-BE32-E72D297353CC}">
              <c16:uniqueId val="{00000001-82A6-4D67-86D8-986340575DA4}"/>
            </c:ext>
          </c:extLst>
        </c:ser>
        <c:ser>
          <c:idx val="2"/>
          <c:order val="2"/>
          <c:tx>
            <c:strRef>
              <c:f>RAW_DATA_INPUTS!$O$148</c:f>
              <c:strCache>
                <c:ptCount val="1"/>
                <c:pt idx="0">
                  <c:v>40-49</c:v>
                </c:pt>
              </c:strCache>
            </c:strRef>
          </c:tx>
          <c:spPr>
            <a:ln>
              <a:solidFill>
                <a:srgbClr val="FF0000"/>
              </a:solidFill>
            </a:ln>
          </c:spPr>
          <c:marker>
            <c:symbol val="none"/>
          </c:marker>
          <c:cat>
            <c:strRef>
              <c:f>RAW_DATA_INPUTS!$P$145:$S$145</c:f>
              <c:strCache>
                <c:ptCount val="4"/>
                <c:pt idx="0">
                  <c:v>2011/12</c:v>
                </c:pt>
                <c:pt idx="1">
                  <c:v>2012/13</c:v>
                </c:pt>
                <c:pt idx="2">
                  <c:v>2013/14</c:v>
                </c:pt>
                <c:pt idx="3">
                  <c:v>2014/15</c:v>
                </c:pt>
              </c:strCache>
            </c:strRef>
          </c:cat>
          <c:val>
            <c:numRef>
              <c:f>RAW_DATA_INPUTS!$P$148:$S$148</c:f>
              <c:numCache>
                <c:formatCode>0.00%</c:formatCode>
                <c:ptCount val="4"/>
                <c:pt idx="0">
                  <c:v>6.773593315777995E-4</c:v>
                </c:pt>
                <c:pt idx="1">
                  <c:v>5.357834007859273E-4</c:v>
                </c:pt>
                <c:pt idx="2">
                  <c:v>5.8860238936192966E-4</c:v>
                </c:pt>
                <c:pt idx="3">
                  <c:v>5.7522141413006683E-4</c:v>
                </c:pt>
              </c:numCache>
            </c:numRef>
          </c:val>
          <c:smooth val="0"/>
          <c:extLst>
            <c:ext xmlns:c16="http://schemas.microsoft.com/office/drawing/2014/chart" uri="{C3380CC4-5D6E-409C-BE32-E72D297353CC}">
              <c16:uniqueId val="{00000002-82A6-4D67-86D8-986340575DA4}"/>
            </c:ext>
          </c:extLst>
        </c:ser>
        <c:ser>
          <c:idx val="3"/>
          <c:order val="3"/>
          <c:tx>
            <c:strRef>
              <c:f>RAW_DATA_INPUTS!$O$149</c:f>
              <c:strCache>
                <c:ptCount val="1"/>
                <c:pt idx="0">
                  <c:v>50-59</c:v>
                </c:pt>
              </c:strCache>
            </c:strRef>
          </c:tx>
          <c:spPr>
            <a:ln>
              <a:solidFill>
                <a:srgbClr val="FF0000"/>
              </a:solidFill>
              <a:prstDash val="sysDash"/>
            </a:ln>
          </c:spPr>
          <c:marker>
            <c:symbol val="none"/>
          </c:marker>
          <c:cat>
            <c:strRef>
              <c:f>RAW_DATA_INPUTS!$P$145:$S$145</c:f>
              <c:strCache>
                <c:ptCount val="4"/>
                <c:pt idx="0">
                  <c:v>2011/12</c:v>
                </c:pt>
                <c:pt idx="1">
                  <c:v>2012/13</c:v>
                </c:pt>
                <c:pt idx="2">
                  <c:v>2013/14</c:v>
                </c:pt>
                <c:pt idx="3">
                  <c:v>2014/15</c:v>
                </c:pt>
              </c:strCache>
            </c:strRef>
          </c:cat>
          <c:val>
            <c:numRef>
              <c:f>RAW_DATA_INPUTS!$P$149:$S$149</c:f>
              <c:numCache>
                <c:formatCode>0.00%</c:formatCode>
                <c:ptCount val="4"/>
                <c:pt idx="0">
                  <c:v>1.3003318916062902E-3</c:v>
                </c:pt>
                <c:pt idx="1">
                  <c:v>8.9019322808780044E-4</c:v>
                </c:pt>
                <c:pt idx="2">
                  <c:v>1.0935636872977702E-3</c:v>
                </c:pt>
                <c:pt idx="3">
                  <c:v>1.1445077656254553E-3</c:v>
                </c:pt>
              </c:numCache>
            </c:numRef>
          </c:val>
          <c:smooth val="0"/>
          <c:extLst>
            <c:ext xmlns:c16="http://schemas.microsoft.com/office/drawing/2014/chart" uri="{C3380CC4-5D6E-409C-BE32-E72D297353CC}">
              <c16:uniqueId val="{00000003-82A6-4D67-86D8-986340575DA4}"/>
            </c:ext>
          </c:extLst>
        </c:ser>
        <c:ser>
          <c:idx val="4"/>
          <c:order val="4"/>
          <c:tx>
            <c:strRef>
              <c:f>RAW_DATA_INPUTS!$O$150</c:f>
              <c:strCache>
                <c:ptCount val="1"/>
                <c:pt idx="0">
                  <c:v>60 plus</c:v>
                </c:pt>
              </c:strCache>
            </c:strRef>
          </c:tx>
          <c:spPr>
            <a:ln>
              <a:solidFill>
                <a:srgbClr val="92D050"/>
              </a:solidFill>
            </a:ln>
          </c:spPr>
          <c:marker>
            <c:symbol val="none"/>
          </c:marker>
          <c:cat>
            <c:strRef>
              <c:f>RAW_DATA_INPUTS!$P$145:$S$145</c:f>
              <c:strCache>
                <c:ptCount val="4"/>
                <c:pt idx="0">
                  <c:v>2011/12</c:v>
                </c:pt>
                <c:pt idx="1">
                  <c:v>2012/13</c:v>
                </c:pt>
                <c:pt idx="2">
                  <c:v>2013/14</c:v>
                </c:pt>
                <c:pt idx="3">
                  <c:v>2014/15</c:v>
                </c:pt>
              </c:strCache>
            </c:strRef>
          </c:cat>
          <c:val>
            <c:numRef>
              <c:f>RAW_DATA_INPUTS!$P$150:$S$150</c:f>
              <c:numCache>
                <c:formatCode>0.00%</c:formatCode>
                <c:ptCount val="4"/>
                <c:pt idx="0">
                  <c:v>1.9264465205311037E-3</c:v>
                </c:pt>
                <c:pt idx="1">
                  <c:v>2.0693212396409397E-3</c:v>
                </c:pt>
                <c:pt idx="2">
                  <c:v>2.1730211674473427E-3</c:v>
                </c:pt>
                <c:pt idx="3">
                  <c:v>2.2101185368403327E-3</c:v>
                </c:pt>
              </c:numCache>
            </c:numRef>
          </c:val>
          <c:smooth val="0"/>
          <c:extLst>
            <c:ext xmlns:c16="http://schemas.microsoft.com/office/drawing/2014/chart" uri="{C3380CC4-5D6E-409C-BE32-E72D297353CC}">
              <c16:uniqueId val="{00000004-82A6-4D67-86D8-986340575DA4}"/>
            </c:ext>
          </c:extLst>
        </c:ser>
        <c:dLbls>
          <c:showLegendKey val="0"/>
          <c:showVal val="0"/>
          <c:showCatName val="0"/>
          <c:showSerName val="0"/>
          <c:showPercent val="0"/>
          <c:showBubbleSize val="0"/>
        </c:dLbls>
        <c:smooth val="0"/>
        <c:axId val="150919424"/>
        <c:axId val="150999040"/>
      </c:lineChart>
      <c:catAx>
        <c:axId val="15091942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0999040"/>
        <c:crosses val="autoZero"/>
        <c:auto val="1"/>
        <c:lblAlgn val="ctr"/>
        <c:lblOffset val="100"/>
        <c:noMultiLvlLbl val="0"/>
      </c:catAx>
      <c:valAx>
        <c:axId val="150999040"/>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 of stock leaving the stock</a:t>
                </a:r>
              </a:p>
            </c:rich>
          </c:tx>
          <c:overlay val="0"/>
        </c:title>
        <c:numFmt formatCode="0.0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50919424"/>
        <c:crosses val="autoZero"/>
        <c:crossBetween val="between"/>
      </c:valAx>
      <c:spPr>
        <a:ln>
          <a:solidFill>
            <a:schemeClr val="tx1">
              <a:lumMod val="95000"/>
              <a:lumOff val="5000"/>
            </a:schemeClr>
          </a:solidFill>
        </a:ln>
      </c:spPr>
    </c:plotArea>
    <c:legend>
      <c:legendPos val="r"/>
      <c:layout>
        <c:manualLayout>
          <c:xMode val="edge"/>
          <c:yMode val="edge"/>
          <c:x val="0.8105985425886072"/>
          <c:y val="0.28767220104222563"/>
          <c:w val="0.16977437405573637"/>
          <c:h val="0.51272210575278643"/>
        </c:manualLayout>
      </c:layout>
      <c:overlay val="0"/>
      <c:txPr>
        <a:bodyPr/>
        <a:lstStyle/>
        <a:p>
          <a:pPr>
            <a:defRPr sz="65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Male teacher wastage rates for different subjects</a:t>
            </a:r>
          </a:p>
        </c:rich>
      </c:tx>
      <c:overlay val="0"/>
    </c:title>
    <c:autoTitleDeleted val="0"/>
    <c:plotArea>
      <c:layout>
        <c:manualLayout>
          <c:layoutTarget val="inner"/>
          <c:xMode val="edge"/>
          <c:yMode val="edge"/>
          <c:x val="0.10352783293392674"/>
          <c:y val="0.12542158792650918"/>
          <c:w val="0.67203761268971818"/>
          <c:h val="0.78519192913385827"/>
        </c:manualLayout>
      </c:layout>
      <c:lineChart>
        <c:grouping val="standard"/>
        <c:varyColors val="0"/>
        <c:ser>
          <c:idx val="0"/>
          <c:order val="0"/>
          <c:tx>
            <c:strRef>
              <c:f>Group_1_rates!$B$105</c:f>
              <c:strCache>
                <c:ptCount val="1"/>
                <c:pt idx="0">
                  <c:v>Male - Group 1</c:v>
                </c:pt>
              </c:strCache>
            </c:strRef>
          </c:tx>
          <c:spPr>
            <a:ln>
              <a:solidFill>
                <a:schemeClr val="tx1">
                  <a:lumMod val="95000"/>
                  <a:lumOff val="5000"/>
                </a:schemeClr>
              </a:solidFill>
            </a:ln>
          </c:spPr>
          <c:marker>
            <c:symbol val="none"/>
          </c:marker>
          <c:cat>
            <c:strRef>
              <c:f>Group_1_rates!$C$104:$I$104</c:f>
              <c:strCache>
                <c:ptCount val="7"/>
                <c:pt idx="0">
                  <c:v>2014/15</c:v>
                </c:pt>
                <c:pt idx="1">
                  <c:v>2015/16</c:v>
                </c:pt>
                <c:pt idx="2">
                  <c:v>2016/17</c:v>
                </c:pt>
                <c:pt idx="3">
                  <c:v>2017/18</c:v>
                </c:pt>
                <c:pt idx="4">
                  <c:v>2018/19</c:v>
                </c:pt>
                <c:pt idx="5">
                  <c:v>2019/20</c:v>
                </c:pt>
                <c:pt idx="6">
                  <c:v>2020/21</c:v>
                </c:pt>
              </c:strCache>
            </c:strRef>
          </c:cat>
          <c:val>
            <c:numRef>
              <c:f>Group_1_rates!$C$105:$I$105</c:f>
              <c:numCache>
                <c:formatCode>0%</c:formatCode>
                <c:ptCount val="7"/>
                <c:pt idx="0">
                  <c:v>7.7174949525843209E-2</c:v>
                </c:pt>
                <c:pt idx="1">
                  <c:v>7.7174949525843209E-2</c:v>
                </c:pt>
                <c:pt idx="2">
                  <c:v>7.7174949525843209E-2</c:v>
                </c:pt>
                <c:pt idx="3">
                  <c:v>7.7174949525843209E-2</c:v>
                </c:pt>
                <c:pt idx="4">
                  <c:v>7.7174949525843209E-2</c:v>
                </c:pt>
                <c:pt idx="5">
                  <c:v>7.7174949525843209E-2</c:v>
                </c:pt>
                <c:pt idx="6">
                  <c:v>7.7174949525843209E-2</c:v>
                </c:pt>
              </c:numCache>
            </c:numRef>
          </c:val>
          <c:smooth val="0"/>
          <c:extLst>
            <c:ext xmlns:c16="http://schemas.microsoft.com/office/drawing/2014/chart" uri="{C3380CC4-5D6E-409C-BE32-E72D297353CC}">
              <c16:uniqueId val="{00000000-5980-4C2F-A4C1-5D6145587BAE}"/>
            </c:ext>
          </c:extLst>
        </c:ser>
        <c:ser>
          <c:idx val="2"/>
          <c:order val="1"/>
          <c:tx>
            <c:strRef>
              <c:f>Group_1_rates!$B$107</c:f>
              <c:strCache>
                <c:ptCount val="1"/>
                <c:pt idx="0">
                  <c:v>Male - Group 2</c:v>
                </c:pt>
              </c:strCache>
            </c:strRef>
          </c:tx>
          <c:spPr>
            <a:ln>
              <a:solidFill>
                <a:srgbClr val="FF0000"/>
              </a:solidFill>
            </a:ln>
          </c:spPr>
          <c:marker>
            <c:symbol val="none"/>
          </c:marker>
          <c:cat>
            <c:strRef>
              <c:f>Group_1_rates!$C$104:$I$104</c:f>
              <c:strCache>
                <c:ptCount val="7"/>
                <c:pt idx="0">
                  <c:v>2014/15</c:v>
                </c:pt>
                <c:pt idx="1">
                  <c:v>2015/16</c:v>
                </c:pt>
                <c:pt idx="2">
                  <c:v>2016/17</c:v>
                </c:pt>
                <c:pt idx="3">
                  <c:v>2017/18</c:v>
                </c:pt>
                <c:pt idx="4">
                  <c:v>2018/19</c:v>
                </c:pt>
                <c:pt idx="5">
                  <c:v>2019/20</c:v>
                </c:pt>
                <c:pt idx="6">
                  <c:v>2020/21</c:v>
                </c:pt>
              </c:strCache>
            </c:strRef>
          </c:cat>
          <c:val>
            <c:numRef>
              <c:f>Group_1_rates!$C$107:$I$107</c:f>
              <c:numCache>
                <c:formatCode>0%</c:formatCode>
                <c:ptCount val="7"/>
                <c:pt idx="0">
                  <c:v>7.4212379486463434E-2</c:v>
                </c:pt>
                <c:pt idx="1">
                  <c:v>7.4212379486463434E-2</c:v>
                </c:pt>
                <c:pt idx="2">
                  <c:v>7.4212379486463434E-2</c:v>
                </c:pt>
                <c:pt idx="3">
                  <c:v>7.4212379486463434E-2</c:v>
                </c:pt>
                <c:pt idx="4">
                  <c:v>7.4212379486463434E-2</c:v>
                </c:pt>
                <c:pt idx="5">
                  <c:v>7.4212379486463434E-2</c:v>
                </c:pt>
                <c:pt idx="6">
                  <c:v>7.4212379486463434E-2</c:v>
                </c:pt>
              </c:numCache>
            </c:numRef>
          </c:val>
          <c:smooth val="0"/>
          <c:extLst>
            <c:ext xmlns:c16="http://schemas.microsoft.com/office/drawing/2014/chart" uri="{C3380CC4-5D6E-409C-BE32-E72D297353CC}">
              <c16:uniqueId val="{00000001-5980-4C2F-A4C1-5D6145587BAE}"/>
            </c:ext>
          </c:extLst>
        </c:ser>
        <c:ser>
          <c:idx val="4"/>
          <c:order val="2"/>
          <c:tx>
            <c:strRef>
              <c:f>Group_1_rates!$B$109</c:f>
              <c:strCache>
                <c:ptCount val="1"/>
                <c:pt idx="0">
                  <c:v>Male - Group 3</c:v>
                </c:pt>
              </c:strCache>
            </c:strRef>
          </c:tx>
          <c:spPr>
            <a:ln>
              <a:solidFill>
                <a:srgbClr val="00B0F0"/>
              </a:solidFill>
            </a:ln>
          </c:spPr>
          <c:marker>
            <c:symbol val="none"/>
          </c:marker>
          <c:cat>
            <c:strRef>
              <c:f>Group_1_rates!$C$104:$I$104</c:f>
              <c:strCache>
                <c:ptCount val="7"/>
                <c:pt idx="0">
                  <c:v>2014/15</c:v>
                </c:pt>
                <c:pt idx="1">
                  <c:v>2015/16</c:v>
                </c:pt>
                <c:pt idx="2">
                  <c:v>2016/17</c:v>
                </c:pt>
                <c:pt idx="3">
                  <c:v>2017/18</c:v>
                </c:pt>
                <c:pt idx="4">
                  <c:v>2018/19</c:v>
                </c:pt>
                <c:pt idx="5">
                  <c:v>2019/20</c:v>
                </c:pt>
                <c:pt idx="6">
                  <c:v>2020/21</c:v>
                </c:pt>
              </c:strCache>
            </c:strRef>
          </c:cat>
          <c:val>
            <c:numRef>
              <c:f>Group_1_rates!$C$109:$I$109</c:f>
              <c:numCache>
                <c:formatCode>0%</c:formatCode>
                <c:ptCount val="7"/>
                <c:pt idx="0">
                  <c:v>7.0509166937238701E-2</c:v>
                </c:pt>
                <c:pt idx="1">
                  <c:v>7.0509166937238701E-2</c:v>
                </c:pt>
                <c:pt idx="2">
                  <c:v>7.0509166937238701E-2</c:v>
                </c:pt>
                <c:pt idx="3">
                  <c:v>7.0509166937238701E-2</c:v>
                </c:pt>
                <c:pt idx="4">
                  <c:v>7.0509166937238701E-2</c:v>
                </c:pt>
                <c:pt idx="5">
                  <c:v>7.0509166937238701E-2</c:v>
                </c:pt>
                <c:pt idx="6">
                  <c:v>7.0509166937238701E-2</c:v>
                </c:pt>
              </c:numCache>
            </c:numRef>
          </c:val>
          <c:smooth val="0"/>
          <c:extLst>
            <c:ext xmlns:c16="http://schemas.microsoft.com/office/drawing/2014/chart" uri="{C3380CC4-5D6E-409C-BE32-E72D297353CC}">
              <c16:uniqueId val="{00000002-5980-4C2F-A4C1-5D6145587BAE}"/>
            </c:ext>
          </c:extLst>
        </c:ser>
        <c:dLbls>
          <c:showLegendKey val="0"/>
          <c:showVal val="0"/>
          <c:showCatName val="0"/>
          <c:showSerName val="0"/>
          <c:showPercent val="0"/>
          <c:showBubbleSize val="0"/>
        </c:dLbls>
        <c:smooth val="0"/>
        <c:axId val="151307008"/>
        <c:axId val="151308544"/>
      </c:lineChart>
      <c:catAx>
        <c:axId val="1513070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8544"/>
        <c:crosses val="autoZero"/>
        <c:auto val="1"/>
        <c:lblAlgn val="ctr"/>
        <c:lblOffset val="100"/>
        <c:noMultiLvlLbl val="0"/>
      </c:catAx>
      <c:valAx>
        <c:axId val="15130854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307008"/>
        <c:crosses val="autoZero"/>
        <c:crossBetween val="between"/>
      </c:valAx>
      <c:spPr>
        <a:ln>
          <a:solidFill>
            <a:schemeClr val="tx1">
              <a:lumMod val="95000"/>
              <a:lumOff val="5000"/>
            </a:schemeClr>
          </a:solidFill>
        </a:ln>
      </c:spPr>
    </c:plotArea>
    <c:legend>
      <c:legendPos val="r"/>
      <c:layout>
        <c:manualLayout>
          <c:xMode val="edge"/>
          <c:yMode val="edge"/>
          <c:x val="0.79740799823036712"/>
          <c:y val="0.28032429908525586"/>
          <c:w val="0.18557561990326576"/>
          <c:h val="0.4501359028234677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Chart illustrating PTR projections used in the model</a:t>
            </a:r>
          </a:p>
        </c:rich>
      </c:tx>
      <c:overlay val="0"/>
    </c:title>
    <c:autoTitleDeleted val="0"/>
    <c:plotArea>
      <c:layout>
        <c:manualLayout>
          <c:layoutTarget val="inner"/>
          <c:xMode val="edge"/>
          <c:yMode val="edge"/>
          <c:x val="0.10724538801484612"/>
          <c:y val="0.12734644202994178"/>
          <c:w val="0.56238846956385347"/>
          <c:h val="0.69713544186864906"/>
        </c:manualLayout>
      </c:layout>
      <c:lineChart>
        <c:grouping val="standard"/>
        <c:varyColors val="0"/>
        <c:ser>
          <c:idx val="0"/>
          <c:order val="0"/>
          <c:tx>
            <c:strRef>
              <c:f>USER_TESTING_TAB!$AD$212</c:f>
              <c:strCache>
                <c:ptCount val="1"/>
                <c:pt idx="0">
                  <c:v>Primary PTR - default</c:v>
                </c:pt>
              </c:strCache>
            </c:strRef>
          </c:tx>
          <c:spPr>
            <a:ln>
              <a:solidFill>
                <a:schemeClr val="tx1">
                  <a:lumMod val="95000"/>
                  <a:lumOff val="5000"/>
                </a:schemeClr>
              </a:solidFill>
            </a:ln>
          </c:spPr>
          <c:marker>
            <c:symbol val="none"/>
          </c:marker>
          <c:cat>
            <c:strRef>
              <c:f>USER_TESTING_TAB!$AE$211:$AQ$211</c:f>
              <c:strCache>
                <c:ptCount val="13"/>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strCache>
            </c:strRef>
          </c:cat>
          <c:val>
            <c:numRef>
              <c:f>USER_TESTING_TAB!$AE$212:$AQ$212</c:f>
              <c:numCache>
                <c:formatCode>0</c:formatCode>
                <c:ptCount val="13"/>
                <c:pt idx="0">
                  <c:v>19.867491083418759</c:v>
                </c:pt>
                <c:pt idx="1">
                  <c:v>20.07459521362799</c:v>
                </c:pt>
                <c:pt idx="2">
                  <c:v>20.201875376067751</c:v>
                </c:pt>
                <c:pt idx="3">
                  <c:v>20.2564174074272</c:v>
                </c:pt>
                <c:pt idx="4">
                  <c:v>20.258081734031702</c:v>
                </c:pt>
                <c:pt idx="5">
                  <c:v>20.27993630616475</c:v>
                </c:pt>
                <c:pt idx="6">
                  <c:v>20.286670176625265</c:v>
                </c:pt>
                <c:pt idx="7">
                  <c:v>20.269151611127398</c:v>
                </c:pt>
                <c:pt idx="8">
                  <c:v>20.236658455991094</c:v>
                </c:pt>
                <c:pt idx="9">
                  <c:v>20.256331315311471</c:v>
                </c:pt>
                <c:pt idx="10">
                  <c:v>20.313378969436201</c:v>
                </c:pt>
                <c:pt idx="11">
                  <c:v>20.374951306924679</c:v>
                </c:pt>
                <c:pt idx="12">
                  <c:v>20.421112614383947</c:v>
                </c:pt>
              </c:numCache>
            </c:numRef>
          </c:val>
          <c:smooth val="0"/>
          <c:extLst>
            <c:ext xmlns:c16="http://schemas.microsoft.com/office/drawing/2014/chart" uri="{C3380CC4-5D6E-409C-BE32-E72D297353CC}">
              <c16:uniqueId val="{00000000-8CE8-405D-B3AB-CE2C8FB23478}"/>
            </c:ext>
          </c:extLst>
        </c:ser>
        <c:ser>
          <c:idx val="1"/>
          <c:order val="1"/>
          <c:tx>
            <c:strRef>
              <c:f>USER_TESTING_TAB!$AD$213</c:f>
              <c:strCache>
                <c:ptCount val="1"/>
                <c:pt idx="0">
                  <c:v>Primary PTR - user selected</c:v>
                </c:pt>
              </c:strCache>
            </c:strRef>
          </c:tx>
          <c:spPr>
            <a:ln>
              <a:solidFill>
                <a:schemeClr val="tx1">
                  <a:lumMod val="95000"/>
                  <a:lumOff val="5000"/>
                </a:schemeClr>
              </a:solidFill>
              <a:prstDash val="sysDot"/>
            </a:ln>
          </c:spPr>
          <c:marker>
            <c:symbol val="none"/>
          </c:marker>
          <c:cat>
            <c:strRef>
              <c:f>USER_TESTING_TAB!$AE$211:$AQ$211</c:f>
              <c:strCache>
                <c:ptCount val="13"/>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strCache>
            </c:strRef>
          </c:cat>
          <c:val>
            <c:numRef>
              <c:f>USER_TESTING_TAB!$AE$213:$AQ$213</c:f>
              <c:numCache>
                <c:formatCode>0</c:formatCode>
                <c:ptCount val="13"/>
                <c:pt idx="0">
                  <c:v>19.867491083418759</c:v>
                </c:pt>
                <c:pt idx="1">
                  <c:v>20.07459521362799</c:v>
                </c:pt>
                <c:pt idx="2">
                  <c:v>20.201875376067751</c:v>
                </c:pt>
                <c:pt idx="3">
                  <c:v>20.2564174074272</c:v>
                </c:pt>
                <c:pt idx="4">
                  <c:v>20.258081734031702</c:v>
                </c:pt>
                <c:pt idx="5">
                  <c:v>20.27993630616475</c:v>
                </c:pt>
                <c:pt idx="6">
                  <c:v>20.286670176625265</c:v>
                </c:pt>
                <c:pt idx="7">
                  <c:v>20.269151611127398</c:v>
                </c:pt>
                <c:pt idx="8">
                  <c:v>20.236658455991094</c:v>
                </c:pt>
                <c:pt idx="9">
                  <c:v>20.256331315311471</c:v>
                </c:pt>
                <c:pt idx="10">
                  <c:v>20.313378969436201</c:v>
                </c:pt>
                <c:pt idx="11">
                  <c:v>20.374951306924679</c:v>
                </c:pt>
                <c:pt idx="12">
                  <c:v>20.421112614383947</c:v>
                </c:pt>
              </c:numCache>
            </c:numRef>
          </c:val>
          <c:smooth val="0"/>
          <c:extLst>
            <c:ext xmlns:c16="http://schemas.microsoft.com/office/drawing/2014/chart" uri="{C3380CC4-5D6E-409C-BE32-E72D297353CC}">
              <c16:uniqueId val="{00000001-8CE8-405D-B3AB-CE2C8FB23478}"/>
            </c:ext>
          </c:extLst>
        </c:ser>
        <c:ser>
          <c:idx val="2"/>
          <c:order val="2"/>
          <c:tx>
            <c:strRef>
              <c:f>USER_TESTING_TAB!$AD$214</c:f>
              <c:strCache>
                <c:ptCount val="1"/>
                <c:pt idx="0">
                  <c:v>Secondary PTR - default</c:v>
                </c:pt>
              </c:strCache>
            </c:strRef>
          </c:tx>
          <c:spPr>
            <a:ln>
              <a:solidFill>
                <a:srgbClr val="FF0000"/>
              </a:solidFill>
            </a:ln>
          </c:spPr>
          <c:marker>
            <c:symbol val="none"/>
          </c:marker>
          <c:cat>
            <c:strRef>
              <c:f>USER_TESTING_TAB!$AE$211:$AQ$211</c:f>
              <c:strCache>
                <c:ptCount val="13"/>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strCache>
            </c:strRef>
          </c:cat>
          <c:val>
            <c:numRef>
              <c:f>USER_TESTING_TAB!$AE$214:$AQ$214</c:f>
              <c:numCache>
                <c:formatCode>0</c:formatCode>
                <c:ptCount val="13"/>
                <c:pt idx="0">
                  <c:v>14.376115391672679</c:v>
                </c:pt>
                <c:pt idx="1">
                  <c:v>14.462998259445644</c:v>
                </c:pt>
                <c:pt idx="2">
                  <c:v>14.608953947490665</c:v>
                </c:pt>
                <c:pt idx="3">
                  <c:v>14.823010333003189</c:v>
                </c:pt>
                <c:pt idx="4">
                  <c:v>15.057877350775287</c:v>
                </c:pt>
                <c:pt idx="5">
                  <c:v>15.246031054899905</c:v>
                </c:pt>
                <c:pt idx="6">
                  <c:v>15.447409749702491</c:v>
                </c:pt>
                <c:pt idx="7">
                  <c:v>15.668727634627725</c:v>
                </c:pt>
                <c:pt idx="8">
                  <c:v>15.85864450927671</c:v>
                </c:pt>
                <c:pt idx="9">
                  <c:v>15.928669981461855</c:v>
                </c:pt>
                <c:pt idx="10">
                  <c:v>15.956570421586527</c:v>
                </c:pt>
                <c:pt idx="11">
                  <c:v>15.945804558344161</c:v>
                </c:pt>
                <c:pt idx="12">
                  <c:v>15.913130818376334</c:v>
                </c:pt>
              </c:numCache>
            </c:numRef>
          </c:val>
          <c:smooth val="0"/>
          <c:extLst>
            <c:ext xmlns:c16="http://schemas.microsoft.com/office/drawing/2014/chart" uri="{C3380CC4-5D6E-409C-BE32-E72D297353CC}">
              <c16:uniqueId val="{00000002-8CE8-405D-B3AB-CE2C8FB23478}"/>
            </c:ext>
          </c:extLst>
        </c:ser>
        <c:ser>
          <c:idx val="3"/>
          <c:order val="3"/>
          <c:tx>
            <c:strRef>
              <c:f>USER_TESTING_TAB!$AD$215</c:f>
              <c:strCache>
                <c:ptCount val="1"/>
                <c:pt idx="0">
                  <c:v>Secondary PTR - user selected</c:v>
                </c:pt>
              </c:strCache>
            </c:strRef>
          </c:tx>
          <c:spPr>
            <a:ln>
              <a:solidFill>
                <a:srgbClr val="FF0000"/>
              </a:solidFill>
              <a:prstDash val="sysDot"/>
            </a:ln>
          </c:spPr>
          <c:marker>
            <c:symbol val="none"/>
          </c:marker>
          <c:cat>
            <c:strRef>
              <c:f>USER_TESTING_TAB!$AE$211:$AQ$211</c:f>
              <c:strCache>
                <c:ptCount val="13"/>
                <c:pt idx="0">
                  <c:v>2015/16</c:v>
                </c:pt>
                <c:pt idx="1">
                  <c:v>2016/17</c:v>
                </c:pt>
                <c:pt idx="2">
                  <c:v>2017/18</c:v>
                </c:pt>
                <c:pt idx="3">
                  <c:v>2018/19</c:v>
                </c:pt>
                <c:pt idx="4">
                  <c:v>2019/20</c:v>
                </c:pt>
                <c:pt idx="5">
                  <c:v>2020/21</c:v>
                </c:pt>
                <c:pt idx="6">
                  <c:v>2021/22</c:v>
                </c:pt>
                <c:pt idx="7">
                  <c:v>2022/23</c:v>
                </c:pt>
                <c:pt idx="8">
                  <c:v>2023/24</c:v>
                </c:pt>
                <c:pt idx="9">
                  <c:v>2024/25</c:v>
                </c:pt>
                <c:pt idx="10">
                  <c:v>2025/26</c:v>
                </c:pt>
                <c:pt idx="11">
                  <c:v>2026/27</c:v>
                </c:pt>
                <c:pt idx="12">
                  <c:v>2027/28</c:v>
                </c:pt>
              </c:strCache>
            </c:strRef>
          </c:cat>
          <c:val>
            <c:numRef>
              <c:f>USER_TESTING_TAB!$AE$215:$AQ$215</c:f>
              <c:numCache>
                <c:formatCode>0</c:formatCode>
                <c:ptCount val="13"/>
                <c:pt idx="0">
                  <c:v>14.376115391672679</c:v>
                </c:pt>
                <c:pt idx="1">
                  <c:v>14.462998259445644</c:v>
                </c:pt>
                <c:pt idx="2">
                  <c:v>14.608953947490665</c:v>
                </c:pt>
                <c:pt idx="3">
                  <c:v>14.823010333003189</c:v>
                </c:pt>
                <c:pt idx="4">
                  <c:v>15.057877350775287</c:v>
                </c:pt>
                <c:pt idx="5">
                  <c:v>15.246031054899905</c:v>
                </c:pt>
                <c:pt idx="6">
                  <c:v>15.447409749702491</c:v>
                </c:pt>
                <c:pt idx="7">
                  <c:v>15.668727634627725</c:v>
                </c:pt>
                <c:pt idx="8">
                  <c:v>15.85864450927671</c:v>
                </c:pt>
                <c:pt idx="9">
                  <c:v>15.928669981461855</c:v>
                </c:pt>
                <c:pt idx="10">
                  <c:v>15.956570421586527</c:v>
                </c:pt>
                <c:pt idx="11">
                  <c:v>15.945804558344161</c:v>
                </c:pt>
                <c:pt idx="12">
                  <c:v>15.913130818376334</c:v>
                </c:pt>
              </c:numCache>
            </c:numRef>
          </c:val>
          <c:smooth val="0"/>
          <c:extLst>
            <c:ext xmlns:c16="http://schemas.microsoft.com/office/drawing/2014/chart" uri="{C3380CC4-5D6E-409C-BE32-E72D297353CC}">
              <c16:uniqueId val="{00000003-8CE8-405D-B3AB-CE2C8FB23478}"/>
            </c:ext>
          </c:extLst>
        </c:ser>
        <c:dLbls>
          <c:showLegendKey val="0"/>
          <c:showVal val="0"/>
          <c:showCatName val="0"/>
          <c:showSerName val="0"/>
          <c:showPercent val="0"/>
          <c:showBubbleSize val="0"/>
        </c:dLbls>
        <c:smooth val="0"/>
        <c:axId val="148415616"/>
        <c:axId val="148417152"/>
      </c:lineChart>
      <c:catAx>
        <c:axId val="14841561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48417152"/>
        <c:crosses val="autoZero"/>
        <c:auto val="1"/>
        <c:lblAlgn val="ctr"/>
        <c:lblOffset val="100"/>
        <c:noMultiLvlLbl val="0"/>
      </c:catAx>
      <c:valAx>
        <c:axId val="148417152"/>
        <c:scaling>
          <c:orientation val="minMax"/>
          <c:min val="10"/>
        </c:scaling>
        <c:delete val="0"/>
        <c:axPos val="l"/>
        <c:majorGridlines>
          <c:spPr>
            <a:ln>
              <a:solidFill>
                <a:schemeClr val="tx1"/>
              </a:solidFill>
            </a:ln>
          </c:spPr>
        </c:majorGridlines>
        <c:title>
          <c:tx>
            <c:rich>
              <a:bodyPr/>
              <a:lstStyle/>
              <a:p>
                <a:pPr>
                  <a:defRPr sz="1000" b="1" i="0" u="none" strike="noStrike" baseline="0">
                    <a:solidFill>
                      <a:srgbClr val="000000"/>
                    </a:solidFill>
                    <a:latin typeface="Calibri"/>
                    <a:ea typeface="Calibri"/>
                    <a:cs typeface="Calibri"/>
                  </a:defRPr>
                </a:pPr>
                <a:r>
                  <a:rPr lang="en-GB"/>
                  <a:t>Pupil:Teacher Ratios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15616"/>
        <c:crosses val="autoZero"/>
        <c:crossBetween val="between"/>
      </c:valAx>
      <c:spPr>
        <a:ln>
          <a:solidFill>
            <a:schemeClr val="tx1"/>
          </a:solidFill>
        </a:ln>
      </c:spPr>
    </c:plotArea>
    <c:legend>
      <c:legendPos val="r"/>
      <c:layout>
        <c:manualLayout>
          <c:xMode val="edge"/>
          <c:yMode val="edge"/>
          <c:x val="0.67843729057841062"/>
          <c:y val="0.23667151508465978"/>
          <c:w val="0.28850486078946336"/>
          <c:h val="0.53186098701849049"/>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Calibri"/>
                <a:ea typeface="Calibri"/>
                <a:cs typeface="Calibri"/>
              </a:defRPr>
            </a:pPr>
            <a:r>
              <a:rPr lang="en-GB"/>
              <a:t>Female teacher wastage rates for different subjects</a:t>
            </a:r>
          </a:p>
        </c:rich>
      </c:tx>
      <c:overlay val="0"/>
    </c:title>
    <c:autoTitleDeleted val="0"/>
    <c:plotArea>
      <c:layout>
        <c:manualLayout>
          <c:layoutTarget val="inner"/>
          <c:xMode val="edge"/>
          <c:yMode val="edge"/>
          <c:x val="0.11280319525276732"/>
          <c:y val="0.12542158792650918"/>
          <c:w val="0.62200123245463879"/>
          <c:h val="0.78519192913385827"/>
        </c:manualLayout>
      </c:layout>
      <c:lineChart>
        <c:grouping val="standard"/>
        <c:varyColors val="0"/>
        <c:ser>
          <c:idx val="1"/>
          <c:order val="0"/>
          <c:tx>
            <c:strRef>
              <c:f>Group_1_rates!$B$106</c:f>
              <c:strCache>
                <c:ptCount val="1"/>
                <c:pt idx="0">
                  <c:v>Female - Group 1</c:v>
                </c:pt>
              </c:strCache>
            </c:strRef>
          </c:tx>
          <c:spPr>
            <a:ln>
              <a:solidFill>
                <a:schemeClr val="tx1">
                  <a:lumMod val="95000"/>
                  <a:lumOff val="5000"/>
                </a:schemeClr>
              </a:solidFill>
              <a:prstDash val="sysDot"/>
            </a:ln>
          </c:spPr>
          <c:marker>
            <c:symbol val="none"/>
          </c:marker>
          <c:cat>
            <c:strRef>
              <c:f>Group_1_rates!$C$104:$I$104</c:f>
              <c:strCache>
                <c:ptCount val="7"/>
                <c:pt idx="0">
                  <c:v>2014/15</c:v>
                </c:pt>
                <c:pt idx="1">
                  <c:v>2015/16</c:v>
                </c:pt>
                <c:pt idx="2">
                  <c:v>2016/17</c:v>
                </c:pt>
                <c:pt idx="3">
                  <c:v>2017/18</c:v>
                </c:pt>
                <c:pt idx="4">
                  <c:v>2018/19</c:v>
                </c:pt>
                <c:pt idx="5">
                  <c:v>2019/20</c:v>
                </c:pt>
                <c:pt idx="6">
                  <c:v>2020/21</c:v>
                </c:pt>
              </c:strCache>
            </c:strRef>
          </c:cat>
          <c:val>
            <c:numRef>
              <c:f>Group_1_rates!$C$106:$I$106</c:f>
              <c:numCache>
                <c:formatCode>0%</c:formatCode>
                <c:ptCount val="7"/>
                <c:pt idx="0">
                  <c:v>8.3390110930926784E-2</c:v>
                </c:pt>
                <c:pt idx="1">
                  <c:v>8.3390110930926784E-2</c:v>
                </c:pt>
                <c:pt idx="2">
                  <c:v>8.3390110930926784E-2</c:v>
                </c:pt>
                <c:pt idx="3">
                  <c:v>8.3390110930926784E-2</c:v>
                </c:pt>
                <c:pt idx="4">
                  <c:v>8.3390110930926784E-2</c:v>
                </c:pt>
                <c:pt idx="5">
                  <c:v>8.3390110930926784E-2</c:v>
                </c:pt>
                <c:pt idx="6">
                  <c:v>8.3390110930926784E-2</c:v>
                </c:pt>
              </c:numCache>
            </c:numRef>
          </c:val>
          <c:smooth val="0"/>
          <c:extLst>
            <c:ext xmlns:c16="http://schemas.microsoft.com/office/drawing/2014/chart" uri="{C3380CC4-5D6E-409C-BE32-E72D297353CC}">
              <c16:uniqueId val="{00000000-7F8E-4286-BECA-052E6235495D}"/>
            </c:ext>
          </c:extLst>
        </c:ser>
        <c:ser>
          <c:idx val="3"/>
          <c:order val="1"/>
          <c:tx>
            <c:strRef>
              <c:f>Group_1_rates!$B$108</c:f>
              <c:strCache>
                <c:ptCount val="1"/>
                <c:pt idx="0">
                  <c:v>Female - Group 2</c:v>
                </c:pt>
              </c:strCache>
            </c:strRef>
          </c:tx>
          <c:spPr>
            <a:ln>
              <a:solidFill>
                <a:srgbClr val="FF0000"/>
              </a:solidFill>
              <a:prstDash val="sysDot"/>
            </a:ln>
          </c:spPr>
          <c:marker>
            <c:symbol val="none"/>
          </c:marker>
          <c:cat>
            <c:strRef>
              <c:f>Group_1_rates!$C$104:$I$104</c:f>
              <c:strCache>
                <c:ptCount val="7"/>
                <c:pt idx="0">
                  <c:v>2014/15</c:v>
                </c:pt>
                <c:pt idx="1">
                  <c:v>2015/16</c:v>
                </c:pt>
                <c:pt idx="2">
                  <c:v>2016/17</c:v>
                </c:pt>
                <c:pt idx="3">
                  <c:v>2017/18</c:v>
                </c:pt>
                <c:pt idx="4">
                  <c:v>2018/19</c:v>
                </c:pt>
                <c:pt idx="5">
                  <c:v>2019/20</c:v>
                </c:pt>
                <c:pt idx="6">
                  <c:v>2020/21</c:v>
                </c:pt>
              </c:strCache>
            </c:strRef>
          </c:cat>
          <c:val>
            <c:numRef>
              <c:f>Group_1_rates!$C$108:$I$108</c:f>
              <c:numCache>
                <c:formatCode>0%</c:formatCode>
                <c:ptCount val="7"/>
                <c:pt idx="0">
                  <c:v>8.4310162305290065E-2</c:v>
                </c:pt>
                <c:pt idx="1">
                  <c:v>8.4310162305290065E-2</c:v>
                </c:pt>
                <c:pt idx="2">
                  <c:v>8.4310162305290065E-2</c:v>
                </c:pt>
                <c:pt idx="3">
                  <c:v>8.4310162305290065E-2</c:v>
                </c:pt>
                <c:pt idx="4">
                  <c:v>8.4310162305290065E-2</c:v>
                </c:pt>
                <c:pt idx="5">
                  <c:v>8.4310162305290065E-2</c:v>
                </c:pt>
                <c:pt idx="6">
                  <c:v>8.4310162305290065E-2</c:v>
                </c:pt>
              </c:numCache>
            </c:numRef>
          </c:val>
          <c:smooth val="0"/>
          <c:extLst>
            <c:ext xmlns:c16="http://schemas.microsoft.com/office/drawing/2014/chart" uri="{C3380CC4-5D6E-409C-BE32-E72D297353CC}">
              <c16:uniqueId val="{00000001-7F8E-4286-BECA-052E6235495D}"/>
            </c:ext>
          </c:extLst>
        </c:ser>
        <c:ser>
          <c:idx val="5"/>
          <c:order val="2"/>
          <c:tx>
            <c:strRef>
              <c:f>Group_1_rates!$B$110</c:f>
              <c:strCache>
                <c:ptCount val="1"/>
                <c:pt idx="0">
                  <c:v>Female - Group 3</c:v>
                </c:pt>
              </c:strCache>
            </c:strRef>
          </c:tx>
          <c:spPr>
            <a:ln>
              <a:solidFill>
                <a:srgbClr val="00B0F0"/>
              </a:solidFill>
              <a:prstDash val="sysDot"/>
            </a:ln>
          </c:spPr>
          <c:marker>
            <c:symbol val="none"/>
          </c:marker>
          <c:cat>
            <c:strRef>
              <c:f>Group_1_rates!$C$104:$I$104</c:f>
              <c:strCache>
                <c:ptCount val="7"/>
                <c:pt idx="0">
                  <c:v>2014/15</c:v>
                </c:pt>
                <c:pt idx="1">
                  <c:v>2015/16</c:v>
                </c:pt>
                <c:pt idx="2">
                  <c:v>2016/17</c:v>
                </c:pt>
                <c:pt idx="3">
                  <c:v>2017/18</c:v>
                </c:pt>
                <c:pt idx="4">
                  <c:v>2018/19</c:v>
                </c:pt>
                <c:pt idx="5">
                  <c:v>2019/20</c:v>
                </c:pt>
                <c:pt idx="6">
                  <c:v>2020/21</c:v>
                </c:pt>
              </c:strCache>
            </c:strRef>
          </c:cat>
          <c:val>
            <c:numRef>
              <c:f>Group_1_rates!$C$110:$I$110</c:f>
              <c:numCache>
                <c:formatCode>0%</c:formatCode>
                <c:ptCount val="7"/>
                <c:pt idx="0">
                  <c:v>8.322282886286074E-2</c:v>
                </c:pt>
                <c:pt idx="1">
                  <c:v>8.322282886286074E-2</c:v>
                </c:pt>
                <c:pt idx="2">
                  <c:v>8.322282886286074E-2</c:v>
                </c:pt>
                <c:pt idx="3">
                  <c:v>8.322282886286074E-2</c:v>
                </c:pt>
                <c:pt idx="4">
                  <c:v>8.322282886286074E-2</c:v>
                </c:pt>
                <c:pt idx="5">
                  <c:v>8.322282886286074E-2</c:v>
                </c:pt>
                <c:pt idx="6">
                  <c:v>8.322282886286074E-2</c:v>
                </c:pt>
              </c:numCache>
            </c:numRef>
          </c:val>
          <c:smooth val="0"/>
          <c:extLst>
            <c:ext xmlns:c16="http://schemas.microsoft.com/office/drawing/2014/chart" uri="{C3380CC4-5D6E-409C-BE32-E72D297353CC}">
              <c16:uniqueId val="{00000002-7F8E-4286-BECA-052E6235495D}"/>
            </c:ext>
          </c:extLst>
        </c:ser>
        <c:dLbls>
          <c:showLegendKey val="0"/>
          <c:showVal val="0"/>
          <c:showCatName val="0"/>
          <c:showSerName val="0"/>
          <c:showPercent val="0"/>
          <c:showBubbleSize val="0"/>
        </c:dLbls>
        <c:smooth val="0"/>
        <c:axId val="151614976"/>
        <c:axId val="151616512"/>
      </c:lineChart>
      <c:catAx>
        <c:axId val="15161497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6512"/>
        <c:crosses val="autoZero"/>
        <c:auto val="1"/>
        <c:lblAlgn val="ctr"/>
        <c:lblOffset val="100"/>
        <c:noMultiLvlLbl val="0"/>
      </c:catAx>
      <c:valAx>
        <c:axId val="1516165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Wastage rates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1614976"/>
        <c:crosses val="autoZero"/>
        <c:crossBetween val="between"/>
      </c:valAx>
      <c:spPr>
        <a:ln>
          <a:solidFill>
            <a:schemeClr val="tx1">
              <a:lumMod val="95000"/>
              <a:lumOff val="5000"/>
            </a:schemeClr>
          </a:solidFill>
        </a:ln>
      </c:spPr>
    </c:plotArea>
    <c:legend>
      <c:legendPos val="r"/>
      <c:layout>
        <c:manualLayout>
          <c:xMode val="edge"/>
          <c:yMode val="edge"/>
          <c:x val="0.76094130859250375"/>
          <c:y val="0.33018966968751551"/>
          <c:w val="0.22042173415519173"/>
          <c:h val="0.4474404850337103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Gender breakdown by subject/phase of the current stock (November 2015)</a:t>
            </a:r>
          </a:p>
        </c:rich>
      </c:tx>
      <c:overlay val="0"/>
    </c:title>
    <c:autoTitleDeleted val="0"/>
    <c:plotArea>
      <c:layout/>
      <c:barChart>
        <c:barDir val="col"/>
        <c:grouping val="clustered"/>
        <c:varyColors val="0"/>
        <c:ser>
          <c:idx val="0"/>
          <c:order val="0"/>
          <c:spPr>
            <a:ln>
              <a:solidFill>
                <a:schemeClr val="tx1">
                  <a:lumMod val="95000"/>
                  <a:lumOff val="5000"/>
                </a:schemeClr>
              </a:solidFill>
            </a:ln>
          </c:spPr>
          <c:invertIfNegative val="0"/>
          <c:dPt>
            <c:idx val="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0-C2E6-48A3-A7DA-747F1B63CD47}"/>
              </c:ext>
            </c:extLst>
          </c:dPt>
          <c:dPt>
            <c:idx val="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1-C2E6-48A3-A7DA-747F1B63CD47}"/>
              </c:ext>
            </c:extLst>
          </c:dPt>
          <c:dPt>
            <c:idx val="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2-C2E6-48A3-A7DA-747F1B63CD47}"/>
              </c:ext>
            </c:extLst>
          </c:dPt>
          <c:dPt>
            <c:idx val="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3-C2E6-48A3-A7DA-747F1B63CD47}"/>
              </c:ext>
            </c:extLst>
          </c:dPt>
          <c:dPt>
            <c:idx val="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4-C2E6-48A3-A7DA-747F1B63CD47}"/>
              </c:ext>
            </c:extLst>
          </c:dPt>
          <c:dPt>
            <c:idx val="1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5-C2E6-48A3-A7DA-747F1B63CD47}"/>
              </c:ext>
            </c:extLst>
          </c:dPt>
          <c:dPt>
            <c:idx val="1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6-C2E6-48A3-A7DA-747F1B63CD47}"/>
              </c:ext>
            </c:extLst>
          </c:dPt>
          <c:dPt>
            <c:idx val="1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7-C2E6-48A3-A7DA-747F1B63CD47}"/>
              </c:ext>
            </c:extLst>
          </c:dPt>
          <c:dPt>
            <c:idx val="1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8-C2E6-48A3-A7DA-747F1B63CD47}"/>
              </c:ext>
            </c:extLst>
          </c:dPt>
          <c:dPt>
            <c:idx val="1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9-C2E6-48A3-A7DA-747F1B63CD47}"/>
              </c:ext>
            </c:extLst>
          </c:dPt>
          <c:dPt>
            <c:idx val="2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A-C2E6-48A3-A7DA-747F1B63CD47}"/>
              </c:ext>
            </c:extLst>
          </c:dPt>
          <c:dPt>
            <c:idx val="2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B-C2E6-48A3-A7DA-747F1B63CD47}"/>
              </c:ext>
            </c:extLst>
          </c:dPt>
          <c:dPt>
            <c:idx val="2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C-C2E6-48A3-A7DA-747F1B63CD47}"/>
              </c:ext>
            </c:extLst>
          </c:dPt>
          <c:dPt>
            <c:idx val="2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D-C2E6-48A3-A7DA-747F1B63CD47}"/>
              </c:ext>
            </c:extLst>
          </c:dPt>
          <c:dPt>
            <c:idx val="2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E-C2E6-48A3-A7DA-747F1B63CD47}"/>
              </c:ext>
            </c:extLst>
          </c:dPt>
          <c:dPt>
            <c:idx val="3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0F-C2E6-48A3-A7DA-747F1B63CD47}"/>
              </c:ext>
            </c:extLst>
          </c:dPt>
          <c:dPt>
            <c:idx val="33"/>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0-C2E6-48A3-A7DA-747F1B63CD47}"/>
              </c:ext>
            </c:extLst>
          </c:dPt>
          <c:dPt>
            <c:idx val="35"/>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1-C2E6-48A3-A7DA-747F1B63CD47}"/>
              </c:ext>
            </c:extLst>
          </c:dPt>
          <c:dPt>
            <c:idx val="37"/>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2-C2E6-48A3-A7DA-747F1B63CD47}"/>
              </c:ext>
            </c:extLst>
          </c:dPt>
          <c:dPt>
            <c:idx val="39"/>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3-C2E6-48A3-A7DA-747F1B63CD47}"/>
              </c:ext>
            </c:extLst>
          </c:dPt>
          <c:dPt>
            <c:idx val="41"/>
            <c:invertIfNegative val="0"/>
            <c:bubble3D val="0"/>
            <c:spPr>
              <a:solidFill>
                <a:schemeClr val="accent2">
                  <a:lumMod val="40000"/>
                  <a:lumOff val="60000"/>
                </a:schemeClr>
              </a:solidFill>
              <a:ln>
                <a:solidFill>
                  <a:schemeClr val="tx1">
                    <a:lumMod val="95000"/>
                    <a:lumOff val="5000"/>
                  </a:schemeClr>
                </a:solidFill>
              </a:ln>
            </c:spPr>
            <c:extLst>
              <c:ext xmlns:c16="http://schemas.microsoft.com/office/drawing/2014/chart" uri="{C3380CC4-5D6E-409C-BE32-E72D297353CC}">
                <c16:uniqueId val="{00000014-C2E6-48A3-A7DA-747F1B63CD47}"/>
              </c:ext>
            </c:extLst>
          </c:dPt>
          <c:cat>
            <c:multiLvlStrRef>
              <c:f>Stock_ages_breakdowns!$C$90:$AR$91</c:f>
              <c:multiLvlStrCache>
                <c:ptCount val="42"/>
                <c:lvl>
                  <c:pt idx="0">
                    <c:v>Male</c:v>
                  </c:pt>
                  <c:pt idx="1">
                    <c:v>Female</c:v>
                  </c:pt>
                  <c:pt idx="2">
                    <c:v>Male</c:v>
                  </c:pt>
                  <c:pt idx="3">
                    <c:v>Female</c:v>
                  </c:pt>
                  <c:pt idx="4">
                    <c:v>Male</c:v>
                  </c:pt>
                  <c:pt idx="5">
                    <c:v>Female</c:v>
                  </c:pt>
                  <c:pt idx="6">
                    <c:v>Male</c:v>
                  </c:pt>
                  <c:pt idx="7">
                    <c:v>Female</c:v>
                  </c:pt>
                  <c:pt idx="8">
                    <c:v>Male</c:v>
                  </c:pt>
                  <c:pt idx="9">
                    <c:v>Female</c:v>
                  </c:pt>
                  <c:pt idx="10">
                    <c:v>Male</c:v>
                  </c:pt>
                  <c:pt idx="11">
                    <c:v>Female</c:v>
                  </c:pt>
                  <c:pt idx="12">
                    <c:v>Male</c:v>
                  </c:pt>
                  <c:pt idx="13">
                    <c:v>Female</c:v>
                  </c:pt>
                  <c:pt idx="14">
                    <c:v>Male</c:v>
                  </c:pt>
                  <c:pt idx="15">
                    <c:v>Female</c:v>
                  </c:pt>
                  <c:pt idx="16">
                    <c:v>Male</c:v>
                  </c:pt>
                  <c:pt idx="17">
                    <c:v>Female</c:v>
                  </c:pt>
                  <c:pt idx="18">
                    <c:v>Male</c:v>
                  </c:pt>
                  <c:pt idx="19">
                    <c:v>Female</c:v>
                  </c:pt>
                  <c:pt idx="20">
                    <c:v>Male</c:v>
                  </c:pt>
                  <c:pt idx="21">
                    <c:v>Female</c:v>
                  </c:pt>
                  <c:pt idx="22">
                    <c:v>Male</c:v>
                  </c:pt>
                  <c:pt idx="23">
                    <c:v>Female</c:v>
                  </c:pt>
                  <c:pt idx="24">
                    <c:v>Male</c:v>
                  </c:pt>
                  <c:pt idx="25">
                    <c:v>Female</c:v>
                  </c:pt>
                  <c:pt idx="26">
                    <c:v>Male</c:v>
                  </c:pt>
                  <c:pt idx="27">
                    <c:v>Female</c:v>
                  </c:pt>
                  <c:pt idx="28">
                    <c:v>Male</c:v>
                  </c:pt>
                  <c:pt idx="29">
                    <c:v>Female</c:v>
                  </c:pt>
                  <c:pt idx="30">
                    <c:v>Male</c:v>
                  </c:pt>
                  <c:pt idx="31">
                    <c:v>Female</c:v>
                  </c:pt>
                  <c:pt idx="32">
                    <c:v>Male</c:v>
                  </c:pt>
                  <c:pt idx="33">
                    <c:v>Female</c:v>
                  </c:pt>
                  <c:pt idx="34">
                    <c:v>Male</c:v>
                  </c:pt>
                  <c:pt idx="35">
                    <c:v>Female</c:v>
                  </c:pt>
                  <c:pt idx="36">
                    <c:v>Male</c:v>
                  </c:pt>
                  <c:pt idx="37">
                    <c:v>Female</c:v>
                  </c:pt>
                  <c:pt idx="38">
                    <c:v>Male</c:v>
                  </c:pt>
                  <c:pt idx="39">
                    <c:v>Female</c:v>
                  </c:pt>
                  <c:pt idx="40">
                    <c:v>Male</c:v>
                  </c:pt>
                  <c:pt idx="41">
                    <c:v>Female</c:v>
                  </c:pt>
                </c:lvl>
                <c:lvl>
                  <c:pt idx="0">
                    <c:v>Art &amp; Design</c:v>
                  </c:pt>
                  <c:pt idx="2">
                    <c:v>Biology</c:v>
                  </c:pt>
                  <c:pt idx="4">
                    <c:v>Business Studies</c:v>
                  </c:pt>
                  <c:pt idx="6">
                    <c:v>Chemistry</c:v>
                  </c:pt>
                  <c:pt idx="8">
                    <c:v>Classics</c:v>
                  </c:pt>
                  <c:pt idx="10">
                    <c:v>Computing</c:v>
                  </c:pt>
                  <c:pt idx="12">
                    <c:v>Design &amp; Technology</c:v>
                  </c:pt>
                  <c:pt idx="14">
                    <c:v>Drama</c:v>
                  </c:pt>
                  <c:pt idx="16">
                    <c:v>English</c:v>
                  </c:pt>
                  <c:pt idx="18">
                    <c:v>Food</c:v>
                  </c:pt>
                  <c:pt idx="20">
                    <c:v>Geography</c:v>
                  </c:pt>
                  <c:pt idx="22">
                    <c:v>History</c:v>
                  </c:pt>
                  <c:pt idx="24">
                    <c:v>Mathematics</c:v>
                  </c:pt>
                  <c:pt idx="26">
                    <c:v>Modern Foreign Languages</c:v>
                  </c:pt>
                  <c:pt idx="28">
                    <c:v>Music</c:v>
                  </c:pt>
                  <c:pt idx="30">
                    <c:v>Others</c:v>
                  </c:pt>
                  <c:pt idx="32">
                    <c:v>Physical Education</c:v>
                  </c:pt>
                  <c:pt idx="34">
                    <c:v>Physics</c:v>
                  </c:pt>
                  <c:pt idx="36">
                    <c:v>Religious Education</c:v>
                  </c:pt>
                  <c:pt idx="38">
                    <c:v>Secondary total</c:v>
                  </c:pt>
                  <c:pt idx="40">
                    <c:v>Primary</c:v>
                  </c:pt>
                </c:lvl>
              </c:multiLvlStrCache>
            </c:multiLvlStrRef>
          </c:cat>
          <c:val>
            <c:numRef>
              <c:f>Stock_ages_breakdowns!$C$92:$AR$92</c:f>
              <c:numCache>
                <c:formatCode>0%</c:formatCode>
                <c:ptCount val="42"/>
                <c:pt idx="0">
                  <c:v>0.23156983456251659</c:v>
                </c:pt>
                <c:pt idx="1">
                  <c:v>0.76843016543748366</c:v>
                </c:pt>
                <c:pt idx="2">
                  <c:v>0.30113175591881974</c:v>
                </c:pt>
                <c:pt idx="3">
                  <c:v>0.69886824408118009</c:v>
                </c:pt>
                <c:pt idx="4">
                  <c:v>0.43153077216758856</c:v>
                </c:pt>
                <c:pt idx="5">
                  <c:v>0.56846922783241138</c:v>
                </c:pt>
                <c:pt idx="6">
                  <c:v>0.4104963485775221</c:v>
                </c:pt>
                <c:pt idx="7">
                  <c:v>0.58950365142247796</c:v>
                </c:pt>
                <c:pt idx="8">
                  <c:v>0.38584400466907998</c:v>
                </c:pt>
                <c:pt idx="9">
                  <c:v>0.61415599533091991</c:v>
                </c:pt>
                <c:pt idx="10">
                  <c:v>0.59043319109827863</c:v>
                </c:pt>
                <c:pt idx="11">
                  <c:v>0.40956680890172148</c:v>
                </c:pt>
                <c:pt idx="12">
                  <c:v>0.44504903086380487</c:v>
                </c:pt>
                <c:pt idx="13">
                  <c:v>0.55495096913619535</c:v>
                </c:pt>
                <c:pt idx="14">
                  <c:v>0.23045100981890843</c:v>
                </c:pt>
                <c:pt idx="15">
                  <c:v>0.76954899018109146</c:v>
                </c:pt>
                <c:pt idx="16">
                  <c:v>0.20930217446945473</c:v>
                </c:pt>
                <c:pt idx="17">
                  <c:v>0.79069782553054535</c:v>
                </c:pt>
                <c:pt idx="18">
                  <c:v>0.11333718301448405</c:v>
                </c:pt>
                <c:pt idx="19">
                  <c:v>0.88666281698551586</c:v>
                </c:pt>
                <c:pt idx="20">
                  <c:v>0.43516521771599492</c:v>
                </c:pt>
                <c:pt idx="21">
                  <c:v>0.56483478228400519</c:v>
                </c:pt>
                <c:pt idx="22">
                  <c:v>0.44248466735589032</c:v>
                </c:pt>
                <c:pt idx="23">
                  <c:v>0.55751533264410968</c:v>
                </c:pt>
                <c:pt idx="24">
                  <c:v>0.45910180948732154</c:v>
                </c:pt>
                <c:pt idx="25">
                  <c:v>0.5408981905126784</c:v>
                </c:pt>
                <c:pt idx="26">
                  <c:v>0.18400715645775523</c:v>
                </c:pt>
                <c:pt idx="27">
                  <c:v>0.81599284354224466</c:v>
                </c:pt>
                <c:pt idx="28">
                  <c:v>0.43876791867292303</c:v>
                </c:pt>
                <c:pt idx="29">
                  <c:v>0.56123208132707714</c:v>
                </c:pt>
                <c:pt idx="30">
                  <c:v>0.33435738139293297</c:v>
                </c:pt>
                <c:pt idx="31">
                  <c:v>0.66564261860706719</c:v>
                </c:pt>
                <c:pt idx="32">
                  <c:v>0.52557887753846855</c:v>
                </c:pt>
                <c:pt idx="33">
                  <c:v>0.47442112246153145</c:v>
                </c:pt>
                <c:pt idx="34">
                  <c:v>0.63315619632696307</c:v>
                </c:pt>
                <c:pt idx="35">
                  <c:v>0.36684380367303687</c:v>
                </c:pt>
                <c:pt idx="36">
                  <c:v>0.31266768747723983</c:v>
                </c:pt>
                <c:pt idx="37">
                  <c:v>0.68733231252276039</c:v>
                </c:pt>
                <c:pt idx="38">
                  <c:v>0.37506253409875728</c:v>
                </c:pt>
                <c:pt idx="39">
                  <c:v>0.62493746590124266</c:v>
                </c:pt>
                <c:pt idx="40">
                  <c:v>0.14022686734149739</c:v>
                </c:pt>
                <c:pt idx="41">
                  <c:v>0.85977313265850264</c:v>
                </c:pt>
              </c:numCache>
            </c:numRef>
          </c:val>
          <c:extLst>
            <c:ext xmlns:c16="http://schemas.microsoft.com/office/drawing/2014/chart" uri="{C3380CC4-5D6E-409C-BE32-E72D297353CC}">
              <c16:uniqueId val="{00000015-C2E6-48A3-A7DA-747F1B63CD47}"/>
            </c:ext>
          </c:extLst>
        </c:ser>
        <c:dLbls>
          <c:showLegendKey val="0"/>
          <c:showVal val="0"/>
          <c:showCatName val="0"/>
          <c:showSerName val="0"/>
          <c:showPercent val="0"/>
          <c:showBubbleSize val="0"/>
        </c:dLbls>
        <c:gapWidth val="150"/>
        <c:axId val="152051072"/>
        <c:axId val="152061056"/>
      </c:barChart>
      <c:catAx>
        <c:axId val="152051072"/>
        <c:scaling>
          <c:orientation val="minMax"/>
        </c:scaling>
        <c:delete val="0"/>
        <c:axPos val="b"/>
        <c:numFmt formatCode="General" sourceLinked="1"/>
        <c:majorTickMark val="out"/>
        <c:minorTickMark val="none"/>
        <c:tickLblPos val="nextTo"/>
        <c:txPr>
          <a:bodyPr rot="-5400000" vert="horz"/>
          <a:lstStyle/>
          <a:p>
            <a:pPr>
              <a:defRPr sz="800" b="0" i="0" u="none" strike="noStrike" baseline="0">
                <a:solidFill>
                  <a:srgbClr val="000000"/>
                </a:solidFill>
                <a:latin typeface="Calibri"/>
                <a:ea typeface="Calibri"/>
                <a:cs typeface="Calibri"/>
              </a:defRPr>
            </a:pPr>
            <a:endParaRPr lang="en-US"/>
          </a:p>
        </c:txPr>
        <c:crossAx val="152061056"/>
        <c:crosses val="autoZero"/>
        <c:auto val="1"/>
        <c:lblAlgn val="ctr"/>
        <c:lblOffset val="100"/>
        <c:noMultiLvlLbl val="0"/>
      </c:catAx>
      <c:valAx>
        <c:axId val="15206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05107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group breakdown by subject/phase of the current stock (November 2015)</a:t>
            </a:r>
          </a:p>
        </c:rich>
      </c:tx>
      <c:overlay val="0"/>
    </c:title>
    <c:autoTitleDeleted val="0"/>
    <c:plotArea>
      <c:layout>
        <c:manualLayout>
          <c:layoutTarget val="inner"/>
          <c:xMode val="edge"/>
          <c:yMode val="edge"/>
          <c:x val="4.3121839816971236E-2"/>
          <c:y val="8.3459461299326063E-2"/>
          <c:w val="0.86607395906497608"/>
          <c:h val="0.67733402921176644"/>
        </c:manualLayout>
      </c:layout>
      <c:barChart>
        <c:barDir val="col"/>
        <c:grouping val="clustered"/>
        <c:varyColors val="0"/>
        <c:ser>
          <c:idx val="0"/>
          <c:order val="0"/>
          <c:tx>
            <c:strRef>
              <c:f>Stock_ages_breakdowns!$B$97</c:f>
              <c:strCache>
                <c:ptCount val="1"/>
                <c:pt idx="0">
                  <c:v>Under 40</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Stock_ages_breakdowns!$C$97:$W$97</c:f>
              <c:numCache>
                <c:formatCode>0%</c:formatCode>
                <c:ptCount val="21"/>
                <c:pt idx="0">
                  <c:v>0.49147484637308414</c:v>
                </c:pt>
                <c:pt idx="1">
                  <c:v>0.60754782572013455</c:v>
                </c:pt>
                <c:pt idx="2">
                  <c:v>0.52212553105807158</c:v>
                </c:pt>
                <c:pt idx="3">
                  <c:v>0.55325402233764898</c:v>
                </c:pt>
                <c:pt idx="4">
                  <c:v>0.50904765220039705</c:v>
                </c:pt>
                <c:pt idx="5">
                  <c:v>0.53368212394744574</c:v>
                </c:pt>
                <c:pt idx="6">
                  <c:v>0.44027500605217129</c:v>
                </c:pt>
                <c:pt idx="7">
                  <c:v>0.65812753490574805</c:v>
                </c:pt>
                <c:pt idx="8">
                  <c:v>0.60128986815448882</c:v>
                </c:pt>
                <c:pt idx="9">
                  <c:v>0.35842022953439501</c:v>
                </c:pt>
                <c:pt idx="10">
                  <c:v>0.61842533105042896</c:v>
                </c:pt>
                <c:pt idx="11">
                  <c:v>0.61140656247355518</c:v>
                </c:pt>
                <c:pt idx="12">
                  <c:v>0.52789949397936919</c:v>
                </c:pt>
                <c:pt idx="13">
                  <c:v>0.47643151612259865</c:v>
                </c:pt>
                <c:pt idx="14">
                  <c:v>0.6296853101052734</c:v>
                </c:pt>
                <c:pt idx="15">
                  <c:v>0.53875609810389613</c:v>
                </c:pt>
                <c:pt idx="16">
                  <c:v>0.72355773203676887</c:v>
                </c:pt>
                <c:pt idx="17">
                  <c:v>0.52664503121246753</c:v>
                </c:pt>
                <c:pt idx="18">
                  <c:v>0.57696465530338414</c:v>
                </c:pt>
                <c:pt idx="19">
                  <c:v>0.56530004075492046</c:v>
                </c:pt>
                <c:pt idx="20">
                  <c:v>0.56838620186227962</c:v>
                </c:pt>
              </c:numCache>
            </c:numRef>
          </c:val>
          <c:extLst>
            <c:ext xmlns:c16="http://schemas.microsoft.com/office/drawing/2014/chart" uri="{C3380CC4-5D6E-409C-BE32-E72D297353CC}">
              <c16:uniqueId val="{00000000-79FF-4271-8DCE-9E3010135739}"/>
            </c:ext>
          </c:extLst>
        </c:ser>
        <c:ser>
          <c:idx val="1"/>
          <c:order val="1"/>
          <c:tx>
            <c:strRef>
              <c:f>Stock_ages_breakdowns!$B$98</c:f>
              <c:strCache>
                <c:ptCount val="1"/>
                <c:pt idx="0">
                  <c:v>40-49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Stock_ages_breakdowns!$C$98:$W$98</c:f>
              <c:numCache>
                <c:formatCode>0%</c:formatCode>
                <c:ptCount val="21"/>
                <c:pt idx="0">
                  <c:v>0.31295469006283871</c:v>
                </c:pt>
                <c:pt idx="1">
                  <c:v>0.24507806284008821</c:v>
                </c:pt>
                <c:pt idx="2">
                  <c:v>0.29314819592795915</c:v>
                </c:pt>
                <c:pt idx="3">
                  <c:v>0.26827536413384917</c:v>
                </c:pt>
                <c:pt idx="4">
                  <c:v>0.18602277453274607</c:v>
                </c:pt>
                <c:pt idx="5">
                  <c:v>0.28339584703999615</c:v>
                </c:pt>
                <c:pt idx="6">
                  <c:v>0.29015889331650946</c:v>
                </c:pt>
                <c:pt idx="7">
                  <c:v>0.21282508151763313</c:v>
                </c:pt>
                <c:pt idx="8">
                  <c:v>0.23100261699001373</c:v>
                </c:pt>
                <c:pt idx="9">
                  <c:v>0.29833194960671061</c:v>
                </c:pt>
                <c:pt idx="10">
                  <c:v>0.23600197445461998</c:v>
                </c:pt>
                <c:pt idx="11">
                  <c:v>0.2434331958321593</c:v>
                </c:pt>
                <c:pt idx="12">
                  <c:v>0.2660636059605308</c:v>
                </c:pt>
                <c:pt idx="13">
                  <c:v>0.31510097992252944</c:v>
                </c:pt>
                <c:pt idx="14">
                  <c:v>0.22343222534849091</c:v>
                </c:pt>
                <c:pt idx="15">
                  <c:v>0.25695606389229508</c:v>
                </c:pt>
                <c:pt idx="16">
                  <c:v>0.18190201413426738</c:v>
                </c:pt>
                <c:pt idx="17">
                  <c:v>0.26887134819098557</c:v>
                </c:pt>
                <c:pt idx="18">
                  <c:v>0.23518414416688704</c:v>
                </c:pt>
                <c:pt idx="19">
                  <c:v>0.25460816844478995</c:v>
                </c:pt>
                <c:pt idx="20">
                  <c:v>0.25342873363373247</c:v>
                </c:pt>
              </c:numCache>
            </c:numRef>
          </c:val>
          <c:extLst>
            <c:ext xmlns:c16="http://schemas.microsoft.com/office/drawing/2014/chart" uri="{C3380CC4-5D6E-409C-BE32-E72D297353CC}">
              <c16:uniqueId val="{00000001-79FF-4271-8DCE-9E3010135739}"/>
            </c:ext>
          </c:extLst>
        </c:ser>
        <c:ser>
          <c:idx val="2"/>
          <c:order val="2"/>
          <c:tx>
            <c:strRef>
              <c:f>Stock_ages_breakdowns!$B$99</c:f>
              <c:strCache>
                <c:ptCount val="1"/>
                <c:pt idx="0">
                  <c:v>50-59</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Stock_ages_breakdowns!$C$99:$W$99</c:f>
              <c:numCache>
                <c:formatCode>0%</c:formatCode>
                <c:ptCount val="21"/>
                <c:pt idx="0">
                  <c:v>0.17116348297572884</c:v>
                </c:pt>
                <c:pt idx="1">
                  <c:v>0.13257984494065067</c:v>
                </c:pt>
                <c:pt idx="2">
                  <c:v>0.16496235716542945</c:v>
                </c:pt>
                <c:pt idx="3">
                  <c:v>0.16038897798694815</c:v>
                </c:pt>
                <c:pt idx="4">
                  <c:v>0.22216480927010002</c:v>
                </c:pt>
                <c:pt idx="5">
                  <c:v>0.16292297329130093</c:v>
                </c:pt>
                <c:pt idx="6">
                  <c:v>0.23859598817410474</c:v>
                </c:pt>
                <c:pt idx="7">
                  <c:v>0.11028248794376953</c:v>
                </c:pt>
                <c:pt idx="8">
                  <c:v>0.14539806809564326</c:v>
                </c:pt>
                <c:pt idx="9">
                  <c:v>0.29476637488397328</c:v>
                </c:pt>
                <c:pt idx="10">
                  <c:v>0.12748735944148473</c:v>
                </c:pt>
                <c:pt idx="11">
                  <c:v>0.12598906679282118</c:v>
                </c:pt>
                <c:pt idx="12">
                  <c:v>0.17738909773159922</c:v>
                </c:pt>
                <c:pt idx="13">
                  <c:v>0.18578469265516057</c:v>
                </c:pt>
                <c:pt idx="14">
                  <c:v>0.12890526062690988</c:v>
                </c:pt>
                <c:pt idx="15">
                  <c:v>0.17295668332507247</c:v>
                </c:pt>
                <c:pt idx="16">
                  <c:v>8.4986436586687614E-2</c:v>
                </c:pt>
                <c:pt idx="17">
                  <c:v>0.17723591348095805</c:v>
                </c:pt>
                <c:pt idx="18">
                  <c:v>0.16108299815175858</c:v>
                </c:pt>
                <c:pt idx="19">
                  <c:v>0.15725770588584637</c:v>
                </c:pt>
                <c:pt idx="20">
                  <c:v>0.15197721390548122</c:v>
                </c:pt>
              </c:numCache>
            </c:numRef>
          </c:val>
          <c:extLst>
            <c:ext xmlns:c16="http://schemas.microsoft.com/office/drawing/2014/chart" uri="{C3380CC4-5D6E-409C-BE32-E72D297353CC}">
              <c16:uniqueId val="{00000002-79FF-4271-8DCE-9E3010135739}"/>
            </c:ext>
          </c:extLst>
        </c:ser>
        <c:ser>
          <c:idx val="3"/>
          <c:order val="3"/>
          <c:tx>
            <c:strRef>
              <c:f>Stock_ages_breakdowns!$B$100</c:f>
              <c:strCache>
                <c:ptCount val="1"/>
                <c:pt idx="0">
                  <c:v>60 plus</c:v>
                </c:pt>
              </c:strCache>
            </c:strRef>
          </c:tx>
          <c:spPr>
            <a:ln>
              <a:solidFill>
                <a:schemeClr val="tx1">
                  <a:lumMod val="95000"/>
                  <a:lumOff val="5000"/>
                </a:schemeClr>
              </a:solidFill>
            </a:ln>
          </c:spPr>
          <c:invertIfNegative val="0"/>
          <c:cat>
            <c:strRef>
              <c:f>Stock_ages_breakdowns!$C$96:$W$96</c:f>
              <c:strCache>
                <c:ptCount val="21"/>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pt idx="19">
                  <c:v>Secondary</c:v>
                </c:pt>
                <c:pt idx="20">
                  <c:v>Primary</c:v>
                </c:pt>
              </c:strCache>
            </c:strRef>
          </c:cat>
          <c:val>
            <c:numRef>
              <c:f>Stock_ages_breakdowns!$C$100:$W$100</c:f>
              <c:numCache>
                <c:formatCode>0%</c:formatCode>
                <c:ptCount val="21"/>
                <c:pt idx="0">
                  <c:v>2.4406980588348458E-2</c:v>
                </c:pt>
                <c:pt idx="1">
                  <c:v>1.4794266499126428E-2</c:v>
                </c:pt>
                <c:pt idx="2">
                  <c:v>1.9763915848539745E-2</c:v>
                </c:pt>
                <c:pt idx="3">
                  <c:v>1.8081635541553655E-2</c:v>
                </c:pt>
                <c:pt idx="4">
                  <c:v>8.2764763996756779E-2</c:v>
                </c:pt>
                <c:pt idx="5">
                  <c:v>1.999905572125724E-2</c:v>
                </c:pt>
                <c:pt idx="6">
                  <c:v>3.0970112457214635E-2</c:v>
                </c:pt>
                <c:pt idx="7">
                  <c:v>1.8764895632849402E-2</c:v>
                </c:pt>
                <c:pt idx="8">
                  <c:v>2.2309446759854405E-2</c:v>
                </c:pt>
                <c:pt idx="9">
                  <c:v>4.8481445974920968E-2</c:v>
                </c:pt>
                <c:pt idx="10">
                  <c:v>1.808533505346635E-2</c:v>
                </c:pt>
                <c:pt idx="11">
                  <c:v>1.917117490146444E-2</c:v>
                </c:pt>
                <c:pt idx="12">
                  <c:v>2.8647802328500893E-2</c:v>
                </c:pt>
                <c:pt idx="13">
                  <c:v>2.2682811299711336E-2</c:v>
                </c:pt>
                <c:pt idx="14">
                  <c:v>1.7977203919325797E-2</c:v>
                </c:pt>
                <c:pt idx="15">
                  <c:v>3.1331154678736449E-2</c:v>
                </c:pt>
                <c:pt idx="16">
                  <c:v>9.5538172422762069E-3</c:v>
                </c:pt>
                <c:pt idx="17">
                  <c:v>2.724770711558893E-2</c:v>
                </c:pt>
                <c:pt idx="18">
                  <c:v>2.6768202377970375E-2</c:v>
                </c:pt>
                <c:pt idx="19">
                  <c:v>2.2834084914443123E-2</c:v>
                </c:pt>
                <c:pt idx="20">
                  <c:v>2.6207850598506673E-2</c:v>
                </c:pt>
              </c:numCache>
            </c:numRef>
          </c:val>
          <c:extLst>
            <c:ext xmlns:c16="http://schemas.microsoft.com/office/drawing/2014/chart" uri="{C3380CC4-5D6E-409C-BE32-E72D297353CC}">
              <c16:uniqueId val="{00000003-79FF-4271-8DCE-9E3010135739}"/>
            </c:ext>
          </c:extLst>
        </c:ser>
        <c:dLbls>
          <c:showLegendKey val="0"/>
          <c:showVal val="0"/>
          <c:showCatName val="0"/>
          <c:showSerName val="0"/>
          <c:showPercent val="0"/>
          <c:showBubbleSize val="0"/>
        </c:dLbls>
        <c:gapWidth val="150"/>
        <c:axId val="152107264"/>
        <c:axId val="152436736"/>
      </c:barChart>
      <c:catAx>
        <c:axId val="152107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52436736"/>
        <c:crosses val="autoZero"/>
        <c:auto val="1"/>
        <c:lblAlgn val="ctr"/>
        <c:lblOffset val="100"/>
        <c:noMultiLvlLbl val="0"/>
      </c:catAx>
      <c:valAx>
        <c:axId val="15243673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107264"/>
        <c:crosses val="autoZero"/>
        <c:crossBetween val="between"/>
      </c:valAx>
      <c:spPr>
        <a:ln>
          <a:solidFill>
            <a:sysClr val="windowText" lastClr="000000"/>
          </a:solidFill>
        </a:ln>
      </c:spPr>
    </c:plotArea>
    <c:legend>
      <c:legendPos val="r"/>
      <c:layout>
        <c:manualLayout>
          <c:xMode val="edge"/>
          <c:yMode val="edge"/>
          <c:x val="0.91164139979354053"/>
          <c:y val="0.25186606338386802"/>
          <c:w val="8.0878960493523722E-2"/>
          <c:h val="0.3470155129862498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No. of entrants (including UGs) expected for each phase/subject via different entrant routes for 2018/19</a:t>
            </a:r>
          </a:p>
        </c:rich>
      </c:tx>
      <c:overlay val="0"/>
    </c:title>
    <c:autoTitleDeleted val="0"/>
    <c:plotArea>
      <c:layout>
        <c:manualLayout>
          <c:layoutTarget val="inner"/>
          <c:xMode val="edge"/>
          <c:yMode val="edge"/>
          <c:x val="6.9437863963279667E-2"/>
          <c:y val="0.10024212398982042"/>
          <c:w val="0.90831338920100546"/>
          <c:h val="0.59605418603720284"/>
        </c:manualLayout>
      </c:layout>
      <c:barChart>
        <c:barDir val="col"/>
        <c:grouping val="clustered"/>
        <c:varyColors val="0"/>
        <c:ser>
          <c:idx val="0"/>
          <c:order val="0"/>
          <c:tx>
            <c:strRef>
              <c:f>Check_of_all_entrant_numbers!$D$18</c:f>
              <c:strCache>
                <c:ptCount val="1"/>
                <c:pt idx="0">
                  <c:v>Number of all entrants expected</c:v>
                </c:pt>
              </c:strCache>
            </c:strRef>
          </c:tx>
          <c:spPr>
            <a:solidFill>
              <a:srgbClr val="FF000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Check_of_all_entrant_numbers!$D$19:$D$38</c:f>
              <c:numCache>
                <c:formatCode>#,##0</c:formatCode>
                <c:ptCount val="20"/>
                <c:pt idx="0">
                  <c:v>24871.46544126924</c:v>
                </c:pt>
                <c:pt idx="1">
                  <c:v>805.08789771160059</c:v>
                </c:pt>
                <c:pt idx="2">
                  <c:v>1598.8010953443347</c:v>
                </c:pt>
                <c:pt idx="3">
                  <c:v>317.366389575835</c:v>
                </c:pt>
                <c:pt idx="4">
                  <c:v>1348.9721104074331</c:v>
                </c:pt>
                <c:pt idx="5">
                  <c:v>38.30643511142015</c:v>
                </c:pt>
                <c:pt idx="6">
                  <c:v>597.51309619512108</c:v>
                </c:pt>
                <c:pt idx="7">
                  <c:v>997.08424347490154</c:v>
                </c:pt>
                <c:pt idx="8">
                  <c:v>516.29035798357427</c:v>
                </c:pt>
                <c:pt idx="9">
                  <c:v>3805.3762250031514</c:v>
                </c:pt>
                <c:pt idx="10">
                  <c:v>191.27910080323261</c:v>
                </c:pt>
                <c:pt idx="11">
                  <c:v>1554.6304564202608</c:v>
                </c:pt>
                <c:pt idx="12">
                  <c:v>1494.1067708858714</c:v>
                </c:pt>
                <c:pt idx="13">
                  <c:v>4189.7067147008202</c:v>
                </c:pt>
                <c:pt idx="14">
                  <c:v>3122.6212791471962</c:v>
                </c:pt>
                <c:pt idx="15">
                  <c:v>564.07266121437465</c:v>
                </c:pt>
                <c:pt idx="16">
                  <c:v>1167.7068159979824</c:v>
                </c:pt>
                <c:pt idx="17">
                  <c:v>1493.4116754530651</c:v>
                </c:pt>
                <c:pt idx="18">
                  <c:v>1335.5303428222194</c:v>
                </c:pt>
                <c:pt idx="19">
                  <c:v>917.15203153271727</c:v>
                </c:pt>
              </c:numCache>
            </c:numRef>
          </c:val>
          <c:extLst>
            <c:ext xmlns:c16="http://schemas.microsoft.com/office/drawing/2014/chart" uri="{C3380CC4-5D6E-409C-BE32-E72D297353CC}">
              <c16:uniqueId val="{00000000-A3B9-47B9-8AC9-02B8D1F92173}"/>
            </c:ext>
          </c:extLst>
        </c:ser>
        <c:ser>
          <c:idx val="1"/>
          <c:order val="1"/>
          <c:tx>
            <c:strRef>
              <c:f>Check_of_all_entrant_numbers!$E$18</c:f>
              <c:strCache>
                <c:ptCount val="1"/>
                <c:pt idx="0">
                  <c:v>Number re-entrants expected</c:v>
                </c:pt>
              </c:strCache>
            </c:strRef>
          </c:tx>
          <c:spPr>
            <a:solidFill>
              <a:srgbClr val="FFFF0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Check_of_all_entrant_numbers!$E$19:$E$38</c:f>
              <c:numCache>
                <c:formatCode>#,##0</c:formatCode>
                <c:ptCount val="20"/>
                <c:pt idx="0">
                  <c:v>8231.8459106222508</c:v>
                </c:pt>
                <c:pt idx="1">
                  <c:v>281.91045270470215</c:v>
                </c:pt>
                <c:pt idx="2">
                  <c:v>559.83792807521741</c:v>
                </c:pt>
                <c:pt idx="3">
                  <c:v>111.12935967971804</c:v>
                </c:pt>
                <c:pt idx="4">
                  <c:v>472.35753935926704</c:v>
                </c:pt>
                <c:pt idx="5">
                  <c:v>13.413422924948968</c:v>
                </c:pt>
                <c:pt idx="6">
                  <c:v>209.22583474940703</c:v>
                </c:pt>
                <c:pt idx="7">
                  <c:v>349.14010167300609</c:v>
                </c:pt>
                <c:pt idx="8">
                  <c:v>180.78479251759961</c:v>
                </c:pt>
                <c:pt idx="9">
                  <c:v>1332.4946721365816</c:v>
                </c:pt>
                <c:pt idx="10">
                  <c:v>66.978497694054553</c:v>
                </c:pt>
                <c:pt idx="11">
                  <c:v>356.41554210985925</c:v>
                </c:pt>
                <c:pt idx="12">
                  <c:v>380.0992949335851</c:v>
                </c:pt>
                <c:pt idx="13">
                  <c:v>1467.0722538476678</c:v>
                </c:pt>
                <c:pt idx="14">
                  <c:v>617.20155564044137</c:v>
                </c:pt>
                <c:pt idx="15">
                  <c:v>197.5162957153953</c:v>
                </c:pt>
                <c:pt idx="16">
                  <c:v>408.88548698850258</c:v>
                </c:pt>
                <c:pt idx="17">
                  <c:v>522.93465433792346</c:v>
                </c:pt>
                <c:pt idx="18">
                  <c:v>467.65075542192307</c:v>
                </c:pt>
                <c:pt idx="19">
                  <c:v>321.15095152137707</c:v>
                </c:pt>
              </c:numCache>
            </c:numRef>
          </c:val>
          <c:extLst>
            <c:ext xmlns:c16="http://schemas.microsoft.com/office/drawing/2014/chart" uri="{C3380CC4-5D6E-409C-BE32-E72D297353CC}">
              <c16:uniqueId val="{00000001-A3B9-47B9-8AC9-02B8D1F92173}"/>
            </c:ext>
          </c:extLst>
        </c:ser>
        <c:ser>
          <c:idx val="2"/>
          <c:order val="2"/>
          <c:tx>
            <c:strRef>
              <c:f>Check_of_all_entrant_numbers!$F$18</c:f>
              <c:strCache>
                <c:ptCount val="1"/>
                <c:pt idx="0">
                  <c:v>Number of new to state-funded sector entrants expected</c:v>
                </c:pt>
              </c:strCache>
            </c:strRef>
          </c:tx>
          <c:spPr>
            <a:solidFill>
              <a:srgbClr val="92D050"/>
            </a:solidFill>
            <a:ln>
              <a:solidFill>
                <a:schemeClr val="tx1">
                  <a:lumMod val="95000"/>
                  <a:lumOff val="5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Check_of_all_entrant_numbers!$F$19:$F$38</c:f>
              <c:numCache>
                <c:formatCode>#,##0</c:formatCode>
                <c:ptCount val="20"/>
                <c:pt idx="0">
                  <c:v>3771.8758646932843</c:v>
                </c:pt>
                <c:pt idx="1">
                  <c:v>118.82303764883859</c:v>
                </c:pt>
                <c:pt idx="2">
                  <c:v>235.96728169072182</c:v>
                </c:pt>
                <c:pt idx="3">
                  <c:v>46.840150701848074</c:v>
                </c:pt>
                <c:pt idx="4">
                  <c:v>199.09498617204972</c:v>
                </c:pt>
                <c:pt idx="5">
                  <c:v>5.6536522215460998</c:v>
                </c:pt>
                <c:pt idx="6">
                  <c:v>88.187043087685424</c:v>
                </c:pt>
                <c:pt idx="7">
                  <c:v>147.15980570350442</c:v>
                </c:pt>
                <c:pt idx="8">
                  <c:v>76.199367570658055</c:v>
                </c:pt>
                <c:pt idx="9">
                  <c:v>561.63601978963084</c:v>
                </c:pt>
                <c:pt idx="10">
                  <c:v>28.23090976871234</c:v>
                </c:pt>
                <c:pt idx="11">
                  <c:v>160.60274566990125</c:v>
                </c:pt>
                <c:pt idx="12">
                  <c:v>171.27477110611306</c:v>
                </c:pt>
                <c:pt idx="13">
                  <c:v>618.35941157920854</c:v>
                </c:pt>
                <c:pt idx="14">
                  <c:v>254.68283777808733</c:v>
                </c:pt>
                <c:pt idx="15">
                  <c:v>83.251564519438247</c:v>
                </c:pt>
                <c:pt idx="16">
                  <c:v>172.34201551721381</c:v>
                </c:pt>
                <c:pt idx="17">
                  <c:v>220.41284217781353</c:v>
                </c:pt>
                <c:pt idx="18">
                  <c:v>197.11111377701721</c:v>
                </c:pt>
                <c:pt idx="19">
                  <c:v>135.36259914263346</c:v>
                </c:pt>
              </c:numCache>
            </c:numRef>
          </c:val>
          <c:extLst>
            <c:ext xmlns:c16="http://schemas.microsoft.com/office/drawing/2014/chart" uri="{C3380CC4-5D6E-409C-BE32-E72D297353CC}">
              <c16:uniqueId val="{00000002-A3B9-47B9-8AC9-02B8D1F92173}"/>
            </c:ext>
          </c:extLst>
        </c:ser>
        <c:ser>
          <c:idx val="3"/>
          <c:order val="3"/>
          <c:tx>
            <c:strRef>
              <c:f>Check_of_all_entrant_numbers!$G$18</c:f>
              <c:strCache>
                <c:ptCount val="1"/>
                <c:pt idx="0">
                  <c:v>Number of NQT entrants expected</c:v>
                </c:pt>
              </c:strCache>
            </c:strRef>
          </c:tx>
          <c:spPr>
            <a:solidFill>
              <a:srgbClr val="0070C0"/>
            </a:solidFill>
            <a:ln>
              <a:solidFill>
                <a:schemeClr val="bg2">
                  <a:lumMod val="10000"/>
                </a:schemeClr>
              </a:solidFill>
            </a:ln>
          </c:spPr>
          <c:invertIfNegative val="0"/>
          <c:cat>
            <c:strRef>
              <c:f>Check_of_all_entrant_numbers!$C$19:$C$38</c:f>
              <c:strCache>
                <c:ptCount val="20"/>
                <c:pt idx="0">
                  <c:v>Primary</c:v>
                </c:pt>
                <c:pt idx="1">
                  <c:v>Art &amp; Design</c:v>
                </c:pt>
                <c:pt idx="2">
                  <c:v>Biology</c:v>
                </c:pt>
                <c:pt idx="3">
                  <c:v>Business Studies</c:v>
                </c:pt>
                <c:pt idx="4">
                  <c:v>Chemistry</c:v>
                </c:pt>
                <c:pt idx="5">
                  <c:v>Classics</c:v>
                </c:pt>
                <c:pt idx="6">
                  <c:v>Computing</c:v>
                </c:pt>
                <c:pt idx="7">
                  <c:v>Design &amp; Technology</c:v>
                </c:pt>
                <c:pt idx="8">
                  <c:v>Drama</c:v>
                </c:pt>
                <c:pt idx="9">
                  <c:v>English</c:v>
                </c:pt>
                <c:pt idx="10">
                  <c:v>Food</c:v>
                </c:pt>
                <c:pt idx="11">
                  <c:v>Geography</c:v>
                </c:pt>
                <c:pt idx="12">
                  <c:v>History</c:v>
                </c:pt>
                <c:pt idx="13">
                  <c:v>Mathematics</c:v>
                </c:pt>
                <c:pt idx="14">
                  <c:v>Modern Foreign Languages</c:v>
                </c:pt>
                <c:pt idx="15">
                  <c:v>Music</c:v>
                </c:pt>
                <c:pt idx="16">
                  <c:v>Others</c:v>
                </c:pt>
                <c:pt idx="17">
                  <c:v>Physical Education</c:v>
                </c:pt>
                <c:pt idx="18">
                  <c:v>Physics</c:v>
                </c:pt>
                <c:pt idx="19">
                  <c:v>Religious Education</c:v>
                </c:pt>
              </c:strCache>
            </c:strRef>
          </c:cat>
          <c:val>
            <c:numRef>
              <c:f>Check_of_all_entrant_numbers!$G$19:$G$38</c:f>
              <c:numCache>
                <c:formatCode>#,##0</c:formatCode>
                <c:ptCount val="20"/>
                <c:pt idx="0">
                  <c:v>12867.743665953705</c:v>
                </c:pt>
                <c:pt idx="1">
                  <c:v>404.3544073580598</c:v>
                </c:pt>
                <c:pt idx="2">
                  <c:v>802.99588557839547</c:v>
                </c:pt>
                <c:pt idx="3">
                  <c:v>159.39687919426885</c:v>
                </c:pt>
                <c:pt idx="4">
                  <c:v>677.51958487611637</c:v>
                </c:pt>
                <c:pt idx="5">
                  <c:v>19.239359964925082</c:v>
                </c:pt>
                <c:pt idx="6">
                  <c:v>300.10021835802866</c:v>
                </c:pt>
                <c:pt idx="7">
                  <c:v>500.78433609839101</c:v>
                </c:pt>
                <c:pt idx="8">
                  <c:v>259.30619789531664</c:v>
                </c:pt>
                <c:pt idx="9">
                  <c:v>1911.245533076939</c:v>
                </c:pt>
                <c:pt idx="10">
                  <c:v>96.069693340465733</c:v>
                </c:pt>
                <c:pt idx="11">
                  <c:v>1037.6121686405004</c:v>
                </c:pt>
                <c:pt idx="12">
                  <c:v>942.73270484617319</c:v>
                </c:pt>
                <c:pt idx="13">
                  <c:v>2104.2750492739433</c:v>
                </c:pt>
                <c:pt idx="14">
                  <c:v>2250.7368857286674</c:v>
                </c:pt>
                <c:pt idx="15">
                  <c:v>283.30480097954103</c:v>
                </c:pt>
                <c:pt idx="16">
                  <c:v>586.47931349226599</c:v>
                </c:pt>
                <c:pt idx="17">
                  <c:v>750.06417893732817</c:v>
                </c:pt>
                <c:pt idx="18">
                  <c:v>670.76847362327908</c:v>
                </c:pt>
                <c:pt idx="19">
                  <c:v>460.63848086870684</c:v>
                </c:pt>
              </c:numCache>
            </c:numRef>
          </c:val>
          <c:extLst>
            <c:ext xmlns:c16="http://schemas.microsoft.com/office/drawing/2014/chart" uri="{C3380CC4-5D6E-409C-BE32-E72D297353CC}">
              <c16:uniqueId val="{00000003-A3B9-47B9-8AC9-02B8D1F92173}"/>
            </c:ext>
          </c:extLst>
        </c:ser>
        <c:dLbls>
          <c:showLegendKey val="0"/>
          <c:showVal val="0"/>
          <c:showCatName val="0"/>
          <c:showSerName val="0"/>
          <c:showPercent val="0"/>
          <c:showBubbleSize val="0"/>
        </c:dLbls>
        <c:gapWidth val="150"/>
        <c:axId val="167084032"/>
        <c:axId val="167085568"/>
      </c:barChart>
      <c:catAx>
        <c:axId val="1670840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7085568"/>
        <c:crosses val="autoZero"/>
        <c:auto val="1"/>
        <c:lblAlgn val="ctr"/>
        <c:lblOffset val="100"/>
        <c:noMultiLvlLbl val="0"/>
      </c:catAx>
      <c:valAx>
        <c:axId val="16708556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084032"/>
        <c:crosses val="autoZero"/>
        <c:crossBetween val="between"/>
      </c:valAx>
      <c:spPr>
        <a:ln>
          <a:solidFill>
            <a:schemeClr val="tx1">
              <a:lumMod val="95000"/>
              <a:lumOff val="5000"/>
            </a:schemeClr>
          </a:solidFill>
        </a:ln>
      </c:spPr>
    </c:plotArea>
    <c:legend>
      <c:legendPos val="r"/>
      <c:layout>
        <c:manualLayout>
          <c:xMode val="edge"/>
          <c:yMode val="edge"/>
          <c:x val="0.59972323404172823"/>
          <c:y val="0.12745109475694621"/>
          <c:w val="0.32733163202245152"/>
          <c:h val="0.37581733655842037"/>
        </c:manualLayout>
      </c:layout>
      <c:overlay val="0"/>
      <c:spPr>
        <a:solidFill>
          <a:schemeClr val="bg1"/>
        </a:solidFill>
        <a:ln>
          <a:solidFill>
            <a:schemeClr val="tx1">
              <a:lumMod val="95000"/>
              <a:lumOff val="5000"/>
            </a:schemeClr>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need by phase as calculated by the 2017/18 TSM</a:t>
            </a:r>
          </a:p>
        </c:rich>
      </c:tx>
      <c:layout>
        <c:manualLayout>
          <c:xMode val="edge"/>
          <c:yMode val="edge"/>
          <c:x val="0.16782363748411944"/>
          <c:y val="1.847768792007564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Teacher_need_figures!$C$14:$N$14</c:f>
              <c:numCache>
                <c:formatCode>#,##0</c:formatCode>
                <c:ptCount val="12"/>
                <c:pt idx="0">
                  <c:v>242289.97801032916</c:v>
                </c:pt>
                <c:pt idx="1">
                  <c:v>243816.50498787969</c:v>
                </c:pt>
                <c:pt idx="2">
                  <c:v>244473.00051685341</c:v>
                </c:pt>
                <c:pt idx="3">
                  <c:v>244493.08548462985</c:v>
                </c:pt>
                <c:pt idx="4">
                  <c:v>244756.56223781532</c:v>
                </c:pt>
                <c:pt idx="5">
                  <c:v>244837.80568339408</c:v>
                </c:pt>
                <c:pt idx="6">
                  <c:v>244626.1931197551</c:v>
                </c:pt>
                <c:pt idx="7">
                  <c:v>244233.40708441578</c:v>
                </c:pt>
                <c:pt idx="8">
                  <c:v>244470.60548841688</c:v>
                </c:pt>
                <c:pt idx="9">
                  <c:v>245157.17144903576</c:v>
                </c:pt>
                <c:pt idx="10">
                  <c:v>245898.02721211434</c:v>
                </c:pt>
                <c:pt idx="11">
                  <c:v>246453.8722658148</c:v>
                </c:pt>
              </c:numCache>
            </c:numRef>
          </c:val>
          <c:smooth val="0"/>
          <c:extLst>
            <c:ext xmlns:c16="http://schemas.microsoft.com/office/drawing/2014/chart" uri="{C3380CC4-5D6E-409C-BE32-E72D297353CC}">
              <c16:uniqueId val="{00000000-0F46-4961-9F52-E8530B993BEA}"/>
            </c:ext>
          </c:extLst>
        </c:ser>
        <c:ser>
          <c:idx val="20"/>
          <c:order val="1"/>
          <c:tx>
            <c:v>Secondary (all subjects)</c:v>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Teacher_need_figures!$C$34:$N$34</c:f>
              <c:numCache>
                <c:formatCode>#,##0</c:formatCode>
                <c:ptCount val="12"/>
                <c:pt idx="0">
                  <c:v>213976.00504540943</c:v>
                </c:pt>
                <c:pt idx="1">
                  <c:v>215448.23496505464</c:v>
                </c:pt>
                <c:pt idx="2">
                  <c:v>217665.58493798462</c:v>
                </c:pt>
                <c:pt idx="3">
                  <c:v>220113.00223502028</c:v>
                </c:pt>
                <c:pt idx="4">
                  <c:v>222083.21597704067</c:v>
                </c:pt>
                <c:pt idx="5">
                  <c:v>224012.64325451854</c:v>
                </c:pt>
                <c:pt idx="6">
                  <c:v>226115.09681652434</c:v>
                </c:pt>
                <c:pt idx="7">
                  <c:v>227913.16234106064</c:v>
                </c:pt>
                <c:pt idx="8">
                  <c:v>228568.5499006052</c:v>
                </c:pt>
                <c:pt idx="9">
                  <c:v>228824.14188092307</c:v>
                </c:pt>
                <c:pt idx="10">
                  <c:v>228710.60157528741</c:v>
                </c:pt>
                <c:pt idx="11">
                  <c:v>228387.83509911041</c:v>
                </c:pt>
              </c:numCache>
            </c:numRef>
          </c:val>
          <c:smooth val="0"/>
          <c:extLst>
            <c:ext xmlns:c16="http://schemas.microsoft.com/office/drawing/2014/chart" uri="{C3380CC4-5D6E-409C-BE32-E72D297353CC}">
              <c16:uniqueId val="{00000001-0F46-4961-9F52-E8530B993BEA}"/>
            </c:ext>
          </c:extLst>
        </c:ser>
        <c:ser>
          <c:idx val="1"/>
          <c:order val="2"/>
          <c:tx>
            <c:strRef>
              <c:f>Teacher_need_figures!$B$62</c:f>
              <c:strCache>
                <c:ptCount val="1"/>
                <c:pt idx="0">
                  <c:v>EBacc </c:v>
                </c:pt>
              </c:strCache>
            </c:strRef>
          </c:tx>
          <c:spPr>
            <a:ln>
              <a:solidFill>
                <a:srgbClr val="00B050"/>
              </a:solidFill>
              <a:prstDash val="sysDash"/>
            </a:ln>
          </c:spPr>
          <c:marker>
            <c:symbol val="none"/>
          </c:marker>
          <c:val>
            <c:numRef>
              <c:f>Teacher_need_figures!$C$62:$N$62</c:f>
              <c:numCache>
                <c:formatCode>#,##0</c:formatCode>
                <c:ptCount val="12"/>
                <c:pt idx="0">
                  <c:v>140233.57770723494</c:v>
                </c:pt>
                <c:pt idx="1">
                  <c:v>141550.20736570327</c:v>
                </c:pt>
                <c:pt idx="2">
                  <c:v>144818.93250241663</c:v>
                </c:pt>
                <c:pt idx="3">
                  <c:v>148218.41983085609</c:v>
                </c:pt>
                <c:pt idx="4">
                  <c:v>150096.99563254658</c:v>
                </c:pt>
                <c:pt idx="5">
                  <c:v>151459.90329562401</c:v>
                </c:pt>
                <c:pt idx="6">
                  <c:v>152912.57043938152</c:v>
                </c:pt>
                <c:pt idx="7">
                  <c:v>154069.77615058207</c:v>
                </c:pt>
                <c:pt idx="8">
                  <c:v>154398.15096052381</c:v>
                </c:pt>
                <c:pt idx="9">
                  <c:v>154560.07885739792</c:v>
                </c:pt>
                <c:pt idx="10">
                  <c:v>154480.72618797232</c:v>
                </c:pt>
                <c:pt idx="11">
                  <c:v>154135.29185142947</c:v>
                </c:pt>
              </c:numCache>
            </c:numRef>
          </c:val>
          <c:smooth val="0"/>
          <c:extLst>
            <c:ext xmlns:c16="http://schemas.microsoft.com/office/drawing/2014/chart" uri="{C3380CC4-5D6E-409C-BE32-E72D297353CC}">
              <c16:uniqueId val="{00000002-0F46-4961-9F52-E8530B993BEA}"/>
            </c:ext>
          </c:extLst>
        </c:ser>
        <c:ser>
          <c:idx val="2"/>
          <c:order val="3"/>
          <c:tx>
            <c:strRef>
              <c:f>Teacher_need_figures!$B$63</c:f>
              <c:strCache>
                <c:ptCount val="1"/>
                <c:pt idx="0">
                  <c:v>Non-EBacc</c:v>
                </c:pt>
              </c:strCache>
            </c:strRef>
          </c:tx>
          <c:spPr>
            <a:ln>
              <a:solidFill>
                <a:srgbClr val="FFC000"/>
              </a:solidFill>
            </a:ln>
          </c:spPr>
          <c:marker>
            <c:symbol val="none"/>
          </c:marker>
          <c:val>
            <c:numRef>
              <c:f>Teacher_need_figures!$C$63:$N$63</c:f>
              <c:numCache>
                <c:formatCode>#,##0</c:formatCode>
                <c:ptCount val="12"/>
                <c:pt idx="0">
                  <c:v>73742.427338174472</c:v>
                </c:pt>
                <c:pt idx="1">
                  <c:v>73898.027599351408</c:v>
                </c:pt>
                <c:pt idx="2">
                  <c:v>72846.652435567987</c:v>
                </c:pt>
                <c:pt idx="3">
                  <c:v>71894.582404164175</c:v>
                </c:pt>
                <c:pt idx="4">
                  <c:v>71986.220344494111</c:v>
                </c:pt>
                <c:pt idx="5">
                  <c:v>72552.739958894541</c:v>
                </c:pt>
                <c:pt idx="6">
                  <c:v>73202.526377142829</c:v>
                </c:pt>
                <c:pt idx="7">
                  <c:v>73843.386190478574</c:v>
                </c:pt>
                <c:pt idx="8">
                  <c:v>74170.398940081403</c:v>
                </c:pt>
                <c:pt idx="9">
                  <c:v>74264.06302352513</c:v>
                </c:pt>
                <c:pt idx="10">
                  <c:v>74229.8753873151</c:v>
                </c:pt>
                <c:pt idx="11">
                  <c:v>74252.543247680951</c:v>
                </c:pt>
              </c:numCache>
            </c:numRef>
          </c:val>
          <c:smooth val="0"/>
          <c:extLst>
            <c:ext xmlns:c16="http://schemas.microsoft.com/office/drawing/2014/chart" uri="{C3380CC4-5D6E-409C-BE32-E72D297353CC}">
              <c16:uniqueId val="{00000003-0F46-4961-9F52-E8530B993BEA}"/>
            </c:ext>
          </c:extLst>
        </c:ser>
        <c:dLbls>
          <c:showLegendKey val="0"/>
          <c:showVal val="0"/>
          <c:showCatName val="0"/>
          <c:showSerName val="0"/>
          <c:showPercent val="0"/>
          <c:showBubbleSize val="0"/>
        </c:dLbls>
        <c:smooth val="0"/>
        <c:axId val="169634432"/>
        <c:axId val="169648512"/>
      </c:lineChart>
      <c:catAx>
        <c:axId val="169634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648512"/>
        <c:crosses val="autoZero"/>
        <c:auto val="1"/>
        <c:lblAlgn val="ctr"/>
        <c:lblOffset val="100"/>
        <c:noMultiLvlLbl val="0"/>
      </c:catAx>
      <c:valAx>
        <c:axId val="1696485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634432"/>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Teacher_need_figures!$C$27:$N$27</c:f>
              <c:numCache>
                <c:formatCode>#,##0</c:formatCode>
                <c:ptCount val="12"/>
                <c:pt idx="0">
                  <c:v>31128.110157317467</c:v>
                </c:pt>
                <c:pt idx="1">
                  <c:v>31665.531388362488</c:v>
                </c:pt>
                <c:pt idx="2">
                  <c:v>32100.361692253198</c:v>
                </c:pt>
                <c:pt idx="3">
                  <c:v>32582.828012347269</c:v>
                </c:pt>
                <c:pt idx="4">
                  <c:v>33003.668201745655</c:v>
                </c:pt>
                <c:pt idx="5">
                  <c:v>33301.534329916365</c:v>
                </c:pt>
                <c:pt idx="6">
                  <c:v>33615.152538711307</c:v>
                </c:pt>
                <c:pt idx="7">
                  <c:v>33865.334671084165</c:v>
                </c:pt>
                <c:pt idx="8">
                  <c:v>33930.636804597707</c:v>
                </c:pt>
                <c:pt idx="9">
                  <c:v>33958.682466908453</c:v>
                </c:pt>
                <c:pt idx="10">
                  <c:v>33933.81252854225</c:v>
                </c:pt>
                <c:pt idx="11">
                  <c:v>33853.43348167192</c:v>
                </c:pt>
              </c:numCache>
            </c:numRef>
          </c:val>
          <c:smooth val="0"/>
          <c:extLst>
            <c:ext xmlns:c16="http://schemas.microsoft.com/office/drawing/2014/chart" uri="{C3380CC4-5D6E-409C-BE32-E72D297353CC}">
              <c16:uniqueId val="{00000000-1129-40B9-A5E9-50109A0233FE}"/>
            </c:ext>
          </c:extLst>
        </c:ser>
        <c:ser>
          <c:idx val="9"/>
          <c:order val="1"/>
          <c:tx>
            <c:v>English</c:v>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Teacher_need_figures!$C$23:$N$23</c:f>
              <c:numCache>
                <c:formatCode>#,##0</c:formatCode>
                <c:ptCount val="12"/>
                <c:pt idx="0">
                  <c:v>30045.430109827248</c:v>
                </c:pt>
                <c:pt idx="1">
                  <c:v>30333.400701627972</c:v>
                </c:pt>
                <c:pt idx="2">
                  <c:v>30740.580743117873</c:v>
                </c:pt>
                <c:pt idx="3">
                  <c:v>31138.164239620182</c:v>
                </c:pt>
                <c:pt idx="4">
                  <c:v>31431.480605286102</c:v>
                </c:pt>
                <c:pt idx="5">
                  <c:v>31724.957576132929</c:v>
                </c:pt>
                <c:pt idx="6">
                  <c:v>32026.858636939469</c:v>
                </c:pt>
                <c:pt idx="7">
                  <c:v>32259.412600544802</c:v>
                </c:pt>
                <c:pt idx="8">
                  <c:v>32303.914557396369</c:v>
                </c:pt>
                <c:pt idx="9">
                  <c:v>32322.338999171592</c:v>
                </c:pt>
                <c:pt idx="10">
                  <c:v>32290.376328559087</c:v>
                </c:pt>
                <c:pt idx="11">
                  <c:v>32194.629621922984</c:v>
                </c:pt>
              </c:numCache>
            </c:numRef>
          </c:val>
          <c:smooth val="0"/>
          <c:extLst>
            <c:ext xmlns:c16="http://schemas.microsoft.com/office/drawing/2014/chart" uri="{C3380CC4-5D6E-409C-BE32-E72D297353CC}">
              <c16:uniqueId val="{00000001-1129-40B9-A5E9-50109A0233FE}"/>
            </c:ext>
          </c:extLst>
        </c:ser>
        <c:ser>
          <c:idx val="14"/>
          <c:order val="2"/>
          <c:tx>
            <c:v>Modern Foreign Languages</c:v>
          </c:tx>
          <c:spPr>
            <a:ln>
              <a:solidFill>
                <a:srgbClr val="00B05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Teacher_need_figures!$C$28:$N$28</c:f>
              <c:numCache>
                <c:formatCode>#,##0</c:formatCode>
                <c:ptCount val="12"/>
                <c:pt idx="0">
                  <c:v>14939.764306075618</c:v>
                </c:pt>
                <c:pt idx="1">
                  <c:v>15070.257443396837</c:v>
                </c:pt>
                <c:pt idx="2">
                  <c:v>16557.230196768789</c:v>
                </c:pt>
                <c:pt idx="3">
                  <c:v>18106.97526873889</c:v>
                </c:pt>
                <c:pt idx="4">
                  <c:v>18695.254319919968</c:v>
                </c:pt>
                <c:pt idx="5">
                  <c:v>18855.304901959025</c:v>
                </c:pt>
                <c:pt idx="6">
                  <c:v>18999.002831661492</c:v>
                </c:pt>
                <c:pt idx="7">
                  <c:v>19138.350839311574</c:v>
                </c:pt>
                <c:pt idx="8">
                  <c:v>19151.937836517376</c:v>
                </c:pt>
                <c:pt idx="9">
                  <c:v>19109.119672158304</c:v>
                </c:pt>
                <c:pt idx="10">
                  <c:v>19031.45661965046</c:v>
                </c:pt>
                <c:pt idx="11">
                  <c:v>18975.956019871268</c:v>
                </c:pt>
              </c:numCache>
            </c:numRef>
          </c:val>
          <c:smooth val="0"/>
          <c:extLst>
            <c:ext xmlns:c16="http://schemas.microsoft.com/office/drawing/2014/chart" uri="{C3380CC4-5D6E-409C-BE32-E72D297353CC}">
              <c16:uniqueId val="{00000002-1129-40B9-A5E9-50109A0233FE}"/>
            </c:ext>
          </c:extLst>
        </c:ser>
        <c:ser>
          <c:idx val="2"/>
          <c:order val="3"/>
          <c:tx>
            <c:v>Biology</c:v>
          </c:tx>
          <c:spPr>
            <a:ln>
              <a:solidFill>
                <a:srgbClr val="FFC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Teacher_need_figures!$C$16:$N$16</c:f>
              <c:numCache>
                <c:formatCode>#,##0</c:formatCode>
                <c:ptCount val="12"/>
                <c:pt idx="0">
                  <c:v>12786.987412851919</c:v>
                </c:pt>
                <c:pt idx="1">
                  <c:v>12855.738513404587</c:v>
                </c:pt>
                <c:pt idx="2">
                  <c:v>12998.316050469002</c:v>
                </c:pt>
                <c:pt idx="3">
                  <c:v>13138.105245734181</c:v>
                </c:pt>
                <c:pt idx="4">
                  <c:v>13246.541294911551</c:v>
                </c:pt>
                <c:pt idx="5">
                  <c:v>13373.709515062588</c:v>
                </c:pt>
                <c:pt idx="6">
                  <c:v>13528.547619574107</c:v>
                </c:pt>
                <c:pt idx="7">
                  <c:v>13635.027100789352</c:v>
                </c:pt>
                <c:pt idx="8">
                  <c:v>13684.461372087695</c:v>
                </c:pt>
                <c:pt idx="9">
                  <c:v>13743.463089448744</c:v>
                </c:pt>
                <c:pt idx="10">
                  <c:v>13784.393459502542</c:v>
                </c:pt>
                <c:pt idx="11">
                  <c:v>13763.711607784684</c:v>
                </c:pt>
              </c:numCache>
            </c:numRef>
          </c:val>
          <c:smooth val="0"/>
          <c:extLst>
            <c:ext xmlns:c16="http://schemas.microsoft.com/office/drawing/2014/chart" uri="{C3380CC4-5D6E-409C-BE32-E72D297353CC}">
              <c16:uniqueId val="{00000003-1129-40B9-A5E9-50109A0233FE}"/>
            </c:ext>
          </c:extLst>
        </c:ser>
        <c:ser>
          <c:idx val="12"/>
          <c:order val="4"/>
          <c:tx>
            <c:v>History</c:v>
          </c:tx>
          <c:spPr>
            <a:ln>
              <a:solidFill>
                <a:schemeClr val="tx1">
                  <a:lumMod val="95000"/>
                  <a:lumOff val="5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Teacher_need_figures!$C$26:$N$26</c:f>
              <c:numCache>
                <c:formatCode>#,##0</c:formatCode>
                <c:ptCount val="12"/>
                <c:pt idx="0">
                  <c:v>11192.678423023735</c:v>
                </c:pt>
                <c:pt idx="1">
                  <c:v>11256.687485244267</c:v>
                </c:pt>
                <c:pt idx="2">
                  <c:v>11599.369617515154</c:v>
                </c:pt>
                <c:pt idx="3">
                  <c:v>11967.19602921409</c:v>
                </c:pt>
                <c:pt idx="4">
                  <c:v>12089.537654010986</c:v>
                </c:pt>
                <c:pt idx="5">
                  <c:v>12190.325841181235</c:v>
                </c:pt>
                <c:pt idx="6">
                  <c:v>12292.037124641112</c:v>
                </c:pt>
                <c:pt idx="7">
                  <c:v>12389.451752886342</c:v>
                </c:pt>
                <c:pt idx="8">
                  <c:v>12418.332954775977</c:v>
                </c:pt>
                <c:pt idx="9">
                  <c:v>12411.854918401496</c:v>
                </c:pt>
                <c:pt idx="10">
                  <c:v>12383.558824959737</c:v>
                </c:pt>
                <c:pt idx="11">
                  <c:v>12364.268616074811</c:v>
                </c:pt>
              </c:numCache>
            </c:numRef>
          </c:val>
          <c:smooth val="0"/>
          <c:extLst>
            <c:ext xmlns:c16="http://schemas.microsoft.com/office/drawing/2014/chart" uri="{C3380CC4-5D6E-409C-BE32-E72D297353CC}">
              <c16:uniqueId val="{00000004-1129-40B9-A5E9-50109A0233FE}"/>
            </c:ext>
          </c:extLst>
        </c:ser>
        <c:ser>
          <c:idx val="4"/>
          <c:order val="5"/>
          <c:tx>
            <c:v>Chemistry</c:v>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Teacher_need_figures!$C$18:$N$18</c:f>
              <c:numCache>
                <c:formatCode>#,##0</c:formatCode>
                <c:ptCount val="12"/>
                <c:pt idx="0">
                  <c:v>11068.508981061603</c:v>
                </c:pt>
                <c:pt idx="1">
                  <c:v>11129.85258610651</c:v>
                </c:pt>
                <c:pt idx="2">
                  <c:v>11260.285419513875</c:v>
                </c:pt>
                <c:pt idx="3">
                  <c:v>11383.268474585764</c:v>
                </c:pt>
                <c:pt idx="4">
                  <c:v>11478.037676404865</c:v>
                </c:pt>
                <c:pt idx="5">
                  <c:v>11591.815611587474</c:v>
                </c:pt>
                <c:pt idx="6">
                  <c:v>11731.989151799509</c:v>
                </c:pt>
                <c:pt idx="7">
                  <c:v>11822.684634785315</c:v>
                </c:pt>
                <c:pt idx="8">
                  <c:v>11864.545594307421</c:v>
                </c:pt>
                <c:pt idx="9">
                  <c:v>11923.190684157031</c:v>
                </c:pt>
                <c:pt idx="10">
                  <c:v>11967.082084944395</c:v>
                </c:pt>
                <c:pt idx="11">
                  <c:v>11945.784885887244</c:v>
                </c:pt>
              </c:numCache>
            </c:numRef>
          </c:val>
          <c:smooth val="0"/>
          <c:extLst>
            <c:ext xmlns:c16="http://schemas.microsoft.com/office/drawing/2014/chart" uri="{C3380CC4-5D6E-409C-BE32-E72D297353CC}">
              <c16:uniqueId val="{00000005-1129-40B9-A5E9-50109A0233FE}"/>
            </c:ext>
          </c:extLst>
        </c:ser>
        <c:ser>
          <c:idx val="11"/>
          <c:order val="6"/>
          <c:tx>
            <c:v>Geography</c:v>
          </c:tx>
          <c:spPr>
            <a:ln>
              <a:solidFill>
                <a:srgbClr val="00B05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Teacher_need_figures!$C$25:$N$25</c:f>
              <c:numCache>
                <c:formatCode>#,##0</c:formatCode>
                <c:ptCount val="12"/>
                <c:pt idx="0">
                  <c:v>10518.362186302702</c:v>
                </c:pt>
                <c:pt idx="1">
                  <c:v>10592.197160123502</c:v>
                </c:pt>
                <c:pt idx="2">
                  <c:v>10991.644935793051</c:v>
                </c:pt>
                <c:pt idx="3">
                  <c:v>11415.269146232955</c:v>
                </c:pt>
                <c:pt idx="4">
                  <c:v>11567.794354132981</c:v>
                </c:pt>
                <c:pt idx="5">
                  <c:v>11664.678552531093</c:v>
                </c:pt>
                <c:pt idx="6">
                  <c:v>11757.312130654836</c:v>
                </c:pt>
                <c:pt idx="7">
                  <c:v>11847.832710968347</c:v>
                </c:pt>
                <c:pt idx="8">
                  <c:v>11867.451639056904</c:v>
                </c:pt>
                <c:pt idx="9">
                  <c:v>11851.220190458745</c:v>
                </c:pt>
                <c:pt idx="10">
                  <c:v>11813.654322341292</c:v>
                </c:pt>
                <c:pt idx="11">
                  <c:v>11789.047949016856</c:v>
                </c:pt>
              </c:numCache>
            </c:numRef>
          </c:val>
          <c:smooth val="0"/>
          <c:extLst>
            <c:ext xmlns:c16="http://schemas.microsoft.com/office/drawing/2014/chart" uri="{C3380CC4-5D6E-409C-BE32-E72D297353CC}">
              <c16:uniqueId val="{00000006-1129-40B9-A5E9-50109A0233FE}"/>
            </c:ext>
          </c:extLst>
        </c:ser>
        <c:ser>
          <c:idx val="18"/>
          <c:order val="7"/>
          <c:tx>
            <c:v>Physics</c:v>
          </c:tx>
          <c:spPr>
            <a:ln>
              <a:solidFill>
                <a:srgbClr val="FFC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Teacher_need_figures!$C$32:$N$32</c:f>
              <c:numCache>
                <c:formatCode>#,##0</c:formatCode>
                <c:ptCount val="12"/>
                <c:pt idx="0">
                  <c:v>10725.251800299693</c:v>
                </c:pt>
                <c:pt idx="1">
                  <c:v>10795.237162264597</c:v>
                </c:pt>
                <c:pt idx="2">
                  <c:v>10936.738865252666</c:v>
                </c:pt>
                <c:pt idx="3">
                  <c:v>11065.944998845214</c:v>
                </c:pt>
                <c:pt idx="4">
                  <c:v>11162.671456202223</c:v>
                </c:pt>
                <c:pt idx="5">
                  <c:v>11276.285763812999</c:v>
                </c:pt>
                <c:pt idx="6">
                  <c:v>11413.977518269763</c:v>
                </c:pt>
                <c:pt idx="7">
                  <c:v>11499.237254241132</c:v>
                </c:pt>
                <c:pt idx="8">
                  <c:v>11533.927145164296</c:v>
                </c:pt>
                <c:pt idx="9">
                  <c:v>11589.923896002259</c:v>
                </c:pt>
                <c:pt idx="10">
                  <c:v>11631.942741265495</c:v>
                </c:pt>
                <c:pt idx="11">
                  <c:v>11604.656566877386</c:v>
                </c:pt>
              </c:numCache>
            </c:numRef>
          </c:val>
          <c:smooth val="0"/>
          <c:extLst>
            <c:ext xmlns:c16="http://schemas.microsoft.com/office/drawing/2014/chart" uri="{C3380CC4-5D6E-409C-BE32-E72D297353CC}">
              <c16:uniqueId val="{00000007-1129-40B9-A5E9-50109A0233FE}"/>
            </c:ext>
          </c:extLst>
        </c:ser>
        <c:ser>
          <c:idx val="6"/>
          <c:order val="8"/>
          <c:tx>
            <c:v>Computing</c:v>
          </c:tx>
          <c:spPr>
            <a:ln>
              <a:solidFill>
                <a:srgbClr val="00B0F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Teacher_need_figures!$C$20:$N$20</c:f>
              <c:numCache>
                <c:formatCode>#,##0</c:formatCode>
                <c:ptCount val="12"/>
                <c:pt idx="0">
                  <c:v>7510.2346856737895</c:v>
                </c:pt>
                <c:pt idx="1">
                  <c:v>7534.6411432498553</c:v>
                </c:pt>
                <c:pt idx="2">
                  <c:v>7318.2295859772075</c:v>
                </c:pt>
                <c:pt idx="3">
                  <c:v>7103.8364078234217</c:v>
                </c:pt>
                <c:pt idx="4">
                  <c:v>7103.7888064980007</c:v>
                </c:pt>
                <c:pt idx="5">
                  <c:v>7160.731983145397</c:v>
                </c:pt>
                <c:pt idx="6">
                  <c:v>7223.7313653134643</c:v>
                </c:pt>
                <c:pt idx="7">
                  <c:v>7285.2061506055279</c:v>
                </c:pt>
                <c:pt idx="8">
                  <c:v>7313.0393557838233</c:v>
                </c:pt>
                <c:pt idx="9">
                  <c:v>7318.6843950857137</c:v>
                </c:pt>
                <c:pt idx="10">
                  <c:v>7311.6741857708776</c:v>
                </c:pt>
                <c:pt idx="11">
                  <c:v>7309.9188689425937</c:v>
                </c:pt>
              </c:numCache>
            </c:numRef>
          </c:val>
          <c:smooth val="0"/>
          <c:extLst>
            <c:ext xmlns:c16="http://schemas.microsoft.com/office/drawing/2014/chart" uri="{C3380CC4-5D6E-409C-BE32-E72D297353CC}">
              <c16:uniqueId val="{00000008-1129-40B9-A5E9-50109A0233FE}"/>
            </c:ext>
          </c:extLst>
        </c:ser>
        <c:dLbls>
          <c:showLegendKey val="0"/>
          <c:showVal val="0"/>
          <c:showCatName val="0"/>
          <c:showSerName val="0"/>
          <c:showPercent val="0"/>
          <c:showBubbleSize val="0"/>
        </c:dLbls>
        <c:smooth val="0"/>
        <c:axId val="168131200"/>
        <c:axId val="168161664"/>
      </c:lineChart>
      <c:catAx>
        <c:axId val="16813120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161664"/>
        <c:crosses val="autoZero"/>
        <c:auto val="1"/>
        <c:lblAlgn val="ctr"/>
        <c:lblOffset val="100"/>
        <c:noMultiLvlLbl val="0"/>
      </c:catAx>
      <c:valAx>
        <c:axId val="168161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13120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Entrant teacher need by phase as calculated by the 2017/18 TSM</a:t>
            </a:r>
          </a:p>
        </c:rich>
      </c:tx>
      <c:layout>
        <c:manualLayout>
          <c:xMode val="edge"/>
          <c:yMode val="edge"/>
          <c:x val="0.16782363748411944"/>
          <c:y val="1.847768792007564E-2"/>
        </c:manualLayout>
      </c:layout>
      <c:overlay val="0"/>
    </c:title>
    <c:autoTitleDeleted val="0"/>
    <c:plotArea>
      <c:layout>
        <c:manualLayout>
          <c:layoutTarget val="inner"/>
          <c:xMode val="edge"/>
          <c:yMode val="edge"/>
          <c:x val="0.13141744811731468"/>
          <c:y val="0.10566500956448241"/>
          <c:w val="0.64942086043592373"/>
          <c:h val="0.74657680501801682"/>
        </c:manualLayout>
      </c:layout>
      <c:lineChart>
        <c:grouping val="standard"/>
        <c:varyColors val="0"/>
        <c:ser>
          <c:idx val="0"/>
          <c:order val="0"/>
          <c:tx>
            <c:v>Primary</c:v>
          </c:tx>
          <c:spPr>
            <a:ln>
              <a:solidFill>
                <a:schemeClr val="tx1">
                  <a:lumMod val="95000"/>
                  <a:lumOff val="5000"/>
                </a:schemeClr>
              </a:solidFill>
            </a:ln>
          </c:spPr>
          <c:marker>
            <c:symbol val="none"/>
          </c:marker>
          <c:cat>
            <c:strRef>
              <c:f>Entrant_need_figures!$C$14:$N$14</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Entrant_need_figures!$C$15:$N$15</c:f>
              <c:numCache>
                <c:formatCode>#,##0</c:formatCode>
                <c:ptCount val="12"/>
                <c:pt idx="0">
                  <c:v>27538.544661464744</c:v>
                </c:pt>
                <c:pt idx="1">
                  <c:v>26105.002673937081</c:v>
                </c:pt>
                <c:pt idx="2">
                  <c:v>25804.401119795846</c:v>
                </c:pt>
                <c:pt idx="3">
                  <c:v>24509.091093232932</c:v>
                </c:pt>
                <c:pt idx="4">
                  <c:v>24656.998817781678</c:v>
                </c:pt>
                <c:pt idx="5">
                  <c:v>24432.263410506512</c:v>
                </c:pt>
                <c:pt idx="6">
                  <c:v>24102.311757997213</c:v>
                </c:pt>
                <c:pt idx="7">
                  <c:v>23873.194543470338</c:v>
                </c:pt>
                <c:pt idx="8">
                  <c:v>24450.504710155619</c:v>
                </c:pt>
                <c:pt idx="9">
                  <c:v>24916.785672652128</c:v>
                </c:pt>
                <c:pt idx="10">
                  <c:v>25036.449572418685</c:v>
                </c:pt>
                <c:pt idx="11">
                  <c:v>24924.618653464819</c:v>
                </c:pt>
              </c:numCache>
            </c:numRef>
          </c:val>
          <c:smooth val="0"/>
          <c:extLst>
            <c:ext xmlns:c16="http://schemas.microsoft.com/office/drawing/2014/chart" uri="{C3380CC4-5D6E-409C-BE32-E72D297353CC}">
              <c16:uniqueId val="{00000000-C5DF-448C-ADB2-8DE3DCB601AC}"/>
            </c:ext>
          </c:extLst>
        </c:ser>
        <c:ser>
          <c:idx val="20"/>
          <c:order val="1"/>
          <c:tx>
            <c:v>Secondary (all subjects)</c:v>
          </c:tx>
          <c:spPr>
            <a:ln>
              <a:solidFill>
                <a:srgbClr val="FF0000"/>
              </a:solidFill>
              <a:prstDash val="sysDot"/>
            </a:ln>
          </c:spPr>
          <c:marker>
            <c:symbol val="none"/>
          </c:marker>
          <c:cat>
            <c:strRef>
              <c:f>Entrant_need_figures!$C$14:$N$14</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Entrant_need_figures!$C$35:$N$35</c:f>
              <c:numCache>
                <c:formatCode>#,##0</c:formatCode>
                <c:ptCount val="12"/>
                <c:pt idx="0">
                  <c:v>25325.981524290863</c:v>
                </c:pt>
                <c:pt idx="1">
                  <c:v>24864.32398892309</c:v>
                </c:pt>
                <c:pt idx="2">
                  <c:v>26448.871508078941</c:v>
                </c:pt>
                <c:pt idx="3">
                  <c:v>25797.106539924709</c:v>
                </c:pt>
                <c:pt idx="4">
                  <c:v>25450.041469507818</c:v>
                </c:pt>
                <c:pt idx="5">
                  <c:v>25527.010741858019</c:v>
                </c:pt>
                <c:pt idx="6">
                  <c:v>25845.896651495765</c:v>
                </c:pt>
                <c:pt idx="7">
                  <c:v>25731.139914905129</c:v>
                </c:pt>
                <c:pt idx="8">
                  <c:v>24759.538609418585</c:v>
                </c:pt>
                <c:pt idx="9">
                  <c:v>24416.167627861571</c:v>
                </c:pt>
                <c:pt idx="10">
                  <c:v>24069.983113000369</c:v>
                </c:pt>
                <c:pt idx="11">
                  <c:v>23849.453533819546</c:v>
                </c:pt>
              </c:numCache>
            </c:numRef>
          </c:val>
          <c:smooth val="0"/>
          <c:extLst>
            <c:ext xmlns:c16="http://schemas.microsoft.com/office/drawing/2014/chart" uri="{C3380CC4-5D6E-409C-BE32-E72D297353CC}">
              <c16:uniqueId val="{00000001-C5DF-448C-ADB2-8DE3DCB601AC}"/>
            </c:ext>
          </c:extLst>
        </c:ser>
        <c:ser>
          <c:idx val="1"/>
          <c:order val="2"/>
          <c:tx>
            <c:strRef>
              <c:f>Teacher_need_figures!$B$62</c:f>
              <c:strCache>
                <c:ptCount val="1"/>
                <c:pt idx="0">
                  <c:v>EBacc </c:v>
                </c:pt>
              </c:strCache>
            </c:strRef>
          </c:tx>
          <c:spPr>
            <a:ln>
              <a:solidFill>
                <a:srgbClr val="00B050"/>
              </a:solidFill>
              <a:prstDash val="sysDash"/>
            </a:ln>
          </c:spPr>
          <c:marker>
            <c:symbol val="none"/>
          </c:marker>
          <c:cat>
            <c:strRef>
              <c:f>Entrant_need_figures!$C$14:$N$14</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Entrant_need_figures!$C$66:$N$66</c:f>
              <c:numCache>
                <c:formatCode>#,##0</c:formatCode>
                <c:ptCount val="12"/>
                <c:pt idx="0">
                  <c:v>18021.976805167793</c:v>
                </c:pt>
                <c:pt idx="1">
                  <c:v>16909.925529511827</c:v>
                </c:pt>
                <c:pt idx="2">
                  <c:v>19374.067919386718</c:v>
                </c:pt>
                <c:pt idx="3">
                  <c:v>19216.454729929595</c:v>
                </c:pt>
                <c:pt idx="4">
                  <c:v>17972.46116436036</c:v>
                </c:pt>
                <c:pt idx="5">
                  <c:v>17591.112764643425</c:v>
                </c:pt>
                <c:pt idx="6">
                  <c:v>17780.477792994261</c:v>
                </c:pt>
                <c:pt idx="7">
                  <c:v>17611.751778201477</c:v>
                </c:pt>
                <c:pt idx="8">
                  <c:v>16887.3841433866</c:v>
                </c:pt>
                <c:pt idx="9">
                  <c:v>16741.025931135344</c:v>
                </c:pt>
                <c:pt idx="10">
                  <c:v>16509.147555336211</c:v>
                </c:pt>
                <c:pt idx="11">
                  <c:v>16230.801367121487</c:v>
                </c:pt>
              </c:numCache>
            </c:numRef>
          </c:val>
          <c:smooth val="0"/>
          <c:extLst>
            <c:ext xmlns:c16="http://schemas.microsoft.com/office/drawing/2014/chart" uri="{C3380CC4-5D6E-409C-BE32-E72D297353CC}">
              <c16:uniqueId val="{00000002-C5DF-448C-ADB2-8DE3DCB601AC}"/>
            </c:ext>
          </c:extLst>
        </c:ser>
        <c:ser>
          <c:idx val="2"/>
          <c:order val="3"/>
          <c:tx>
            <c:strRef>
              <c:f>Entrant_need_figures!$B$67</c:f>
              <c:strCache>
                <c:ptCount val="1"/>
                <c:pt idx="0">
                  <c:v>Non-EBacc</c:v>
                </c:pt>
              </c:strCache>
            </c:strRef>
          </c:tx>
          <c:spPr>
            <a:ln>
              <a:solidFill>
                <a:srgbClr val="FFC000"/>
              </a:solidFill>
            </a:ln>
          </c:spPr>
          <c:marker>
            <c:symbol val="none"/>
          </c:marker>
          <c:cat>
            <c:strRef>
              <c:f>Entrant_need_figures!$C$14:$N$14</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Entrant_need_figures!$C$67:$N$67</c:f>
              <c:numCache>
                <c:formatCode>#,##0</c:formatCode>
                <c:ptCount val="12"/>
                <c:pt idx="0">
                  <c:v>7304.0047191230733</c:v>
                </c:pt>
                <c:pt idx="1">
                  <c:v>7954.3984594112571</c:v>
                </c:pt>
                <c:pt idx="2">
                  <c:v>7074.8035886922198</c:v>
                </c:pt>
                <c:pt idx="3">
                  <c:v>6580.6518099951136</c:v>
                </c:pt>
                <c:pt idx="4">
                  <c:v>7477.5803051474577</c:v>
                </c:pt>
                <c:pt idx="5">
                  <c:v>7935.8979772145922</c:v>
                </c:pt>
                <c:pt idx="6">
                  <c:v>8065.4188585015027</c:v>
                </c:pt>
                <c:pt idx="7">
                  <c:v>8119.3881367036474</c:v>
                </c:pt>
                <c:pt idx="8">
                  <c:v>7872.1544660319923</c:v>
                </c:pt>
                <c:pt idx="9">
                  <c:v>7675.1416967262239</c:v>
                </c:pt>
                <c:pt idx="10">
                  <c:v>7560.8355576641625</c:v>
                </c:pt>
                <c:pt idx="11">
                  <c:v>7618.6521666980598</c:v>
                </c:pt>
              </c:numCache>
            </c:numRef>
          </c:val>
          <c:smooth val="0"/>
          <c:extLst>
            <c:ext xmlns:c16="http://schemas.microsoft.com/office/drawing/2014/chart" uri="{C3380CC4-5D6E-409C-BE32-E72D297353CC}">
              <c16:uniqueId val="{00000003-C5DF-448C-ADB2-8DE3DCB601AC}"/>
            </c:ext>
          </c:extLst>
        </c:ser>
        <c:dLbls>
          <c:showLegendKey val="0"/>
          <c:showVal val="0"/>
          <c:showCatName val="0"/>
          <c:showSerName val="0"/>
          <c:showPercent val="0"/>
          <c:showBubbleSize val="0"/>
        </c:dLbls>
        <c:smooth val="0"/>
        <c:axId val="168277504"/>
        <c:axId val="168279040"/>
      </c:lineChart>
      <c:catAx>
        <c:axId val="16827750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8279040"/>
        <c:crosses val="autoZero"/>
        <c:auto val="1"/>
        <c:lblAlgn val="ctr"/>
        <c:lblOffset val="100"/>
        <c:noMultiLvlLbl val="0"/>
      </c:catAx>
      <c:valAx>
        <c:axId val="168279040"/>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277504"/>
        <c:crosses val="autoZero"/>
        <c:crossBetween val="between"/>
      </c:valAx>
      <c:spPr>
        <a:ln>
          <a:solidFill>
            <a:schemeClr val="tx1"/>
          </a:solidFill>
        </a:ln>
      </c:spPr>
    </c:plotArea>
    <c:legend>
      <c:legendPos val="r"/>
      <c:layout>
        <c:manualLayout>
          <c:xMode val="edge"/>
          <c:yMode val="edge"/>
          <c:x val="0.78882939722275591"/>
          <c:y val="0.24420046927461384"/>
          <c:w val="0.19357313287240852"/>
          <c:h val="0.48595919279843958"/>
        </c:manualLayout>
      </c:layout>
      <c:overlay val="0"/>
      <c:spPr>
        <a:solidFill>
          <a:schemeClr val="bg1"/>
        </a:solidFill>
        <a:ln>
          <a:noFill/>
        </a:ln>
      </c:spPr>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Entrant teacher need by subject for EBacc subjects</a:t>
            </a:r>
          </a:p>
        </c:rich>
      </c:tx>
      <c:overlay val="0"/>
    </c:title>
    <c:autoTitleDeleted val="0"/>
    <c:plotArea>
      <c:layout>
        <c:manualLayout>
          <c:layoutTarget val="inner"/>
          <c:xMode val="edge"/>
          <c:yMode val="edge"/>
          <c:x val="0.12923824862801242"/>
          <c:y val="0.11368177849211439"/>
          <c:w val="0.62364166949227051"/>
          <c:h val="0.73677142172733801"/>
        </c:manualLayout>
      </c:layout>
      <c:lineChart>
        <c:grouping val="standard"/>
        <c:varyColors val="0"/>
        <c:ser>
          <c:idx val="13"/>
          <c:order val="0"/>
          <c:tx>
            <c:v>Mathematics</c:v>
          </c:tx>
          <c:spPr>
            <a:ln>
              <a:solidFill>
                <a:schemeClr val="tx1"/>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Entrant_need_figures!$C$28:$N$28</c:f>
              <c:numCache>
                <c:formatCode>#,##0</c:formatCode>
                <c:ptCount val="12"/>
                <c:pt idx="0">
                  <c:v>4533.0586834746464</c:v>
                </c:pt>
                <c:pt idx="1">
                  <c:v>4151.1912952787143</c:v>
                </c:pt>
                <c:pt idx="2">
                  <c:v>4253.0396385280801</c:v>
                </c:pt>
                <c:pt idx="3">
                  <c:v>4116.8985425687888</c:v>
                </c:pt>
                <c:pt idx="4">
                  <c:v>4076.1032526889899</c:v>
                </c:pt>
                <c:pt idx="5">
                  <c:v>3972.780827279938</c:v>
                </c:pt>
                <c:pt idx="6">
                  <c:v>3999.0652238733483</c:v>
                </c:pt>
                <c:pt idx="7">
                  <c:v>3952.3341882604354</c:v>
                </c:pt>
                <c:pt idx="8">
                  <c:v>3780.3366397170557</c:v>
                </c:pt>
                <c:pt idx="9">
                  <c:v>3737.8028243573672</c:v>
                </c:pt>
                <c:pt idx="10">
                  <c:v>3678.4063194105711</c:v>
                </c:pt>
                <c:pt idx="11">
                  <c:v>3612.9428403986103</c:v>
                </c:pt>
              </c:numCache>
            </c:numRef>
          </c:val>
          <c:smooth val="0"/>
          <c:extLst>
            <c:ext xmlns:c16="http://schemas.microsoft.com/office/drawing/2014/chart" uri="{C3380CC4-5D6E-409C-BE32-E72D297353CC}">
              <c16:uniqueId val="{00000000-3C9A-462E-8E86-7344DDB0DA2A}"/>
            </c:ext>
          </c:extLst>
        </c:ser>
        <c:ser>
          <c:idx val="9"/>
          <c:order val="1"/>
          <c:tx>
            <c:v>English</c:v>
          </c:tx>
          <c:spPr>
            <a:ln>
              <a:solidFill>
                <a:srgbClr val="FF0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Entrant_need_figures!$C$24:$N$24</c:f>
              <c:numCache>
                <c:formatCode>#,##0</c:formatCode>
                <c:ptCount val="12"/>
                <c:pt idx="0">
                  <c:v>3778.1104864577228</c:v>
                </c:pt>
                <c:pt idx="1">
                  <c:v>3599.4228192505816</c:v>
                </c:pt>
                <c:pt idx="2">
                  <c:v>3862.8994883252717</c:v>
                </c:pt>
                <c:pt idx="3">
                  <c:v>3701.4082860658532</c:v>
                </c:pt>
                <c:pt idx="4">
                  <c:v>3615.2957762173473</c:v>
                </c:pt>
                <c:pt idx="5">
                  <c:v>3630.9258555009756</c:v>
                </c:pt>
                <c:pt idx="6">
                  <c:v>3661.6593030373506</c:v>
                </c:pt>
                <c:pt idx="7">
                  <c:v>3620.3691206946369</c:v>
                </c:pt>
                <c:pt idx="8">
                  <c:v>3455.9903259364196</c:v>
                </c:pt>
                <c:pt idx="9">
                  <c:v>3435.1827295512644</c:v>
                </c:pt>
                <c:pt idx="10">
                  <c:v>3388.9169995444304</c:v>
                </c:pt>
                <c:pt idx="11">
                  <c:v>3324.7251138627344</c:v>
                </c:pt>
              </c:numCache>
            </c:numRef>
          </c:val>
          <c:smooth val="0"/>
          <c:extLst>
            <c:ext xmlns:c16="http://schemas.microsoft.com/office/drawing/2014/chart" uri="{C3380CC4-5D6E-409C-BE32-E72D297353CC}">
              <c16:uniqueId val="{00000001-3C9A-462E-8E86-7344DDB0DA2A}"/>
            </c:ext>
          </c:extLst>
        </c:ser>
        <c:ser>
          <c:idx val="14"/>
          <c:order val="2"/>
          <c:tx>
            <c:v>Modern Foreign Languages</c:v>
          </c:tx>
          <c:spPr>
            <a:ln>
              <a:solidFill>
                <a:srgbClr val="00B05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Entrant_need_figures!$C$29:$N$29</c:f>
              <c:numCache>
                <c:formatCode>#,##0</c:formatCode>
                <c:ptCount val="12"/>
                <c:pt idx="0">
                  <c:v>1598.4891505508069</c:v>
                </c:pt>
                <c:pt idx="1">
                  <c:v>1814.5522420788348</c:v>
                </c:pt>
                <c:pt idx="2">
                  <c:v>3169.8238040684982</c:v>
                </c:pt>
                <c:pt idx="3">
                  <c:v>3382.5455067966113</c:v>
                </c:pt>
                <c:pt idx="4">
                  <c:v>2577.6234451171326</c:v>
                </c:pt>
                <c:pt idx="5">
                  <c:v>2200.730093337505</c:v>
                </c:pt>
                <c:pt idx="6">
                  <c:v>2191.2039640264884</c:v>
                </c:pt>
                <c:pt idx="7">
                  <c:v>2194.4925909694066</c:v>
                </c:pt>
                <c:pt idx="8">
                  <c:v>2077.6440279294093</c:v>
                </c:pt>
                <c:pt idx="9">
                  <c:v>2017.5374365779689</c:v>
                </c:pt>
                <c:pt idx="10">
                  <c:v>1973.8877271487099</c:v>
                </c:pt>
                <c:pt idx="11">
                  <c:v>1984.3324489999882</c:v>
                </c:pt>
              </c:numCache>
            </c:numRef>
          </c:val>
          <c:smooth val="0"/>
          <c:extLst>
            <c:ext xmlns:c16="http://schemas.microsoft.com/office/drawing/2014/chart" uri="{C3380CC4-5D6E-409C-BE32-E72D297353CC}">
              <c16:uniqueId val="{00000002-3C9A-462E-8E86-7344DDB0DA2A}"/>
            </c:ext>
          </c:extLst>
        </c:ser>
        <c:ser>
          <c:idx val="2"/>
          <c:order val="3"/>
          <c:tx>
            <c:v>Biology</c:v>
          </c:tx>
          <c:spPr>
            <a:ln>
              <a:solidFill>
                <a:srgbClr val="FFC000"/>
              </a:solidFill>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Entrant_need_figures!$C$17:$N$17</c:f>
              <c:numCache>
                <c:formatCode>#,##0</c:formatCode>
                <c:ptCount val="12"/>
                <c:pt idx="0">
                  <c:v>1914.5076796152448</c:v>
                </c:pt>
                <c:pt idx="1">
                  <c:v>1456.0427186937031</c:v>
                </c:pt>
                <c:pt idx="2">
                  <c:v>1622.9690753203779</c:v>
                </c:pt>
                <c:pt idx="3">
                  <c:v>1541.0689857592392</c:v>
                </c:pt>
                <c:pt idx="4">
                  <c:v>1523.4355793739348</c:v>
                </c:pt>
                <c:pt idx="5">
                  <c:v>1554.0900491778327</c:v>
                </c:pt>
                <c:pt idx="6">
                  <c:v>1597.2525539966007</c:v>
                </c:pt>
                <c:pt idx="7">
                  <c:v>1568.3907652139583</c:v>
                </c:pt>
                <c:pt idx="8">
                  <c:v>1525.6184113063307</c:v>
                </c:pt>
                <c:pt idx="9">
                  <c:v>1543.0806641013999</c:v>
                </c:pt>
                <c:pt idx="10">
                  <c:v>1534.0714545852397</c:v>
                </c:pt>
                <c:pt idx="11">
                  <c:v>1479.2817977451632</c:v>
                </c:pt>
              </c:numCache>
            </c:numRef>
          </c:val>
          <c:smooth val="0"/>
          <c:extLst>
            <c:ext xmlns:c16="http://schemas.microsoft.com/office/drawing/2014/chart" uri="{C3380CC4-5D6E-409C-BE32-E72D297353CC}">
              <c16:uniqueId val="{00000003-3C9A-462E-8E86-7344DDB0DA2A}"/>
            </c:ext>
          </c:extLst>
        </c:ser>
        <c:ser>
          <c:idx val="12"/>
          <c:order val="4"/>
          <c:tx>
            <c:v>History</c:v>
          </c:tx>
          <c:spPr>
            <a:ln>
              <a:solidFill>
                <a:schemeClr val="tx1">
                  <a:lumMod val="95000"/>
                  <a:lumOff val="5000"/>
                </a:schemeClr>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Entrant_need_figures!$C$27:$N$27</c:f>
              <c:numCache>
                <c:formatCode>#,##0</c:formatCode>
                <c:ptCount val="12"/>
                <c:pt idx="0">
                  <c:v>1081.6752707668475</c:v>
                </c:pt>
                <c:pt idx="1">
                  <c:v>1242.6293981653848</c:v>
                </c:pt>
                <c:pt idx="2">
                  <c:v>1516.6921585404023</c:v>
                </c:pt>
                <c:pt idx="3">
                  <c:v>1571.7216952093804</c:v>
                </c:pt>
                <c:pt idx="4">
                  <c:v>1361.6441528973978</c:v>
                </c:pt>
                <c:pt idx="5">
                  <c:v>1350.7580453005312</c:v>
                </c:pt>
                <c:pt idx="6">
                  <c:v>1362.0636501364806</c:v>
                </c:pt>
                <c:pt idx="7">
                  <c:v>1369.6103235530522</c:v>
                </c:pt>
                <c:pt idx="8">
                  <c:v>1313.2053394274715</c:v>
                </c:pt>
                <c:pt idx="9">
                  <c:v>1282.8334505470709</c:v>
                </c:pt>
                <c:pt idx="10">
                  <c:v>1262.3868850136987</c:v>
                </c:pt>
                <c:pt idx="11">
                  <c:v>1270.4926074627915</c:v>
                </c:pt>
              </c:numCache>
            </c:numRef>
          </c:val>
          <c:smooth val="0"/>
          <c:extLst>
            <c:ext xmlns:c16="http://schemas.microsoft.com/office/drawing/2014/chart" uri="{C3380CC4-5D6E-409C-BE32-E72D297353CC}">
              <c16:uniqueId val="{00000004-3C9A-462E-8E86-7344DDB0DA2A}"/>
            </c:ext>
          </c:extLst>
        </c:ser>
        <c:ser>
          <c:idx val="4"/>
          <c:order val="5"/>
          <c:tx>
            <c:v>Chemistry</c:v>
          </c:tx>
          <c:spPr>
            <a:ln>
              <a:solidFill>
                <a:srgbClr val="FF0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Entrant_need_figures!$C$19:$N$19</c:f>
              <c:numCache>
                <c:formatCode>#,##0</c:formatCode>
                <c:ptCount val="12"/>
                <c:pt idx="0">
                  <c:v>1643.6448981347612</c:v>
                </c:pt>
                <c:pt idx="1">
                  <c:v>1300.1736948351936</c:v>
                </c:pt>
                <c:pt idx="2">
                  <c:v>1369.3635969078512</c:v>
                </c:pt>
                <c:pt idx="3">
                  <c:v>1370.3546697869631</c:v>
                </c:pt>
                <c:pt idx="4">
                  <c:v>1350.5794286394669</c:v>
                </c:pt>
                <c:pt idx="5">
                  <c:v>1375.8173502548311</c:v>
                </c:pt>
                <c:pt idx="6">
                  <c:v>1411.6156893113766</c:v>
                </c:pt>
                <c:pt idx="7">
                  <c:v>1375.2824750734162</c:v>
                </c:pt>
                <c:pt idx="8">
                  <c:v>1334.3803130509314</c:v>
                </c:pt>
                <c:pt idx="9">
                  <c:v>1353.9948822402539</c:v>
                </c:pt>
                <c:pt idx="10">
                  <c:v>1344.5024695298421</c:v>
                </c:pt>
                <c:pt idx="11">
                  <c:v>1283.2001953735639</c:v>
                </c:pt>
              </c:numCache>
            </c:numRef>
          </c:val>
          <c:smooth val="0"/>
          <c:extLst>
            <c:ext xmlns:c16="http://schemas.microsoft.com/office/drawing/2014/chart" uri="{C3380CC4-5D6E-409C-BE32-E72D297353CC}">
              <c16:uniqueId val="{00000005-3C9A-462E-8E86-7344DDB0DA2A}"/>
            </c:ext>
          </c:extLst>
        </c:ser>
        <c:ser>
          <c:idx val="11"/>
          <c:order val="6"/>
          <c:tx>
            <c:v>Geography</c:v>
          </c:tx>
          <c:spPr>
            <a:ln>
              <a:solidFill>
                <a:srgbClr val="00B05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Entrant_need_figures!$C$26:$N$26</c:f>
              <c:numCache>
                <c:formatCode>#,##0</c:formatCode>
                <c:ptCount val="12"/>
                <c:pt idx="0">
                  <c:v>1091.6578874521288</c:v>
                </c:pt>
                <c:pt idx="1">
                  <c:v>1176.8486226628406</c:v>
                </c:pt>
                <c:pt idx="2">
                  <c:v>1578.1307391323012</c:v>
                </c:pt>
                <c:pt idx="3">
                  <c:v>1559.9435854724363</c:v>
                </c:pt>
                <c:pt idx="4">
                  <c:v>1330.3897823669502</c:v>
                </c:pt>
                <c:pt idx="5">
                  <c:v>1288.7634130233025</c:v>
                </c:pt>
                <c:pt idx="6">
                  <c:v>1294.644023061835</c:v>
                </c:pt>
                <c:pt idx="7">
                  <c:v>1303.7414380971634</c:v>
                </c:pt>
                <c:pt idx="8">
                  <c:v>1244.6928236847466</c:v>
                </c:pt>
                <c:pt idx="9">
                  <c:v>1213.3361672022436</c:v>
                </c:pt>
                <c:pt idx="10">
                  <c:v>1192.8208878862974</c:v>
                </c:pt>
                <c:pt idx="11">
                  <c:v>1204.3424150166754</c:v>
                </c:pt>
              </c:numCache>
            </c:numRef>
          </c:val>
          <c:smooth val="0"/>
          <c:extLst>
            <c:ext xmlns:c16="http://schemas.microsoft.com/office/drawing/2014/chart" uri="{C3380CC4-5D6E-409C-BE32-E72D297353CC}">
              <c16:uniqueId val="{00000006-3C9A-462E-8E86-7344DDB0DA2A}"/>
            </c:ext>
          </c:extLst>
        </c:ser>
        <c:ser>
          <c:idx val="18"/>
          <c:order val="7"/>
          <c:tx>
            <c:v>Physics</c:v>
          </c:tx>
          <c:spPr>
            <a:ln>
              <a:solidFill>
                <a:srgbClr val="FFC00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Entrant_need_figures!$C$33:$N$33</c:f>
              <c:numCache>
                <c:formatCode>#,##0</c:formatCode>
                <c:ptCount val="12"/>
                <c:pt idx="0">
                  <c:v>1631.0443069596247</c:v>
                </c:pt>
                <c:pt idx="1">
                  <c:v>1285.3823896686515</c:v>
                </c:pt>
                <c:pt idx="2">
                  <c:v>1355.7186393380998</c:v>
                </c:pt>
                <c:pt idx="3">
                  <c:v>1351.3681617479645</c:v>
                </c:pt>
                <c:pt idx="4">
                  <c:v>1326.0834198792879</c:v>
                </c:pt>
                <c:pt idx="5">
                  <c:v>1347.1957044035869</c:v>
                </c:pt>
                <c:pt idx="6">
                  <c:v>1378.2996306252403</c:v>
                </c:pt>
                <c:pt idx="7">
                  <c:v>1336.4078717100294</c:v>
                </c:pt>
                <c:pt idx="8">
                  <c:v>1290.9992024313312</c:v>
                </c:pt>
                <c:pt idx="9">
                  <c:v>1312.4413665041593</c:v>
                </c:pt>
                <c:pt idx="10">
                  <c:v>1301.8671056283961</c:v>
                </c:pt>
                <c:pt idx="11">
                  <c:v>1234.9691066198673</c:v>
                </c:pt>
              </c:numCache>
            </c:numRef>
          </c:val>
          <c:smooth val="0"/>
          <c:extLst>
            <c:ext xmlns:c16="http://schemas.microsoft.com/office/drawing/2014/chart" uri="{C3380CC4-5D6E-409C-BE32-E72D297353CC}">
              <c16:uniqueId val="{00000007-3C9A-462E-8E86-7344DDB0DA2A}"/>
            </c:ext>
          </c:extLst>
        </c:ser>
        <c:ser>
          <c:idx val="6"/>
          <c:order val="8"/>
          <c:tx>
            <c:v>Computing</c:v>
          </c:tx>
          <c:spPr>
            <a:ln>
              <a:solidFill>
                <a:srgbClr val="00B0F0"/>
              </a:solidFill>
              <a:prstDash val="sysDot"/>
            </a:ln>
          </c:spPr>
          <c:marker>
            <c:symbol val="none"/>
          </c:marker>
          <c:cat>
            <c:strRef>
              <c:f>Teacher_need_figures!$C$13:$N$13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Entrant_need_figures!$C$21:$N$21</c:f>
              <c:numCache>
                <c:formatCode>#,##0</c:formatCode>
                <c:ptCount val="12"/>
                <c:pt idx="0">
                  <c:v>709.32546447980587</c:v>
                </c:pt>
                <c:pt idx="1">
                  <c:v>843.57843472215291</c:v>
                </c:pt>
                <c:pt idx="2">
                  <c:v>606.54529199878812</c:v>
                </c:pt>
                <c:pt idx="3">
                  <c:v>583.35086242820535</c:v>
                </c:pt>
                <c:pt idx="4">
                  <c:v>773.9857188455577</c:v>
                </c:pt>
                <c:pt idx="5">
                  <c:v>832.54281536747317</c:v>
                </c:pt>
                <c:pt idx="6">
                  <c:v>846.49492966501373</c:v>
                </c:pt>
                <c:pt idx="7">
                  <c:v>853.1581471224514</c:v>
                </c:pt>
                <c:pt idx="8">
                  <c:v>827.13041414329996</c:v>
                </c:pt>
                <c:pt idx="9">
                  <c:v>808.33190401463776</c:v>
                </c:pt>
                <c:pt idx="10">
                  <c:v>796.29075672587828</c:v>
                </c:pt>
                <c:pt idx="11">
                  <c:v>800.54945796281163</c:v>
                </c:pt>
              </c:numCache>
            </c:numRef>
          </c:val>
          <c:smooth val="0"/>
          <c:extLst>
            <c:ext xmlns:c16="http://schemas.microsoft.com/office/drawing/2014/chart" uri="{C3380CC4-5D6E-409C-BE32-E72D297353CC}">
              <c16:uniqueId val="{00000008-3C9A-462E-8E86-7344DDB0DA2A}"/>
            </c:ext>
          </c:extLst>
        </c:ser>
        <c:dLbls>
          <c:showLegendKey val="0"/>
          <c:showVal val="0"/>
          <c:showCatName val="0"/>
          <c:showSerName val="0"/>
          <c:showPercent val="0"/>
          <c:showBubbleSize val="0"/>
        </c:dLbls>
        <c:smooth val="0"/>
        <c:axId val="169735680"/>
        <c:axId val="169737216"/>
      </c:lineChart>
      <c:catAx>
        <c:axId val="16973568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37216"/>
        <c:crosses val="autoZero"/>
        <c:auto val="1"/>
        <c:lblAlgn val="ctr"/>
        <c:lblOffset val="100"/>
        <c:noMultiLvlLbl val="0"/>
      </c:catAx>
      <c:valAx>
        <c:axId val="1697372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need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735680"/>
        <c:crosses val="autoZero"/>
        <c:crossBetween val="between"/>
      </c:valAx>
      <c:spPr>
        <a:ln>
          <a:solidFill>
            <a:schemeClr val="tx1"/>
          </a:solidFill>
        </a:ln>
      </c:spPr>
    </c:plotArea>
    <c:legend>
      <c:legendPos val="r"/>
      <c:layout>
        <c:manualLayout>
          <c:xMode val="edge"/>
          <c:yMode val="edge"/>
          <c:x val="0.7737009479319672"/>
          <c:y val="0.14163637985811003"/>
          <c:w val="0.2117737805710066"/>
          <c:h val="0.698413634396516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4433698505073"/>
          <c:h val="0.7654531418866759"/>
        </c:manualLayout>
      </c:layout>
      <c:lineChart>
        <c:grouping val="standard"/>
        <c:varyColors val="0"/>
        <c:ser>
          <c:idx val="19"/>
          <c:order val="0"/>
          <c:tx>
            <c:strRef>
              <c:f>Wastage_over_time!$B$34</c:f>
              <c:strCache>
                <c:ptCount val="1"/>
                <c:pt idx="0">
                  <c:v>Total Wastage</c:v>
                </c:pt>
              </c:strCache>
            </c:strRef>
          </c:tx>
          <c:spPr>
            <a:ln>
              <a:solidFill>
                <a:srgbClr val="FF0000"/>
              </a:solidFill>
            </a:ln>
          </c:spPr>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Wastage_over_time!$C$34:$N$34</c:f>
              <c:numCache>
                <c:formatCode>#,##0</c:formatCode>
                <c:ptCount val="12"/>
                <c:pt idx="0">
                  <c:v>34888.371588124966</c:v>
                </c:pt>
                <c:pt idx="1">
                  <c:v>35529.446069730082</c:v>
                </c:pt>
                <c:pt idx="2">
                  <c:v>35949.952605110753</c:v>
                </c:pt>
                <c:pt idx="3">
                  <c:v>36329.889509971035</c:v>
                </c:pt>
                <c:pt idx="4">
                  <c:v>36642.272118782013</c:v>
                </c:pt>
                <c:pt idx="5">
                  <c:v>36899.271008727606</c:v>
                </c:pt>
                <c:pt idx="6">
                  <c:v>37113.590592677494</c:v>
                </c:pt>
                <c:pt idx="7">
                  <c:v>37303.367111398431</c:v>
                </c:pt>
                <c:pt idx="8">
                  <c:v>37438.283663679962</c:v>
                </c:pt>
                <c:pt idx="9">
                  <c:v>37515.858676641888</c:v>
                </c:pt>
                <c:pt idx="10">
                  <c:v>37592.446232694725</c:v>
                </c:pt>
                <c:pt idx="11">
                  <c:v>37638.357800992941</c:v>
                </c:pt>
              </c:numCache>
            </c:numRef>
          </c:val>
          <c:smooth val="0"/>
          <c:extLst>
            <c:ext xmlns:c16="http://schemas.microsoft.com/office/drawing/2014/chart" uri="{C3380CC4-5D6E-409C-BE32-E72D297353CC}">
              <c16:uniqueId val="{00000000-7573-4FF0-8178-42D3163573B0}"/>
            </c:ext>
          </c:extLst>
        </c:ser>
        <c:ser>
          <c:idx val="0"/>
          <c:order val="1"/>
          <c:tx>
            <c:strRef>
              <c:f>Wastage_over_time!$B$14</c:f>
              <c:strCache>
                <c:ptCount val="1"/>
                <c:pt idx="0">
                  <c:v>Primary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Wastage_over_time!$C$14:$N$14</c:f>
              <c:numCache>
                <c:formatCode>#,##0</c:formatCode>
                <c:ptCount val="12"/>
                <c:pt idx="0">
                  <c:v>18210.285886719616</c:v>
                </c:pt>
                <c:pt idx="1">
                  <c:v>18525.521226631212</c:v>
                </c:pt>
                <c:pt idx="2">
                  <c:v>18702.799803354941</c:v>
                </c:pt>
                <c:pt idx="3">
                  <c:v>18797.001338478229</c:v>
                </c:pt>
                <c:pt idx="4">
                  <c:v>18828.767422119625</c:v>
                </c:pt>
                <c:pt idx="5">
                  <c:v>18873.360288923304</c:v>
                </c:pt>
                <c:pt idx="6">
                  <c:v>18896.432297435575</c:v>
                </c:pt>
                <c:pt idx="7">
                  <c:v>18890.250064766038</c:v>
                </c:pt>
                <c:pt idx="8">
                  <c:v>18865.548086988358</c:v>
                </c:pt>
                <c:pt idx="9">
                  <c:v>18891.178291643042</c:v>
                </c:pt>
                <c:pt idx="10">
                  <c:v>18952.244334414001</c:v>
                </c:pt>
                <c:pt idx="11">
                  <c:v>19015.947005510654</c:v>
                </c:pt>
              </c:numCache>
            </c:numRef>
          </c:val>
          <c:smooth val="0"/>
          <c:extLst>
            <c:ext xmlns:c16="http://schemas.microsoft.com/office/drawing/2014/chart" uri="{C3380CC4-5D6E-409C-BE32-E72D297353CC}">
              <c16:uniqueId val="{00000001-7573-4FF0-8178-42D3163573B0}"/>
            </c:ext>
          </c:extLst>
        </c:ser>
        <c:dLbls>
          <c:showLegendKey val="0"/>
          <c:showVal val="0"/>
          <c:showCatName val="0"/>
          <c:showSerName val="0"/>
          <c:showPercent val="0"/>
          <c:showBubbleSize val="0"/>
        </c:dLbls>
        <c:smooth val="0"/>
        <c:axId val="170342656"/>
        <c:axId val="170352640"/>
      </c:lineChart>
      <c:catAx>
        <c:axId val="1703426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52640"/>
        <c:crosses val="autoZero"/>
        <c:auto val="1"/>
        <c:lblAlgn val="ctr"/>
        <c:lblOffset val="100"/>
        <c:noMultiLvlLbl val="0"/>
      </c:catAx>
      <c:valAx>
        <c:axId val="1703526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42656"/>
        <c:crosses val="autoZero"/>
        <c:crossBetween val="between"/>
      </c:valAx>
      <c:spPr>
        <a:ln>
          <a:solidFill>
            <a:schemeClr val="tx1">
              <a:lumMod val="95000"/>
              <a:lumOff val="5000"/>
            </a:schemeClr>
          </a:solidFill>
        </a:ln>
      </c:spPr>
    </c:plotArea>
    <c:legend>
      <c:legendPos val="r"/>
      <c:layout>
        <c:manualLayout>
          <c:xMode val="edge"/>
          <c:yMode val="edge"/>
          <c:x val="0.75792156328287086"/>
          <c:y val="2.0249384714761124E-2"/>
          <c:w val="0.22502075431243654"/>
          <c:h val="0.88162124594238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739472783293396"/>
          <c:h val="0.7654531418866759"/>
        </c:manualLayout>
      </c:layout>
      <c:lineChart>
        <c:grouping val="standard"/>
        <c:varyColors val="0"/>
        <c:ser>
          <c:idx val="1"/>
          <c:order val="0"/>
          <c:tx>
            <c:strRef>
              <c:f>Wastage_over_time!$B$15</c:f>
              <c:strCache>
                <c:ptCount val="1"/>
                <c:pt idx="0">
                  <c:v>Art &amp; Design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Wastage_over_time!$C$15:$N$15</c:f>
              <c:numCache>
                <c:formatCode>#,##0</c:formatCode>
                <c:ptCount val="12"/>
                <c:pt idx="0">
                  <c:v>644.43901913579748</c:v>
                </c:pt>
                <c:pt idx="1">
                  <c:v>643.18070561128502</c:v>
                </c:pt>
                <c:pt idx="2">
                  <c:v>651.15544188223578</c:v>
                </c:pt>
                <c:pt idx="3">
                  <c:v>648.43550513828666</c:v>
                </c:pt>
                <c:pt idx="4">
                  <c:v>646.1166201930838</c:v>
                </c:pt>
                <c:pt idx="5">
                  <c:v>652.51199995392471</c:v>
                </c:pt>
                <c:pt idx="6">
                  <c:v>659.50983275304361</c:v>
                </c:pt>
                <c:pt idx="7">
                  <c:v>666.10869095643943</c:v>
                </c:pt>
                <c:pt idx="8">
                  <c:v>673.0903218714235</c:v>
                </c:pt>
                <c:pt idx="9">
                  <c:v>676.13157543016223</c:v>
                </c:pt>
                <c:pt idx="10">
                  <c:v>675.74383295957045</c:v>
                </c:pt>
                <c:pt idx="11">
                  <c:v>673.87794219857938</c:v>
                </c:pt>
              </c:numCache>
            </c:numRef>
          </c:val>
          <c:smooth val="0"/>
          <c:extLst>
            <c:ext xmlns:c16="http://schemas.microsoft.com/office/drawing/2014/chart" uri="{C3380CC4-5D6E-409C-BE32-E72D297353CC}">
              <c16:uniqueId val="{00000000-6368-4C24-809D-849768028A3B}"/>
            </c:ext>
          </c:extLst>
        </c:ser>
        <c:ser>
          <c:idx val="2"/>
          <c:order val="1"/>
          <c:tx>
            <c:strRef>
              <c:f>Wastage_over_time!$B$16</c:f>
              <c:strCache>
                <c:ptCount val="1"/>
                <c:pt idx="0">
                  <c:v>Biology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Wastage_over_time!$C$16:$N$16</c:f>
              <c:numCache>
                <c:formatCode>#,##0</c:formatCode>
                <c:ptCount val="12"/>
                <c:pt idx="0">
                  <c:v>1005.893267908677</c:v>
                </c:pt>
                <c:pt idx="1">
                  <c:v>1068.2879513352696</c:v>
                </c:pt>
                <c:pt idx="2">
                  <c:v>1078.8969039095041</c:v>
                </c:pt>
                <c:pt idx="3">
                  <c:v>1095.2504287732152</c:v>
                </c:pt>
                <c:pt idx="4">
                  <c:v>1110.1207982172791</c:v>
                </c:pt>
                <c:pt idx="5">
                  <c:v>1121.0696744394463</c:v>
                </c:pt>
                <c:pt idx="6">
                  <c:v>1133.1507411472187</c:v>
                </c:pt>
                <c:pt idx="7">
                  <c:v>1147.3775190219499</c:v>
                </c:pt>
                <c:pt idx="8">
                  <c:v>1156.6564296962486</c:v>
                </c:pt>
                <c:pt idx="9">
                  <c:v>1160.3769957736401</c:v>
                </c:pt>
                <c:pt idx="10">
                  <c:v>1165.0281924822852</c:v>
                </c:pt>
                <c:pt idx="11">
                  <c:v>1168.0062115671435</c:v>
                </c:pt>
              </c:numCache>
            </c:numRef>
          </c:val>
          <c:smooth val="0"/>
          <c:extLst>
            <c:ext xmlns:c16="http://schemas.microsoft.com/office/drawing/2014/chart" uri="{C3380CC4-5D6E-409C-BE32-E72D297353CC}">
              <c16:uniqueId val="{00000001-6368-4C24-809D-849768028A3B}"/>
            </c:ext>
          </c:extLst>
        </c:ser>
        <c:ser>
          <c:idx val="3"/>
          <c:order val="2"/>
          <c:tx>
            <c:strRef>
              <c:f>Wastage_over_time!$B$17</c:f>
              <c:strCache>
                <c:ptCount val="1"/>
                <c:pt idx="0">
                  <c:v>Business Studies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Wastage_over_time!$C$17:$N$17</c:f>
              <c:numCache>
                <c:formatCode>#,##0</c:formatCode>
                <c:ptCount val="12"/>
                <c:pt idx="0">
                  <c:v>312.65446100466278</c:v>
                </c:pt>
                <c:pt idx="1">
                  <c:v>309.06392520825216</c:v>
                </c:pt>
                <c:pt idx="2">
                  <c:v>306.77239062017151</c:v>
                </c:pt>
                <c:pt idx="3">
                  <c:v>294.87128442424535</c:v>
                </c:pt>
                <c:pt idx="4">
                  <c:v>283.08797236304707</c:v>
                </c:pt>
                <c:pt idx="5">
                  <c:v>282.42755191897089</c:v>
                </c:pt>
                <c:pt idx="6">
                  <c:v>286.29791216300811</c:v>
                </c:pt>
                <c:pt idx="7">
                  <c:v>292.47941139894965</c:v>
                </c:pt>
                <c:pt idx="8">
                  <c:v>296.66751326917137</c:v>
                </c:pt>
                <c:pt idx="9">
                  <c:v>301.44647308883907</c:v>
                </c:pt>
                <c:pt idx="10">
                  <c:v>306.81237286674673</c:v>
                </c:pt>
                <c:pt idx="11">
                  <c:v>311.76801829683257</c:v>
                </c:pt>
              </c:numCache>
            </c:numRef>
          </c:val>
          <c:smooth val="0"/>
          <c:extLst>
            <c:ext xmlns:c16="http://schemas.microsoft.com/office/drawing/2014/chart" uri="{C3380CC4-5D6E-409C-BE32-E72D297353CC}">
              <c16:uniqueId val="{00000002-6368-4C24-809D-849768028A3B}"/>
            </c:ext>
          </c:extLst>
        </c:ser>
        <c:ser>
          <c:idx val="4"/>
          <c:order val="3"/>
          <c:tx>
            <c:strRef>
              <c:f>Wastage_over_time!$B$18</c:f>
              <c:strCache>
                <c:ptCount val="1"/>
                <c:pt idx="0">
                  <c:v>Chemistry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Wastage_over_time!$C$18:$N$18</c:f>
              <c:numCache>
                <c:formatCode>#,##0</c:formatCode>
                <c:ptCount val="12"/>
                <c:pt idx="0">
                  <c:v>867.29431224224641</c:v>
                </c:pt>
                <c:pt idx="1">
                  <c:v>916.5470887046539</c:v>
                </c:pt>
                <c:pt idx="2">
                  <c:v>926.64267258552468</c:v>
                </c:pt>
                <c:pt idx="3">
                  <c:v>942.08384977638048</c:v>
                </c:pt>
                <c:pt idx="4">
                  <c:v>955.6546611079018</c:v>
                </c:pt>
                <c:pt idx="5">
                  <c:v>965.64889271966342</c:v>
                </c:pt>
                <c:pt idx="6">
                  <c:v>976.82071529361883</c:v>
                </c:pt>
                <c:pt idx="7">
                  <c:v>990.00781127946198</c:v>
                </c:pt>
                <c:pt idx="8">
                  <c:v>998.11237415757046</c:v>
                </c:pt>
                <c:pt idx="9">
                  <c:v>1001.4054904838847</c:v>
                </c:pt>
                <c:pt idx="10">
                  <c:v>1006.2635498068748</c:v>
                </c:pt>
                <c:pt idx="11">
                  <c:v>1009.6946277182881</c:v>
                </c:pt>
              </c:numCache>
            </c:numRef>
          </c:val>
          <c:smooth val="0"/>
          <c:extLst>
            <c:ext xmlns:c16="http://schemas.microsoft.com/office/drawing/2014/chart" uri="{C3380CC4-5D6E-409C-BE32-E72D297353CC}">
              <c16:uniqueId val="{00000003-6368-4C24-809D-849768028A3B}"/>
            </c:ext>
          </c:extLst>
        </c:ser>
        <c:ser>
          <c:idx val="5"/>
          <c:order val="4"/>
          <c:tx>
            <c:strRef>
              <c:f>Wastage_over_time!$B$19</c:f>
              <c:strCache>
                <c:ptCount val="1"/>
                <c:pt idx="0">
                  <c:v>Classics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Wastage_over_time!$C$19:$N$19</c:f>
              <c:numCache>
                <c:formatCode>#,##0</c:formatCode>
                <c:ptCount val="12"/>
                <c:pt idx="0">
                  <c:v>24.043575407893023</c:v>
                </c:pt>
                <c:pt idx="1">
                  <c:v>24.319170266451898</c:v>
                </c:pt>
                <c:pt idx="2">
                  <c:v>24.691100034899797</c:v>
                </c:pt>
                <c:pt idx="3">
                  <c:v>24.988813544218509</c:v>
                </c:pt>
                <c:pt idx="4">
                  <c:v>25.27038472450457</c:v>
                </c:pt>
                <c:pt idx="5">
                  <c:v>25.535228700584483</c:v>
                </c:pt>
                <c:pt idx="6">
                  <c:v>25.827843253456063</c:v>
                </c:pt>
                <c:pt idx="7">
                  <c:v>26.175526541204363</c:v>
                </c:pt>
                <c:pt idx="8">
                  <c:v>26.483301942825374</c:v>
                </c:pt>
                <c:pt idx="9">
                  <c:v>26.717030965186712</c:v>
                </c:pt>
                <c:pt idx="10">
                  <c:v>26.852143398928856</c:v>
                </c:pt>
                <c:pt idx="11">
                  <c:v>26.934371368978319</c:v>
                </c:pt>
              </c:numCache>
            </c:numRef>
          </c:val>
          <c:smooth val="0"/>
          <c:extLst>
            <c:ext xmlns:c16="http://schemas.microsoft.com/office/drawing/2014/chart" uri="{C3380CC4-5D6E-409C-BE32-E72D297353CC}">
              <c16:uniqueId val="{00000004-6368-4C24-809D-849768028A3B}"/>
            </c:ext>
          </c:extLst>
        </c:ser>
        <c:ser>
          <c:idx val="6"/>
          <c:order val="5"/>
          <c:tx>
            <c:strRef>
              <c:f>Wastage_over_time!$B$20</c:f>
              <c:strCache>
                <c:ptCount val="1"/>
                <c:pt idx="0">
                  <c:v>Computing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Wastage_over_time!$C$20:$N$20</c:f>
              <c:numCache>
                <c:formatCode>#,##0</c:formatCode>
                <c:ptCount val="12"/>
                <c:pt idx="0">
                  <c:v>598.34711848101108</c:v>
                </c:pt>
                <c:pt idx="1">
                  <c:v>595.45437897487898</c:v>
                </c:pt>
                <c:pt idx="2">
                  <c:v>605.03073545513905</c:v>
                </c:pt>
                <c:pt idx="3">
                  <c:v>590.1976137357417</c:v>
                </c:pt>
                <c:pt idx="4">
                  <c:v>574.74379183421922</c:v>
                </c:pt>
                <c:pt idx="5">
                  <c:v>578.92462323049142</c:v>
                </c:pt>
                <c:pt idx="6">
                  <c:v>587.51107670158854</c:v>
                </c:pt>
                <c:pt idx="7">
                  <c:v>595.76667278202194</c:v>
                </c:pt>
                <c:pt idx="8">
                  <c:v>603.15961941442049</c:v>
                </c:pt>
                <c:pt idx="9">
                  <c:v>606.81833615216408</c:v>
                </c:pt>
                <c:pt idx="10">
                  <c:v>608.03448847774234</c:v>
                </c:pt>
                <c:pt idx="11">
                  <c:v>607.8502309513791</c:v>
                </c:pt>
              </c:numCache>
            </c:numRef>
          </c:val>
          <c:smooth val="0"/>
          <c:extLst>
            <c:ext xmlns:c16="http://schemas.microsoft.com/office/drawing/2014/chart" uri="{C3380CC4-5D6E-409C-BE32-E72D297353CC}">
              <c16:uniqueId val="{00000005-6368-4C24-809D-849768028A3B}"/>
            </c:ext>
          </c:extLst>
        </c:ser>
        <c:dLbls>
          <c:showLegendKey val="0"/>
          <c:showVal val="0"/>
          <c:showCatName val="0"/>
          <c:showSerName val="0"/>
          <c:showPercent val="0"/>
          <c:showBubbleSize val="0"/>
        </c:dLbls>
        <c:smooth val="0"/>
        <c:axId val="170391424"/>
        <c:axId val="170392960"/>
      </c:lineChart>
      <c:catAx>
        <c:axId val="1703914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392960"/>
        <c:crosses val="autoZero"/>
        <c:auto val="1"/>
        <c:lblAlgn val="ctr"/>
        <c:lblOffset val="100"/>
        <c:noMultiLvlLbl val="0"/>
      </c:catAx>
      <c:valAx>
        <c:axId val="1703929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391424"/>
        <c:crosses val="autoZero"/>
        <c:crossBetween val="between"/>
      </c:valAx>
      <c:spPr>
        <a:ln>
          <a:solidFill>
            <a:schemeClr val="tx1">
              <a:lumMod val="95000"/>
              <a:lumOff val="5000"/>
            </a:schemeClr>
          </a:solidFill>
        </a:ln>
      </c:spPr>
    </c:plotArea>
    <c:legend>
      <c:legendPos val="r"/>
      <c:layout>
        <c:manualLayout>
          <c:xMode val="edge"/>
          <c:yMode val="edge"/>
          <c:x val="0.79127042453026697"/>
          <c:y val="2.0186498426827081E-2"/>
          <c:w val="0.19444452776736243"/>
          <c:h val="0.8664596273291925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BY PHASE</a:t>
            </a:r>
          </a:p>
        </c:rich>
      </c:tx>
      <c:overlay val="0"/>
    </c:title>
    <c:autoTitleDeleted val="0"/>
    <c:plotArea>
      <c:layout>
        <c:manualLayout>
          <c:layoutTarget val="inner"/>
          <c:xMode val="edge"/>
          <c:yMode val="edge"/>
          <c:x val="0.11423840769903762"/>
          <c:y val="0.12283573928258967"/>
          <c:w val="0.56135181668901846"/>
          <c:h val="0.70718066491688547"/>
        </c:manualLayout>
      </c:layout>
      <c:lineChart>
        <c:grouping val="standard"/>
        <c:varyColors val="0"/>
        <c:ser>
          <c:idx val="20"/>
          <c:order val="0"/>
          <c:tx>
            <c:strRef>
              <c:f>Entrant_need_figures!$B$109</c:f>
              <c:strCache>
                <c:ptCount val="1"/>
                <c:pt idx="0">
                  <c:v>PRIMARY All Central Scenario</c:v>
                </c:pt>
              </c:strCache>
            </c:strRef>
          </c:tx>
          <c:spPr>
            <a:ln>
              <a:solidFill>
                <a:schemeClr val="tx1">
                  <a:lumMod val="95000"/>
                  <a:lumOff val="5000"/>
                </a:schemeClr>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Entrant_need_figures!$C$109:$N$109</c:f>
              <c:numCache>
                <c:formatCode>#,##0</c:formatCode>
                <c:ptCount val="12"/>
                <c:pt idx="0">
                  <c:v>27538.544661464744</c:v>
                </c:pt>
                <c:pt idx="1">
                  <c:v>26105.002673937081</c:v>
                </c:pt>
                <c:pt idx="2">
                  <c:v>25804.401119795846</c:v>
                </c:pt>
                <c:pt idx="3">
                  <c:v>24509.091093232932</c:v>
                </c:pt>
                <c:pt idx="4">
                  <c:v>24656.998817781678</c:v>
                </c:pt>
                <c:pt idx="5">
                  <c:v>24432.263410506512</c:v>
                </c:pt>
                <c:pt idx="6">
                  <c:v>24102.311757997213</c:v>
                </c:pt>
                <c:pt idx="7">
                  <c:v>23873.194543470338</c:v>
                </c:pt>
                <c:pt idx="8">
                  <c:v>24450.504710155619</c:v>
                </c:pt>
                <c:pt idx="9">
                  <c:v>24916.785672652128</c:v>
                </c:pt>
                <c:pt idx="10">
                  <c:v>25036.449572418685</c:v>
                </c:pt>
                <c:pt idx="11">
                  <c:v>24924.618653464819</c:v>
                </c:pt>
              </c:numCache>
            </c:numRef>
          </c:val>
          <c:smooth val="0"/>
          <c:extLst>
            <c:ext xmlns:c16="http://schemas.microsoft.com/office/drawing/2014/chart" uri="{C3380CC4-5D6E-409C-BE32-E72D297353CC}">
              <c16:uniqueId val="{00000000-7EDE-497B-8499-5D4C38A76079}"/>
            </c:ext>
          </c:extLst>
        </c:ser>
        <c:ser>
          <c:idx val="0"/>
          <c:order val="1"/>
          <c:tx>
            <c:strRef>
              <c:f>Entrant_need_figures!$B$88</c:f>
              <c:strCache>
                <c:ptCount val="1"/>
                <c:pt idx="0">
                  <c:v>PRIMARY Scenario Selected</c:v>
                </c:pt>
              </c:strCache>
            </c:strRef>
          </c:tx>
          <c:spPr>
            <a:ln>
              <a:solidFill>
                <a:schemeClr val="tx1">
                  <a:lumMod val="95000"/>
                  <a:lumOff val="5000"/>
                </a:schemeClr>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Entrant_need_figures!$C$88:$N$88</c:f>
              <c:numCache>
                <c:formatCode>#,##0</c:formatCode>
                <c:ptCount val="12"/>
                <c:pt idx="0">
                  <c:v>27538.544661464744</c:v>
                </c:pt>
                <c:pt idx="1">
                  <c:v>26105.002673937081</c:v>
                </c:pt>
                <c:pt idx="2">
                  <c:v>25804.401119795846</c:v>
                </c:pt>
                <c:pt idx="3">
                  <c:v>24509.091093232932</c:v>
                </c:pt>
                <c:pt idx="4">
                  <c:v>24656.998817781678</c:v>
                </c:pt>
                <c:pt idx="5">
                  <c:v>24432.263410506512</c:v>
                </c:pt>
                <c:pt idx="6">
                  <c:v>24102.311757997213</c:v>
                </c:pt>
                <c:pt idx="7">
                  <c:v>23873.194543470338</c:v>
                </c:pt>
                <c:pt idx="8">
                  <c:v>24450.504710155619</c:v>
                </c:pt>
                <c:pt idx="9">
                  <c:v>24916.785672652128</c:v>
                </c:pt>
                <c:pt idx="10">
                  <c:v>25036.449572418685</c:v>
                </c:pt>
                <c:pt idx="11">
                  <c:v>24924.618653464819</c:v>
                </c:pt>
              </c:numCache>
            </c:numRef>
          </c:val>
          <c:smooth val="0"/>
          <c:extLst>
            <c:ext xmlns:c16="http://schemas.microsoft.com/office/drawing/2014/chart" uri="{C3380CC4-5D6E-409C-BE32-E72D297353CC}">
              <c16:uniqueId val="{00000001-7EDE-497B-8499-5D4C38A76079}"/>
            </c:ext>
          </c:extLst>
        </c:ser>
        <c:ser>
          <c:idx val="39"/>
          <c:order val="2"/>
          <c:tx>
            <c:strRef>
              <c:f>Entrant_need_figures!$B$129</c:f>
              <c:strCache>
                <c:ptCount val="1"/>
                <c:pt idx="0">
                  <c:v>SECONDARY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Entrant_need_figures!$C$129:$N$129</c:f>
              <c:numCache>
                <c:formatCode>#,##0</c:formatCode>
                <c:ptCount val="12"/>
                <c:pt idx="0">
                  <c:v>25325.981524290863</c:v>
                </c:pt>
                <c:pt idx="1">
                  <c:v>24864.32398892309</c:v>
                </c:pt>
                <c:pt idx="2">
                  <c:v>26448.871508078941</c:v>
                </c:pt>
                <c:pt idx="3">
                  <c:v>25797.106539924709</c:v>
                </c:pt>
                <c:pt idx="4">
                  <c:v>25450.041469507818</c:v>
                </c:pt>
                <c:pt idx="5">
                  <c:v>25527.010741858019</c:v>
                </c:pt>
                <c:pt idx="6">
                  <c:v>25845.896651495765</c:v>
                </c:pt>
                <c:pt idx="7">
                  <c:v>25731.139914905129</c:v>
                </c:pt>
                <c:pt idx="8">
                  <c:v>24759.538609418585</c:v>
                </c:pt>
                <c:pt idx="9">
                  <c:v>24416.167627861571</c:v>
                </c:pt>
                <c:pt idx="10">
                  <c:v>24069.983113000369</c:v>
                </c:pt>
                <c:pt idx="11">
                  <c:v>23849.453533819546</c:v>
                </c:pt>
              </c:numCache>
            </c:numRef>
          </c:val>
          <c:smooth val="0"/>
          <c:extLst>
            <c:ext xmlns:c16="http://schemas.microsoft.com/office/drawing/2014/chart" uri="{C3380CC4-5D6E-409C-BE32-E72D297353CC}">
              <c16:uniqueId val="{00000002-7EDE-497B-8499-5D4C38A76079}"/>
            </c:ext>
          </c:extLst>
        </c:ser>
        <c:ser>
          <c:idx val="19"/>
          <c:order val="3"/>
          <c:tx>
            <c:strRef>
              <c:f>Entrant_need_figures!$B$108</c:f>
              <c:strCache>
                <c:ptCount val="1"/>
                <c:pt idx="0">
                  <c:v>SECONDARY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Entrant_need_figures!$C$108:$N$108</c:f>
              <c:numCache>
                <c:formatCode>#,##0</c:formatCode>
                <c:ptCount val="12"/>
                <c:pt idx="0">
                  <c:v>25325.981524290863</c:v>
                </c:pt>
                <c:pt idx="1">
                  <c:v>24864.32398892309</c:v>
                </c:pt>
                <c:pt idx="2">
                  <c:v>26448.871508078941</c:v>
                </c:pt>
                <c:pt idx="3">
                  <c:v>25797.106539924709</c:v>
                </c:pt>
                <c:pt idx="4">
                  <c:v>25450.041469507818</c:v>
                </c:pt>
                <c:pt idx="5">
                  <c:v>25527.010741858019</c:v>
                </c:pt>
                <c:pt idx="6">
                  <c:v>25845.896651495765</c:v>
                </c:pt>
                <c:pt idx="7">
                  <c:v>25731.139914905129</c:v>
                </c:pt>
                <c:pt idx="8">
                  <c:v>24759.538609418585</c:v>
                </c:pt>
                <c:pt idx="9">
                  <c:v>24416.167627861571</c:v>
                </c:pt>
                <c:pt idx="10">
                  <c:v>24069.983113000369</c:v>
                </c:pt>
                <c:pt idx="11">
                  <c:v>23849.453533819546</c:v>
                </c:pt>
              </c:numCache>
            </c:numRef>
          </c:val>
          <c:smooth val="0"/>
          <c:extLst>
            <c:ext xmlns:c16="http://schemas.microsoft.com/office/drawing/2014/chart" uri="{C3380CC4-5D6E-409C-BE32-E72D297353CC}">
              <c16:uniqueId val="{00000003-7EDE-497B-8499-5D4C38A76079}"/>
            </c:ext>
          </c:extLst>
        </c:ser>
        <c:dLbls>
          <c:showLegendKey val="0"/>
          <c:showVal val="0"/>
          <c:showCatName val="0"/>
          <c:showSerName val="0"/>
          <c:showPercent val="0"/>
          <c:showBubbleSize val="0"/>
        </c:dLbls>
        <c:smooth val="0"/>
        <c:axId val="148446592"/>
        <c:axId val="148206720"/>
      </c:lineChart>
      <c:catAx>
        <c:axId val="14844659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06720"/>
        <c:crosses val="autoZero"/>
        <c:auto val="1"/>
        <c:lblAlgn val="ctr"/>
        <c:lblOffset val="100"/>
        <c:noMultiLvlLbl val="0"/>
      </c:catAx>
      <c:valAx>
        <c:axId val="148206720"/>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446592"/>
        <c:crosses val="autoZero"/>
        <c:crossBetween val="between"/>
      </c:valAx>
      <c:spPr>
        <a:ln>
          <a:solidFill>
            <a:schemeClr val="tx1">
              <a:lumMod val="95000"/>
              <a:lumOff val="5000"/>
            </a:schemeClr>
          </a:solidFill>
        </a:ln>
      </c:spPr>
    </c:plotArea>
    <c:legend>
      <c:legendPos val="r"/>
      <c:layout>
        <c:manualLayout>
          <c:xMode val="edge"/>
          <c:yMode val="edge"/>
          <c:x val="0.69153397517592996"/>
          <c:y val="9.8616098593212173E-2"/>
          <c:w val="0.28415764891370709"/>
          <c:h val="0.7577854671280276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367933712769599"/>
          <c:h val="0.7654531418866759"/>
        </c:manualLayout>
      </c:layout>
      <c:lineChart>
        <c:grouping val="standard"/>
        <c:varyColors val="0"/>
        <c:ser>
          <c:idx val="7"/>
          <c:order val="0"/>
          <c:tx>
            <c:strRef>
              <c:f>Wastage_over_time!$B$21</c:f>
              <c:strCache>
                <c:ptCount val="1"/>
                <c:pt idx="0">
                  <c:v>Design &amp; Technology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Wastage_over_time!$C$21:$N$21</c:f>
              <c:numCache>
                <c:formatCode>#,##0</c:formatCode>
                <c:ptCount val="12"/>
                <c:pt idx="0">
                  <c:v>765.94277124291341</c:v>
                </c:pt>
                <c:pt idx="1">
                  <c:v>777.04805789012528</c:v>
                </c:pt>
                <c:pt idx="2">
                  <c:v>793.96021028120958</c:v>
                </c:pt>
                <c:pt idx="3">
                  <c:v>780.56282409151538</c:v>
                </c:pt>
                <c:pt idx="4">
                  <c:v>766.42530615472924</c:v>
                </c:pt>
                <c:pt idx="5">
                  <c:v>770.73062225203512</c:v>
                </c:pt>
                <c:pt idx="6">
                  <c:v>779.82226864835889</c:v>
                </c:pt>
                <c:pt idx="7">
                  <c:v>786.47770214491175</c:v>
                </c:pt>
                <c:pt idx="8">
                  <c:v>794.57248472668539</c:v>
                </c:pt>
                <c:pt idx="9">
                  <c:v>796.33443409566621</c:v>
                </c:pt>
                <c:pt idx="10">
                  <c:v>792.57354440296047</c:v>
                </c:pt>
                <c:pt idx="11">
                  <c:v>786.81410929102572</c:v>
                </c:pt>
              </c:numCache>
            </c:numRef>
          </c:val>
          <c:smooth val="0"/>
          <c:extLst>
            <c:ext xmlns:c16="http://schemas.microsoft.com/office/drawing/2014/chart" uri="{C3380CC4-5D6E-409C-BE32-E72D297353CC}">
              <c16:uniqueId val="{00000000-2EE6-4FEA-AF31-4D5A8B30E0E9}"/>
            </c:ext>
          </c:extLst>
        </c:ser>
        <c:ser>
          <c:idx val="8"/>
          <c:order val="1"/>
          <c:tx>
            <c:strRef>
              <c:f>Wastage_over_time!$B$22</c:f>
              <c:strCache>
                <c:ptCount val="1"/>
                <c:pt idx="0">
                  <c:v>Drama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Wastage_over_time!$C$22:$N$22</c:f>
              <c:numCache>
                <c:formatCode>#,##0</c:formatCode>
                <c:ptCount val="12"/>
                <c:pt idx="0">
                  <c:v>392.49207250901236</c:v>
                </c:pt>
                <c:pt idx="1">
                  <c:v>393.74178457900331</c:v>
                </c:pt>
                <c:pt idx="2">
                  <c:v>398.04085159653403</c:v>
                </c:pt>
                <c:pt idx="3">
                  <c:v>398.6995618450016</c:v>
                </c:pt>
                <c:pt idx="4">
                  <c:v>399.8590346215662</c:v>
                </c:pt>
                <c:pt idx="5">
                  <c:v>400.40381968303905</c:v>
                </c:pt>
                <c:pt idx="6">
                  <c:v>404.03668440342102</c:v>
                </c:pt>
                <c:pt idx="7">
                  <c:v>407.29598533097368</c:v>
                </c:pt>
                <c:pt idx="8">
                  <c:v>410.97471285723702</c:v>
                </c:pt>
                <c:pt idx="9">
                  <c:v>412.07493758755129</c:v>
                </c:pt>
                <c:pt idx="10">
                  <c:v>411.06953024729978</c:v>
                </c:pt>
                <c:pt idx="11">
                  <c:v>409.20247363325478</c:v>
                </c:pt>
              </c:numCache>
            </c:numRef>
          </c:val>
          <c:smooth val="0"/>
          <c:extLst>
            <c:ext xmlns:c16="http://schemas.microsoft.com/office/drawing/2014/chart" uri="{C3380CC4-5D6E-409C-BE32-E72D297353CC}">
              <c16:uniqueId val="{00000001-2EE6-4FEA-AF31-4D5A8B30E0E9}"/>
            </c:ext>
          </c:extLst>
        </c:ser>
        <c:ser>
          <c:idx val="9"/>
          <c:order val="2"/>
          <c:tx>
            <c:strRef>
              <c:f>Wastage_over_time!$B$23</c:f>
              <c:strCache>
                <c:ptCount val="1"/>
                <c:pt idx="0">
                  <c:v>English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Wastage_over_time!$C$23:$N$23</c:f>
              <c:numCache>
                <c:formatCode>#,##0</c:formatCode>
                <c:ptCount val="12"/>
                <c:pt idx="0">
                  <c:v>2379.9322396247985</c:v>
                </c:pt>
                <c:pt idx="1">
                  <c:v>2435.873914449242</c:v>
                </c:pt>
                <c:pt idx="2">
                  <c:v>2472.5704084191075</c:v>
                </c:pt>
                <c:pt idx="3">
                  <c:v>2516.5112002618121</c:v>
                </c:pt>
                <c:pt idx="4">
                  <c:v>2556.6373305031693</c:v>
                </c:pt>
                <c:pt idx="5">
                  <c:v>2585.1563133755853</c:v>
                </c:pt>
                <c:pt idx="6">
                  <c:v>2612.1428993145919</c:v>
                </c:pt>
                <c:pt idx="7">
                  <c:v>2638.816289774039</c:v>
                </c:pt>
                <c:pt idx="8">
                  <c:v>2658.5486889495587</c:v>
                </c:pt>
                <c:pt idx="9">
                  <c:v>2661.018030555053</c:v>
                </c:pt>
                <c:pt idx="10">
                  <c:v>2661.1093312510347</c:v>
                </c:pt>
                <c:pt idx="11">
                  <c:v>2656.7756778595531</c:v>
                </c:pt>
              </c:numCache>
            </c:numRef>
          </c:val>
          <c:smooth val="0"/>
          <c:extLst>
            <c:ext xmlns:c16="http://schemas.microsoft.com/office/drawing/2014/chart" uri="{C3380CC4-5D6E-409C-BE32-E72D297353CC}">
              <c16:uniqueId val="{00000002-2EE6-4FEA-AF31-4D5A8B30E0E9}"/>
            </c:ext>
          </c:extLst>
        </c:ser>
        <c:ser>
          <c:idx val="0"/>
          <c:order val="3"/>
          <c:tx>
            <c:strRef>
              <c:f>Wastage_over_time!$B$24</c:f>
              <c:strCache>
                <c:ptCount val="1"/>
                <c:pt idx="0">
                  <c:v>Food Wastage</c:v>
                </c:pt>
              </c:strCache>
            </c:strRef>
          </c:tx>
          <c:marker>
            <c:symbol val="none"/>
          </c:marker>
          <c:val>
            <c:numRef>
              <c:f>Wastage_over_time!$C$24:$N$24</c:f>
              <c:numCache>
                <c:formatCode>#,##0</c:formatCode>
                <c:ptCount val="12"/>
                <c:pt idx="0">
                  <c:v>158.9764204581389</c:v>
                </c:pt>
                <c:pt idx="1">
                  <c:v>157.88600329812618</c:v>
                </c:pt>
                <c:pt idx="2">
                  <c:v>161.97596510778442</c:v>
                </c:pt>
                <c:pt idx="3">
                  <c:v>158.31210131010172</c:v>
                </c:pt>
                <c:pt idx="4">
                  <c:v>153.49360183976916</c:v>
                </c:pt>
                <c:pt idx="5">
                  <c:v>154.75668606383567</c:v>
                </c:pt>
                <c:pt idx="6">
                  <c:v>157.4754188469602</c:v>
                </c:pt>
                <c:pt idx="7">
                  <c:v>160.16047535062933</c:v>
                </c:pt>
                <c:pt idx="8">
                  <c:v>161.86849457918717</c:v>
                </c:pt>
                <c:pt idx="9">
                  <c:v>162.52761601456729</c:v>
                </c:pt>
                <c:pt idx="10">
                  <c:v>163.38486037352067</c:v>
                </c:pt>
                <c:pt idx="11">
                  <c:v>163.94419020743803</c:v>
                </c:pt>
              </c:numCache>
            </c:numRef>
          </c:val>
          <c:smooth val="0"/>
          <c:extLst>
            <c:ext xmlns:c16="http://schemas.microsoft.com/office/drawing/2014/chart" uri="{C3380CC4-5D6E-409C-BE32-E72D297353CC}">
              <c16:uniqueId val="{00000003-2EE6-4FEA-AF31-4D5A8B30E0E9}"/>
            </c:ext>
          </c:extLst>
        </c:ser>
        <c:ser>
          <c:idx val="10"/>
          <c:order val="4"/>
          <c:tx>
            <c:strRef>
              <c:f>Wastage_over_time!$B$25</c:f>
              <c:strCache>
                <c:ptCount val="1"/>
                <c:pt idx="0">
                  <c:v>Geography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Wastage_over_time!$C$25:$N$25</c:f>
              <c:numCache>
                <c:formatCode>#,##0</c:formatCode>
                <c:ptCount val="12"/>
                <c:pt idx="0">
                  <c:v>831.49089405454242</c:v>
                </c:pt>
                <c:pt idx="1">
                  <c:v>833.65538520005634</c:v>
                </c:pt>
                <c:pt idx="2">
                  <c:v>844.00661418406889</c:v>
                </c:pt>
                <c:pt idx="3">
                  <c:v>882.2579125899656</c:v>
                </c:pt>
                <c:pt idx="4">
                  <c:v>921.17079056732473</c:v>
                </c:pt>
                <c:pt idx="5">
                  <c:v>934.60230184170746</c:v>
                </c:pt>
                <c:pt idx="6">
                  <c:v>942.47714126526239</c:v>
                </c:pt>
                <c:pt idx="7">
                  <c:v>949.67552187699448</c:v>
                </c:pt>
                <c:pt idx="8">
                  <c:v>956.54027434453906</c:v>
                </c:pt>
                <c:pt idx="9">
                  <c:v>957.02298792159854</c:v>
                </c:pt>
                <c:pt idx="10">
                  <c:v>954.41639554824292</c:v>
                </c:pt>
                <c:pt idx="11">
                  <c:v>950.09206867649414</c:v>
                </c:pt>
              </c:numCache>
            </c:numRef>
          </c:val>
          <c:smooth val="0"/>
          <c:extLst>
            <c:ext xmlns:c16="http://schemas.microsoft.com/office/drawing/2014/chart" uri="{C3380CC4-5D6E-409C-BE32-E72D297353CC}">
              <c16:uniqueId val="{00000004-2EE6-4FEA-AF31-4D5A8B30E0E9}"/>
            </c:ext>
          </c:extLst>
        </c:ser>
        <c:ser>
          <c:idx val="11"/>
          <c:order val="5"/>
          <c:tx>
            <c:strRef>
              <c:f>Wastage_over_time!$B$26</c:f>
              <c:strCache>
                <c:ptCount val="1"/>
                <c:pt idx="0">
                  <c:v>History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Wastage_over_time!$C$26:$N$26</c:f>
              <c:numCache>
                <c:formatCode>#,##0</c:formatCode>
                <c:ptCount val="12"/>
                <c:pt idx="0">
                  <c:v>894.06263629491718</c:v>
                </c:pt>
                <c:pt idx="1">
                  <c:v>886.99969615485566</c:v>
                </c:pt>
                <c:pt idx="2">
                  <c:v>896.15775372871883</c:v>
                </c:pt>
                <c:pt idx="3">
                  <c:v>929.11112458153798</c:v>
                </c:pt>
                <c:pt idx="4">
                  <c:v>962.99308233200827</c:v>
                </c:pt>
                <c:pt idx="5">
                  <c:v>973.84859782586659</c:v>
                </c:pt>
                <c:pt idx="6">
                  <c:v>982.29296704820706</c:v>
                </c:pt>
                <c:pt idx="7">
                  <c:v>990.54200536775602</c:v>
                </c:pt>
                <c:pt idx="8">
                  <c:v>998.25034601231414</c:v>
                </c:pt>
                <c:pt idx="9">
                  <c:v>999.76464453691665</c:v>
                </c:pt>
                <c:pt idx="10">
                  <c:v>998.19833104500231</c:v>
                </c:pt>
                <c:pt idx="11">
                  <c:v>994.83250294332765</c:v>
                </c:pt>
              </c:numCache>
            </c:numRef>
          </c:val>
          <c:smooth val="0"/>
          <c:extLst>
            <c:ext xmlns:c16="http://schemas.microsoft.com/office/drawing/2014/chart" uri="{C3380CC4-5D6E-409C-BE32-E72D297353CC}">
              <c16:uniqueId val="{00000005-2EE6-4FEA-AF31-4D5A8B30E0E9}"/>
            </c:ext>
          </c:extLst>
        </c:ser>
        <c:ser>
          <c:idx val="12"/>
          <c:order val="6"/>
          <c:tx>
            <c:strRef>
              <c:f>Wastage_over_time!$B$27</c:f>
              <c:strCache>
                <c:ptCount val="1"/>
                <c:pt idx="0">
                  <c:v>Mathematics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Wastage_over_time!$C$27:$N$27</c:f>
              <c:numCache>
                <c:formatCode>#,##0</c:formatCode>
                <c:ptCount val="12"/>
                <c:pt idx="0">
                  <c:v>2444.2306006794843</c:v>
                </c:pt>
                <c:pt idx="1">
                  <c:v>2562.4912841110436</c:v>
                </c:pt>
                <c:pt idx="2">
                  <c:v>2630.0948568447475</c:v>
                </c:pt>
                <c:pt idx="3">
                  <c:v>2681.8040573959206</c:v>
                </c:pt>
                <c:pt idx="4">
                  <c:v>2733.5884327396438</c:v>
                </c:pt>
                <c:pt idx="5">
                  <c:v>2776.2143003592746</c:v>
                </c:pt>
                <c:pt idx="6">
                  <c:v>2804.9356249353596</c:v>
                </c:pt>
                <c:pt idx="7">
                  <c:v>2833.8062429650072</c:v>
                </c:pt>
                <c:pt idx="8">
                  <c:v>2855.7266102737467</c:v>
                </c:pt>
                <c:pt idx="9">
                  <c:v>2859.6320923374269</c:v>
                </c:pt>
                <c:pt idx="10">
                  <c:v>2860.0695524620223</c:v>
                </c:pt>
                <c:pt idx="11">
                  <c:v>2855.6933847166174</c:v>
                </c:pt>
              </c:numCache>
            </c:numRef>
          </c:val>
          <c:smooth val="0"/>
          <c:extLst>
            <c:ext xmlns:c16="http://schemas.microsoft.com/office/drawing/2014/chart" uri="{C3380CC4-5D6E-409C-BE32-E72D297353CC}">
              <c16:uniqueId val="{00000006-2EE6-4FEA-AF31-4D5A8B30E0E9}"/>
            </c:ext>
          </c:extLst>
        </c:ser>
        <c:dLbls>
          <c:showLegendKey val="0"/>
          <c:showVal val="0"/>
          <c:showCatName val="0"/>
          <c:showSerName val="0"/>
          <c:showPercent val="0"/>
          <c:showBubbleSize val="0"/>
        </c:dLbls>
        <c:smooth val="0"/>
        <c:axId val="3730048"/>
        <c:axId val="169767296"/>
      </c:lineChart>
      <c:catAx>
        <c:axId val="3730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767296"/>
        <c:crosses val="autoZero"/>
        <c:auto val="1"/>
        <c:lblAlgn val="ctr"/>
        <c:lblOffset val="100"/>
        <c:noMultiLvlLbl val="0"/>
      </c:catAx>
      <c:valAx>
        <c:axId val="16976729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730048"/>
        <c:crosses val="autoZero"/>
        <c:crossBetween val="between"/>
      </c:valAx>
      <c:spPr>
        <a:ln>
          <a:solidFill>
            <a:schemeClr val="tx1">
              <a:lumMod val="95000"/>
              <a:lumOff val="5000"/>
            </a:schemeClr>
          </a:solidFill>
        </a:ln>
      </c:spPr>
    </c:plotArea>
    <c:legend>
      <c:legendPos val="r"/>
      <c:layout>
        <c:manualLayout>
          <c:xMode val="edge"/>
          <c:yMode val="edge"/>
          <c:x val="0.75792160457459601"/>
          <c:y val="1.7028026295474674E-2"/>
          <c:w val="0.22502071593026896"/>
          <c:h val="0.9349874454547670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988864868845302"/>
          <c:y val="4.5830834613165616E-2"/>
          <c:w val="0.6551988560718448"/>
          <c:h val="0.7654531418866759"/>
        </c:manualLayout>
      </c:layout>
      <c:lineChart>
        <c:grouping val="standard"/>
        <c:varyColors val="0"/>
        <c:ser>
          <c:idx val="13"/>
          <c:order val="0"/>
          <c:tx>
            <c:strRef>
              <c:f>Wastage_over_time!$B$28</c:f>
              <c:strCache>
                <c:ptCount val="1"/>
                <c:pt idx="0">
                  <c:v>Modern Foreign Languages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Wastage_over_time!$C$28:$N$28</c:f>
              <c:numCache>
                <c:formatCode>#,##0</c:formatCode>
                <c:ptCount val="12"/>
                <c:pt idx="0">
                  <c:v>1175.8749644900572</c:v>
                </c:pt>
                <c:pt idx="1">
                  <c:v>1179.1644854711876</c:v>
                </c:pt>
                <c:pt idx="2">
                  <c:v>1202.2035477167149</c:v>
                </c:pt>
                <c:pt idx="3">
                  <c:v>1344.4054314277389</c:v>
                </c:pt>
                <c:pt idx="4">
                  <c:v>1488.7683728616576</c:v>
                </c:pt>
                <c:pt idx="5">
                  <c:v>1543.8250832309789</c:v>
                </c:pt>
                <c:pt idx="6">
                  <c:v>1558.8141509266948</c:v>
                </c:pt>
                <c:pt idx="7">
                  <c:v>1571.5125915167441</c:v>
                </c:pt>
                <c:pt idx="8">
                  <c:v>1583.3246587529034</c:v>
                </c:pt>
                <c:pt idx="9">
                  <c:v>1583.5739486356119</c:v>
                </c:pt>
                <c:pt idx="10">
                  <c:v>1578.7351349517735</c:v>
                </c:pt>
                <c:pt idx="11">
                  <c:v>1570.8723825542459</c:v>
                </c:pt>
              </c:numCache>
            </c:numRef>
          </c:val>
          <c:smooth val="0"/>
          <c:extLst>
            <c:ext xmlns:c16="http://schemas.microsoft.com/office/drawing/2014/chart" uri="{C3380CC4-5D6E-409C-BE32-E72D297353CC}">
              <c16:uniqueId val="{00000000-CE89-478C-BD9D-757ED5DDDB97}"/>
            </c:ext>
          </c:extLst>
        </c:ser>
        <c:ser>
          <c:idx val="14"/>
          <c:order val="1"/>
          <c:tx>
            <c:strRef>
              <c:f>Wastage_over_time!$B$29</c:f>
              <c:strCache>
                <c:ptCount val="1"/>
                <c:pt idx="0">
                  <c:v>Music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Wastage_over_time!$C$29:$N$29</c:f>
              <c:numCache>
                <c:formatCode>#,##0</c:formatCode>
                <c:ptCount val="12"/>
                <c:pt idx="0">
                  <c:v>396.50454144396701</c:v>
                </c:pt>
                <c:pt idx="1">
                  <c:v>397.42692472892355</c:v>
                </c:pt>
                <c:pt idx="2">
                  <c:v>402.33815670838908</c:v>
                </c:pt>
                <c:pt idx="3">
                  <c:v>407.62198064279198</c:v>
                </c:pt>
                <c:pt idx="4">
                  <c:v>413.96972648865324</c:v>
                </c:pt>
                <c:pt idx="5">
                  <c:v>418.80204842869466</c:v>
                </c:pt>
                <c:pt idx="6">
                  <c:v>422.11412946654076</c:v>
                </c:pt>
                <c:pt idx="7">
                  <c:v>424.40661978550975</c:v>
                </c:pt>
                <c:pt idx="8">
                  <c:v>428.0946167430659</c:v>
                </c:pt>
                <c:pt idx="9">
                  <c:v>428.58271512310841</c:v>
                </c:pt>
                <c:pt idx="10">
                  <c:v>425.87857598904736</c:v>
                </c:pt>
                <c:pt idx="11">
                  <c:v>422.18129385789024</c:v>
                </c:pt>
              </c:numCache>
            </c:numRef>
          </c:val>
          <c:smooth val="0"/>
          <c:extLst>
            <c:ext xmlns:c16="http://schemas.microsoft.com/office/drawing/2014/chart" uri="{C3380CC4-5D6E-409C-BE32-E72D297353CC}">
              <c16:uniqueId val="{00000001-CE89-478C-BD9D-757ED5DDDB97}"/>
            </c:ext>
          </c:extLst>
        </c:ser>
        <c:ser>
          <c:idx val="15"/>
          <c:order val="2"/>
          <c:tx>
            <c:strRef>
              <c:f>Wastage_over_time!$B$30</c:f>
              <c:strCache>
                <c:ptCount val="1"/>
                <c:pt idx="0">
                  <c:v>Others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Wastage_over_time!$C$30:$N$30</c:f>
              <c:numCache>
                <c:formatCode>#,##0</c:formatCode>
                <c:ptCount val="12"/>
                <c:pt idx="0">
                  <c:v>1091.3038279638777</c:v>
                </c:pt>
                <c:pt idx="1">
                  <c:v>1093.3106634100229</c:v>
                </c:pt>
                <c:pt idx="2">
                  <c:v>1090.5932539910389</c:v>
                </c:pt>
                <c:pt idx="3">
                  <c:v>1053.9683033164788</c:v>
                </c:pt>
                <c:pt idx="4">
                  <c:v>1019.6605461287697</c:v>
                </c:pt>
                <c:pt idx="5">
                  <c:v>1012.4593031629523</c:v>
                </c:pt>
                <c:pt idx="6">
                  <c:v>1023.6491393877847</c:v>
                </c:pt>
                <c:pt idx="7">
                  <c:v>1040.2915431990871</c:v>
                </c:pt>
                <c:pt idx="8">
                  <c:v>1054.7416039800389</c:v>
                </c:pt>
                <c:pt idx="9">
                  <c:v>1069.4672168164971</c:v>
                </c:pt>
                <c:pt idx="10">
                  <c:v>1081.1456915593578</c:v>
                </c:pt>
                <c:pt idx="11">
                  <c:v>1090.8971187749912</c:v>
                </c:pt>
              </c:numCache>
            </c:numRef>
          </c:val>
          <c:smooth val="0"/>
          <c:extLst>
            <c:ext xmlns:c16="http://schemas.microsoft.com/office/drawing/2014/chart" uri="{C3380CC4-5D6E-409C-BE32-E72D297353CC}">
              <c16:uniqueId val="{00000002-CE89-478C-BD9D-757ED5DDDB97}"/>
            </c:ext>
          </c:extLst>
        </c:ser>
        <c:ser>
          <c:idx val="16"/>
          <c:order val="3"/>
          <c:tx>
            <c:strRef>
              <c:f>Wastage_over_time!$B$31</c:f>
              <c:strCache>
                <c:ptCount val="1"/>
                <c:pt idx="0">
                  <c:v>Physical Education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Wastage_over_time!$C$31:$N$31</c:f>
              <c:numCache>
                <c:formatCode>#,##0</c:formatCode>
                <c:ptCount val="12"/>
                <c:pt idx="0">
                  <c:v>1304.1648339849087</c:v>
                </c:pt>
                <c:pt idx="1">
                  <c:v>1285.9756447770128</c:v>
                </c:pt>
                <c:pt idx="2">
                  <c:v>1298.7230089442298</c:v>
                </c:pt>
                <c:pt idx="3">
                  <c:v>1293.7890885613417</c:v>
                </c:pt>
                <c:pt idx="4">
                  <c:v>1288.171070037662</c:v>
                </c:pt>
                <c:pt idx="5">
                  <c:v>1297.2001122837664</c:v>
                </c:pt>
                <c:pt idx="6">
                  <c:v>1310.5969961076862</c:v>
                </c:pt>
                <c:pt idx="7">
                  <c:v>1323.2533455991611</c:v>
                </c:pt>
                <c:pt idx="8">
                  <c:v>1334.0099200017685</c:v>
                </c:pt>
                <c:pt idx="9">
                  <c:v>1335.8983405002602</c:v>
                </c:pt>
                <c:pt idx="10">
                  <c:v>1334.627432952801</c:v>
                </c:pt>
                <c:pt idx="11">
                  <c:v>1330.8935348658197</c:v>
                </c:pt>
              </c:numCache>
            </c:numRef>
          </c:val>
          <c:smooth val="0"/>
          <c:extLst>
            <c:ext xmlns:c16="http://schemas.microsoft.com/office/drawing/2014/chart" uri="{C3380CC4-5D6E-409C-BE32-E72D297353CC}">
              <c16:uniqueId val="{00000003-CE89-478C-BD9D-757ED5DDDB97}"/>
            </c:ext>
          </c:extLst>
        </c:ser>
        <c:ser>
          <c:idx val="17"/>
          <c:order val="4"/>
          <c:tx>
            <c:strRef>
              <c:f>Wastage_over_time!$B$32</c:f>
              <c:strCache>
                <c:ptCount val="1"/>
                <c:pt idx="0">
                  <c:v>Physics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Wastage_over_time!$C$32:$N$32</c:f>
              <c:numCache>
                <c:formatCode>#,##0</c:formatCode>
                <c:ptCount val="12"/>
                <c:pt idx="0">
                  <c:v>819.77617295556172</c:v>
                </c:pt>
                <c:pt idx="1">
                  <c:v>871.82863619766067</c:v>
                </c:pt>
                <c:pt idx="2">
                  <c:v>883.93709831549791</c:v>
                </c:pt>
                <c:pt idx="3">
                  <c:v>901.32270463537054</c:v>
                </c:pt>
                <c:pt idx="4">
                  <c:v>916.22227190896933</c:v>
                </c:pt>
                <c:pt idx="5">
                  <c:v>927.03922688070111</c:v>
                </c:pt>
                <c:pt idx="6">
                  <c:v>938.74062763044628</c:v>
                </c:pt>
                <c:pt idx="7">
                  <c:v>952.12916243590666</c:v>
                </c:pt>
                <c:pt idx="8">
                  <c:v>960.04448217114236</c:v>
                </c:pt>
                <c:pt idx="9">
                  <c:v>962.90426638188183</c:v>
                </c:pt>
                <c:pt idx="10">
                  <c:v>967.70193015278369</c:v>
                </c:pt>
                <c:pt idx="11">
                  <c:v>971.08418296161938</c:v>
                </c:pt>
              </c:numCache>
            </c:numRef>
          </c:val>
          <c:smooth val="0"/>
          <c:extLst>
            <c:ext xmlns:c16="http://schemas.microsoft.com/office/drawing/2014/chart" uri="{C3380CC4-5D6E-409C-BE32-E72D297353CC}">
              <c16:uniqueId val="{00000004-CE89-478C-BD9D-757ED5DDDB97}"/>
            </c:ext>
          </c:extLst>
        </c:ser>
        <c:ser>
          <c:idx val="18"/>
          <c:order val="5"/>
          <c:tx>
            <c:strRef>
              <c:f>Wastage_over_time!$B$33</c:f>
              <c:strCache>
                <c:ptCount val="1"/>
                <c:pt idx="0">
                  <c:v>Religious Education Wastage</c:v>
                </c:pt>
              </c:strCache>
            </c:strRef>
          </c:tx>
          <c:marker>
            <c:symbol val="none"/>
          </c:marker>
          <c:cat>
            <c:strRef>
              <c:f>Wastage_over_time!$C$13:$N$13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Wastage_over_time!$C$33:$N$33</c:f>
              <c:numCache>
                <c:formatCode>#,##0</c:formatCode>
                <c:ptCount val="12"/>
                <c:pt idx="0">
                  <c:v>570.66197152288339</c:v>
                </c:pt>
                <c:pt idx="1">
                  <c:v>571.66914273080931</c:v>
                </c:pt>
                <c:pt idx="2">
                  <c:v>579.36183143029302</c:v>
                </c:pt>
                <c:pt idx="3">
                  <c:v>588.69438544114678</c:v>
                </c:pt>
                <c:pt idx="4">
                  <c:v>597.55090203842747</c:v>
                </c:pt>
                <c:pt idx="5">
                  <c:v>604.75433345277577</c:v>
                </c:pt>
                <c:pt idx="6">
                  <c:v>610.94212594866258</c:v>
                </c:pt>
                <c:pt idx="7">
                  <c:v>616.83392930565901</c:v>
                </c:pt>
                <c:pt idx="8">
                  <c:v>621.86912294775323</c:v>
                </c:pt>
                <c:pt idx="9">
                  <c:v>622.98325259882847</c:v>
                </c:pt>
                <c:pt idx="10">
                  <c:v>622.5570073527349</c:v>
                </c:pt>
                <c:pt idx="11">
                  <c:v>620.99647303881102</c:v>
                </c:pt>
              </c:numCache>
            </c:numRef>
          </c:val>
          <c:smooth val="0"/>
          <c:extLst>
            <c:ext xmlns:c16="http://schemas.microsoft.com/office/drawing/2014/chart" uri="{C3380CC4-5D6E-409C-BE32-E72D297353CC}">
              <c16:uniqueId val="{00000005-CE89-478C-BD9D-757ED5DDDB97}"/>
            </c:ext>
          </c:extLst>
        </c:ser>
        <c:dLbls>
          <c:showLegendKey val="0"/>
          <c:showVal val="0"/>
          <c:showCatName val="0"/>
          <c:showSerName val="0"/>
          <c:showPercent val="0"/>
          <c:showBubbleSize val="0"/>
        </c:dLbls>
        <c:smooth val="0"/>
        <c:axId val="170642048"/>
        <c:axId val="170643840"/>
      </c:lineChart>
      <c:catAx>
        <c:axId val="1706420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643840"/>
        <c:crosses val="autoZero"/>
        <c:auto val="1"/>
        <c:lblAlgn val="ctr"/>
        <c:lblOffset val="100"/>
        <c:noMultiLvlLbl val="0"/>
      </c:catAx>
      <c:valAx>
        <c:axId val="17064384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642048"/>
        <c:crosses val="autoZero"/>
        <c:crossBetween val="between"/>
      </c:valAx>
      <c:spPr>
        <a:ln>
          <a:solidFill>
            <a:schemeClr val="tx1">
              <a:lumMod val="95000"/>
              <a:lumOff val="5000"/>
            </a:schemeClr>
          </a:solidFill>
        </a:ln>
      </c:spPr>
    </c:plotArea>
    <c:legend>
      <c:legendPos val="r"/>
      <c:layout>
        <c:manualLayout>
          <c:xMode val="edge"/>
          <c:yMode val="edge"/>
          <c:x val="0.78412765071032786"/>
          <c:y val="1.8575851393188854E-2"/>
          <c:w val="0.20079373411656876"/>
          <c:h val="0.9102193185604121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9"/>
          <c:order val="0"/>
          <c:tx>
            <c:strRef>
              <c:f>Retirements_over_time!$B$34</c:f>
              <c:strCache>
                <c:ptCount val="1"/>
                <c:pt idx="0">
                  <c:v>Total Retirements</c:v>
                </c:pt>
              </c:strCache>
            </c:strRef>
          </c:tx>
          <c:spPr>
            <a:ln>
              <a:solidFill>
                <a:srgbClr val="FF0000"/>
              </a:solidFill>
            </a:ln>
          </c:spPr>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Retirements_over_time!$C$34:$N$34</c:f>
              <c:numCache>
                <c:formatCode>#,##0</c:formatCode>
                <c:ptCount val="12"/>
                <c:pt idx="0">
                  <c:v>12828.952672610651</c:v>
                </c:pt>
                <c:pt idx="1">
                  <c:v>12216.397254914278</c:v>
                </c:pt>
                <c:pt idx="2">
                  <c:v>11683.858843126916</c:v>
                </c:pt>
                <c:pt idx="3">
                  <c:v>11287.705393388507</c:v>
                </c:pt>
                <c:pt idx="4">
                  <c:v>11011.130418092856</c:v>
                </c:pt>
                <c:pt idx="5">
                  <c:v>10830.048115081825</c:v>
                </c:pt>
                <c:pt idx="6">
                  <c:v>10724.701169348917</c:v>
                </c:pt>
                <c:pt idx="7">
                  <c:v>10676.439496221077</c:v>
                </c:pt>
                <c:pt idx="8">
                  <c:v>10659.638066318443</c:v>
                </c:pt>
                <c:pt idx="9">
                  <c:v>10655.197786231172</c:v>
                </c:pt>
                <c:pt idx="10">
                  <c:v>10666.642399502129</c:v>
                </c:pt>
                <c:pt idx="11">
                  <c:v>10682.368879570282</c:v>
                </c:pt>
              </c:numCache>
            </c:numRef>
          </c:val>
          <c:smooth val="0"/>
          <c:extLst>
            <c:ext xmlns:c16="http://schemas.microsoft.com/office/drawing/2014/chart" uri="{C3380CC4-5D6E-409C-BE32-E72D297353CC}">
              <c16:uniqueId val="{00000000-3BAD-4361-B236-6EE9D6ABB4AB}"/>
            </c:ext>
          </c:extLst>
        </c:ser>
        <c:ser>
          <c:idx val="0"/>
          <c:order val="1"/>
          <c:tx>
            <c:strRef>
              <c:f>Retirements_over_time!$B$14</c:f>
              <c:strCache>
                <c:ptCount val="1"/>
                <c:pt idx="0">
                  <c:v>Primary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Retirements_over_time!$C$14:$N$14</c:f>
              <c:numCache>
                <c:formatCode>#,##0</c:formatCode>
                <c:ptCount val="12"/>
                <c:pt idx="0">
                  <c:v>6167.6803742384254</c:v>
                </c:pt>
                <c:pt idx="1">
                  <c:v>5951.3753526149458</c:v>
                </c:pt>
                <c:pt idx="2">
                  <c:v>5753.7577875659135</c:v>
                </c:pt>
                <c:pt idx="3">
                  <c:v>5591.1905396552866</c:v>
                </c:pt>
                <c:pt idx="4">
                  <c:v>5464.1437466401148</c:v>
                </c:pt>
                <c:pt idx="5">
                  <c:v>5377.0420267775617</c:v>
                </c:pt>
                <c:pt idx="6">
                  <c:v>5316.8334258683071</c:v>
                </c:pt>
                <c:pt idx="7">
                  <c:v>5275.0734116356061</c:v>
                </c:pt>
                <c:pt idx="8">
                  <c:v>5247.1481804221421</c:v>
                </c:pt>
                <c:pt idx="9">
                  <c:v>5238.3317148588048</c:v>
                </c:pt>
                <c:pt idx="10">
                  <c:v>5242.4390645564126</c:v>
                </c:pt>
                <c:pt idx="11">
                  <c:v>5251.7134043382448</c:v>
                </c:pt>
              </c:numCache>
            </c:numRef>
          </c:val>
          <c:smooth val="0"/>
          <c:extLst>
            <c:ext xmlns:c16="http://schemas.microsoft.com/office/drawing/2014/chart" uri="{C3380CC4-5D6E-409C-BE32-E72D297353CC}">
              <c16:uniqueId val="{00000001-3BAD-4361-B236-6EE9D6ABB4AB}"/>
            </c:ext>
          </c:extLst>
        </c:ser>
        <c:dLbls>
          <c:showLegendKey val="0"/>
          <c:showVal val="0"/>
          <c:showCatName val="0"/>
          <c:showSerName val="0"/>
          <c:showPercent val="0"/>
          <c:showBubbleSize val="0"/>
        </c:dLbls>
        <c:smooth val="0"/>
        <c:axId val="170236160"/>
        <c:axId val="170237952"/>
      </c:lineChart>
      <c:catAx>
        <c:axId val="170236160"/>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70237952"/>
        <c:crosses val="autoZero"/>
        <c:auto val="1"/>
        <c:lblAlgn val="ctr"/>
        <c:lblOffset val="100"/>
        <c:noMultiLvlLbl val="0"/>
      </c:catAx>
      <c:valAx>
        <c:axId val="1702379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236160"/>
        <c:crosses val="autoZero"/>
        <c:crossBetween val="between"/>
      </c:valAx>
      <c:spPr>
        <a:ln>
          <a:solidFill>
            <a:schemeClr val="tx1">
              <a:lumMod val="95000"/>
              <a:lumOff val="5000"/>
            </a:schemeClr>
          </a:solidFill>
        </a:ln>
      </c:spPr>
    </c:plotArea>
    <c:legend>
      <c:legendPos val="r"/>
      <c:layout>
        <c:manualLayout>
          <c:xMode val="edge"/>
          <c:yMode val="edge"/>
          <c:x val="0.7941634715015462"/>
          <c:y val="1.8404907975460124E-2"/>
          <c:w val="0.18817212364583458"/>
          <c:h val="0.8681007358742733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
          <c:order val="0"/>
          <c:tx>
            <c:strRef>
              <c:f>Retirements_over_time!$B$15</c:f>
              <c:strCache>
                <c:ptCount val="1"/>
                <c:pt idx="0">
                  <c:v>Art &amp; Design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Retirements_over_time!$C$15:$N$15</c:f>
              <c:numCache>
                <c:formatCode>#,##0</c:formatCode>
                <c:ptCount val="12"/>
                <c:pt idx="0">
                  <c:v>262.2488133565563</c:v>
                </c:pt>
                <c:pt idx="1">
                  <c:v>248.56723498618504</c:v>
                </c:pt>
                <c:pt idx="2">
                  <c:v>239.96677193318908</c:v>
                </c:pt>
                <c:pt idx="3">
                  <c:v>231.50217580840211</c:v>
                </c:pt>
                <c:pt idx="4">
                  <c:v>225.36504359738603</c:v>
                </c:pt>
                <c:pt idx="5">
                  <c:v>222.80450390106284</c:v>
                </c:pt>
                <c:pt idx="6">
                  <c:v>221.3087856727314</c:v>
                </c:pt>
                <c:pt idx="7">
                  <c:v>220.28598766461278</c:v>
                </c:pt>
                <c:pt idx="8">
                  <c:v>219.66388046279769</c:v>
                </c:pt>
                <c:pt idx="9">
                  <c:v>218.28711271788416</c:v>
                </c:pt>
                <c:pt idx="10">
                  <c:v>216.23761099288211</c:v>
                </c:pt>
                <c:pt idx="11">
                  <c:v>213.93855189501534</c:v>
                </c:pt>
              </c:numCache>
            </c:numRef>
          </c:val>
          <c:smooth val="0"/>
          <c:extLst>
            <c:ext xmlns:c16="http://schemas.microsoft.com/office/drawing/2014/chart" uri="{C3380CC4-5D6E-409C-BE32-E72D297353CC}">
              <c16:uniqueId val="{00000000-029E-4B7E-882B-B7946DD66F51}"/>
            </c:ext>
          </c:extLst>
        </c:ser>
        <c:ser>
          <c:idx val="2"/>
          <c:order val="1"/>
          <c:tx>
            <c:strRef>
              <c:f>Retirements_over_time!$B$16</c:f>
              <c:strCache>
                <c:ptCount val="1"/>
                <c:pt idx="0">
                  <c:v>Biology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Retirements_over_time!$C$16:$N$16</c:f>
              <c:numCache>
                <c:formatCode>#,##0</c:formatCode>
                <c:ptCount val="12"/>
                <c:pt idx="0">
                  <c:v>311.06535708893114</c:v>
                </c:pt>
                <c:pt idx="1">
                  <c:v>312.65466347704432</c:v>
                </c:pt>
                <c:pt idx="2">
                  <c:v>303.90115133122811</c:v>
                </c:pt>
                <c:pt idx="3">
                  <c:v>299.56997885018853</c:v>
                </c:pt>
                <c:pt idx="4">
                  <c:v>298.3739685012859</c:v>
                </c:pt>
                <c:pt idx="5">
                  <c:v>299.30715498562529</c:v>
                </c:pt>
                <c:pt idx="6">
                  <c:v>302.66165473915225</c:v>
                </c:pt>
                <c:pt idx="7">
                  <c:v>307.85547327745076</c:v>
                </c:pt>
                <c:pt idx="8">
                  <c:v>312.78452285872515</c:v>
                </c:pt>
                <c:pt idx="9">
                  <c:v>316.9112877120192</c:v>
                </c:pt>
                <c:pt idx="10">
                  <c:v>321.27023395741958</c:v>
                </c:pt>
                <c:pt idx="11">
                  <c:v>325.07030626902042</c:v>
                </c:pt>
              </c:numCache>
            </c:numRef>
          </c:val>
          <c:smooth val="0"/>
          <c:extLst>
            <c:ext xmlns:c16="http://schemas.microsoft.com/office/drawing/2014/chart" uri="{C3380CC4-5D6E-409C-BE32-E72D297353CC}">
              <c16:uniqueId val="{00000001-029E-4B7E-882B-B7946DD66F51}"/>
            </c:ext>
          </c:extLst>
        </c:ser>
        <c:ser>
          <c:idx val="3"/>
          <c:order val="2"/>
          <c:tx>
            <c:strRef>
              <c:f>Retirements_over_time!$B$17</c:f>
              <c:strCache>
                <c:ptCount val="1"/>
                <c:pt idx="0">
                  <c:v>Business Studies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Retirements_over_time!$C$17:$N$17</c:f>
              <c:numCache>
                <c:formatCode>#,##0</c:formatCode>
                <c:ptCount val="12"/>
                <c:pt idx="0">
                  <c:v>125.0121065841376</c:v>
                </c:pt>
                <c:pt idx="1">
                  <c:v>119.14535731981894</c:v>
                </c:pt>
                <c:pt idx="2">
                  <c:v>113.88249484475651</c:v>
                </c:pt>
                <c:pt idx="3">
                  <c:v>107.32008700015504</c:v>
                </c:pt>
                <c:pt idx="4">
                  <c:v>101.9479842579226</c:v>
                </c:pt>
                <c:pt idx="5">
                  <c:v>100.08766484688229</c:v>
                </c:pt>
                <c:pt idx="6">
                  <c:v>99.770281071669558</c:v>
                </c:pt>
                <c:pt idx="7">
                  <c:v>100.24458264475101</c:v>
                </c:pt>
                <c:pt idx="8">
                  <c:v>100.3715325778598</c:v>
                </c:pt>
                <c:pt idx="9">
                  <c:v>100.71370463295074</c:v>
                </c:pt>
                <c:pt idx="10">
                  <c:v>101.20222799034127</c:v>
                </c:pt>
                <c:pt idx="11">
                  <c:v>101.56713816283515</c:v>
                </c:pt>
              </c:numCache>
            </c:numRef>
          </c:val>
          <c:smooth val="0"/>
          <c:extLst>
            <c:ext xmlns:c16="http://schemas.microsoft.com/office/drawing/2014/chart" uri="{C3380CC4-5D6E-409C-BE32-E72D297353CC}">
              <c16:uniqueId val="{00000002-029E-4B7E-882B-B7946DD66F51}"/>
            </c:ext>
          </c:extLst>
        </c:ser>
        <c:ser>
          <c:idx val="4"/>
          <c:order val="3"/>
          <c:tx>
            <c:strRef>
              <c:f>Retirements_over_time!$B$18</c:f>
              <c:strCache>
                <c:ptCount val="1"/>
                <c:pt idx="0">
                  <c:v>Chemistry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Retirements_over_time!$C$18:$N$18</c:f>
              <c:numCache>
                <c:formatCode>#,##0</c:formatCode>
                <c:ptCount val="12"/>
                <c:pt idx="0">
                  <c:v>317.48488974162103</c:v>
                </c:pt>
                <c:pt idx="1">
                  <c:v>315.99757120485378</c:v>
                </c:pt>
                <c:pt idx="2">
                  <c:v>306.02412236452722</c:v>
                </c:pt>
                <c:pt idx="3">
                  <c:v>299.03276976325168</c:v>
                </c:pt>
                <c:pt idx="4">
                  <c:v>293.91203796258287</c:v>
                </c:pt>
                <c:pt idx="5">
                  <c:v>290.1607538011325</c:v>
                </c:pt>
                <c:pt idx="6">
                  <c:v>288.38669866064254</c:v>
                </c:pt>
                <c:pt idx="7">
                  <c:v>288.31785019567803</c:v>
                </c:pt>
                <c:pt idx="8">
                  <c:v>288.12767497565977</c:v>
                </c:pt>
                <c:pt idx="9">
                  <c:v>287.6574089964289</c:v>
                </c:pt>
                <c:pt idx="10">
                  <c:v>288.0403984372241</c:v>
                </c:pt>
                <c:pt idx="11">
                  <c:v>288.47638747896974</c:v>
                </c:pt>
              </c:numCache>
            </c:numRef>
          </c:val>
          <c:smooth val="0"/>
          <c:extLst>
            <c:ext xmlns:c16="http://schemas.microsoft.com/office/drawing/2014/chart" uri="{C3380CC4-5D6E-409C-BE32-E72D297353CC}">
              <c16:uniqueId val="{00000003-029E-4B7E-882B-B7946DD66F51}"/>
            </c:ext>
          </c:extLst>
        </c:ser>
        <c:ser>
          <c:idx val="5"/>
          <c:order val="4"/>
          <c:tx>
            <c:strRef>
              <c:f>Retirements_over_time!$B$19</c:f>
              <c:strCache>
                <c:ptCount val="1"/>
                <c:pt idx="0">
                  <c:v>Classics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Retirements_over_time!$C$19:$N$19</c:f>
              <c:numCache>
                <c:formatCode>#,##0</c:formatCode>
                <c:ptCount val="12"/>
                <c:pt idx="0">
                  <c:v>21.503380542513014</c:v>
                </c:pt>
                <c:pt idx="1">
                  <c:v>17.07816611698501</c:v>
                </c:pt>
                <c:pt idx="2">
                  <c:v>14.044811495945728</c:v>
                </c:pt>
                <c:pt idx="3">
                  <c:v>11.928553087493565</c:v>
                </c:pt>
                <c:pt idx="4">
                  <c:v>10.459276938676824</c:v>
                </c:pt>
                <c:pt idx="5">
                  <c:v>9.4460271300226815</c:v>
                </c:pt>
                <c:pt idx="6">
                  <c:v>8.7669839075041534</c:v>
                </c:pt>
                <c:pt idx="7">
                  <c:v>8.3350808866862778</c:v>
                </c:pt>
                <c:pt idx="8">
                  <c:v>8.0630911570562063</c:v>
                </c:pt>
                <c:pt idx="9">
                  <c:v>7.8967784887541264</c:v>
                </c:pt>
                <c:pt idx="10">
                  <c:v>7.796898876398271</c:v>
                </c:pt>
                <c:pt idx="11">
                  <c:v>7.7485013505070723</c:v>
                </c:pt>
              </c:numCache>
            </c:numRef>
          </c:val>
          <c:smooth val="0"/>
          <c:extLst>
            <c:ext xmlns:c16="http://schemas.microsoft.com/office/drawing/2014/chart" uri="{C3380CC4-5D6E-409C-BE32-E72D297353CC}">
              <c16:uniqueId val="{00000004-029E-4B7E-882B-B7946DD66F51}"/>
            </c:ext>
          </c:extLst>
        </c:ser>
        <c:ser>
          <c:idx val="6"/>
          <c:order val="5"/>
          <c:tx>
            <c:strRef>
              <c:f>Retirements_over_time!$B$20</c:f>
              <c:strCache>
                <c:ptCount val="1"/>
                <c:pt idx="0">
                  <c:v>Computing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Retirements_over_time!$C$20:$N$20</c:f>
              <c:numCache>
                <c:formatCode>#,##0</c:formatCode>
                <c:ptCount val="12"/>
                <c:pt idx="0">
                  <c:v>228.17157401140116</c:v>
                </c:pt>
                <c:pt idx="1">
                  <c:v>218.8557438562319</c:v>
                </c:pt>
                <c:pt idx="2">
                  <c:v>212.64145948951995</c:v>
                </c:pt>
                <c:pt idx="3">
                  <c:v>202.84057631846912</c:v>
                </c:pt>
                <c:pt idx="4">
                  <c:v>194.72351516411777</c:v>
                </c:pt>
                <c:pt idx="5">
                  <c:v>192.15942115587802</c:v>
                </c:pt>
                <c:pt idx="6">
                  <c:v>191.48997501221896</c:v>
                </c:pt>
                <c:pt idx="7">
                  <c:v>191.43433412575916</c:v>
                </c:pt>
                <c:pt idx="8">
                  <c:v>191.66223494265319</c:v>
                </c:pt>
                <c:pt idx="9">
                  <c:v>191.40896645277348</c:v>
                </c:pt>
                <c:pt idx="10">
                  <c:v>190.82797057722036</c:v>
                </c:pt>
                <c:pt idx="11">
                  <c:v>190.03938973200468</c:v>
                </c:pt>
              </c:numCache>
            </c:numRef>
          </c:val>
          <c:smooth val="0"/>
          <c:extLst>
            <c:ext xmlns:c16="http://schemas.microsoft.com/office/drawing/2014/chart" uri="{C3380CC4-5D6E-409C-BE32-E72D297353CC}">
              <c16:uniqueId val="{00000005-029E-4B7E-882B-B7946DD66F51}"/>
            </c:ext>
          </c:extLst>
        </c:ser>
        <c:dLbls>
          <c:showLegendKey val="0"/>
          <c:showVal val="0"/>
          <c:showCatName val="0"/>
          <c:showSerName val="0"/>
          <c:showPercent val="0"/>
          <c:showBubbleSize val="0"/>
        </c:dLbls>
        <c:smooth val="0"/>
        <c:axId val="168781696"/>
        <c:axId val="168783232"/>
      </c:lineChart>
      <c:catAx>
        <c:axId val="1687816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83232"/>
        <c:crosses val="autoZero"/>
        <c:auto val="1"/>
        <c:lblAlgn val="ctr"/>
        <c:lblOffset val="100"/>
        <c:noMultiLvlLbl val="0"/>
      </c:catAx>
      <c:valAx>
        <c:axId val="1687832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81696"/>
        <c:crosses val="autoZero"/>
        <c:crossBetween val="between"/>
      </c:valAx>
      <c:spPr>
        <a:ln>
          <a:solidFill>
            <a:schemeClr val="tx1">
              <a:lumMod val="95000"/>
              <a:lumOff val="5000"/>
            </a:schemeClr>
          </a:solidFill>
        </a:ln>
      </c:spPr>
    </c:plotArea>
    <c:legend>
      <c:legendPos val="r"/>
      <c:layout>
        <c:manualLayout>
          <c:xMode val="edge"/>
          <c:yMode val="edge"/>
          <c:x val="0.77639865668965291"/>
          <c:y val="1.834862385321101E-2"/>
          <c:w val="0.20885117621166915"/>
          <c:h val="0.9113162689526194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7"/>
          <c:order val="0"/>
          <c:tx>
            <c:strRef>
              <c:f>Retirements_over_time!$B$21</c:f>
              <c:strCache>
                <c:ptCount val="1"/>
                <c:pt idx="0">
                  <c:v>Design &amp; Technology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Retirements_over_time!$C$21:$N$21</c:f>
              <c:numCache>
                <c:formatCode>#,##0</c:formatCode>
                <c:ptCount val="12"/>
                <c:pt idx="0">
                  <c:v>482.47005396637155</c:v>
                </c:pt>
                <c:pt idx="1">
                  <c:v>440.41017026639958</c:v>
                </c:pt>
                <c:pt idx="2">
                  <c:v>403.64538102636573</c:v>
                </c:pt>
                <c:pt idx="3">
                  <c:v>366.22730187565696</c:v>
                </c:pt>
                <c:pt idx="4">
                  <c:v>335.64978018262866</c:v>
                </c:pt>
                <c:pt idx="5">
                  <c:v>315.36396951835542</c:v>
                </c:pt>
                <c:pt idx="6">
                  <c:v>300.72614286078135</c:v>
                </c:pt>
                <c:pt idx="7">
                  <c:v>289.02529990014699</c:v>
                </c:pt>
                <c:pt idx="8">
                  <c:v>280.41823300089175</c:v>
                </c:pt>
                <c:pt idx="9">
                  <c:v>272.44961761539321</c:v>
                </c:pt>
                <c:pt idx="10">
                  <c:v>264.92830598454594</c:v>
                </c:pt>
                <c:pt idx="11">
                  <c:v>258.35081646414716</c:v>
                </c:pt>
              </c:numCache>
            </c:numRef>
          </c:val>
          <c:smooth val="0"/>
          <c:extLst>
            <c:ext xmlns:c16="http://schemas.microsoft.com/office/drawing/2014/chart" uri="{C3380CC4-5D6E-409C-BE32-E72D297353CC}">
              <c16:uniqueId val="{00000000-72FD-43FE-A8D1-1CCBCBB34915}"/>
            </c:ext>
          </c:extLst>
        </c:ser>
        <c:ser>
          <c:idx val="8"/>
          <c:order val="1"/>
          <c:tx>
            <c:strRef>
              <c:f>Retirements_over_time!$B$22</c:f>
              <c:strCache>
                <c:ptCount val="1"/>
                <c:pt idx="0">
                  <c:v>Drama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Retirements_over_time!$C$22:$N$22</c:f>
              <c:numCache>
                <c:formatCode>#,##0</c:formatCode>
                <c:ptCount val="12"/>
                <c:pt idx="0">
                  <c:v>119.72297951855082</c:v>
                </c:pt>
                <c:pt idx="1">
                  <c:v>111.2046116816438</c:v>
                </c:pt>
                <c:pt idx="2">
                  <c:v>106.00520397678318</c:v>
                </c:pt>
                <c:pt idx="3">
                  <c:v>102.49079769395431</c:v>
                </c:pt>
                <c:pt idx="4">
                  <c:v>101.24070254443021</c:v>
                </c:pt>
                <c:pt idx="5">
                  <c:v>101.45866223546726</c:v>
                </c:pt>
                <c:pt idx="6">
                  <c:v>103.49281326226929</c:v>
                </c:pt>
                <c:pt idx="7">
                  <c:v>106.08409309718836</c:v>
                </c:pt>
                <c:pt idx="8">
                  <c:v>109.10081322194452</c:v>
                </c:pt>
                <c:pt idx="9">
                  <c:v>111.61468818155028</c:v>
                </c:pt>
                <c:pt idx="10">
                  <c:v>113.60166492538625</c:v>
                </c:pt>
                <c:pt idx="11">
                  <c:v>115.24220728700844</c:v>
                </c:pt>
              </c:numCache>
            </c:numRef>
          </c:val>
          <c:smooth val="0"/>
          <c:extLst>
            <c:ext xmlns:c16="http://schemas.microsoft.com/office/drawing/2014/chart" uri="{C3380CC4-5D6E-409C-BE32-E72D297353CC}">
              <c16:uniqueId val="{00000001-72FD-43FE-A8D1-1CCBCBB34915}"/>
            </c:ext>
          </c:extLst>
        </c:ser>
        <c:ser>
          <c:idx val="9"/>
          <c:order val="2"/>
          <c:tx>
            <c:strRef>
              <c:f>Retirements_over_time!$B$23</c:f>
              <c:strCache>
                <c:ptCount val="1"/>
                <c:pt idx="0">
                  <c:v>English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Retirements_over_time!$C$23:$N$23</c:f>
              <c:numCache>
                <c:formatCode>#,##0</c:formatCode>
                <c:ptCount val="12"/>
                <c:pt idx="0">
                  <c:v>921.80210407337415</c:v>
                </c:pt>
                <c:pt idx="1">
                  <c:v>859.98163534127684</c:v>
                </c:pt>
                <c:pt idx="2">
                  <c:v>807.27101160221309</c:v>
                </c:pt>
                <c:pt idx="3">
                  <c:v>772.05234296830895</c:v>
                </c:pt>
                <c:pt idx="4">
                  <c:v>750.18706038436812</c:v>
                </c:pt>
                <c:pt idx="5">
                  <c:v>737.21017101814687</c:v>
                </c:pt>
                <c:pt idx="6">
                  <c:v>732.53728730045168</c:v>
                </c:pt>
                <c:pt idx="7">
                  <c:v>733.86622232532352</c:v>
                </c:pt>
                <c:pt idx="8">
                  <c:v>737.73549607424729</c:v>
                </c:pt>
                <c:pt idx="9">
                  <c:v>740.50251116703294</c:v>
                </c:pt>
                <c:pt idx="10">
                  <c:v>744.48970345570172</c:v>
                </c:pt>
                <c:pt idx="11">
                  <c:v>748.38039312297042</c:v>
                </c:pt>
              </c:numCache>
            </c:numRef>
          </c:val>
          <c:smooth val="0"/>
          <c:extLst>
            <c:ext xmlns:c16="http://schemas.microsoft.com/office/drawing/2014/chart" uri="{C3380CC4-5D6E-409C-BE32-E72D297353CC}">
              <c16:uniqueId val="{00000002-72FD-43FE-A8D1-1CCBCBB34915}"/>
            </c:ext>
          </c:extLst>
        </c:ser>
        <c:ser>
          <c:idx val="0"/>
          <c:order val="3"/>
          <c:tx>
            <c:strRef>
              <c:f>Retirements_over_time!$B$24</c:f>
              <c:strCache>
                <c:ptCount val="1"/>
                <c:pt idx="0">
                  <c:v>Food Retirements</c:v>
                </c:pt>
              </c:strCache>
            </c:strRef>
          </c:tx>
          <c:marker>
            <c:symbol val="none"/>
          </c:marker>
          <c:val>
            <c:numRef>
              <c:f>Retirements_over_time!$C$24:$N$24</c:f>
              <c:numCache>
                <c:formatCode>#,##0</c:formatCode>
                <c:ptCount val="12"/>
                <c:pt idx="0">
                  <c:v>129.59354831942485</c:v>
                </c:pt>
                <c:pt idx="1">
                  <c:v>112.10287595256027</c:v>
                </c:pt>
                <c:pt idx="2">
                  <c:v>98.675290893888814</c:v>
                </c:pt>
                <c:pt idx="3">
                  <c:v>86.332021476651292</c:v>
                </c:pt>
                <c:pt idx="4">
                  <c:v>76.309342093385311</c:v>
                </c:pt>
                <c:pt idx="5">
                  <c:v>69.711513130209212</c:v>
                </c:pt>
                <c:pt idx="6">
                  <c:v>64.922362220911424</c:v>
                </c:pt>
                <c:pt idx="7">
                  <c:v>61.243065438318837</c:v>
                </c:pt>
                <c:pt idx="8">
                  <c:v>58.210515788563256</c:v>
                </c:pt>
                <c:pt idx="9">
                  <c:v>55.633441063508457</c:v>
                </c:pt>
                <c:pt idx="10">
                  <c:v>53.656255832516351</c:v>
                </c:pt>
                <c:pt idx="11">
                  <c:v>52.044839400200068</c:v>
                </c:pt>
              </c:numCache>
            </c:numRef>
          </c:val>
          <c:smooth val="0"/>
          <c:extLst>
            <c:ext xmlns:c16="http://schemas.microsoft.com/office/drawing/2014/chart" uri="{C3380CC4-5D6E-409C-BE32-E72D297353CC}">
              <c16:uniqueId val="{00000003-72FD-43FE-A8D1-1CCBCBB34915}"/>
            </c:ext>
          </c:extLst>
        </c:ser>
        <c:ser>
          <c:idx val="10"/>
          <c:order val="4"/>
          <c:tx>
            <c:strRef>
              <c:f>Retirements_over_time!$B$25</c:f>
              <c:strCache>
                <c:ptCount val="1"/>
                <c:pt idx="0">
                  <c:v>Geography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Retirements_over_time!$C$25:$N$25</c:f>
              <c:numCache>
                <c:formatCode>#,##0</c:formatCode>
                <c:ptCount val="12"/>
                <c:pt idx="0">
                  <c:v>282.93906523353979</c:v>
                </c:pt>
                <c:pt idx="1">
                  <c:v>263.6655797527676</c:v>
                </c:pt>
                <c:pt idx="2">
                  <c:v>250.31365738377329</c:v>
                </c:pt>
                <c:pt idx="3">
                  <c:v>248.23052639122199</c:v>
                </c:pt>
                <c:pt idx="4">
                  <c:v>250.72407504390952</c:v>
                </c:pt>
                <c:pt idx="5">
                  <c:v>251.25570411953959</c:v>
                </c:pt>
                <c:pt idx="6">
                  <c:v>253.46464310407674</c:v>
                </c:pt>
                <c:pt idx="7">
                  <c:v>257.41697751913046</c:v>
                </c:pt>
                <c:pt idx="8">
                  <c:v>262.33723124892663</c:v>
                </c:pt>
                <c:pt idx="9">
                  <c:v>266.30271712058607</c:v>
                </c:pt>
                <c:pt idx="10">
                  <c:v>269.69556670101969</c:v>
                </c:pt>
                <c:pt idx="11">
                  <c:v>272.55868157031034</c:v>
                </c:pt>
              </c:numCache>
            </c:numRef>
          </c:val>
          <c:smooth val="0"/>
          <c:extLst>
            <c:ext xmlns:c16="http://schemas.microsoft.com/office/drawing/2014/chart" uri="{C3380CC4-5D6E-409C-BE32-E72D297353CC}">
              <c16:uniqueId val="{00000004-72FD-43FE-A8D1-1CCBCBB34915}"/>
            </c:ext>
          </c:extLst>
        </c:ser>
        <c:ser>
          <c:idx val="11"/>
          <c:order val="5"/>
          <c:tx>
            <c:strRef>
              <c:f>Retirements_over_time!$B$26</c:f>
              <c:strCache>
                <c:ptCount val="1"/>
                <c:pt idx="0">
                  <c:v>History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Retirements_over_time!$C$26:$N$26</c:f>
              <c:numCache>
                <c:formatCode>#,##0</c:formatCode>
                <c:ptCount val="12"/>
                <c:pt idx="0">
                  <c:v>307.96130939902866</c:v>
                </c:pt>
                <c:pt idx="1">
                  <c:v>285.46864489430106</c:v>
                </c:pt>
                <c:pt idx="2">
                  <c:v>271.7034633927542</c:v>
                </c:pt>
                <c:pt idx="3">
                  <c:v>268.54718776547838</c:v>
                </c:pt>
                <c:pt idx="4">
                  <c:v>269.96435125597839</c:v>
                </c:pt>
                <c:pt idx="5">
                  <c:v>269.74372119794714</c:v>
                </c:pt>
                <c:pt idx="6">
                  <c:v>271.63947117050537</c:v>
                </c:pt>
                <c:pt idx="7">
                  <c:v>275.17668265265013</c:v>
                </c:pt>
                <c:pt idx="8">
                  <c:v>279.5318374726188</c:v>
                </c:pt>
                <c:pt idx="9">
                  <c:v>282.96109121351344</c:v>
                </c:pt>
                <c:pt idx="10">
                  <c:v>285.86692826094776</c:v>
                </c:pt>
                <c:pt idx="11">
                  <c:v>288.30971975164937</c:v>
                </c:pt>
              </c:numCache>
            </c:numRef>
          </c:val>
          <c:smooth val="0"/>
          <c:extLst>
            <c:ext xmlns:c16="http://schemas.microsoft.com/office/drawing/2014/chart" uri="{C3380CC4-5D6E-409C-BE32-E72D297353CC}">
              <c16:uniqueId val="{00000005-72FD-43FE-A8D1-1CCBCBB34915}"/>
            </c:ext>
          </c:extLst>
        </c:ser>
        <c:ser>
          <c:idx val="12"/>
          <c:order val="6"/>
          <c:tx>
            <c:strRef>
              <c:f>Retirements_over_time!$B$27</c:f>
              <c:strCache>
                <c:ptCount val="1"/>
                <c:pt idx="0">
                  <c:v>Mathematics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Retirements_over_time!$C$27:$N$27</c:f>
              <c:numCache>
                <c:formatCode>#,##0</c:formatCode>
                <c:ptCount val="12"/>
                <c:pt idx="0">
                  <c:v>1090.8227201828463</c:v>
                </c:pt>
                <c:pt idx="1">
                  <c:v>1031.5315484453388</c:v>
                </c:pt>
                <c:pt idx="2">
                  <c:v>976.77183456091461</c:v>
                </c:pt>
                <c:pt idx="3">
                  <c:v>933.55456266375904</c:v>
                </c:pt>
                <c:pt idx="4">
                  <c:v>902.82391668257515</c:v>
                </c:pt>
                <c:pt idx="5">
                  <c:v>880.00531356663248</c:v>
                </c:pt>
                <c:pt idx="6">
                  <c:v>861.93842830177164</c:v>
                </c:pt>
                <c:pt idx="7">
                  <c:v>849.82181740875933</c:v>
                </c:pt>
                <c:pt idx="8">
                  <c:v>840.80370726199817</c:v>
                </c:pt>
                <c:pt idx="9">
                  <c:v>831.67049631957343</c:v>
                </c:pt>
                <c:pt idx="10">
                  <c:v>824.78468323378206</c:v>
                </c:pt>
                <c:pt idx="11">
                  <c:v>819.23595404798596</c:v>
                </c:pt>
              </c:numCache>
            </c:numRef>
          </c:val>
          <c:smooth val="0"/>
          <c:extLst>
            <c:ext xmlns:c16="http://schemas.microsoft.com/office/drawing/2014/chart" uri="{C3380CC4-5D6E-409C-BE32-E72D297353CC}">
              <c16:uniqueId val="{00000006-72FD-43FE-A8D1-1CCBCBB34915}"/>
            </c:ext>
          </c:extLst>
        </c:ser>
        <c:dLbls>
          <c:showLegendKey val="0"/>
          <c:showVal val="0"/>
          <c:showCatName val="0"/>
          <c:showSerName val="0"/>
          <c:showPercent val="0"/>
          <c:showBubbleSize val="0"/>
        </c:dLbls>
        <c:smooth val="0"/>
        <c:axId val="168503936"/>
        <c:axId val="168509824"/>
      </c:lineChart>
      <c:catAx>
        <c:axId val="16850393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09824"/>
        <c:crosses val="autoZero"/>
        <c:auto val="1"/>
        <c:lblAlgn val="ctr"/>
        <c:lblOffset val="100"/>
        <c:noMultiLvlLbl val="0"/>
      </c:catAx>
      <c:valAx>
        <c:axId val="1685098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03936"/>
        <c:crosses val="autoZero"/>
        <c:crossBetween val="between"/>
      </c:valAx>
      <c:spPr>
        <a:ln>
          <a:solidFill>
            <a:schemeClr val="tx1">
              <a:lumMod val="95000"/>
              <a:lumOff val="5000"/>
            </a:schemeClr>
          </a:solidFill>
        </a:ln>
      </c:spPr>
    </c:plotArea>
    <c:legend>
      <c:legendPos val="r"/>
      <c:layout>
        <c:manualLayout>
          <c:xMode val="edge"/>
          <c:yMode val="edge"/>
          <c:x val="0.77880248839862753"/>
          <c:y val="1.6871326666988713E-2"/>
          <c:w val="0.20660530336933691"/>
          <c:h val="0.8972420011915689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273389050936766E-2"/>
          <c:y val="4.9499058016520943E-2"/>
          <c:w val="0.66956801225182749"/>
          <c:h val="0.76352156900632817"/>
        </c:manualLayout>
      </c:layout>
      <c:lineChart>
        <c:grouping val="standard"/>
        <c:varyColors val="0"/>
        <c:ser>
          <c:idx val="13"/>
          <c:order val="0"/>
          <c:tx>
            <c:strRef>
              <c:f>Retirements_over_time!$B$28</c:f>
              <c:strCache>
                <c:ptCount val="1"/>
                <c:pt idx="0">
                  <c:v>Modern Foreign Languages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Retirements_over_time!$C$28:$N$28</c:f>
              <c:numCache>
                <c:formatCode>#,##0</c:formatCode>
                <c:ptCount val="12"/>
                <c:pt idx="0">
                  <c:v>528.49047305614329</c:v>
                </c:pt>
                <c:pt idx="1">
                  <c:v>496.17391801248687</c:v>
                </c:pt>
                <c:pt idx="2">
                  <c:v>472.06626400116369</c:v>
                </c:pt>
                <c:pt idx="3">
                  <c:v>479.50004640156811</c:v>
                </c:pt>
                <c:pt idx="4">
                  <c:v>491.33565871590116</c:v>
                </c:pt>
                <c:pt idx="5">
                  <c:v>487.57782430762347</c:v>
                </c:pt>
                <c:pt idx="6">
                  <c:v>479.49045940524059</c:v>
                </c:pt>
                <c:pt idx="7">
                  <c:v>474.4736562079666</c:v>
                </c:pt>
                <c:pt idx="8">
                  <c:v>471.58838081204499</c:v>
                </c:pt>
                <c:pt idx="9">
                  <c:v>467.67401600235138</c:v>
                </c:pt>
                <c:pt idx="10">
                  <c:v>463.74821209988886</c:v>
                </c:pt>
                <c:pt idx="11">
                  <c:v>459.93470445944354</c:v>
                </c:pt>
              </c:numCache>
            </c:numRef>
          </c:val>
          <c:smooth val="0"/>
          <c:extLst>
            <c:ext xmlns:c16="http://schemas.microsoft.com/office/drawing/2014/chart" uri="{C3380CC4-5D6E-409C-BE32-E72D297353CC}">
              <c16:uniqueId val="{00000000-56DC-4261-B669-F08FC275638D}"/>
            </c:ext>
          </c:extLst>
        </c:ser>
        <c:ser>
          <c:idx val="14"/>
          <c:order val="1"/>
          <c:tx>
            <c:strRef>
              <c:f>Retirements_over_time!$B$29</c:f>
              <c:strCache>
                <c:ptCount val="1"/>
                <c:pt idx="0">
                  <c:v>Music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Retirements_over_time!$C$29:$N$29</c:f>
              <c:numCache>
                <c:formatCode>#,##0</c:formatCode>
                <c:ptCount val="12"/>
                <c:pt idx="0">
                  <c:v>126.80713744552919</c:v>
                </c:pt>
                <c:pt idx="1">
                  <c:v>121.21973532137659</c:v>
                </c:pt>
                <c:pt idx="2">
                  <c:v>117.46394877976562</c:v>
                </c:pt>
                <c:pt idx="3">
                  <c:v>115.1682253574113</c:v>
                </c:pt>
                <c:pt idx="4">
                  <c:v>114.5543699802576</c:v>
                </c:pt>
                <c:pt idx="5">
                  <c:v>114.82991028939713</c:v>
                </c:pt>
                <c:pt idx="6">
                  <c:v>115.7443607386971</c:v>
                </c:pt>
                <c:pt idx="7">
                  <c:v>117.13676414422713</c:v>
                </c:pt>
                <c:pt idx="8">
                  <c:v>119.30149375603817</c:v>
                </c:pt>
                <c:pt idx="9">
                  <c:v>120.92302628185416</c:v>
                </c:pt>
                <c:pt idx="10">
                  <c:v>121.8903276413279</c:v>
                </c:pt>
                <c:pt idx="11">
                  <c:v>122.62620311548642</c:v>
                </c:pt>
              </c:numCache>
            </c:numRef>
          </c:val>
          <c:smooth val="0"/>
          <c:extLst>
            <c:ext xmlns:c16="http://schemas.microsoft.com/office/drawing/2014/chart" uri="{C3380CC4-5D6E-409C-BE32-E72D297353CC}">
              <c16:uniqueId val="{00000001-56DC-4261-B669-F08FC275638D}"/>
            </c:ext>
          </c:extLst>
        </c:ser>
        <c:ser>
          <c:idx val="15"/>
          <c:order val="2"/>
          <c:tx>
            <c:strRef>
              <c:f>Retirements_over_time!$B$30</c:f>
              <c:strCache>
                <c:ptCount val="1"/>
                <c:pt idx="0">
                  <c:v>Others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Retirements_over_time!$C$30:$N$30</c:f>
              <c:numCache>
                <c:formatCode>#,##0</c:formatCode>
                <c:ptCount val="12"/>
                <c:pt idx="0">
                  <c:v>535.66797355373683</c:v>
                </c:pt>
                <c:pt idx="1">
                  <c:v>478.20330479636311</c:v>
                </c:pt>
                <c:pt idx="2">
                  <c:v>432.15445151112772</c:v>
                </c:pt>
                <c:pt idx="3">
                  <c:v>390.36595009497933</c:v>
                </c:pt>
                <c:pt idx="4">
                  <c:v>359.54663017335207</c:v>
                </c:pt>
                <c:pt idx="5">
                  <c:v>342.73328544741338</c:v>
                </c:pt>
                <c:pt idx="6">
                  <c:v>335.2741304643049</c:v>
                </c:pt>
                <c:pt idx="7">
                  <c:v>332.36196206658235</c:v>
                </c:pt>
                <c:pt idx="8">
                  <c:v>331.12310918956484</c:v>
                </c:pt>
                <c:pt idx="9">
                  <c:v>331.43360510574439</c:v>
                </c:pt>
                <c:pt idx="10">
                  <c:v>331.99181673662804</c:v>
                </c:pt>
                <c:pt idx="11">
                  <c:v>332.72824314884997</c:v>
                </c:pt>
              </c:numCache>
            </c:numRef>
          </c:val>
          <c:smooth val="0"/>
          <c:extLst>
            <c:ext xmlns:c16="http://schemas.microsoft.com/office/drawing/2014/chart" uri="{C3380CC4-5D6E-409C-BE32-E72D297353CC}">
              <c16:uniqueId val="{00000002-56DC-4261-B669-F08FC275638D}"/>
            </c:ext>
          </c:extLst>
        </c:ser>
        <c:ser>
          <c:idx val="16"/>
          <c:order val="3"/>
          <c:tx>
            <c:strRef>
              <c:f>Retirements_over_time!$B$31</c:f>
              <c:strCache>
                <c:ptCount val="1"/>
                <c:pt idx="0">
                  <c:v>Physical Education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Retirements_over_time!$C$31:$N$31</c:f>
              <c:numCache>
                <c:formatCode>#,##0</c:formatCode>
                <c:ptCount val="12"/>
                <c:pt idx="0">
                  <c:v>279.54741014924468</c:v>
                </c:pt>
                <c:pt idx="1">
                  <c:v>273.17957037157441</c:v>
                </c:pt>
                <c:pt idx="2">
                  <c:v>274.0893163076297</c:v>
                </c:pt>
                <c:pt idx="3">
                  <c:v>273.73598086484253</c:v>
                </c:pt>
                <c:pt idx="4">
                  <c:v>277.36801206823992</c:v>
                </c:pt>
                <c:pt idx="5">
                  <c:v>288.15424412399892</c:v>
                </c:pt>
                <c:pt idx="6">
                  <c:v>302.51819194180564</c:v>
                </c:pt>
                <c:pt idx="7">
                  <c:v>318.22731042089396</c:v>
                </c:pt>
                <c:pt idx="8">
                  <c:v>334.12943184826963</c:v>
                </c:pt>
                <c:pt idx="9">
                  <c:v>347.86584578897089</c:v>
                </c:pt>
                <c:pt idx="10">
                  <c:v>360.30424691241001</c:v>
                </c:pt>
                <c:pt idx="11">
                  <c:v>371.17289435467262</c:v>
                </c:pt>
              </c:numCache>
            </c:numRef>
          </c:val>
          <c:smooth val="0"/>
          <c:extLst>
            <c:ext xmlns:c16="http://schemas.microsoft.com/office/drawing/2014/chart" uri="{C3380CC4-5D6E-409C-BE32-E72D297353CC}">
              <c16:uniqueId val="{00000003-56DC-4261-B669-F08FC275638D}"/>
            </c:ext>
          </c:extLst>
        </c:ser>
        <c:ser>
          <c:idx val="17"/>
          <c:order val="4"/>
          <c:tx>
            <c:strRef>
              <c:f>Retirements_over_time!$B$32</c:f>
              <c:strCache>
                <c:ptCount val="1"/>
                <c:pt idx="0">
                  <c:v>Physics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Retirements_over_time!$C$32:$N$32</c:f>
              <c:numCache>
                <c:formatCode>#,##0</c:formatCode>
                <c:ptCount val="12"/>
                <c:pt idx="0">
                  <c:v>344.15888513582468</c:v>
                </c:pt>
                <c:pt idx="1">
                  <c:v>336.3897013161083</c:v>
                </c:pt>
                <c:pt idx="2">
                  <c:v>323.24587722566184</c:v>
                </c:pt>
                <c:pt idx="3">
                  <c:v>313.89446538527363</c:v>
                </c:pt>
                <c:pt idx="4">
                  <c:v>306.25572194703489</c:v>
                </c:pt>
                <c:pt idx="5">
                  <c:v>299.7169167767251</c:v>
                </c:pt>
                <c:pt idx="6">
                  <c:v>295.0670162604934</c:v>
                </c:pt>
                <c:pt idx="7">
                  <c:v>292.21531819881301</c:v>
                </c:pt>
                <c:pt idx="8">
                  <c:v>289.46347910590765</c:v>
                </c:pt>
                <c:pt idx="9">
                  <c:v>286.74938966577702</c:v>
                </c:pt>
                <c:pt idx="10">
                  <c:v>285.34719948470553</c:v>
                </c:pt>
                <c:pt idx="11">
                  <c:v>284.36162364979248</c:v>
                </c:pt>
              </c:numCache>
            </c:numRef>
          </c:val>
          <c:smooth val="0"/>
          <c:extLst>
            <c:ext xmlns:c16="http://schemas.microsoft.com/office/drawing/2014/chart" uri="{C3380CC4-5D6E-409C-BE32-E72D297353CC}">
              <c16:uniqueId val="{00000004-56DC-4261-B669-F08FC275638D}"/>
            </c:ext>
          </c:extLst>
        </c:ser>
        <c:ser>
          <c:idx val="18"/>
          <c:order val="5"/>
          <c:tx>
            <c:strRef>
              <c:f>Retirements_over_time!$B$33</c:f>
              <c:strCache>
                <c:ptCount val="1"/>
                <c:pt idx="0">
                  <c:v>Religious Education Retirements</c:v>
                </c:pt>
              </c:strCache>
            </c:strRef>
          </c:tx>
          <c:marker>
            <c:symbol val="none"/>
          </c:marker>
          <c:cat>
            <c:strRef>
              <c:f>Retirements_over_time!$C$13:$N$13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Retirements_over_time!$C$33:$N$33</c:f>
              <c:numCache>
                <c:formatCode>#,##0</c:formatCode>
                <c:ptCount val="12"/>
                <c:pt idx="0">
                  <c:v>245.80251701345034</c:v>
                </c:pt>
                <c:pt idx="1">
                  <c:v>223.19186918601929</c:v>
                </c:pt>
                <c:pt idx="2">
                  <c:v>206.23454343979972</c:v>
                </c:pt>
                <c:pt idx="3">
                  <c:v>194.22130396615518</c:v>
                </c:pt>
                <c:pt idx="4">
                  <c:v>186.24522395870559</c:v>
                </c:pt>
                <c:pt idx="5">
                  <c:v>181.27932675220501</c:v>
                </c:pt>
                <c:pt idx="6">
                  <c:v>178.66805738538312</c:v>
                </c:pt>
                <c:pt idx="7">
                  <c:v>177.84360641053379</c:v>
                </c:pt>
                <c:pt idx="8">
                  <c:v>178.0732201405344</c:v>
                </c:pt>
                <c:pt idx="9">
                  <c:v>178.21036684570197</c:v>
                </c:pt>
                <c:pt idx="10">
                  <c:v>178.52308284536969</c:v>
                </c:pt>
                <c:pt idx="11">
                  <c:v>178.86891997116984</c:v>
                </c:pt>
              </c:numCache>
            </c:numRef>
          </c:val>
          <c:smooth val="0"/>
          <c:extLst>
            <c:ext xmlns:c16="http://schemas.microsoft.com/office/drawing/2014/chart" uri="{C3380CC4-5D6E-409C-BE32-E72D297353CC}">
              <c16:uniqueId val="{00000005-56DC-4261-B669-F08FC275638D}"/>
            </c:ext>
          </c:extLst>
        </c:ser>
        <c:dLbls>
          <c:showLegendKey val="0"/>
          <c:showVal val="0"/>
          <c:showCatName val="0"/>
          <c:showSerName val="0"/>
          <c:showPercent val="0"/>
          <c:showBubbleSize val="0"/>
        </c:dLbls>
        <c:smooth val="0"/>
        <c:axId val="168569472"/>
        <c:axId val="168575360"/>
      </c:lineChart>
      <c:catAx>
        <c:axId val="16856947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575360"/>
        <c:crosses val="autoZero"/>
        <c:auto val="1"/>
        <c:lblAlgn val="ctr"/>
        <c:lblOffset val="100"/>
        <c:noMultiLvlLbl val="0"/>
      </c:catAx>
      <c:valAx>
        <c:axId val="168575360"/>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569472"/>
        <c:crosses val="autoZero"/>
        <c:crossBetween val="between"/>
      </c:valAx>
      <c:spPr>
        <a:ln>
          <a:solidFill>
            <a:schemeClr val="tx1">
              <a:lumMod val="95000"/>
              <a:lumOff val="5000"/>
            </a:schemeClr>
          </a:solidFill>
        </a:ln>
      </c:spPr>
    </c:plotArea>
    <c:legend>
      <c:legendPos val="r"/>
      <c:layout>
        <c:manualLayout>
          <c:xMode val="edge"/>
          <c:yMode val="edge"/>
          <c:x val="0.77639865668965291"/>
          <c:y val="1.6871326666988713E-2"/>
          <c:w val="0.20885117621166915"/>
          <c:h val="0.921781878492182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9"/>
          <c:order val="0"/>
          <c:tx>
            <c:strRef>
              <c:f>Deaths_over_time!$B$34</c:f>
              <c:strCache>
                <c:ptCount val="1"/>
                <c:pt idx="0">
                  <c:v>Total Deaths</c:v>
                </c:pt>
              </c:strCache>
            </c:strRef>
          </c:tx>
          <c:spPr>
            <a:ln>
              <a:solidFill>
                <a:srgbClr val="FF0000"/>
              </a:solidFill>
            </a:ln>
          </c:spPr>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Deaths_over_time!$C$34:$N$34</c:f>
              <c:numCache>
                <c:formatCode>0</c:formatCode>
                <c:ptCount val="12"/>
                <c:pt idx="0">
                  <c:v>225.93617107002359</c:v>
                </c:pt>
                <c:pt idx="1">
                  <c:v>224.72644102005557</c:v>
                </c:pt>
                <c:pt idx="2">
                  <c:v>222.73721197186904</c:v>
                </c:pt>
                <c:pt idx="3">
                  <c:v>221.10046498604834</c:v>
                </c:pt>
                <c:pt idx="4">
                  <c:v>219.94725520872584</c:v>
                </c:pt>
                <c:pt idx="5">
                  <c:v>219.28430549849972</c:v>
                </c:pt>
                <c:pt idx="6">
                  <c:v>219.07564909971575</c:v>
                </c:pt>
                <c:pt idx="7">
                  <c:v>219.24836155896367</c:v>
                </c:pt>
                <c:pt idx="8">
                  <c:v>219.53562603014535</c:v>
                </c:pt>
                <c:pt idx="9">
                  <c:v>219.73889670390284</c:v>
                </c:pt>
                <c:pt idx="10">
                  <c:v>220.02859577925997</c:v>
                </c:pt>
                <c:pt idx="11">
                  <c:v>220.26692919766572</c:v>
                </c:pt>
              </c:numCache>
            </c:numRef>
          </c:val>
          <c:smooth val="0"/>
          <c:extLst>
            <c:ext xmlns:c16="http://schemas.microsoft.com/office/drawing/2014/chart" uri="{C3380CC4-5D6E-409C-BE32-E72D297353CC}">
              <c16:uniqueId val="{00000000-E0C7-46BD-8A0B-D19143F4151E}"/>
            </c:ext>
          </c:extLst>
        </c:ser>
        <c:ser>
          <c:idx val="0"/>
          <c:order val="1"/>
          <c:tx>
            <c:strRef>
              <c:f>Deaths_over_time!$B$14</c:f>
              <c:strCache>
                <c:ptCount val="1"/>
                <c:pt idx="0">
                  <c:v>Primary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Deaths_over_time!$C$14:$N$14</c:f>
              <c:numCache>
                <c:formatCode>0</c:formatCode>
                <c:ptCount val="12"/>
                <c:pt idx="0">
                  <c:v>102.25039017757025</c:v>
                </c:pt>
                <c:pt idx="1">
                  <c:v>101.57911714039349</c:v>
                </c:pt>
                <c:pt idx="2">
                  <c:v>101.10775246428955</c:v>
                </c:pt>
                <c:pt idx="3">
                  <c:v>100.81424732298102</c:v>
                </c:pt>
                <c:pt idx="4">
                  <c:v>100.61089583646418</c:v>
                </c:pt>
                <c:pt idx="5">
                  <c:v>100.61764922688974</c:v>
                </c:pt>
                <c:pt idx="6">
                  <c:v>100.65859833230809</c:v>
                </c:pt>
                <c:pt idx="7">
                  <c:v>100.65710240801671</c:v>
                </c:pt>
                <c:pt idx="8">
                  <c:v>100.61003874402275</c:v>
                </c:pt>
                <c:pt idx="9">
                  <c:v>100.70970553141466</c:v>
                </c:pt>
                <c:pt idx="10">
                  <c:v>100.91041036968649</c:v>
                </c:pt>
                <c:pt idx="11">
                  <c:v>101.11318991544755</c:v>
                </c:pt>
              </c:numCache>
            </c:numRef>
          </c:val>
          <c:smooth val="0"/>
          <c:extLst>
            <c:ext xmlns:c16="http://schemas.microsoft.com/office/drawing/2014/chart" uri="{C3380CC4-5D6E-409C-BE32-E72D297353CC}">
              <c16:uniqueId val="{00000001-E0C7-46BD-8A0B-D19143F4151E}"/>
            </c:ext>
          </c:extLst>
        </c:ser>
        <c:dLbls>
          <c:showLegendKey val="0"/>
          <c:showVal val="0"/>
          <c:showCatName val="0"/>
          <c:showSerName val="0"/>
          <c:showPercent val="0"/>
          <c:showBubbleSize val="0"/>
        </c:dLbls>
        <c:smooth val="0"/>
        <c:axId val="167426304"/>
        <c:axId val="167436288"/>
      </c:lineChart>
      <c:catAx>
        <c:axId val="16742630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36288"/>
        <c:crosses val="autoZero"/>
        <c:auto val="1"/>
        <c:lblAlgn val="ctr"/>
        <c:lblOffset val="100"/>
        <c:noMultiLvlLbl val="0"/>
      </c:catAx>
      <c:valAx>
        <c:axId val="16743628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26304"/>
        <c:crosses val="autoZero"/>
        <c:crossBetween val="between"/>
      </c:valAx>
      <c:spPr>
        <a:ln>
          <a:solidFill>
            <a:schemeClr val="tx1">
              <a:lumMod val="95000"/>
              <a:lumOff val="5000"/>
            </a:schemeClr>
          </a:solidFill>
        </a:ln>
      </c:spPr>
    </c:plotArea>
    <c:legend>
      <c:legendPos val="r"/>
      <c:layout>
        <c:manualLayout>
          <c:xMode val="edge"/>
          <c:yMode val="edge"/>
          <c:x val="0.71655943453873994"/>
          <c:y val="6.0764071157771944E-2"/>
          <c:w val="0.26564206514247718"/>
          <c:h val="0.8402792359288421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
          <c:order val="0"/>
          <c:tx>
            <c:strRef>
              <c:f>Deaths_over_time!$B$15</c:f>
              <c:strCache>
                <c:ptCount val="1"/>
                <c:pt idx="0">
                  <c:v>Art &amp; Design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Deaths_over_time!$C$15:$N$15</c:f>
              <c:numCache>
                <c:formatCode>0</c:formatCode>
                <c:ptCount val="12"/>
                <c:pt idx="0">
                  <c:v>4.9474947590597358</c:v>
                </c:pt>
                <c:pt idx="1">
                  <c:v>4.8273288530652287</c:v>
                </c:pt>
                <c:pt idx="2">
                  <c:v>4.7279815308378463</c:v>
                </c:pt>
                <c:pt idx="3">
                  <c:v>4.5941980515433931</c:v>
                </c:pt>
                <c:pt idx="4">
                  <c:v>4.4801416695869438</c:v>
                </c:pt>
                <c:pt idx="5">
                  <c:v>4.4204755994361298</c:v>
                </c:pt>
                <c:pt idx="6">
                  <c:v>4.3786182768730928</c:v>
                </c:pt>
                <c:pt idx="7">
                  <c:v>4.3474311671929131</c:v>
                </c:pt>
                <c:pt idx="8">
                  <c:v>4.3276289747378263</c:v>
                </c:pt>
                <c:pt idx="9">
                  <c:v>4.2991121884435932</c:v>
                </c:pt>
                <c:pt idx="10">
                  <c:v>4.2624656852653544</c:v>
                </c:pt>
                <c:pt idx="11">
                  <c:v>4.2246054541577553</c:v>
                </c:pt>
              </c:numCache>
            </c:numRef>
          </c:val>
          <c:smooth val="0"/>
          <c:extLst>
            <c:ext xmlns:c16="http://schemas.microsoft.com/office/drawing/2014/chart" uri="{C3380CC4-5D6E-409C-BE32-E72D297353CC}">
              <c16:uniqueId val="{00000000-3E31-45A2-937D-9B92250245D0}"/>
            </c:ext>
          </c:extLst>
        </c:ser>
        <c:ser>
          <c:idx val="2"/>
          <c:order val="1"/>
          <c:tx>
            <c:strRef>
              <c:f>Deaths_over_time!$B$16</c:f>
              <c:strCache>
                <c:ptCount val="1"/>
                <c:pt idx="0">
                  <c:v>Biology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Deaths_over_time!$C$16:$N$16</c:f>
              <c:numCache>
                <c:formatCode>0</c:formatCode>
                <c:ptCount val="12"/>
                <c:pt idx="0">
                  <c:v>6.0280148106482692</c:v>
                </c:pt>
                <c:pt idx="1">
                  <c:v>6.3490033287210768</c:v>
                </c:pt>
                <c:pt idx="2">
                  <c:v>6.4068943528012205</c:v>
                </c:pt>
                <c:pt idx="3">
                  <c:v>6.4593828706567082</c:v>
                </c:pt>
                <c:pt idx="4">
                  <c:v>6.5047634780000561</c:v>
                </c:pt>
                <c:pt idx="5">
                  <c:v>6.5449996017232657</c:v>
                </c:pt>
                <c:pt idx="6">
                  <c:v>6.602053598711537</c:v>
                </c:pt>
                <c:pt idx="7">
                  <c:v>6.6782916993128794</c:v>
                </c:pt>
                <c:pt idx="8">
                  <c:v>6.7431874530134976</c:v>
                </c:pt>
                <c:pt idx="9">
                  <c:v>6.7906632546918644</c:v>
                </c:pt>
                <c:pt idx="10">
                  <c:v>6.8426580917360305</c:v>
                </c:pt>
                <c:pt idx="11">
                  <c:v>6.8871316268569629</c:v>
                </c:pt>
              </c:numCache>
            </c:numRef>
          </c:val>
          <c:smooth val="0"/>
          <c:extLst>
            <c:ext xmlns:c16="http://schemas.microsoft.com/office/drawing/2014/chart" uri="{C3380CC4-5D6E-409C-BE32-E72D297353CC}">
              <c16:uniqueId val="{00000001-3E31-45A2-937D-9B92250245D0}"/>
            </c:ext>
          </c:extLst>
        </c:ser>
        <c:ser>
          <c:idx val="3"/>
          <c:order val="2"/>
          <c:tx>
            <c:strRef>
              <c:f>Deaths_over_time!$B$17</c:f>
              <c:strCache>
                <c:ptCount val="1"/>
                <c:pt idx="0">
                  <c:v>Business Studies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Deaths_over_time!$C$17:$N$17</c:f>
              <c:numCache>
                <c:formatCode>0</c:formatCode>
                <c:ptCount val="12"/>
                <c:pt idx="0">
                  <c:v>2.5623503252132709</c:v>
                </c:pt>
                <c:pt idx="1">
                  <c:v>2.5170680707101387</c:v>
                </c:pt>
                <c:pt idx="2">
                  <c:v>2.4667754142032963</c:v>
                </c:pt>
                <c:pt idx="3">
                  <c:v>2.3682249664353647</c:v>
                </c:pt>
                <c:pt idx="4">
                  <c:v>2.271415086713064</c:v>
                </c:pt>
                <c:pt idx="5">
                  <c:v>2.2296399451153395</c:v>
                </c:pt>
                <c:pt idx="6">
                  <c:v>2.2137912429433664</c:v>
                </c:pt>
                <c:pt idx="7">
                  <c:v>2.2135022785545653</c:v>
                </c:pt>
                <c:pt idx="8">
                  <c:v>2.2085003867153992</c:v>
                </c:pt>
                <c:pt idx="9">
                  <c:v>2.2099075407397448</c:v>
                </c:pt>
                <c:pt idx="10">
                  <c:v>2.2171861735736456</c:v>
                </c:pt>
                <c:pt idx="11">
                  <c:v>2.2253413971850557</c:v>
                </c:pt>
              </c:numCache>
            </c:numRef>
          </c:val>
          <c:smooth val="0"/>
          <c:extLst>
            <c:ext xmlns:c16="http://schemas.microsoft.com/office/drawing/2014/chart" uri="{C3380CC4-5D6E-409C-BE32-E72D297353CC}">
              <c16:uniqueId val="{00000002-3E31-45A2-937D-9B92250245D0}"/>
            </c:ext>
          </c:extLst>
        </c:ser>
        <c:ser>
          <c:idx val="4"/>
          <c:order val="3"/>
          <c:tx>
            <c:strRef>
              <c:f>Deaths_over_time!$B$18</c:f>
              <c:strCache>
                <c:ptCount val="1"/>
                <c:pt idx="0">
                  <c:v>Chemistry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Deaths_over_time!$C$18:$N$18</c:f>
              <c:numCache>
                <c:formatCode>0</c:formatCode>
                <c:ptCount val="12"/>
                <c:pt idx="0">
                  <c:v>6.1325172132550954</c:v>
                </c:pt>
                <c:pt idx="1">
                  <c:v>6.285429880778695</c:v>
                </c:pt>
                <c:pt idx="2">
                  <c:v>6.2639685504339937</c:v>
                </c:pt>
                <c:pt idx="3">
                  <c:v>6.2549951754420245</c:v>
                </c:pt>
                <c:pt idx="4">
                  <c:v>6.2435277498812205</c:v>
                </c:pt>
                <c:pt idx="5">
                  <c:v>6.2297685514267167</c:v>
                </c:pt>
                <c:pt idx="6">
                  <c:v>6.2347351450796369</c:v>
                </c:pt>
                <c:pt idx="7">
                  <c:v>6.2613306124704993</c:v>
                </c:pt>
                <c:pt idx="8">
                  <c:v>6.2793043955951635</c:v>
                </c:pt>
                <c:pt idx="9">
                  <c:v>6.2868929103308826</c:v>
                </c:pt>
                <c:pt idx="10">
                  <c:v>6.3071204983786266</c:v>
                </c:pt>
                <c:pt idx="11">
                  <c:v>6.3263792334575397</c:v>
                </c:pt>
              </c:numCache>
            </c:numRef>
          </c:val>
          <c:smooth val="0"/>
          <c:extLst>
            <c:ext xmlns:c16="http://schemas.microsoft.com/office/drawing/2014/chart" uri="{C3380CC4-5D6E-409C-BE32-E72D297353CC}">
              <c16:uniqueId val="{00000003-3E31-45A2-937D-9B92250245D0}"/>
            </c:ext>
          </c:extLst>
        </c:ser>
        <c:ser>
          <c:idx val="5"/>
          <c:order val="4"/>
          <c:tx>
            <c:strRef>
              <c:f>Deaths_over_time!$B$19</c:f>
              <c:strCache>
                <c:ptCount val="1"/>
                <c:pt idx="0">
                  <c:v>Classics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Deaths_over_time!$C$19:$N$19</c:f>
              <c:numCache>
                <c:formatCode>0</c:formatCode>
                <c:ptCount val="12"/>
                <c:pt idx="0">
                  <c:v>0.36139303151350766</c:v>
                </c:pt>
                <c:pt idx="1">
                  <c:v>0.29244065086427484</c:v>
                </c:pt>
                <c:pt idx="2">
                  <c:v>0.24896361691774119</c:v>
                </c:pt>
                <c:pt idx="3">
                  <c:v>0.22045550416164666</c:v>
                </c:pt>
                <c:pt idx="4">
                  <c:v>0.20169095099047263</c:v>
                </c:pt>
                <c:pt idx="5">
                  <c:v>0.18939830619242443</c:v>
                </c:pt>
                <c:pt idx="6">
                  <c:v>0.18169657798091277</c:v>
                </c:pt>
                <c:pt idx="7">
                  <c:v>0.17733652998845759</c:v>
                </c:pt>
                <c:pt idx="8">
                  <c:v>0.17498718898657573</c:v>
                </c:pt>
                <c:pt idx="9">
                  <c:v>0.17385181567235203</c:v>
                </c:pt>
                <c:pt idx="10">
                  <c:v>0.17336075723818414</c:v>
                </c:pt>
                <c:pt idx="11">
                  <c:v>0.17337001625189891</c:v>
                </c:pt>
              </c:numCache>
            </c:numRef>
          </c:val>
          <c:smooth val="0"/>
          <c:extLst>
            <c:ext xmlns:c16="http://schemas.microsoft.com/office/drawing/2014/chart" uri="{C3380CC4-5D6E-409C-BE32-E72D297353CC}">
              <c16:uniqueId val="{00000004-3E31-45A2-937D-9B92250245D0}"/>
            </c:ext>
          </c:extLst>
        </c:ser>
        <c:ser>
          <c:idx val="6"/>
          <c:order val="5"/>
          <c:tx>
            <c:strRef>
              <c:f>Deaths_over_time!$B$20</c:f>
              <c:strCache>
                <c:ptCount val="1"/>
                <c:pt idx="0">
                  <c:v>Computing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Deaths_over_time!$C$20:$N$20</c:f>
              <c:numCache>
                <c:formatCode>0</c:formatCode>
                <c:ptCount val="12"/>
                <c:pt idx="0">
                  <c:v>4.8900258925661948</c:v>
                </c:pt>
                <c:pt idx="1">
                  <c:v>4.861854314976167</c:v>
                </c:pt>
                <c:pt idx="2">
                  <c:v>4.8420362364104079</c:v>
                </c:pt>
                <c:pt idx="3">
                  <c:v>4.7058505277803722</c:v>
                </c:pt>
                <c:pt idx="4">
                  <c:v>4.5660131726416857</c:v>
                </c:pt>
                <c:pt idx="5">
                  <c:v>4.5155943337074689</c:v>
                </c:pt>
                <c:pt idx="6">
                  <c:v>4.4944957831390386</c:v>
                </c:pt>
                <c:pt idx="7">
                  <c:v>4.4823549226066728</c:v>
                </c:pt>
                <c:pt idx="8">
                  <c:v>4.4753546079307984</c:v>
                </c:pt>
                <c:pt idx="9">
                  <c:v>4.4595621078099486</c:v>
                </c:pt>
                <c:pt idx="10">
                  <c:v>4.4385069857517108</c:v>
                </c:pt>
                <c:pt idx="11">
                  <c:v>4.4151541077116043</c:v>
                </c:pt>
              </c:numCache>
            </c:numRef>
          </c:val>
          <c:smooth val="0"/>
          <c:extLst>
            <c:ext xmlns:c16="http://schemas.microsoft.com/office/drawing/2014/chart" uri="{C3380CC4-5D6E-409C-BE32-E72D297353CC}">
              <c16:uniqueId val="{00000005-3E31-45A2-937D-9B92250245D0}"/>
            </c:ext>
          </c:extLst>
        </c:ser>
        <c:dLbls>
          <c:showLegendKey val="0"/>
          <c:showVal val="0"/>
          <c:showCatName val="0"/>
          <c:showSerName val="0"/>
          <c:showPercent val="0"/>
          <c:showBubbleSize val="0"/>
        </c:dLbls>
        <c:smooth val="0"/>
        <c:axId val="167450496"/>
        <c:axId val="167452032"/>
      </c:lineChart>
      <c:catAx>
        <c:axId val="1674504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452032"/>
        <c:crosses val="autoZero"/>
        <c:auto val="1"/>
        <c:lblAlgn val="ctr"/>
        <c:lblOffset val="100"/>
        <c:noMultiLvlLbl val="0"/>
      </c:catAx>
      <c:valAx>
        <c:axId val="16745203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450496"/>
        <c:crosses val="autoZero"/>
        <c:crossBetween val="between"/>
      </c:valAx>
      <c:spPr>
        <a:ln>
          <a:solidFill>
            <a:schemeClr val="tx1">
              <a:lumMod val="95000"/>
              <a:lumOff val="5000"/>
            </a:schemeClr>
          </a:solidFill>
        </a:ln>
      </c:spPr>
    </c:plotArea>
    <c:legend>
      <c:legendPos val="r"/>
      <c:layout>
        <c:manualLayout>
          <c:xMode val="edge"/>
          <c:yMode val="edge"/>
          <c:x val="0.71786949045162463"/>
          <c:y val="1.9031323506706992E-2"/>
          <c:w val="0.26332321312500506"/>
          <c:h val="0.8598617733336966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7"/>
          <c:order val="0"/>
          <c:tx>
            <c:strRef>
              <c:f>Deaths_over_time!$B$21</c:f>
              <c:strCache>
                <c:ptCount val="1"/>
                <c:pt idx="0">
                  <c:v>Design &amp; Technology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Deaths_over_time!$C$21:$N$21</c:f>
              <c:numCache>
                <c:formatCode>0</c:formatCode>
                <c:ptCount val="12"/>
                <c:pt idx="0">
                  <c:v>7.9607237636067225</c:v>
                </c:pt>
                <c:pt idx="1">
                  <c:v>7.6825857424814625</c:v>
                </c:pt>
                <c:pt idx="2">
                  <c:v>7.3862926407361211</c:v>
                </c:pt>
                <c:pt idx="3">
                  <c:v>6.9622256241450167</c:v>
                </c:pt>
                <c:pt idx="4">
                  <c:v>6.5753127267056186</c:v>
                </c:pt>
                <c:pt idx="5">
                  <c:v>6.324127790662045</c:v>
                </c:pt>
                <c:pt idx="6">
                  <c:v>6.1457941347689324</c:v>
                </c:pt>
                <c:pt idx="7">
                  <c:v>6.001389514567764</c:v>
                </c:pt>
                <c:pt idx="8">
                  <c:v>5.9013931158534163</c:v>
                </c:pt>
                <c:pt idx="9">
                  <c:v>5.8032757462677189</c:v>
                </c:pt>
                <c:pt idx="10">
                  <c:v>5.7043370597639642</c:v>
                </c:pt>
                <c:pt idx="11">
                  <c:v>5.6153126015381387</c:v>
                </c:pt>
              </c:numCache>
            </c:numRef>
          </c:val>
          <c:smooth val="0"/>
          <c:extLst>
            <c:ext xmlns:c16="http://schemas.microsoft.com/office/drawing/2014/chart" uri="{C3380CC4-5D6E-409C-BE32-E72D297353CC}">
              <c16:uniqueId val="{00000000-A226-488A-AA6C-6193EBF58AF2}"/>
            </c:ext>
          </c:extLst>
        </c:ser>
        <c:ser>
          <c:idx val="8"/>
          <c:order val="1"/>
          <c:tx>
            <c:strRef>
              <c:f>Deaths_over_time!$B$22</c:f>
              <c:strCache>
                <c:ptCount val="1"/>
                <c:pt idx="0">
                  <c:v>Drama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Deaths_over_time!$C$22:$N$22</c:f>
              <c:numCache>
                <c:formatCode>0</c:formatCode>
                <c:ptCount val="12"/>
                <c:pt idx="0">
                  <c:v>2.3392708213805187</c:v>
                </c:pt>
                <c:pt idx="1">
                  <c:v>2.3463551326371412</c:v>
                </c:pt>
                <c:pt idx="2">
                  <c:v>2.3430081769400579</c:v>
                </c:pt>
                <c:pt idx="3">
                  <c:v>2.3243600850970023</c:v>
                </c:pt>
                <c:pt idx="4">
                  <c:v>2.3162341035563534</c:v>
                </c:pt>
                <c:pt idx="5">
                  <c:v>2.3154388536098551</c:v>
                </c:pt>
                <c:pt idx="6">
                  <c:v>2.3359110648733648</c:v>
                </c:pt>
                <c:pt idx="7">
                  <c:v>2.3607614806825721</c:v>
                </c:pt>
                <c:pt idx="8">
                  <c:v>2.3909501822496413</c:v>
                </c:pt>
                <c:pt idx="9">
                  <c:v>2.4120172825352784</c:v>
                </c:pt>
                <c:pt idx="10">
                  <c:v>2.4244557773117013</c:v>
                </c:pt>
                <c:pt idx="11">
                  <c:v>2.4323489145605954</c:v>
                </c:pt>
              </c:numCache>
            </c:numRef>
          </c:val>
          <c:smooth val="0"/>
          <c:extLst>
            <c:ext xmlns:c16="http://schemas.microsoft.com/office/drawing/2014/chart" uri="{C3380CC4-5D6E-409C-BE32-E72D297353CC}">
              <c16:uniqueId val="{00000001-A226-488A-AA6C-6193EBF58AF2}"/>
            </c:ext>
          </c:extLst>
        </c:ser>
        <c:ser>
          <c:idx val="9"/>
          <c:order val="2"/>
          <c:tx>
            <c:strRef>
              <c:f>Deaths_over_time!$B$23</c:f>
              <c:strCache>
                <c:ptCount val="1"/>
                <c:pt idx="0">
                  <c:v>English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Deaths_over_time!$C$23:$N$23</c:f>
              <c:numCache>
                <c:formatCode>0</c:formatCode>
                <c:ptCount val="12"/>
                <c:pt idx="0">
                  <c:v>15.572202786626104</c:v>
                </c:pt>
                <c:pt idx="1">
                  <c:v>15.596677659338731</c:v>
                </c:pt>
                <c:pt idx="2">
                  <c:v>15.414460661613603</c:v>
                </c:pt>
                <c:pt idx="3">
                  <c:v>15.261246333422587</c:v>
                </c:pt>
                <c:pt idx="4">
                  <c:v>15.155019663889925</c:v>
                </c:pt>
                <c:pt idx="5">
                  <c:v>15.082400260416676</c:v>
                </c:pt>
                <c:pt idx="6">
                  <c:v>15.078055615766933</c:v>
                </c:pt>
                <c:pt idx="7">
                  <c:v>15.132644989941575</c:v>
                </c:pt>
                <c:pt idx="8">
                  <c:v>15.204184061046835</c:v>
                </c:pt>
                <c:pt idx="9">
                  <c:v>15.237746053954668</c:v>
                </c:pt>
                <c:pt idx="10">
                  <c:v>15.280635450199869</c:v>
                </c:pt>
                <c:pt idx="11">
                  <c:v>15.315749516313577</c:v>
                </c:pt>
              </c:numCache>
            </c:numRef>
          </c:val>
          <c:smooth val="0"/>
          <c:extLst>
            <c:ext xmlns:c16="http://schemas.microsoft.com/office/drawing/2014/chart" uri="{C3380CC4-5D6E-409C-BE32-E72D297353CC}">
              <c16:uniqueId val="{00000002-A226-488A-AA6C-6193EBF58AF2}"/>
            </c:ext>
          </c:extLst>
        </c:ser>
        <c:ser>
          <c:idx val="0"/>
          <c:order val="3"/>
          <c:tx>
            <c:strRef>
              <c:f>Deaths_over_time!$B$24</c:f>
              <c:strCache>
                <c:ptCount val="1"/>
                <c:pt idx="0">
                  <c:v>Food Deaths</c:v>
                </c:pt>
              </c:strCache>
            </c:strRef>
          </c:tx>
          <c:marker>
            <c:symbol val="none"/>
          </c:marker>
          <c:val>
            <c:numRef>
              <c:f>Deaths_over_time!$C$24:$N$24</c:f>
              <c:numCache>
                <c:formatCode>0</c:formatCode>
                <c:ptCount val="12"/>
                <c:pt idx="0">
                  <c:v>1.7944570342629229</c:v>
                </c:pt>
                <c:pt idx="1">
                  <c:v>1.6370281595134173</c:v>
                </c:pt>
                <c:pt idx="2">
                  <c:v>1.5093569618148863</c:v>
                </c:pt>
                <c:pt idx="3">
                  <c:v>1.3682987952577548</c:v>
                </c:pt>
                <c:pt idx="4">
                  <c:v>1.2434941573331006</c:v>
                </c:pt>
                <c:pt idx="5">
                  <c:v>1.1628021494072258</c:v>
                </c:pt>
                <c:pt idx="6">
                  <c:v>1.105181048106529</c:v>
                </c:pt>
                <c:pt idx="7">
                  <c:v>1.0616837675301372</c:v>
                </c:pt>
                <c:pt idx="8">
                  <c:v>1.0258399309836719</c:v>
                </c:pt>
                <c:pt idx="9">
                  <c:v>0.99507339437019915</c:v>
                </c:pt>
                <c:pt idx="10">
                  <c:v>0.97240394640180261</c:v>
                </c:pt>
                <c:pt idx="11">
                  <c:v>0.95432404725315578</c:v>
                </c:pt>
              </c:numCache>
            </c:numRef>
          </c:val>
          <c:smooth val="0"/>
          <c:extLst>
            <c:ext xmlns:c16="http://schemas.microsoft.com/office/drawing/2014/chart" uri="{C3380CC4-5D6E-409C-BE32-E72D297353CC}">
              <c16:uniqueId val="{00000003-A226-488A-AA6C-6193EBF58AF2}"/>
            </c:ext>
          </c:extLst>
        </c:ser>
        <c:ser>
          <c:idx val="10"/>
          <c:order val="4"/>
          <c:tx>
            <c:strRef>
              <c:f>Deaths_over_time!$B$25</c:f>
              <c:strCache>
                <c:ptCount val="1"/>
                <c:pt idx="0">
                  <c:v>Geography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Deaths_over_time!$C$25:$N$25</c:f>
              <c:numCache>
                <c:formatCode>0</c:formatCode>
                <c:ptCount val="12"/>
                <c:pt idx="0">
                  <c:v>5.6466858154316242</c:v>
                </c:pt>
                <c:pt idx="1">
                  <c:v>5.6926838892168599</c:v>
                </c:pt>
                <c:pt idx="2">
                  <c:v>5.7086985830882746</c:v>
                </c:pt>
                <c:pt idx="3">
                  <c:v>5.8309360513443131</c:v>
                </c:pt>
                <c:pt idx="4">
                  <c:v>5.9697088556902873</c:v>
                </c:pt>
                <c:pt idx="5">
                  <c:v>6.0212086639425486</c:v>
                </c:pt>
                <c:pt idx="6">
                  <c:v>6.0686605687524917</c:v>
                </c:pt>
                <c:pt idx="7">
                  <c:v>6.1283583875281913</c:v>
                </c:pt>
                <c:pt idx="8">
                  <c:v>6.1963900027234278</c:v>
                </c:pt>
                <c:pt idx="9">
                  <c:v>6.2419107582179159</c:v>
                </c:pt>
                <c:pt idx="10">
                  <c:v>6.2747937544883507</c:v>
                </c:pt>
                <c:pt idx="11">
                  <c:v>6.298038094306337</c:v>
                </c:pt>
              </c:numCache>
            </c:numRef>
          </c:val>
          <c:smooth val="0"/>
          <c:extLst>
            <c:ext xmlns:c16="http://schemas.microsoft.com/office/drawing/2014/chart" uri="{C3380CC4-5D6E-409C-BE32-E72D297353CC}">
              <c16:uniqueId val="{00000004-A226-488A-AA6C-6193EBF58AF2}"/>
            </c:ext>
          </c:extLst>
        </c:ser>
        <c:ser>
          <c:idx val="11"/>
          <c:order val="5"/>
          <c:tx>
            <c:strRef>
              <c:f>Deaths_over_time!$B$26</c:f>
              <c:strCache>
                <c:ptCount val="1"/>
                <c:pt idx="0">
                  <c:v>History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Deaths_over_time!$C$26:$N$26</c:f>
              <c:numCache>
                <c:formatCode>0</c:formatCode>
                <c:ptCount val="12"/>
                <c:pt idx="0">
                  <c:v>6.1565883404212549</c:v>
                </c:pt>
                <c:pt idx="1">
                  <c:v>6.1519948956964337</c:v>
                </c:pt>
                <c:pt idx="2">
                  <c:v>6.148809148042055</c:v>
                </c:pt>
                <c:pt idx="3">
                  <c:v>6.2369711634281533</c:v>
                </c:pt>
                <c:pt idx="4">
                  <c:v>6.345094512514887</c:v>
                </c:pt>
                <c:pt idx="5">
                  <c:v>6.3775391064691656</c:v>
                </c:pt>
                <c:pt idx="6">
                  <c:v>6.4199284578905527</c:v>
                </c:pt>
                <c:pt idx="7">
                  <c:v>6.4770072874168552</c:v>
                </c:pt>
                <c:pt idx="8">
                  <c:v>6.5419540529035203</c:v>
                </c:pt>
                <c:pt idx="9">
                  <c:v>6.5857511711221699</c:v>
                </c:pt>
                <c:pt idx="10">
                  <c:v>6.6177191495076677</c:v>
                </c:pt>
                <c:pt idx="11">
                  <c:v>6.640593652740451</c:v>
                </c:pt>
              </c:numCache>
            </c:numRef>
          </c:val>
          <c:smooth val="0"/>
          <c:extLst>
            <c:ext xmlns:c16="http://schemas.microsoft.com/office/drawing/2014/chart" uri="{C3380CC4-5D6E-409C-BE32-E72D297353CC}">
              <c16:uniqueId val="{00000005-A226-488A-AA6C-6193EBF58AF2}"/>
            </c:ext>
          </c:extLst>
        </c:ser>
        <c:ser>
          <c:idx val="12"/>
          <c:order val="6"/>
          <c:tx>
            <c:strRef>
              <c:f>Deaths_over_time!$B$27</c:f>
              <c:strCache>
                <c:ptCount val="1"/>
                <c:pt idx="0">
                  <c:v>Mathematics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Deaths_over_time!$C$27:$N$27</c:f>
              <c:numCache>
                <c:formatCode>0</c:formatCode>
                <c:ptCount val="12"/>
                <c:pt idx="0">
                  <c:v>19.890356312779623</c:v>
                </c:pt>
                <c:pt idx="1">
                  <c:v>19.747231677311898</c:v>
                </c:pt>
                <c:pt idx="2">
                  <c:v>19.402677446902693</c:v>
                </c:pt>
                <c:pt idx="3">
                  <c:v>19.073602415039083</c:v>
                </c:pt>
                <c:pt idx="4">
                  <c:v>18.850713868383867</c:v>
                </c:pt>
                <c:pt idx="5">
                  <c:v>18.695085183320689</c:v>
                </c:pt>
                <c:pt idx="6">
                  <c:v>18.572961841275021</c:v>
                </c:pt>
                <c:pt idx="7">
                  <c:v>18.523995513810522</c:v>
                </c:pt>
                <c:pt idx="8">
                  <c:v>18.504188667769377</c:v>
                </c:pt>
                <c:pt idx="9">
                  <c:v>18.454573389620066</c:v>
                </c:pt>
                <c:pt idx="10">
                  <c:v>18.422022080969441</c:v>
                </c:pt>
                <c:pt idx="11">
                  <c:v>18.392548504337483</c:v>
                </c:pt>
              </c:numCache>
            </c:numRef>
          </c:val>
          <c:smooth val="0"/>
          <c:extLst>
            <c:ext xmlns:c16="http://schemas.microsoft.com/office/drawing/2014/chart" uri="{C3380CC4-5D6E-409C-BE32-E72D297353CC}">
              <c16:uniqueId val="{00000006-A226-488A-AA6C-6193EBF58AF2}"/>
            </c:ext>
          </c:extLst>
        </c:ser>
        <c:dLbls>
          <c:showLegendKey val="0"/>
          <c:showVal val="0"/>
          <c:showCatName val="0"/>
          <c:showSerName val="0"/>
          <c:showPercent val="0"/>
          <c:showBubbleSize val="0"/>
        </c:dLbls>
        <c:smooth val="0"/>
        <c:axId val="167508608"/>
        <c:axId val="167842176"/>
      </c:lineChart>
      <c:catAx>
        <c:axId val="16750860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42176"/>
        <c:crosses val="autoZero"/>
        <c:auto val="1"/>
        <c:lblAlgn val="ctr"/>
        <c:lblOffset val="100"/>
        <c:noMultiLvlLbl val="0"/>
      </c:catAx>
      <c:valAx>
        <c:axId val="16784217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508608"/>
        <c:crosses val="autoZero"/>
        <c:crossBetween val="between"/>
      </c:valAx>
      <c:spPr>
        <a:ln>
          <a:solidFill>
            <a:schemeClr val="tx1">
              <a:lumMod val="95000"/>
              <a:lumOff val="5000"/>
            </a:schemeClr>
          </a:solidFill>
        </a:ln>
      </c:spPr>
    </c:plotArea>
    <c:legend>
      <c:legendPos val="r"/>
      <c:layout>
        <c:manualLayout>
          <c:xMode val="edge"/>
          <c:yMode val="edge"/>
          <c:x val="0.72697899838449109"/>
          <c:y val="1.9031323506706992E-2"/>
          <c:w val="0.2560582431234868"/>
          <c:h val="0.7958477508650518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196902367402095E-2"/>
          <c:y val="5.140057283485449E-2"/>
          <c:w val="0.60622748889062139"/>
          <c:h val="0.73694908754341193"/>
        </c:manualLayout>
      </c:layout>
      <c:lineChart>
        <c:grouping val="standard"/>
        <c:varyColors val="0"/>
        <c:ser>
          <c:idx val="13"/>
          <c:order val="0"/>
          <c:tx>
            <c:strRef>
              <c:f>Deaths_over_time!$B$28</c:f>
              <c:strCache>
                <c:ptCount val="1"/>
                <c:pt idx="0">
                  <c:v>Modern Foreign Languages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Deaths_over_time!$C$28:$N$28</c:f>
              <c:numCache>
                <c:formatCode>0</c:formatCode>
                <c:ptCount val="12"/>
                <c:pt idx="0">
                  <c:v>8.8611654850900123</c:v>
                </c:pt>
                <c:pt idx="1">
                  <c:v>8.7207012739417209</c:v>
                </c:pt>
                <c:pt idx="2">
                  <c:v>8.5812389786672512</c:v>
                </c:pt>
                <c:pt idx="3">
                  <c:v>8.8949569972029874</c:v>
                </c:pt>
                <c:pt idx="4">
                  <c:v>9.2403623584960073</c:v>
                </c:pt>
                <c:pt idx="5">
                  <c:v>9.2766037598457007</c:v>
                </c:pt>
                <c:pt idx="6">
                  <c:v>9.2014239920868182</c:v>
                </c:pt>
                <c:pt idx="7">
                  <c:v>9.158335594613618</c:v>
                </c:pt>
                <c:pt idx="8">
                  <c:v>9.1439911586584603</c:v>
                </c:pt>
                <c:pt idx="9">
                  <c:v>9.1076362990783934</c:v>
                </c:pt>
                <c:pt idx="10">
                  <c:v>9.0674326048916445</c:v>
                </c:pt>
                <c:pt idx="11">
                  <c:v>9.025961765491223</c:v>
                </c:pt>
              </c:numCache>
            </c:numRef>
          </c:val>
          <c:smooth val="0"/>
          <c:extLst>
            <c:ext xmlns:c16="http://schemas.microsoft.com/office/drawing/2014/chart" uri="{C3380CC4-5D6E-409C-BE32-E72D297353CC}">
              <c16:uniqueId val="{00000000-7EC6-42B6-AE21-D7D671BB860D}"/>
            </c:ext>
          </c:extLst>
        </c:ser>
        <c:ser>
          <c:idx val="14"/>
          <c:order val="1"/>
          <c:tx>
            <c:strRef>
              <c:f>Deaths_over_time!$B$29</c:f>
              <c:strCache>
                <c:ptCount val="1"/>
                <c:pt idx="0">
                  <c:v>Music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Deaths_over_time!$C$29:$N$29</c:f>
              <c:numCache>
                <c:formatCode>0</c:formatCode>
                <c:ptCount val="12"/>
                <c:pt idx="0">
                  <c:v>2.6824807570694134</c:v>
                </c:pt>
                <c:pt idx="1">
                  <c:v>2.6906646641328607</c:v>
                </c:pt>
                <c:pt idx="2">
                  <c:v>2.7037852186995384</c:v>
                </c:pt>
                <c:pt idx="3">
                  <c:v>2.7175316157424989</c:v>
                </c:pt>
                <c:pt idx="4">
                  <c:v>2.7408159865741348</c:v>
                </c:pt>
                <c:pt idx="5">
                  <c:v>2.7637969860474447</c:v>
                </c:pt>
                <c:pt idx="6">
                  <c:v>2.7861275738996047</c:v>
                </c:pt>
                <c:pt idx="7">
                  <c:v>2.8087337092896352</c:v>
                </c:pt>
                <c:pt idx="8">
                  <c:v>2.8409680683527858</c:v>
                </c:pt>
                <c:pt idx="9">
                  <c:v>2.8603084871910758</c:v>
                </c:pt>
                <c:pt idx="10">
                  <c:v>2.8652952754054359</c:v>
                </c:pt>
                <c:pt idx="11">
                  <c:v>2.8647765313966347</c:v>
                </c:pt>
              </c:numCache>
            </c:numRef>
          </c:val>
          <c:smooth val="0"/>
          <c:extLst>
            <c:ext xmlns:c16="http://schemas.microsoft.com/office/drawing/2014/chart" uri="{C3380CC4-5D6E-409C-BE32-E72D297353CC}">
              <c16:uniqueId val="{00000001-7EC6-42B6-AE21-D7D671BB860D}"/>
            </c:ext>
          </c:extLst>
        </c:ser>
        <c:ser>
          <c:idx val="15"/>
          <c:order val="2"/>
          <c:tx>
            <c:strRef>
              <c:f>Deaths_over_time!$B$30</c:f>
              <c:strCache>
                <c:ptCount val="1"/>
                <c:pt idx="0">
                  <c:v>Others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Deaths_over_time!$C$30:$N$30</c:f>
              <c:numCache>
                <c:formatCode>0</c:formatCode>
                <c:ptCount val="12"/>
                <c:pt idx="0">
                  <c:v>9.1534953840350717</c:v>
                </c:pt>
                <c:pt idx="1">
                  <c:v>8.8466191271079122</c:v>
                </c:pt>
                <c:pt idx="2">
                  <c:v>8.4671358727261712</c:v>
                </c:pt>
                <c:pt idx="3">
                  <c:v>7.9712504105914448</c:v>
                </c:pt>
                <c:pt idx="4">
                  <c:v>7.5467889369810557</c:v>
                </c:pt>
                <c:pt idx="5">
                  <c:v>7.304347618746891</c:v>
                </c:pt>
                <c:pt idx="6">
                  <c:v>7.1965041268554018</c:v>
                </c:pt>
                <c:pt idx="7">
                  <c:v>7.15491865536708</c:v>
                </c:pt>
                <c:pt idx="8">
                  <c:v>7.1357473178755626</c:v>
                </c:pt>
                <c:pt idx="9">
                  <c:v>7.1417062115297183</c:v>
                </c:pt>
                <c:pt idx="10">
                  <c:v>7.1519968147565702</c:v>
                </c:pt>
                <c:pt idx="11">
                  <c:v>7.1668299696324702</c:v>
                </c:pt>
              </c:numCache>
            </c:numRef>
          </c:val>
          <c:smooth val="0"/>
          <c:extLst>
            <c:ext xmlns:c16="http://schemas.microsoft.com/office/drawing/2014/chart" uri="{C3380CC4-5D6E-409C-BE32-E72D297353CC}">
              <c16:uniqueId val="{00000002-7EC6-42B6-AE21-D7D671BB860D}"/>
            </c:ext>
          </c:extLst>
        </c:ser>
        <c:ser>
          <c:idx val="16"/>
          <c:order val="3"/>
          <c:tx>
            <c:strRef>
              <c:f>Deaths_over_time!$B$31</c:f>
              <c:strCache>
                <c:ptCount val="1"/>
                <c:pt idx="0">
                  <c:v>Physical Education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Deaths_over_time!$C$31:$N$31</c:f>
              <c:numCache>
                <c:formatCode>0</c:formatCode>
                <c:ptCount val="12"/>
                <c:pt idx="0">
                  <c:v>7.2067891019440173</c:v>
                </c:pt>
                <c:pt idx="1">
                  <c:v>7.5240569565799529</c:v>
                </c:pt>
                <c:pt idx="2">
                  <c:v>7.878374648673045</c:v>
                </c:pt>
                <c:pt idx="3">
                  <c:v>8.0851670294855325</c:v>
                </c:pt>
                <c:pt idx="4">
                  <c:v>8.2554554034131371</c:v>
                </c:pt>
                <c:pt idx="5">
                  <c:v>8.478757538814353</c:v>
                </c:pt>
                <c:pt idx="6">
                  <c:v>8.7133617096087477</c:v>
                </c:pt>
                <c:pt idx="7">
                  <c:v>8.9358501495992471</c:v>
                </c:pt>
                <c:pt idx="8">
                  <c:v>9.1390053715645507</c:v>
                </c:pt>
                <c:pt idx="9">
                  <c:v>9.2873176941172417</c:v>
                </c:pt>
                <c:pt idx="10">
                  <c:v>9.4053948538936485</c:v>
                </c:pt>
                <c:pt idx="11">
                  <c:v>9.4950494054123364</c:v>
                </c:pt>
              </c:numCache>
            </c:numRef>
          </c:val>
          <c:smooth val="0"/>
          <c:extLst>
            <c:ext xmlns:c16="http://schemas.microsoft.com/office/drawing/2014/chart" uri="{C3380CC4-5D6E-409C-BE32-E72D297353CC}">
              <c16:uniqueId val="{00000003-7EC6-42B6-AE21-D7D671BB860D}"/>
            </c:ext>
          </c:extLst>
        </c:ser>
        <c:ser>
          <c:idx val="17"/>
          <c:order val="4"/>
          <c:tx>
            <c:strRef>
              <c:f>Deaths_over_time!$B$32</c:f>
              <c:strCache>
                <c:ptCount val="1"/>
                <c:pt idx="0">
                  <c:v>Physics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Deaths_over_time!$C$32:$N$32</c:f>
              <c:numCache>
                <c:formatCode>0</c:formatCode>
                <c:ptCount val="12"/>
                <c:pt idx="0">
                  <c:v>7.1793050076387877</c:v>
                </c:pt>
                <c:pt idx="1">
                  <c:v>7.1786901899787097</c:v>
                </c:pt>
                <c:pt idx="2">
                  <c:v>7.033960808870976</c:v>
                </c:pt>
                <c:pt idx="3">
                  <c:v>6.9448581347721037</c:v>
                </c:pt>
                <c:pt idx="4">
                  <c:v>6.8789686662756093</c:v>
                </c:pt>
                <c:pt idx="5">
                  <c:v>6.8252531353841004</c:v>
                </c:pt>
                <c:pt idx="6">
                  <c:v>6.8002322775366881</c:v>
                </c:pt>
                <c:pt idx="7">
                  <c:v>6.8036551039406641</c:v>
                </c:pt>
                <c:pt idx="8">
                  <c:v>6.8013502311170138</c:v>
                </c:pt>
                <c:pt idx="9">
                  <c:v>6.7909596185373795</c:v>
                </c:pt>
                <c:pt idx="10">
                  <c:v>6.7991307276712423</c:v>
                </c:pt>
                <c:pt idx="11">
                  <c:v>6.8094743965648155</c:v>
                </c:pt>
              </c:numCache>
            </c:numRef>
          </c:val>
          <c:smooth val="0"/>
          <c:extLst>
            <c:ext xmlns:c16="http://schemas.microsoft.com/office/drawing/2014/chart" uri="{C3380CC4-5D6E-409C-BE32-E72D297353CC}">
              <c16:uniqueId val="{00000004-7EC6-42B6-AE21-D7D671BB860D}"/>
            </c:ext>
          </c:extLst>
        </c:ser>
        <c:ser>
          <c:idx val="18"/>
          <c:order val="5"/>
          <c:tx>
            <c:strRef>
              <c:f>Deaths_over_time!$B$33</c:f>
              <c:strCache>
                <c:ptCount val="1"/>
                <c:pt idx="0">
                  <c:v>Religious Education Deaths</c:v>
                </c:pt>
              </c:strCache>
            </c:strRef>
          </c:tx>
          <c:marker>
            <c:symbol val="none"/>
          </c:marker>
          <c:cat>
            <c:strRef>
              <c:f>Deaths_over_time!$C$13:$N$13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Deaths_over_time!$C$33:$N$33</c:f>
              <c:numCache>
                <c:formatCode>0</c:formatCode>
                <c:ptCount val="12"/>
                <c:pt idx="0">
                  <c:v>4.3204642499111383</c:v>
                </c:pt>
                <c:pt idx="1">
                  <c:v>4.1989094126093649</c:v>
                </c:pt>
                <c:pt idx="2">
                  <c:v>4.0950406592002624</c:v>
                </c:pt>
                <c:pt idx="3">
                  <c:v>4.0117059115193818</c:v>
                </c:pt>
                <c:pt idx="4">
                  <c:v>3.9508380246342254</c:v>
                </c:pt>
                <c:pt idx="5">
                  <c:v>3.9094188873419382</c:v>
                </c:pt>
                <c:pt idx="6">
                  <c:v>3.8875177312589915</c:v>
                </c:pt>
                <c:pt idx="7">
                  <c:v>3.8836777865330969</c:v>
                </c:pt>
                <c:pt idx="8">
                  <c:v>3.890662118045062</c:v>
                </c:pt>
                <c:pt idx="9">
                  <c:v>3.8909252482579477</c:v>
                </c:pt>
                <c:pt idx="10">
                  <c:v>3.8912697223686177</c:v>
                </c:pt>
                <c:pt idx="11">
                  <c:v>3.890750047050112</c:v>
                </c:pt>
              </c:numCache>
            </c:numRef>
          </c:val>
          <c:smooth val="0"/>
          <c:extLst>
            <c:ext xmlns:c16="http://schemas.microsoft.com/office/drawing/2014/chart" uri="{C3380CC4-5D6E-409C-BE32-E72D297353CC}">
              <c16:uniqueId val="{00000005-7EC6-42B6-AE21-D7D671BB860D}"/>
            </c:ext>
          </c:extLst>
        </c:ser>
        <c:dLbls>
          <c:showLegendKey val="0"/>
          <c:showVal val="0"/>
          <c:showCatName val="0"/>
          <c:showSerName val="0"/>
          <c:showPercent val="0"/>
          <c:showBubbleSize val="0"/>
        </c:dLbls>
        <c:smooth val="0"/>
        <c:axId val="167893632"/>
        <c:axId val="167895424"/>
      </c:lineChart>
      <c:catAx>
        <c:axId val="1678936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7895424"/>
        <c:crosses val="autoZero"/>
        <c:auto val="1"/>
        <c:lblAlgn val="ctr"/>
        <c:lblOffset val="100"/>
        <c:noMultiLvlLbl val="0"/>
      </c:catAx>
      <c:valAx>
        <c:axId val="16789542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7893632"/>
        <c:crosses val="autoZero"/>
        <c:crossBetween val="between"/>
      </c:valAx>
      <c:spPr>
        <a:ln>
          <a:solidFill>
            <a:schemeClr val="tx1">
              <a:lumMod val="95000"/>
              <a:lumOff val="5000"/>
            </a:schemeClr>
          </a:solidFill>
        </a:ln>
      </c:spPr>
    </c:plotArea>
    <c:legend>
      <c:legendPos val="r"/>
      <c:layout>
        <c:manualLayout>
          <c:xMode val="edge"/>
          <c:yMode val="edge"/>
          <c:x val="0.72413908292811358"/>
          <c:y val="2.4221453287197232E-2"/>
          <c:w val="0.25940480010531597"/>
          <c:h val="0.85467128027681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ENGLISH AND MATHEMATICS</a:t>
            </a:r>
          </a:p>
        </c:rich>
      </c:tx>
      <c:overlay val="0"/>
    </c:title>
    <c:autoTitleDeleted val="0"/>
    <c:plotArea>
      <c:layout>
        <c:manualLayout>
          <c:layoutTarget val="inner"/>
          <c:xMode val="edge"/>
          <c:yMode val="edge"/>
          <c:x val="0.11423840769903762"/>
          <c:y val="0.12283573928258967"/>
          <c:w val="0.56320465347237003"/>
          <c:h val="0.69792140565762617"/>
        </c:manualLayout>
      </c:layout>
      <c:lineChart>
        <c:grouping val="standard"/>
        <c:varyColors val="0"/>
        <c:ser>
          <c:idx val="29"/>
          <c:order val="0"/>
          <c:tx>
            <c:strRef>
              <c:f>Entrant_need_figures!$B$118</c:f>
              <c:strCache>
                <c:ptCount val="1"/>
                <c:pt idx="0">
                  <c:v>ENGLISH All Central Scenario</c:v>
                </c:pt>
              </c:strCache>
            </c:strRef>
          </c:tx>
          <c:spPr>
            <a:ln>
              <a:solidFill>
                <a:srgbClr val="00206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Entrant_need_figures!$C$118:$N$118</c:f>
              <c:numCache>
                <c:formatCode>#,##0</c:formatCode>
                <c:ptCount val="12"/>
                <c:pt idx="0">
                  <c:v>3778.1104864577228</c:v>
                </c:pt>
                <c:pt idx="1">
                  <c:v>3599.4228192505816</c:v>
                </c:pt>
                <c:pt idx="2">
                  <c:v>3862.8994883252717</c:v>
                </c:pt>
                <c:pt idx="3">
                  <c:v>3701.4082860658532</c:v>
                </c:pt>
                <c:pt idx="4">
                  <c:v>3615.2957762173473</c:v>
                </c:pt>
                <c:pt idx="5">
                  <c:v>3630.9258555009756</c:v>
                </c:pt>
                <c:pt idx="6">
                  <c:v>3661.6593030373506</c:v>
                </c:pt>
                <c:pt idx="7">
                  <c:v>3620.3691206946369</c:v>
                </c:pt>
                <c:pt idx="8">
                  <c:v>3455.9903259364196</c:v>
                </c:pt>
                <c:pt idx="9">
                  <c:v>3435.1827295512644</c:v>
                </c:pt>
                <c:pt idx="10">
                  <c:v>3388.9169995444304</c:v>
                </c:pt>
                <c:pt idx="11">
                  <c:v>3324.7251138627344</c:v>
                </c:pt>
              </c:numCache>
            </c:numRef>
          </c:val>
          <c:smooth val="0"/>
          <c:extLst>
            <c:ext xmlns:c16="http://schemas.microsoft.com/office/drawing/2014/chart" uri="{C3380CC4-5D6E-409C-BE32-E72D297353CC}">
              <c16:uniqueId val="{00000000-D7EE-4CCA-8CFA-4FD45F636E1E}"/>
            </c:ext>
          </c:extLst>
        </c:ser>
        <c:ser>
          <c:idx val="9"/>
          <c:order val="1"/>
          <c:tx>
            <c:strRef>
              <c:f>Entrant_need_figures!$B$97</c:f>
              <c:strCache>
                <c:ptCount val="1"/>
                <c:pt idx="0">
                  <c:v>ENGLISH Scenario Selected</c:v>
                </c:pt>
              </c:strCache>
            </c:strRef>
          </c:tx>
          <c:spPr>
            <a:ln>
              <a:solidFill>
                <a:srgbClr val="00206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Entrant_need_figures!$C$97:$N$97</c:f>
              <c:numCache>
                <c:formatCode>#,##0</c:formatCode>
                <c:ptCount val="12"/>
                <c:pt idx="0">
                  <c:v>3778.1104864577228</c:v>
                </c:pt>
                <c:pt idx="1">
                  <c:v>3599.4228192505816</c:v>
                </c:pt>
                <c:pt idx="2">
                  <c:v>3862.8994883252717</c:v>
                </c:pt>
                <c:pt idx="3">
                  <c:v>3701.4082860658532</c:v>
                </c:pt>
                <c:pt idx="4">
                  <c:v>3615.2957762173473</c:v>
                </c:pt>
                <c:pt idx="5">
                  <c:v>3630.9258555009756</c:v>
                </c:pt>
                <c:pt idx="6">
                  <c:v>3661.6593030373506</c:v>
                </c:pt>
                <c:pt idx="7">
                  <c:v>3620.3691206946369</c:v>
                </c:pt>
                <c:pt idx="8">
                  <c:v>3455.9903259364196</c:v>
                </c:pt>
                <c:pt idx="9">
                  <c:v>3435.1827295512644</c:v>
                </c:pt>
                <c:pt idx="10">
                  <c:v>3388.9169995444304</c:v>
                </c:pt>
                <c:pt idx="11">
                  <c:v>3324.7251138627344</c:v>
                </c:pt>
              </c:numCache>
            </c:numRef>
          </c:val>
          <c:smooth val="0"/>
          <c:extLst>
            <c:ext xmlns:c16="http://schemas.microsoft.com/office/drawing/2014/chart" uri="{C3380CC4-5D6E-409C-BE32-E72D297353CC}">
              <c16:uniqueId val="{00000001-D7EE-4CCA-8CFA-4FD45F636E1E}"/>
            </c:ext>
          </c:extLst>
        </c:ser>
        <c:ser>
          <c:idx val="32"/>
          <c:order val="2"/>
          <c:tx>
            <c:strRef>
              <c:f>Entrant_need_figures!$B$122</c:f>
              <c:strCache>
                <c:ptCount val="1"/>
                <c:pt idx="0">
                  <c:v>MATHEMATICS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Entrant_need_figures!$C$122:$N$122</c:f>
              <c:numCache>
                <c:formatCode>#,##0</c:formatCode>
                <c:ptCount val="12"/>
                <c:pt idx="0">
                  <c:v>4533.0586834746464</c:v>
                </c:pt>
                <c:pt idx="1">
                  <c:v>4151.1912952787143</c:v>
                </c:pt>
                <c:pt idx="2">
                  <c:v>4253.0396385280801</c:v>
                </c:pt>
                <c:pt idx="3">
                  <c:v>4116.8985425687888</c:v>
                </c:pt>
                <c:pt idx="4">
                  <c:v>4076.1032526889899</c:v>
                </c:pt>
                <c:pt idx="5">
                  <c:v>3972.780827279938</c:v>
                </c:pt>
                <c:pt idx="6">
                  <c:v>3999.0652238733483</c:v>
                </c:pt>
                <c:pt idx="7">
                  <c:v>3952.3341882604354</c:v>
                </c:pt>
                <c:pt idx="8">
                  <c:v>3780.3366397170557</c:v>
                </c:pt>
                <c:pt idx="9">
                  <c:v>3737.8028243573672</c:v>
                </c:pt>
                <c:pt idx="10">
                  <c:v>3678.4063194105711</c:v>
                </c:pt>
                <c:pt idx="11">
                  <c:v>3612.9428403986103</c:v>
                </c:pt>
              </c:numCache>
            </c:numRef>
          </c:val>
          <c:smooth val="0"/>
          <c:extLst>
            <c:ext xmlns:c16="http://schemas.microsoft.com/office/drawing/2014/chart" uri="{C3380CC4-5D6E-409C-BE32-E72D297353CC}">
              <c16:uniqueId val="{00000002-D7EE-4CCA-8CFA-4FD45F636E1E}"/>
            </c:ext>
          </c:extLst>
        </c:ser>
        <c:ser>
          <c:idx val="12"/>
          <c:order val="3"/>
          <c:tx>
            <c:strRef>
              <c:f>Entrant_need_figures!$B$101</c:f>
              <c:strCache>
                <c:ptCount val="1"/>
                <c:pt idx="0">
                  <c:v>MATHEMATICS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Entrant_need_figures!$C$101:$N$101</c:f>
              <c:numCache>
                <c:formatCode>#,##0</c:formatCode>
                <c:ptCount val="12"/>
                <c:pt idx="0">
                  <c:v>4533.0586834746464</c:v>
                </c:pt>
                <c:pt idx="1">
                  <c:v>4151.1912952787143</c:v>
                </c:pt>
                <c:pt idx="2">
                  <c:v>4253.0396385280801</c:v>
                </c:pt>
                <c:pt idx="3">
                  <c:v>4116.8985425687888</c:v>
                </c:pt>
                <c:pt idx="4">
                  <c:v>4076.1032526889899</c:v>
                </c:pt>
                <c:pt idx="5">
                  <c:v>3972.780827279938</c:v>
                </c:pt>
                <c:pt idx="6">
                  <c:v>3999.0652238733483</c:v>
                </c:pt>
                <c:pt idx="7">
                  <c:v>3952.3341882604354</c:v>
                </c:pt>
                <c:pt idx="8">
                  <c:v>3780.3366397170557</c:v>
                </c:pt>
                <c:pt idx="9">
                  <c:v>3737.8028243573672</c:v>
                </c:pt>
                <c:pt idx="10">
                  <c:v>3678.4063194105711</c:v>
                </c:pt>
                <c:pt idx="11">
                  <c:v>3612.9428403986103</c:v>
                </c:pt>
              </c:numCache>
            </c:numRef>
          </c:val>
          <c:smooth val="0"/>
          <c:extLst>
            <c:ext xmlns:c16="http://schemas.microsoft.com/office/drawing/2014/chart" uri="{C3380CC4-5D6E-409C-BE32-E72D297353CC}">
              <c16:uniqueId val="{00000003-D7EE-4CCA-8CFA-4FD45F636E1E}"/>
            </c:ext>
          </c:extLst>
        </c:ser>
        <c:dLbls>
          <c:showLegendKey val="0"/>
          <c:showVal val="0"/>
          <c:showCatName val="0"/>
          <c:showSerName val="0"/>
          <c:showPercent val="0"/>
          <c:showBubbleSize val="0"/>
        </c:dLbls>
        <c:smooth val="0"/>
        <c:axId val="148251776"/>
        <c:axId val="148253312"/>
      </c:lineChart>
      <c:catAx>
        <c:axId val="14825177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53312"/>
        <c:crosses val="autoZero"/>
        <c:auto val="1"/>
        <c:lblAlgn val="ctr"/>
        <c:lblOffset val="100"/>
        <c:noMultiLvlLbl val="0"/>
      </c:catAx>
      <c:valAx>
        <c:axId val="148253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51776"/>
        <c:crosses val="autoZero"/>
        <c:crossBetween val="between"/>
      </c:valAx>
      <c:spPr>
        <a:ln>
          <a:solidFill>
            <a:schemeClr val="tx1">
              <a:lumMod val="95000"/>
              <a:lumOff val="5000"/>
            </a:schemeClr>
          </a:solidFill>
        </a:ln>
      </c:spPr>
    </c:plotArea>
    <c:legend>
      <c:legendPos val="r"/>
      <c:layout>
        <c:manualLayout>
          <c:xMode val="edge"/>
          <c:yMode val="edge"/>
          <c:x val="0.6895983723511071"/>
          <c:y val="0.10380622837370242"/>
          <c:w val="0.28859113248427837"/>
          <c:h val="0.78200692041522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5338724551323"/>
          <c:y val="4.2416503094706286E-2"/>
          <c:w val="0.62704156912818321"/>
          <c:h val="0.78292654678910123"/>
        </c:manualLayout>
      </c:layout>
      <c:lineChart>
        <c:grouping val="standard"/>
        <c:varyColors val="0"/>
        <c:ser>
          <c:idx val="19"/>
          <c:order val="0"/>
          <c:tx>
            <c:strRef>
              <c:f>Leavers_over_time!$B$34</c:f>
              <c:strCache>
                <c:ptCount val="1"/>
                <c:pt idx="0">
                  <c:v>Total Leavers</c:v>
                </c:pt>
              </c:strCache>
            </c:strRef>
          </c:tx>
          <c:spPr>
            <a:ln>
              <a:solidFill>
                <a:srgbClr val="FF0000"/>
              </a:solidFill>
            </a:ln>
          </c:spPr>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Leavers_over_time!$C$34:$N$34</c:f>
              <c:numCache>
                <c:formatCode>#,##0</c:formatCode>
                <c:ptCount val="12"/>
                <c:pt idx="0">
                  <c:v>47943.260431805633</c:v>
                </c:pt>
                <c:pt idx="1">
                  <c:v>47970.569765664412</c:v>
                </c:pt>
                <c:pt idx="2">
                  <c:v>47856.548660209533</c:v>
                </c:pt>
                <c:pt idx="3">
                  <c:v>47838.695368345587</c:v>
                </c:pt>
                <c:pt idx="4">
                  <c:v>47873.349792083594</c:v>
                </c:pt>
                <c:pt idx="5">
                  <c:v>47948.603429307914</c:v>
                </c:pt>
                <c:pt idx="6">
                  <c:v>48057.367411126099</c:v>
                </c:pt>
                <c:pt idx="7">
                  <c:v>48199.054969178484</c:v>
                </c:pt>
                <c:pt idx="8">
                  <c:v>48317.457356028521</c:v>
                </c:pt>
                <c:pt idx="9">
                  <c:v>48390.79535957695</c:v>
                </c:pt>
                <c:pt idx="10">
                  <c:v>48479.117227976123</c:v>
                </c:pt>
                <c:pt idx="11">
                  <c:v>48540.993609760895</c:v>
                </c:pt>
              </c:numCache>
            </c:numRef>
          </c:val>
          <c:smooth val="0"/>
          <c:extLst>
            <c:ext xmlns:c16="http://schemas.microsoft.com/office/drawing/2014/chart" uri="{C3380CC4-5D6E-409C-BE32-E72D297353CC}">
              <c16:uniqueId val="{00000000-415B-4760-A8F2-A005DED1A332}"/>
            </c:ext>
          </c:extLst>
        </c:ser>
        <c:ser>
          <c:idx val="0"/>
          <c:order val="1"/>
          <c:tx>
            <c:strRef>
              <c:f>Leavers_over_time!$B$14</c:f>
              <c:strCache>
                <c:ptCount val="1"/>
                <c:pt idx="0">
                  <c:v>Primary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Leavers_over_time!$C$14:$N$14</c:f>
              <c:numCache>
                <c:formatCode>#,##0</c:formatCode>
                <c:ptCount val="12"/>
                <c:pt idx="0">
                  <c:v>24480.216651135612</c:v>
                </c:pt>
                <c:pt idx="1">
                  <c:v>24578.475696386551</c:v>
                </c:pt>
                <c:pt idx="2">
                  <c:v>24557.665343385146</c:v>
                </c:pt>
                <c:pt idx="3">
                  <c:v>24489.006125456497</c:v>
                </c:pt>
                <c:pt idx="4">
                  <c:v>24393.522064596204</c:v>
                </c:pt>
                <c:pt idx="5">
                  <c:v>24351.019964927753</c:v>
                </c:pt>
                <c:pt idx="6">
                  <c:v>24313.92432163619</c:v>
                </c:pt>
                <c:pt idx="7">
                  <c:v>24265.980578809656</c:v>
                </c:pt>
                <c:pt idx="8">
                  <c:v>24213.306306154518</c:v>
                </c:pt>
                <c:pt idx="9">
                  <c:v>24230.219712033257</c:v>
                </c:pt>
                <c:pt idx="10">
                  <c:v>24295.593809340106</c:v>
                </c:pt>
                <c:pt idx="11">
                  <c:v>24368.77359976435</c:v>
                </c:pt>
              </c:numCache>
            </c:numRef>
          </c:val>
          <c:smooth val="0"/>
          <c:extLst>
            <c:ext xmlns:c16="http://schemas.microsoft.com/office/drawing/2014/chart" uri="{C3380CC4-5D6E-409C-BE32-E72D297353CC}">
              <c16:uniqueId val="{00000001-415B-4760-A8F2-A005DED1A332}"/>
            </c:ext>
          </c:extLst>
        </c:ser>
        <c:dLbls>
          <c:showLegendKey val="0"/>
          <c:showVal val="0"/>
          <c:showCatName val="0"/>
          <c:showSerName val="0"/>
          <c:showPercent val="0"/>
          <c:showBubbleSize val="0"/>
        </c:dLbls>
        <c:smooth val="0"/>
        <c:axId val="168728832"/>
        <c:axId val="168742912"/>
      </c:lineChart>
      <c:catAx>
        <c:axId val="168728832"/>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8742912"/>
        <c:crosses val="autoZero"/>
        <c:auto val="1"/>
        <c:lblAlgn val="ctr"/>
        <c:lblOffset val="100"/>
        <c:noMultiLvlLbl val="0"/>
      </c:catAx>
      <c:valAx>
        <c:axId val="1687429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8728832"/>
        <c:crosses val="autoZero"/>
        <c:crossBetween val="between"/>
      </c:valAx>
      <c:spPr>
        <a:ln>
          <a:solidFill>
            <a:schemeClr val="tx1">
              <a:lumMod val="95000"/>
              <a:lumOff val="5000"/>
            </a:schemeClr>
          </a:solidFill>
        </a:ln>
      </c:spPr>
    </c:plotArea>
    <c:legend>
      <c:legendPos val="r"/>
      <c:layout>
        <c:manualLayout>
          <c:xMode val="edge"/>
          <c:yMode val="edge"/>
          <c:x val="0.74340342352197897"/>
          <c:y val="3.961762976349268E-2"/>
          <c:w val="0.22186322024771135"/>
          <c:h val="0.8428971788362520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32522071104748"/>
          <c:y val="4.2416503094706286E-2"/>
          <c:w val="0.6226652382259189"/>
          <c:h val="0.78292654678910123"/>
        </c:manualLayout>
      </c:layout>
      <c:lineChart>
        <c:grouping val="standard"/>
        <c:varyColors val="0"/>
        <c:ser>
          <c:idx val="1"/>
          <c:order val="0"/>
          <c:tx>
            <c:strRef>
              <c:f>Leavers_over_time!$B$15</c:f>
              <c:strCache>
                <c:ptCount val="1"/>
                <c:pt idx="0">
                  <c:v>Art &amp; Design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Leavers_over_time!$C$15:$N$15</c:f>
              <c:numCache>
                <c:formatCode>#,##0</c:formatCode>
                <c:ptCount val="12"/>
                <c:pt idx="0">
                  <c:v>911.63532725141374</c:v>
                </c:pt>
                <c:pt idx="1">
                  <c:v>896.5752694505353</c:v>
                </c:pt>
                <c:pt idx="2">
                  <c:v>895.85019534626258</c:v>
                </c:pt>
                <c:pt idx="3">
                  <c:v>884.53187899823195</c:v>
                </c:pt>
                <c:pt idx="4">
                  <c:v>875.96180546005689</c:v>
                </c:pt>
                <c:pt idx="5">
                  <c:v>879.73697945442382</c:v>
                </c:pt>
                <c:pt idx="6">
                  <c:v>885.19723670264818</c:v>
                </c:pt>
                <c:pt idx="7">
                  <c:v>890.74210978824499</c:v>
                </c:pt>
                <c:pt idx="8">
                  <c:v>897.08183130895895</c:v>
                </c:pt>
                <c:pt idx="9">
                  <c:v>898.71780033648997</c:v>
                </c:pt>
                <c:pt idx="10">
                  <c:v>896.24390963771771</c:v>
                </c:pt>
                <c:pt idx="11">
                  <c:v>892.04109954775254</c:v>
                </c:pt>
              </c:numCache>
            </c:numRef>
          </c:val>
          <c:smooth val="0"/>
          <c:extLst>
            <c:ext xmlns:c16="http://schemas.microsoft.com/office/drawing/2014/chart" uri="{C3380CC4-5D6E-409C-BE32-E72D297353CC}">
              <c16:uniqueId val="{00000000-B683-4F42-B2F1-F95497D58647}"/>
            </c:ext>
          </c:extLst>
        </c:ser>
        <c:ser>
          <c:idx val="2"/>
          <c:order val="1"/>
          <c:tx>
            <c:strRef>
              <c:f>Leavers_over_time!$B$16</c:f>
              <c:strCache>
                <c:ptCount val="1"/>
                <c:pt idx="0">
                  <c:v>Biology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Leavers_over_time!$C$16:$N$16</c:f>
              <c:numCache>
                <c:formatCode>#,##0</c:formatCode>
                <c:ptCount val="12"/>
                <c:pt idx="0">
                  <c:v>1322.9866398082563</c:v>
                </c:pt>
                <c:pt idx="1">
                  <c:v>1387.2916181410346</c:v>
                </c:pt>
                <c:pt idx="2">
                  <c:v>1389.2049495935337</c:v>
                </c:pt>
                <c:pt idx="3">
                  <c:v>1401.2797904940603</c:v>
                </c:pt>
                <c:pt idx="4">
                  <c:v>1414.9995301965653</c:v>
                </c:pt>
                <c:pt idx="5">
                  <c:v>1426.9218290267952</c:v>
                </c:pt>
                <c:pt idx="6">
                  <c:v>1442.4144494850823</c:v>
                </c:pt>
                <c:pt idx="7">
                  <c:v>1461.9112839987133</c:v>
                </c:pt>
                <c:pt idx="8">
                  <c:v>1476.1841400079873</c:v>
                </c:pt>
                <c:pt idx="9">
                  <c:v>1484.0789467403513</c:v>
                </c:pt>
                <c:pt idx="10">
                  <c:v>1493.1410845314413</c:v>
                </c:pt>
                <c:pt idx="11">
                  <c:v>1499.9636494630213</c:v>
                </c:pt>
              </c:numCache>
            </c:numRef>
          </c:val>
          <c:smooth val="0"/>
          <c:extLst>
            <c:ext xmlns:c16="http://schemas.microsoft.com/office/drawing/2014/chart" uri="{C3380CC4-5D6E-409C-BE32-E72D297353CC}">
              <c16:uniqueId val="{00000001-B683-4F42-B2F1-F95497D58647}"/>
            </c:ext>
          </c:extLst>
        </c:ser>
        <c:ser>
          <c:idx val="3"/>
          <c:order val="2"/>
          <c:tx>
            <c:strRef>
              <c:f>Leavers_over_time!$B$17</c:f>
              <c:strCache>
                <c:ptCount val="1"/>
                <c:pt idx="0">
                  <c:v>Business Studies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Leavers_over_time!$C$17:$N$17</c:f>
              <c:numCache>
                <c:formatCode>#,##0</c:formatCode>
                <c:ptCount val="12"/>
                <c:pt idx="0">
                  <c:v>440.22891791401366</c:v>
                </c:pt>
                <c:pt idx="1">
                  <c:v>430.72635059878121</c:v>
                </c:pt>
                <c:pt idx="2">
                  <c:v>423.12166087913124</c:v>
                </c:pt>
                <c:pt idx="3">
                  <c:v>404.55959639083574</c:v>
                </c:pt>
                <c:pt idx="4">
                  <c:v>387.30737170768276</c:v>
                </c:pt>
                <c:pt idx="5">
                  <c:v>384.74485671096852</c:v>
                </c:pt>
                <c:pt idx="6">
                  <c:v>388.28198447762105</c:v>
                </c:pt>
                <c:pt idx="7">
                  <c:v>394.93749632225536</c:v>
                </c:pt>
                <c:pt idx="8">
                  <c:v>399.24754623374662</c:v>
                </c:pt>
                <c:pt idx="9">
                  <c:v>404.37008526252959</c:v>
                </c:pt>
                <c:pt idx="10">
                  <c:v>410.23178703066162</c:v>
                </c:pt>
                <c:pt idx="11">
                  <c:v>415.56049785685281</c:v>
                </c:pt>
              </c:numCache>
            </c:numRef>
          </c:val>
          <c:smooth val="0"/>
          <c:extLst>
            <c:ext xmlns:c16="http://schemas.microsoft.com/office/drawing/2014/chart" uri="{C3380CC4-5D6E-409C-BE32-E72D297353CC}">
              <c16:uniqueId val="{00000002-B683-4F42-B2F1-F95497D58647}"/>
            </c:ext>
          </c:extLst>
        </c:ser>
        <c:ser>
          <c:idx val="4"/>
          <c:order val="3"/>
          <c:tx>
            <c:strRef>
              <c:f>Leavers_over_time!$B$18</c:f>
              <c:strCache>
                <c:ptCount val="1"/>
                <c:pt idx="0">
                  <c:v>Chemistry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Leavers_over_time!$C$18:$N$18</c:f>
              <c:numCache>
                <c:formatCode>#,##0</c:formatCode>
                <c:ptCount val="12"/>
                <c:pt idx="0">
                  <c:v>1190.9117191971227</c:v>
                </c:pt>
                <c:pt idx="1">
                  <c:v>1238.8300897902864</c:v>
                </c:pt>
                <c:pt idx="2">
                  <c:v>1238.9307635004859</c:v>
                </c:pt>
                <c:pt idx="3">
                  <c:v>1247.3716147150742</c:v>
                </c:pt>
                <c:pt idx="4">
                  <c:v>1255.8102268203659</c:v>
                </c:pt>
                <c:pt idx="5">
                  <c:v>1262.0394150722227</c:v>
                </c:pt>
                <c:pt idx="6">
                  <c:v>1271.4421490993409</c:v>
                </c:pt>
                <c:pt idx="7">
                  <c:v>1284.5869920876103</c:v>
                </c:pt>
                <c:pt idx="8">
                  <c:v>1292.5193535288254</c:v>
                </c:pt>
                <c:pt idx="9">
                  <c:v>1295.3497923906443</c:v>
                </c:pt>
                <c:pt idx="10">
                  <c:v>1300.6110687424775</c:v>
                </c:pt>
                <c:pt idx="11">
                  <c:v>1304.4973944307153</c:v>
                </c:pt>
              </c:numCache>
            </c:numRef>
          </c:val>
          <c:smooth val="0"/>
          <c:extLst>
            <c:ext xmlns:c16="http://schemas.microsoft.com/office/drawing/2014/chart" uri="{C3380CC4-5D6E-409C-BE32-E72D297353CC}">
              <c16:uniqueId val="{00000003-B683-4F42-B2F1-F95497D58647}"/>
            </c:ext>
          </c:extLst>
        </c:ser>
        <c:ser>
          <c:idx val="5"/>
          <c:order val="4"/>
          <c:tx>
            <c:strRef>
              <c:f>Leavers_over_time!$B$19</c:f>
              <c:strCache>
                <c:ptCount val="1"/>
                <c:pt idx="0">
                  <c:v>Classics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Leavers_over_time!$C$19:$N$19</c:f>
              <c:numCache>
                <c:formatCode>#,##0</c:formatCode>
                <c:ptCount val="12"/>
                <c:pt idx="0">
                  <c:v>45.908348981919545</c:v>
                </c:pt>
                <c:pt idx="1">
                  <c:v>41.689777034301187</c:v>
                </c:pt>
                <c:pt idx="2">
                  <c:v>38.984875147763262</c:v>
                </c:pt>
                <c:pt idx="3">
                  <c:v>37.137822135873719</c:v>
                </c:pt>
                <c:pt idx="4">
                  <c:v>35.931352614171864</c:v>
                </c:pt>
                <c:pt idx="5">
                  <c:v>35.170654136799591</c:v>
                </c:pt>
                <c:pt idx="6">
                  <c:v>34.776523738941123</c:v>
                </c:pt>
                <c:pt idx="7">
                  <c:v>34.687943957879092</c:v>
                </c:pt>
                <c:pt idx="8">
                  <c:v>34.721380288868154</c:v>
                </c:pt>
                <c:pt idx="9">
                  <c:v>34.787661269613189</c:v>
                </c:pt>
                <c:pt idx="10">
                  <c:v>34.822403032565312</c:v>
                </c:pt>
                <c:pt idx="11">
                  <c:v>34.856242735737283</c:v>
                </c:pt>
              </c:numCache>
            </c:numRef>
          </c:val>
          <c:smooth val="0"/>
          <c:extLst>
            <c:ext xmlns:c16="http://schemas.microsoft.com/office/drawing/2014/chart" uri="{C3380CC4-5D6E-409C-BE32-E72D297353CC}">
              <c16:uniqueId val="{00000004-B683-4F42-B2F1-F95497D58647}"/>
            </c:ext>
          </c:extLst>
        </c:ser>
        <c:ser>
          <c:idx val="6"/>
          <c:order val="5"/>
          <c:tx>
            <c:strRef>
              <c:f>Leavers_over_time!$B$20</c:f>
              <c:strCache>
                <c:ptCount val="1"/>
                <c:pt idx="0">
                  <c:v>Computing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Leavers_over_time!$C$20:$N$20</c:f>
              <c:numCache>
                <c:formatCode>#,##0</c:formatCode>
                <c:ptCount val="12"/>
                <c:pt idx="0">
                  <c:v>831.40871838497844</c:v>
                </c:pt>
                <c:pt idx="1">
                  <c:v>819.1719771460871</c:v>
                </c:pt>
                <c:pt idx="2">
                  <c:v>822.51423118106936</c:v>
                </c:pt>
                <c:pt idx="3">
                  <c:v>797.74404058199116</c:v>
                </c:pt>
                <c:pt idx="4">
                  <c:v>774.03332017097875</c:v>
                </c:pt>
                <c:pt idx="5">
                  <c:v>775.59963872007688</c:v>
                </c:pt>
                <c:pt idx="6">
                  <c:v>783.49554749694641</c:v>
                </c:pt>
                <c:pt idx="7">
                  <c:v>791.68336183038775</c:v>
                </c:pt>
                <c:pt idx="8">
                  <c:v>799.29720896500453</c:v>
                </c:pt>
                <c:pt idx="9">
                  <c:v>802.68686471274737</c:v>
                </c:pt>
                <c:pt idx="10">
                  <c:v>803.30096604071446</c:v>
                </c:pt>
                <c:pt idx="11">
                  <c:v>802.3047747910955</c:v>
                </c:pt>
              </c:numCache>
            </c:numRef>
          </c:val>
          <c:smooth val="0"/>
          <c:extLst>
            <c:ext xmlns:c16="http://schemas.microsoft.com/office/drawing/2014/chart" uri="{C3380CC4-5D6E-409C-BE32-E72D297353CC}">
              <c16:uniqueId val="{00000005-B683-4F42-B2F1-F95497D58647}"/>
            </c:ext>
          </c:extLst>
        </c:ser>
        <c:dLbls>
          <c:showLegendKey val="0"/>
          <c:showVal val="0"/>
          <c:showCatName val="0"/>
          <c:showSerName val="0"/>
          <c:showPercent val="0"/>
          <c:showBubbleSize val="0"/>
        </c:dLbls>
        <c:smooth val="0"/>
        <c:axId val="169437056"/>
        <c:axId val="169438592"/>
      </c:lineChart>
      <c:catAx>
        <c:axId val="16943705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438592"/>
        <c:crosses val="autoZero"/>
        <c:auto val="1"/>
        <c:lblAlgn val="ctr"/>
        <c:lblOffset val="100"/>
        <c:noMultiLvlLbl val="0"/>
      </c:catAx>
      <c:valAx>
        <c:axId val="16943859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37056"/>
        <c:crosses val="autoZero"/>
        <c:crossBetween val="between"/>
      </c:valAx>
      <c:spPr>
        <a:ln>
          <a:solidFill>
            <a:schemeClr val="tx1">
              <a:lumMod val="95000"/>
              <a:lumOff val="5000"/>
            </a:schemeClr>
          </a:solidFill>
        </a:ln>
      </c:spPr>
    </c:plotArea>
    <c:legend>
      <c:legendPos val="r"/>
      <c:layout>
        <c:manualLayout>
          <c:xMode val="edge"/>
          <c:yMode val="edge"/>
          <c:x val="0.7649885328492243"/>
          <c:y val="1.6348773841961851E-2"/>
          <c:w val="0.21982437400635924"/>
          <c:h val="0.9346049046321526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15854437114295E-2"/>
          <c:y val="4.2416503094706286E-2"/>
          <c:w val="0.62657314282855026"/>
          <c:h val="0.78292654678910123"/>
        </c:manualLayout>
      </c:layout>
      <c:lineChart>
        <c:grouping val="standard"/>
        <c:varyColors val="0"/>
        <c:ser>
          <c:idx val="7"/>
          <c:order val="0"/>
          <c:tx>
            <c:strRef>
              <c:f>Leavers_over_time!$B$21</c:f>
              <c:strCache>
                <c:ptCount val="1"/>
                <c:pt idx="0">
                  <c:v>Design &amp; Technology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Leavers_over_time!$C$21:$N$21</c:f>
              <c:numCache>
                <c:formatCode>#,##0</c:formatCode>
                <c:ptCount val="12"/>
                <c:pt idx="0">
                  <c:v>1256.3735489728915</c:v>
                </c:pt>
                <c:pt idx="1">
                  <c:v>1225.1408138990064</c:v>
                </c:pt>
                <c:pt idx="2">
                  <c:v>1204.9918839483114</c:v>
                </c:pt>
                <c:pt idx="3">
                  <c:v>1153.7523515913174</c:v>
                </c:pt>
                <c:pt idx="4">
                  <c:v>1108.6503990640635</c:v>
                </c:pt>
                <c:pt idx="5">
                  <c:v>1092.4187195610525</c:v>
                </c:pt>
                <c:pt idx="6">
                  <c:v>1086.6942056439093</c:v>
                </c:pt>
                <c:pt idx="7">
                  <c:v>1081.5043915596264</c:v>
                </c:pt>
                <c:pt idx="8">
                  <c:v>1080.8921108434306</c:v>
                </c:pt>
                <c:pt idx="9">
                  <c:v>1074.5873274573271</c:v>
                </c:pt>
                <c:pt idx="10">
                  <c:v>1063.2061874472704</c:v>
                </c:pt>
                <c:pt idx="11">
                  <c:v>1050.7802383567109</c:v>
                </c:pt>
              </c:numCache>
            </c:numRef>
          </c:val>
          <c:smooth val="0"/>
          <c:extLst>
            <c:ext xmlns:c16="http://schemas.microsoft.com/office/drawing/2014/chart" uri="{C3380CC4-5D6E-409C-BE32-E72D297353CC}">
              <c16:uniqueId val="{00000000-A483-4098-859C-51FC1A739AEF}"/>
            </c:ext>
          </c:extLst>
        </c:ser>
        <c:ser>
          <c:idx val="8"/>
          <c:order val="1"/>
          <c:tx>
            <c:strRef>
              <c:f>Leavers_over_time!$B$22</c:f>
              <c:strCache>
                <c:ptCount val="1"/>
                <c:pt idx="0">
                  <c:v>Drama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Leavers_over_time!$C$22:$N$22</c:f>
              <c:numCache>
                <c:formatCode>#,##0</c:formatCode>
                <c:ptCount val="12"/>
                <c:pt idx="0">
                  <c:v>514.55432284894368</c:v>
                </c:pt>
                <c:pt idx="1">
                  <c:v>507.29275139328416</c:v>
                </c:pt>
                <c:pt idx="2">
                  <c:v>506.38906375025726</c:v>
                </c:pt>
                <c:pt idx="3">
                  <c:v>503.51471962405287</c:v>
                </c:pt>
                <c:pt idx="4">
                  <c:v>503.41597126955264</c:v>
                </c:pt>
                <c:pt idx="5">
                  <c:v>504.17792077211618</c:v>
                </c:pt>
                <c:pt idx="6">
                  <c:v>509.86540873056367</c:v>
                </c:pt>
                <c:pt idx="7">
                  <c:v>515.74083990884469</c:v>
                </c:pt>
                <c:pt idx="8">
                  <c:v>522.46647626143124</c:v>
                </c:pt>
                <c:pt idx="9">
                  <c:v>526.10164305163676</c:v>
                </c:pt>
                <c:pt idx="10">
                  <c:v>527.09565094999766</c:v>
                </c:pt>
                <c:pt idx="11">
                  <c:v>526.87702983482382</c:v>
                </c:pt>
              </c:numCache>
            </c:numRef>
          </c:val>
          <c:smooth val="0"/>
          <c:extLst>
            <c:ext xmlns:c16="http://schemas.microsoft.com/office/drawing/2014/chart" uri="{C3380CC4-5D6E-409C-BE32-E72D297353CC}">
              <c16:uniqueId val="{00000001-A483-4098-859C-51FC1A739AEF}"/>
            </c:ext>
          </c:extLst>
        </c:ser>
        <c:ser>
          <c:idx val="9"/>
          <c:order val="2"/>
          <c:tx>
            <c:strRef>
              <c:f>Leavers_over_time!$B$23</c:f>
              <c:strCache>
                <c:ptCount val="1"/>
                <c:pt idx="0">
                  <c:v>English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Leavers_over_time!$C$23:$N$23</c:f>
              <c:numCache>
                <c:formatCode>#,##0</c:formatCode>
                <c:ptCount val="12"/>
                <c:pt idx="0">
                  <c:v>3317.3065464847987</c:v>
                </c:pt>
                <c:pt idx="1">
                  <c:v>3311.4522274498577</c:v>
                </c:pt>
                <c:pt idx="2">
                  <c:v>3295.2558806829338</c:v>
                </c:pt>
                <c:pt idx="3">
                  <c:v>3303.8247895635436</c:v>
                </c:pt>
                <c:pt idx="4">
                  <c:v>3321.9794105514275</c:v>
                </c:pt>
                <c:pt idx="5">
                  <c:v>3337.448884654149</c:v>
                </c:pt>
                <c:pt idx="6">
                  <c:v>3359.7582422308105</c:v>
                </c:pt>
                <c:pt idx="7">
                  <c:v>3387.8151570893042</c:v>
                </c:pt>
                <c:pt idx="8">
                  <c:v>3411.4883690848524</c:v>
                </c:pt>
                <c:pt idx="9">
                  <c:v>3416.758287776041</c:v>
                </c:pt>
                <c:pt idx="10">
                  <c:v>3420.8796701569358</c:v>
                </c:pt>
                <c:pt idx="11">
                  <c:v>3420.4718204988367</c:v>
                </c:pt>
              </c:numCache>
            </c:numRef>
          </c:val>
          <c:smooth val="0"/>
          <c:extLst>
            <c:ext xmlns:c16="http://schemas.microsoft.com/office/drawing/2014/chart" uri="{C3380CC4-5D6E-409C-BE32-E72D297353CC}">
              <c16:uniqueId val="{00000002-A483-4098-859C-51FC1A739AEF}"/>
            </c:ext>
          </c:extLst>
        </c:ser>
        <c:ser>
          <c:idx val="0"/>
          <c:order val="3"/>
          <c:tx>
            <c:strRef>
              <c:f>Leavers_over_time!$B$24</c:f>
              <c:strCache>
                <c:ptCount val="1"/>
                <c:pt idx="0">
                  <c:v>Food Leavers</c:v>
                </c:pt>
              </c:strCache>
            </c:strRef>
          </c:tx>
          <c:marker>
            <c:symbol val="none"/>
          </c:marker>
          <c:val>
            <c:numRef>
              <c:f>Leavers_over_time!$C$24:$N$24</c:f>
              <c:numCache>
                <c:formatCode>#,##0</c:formatCode>
                <c:ptCount val="12"/>
                <c:pt idx="0">
                  <c:v>290.36442581182672</c:v>
                </c:pt>
                <c:pt idx="1">
                  <c:v>271.62590741019994</c:v>
                </c:pt>
                <c:pt idx="2">
                  <c:v>262.16061296348812</c:v>
                </c:pt>
                <c:pt idx="3">
                  <c:v>246.01242158201075</c:v>
                </c:pt>
                <c:pt idx="4">
                  <c:v>231.04643809048756</c:v>
                </c:pt>
                <c:pt idx="5">
                  <c:v>225.63100134345206</c:v>
                </c:pt>
                <c:pt idx="6">
                  <c:v>223.50296211597819</c:v>
                </c:pt>
                <c:pt idx="7">
                  <c:v>222.46522455647829</c:v>
                </c:pt>
                <c:pt idx="8">
                  <c:v>221.10485029873414</c:v>
                </c:pt>
                <c:pt idx="9">
                  <c:v>219.15613047244594</c:v>
                </c:pt>
                <c:pt idx="10">
                  <c:v>218.01352015243887</c:v>
                </c:pt>
                <c:pt idx="11">
                  <c:v>216.94335365489127</c:v>
                </c:pt>
              </c:numCache>
            </c:numRef>
          </c:val>
          <c:smooth val="0"/>
          <c:extLst>
            <c:ext xmlns:c16="http://schemas.microsoft.com/office/drawing/2014/chart" uri="{C3380CC4-5D6E-409C-BE32-E72D297353CC}">
              <c16:uniqueId val="{00000003-A483-4098-859C-51FC1A739AEF}"/>
            </c:ext>
          </c:extLst>
        </c:ser>
        <c:ser>
          <c:idx val="10"/>
          <c:order val="4"/>
          <c:tx>
            <c:strRef>
              <c:f>Leavers_over_time!$B$25</c:f>
              <c:strCache>
                <c:ptCount val="1"/>
                <c:pt idx="0">
                  <c:v>Geography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Leavers_over_time!$C$25:$N$25</c:f>
              <c:numCache>
                <c:formatCode>#,##0</c:formatCode>
                <c:ptCount val="12"/>
                <c:pt idx="0">
                  <c:v>1120.0766451035138</c:v>
                </c:pt>
                <c:pt idx="1">
                  <c:v>1103.0136488420408</c:v>
                </c:pt>
                <c:pt idx="2">
                  <c:v>1100.0289701509305</c:v>
                </c:pt>
                <c:pt idx="3">
                  <c:v>1136.319375032532</c:v>
                </c:pt>
                <c:pt idx="4">
                  <c:v>1177.8645744669245</c:v>
                </c:pt>
                <c:pt idx="5">
                  <c:v>1191.8792146251897</c:v>
                </c:pt>
                <c:pt idx="6">
                  <c:v>1202.010444938092</c:v>
                </c:pt>
                <c:pt idx="7">
                  <c:v>1213.2208577836529</c:v>
                </c:pt>
                <c:pt idx="8">
                  <c:v>1225.0738955961892</c:v>
                </c:pt>
                <c:pt idx="9">
                  <c:v>1229.5676158004023</c:v>
                </c:pt>
                <c:pt idx="10">
                  <c:v>1230.3867560037511</c:v>
                </c:pt>
                <c:pt idx="11">
                  <c:v>1228.9487883411109</c:v>
                </c:pt>
              </c:numCache>
            </c:numRef>
          </c:val>
          <c:smooth val="0"/>
          <c:extLst>
            <c:ext xmlns:c16="http://schemas.microsoft.com/office/drawing/2014/chart" uri="{C3380CC4-5D6E-409C-BE32-E72D297353CC}">
              <c16:uniqueId val="{00000004-A483-4098-859C-51FC1A739AEF}"/>
            </c:ext>
          </c:extLst>
        </c:ser>
        <c:ser>
          <c:idx val="11"/>
          <c:order val="5"/>
          <c:tx>
            <c:strRef>
              <c:f>Leavers_over_time!$B$26</c:f>
              <c:strCache>
                <c:ptCount val="1"/>
                <c:pt idx="0">
                  <c:v>History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Leavers_over_time!$C$26:$N$26</c:f>
              <c:numCache>
                <c:formatCode>#,##0</c:formatCode>
                <c:ptCount val="12"/>
                <c:pt idx="0">
                  <c:v>1208.1805340343672</c:v>
                </c:pt>
                <c:pt idx="1">
                  <c:v>1178.6203359448532</c:v>
                </c:pt>
                <c:pt idx="2">
                  <c:v>1174.0100262695148</c:v>
                </c:pt>
                <c:pt idx="3">
                  <c:v>1203.8952835104446</c:v>
                </c:pt>
                <c:pt idx="4">
                  <c:v>1239.3025281005016</c:v>
                </c:pt>
                <c:pt idx="5">
                  <c:v>1249.9698581302828</c:v>
                </c:pt>
                <c:pt idx="6">
                  <c:v>1260.3523666766032</c:v>
                </c:pt>
                <c:pt idx="7">
                  <c:v>1272.1956953078229</c:v>
                </c:pt>
                <c:pt idx="8">
                  <c:v>1284.3241375378364</c:v>
                </c:pt>
                <c:pt idx="9">
                  <c:v>1289.3114869215522</c:v>
                </c:pt>
                <c:pt idx="10">
                  <c:v>1290.6829784554575</c:v>
                </c:pt>
                <c:pt idx="11">
                  <c:v>1289.7828163477175</c:v>
                </c:pt>
              </c:numCache>
            </c:numRef>
          </c:val>
          <c:smooth val="0"/>
          <c:extLst>
            <c:ext xmlns:c16="http://schemas.microsoft.com/office/drawing/2014/chart" uri="{C3380CC4-5D6E-409C-BE32-E72D297353CC}">
              <c16:uniqueId val="{00000005-A483-4098-859C-51FC1A739AEF}"/>
            </c:ext>
          </c:extLst>
        </c:ser>
        <c:ser>
          <c:idx val="12"/>
          <c:order val="6"/>
          <c:tx>
            <c:strRef>
              <c:f>Leavers_over_time!$B$27</c:f>
              <c:strCache>
                <c:ptCount val="1"/>
                <c:pt idx="0">
                  <c:v>Mathematics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Leavers_over_time!$C$27:$N$27</c:f>
              <c:numCache>
                <c:formatCode>#,##0</c:formatCode>
                <c:ptCount val="12"/>
                <c:pt idx="0">
                  <c:v>3554.9436771751098</c:v>
                </c:pt>
                <c:pt idx="1">
                  <c:v>3613.770064233694</c:v>
                </c:pt>
                <c:pt idx="2">
                  <c:v>3626.2693688525651</c:v>
                </c:pt>
                <c:pt idx="3">
                  <c:v>3634.4322224747184</c:v>
                </c:pt>
                <c:pt idx="4">
                  <c:v>3655.2630632906034</c:v>
                </c:pt>
                <c:pt idx="5">
                  <c:v>3674.914699109228</c:v>
                </c:pt>
                <c:pt idx="6">
                  <c:v>3685.4470150784064</c:v>
                </c:pt>
                <c:pt idx="7">
                  <c:v>3702.1520558875773</c:v>
                </c:pt>
                <c:pt idx="8">
                  <c:v>3715.034506203514</c:v>
                </c:pt>
                <c:pt idx="9">
                  <c:v>3709.7571620466215</c:v>
                </c:pt>
                <c:pt idx="10">
                  <c:v>3703.2762577767735</c:v>
                </c:pt>
                <c:pt idx="11">
                  <c:v>3693.3218872689404</c:v>
                </c:pt>
              </c:numCache>
            </c:numRef>
          </c:val>
          <c:smooth val="0"/>
          <c:extLst>
            <c:ext xmlns:c16="http://schemas.microsoft.com/office/drawing/2014/chart" uri="{C3380CC4-5D6E-409C-BE32-E72D297353CC}">
              <c16:uniqueId val="{00000006-A483-4098-859C-51FC1A739AEF}"/>
            </c:ext>
          </c:extLst>
        </c:ser>
        <c:dLbls>
          <c:showLegendKey val="0"/>
          <c:showVal val="0"/>
          <c:showCatName val="0"/>
          <c:showSerName val="0"/>
          <c:showPercent val="0"/>
          <c:showBubbleSize val="0"/>
        </c:dLbls>
        <c:smooth val="0"/>
        <c:axId val="169499264"/>
        <c:axId val="169501056"/>
      </c:lineChart>
      <c:catAx>
        <c:axId val="16949926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01056"/>
        <c:crosses val="autoZero"/>
        <c:auto val="1"/>
        <c:lblAlgn val="ctr"/>
        <c:lblOffset val="100"/>
        <c:noMultiLvlLbl val="0"/>
      </c:catAx>
      <c:valAx>
        <c:axId val="169501056"/>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499264"/>
        <c:crosses val="autoZero"/>
        <c:crossBetween val="between"/>
      </c:valAx>
      <c:spPr>
        <a:ln>
          <a:solidFill>
            <a:schemeClr val="tx1">
              <a:lumMod val="95000"/>
              <a:lumOff val="5000"/>
            </a:schemeClr>
          </a:solidFill>
        </a:ln>
      </c:spPr>
    </c:plotArea>
    <c:legend>
      <c:legendPos val="r"/>
      <c:layout>
        <c:manualLayout>
          <c:xMode val="edge"/>
          <c:yMode val="edge"/>
          <c:x val="0.73505654281098542"/>
          <c:y val="1.5759462731914958E-2"/>
          <c:w val="0.24798069869699246"/>
          <c:h val="0.9713467048710601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10473194161988"/>
          <c:y val="4.2416503094706286E-2"/>
          <c:w val="0.61101857979587892"/>
          <c:h val="0.78292654678910123"/>
        </c:manualLayout>
      </c:layout>
      <c:lineChart>
        <c:grouping val="standard"/>
        <c:varyColors val="0"/>
        <c:ser>
          <c:idx val="13"/>
          <c:order val="0"/>
          <c:tx>
            <c:strRef>
              <c:f>Leavers_over_time!$B$28</c:f>
              <c:strCache>
                <c:ptCount val="1"/>
                <c:pt idx="0">
                  <c:v>Modern Foreign Languages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Leavers_over_time!$C$28:$N$28</c:f>
              <c:numCache>
                <c:formatCode>#,##0</c:formatCode>
                <c:ptCount val="12"/>
                <c:pt idx="0">
                  <c:v>1713.2266030312906</c:v>
                </c:pt>
                <c:pt idx="1">
                  <c:v>1684.0591047576163</c:v>
                </c:pt>
                <c:pt idx="2">
                  <c:v>1682.8510506965458</c:v>
                </c:pt>
                <c:pt idx="3">
                  <c:v>1832.8004348265104</c:v>
                </c:pt>
                <c:pt idx="4">
                  <c:v>1989.3443939360545</c:v>
                </c:pt>
                <c:pt idx="5">
                  <c:v>2040.6795112984478</c:v>
                </c:pt>
                <c:pt idx="6">
                  <c:v>2047.5060343240218</c:v>
                </c:pt>
                <c:pt idx="7">
                  <c:v>2055.1445833193247</c:v>
                </c:pt>
                <c:pt idx="8">
                  <c:v>2064.0570307236067</c:v>
                </c:pt>
                <c:pt idx="9">
                  <c:v>2060.3556009370413</c:v>
                </c:pt>
                <c:pt idx="10">
                  <c:v>2051.5507796565535</c:v>
                </c:pt>
                <c:pt idx="11">
                  <c:v>2039.8330487791804</c:v>
                </c:pt>
              </c:numCache>
            </c:numRef>
          </c:val>
          <c:smooth val="0"/>
          <c:extLst>
            <c:ext xmlns:c16="http://schemas.microsoft.com/office/drawing/2014/chart" uri="{C3380CC4-5D6E-409C-BE32-E72D297353CC}">
              <c16:uniqueId val="{00000000-7123-4AD3-9FDD-D0B0AC5F313D}"/>
            </c:ext>
          </c:extLst>
        </c:ser>
        <c:ser>
          <c:idx val="14"/>
          <c:order val="1"/>
          <c:tx>
            <c:strRef>
              <c:f>Leavers_over_time!$B$29</c:f>
              <c:strCache>
                <c:ptCount val="1"/>
                <c:pt idx="0">
                  <c:v>Music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Leavers_over_time!$C$29:$N$29</c:f>
              <c:numCache>
                <c:formatCode>#,##0</c:formatCode>
                <c:ptCount val="12"/>
                <c:pt idx="0">
                  <c:v>525.99415964656555</c:v>
                </c:pt>
                <c:pt idx="1">
                  <c:v>521.33732471443295</c:v>
                </c:pt>
                <c:pt idx="2">
                  <c:v>522.50589070685419</c:v>
                </c:pt>
                <c:pt idx="3">
                  <c:v>525.50773761594564</c:v>
                </c:pt>
                <c:pt idx="4">
                  <c:v>531.26491245548505</c:v>
                </c:pt>
                <c:pt idx="5">
                  <c:v>536.39575570413922</c:v>
                </c:pt>
                <c:pt idx="6">
                  <c:v>540.64461777913755</c:v>
                </c:pt>
                <c:pt idx="7">
                  <c:v>544.35211763902646</c:v>
                </c:pt>
                <c:pt idx="8">
                  <c:v>550.23707856745682</c:v>
                </c:pt>
                <c:pt idx="9">
                  <c:v>552.36604989215368</c:v>
                </c:pt>
                <c:pt idx="10">
                  <c:v>550.63419890578064</c:v>
                </c:pt>
                <c:pt idx="11">
                  <c:v>547.67227350477333</c:v>
                </c:pt>
              </c:numCache>
            </c:numRef>
          </c:val>
          <c:smooth val="0"/>
          <c:extLst>
            <c:ext xmlns:c16="http://schemas.microsoft.com/office/drawing/2014/chart" uri="{C3380CC4-5D6E-409C-BE32-E72D297353CC}">
              <c16:uniqueId val="{00000001-7123-4AD3-9FDD-D0B0AC5F313D}"/>
            </c:ext>
          </c:extLst>
        </c:ser>
        <c:ser>
          <c:idx val="15"/>
          <c:order val="2"/>
          <c:tx>
            <c:strRef>
              <c:f>Leavers_over_time!$B$30</c:f>
              <c:strCache>
                <c:ptCount val="1"/>
                <c:pt idx="0">
                  <c:v>Others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Leavers_over_time!$C$30:$N$30</c:f>
              <c:numCache>
                <c:formatCode>#,##0</c:formatCode>
                <c:ptCount val="12"/>
                <c:pt idx="0">
                  <c:v>1636.1252969016491</c:v>
                </c:pt>
                <c:pt idx="1">
                  <c:v>1580.3605873334941</c:v>
                </c:pt>
                <c:pt idx="2">
                  <c:v>1531.2148413748926</c:v>
                </c:pt>
                <c:pt idx="3">
                  <c:v>1452.3055038220498</c:v>
                </c:pt>
                <c:pt idx="4">
                  <c:v>1386.7539652391026</c:v>
                </c:pt>
                <c:pt idx="5">
                  <c:v>1362.4969362291126</c:v>
                </c:pt>
                <c:pt idx="6">
                  <c:v>1366.119773978945</c:v>
                </c:pt>
                <c:pt idx="7">
                  <c:v>1379.8084239210366</c:v>
                </c:pt>
                <c:pt idx="8">
                  <c:v>1393.0004604874791</c:v>
                </c:pt>
                <c:pt idx="9">
                  <c:v>1408.0425281337712</c:v>
                </c:pt>
                <c:pt idx="10">
                  <c:v>1420.2895051107423</c:v>
                </c:pt>
                <c:pt idx="11">
                  <c:v>1430.7921918934735</c:v>
                </c:pt>
              </c:numCache>
            </c:numRef>
          </c:val>
          <c:smooth val="0"/>
          <c:extLst>
            <c:ext xmlns:c16="http://schemas.microsoft.com/office/drawing/2014/chart" uri="{C3380CC4-5D6E-409C-BE32-E72D297353CC}">
              <c16:uniqueId val="{00000002-7123-4AD3-9FDD-D0B0AC5F313D}"/>
            </c:ext>
          </c:extLst>
        </c:ser>
        <c:ser>
          <c:idx val="16"/>
          <c:order val="3"/>
          <c:tx>
            <c:strRef>
              <c:f>Leavers_over_time!$B$31</c:f>
              <c:strCache>
                <c:ptCount val="1"/>
                <c:pt idx="0">
                  <c:v>Physical Education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Leavers_over_time!$C$31:$N$31</c:f>
              <c:numCache>
                <c:formatCode>#,##0</c:formatCode>
                <c:ptCount val="12"/>
                <c:pt idx="0">
                  <c:v>1590.9190332360974</c:v>
                </c:pt>
                <c:pt idx="1">
                  <c:v>1566.679272105167</c:v>
                </c:pt>
                <c:pt idx="2">
                  <c:v>1580.6906999005325</c:v>
                </c:pt>
                <c:pt idx="3">
                  <c:v>1575.6102364556696</c:v>
                </c:pt>
                <c:pt idx="4">
                  <c:v>1573.794537509315</c:v>
                </c:pt>
                <c:pt idx="5">
                  <c:v>1593.8331139465799</c:v>
                </c:pt>
                <c:pt idx="6">
                  <c:v>1621.828549759101</c:v>
                </c:pt>
                <c:pt idx="7">
                  <c:v>1650.4165061696544</c:v>
                </c:pt>
                <c:pt idx="8">
                  <c:v>1677.2783572216026</c:v>
                </c:pt>
                <c:pt idx="9">
                  <c:v>1693.0515039833483</c:v>
                </c:pt>
                <c:pt idx="10">
                  <c:v>1704.3370747191047</c:v>
                </c:pt>
                <c:pt idx="11">
                  <c:v>1711.5614786259048</c:v>
                </c:pt>
              </c:numCache>
            </c:numRef>
          </c:val>
          <c:smooth val="0"/>
          <c:extLst>
            <c:ext xmlns:c16="http://schemas.microsoft.com/office/drawing/2014/chart" uri="{C3380CC4-5D6E-409C-BE32-E72D297353CC}">
              <c16:uniqueId val="{00000003-7123-4AD3-9FDD-D0B0AC5F313D}"/>
            </c:ext>
          </c:extLst>
        </c:ser>
        <c:ser>
          <c:idx val="17"/>
          <c:order val="4"/>
          <c:tx>
            <c:strRef>
              <c:f>Leavers_over_time!$B$32</c:f>
              <c:strCache>
                <c:ptCount val="1"/>
                <c:pt idx="0">
                  <c:v>Physics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Leavers_over_time!$C$32:$N$32</c:f>
              <c:numCache>
                <c:formatCode>#,##0</c:formatCode>
                <c:ptCount val="12"/>
                <c:pt idx="0">
                  <c:v>1171.1143630990252</c:v>
                </c:pt>
                <c:pt idx="1">
                  <c:v>1215.3970277037477</c:v>
                </c:pt>
                <c:pt idx="2">
                  <c:v>1214.2169363500307</c:v>
                </c:pt>
                <c:pt idx="3">
                  <c:v>1222.1620281554162</c:v>
                </c:pt>
                <c:pt idx="4">
                  <c:v>1229.3569625222797</c:v>
                </c:pt>
                <c:pt idx="5">
                  <c:v>1233.5813967928104</c:v>
                </c:pt>
                <c:pt idx="6">
                  <c:v>1240.6078761684762</c:v>
                </c:pt>
                <c:pt idx="7">
                  <c:v>1251.1481357386604</c:v>
                </c:pt>
                <c:pt idx="8">
                  <c:v>1256.3093115081672</c:v>
                </c:pt>
                <c:pt idx="9">
                  <c:v>1256.4446156661961</c:v>
                </c:pt>
                <c:pt idx="10">
                  <c:v>1259.8482603651605</c:v>
                </c:pt>
                <c:pt idx="11">
                  <c:v>1262.2552810079767</c:v>
                </c:pt>
              </c:numCache>
            </c:numRef>
          </c:val>
          <c:smooth val="0"/>
          <c:extLst>
            <c:ext xmlns:c16="http://schemas.microsoft.com/office/drawing/2014/chart" uri="{C3380CC4-5D6E-409C-BE32-E72D297353CC}">
              <c16:uniqueId val="{00000004-7123-4AD3-9FDD-D0B0AC5F313D}"/>
            </c:ext>
          </c:extLst>
        </c:ser>
        <c:ser>
          <c:idx val="18"/>
          <c:order val="5"/>
          <c:tx>
            <c:strRef>
              <c:f>Leavers_over_time!$B$33</c:f>
              <c:strCache>
                <c:ptCount val="1"/>
                <c:pt idx="0">
                  <c:v>Religious Education Leavers</c:v>
                </c:pt>
              </c:strCache>
            </c:strRef>
          </c:tx>
          <c:marker>
            <c:symbol val="none"/>
          </c:marker>
          <c:cat>
            <c:strRef>
              <c:f>Leavers_over_time!$C$13:$N$13</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Leavers_over_time!$C$33:$N$33</c:f>
              <c:numCache>
                <c:formatCode>#,##0</c:formatCode>
                <c:ptCount val="12"/>
                <c:pt idx="0">
                  <c:v>820.78495278624473</c:v>
                </c:pt>
                <c:pt idx="1">
                  <c:v>799.05992132943788</c:v>
                </c:pt>
                <c:pt idx="2">
                  <c:v>789.69141552929318</c:v>
                </c:pt>
                <c:pt idx="3">
                  <c:v>786.92739531882148</c:v>
                </c:pt>
                <c:pt idx="4">
                  <c:v>787.74696402176733</c:v>
                </c:pt>
                <c:pt idx="5">
                  <c:v>789.94307909232271</c:v>
                </c:pt>
                <c:pt idx="6">
                  <c:v>793.49770106530468</c:v>
                </c:pt>
                <c:pt idx="7">
                  <c:v>798.56121350272588</c:v>
                </c:pt>
                <c:pt idx="8">
                  <c:v>803.8330052063327</c:v>
                </c:pt>
                <c:pt idx="9">
                  <c:v>805.08454469278854</c:v>
                </c:pt>
                <c:pt idx="10">
                  <c:v>804.97135992047311</c:v>
                </c:pt>
                <c:pt idx="11">
                  <c:v>803.75614305703095</c:v>
                </c:pt>
              </c:numCache>
            </c:numRef>
          </c:val>
          <c:smooth val="0"/>
          <c:extLst>
            <c:ext xmlns:c16="http://schemas.microsoft.com/office/drawing/2014/chart" uri="{C3380CC4-5D6E-409C-BE32-E72D297353CC}">
              <c16:uniqueId val="{00000005-7123-4AD3-9FDD-D0B0AC5F313D}"/>
            </c:ext>
          </c:extLst>
        </c:ser>
        <c:dLbls>
          <c:showLegendKey val="0"/>
          <c:showVal val="0"/>
          <c:showCatName val="0"/>
          <c:showSerName val="0"/>
          <c:showPercent val="0"/>
          <c:showBubbleSize val="0"/>
        </c:dLbls>
        <c:smooth val="0"/>
        <c:axId val="169540224"/>
        <c:axId val="169550208"/>
      </c:lineChart>
      <c:catAx>
        <c:axId val="169540224"/>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en-US"/>
          </a:p>
        </c:txPr>
        <c:crossAx val="169550208"/>
        <c:crosses val="autoZero"/>
        <c:auto val="1"/>
        <c:lblAlgn val="ctr"/>
        <c:lblOffset val="100"/>
        <c:noMultiLvlLbl val="0"/>
      </c:catAx>
      <c:valAx>
        <c:axId val="16955020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540224"/>
        <c:crosses val="autoZero"/>
        <c:crossBetween val="between"/>
      </c:valAx>
      <c:spPr>
        <a:ln>
          <a:solidFill>
            <a:schemeClr val="tx1">
              <a:lumMod val="95000"/>
              <a:lumOff val="5000"/>
            </a:schemeClr>
          </a:solidFill>
        </a:ln>
      </c:spPr>
    </c:plotArea>
    <c:legend>
      <c:legendPos val="r"/>
      <c:layout>
        <c:manualLayout>
          <c:xMode val="edge"/>
          <c:yMode val="edge"/>
          <c:x val="0.75139948921497013"/>
          <c:y val="3.4383954154727794E-2"/>
          <c:w val="0.23261414111846346"/>
          <c:h val="0.948424068767908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Qualified teacher stock (by headcount)</a:t>
            </a:r>
          </a:p>
        </c:rich>
      </c:tx>
      <c:overlay val="0"/>
    </c:title>
    <c:autoTitleDeleted val="0"/>
    <c:plotArea>
      <c:layout>
        <c:manualLayout>
          <c:layoutTarget val="inner"/>
          <c:xMode val="edge"/>
          <c:yMode val="edge"/>
          <c:x val="0.15600356418515868"/>
          <c:y val="0.11118797950736928"/>
          <c:w val="0.56814323103078024"/>
          <c:h val="0.70000347011911968"/>
        </c:manualLayout>
      </c:layout>
      <c:lineChart>
        <c:grouping val="standard"/>
        <c:varyColors val="0"/>
        <c:ser>
          <c:idx val="0"/>
          <c:order val="0"/>
          <c:tx>
            <c:strRef>
              <c:f>Outputs_with_historical_data!$B$25</c:f>
              <c:strCache>
                <c:ptCount val="1"/>
                <c:pt idx="0">
                  <c:v>Primary - historical</c:v>
                </c:pt>
              </c:strCache>
            </c:strRef>
          </c:tx>
          <c:spPr>
            <a:ln>
              <a:solidFill>
                <a:schemeClr val="tx1">
                  <a:lumMod val="95000"/>
                  <a:lumOff val="5000"/>
                </a:schemeClr>
              </a:solidFill>
            </a:ln>
          </c:spPr>
          <c:marker>
            <c:symbol val="none"/>
          </c:marker>
          <c:cat>
            <c:strRef>
              <c:f>Outputs_with_historical_data!$C$24:$T$24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Outputs_with_historical_data!$C$25:$T$25</c:f>
              <c:numCache>
                <c:formatCode>#,##0</c:formatCode>
                <c:ptCount val="18"/>
                <c:pt idx="0">
                  <c:v>216803.06543690819</c:v>
                </c:pt>
                <c:pt idx="1">
                  <c:v>219759.26699999999</c:v>
                </c:pt>
                <c:pt idx="2">
                  <c:v>225310.86400000003</c:v>
                </c:pt>
                <c:pt idx="3">
                  <c:v>230422.14699999997</c:v>
                </c:pt>
                <c:pt idx="4">
                  <c:v>235423.22499999998</c:v>
                </c:pt>
                <c:pt idx="5">
                  <c:v>239231.65000000002</c:v>
                </c:pt>
              </c:numCache>
            </c:numRef>
          </c:val>
          <c:smooth val="0"/>
          <c:extLst>
            <c:ext xmlns:c16="http://schemas.microsoft.com/office/drawing/2014/chart" uri="{C3380CC4-5D6E-409C-BE32-E72D297353CC}">
              <c16:uniqueId val="{00000000-8431-419C-BE6B-C77E858D3DC5}"/>
            </c:ext>
          </c:extLst>
        </c:ser>
        <c:ser>
          <c:idx val="1"/>
          <c:order val="1"/>
          <c:tx>
            <c:strRef>
              <c:f>Outputs_with_historical_data!$B$26</c:f>
              <c:strCache>
                <c:ptCount val="1"/>
                <c:pt idx="0">
                  <c:v>Primary - projected</c:v>
                </c:pt>
              </c:strCache>
            </c:strRef>
          </c:tx>
          <c:spPr>
            <a:ln>
              <a:solidFill>
                <a:schemeClr val="tx1">
                  <a:lumMod val="95000"/>
                  <a:lumOff val="5000"/>
                </a:schemeClr>
              </a:solidFill>
              <a:prstDash val="sysDot"/>
            </a:ln>
          </c:spPr>
          <c:marker>
            <c:symbol val="none"/>
          </c:marker>
          <c:cat>
            <c:strRef>
              <c:f>Outputs_with_historical_data!$C$24:$T$24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Outputs_with_historical_data!$C$26:$T$26</c:f>
              <c:numCache>
                <c:formatCode>#,##0</c:formatCode>
                <c:ptCount val="18"/>
                <c:pt idx="5">
                  <c:v>239231.65000000002</c:v>
                </c:pt>
                <c:pt idx="6">
                  <c:v>242289.97801032916</c:v>
                </c:pt>
                <c:pt idx="7">
                  <c:v>243816.50498787969</c:v>
                </c:pt>
                <c:pt idx="8">
                  <c:v>244473.00051685341</c:v>
                </c:pt>
                <c:pt idx="9">
                  <c:v>244493.08548462985</c:v>
                </c:pt>
                <c:pt idx="10">
                  <c:v>244756.56223781532</c:v>
                </c:pt>
                <c:pt idx="11">
                  <c:v>244837.80568339408</c:v>
                </c:pt>
                <c:pt idx="12">
                  <c:v>244626.1931197551</c:v>
                </c:pt>
                <c:pt idx="13">
                  <c:v>244233.40708441578</c:v>
                </c:pt>
                <c:pt idx="14">
                  <c:v>244470.60548841688</c:v>
                </c:pt>
                <c:pt idx="15">
                  <c:v>245157.17144903576</c:v>
                </c:pt>
                <c:pt idx="16">
                  <c:v>245898.02721211434</c:v>
                </c:pt>
                <c:pt idx="17">
                  <c:v>246453.8722658148</c:v>
                </c:pt>
              </c:numCache>
            </c:numRef>
          </c:val>
          <c:smooth val="0"/>
          <c:extLst>
            <c:ext xmlns:c16="http://schemas.microsoft.com/office/drawing/2014/chart" uri="{C3380CC4-5D6E-409C-BE32-E72D297353CC}">
              <c16:uniqueId val="{00000001-8431-419C-BE6B-C77E858D3DC5}"/>
            </c:ext>
          </c:extLst>
        </c:ser>
        <c:ser>
          <c:idx val="2"/>
          <c:order val="2"/>
          <c:tx>
            <c:strRef>
              <c:f>Outputs_with_historical_data!$B$27</c:f>
              <c:strCache>
                <c:ptCount val="1"/>
                <c:pt idx="0">
                  <c:v>Secondary - historical</c:v>
                </c:pt>
              </c:strCache>
            </c:strRef>
          </c:tx>
          <c:spPr>
            <a:ln>
              <a:solidFill>
                <a:srgbClr val="FF0000"/>
              </a:solidFill>
            </a:ln>
          </c:spPr>
          <c:marker>
            <c:symbol val="none"/>
          </c:marker>
          <c:cat>
            <c:strRef>
              <c:f>Outputs_with_historical_data!$C$24:$T$24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Outputs_with_historical_data!$C$27:$T$27</c:f>
              <c:numCache>
                <c:formatCode>#,##0</c:formatCode>
                <c:ptCount val="18"/>
                <c:pt idx="0">
                  <c:v>221900.66049640172</c:v>
                </c:pt>
                <c:pt idx="1">
                  <c:v>219183.60100000002</c:v>
                </c:pt>
                <c:pt idx="2">
                  <c:v>219944.09100000001</c:v>
                </c:pt>
                <c:pt idx="3">
                  <c:v>217824.14799999999</c:v>
                </c:pt>
                <c:pt idx="4">
                  <c:v>215663.67299999998</c:v>
                </c:pt>
                <c:pt idx="5">
                  <c:v>212113.06730178863</c:v>
                </c:pt>
              </c:numCache>
            </c:numRef>
          </c:val>
          <c:smooth val="0"/>
          <c:extLst>
            <c:ext xmlns:c16="http://schemas.microsoft.com/office/drawing/2014/chart" uri="{C3380CC4-5D6E-409C-BE32-E72D297353CC}">
              <c16:uniqueId val="{00000002-8431-419C-BE6B-C77E858D3DC5}"/>
            </c:ext>
          </c:extLst>
        </c:ser>
        <c:ser>
          <c:idx val="3"/>
          <c:order val="3"/>
          <c:tx>
            <c:strRef>
              <c:f>Outputs_with_historical_data!$B$28</c:f>
              <c:strCache>
                <c:ptCount val="1"/>
                <c:pt idx="0">
                  <c:v>Secondary - projected</c:v>
                </c:pt>
              </c:strCache>
            </c:strRef>
          </c:tx>
          <c:spPr>
            <a:ln>
              <a:solidFill>
                <a:srgbClr val="FF0000"/>
              </a:solidFill>
              <a:prstDash val="sysDot"/>
            </a:ln>
          </c:spPr>
          <c:marker>
            <c:symbol val="none"/>
          </c:marker>
          <c:cat>
            <c:strRef>
              <c:f>Outputs_with_historical_data!$C$24:$T$24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Outputs_with_historical_data!$C$28:$T$28</c:f>
              <c:numCache>
                <c:formatCode>#,##0</c:formatCode>
                <c:ptCount val="18"/>
                <c:pt idx="5">
                  <c:v>212113.06730178863</c:v>
                </c:pt>
                <c:pt idx="6">
                  <c:v>213976.00504540943</c:v>
                </c:pt>
                <c:pt idx="7">
                  <c:v>215448.23496505464</c:v>
                </c:pt>
                <c:pt idx="8">
                  <c:v>217665.58493798462</c:v>
                </c:pt>
                <c:pt idx="9">
                  <c:v>220113.00223502028</c:v>
                </c:pt>
                <c:pt idx="10">
                  <c:v>222083.21597704067</c:v>
                </c:pt>
                <c:pt idx="11">
                  <c:v>224012.64325451854</c:v>
                </c:pt>
                <c:pt idx="12">
                  <c:v>226115.09681652434</c:v>
                </c:pt>
                <c:pt idx="13">
                  <c:v>227913.16234106064</c:v>
                </c:pt>
                <c:pt idx="14">
                  <c:v>228568.5499006052</c:v>
                </c:pt>
                <c:pt idx="15">
                  <c:v>228824.14188092307</c:v>
                </c:pt>
                <c:pt idx="16">
                  <c:v>228710.60157528741</c:v>
                </c:pt>
                <c:pt idx="17">
                  <c:v>228387.83509911041</c:v>
                </c:pt>
              </c:numCache>
            </c:numRef>
          </c:val>
          <c:smooth val="0"/>
          <c:extLst>
            <c:ext xmlns:c16="http://schemas.microsoft.com/office/drawing/2014/chart" uri="{C3380CC4-5D6E-409C-BE32-E72D297353CC}">
              <c16:uniqueId val="{00000003-8431-419C-BE6B-C77E858D3DC5}"/>
            </c:ext>
          </c:extLst>
        </c:ser>
        <c:dLbls>
          <c:showLegendKey val="0"/>
          <c:showVal val="0"/>
          <c:showCatName val="0"/>
          <c:showSerName val="0"/>
          <c:showPercent val="0"/>
          <c:showBubbleSize val="0"/>
        </c:dLbls>
        <c:smooth val="0"/>
        <c:axId val="169980288"/>
        <c:axId val="169981824"/>
      </c:lineChart>
      <c:catAx>
        <c:axId val="16998028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69981824"/>
        <c:crosses val="autoZero"/>
        <c:auto val="1"/>
        <c:lblAlgn val="ctr"/>
        <c:lblOffset val="100"/>
        <c:noMultiLvlLbl val="0"/>
      </c:catAx>
      <c:valAx>
        <c:axId val="16998182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980288"/>
        <c:crosses val="autoZero"/>
        <c:crossBetween val="between"/>
      </c:valAx>
      <c:spPr>
        <a:ln>
          <a:solidFill>
            <a:schemeClr val="tx1">
              <a:lumMod val="95000"/>
              <a:lumOff val="5000"/>
            </a:schemeClr>
          </a:solidFill>
        </a:ln>
      </c:spPr>
    </c:plotArea>
    <c:legend>
      <c:legendPos val="r"/>
      <c:layout>
        <c:manualLayout>
          <c:xMode val="edge"/>
          <c:yMode val="edge"/>
          <c:x val="0.73801495703448028"/>
          <c:y val="0.19626200930491164"/>
          <c:w val="0.24400729874519111"/>
          <c:h val="0.5545181151421492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PRIMARY No. of pupils (FTE) and qualified teacher stock (headcount)</a:t>
            </a:r>
          </a:p>
        </c:rich>
      </c:tx>
      <c:layout>
        <c:manualLayout>
          <c:xMode val="edge"/>
          <c:yMode val="edge"/>
          <c:x val="0.11053626002229172"/>
          <c:y val="2.2173047334600415E-2"/>
        </c:manualLayout>
      </c:layout>
      <c:overlay val="0"/>
    </c:title>
    <c:autoTitleDeleted val="0"/>
    <c:plotArea>
      <c:layout>
        <c:manualLayout>
          <c:layoutTarget val="inner"/>
          <c:xMode val="edge"/>
          <c:yMode val="edge"/>
          <c:x val="0.12791247274172585"/>
          <c:y val="0.11283266698092893"/>
          <c:w val="0.48912438857074686"/>
          <c:h val="0.71301133090071056"/>
        </c:manualLayout>
      </c:layout>
      <c:lineChart>
        <c:grouping val="standard"/>
        <c:varyColors val="0"/>
        <c:ser>
          <c:idx val="2"/>
          <c:order val="2"/>
          <c:tx>
            <c:strRef>
              <c:f>Outputs_with_historical_data!$B$55</c:f>
              <c:strCache>
                <c:ptCount val="1"/>
                <c:pt idx="0">
                  <c:v>Primary pupils - historical</c:v>
                </c:pt>
              </c:strCache>
            </c:strRef>
          </c:tx>
          <c:spPr>
            <a:ln>
              <a:solidFill>
                <a:srgbClr val="00B0F0"/>
              </a:solidFill>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Outputs_with_historical_data!$C$55:$T$55</c:f>
              <c:numCache>
                <c:formatCode>#,##0</c:formatCode>
                <c:ptCount val="18"/>
                <c:pt idx="0">
                  <c:v>4074368</c:v>
                </c:pt>
                <c:pt idx="1">
                  <c:v>4150277.5</c:v>
                </c:pt>
                <c:pt idx="2">
                  <c:v>4247394.5</c:v>
                </c:pt>
                <c:pt idx="3">
                  <c:v>4359000</c:v>
                </c:pt>
                <c:pt idx="4">
                  <c:v>4463434</c:v>
                </c:pt>
                <c:pt idx="5">
                  <c:v>4574041.5</c:v>
                </c:pt>
              </c:numCache>
            </c:numRef>
          </c:val>
          <c:smooth val="0"/>
          <c:extLst>
            <c:ext xmlns:c16="http://schemas.microsoft.com/office/drawing/2014/chart" uri="{C3380CC4-5D6E-409C-BE32-E72D297353CC}">
              <c16:uniqueId val="{00000000-EFE6-4BF5-8073-26A797DF19A4}"/>
            </c:ext>
          </c:extLst>
        </c:ser>
        <c:ser>
          <c:idx val="3"/>
          <c:order val="3"/>
          <c:tx>
            <c:strRef>
              <c:f>Outputs_with_historical_data!$B$56</c:f>
              <c:strCache>
                <c:ptCount val="1"/>
                <c:pt idx="0">
                  <c:v>Primary pupils - projected</c:v>
                </c:pt>
              </c:strCache>
            </c:strRef>
          </c:tx>
          <c:spPr>
            <a:ln>
              <a:solidFill>
                <a:srgbClr val="00B0F0"/>
              </a:solidFill>
              <a:prstDash val="sysDot"/>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Outputs_with_historical_data!$C$56:$T$56</c:f>
              <c:numCache>
                <c:formatCode>#,##0</c:formatCode>
                <c:ptCount val="18"/>
                <c:pt idx="5">
                  <c:v>4574041.5</c:v>
                </c:pt>
                <c:pt idx="6">
                  <c:v>4669403.6051013358</c:v>
                </c:pt>
                <c:pt idx="7">
                  <c:v>4728615.0056829667</c:v>
                </c:pt>
                <c:pt idx="8">
                  <c:v>4754148.1072515734</c:v>
                </c:pt>
                <c:pt idx="9">
                  <c:v>4754929.3367273957</c:v>
                </c:pt>
                <c:pt idx="10">
                  <c:v>4765188.6443500407</c:v>
                </c:pt>
                <c:pt idx="11">
                  <c:v>4768353.1674103234</c:v>
                </c:pt>
                <c:pt idx="12">
                  <c:v>4760117.7392643597</c:v>
                </c:pt>
                <c:pt idx="13">
                  <c:v>4744856.0009206505</c:v>
                </c:pt>
                <c:pt idx="14">
                  <c:v>4754081.3268117374</c:v>
                </c:pt>
                <c:pt idx="15">
                  <c:v>4780859.047119638</c:v>
                </c:pt>
                <c:pt idx="16">
                  <c:v>4809841.7847702289</c:v>
                </c:pt>
                <c:pt idx="17">
                  <c:v>4831636.05383253</c:v>
                </c:pt>
              </c:numCache>
            </c:numRef>
          </c:val>
          <c:smooth val="0"/>
          <c:extLst>
            <c:ext xmlns:c16="http://schemas.microsoft.com/office/drawing/2014/chart" uri="{C3380CC4-5D6E-409C-BE32-E72D297353CC}">
              <c16:uniqueId val="{00000001-EFE6-4BF5-8073-26A797DF19A4}"/>
            </c:ext>
          </c:extLst>
        </c:ser>
        <c:dLbls>
          <c:showLegendKey val="0"/>
          <c:showVal val="0"/>
          <c:showCatName val="0"/>
          <c:showSerName val="0"/>
          <c:showPercent val="0"/>
          <c:showBubbleSize val="0"/>
        </c:dLbls>
        <c:marker val="1"/>
        <c:smooth val="0"/>
        <c:axId val="170044800"/>
        <c:axId val="170054784"/>
      </c:lineChart>
      <c:lineChart>
        <c:grouping val="standard"/>
        <c:varyColors val="0"/>
        <c:ser>
          <c:idx val="0"/>
          <c:order val="0"/>
          <c:tx>
            <c:strRef>
              <c:f>Outputs_with_historical_data!$B$53</c:f>
              <c:strCache>
                <c:ptCount val="1"/>
                <c:pt idx="0">
                  <c:v>Primary stock - historical</c:v>
                </c:pt>
              </c:strCache>
            </c:strRef>
          </c:tx>
          <c:spPr>
            <a:ln>
              <a:solidFill>
                <a:schemeClr val="tx1">
                  <a:lumMod val="95000"/>
                  <a:lumOff val="5000"/>
                </a:schemeClr>
              </a:solidFill>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Outputs_with_historical_data!$C$53:$T$53</c:f>
              <c:numCache>
                <c:formatCode>#,##0</c:formatCode>
                <c:ptCount val="18"/>
                <c:pt idx="0">
                  <c:v>216803.06543690819</c:v>
                </c:pt>
                <c:pt idx="1">
                  <c:v>219759.26699999999</c:v>
                </c:pt>
                <c:pt idx="2">
                  <c:v>225310.86400000003</c:v>
                </c:pt>
                <c:pt idx="3">
                  <c:v>230422.14699999997</c:v>
                </c:pt>
                <c:pt idx="4">
                  <c:v>235423.22499999998</c:v>
                </c:pt>
                <c:pt idx="5">
                  <c:v>239231.65000000002</c:v>
                </c:pt>
              </c:numCache>
            </c:numRef>
          </c:val>
          <c:smooth val="0"/>
          <c:extLst>
            <c:ext xmlns:c16="http://schemas.microsoft.com/office/drawing/2014/chart" uri="{C3380CC4-5D6E-409C-BE32-E72D297353CC}">
              <c16:uniqueId val="{00000002-EFE6-4BF5-8073-26A797DF19A4}"/>
            </c:ext>
          </c:extLst>
        </c:ser>
        <c:ser>
          <c:idx val="1"/>
          <c:order val="1"/>
          <c:tx>
            <c:strRef>
              <c:f>Outputs_with_historical_data!$B$54</c:f>
              <c:strCache>
                <c:ptCount val="1"/>
                <c:pt idx="0">
                  <c:v>Primary stock - projected</c:v>
                </c:pt>
              </c:strCache>
            </c:strRef>
          </c:tx>
          <c:spPr>
            <a:ln>
              <a:solidFill>
                <a:schemeClr val="tx1">
                  <a:lumMod val="95000"/>
                  <a:lumOff val="5000"/>
                </a:schemeClr>
              </a:solidFill>
              <a:prstDash val="sysDot"/>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Outputs_with_historical_data!$C$54:$T$54</c:f>
              <c:numCache>
                <c:formatCode>#,##0</c:formatCode>
                <c:ptCount val="18"/>
                <c:pt idx="5">
                  <c:v>239231.65000000002</c:v>
                </c:pt>
                <c:pt idx="6">
                  <c:v>242289.97801032916</c:v>
                </c:pt>
                <c:pt idx="7">
                  <c:v>243816.50498787969</c:v>
                </c:pt>
                <c:pt idx="8">
                  <c:v>244473.00051685341</c:v>
                </c:pt>
                <c:pt idx="9">
                  <c:v>244493.08548462985</c:v>
                </c:pt>
                <c:pt idx="10">
                  <c:v>244756.56223781532</c:v>
                </c:pt>
                <c:pt idx="11">
                  <c:v>244837.80568339408</c:v>
                </c:pt>
                <c:pt idx="12">
                  <c:v>244626.1931197551</c:v>
                </c:pt>
                <c:pt idx="13">
                  <c:v>244233.40708441578</c:v>
                </c:pt>
                <c:pt idx="14">
                  <c:v>244470.60548841688</c:v>
                </c:pt>
                <c:pt idx="15">
                  <c:v>245157.17144903576</c:v>
                </c:pt>
                <c:pt idx="16">
                  <c:v>245898.02721211434</c:v>
                </c:pt>
                <c:pt idx="17">
                  <c:v>246453.8722658148</c:v>
                </c:pt>
              </c:numCache>
            </c:numRef>
          </c:val>
          <c:smooth val="0"/>
          <c:extLst>
            <c:ext xmlns:c16="http://schemas.microsoft.com/office/drawing/2014/chart" uri="{C3380CC4-5D6E-409C-BE32-E72D297353CC}">
              <c16:uniqueId val="{00000003-EFE6-4BF5-8073-26A797DF19A4}"/>
            </c:ext>
          </c:extLst>
        </c:ser>
        <c:dLbls>
          <c:showLegendKey val="0"/>
          <c:showVal val="0"/>
          <c:showCatName val="0"/>
          <c:showSerName val="0"/>
          <c:showPercent val="0"/>
          <c:showBubbleSize val="0"/>
        </c:dLbls>
        <c:marker val="1"/>
        <c:smooth val="0"/>
        <c:axId val="170056704"/>
        <c:axId val="170062592"/>
      </c:lineChart>
      <c:catAx>
        <c:axId val="17004480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054784"/>
        <c:crosses val="autoZero"/>
        <c:auto val="1"/>
        <c:lblAlgn val="ctr"/>
        <c:lblOffset val="100"/>
        <c:noMultiLvlLbl val="0"/>
      </c:catAx>
      <c:valAx>
        <c:axId val="1700547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44800"/>
        <c:crosses val="autoZero"/>
        <c:crossBetween val="between"/>
      </c:valAx>
      <c:catAx>
        <c:axId val="170056704"/>
        <c:scaling>
          <c:orientation val="minMax"/>
        </c:scaling>
        <c:delete val="1"/>
        <c:axPos val="b"/>
        <c:numFmt formatCode="General" sourceLinked="1"/>
        <c:majorTickMark val="out"/>
        <c:minorTickMark val="none"/>
        <c:tickLblPos val="nextTo"/>
        <c:crossAx val="170062592"/>
        <c:crosses val="autoZero"/>
        <c:auto val="1"/>
        <c:lblAlgn val="ctr"/>
        <c:lblOffset val="100"/>
        <c:noMultiLvlLbl val="0"/>
      </c:catAx>
      <c:valAx>
        <c:axId val="170062592"/>
        <c:scaling>
          <c:orientation val="minMax"/>
          <c:max val="250000"/>
          <c:min val="18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056704"/>
        <c:crosses val="max"/>
        <c:crossBetween val="between"/>
      </c:valAx>
      <c:spPr>
        <a:ln>
          <a:solidFill>
            <a:schemeClr val="tx1">
              <a:lumMod val="95000"/>
              <a:lumOff val="5000"/>
            </a:schemeClr>
          </a:solidFill>
        </a:ln>
      </c:spPr>
    </c:plotArea>
    <c:legend>
      <c:legendPos val="r"/>
      <c:layout>
        <c:manualLayout>
          <c:xMode val="edge"/>
          <c:yMode val="edge"/>
          <c:x val="0.74572034660051056"/>
          <c:y val="0.13505777295079494"/>
          <c:w val="0.22602775680437204"/>
          <c:h val="0.7025872627990467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SECONDARY No. of pupils (FTE) and qualified teacher stock (headcount)</a:t>
            </a:r>
          </a:p>
        </c:rich>
      </c:tx>
      <c:layout>
        <c:manualLayout>
          <c:xMode val="edge"/>
          <c:yMode val="edge"/>
          <c:x val="0.16759856048921717"/>
          <c:y val="7.3910157782001388E-3"/>
        </c:manualLayout>
      </c:layout>
      <c:overlay val="0"/>
    </c:title>
    <c:autoTitleDeleted val="0"/>
    <c:plotArea>
      <c:layout>
        <c:manualLayout>
          <c:layoutTarget val="inner"/>
          <c:xMode val="edge"/>
          <c:yMode val="edge"/>
          <c:x val="0.13753242965841392"/>
          <c:y val="0.12020328113087861"/>
          <c:w val="0.48175701522158215"/>
          <c:h val="0.70564100773434368"/>
        </c:manualLayout>
      </c:layout>
      <c:lineChart>
        <c:grouping val="standard"/>
        <c:varyColors val="0"/>
        <c:ser>
          <c:idx val="6"/>
          <c:order val="2"/>
          <c:tx>
            <c:strRef>
              <c:f>Outputs_with_historical_data!$B$59</c:f>
              <c:strCache>
                <c:ptCount val="1"/>
                <c:pt idx="0">
                  <c:v>Secondary pupils - historical</c:v>
                </c:pt>
              </c:strCache>
            </c:strRef>
          </c:tx>
          <c:spPr>
            <a:ln>
              <a:solidFill>
                <a:srgbClr val="00B0F0"/>
              </a:solidFill>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Outputs_with_historical_data!$C$59:$T$59</c:f>
              <c:numCache>
                <c:formatCode>#,##0</c:formatCode>
                <c:ptCount val="18"/>
                <c:pt idx="0">
                  <c:v>3212254</c:v>
                </c:pt>
                <c:pt idx="1">
                  <c:v>3185686.5</c:v>
                </c:pt>
                <c:pt idx="2">
                  <c:v>3158780</c:v>
                </c:pt>
                <c:pt idx="3">
                  <c:v>3125924</c:v>
                </c:pt>
                <c:pt idx="4">
                  <c:v>3119799</c:v>
                </c:pt>
                <c:pt idx="5">
                  <c:v>3121988</c:v>
                </c:pt>
              </c:numCache>
            </c:numRef>
          </c:val>
          <c:smooth val="0"/>
          <c:extLst>
            <c:ext xmlns:c16="http://schemas.microsoft.com/office/drawing/2014/chart" uri="{C3380CC4-5D6E-409C-BE32-E72D297353CC}">
              <c16:uniqueId val="{00000000-C26A-4C9C-936B-EBC003DA6659}"/>
            </c:ext>
          </c:extLst>
        </c:ser>
        <c:ser>
          <c:idx val="7"/>
          <c:order val="3"/>
          <c:tx>
            <c:strRef>
              <c:f>Outputs_with_historical_data!$B$60</c:f>
              <c:strCache>
                <c:ptCount val="1"/>
                <c:pt idx="0">
                  <c:v>Secondary pupils - projected</c:v>
                </c:pt>
              </c:strCache>
            </c:strRef>
          </c:tx>
          <c:spPr>
            <a:ln>
              <a:solidFill>
                <a:srgbClr val="00B0F0"/>
              </a:solidFill>
              <a:prstDash val="sysDot"/>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Outputs_with_historical_data!$C$60:$T$60</c:f>
              <c:numCache>
                <c:formatCode>#,##0</c:formatCode>
                <c:ptCount val="18"/>
                <c:pt idx="5">
                  <c:v>3121988</c:v>
                </c:pt>
                <c:pt idx="6">
                  <c:v>3153434.5188964177</c:v>
                </c:pt>
                <c:pt idx="7">
                  <c:v>3206473.5103805256</c:v>
                </c:pt>
                <c:pt idx="8">
                  <c:v>3284777.7855463745</c:v>
                </c:pt>
                <c:pt idx="9">
                  <c:v>3371521.969667735</c:v>
                </c:pt>
                <c:pt idx="10">
                  <c:v>3441735.9770776005</c:v>
                </c:pt>
                <c:pt idx="11">
                  <c:v>3517503.4884628272</c:v>
                </c:pt>
                <c:pt idx="12">
                  <c:v>3601496.689145844</c:v>
                </c:pt>
                <c:pt idx="13">
                  <c:v>3674251.4793677852</c:v>
                </c:pt>
                <c:pt idx="14">
                  <c:v>3701291.536776138</c:v>
                </c:pt>
                <c:pt idx="15">
                  <c:v>3712096.756026078</c:v>
                </c:pt>
                <c:pt idx="16">
                  <c:v>3707922.516725075</c:v>
                </c:pt>
                <c:pt idx="17">
                  <c:v>3695259.6565467082</c:v>
                </c:pt>
              </c:numCache>
            </c:numRef>
          </c:val>
          <c:smooth val="0"/>
          <c:extLst>
            <c:ext xmlns:c16="http://schemas.microsoft.com/office/drawing/2014/chart" uri="{C3380CC4-5D6E-409C-BE32-E72D297353CC}">
              <c16:uniqueId val="{00000001-C26A-4C9C-936B-EBC003DA6659}"/>
            </c:ext>
          </c:extLst>
        </c:ser>
        <c:dLbls>
          <c:showLegendKey val="0"/>
          <c:showVal val="0"/>
          <c:showCatName val="0"/>
          <c:showSerName val="0"/>
          <c:showPercent val="0"/>
          <c:showBubbleSize val="0"/>
        </c:dLbls>
        <c:marker val="1"/>
        <c:smooth val="0"/>
        <c:axId val="170760448"/>
        <c:axId val="170766336"/>
      </c:lineChart>
      <c:lineChart>
        <c:grouping val="standard"/>
        <c:varyColors val="0"/>
        <c:ser>
          <c:idx val="4"/>
          <c:order val="0"/>
          <c:tx>
            <c:strRef>
              <c:f>Outputs_with_historical_data!$B$57</c:f>
              <c:strCache>
                <c:ptCount val="1"/>
                <c:pt idx="0">
                  <c:v>Secondary stock - historical</c:v>
                </c:pt>
              </c:strCache>
            </c:strRef>
          </c:tx>
          <c:spPr>
            <a:ln>
              <a:solidFill>
                <a:srgbClr val="FF0000"/>
              </a:solidFill>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Outputs_with_historical_data!$C$57:$T$57</c:f>
              <c:numCache>
                <c:formatCode>#,##0</c:formatCode>
                <c:ptCount val="18"/>
                <c:pt idx="0">
                  <c:v>221900.66049640172</c:v>
                </c:pt>
                <c:pt idx="1">
                  <c:v>219183.60100000002</c:v>
                </c:pt>
                <c:pt idx="2">
                  <c:v>219944.09100000001</c:v>
                </c:pt>
                <c:pt idx="3">
                  <c:v>217824.14799999999</c:v>
                </c:pt>
                <c:pt idx="4">
                  <c:v>215663.67299999998</c:v>
                </c:pt>
                <c:pt idx="5">
                  <c:v>212113.06730178863</c:v>
                </c:pt>
              </c:numCache>
            </c:numRef>
          </c:val>
          <c:smooth val="0"/>
          <c:extLst>
            <c:ext xmlns:c16="http://schemas.microsoft.com/office/drawing/2014/chart" uri="{C3380CC4-5D6E-409C-BE32-E72D297353CC}">
              <c16:uniqueId val="{00000002-C26A-4C9C-936B-EBC003DA6659}"/>
            </c:ext>
          </c:extLst>
        </c:ser>
        <c:ser>
          <c:idx val="5"/>
          <c:order val="1"/>
          <c:tx>
            <c:strRef>
              <c:f>Outputs_with_historical_data!$B$58</c:f>
              <c:strCache>
                <c:ptCount val="1"/>
                <c:pt idx="0">
                  <c:v>Secondary stock - projected</c:v>
                </c:pt>
              </c:strCache>
            </c:strRef>
          </c:tx>
          <c:spPr>
            <a:ln>
              <a:solidFill>
                <a:srgbClr val="FF0000"/>
              </a:solidFill>
              <a:prstDash val="sysDot"/>
            </a:ln>
          </c:spPr>
          <c:marker>
            <c:symbol val="none"/>
          </c:marker>
          <c:cat>
            <c:strRef>
              <c:f>Outputs_with_historical_data!$C$52:$T$52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Outputs_with_historical_data!$C$58:$T$58</c:f>
              <c:numCache>
                <c:formatCode>#,##0</c:formatCode>
                <c:ptCount val="18"/>
                <c:pt idx="5">
                  <c:v>212113.06730178863</c:v>
                </c:pt>
                <c:pt idx="6">
                  <c:v>213976.00504540943</c:v>
                </c:pt>
                <c:pt idx="7">
                  <c:v>215448.23496505464</c:v>
                </c:pt>
                <c:pt idx="8">
                  <c:v>217665.58493798462</c:v>
                </c:pt>
                <c:pt idx="9">
                  <c:v>220113.00223502028</c:v>
                </c:pt>
                <c:pt idx="10">
                  <c:v>222083.21597704067</c:v>
                </c:pt>
                <c:pt idx="11">
                  <c:v>224012.64325451854</c:v>
                </c:pt>
                <c:pt idx="12">
                  <c:v>226115.09681652434</c:v>
                </c:pt>
                <c:pt idx="13">
                  <c:v>227913.16234106064</c:v>
                </c:pt>
                <c:pt idx="14">
                  <c:v>228568.5499006052</c:v>
                </c:pt>
                <c:pt idx="15">
                  <c:v>228824.14188092307</c:v>
                </c:pt>
                <c:pt idx="16">
                  <c:v>228710.60157528741</c:v>
                </c:pt>
                <c:pt idx="17">
                  <c:v>228387.83509911041</c:v>
                </c:pt>
              </c:numCache>
            </c:numRef>
          </c:val>
          <c:smooth val="0"/>
          <c:extLst>
            <c:ext xmlns:c16="http://schemas.microsoft.com/office/drawing/2014/chart" uri="{C3380CC4-5D6E-409C-BE32-E72D297353CC}">
              <c16:uniqueId val="{00000003-C26A-4C9C-936B-EBC003DA6659}"/>
            </c:ext>
          </c:extLst>
        </c:ser>
        <c:dLbls>
          <c:showLegendKey val="0"/>
          <c:showVal val="0"/>
          <c:showCatName val="0"/>
          <c:showSerName val="0"/>
          <c:showPercent val="0"/>
          <c:showBubbleSize val="0"/>
        </c:dLbls>
        <c:marker val="1"/>
        <c:smooth val="0"/>
        <c:axId val="170768256"/>
        <c:axId val="170769792"/>
      </c:lineChart>
      <c:catAx>
        <c:axId val="17076044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766336"/>
        <c:crosses val="autoZero"/>
        <c:auto val="1"/>
        <c:lblAlgn val="ctr"/>
        <c:lblOffset val="100"/>
        <c:noMultiLvlLbl val="0"/>
      </c:catAx>
      <c:valAx>
        <c:axId val="17076633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pupils (FTE)</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0448"/>
        <c:crosses val="autoZero"/>
        <c:crossBetween val="between"/>
      </c:valAx>
      <c:catAx>
        <c:axId val="170768256"/>
        <c:scaling>
          <c:orientation val="minMax"/>
        </c:scaling>
        <c:delete val="1"/>
        <c:axPos val="b"/>
        <c:numFmt formatCode="General" sourceLinked="1"/>
        <c:majorTickMark val="out"/>
        <c:minorTickMark val="none"/>
        <c:tickLblPos val="nextTo"/>
        <c:crossAx val="170769792"/>
        <c:crosses val="autoZero"/>
        <c:auto val="1"/>
        <c:lblAlgn val="ctr"/>
        <c:lblOffset val="100"/>
        <c:noMultiLvlLbl val="0"/>
      </c:catAx>
      <c:valAx>
        <c:axId val="170769792"/>
        <c:scaling>
          <c:orientation val="minMax"/>
          <c:max val="250000"/>
          <c:min val="150000"/>
        </c:scaling>
        <c:delete val="0"/>
        <c:axPos val="r"/>
        <c:title>
          <c:tx>
            <c:rich>
              <a:bodyPr/>
              <a:lstStyle/>
              <a:p>
                <a:pPr>
                  <a:defRPr sz="1000" b="1" i="0" u="none" strike="noStrike" baseline="0">
                    <a:solidFill>
                      <a:srgbClr val="000000"/>
                    </a:solidFill>
                    <a:latin typeface="Calibri"/>
                    <a:ea typeface="Calibri"/>
                    <a:cs typeface="Calibri"/>
                  </a:defRPr>
                </a:pPr>
                <a:r>
                  <a:rPr lang="en-GB"/>
                  <a:t>Qualified teacher stock (headcount)</a:t>
                </a:r>
              </a:p>
            </c:rich>
          </c:tx>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170768256"/>
        <c:crosses val="max"/>
        <c:crossBetween val="between"/>
      </c:valAx>
      <c:spPr>
        <a:ln>
          <a:solidFill>
            <a:schemeClr val="tx1">
              <a:lumMod val="95000"/>
              <a:lumOff val="5000"/>
            </a:schemeClr>
          </a:solidFill>
        </a:ln>
      </c:spPr>
    </c:plotArea>
    <c:legend>
      <c:legendPos val="r"/>
      <c:layout>
        <c:manualLayout>
          <c:xMode val="edge"/>
          <c:yMode val="edge"/>
          <c:x val="0.75859169665647463"/>
          <c:y val="0.11637946118804114"/>
          <c:w val="0.22938171388370265"/>
          <c:h val="0.6982767671282468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wastage</a:t>
            </a:r>
          </a:p>
        </c:rich>
      </c:tx>
      <c:overlay val="0"/>
    </c:title>
    <c:autoTitleDeleted val="0"/>
    <c:plotArea>
      <c:layout>
        <c:manualLayout>
          <c:layoutTarget val="inner"/>
          <c:xMode val="edge"/>
          <c:yMode val="edge"/>
          <c:x val="0.14360333671162392"/>
          <c:y val="0.11245959706425586"/>
          <c:w val="0.61014345189609931"/>
          <c:h val="0.72652133761057647"/>
        </c:manualLayout>
      </c:layout>
      <c:lineChart>
        <c:grouping val="standard"/>
        <c:varyColors val="0"/>
        <c:ser>
          <c:idx val="4"/>
          <c:order val="0"/>
          <c:tx>
            <c:strRef>
              <c:f>Outputs_with_historical_data!$B$91</c:f>
              <c:strCache>
                <c:ptCount val="1"/>
                <c:pt idx="0">
                  <c:v>Wastage - historical</c:v>
                </c:pt>
              </c:strCache>
            </c:strRef>
          </c:tx>
          <c:spPr>
            <a:ln>
              <a:solidFill>
                <a:schemeClr val="tx1">
                  <a:lumMod val="95000"/>
                  <a:lumOff val="5000"/>
                </a:schemeClr>
              </a:solidFill>
            </a:ln>
          </c:spPr>
          <c:marker>
            <c:symbol val="none"/>
          </c:marker>
          <c:cat>
            <c:strRef>
              <c:f>Outputs_with_historical_data!$C$86:$T$86</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Outputs_with_historical_data!$C$91:$T$91</c:f>
              <c:numCache>
                <c:formatCode>#,##0</c:formatCode>
                <c:ptCount val="18"/>
                <c:pt idx="0">
                  <c:v>27043.775618081043</c:v>
                </c:pt>
                <c:pt idx="1">
                  <c:v>27362.157983189885</c:v>
                </c:pt>
                <c:pt idx="2">
                  <c:v>30957.718981188831</c:v>
                </c:pt>
                <c:pt idx="3">
                  <c:v>35380.340742658533</c:v>
                </c:pt>
                <c:pt idx="4">
                  <c:v>38808.233</c:v>
                </c:pt>
              </c:numCache>
            </c:numRef>
          </c:val>
          <c:smooth val="0"/>
          <c:extLst>
            <c:ext xmlns:c16="http://schemas.microsoft.com/office/drawing/2014/chart" uri="{C3380CC4-5D6E-409C-BE32-E72D297353CC}">
              <c16:uniqueId val="{00000000-5463-442E-AE08-F72C1F80CB71}"/>
            </c:ext>
          </c:extLst>
        </c:ser>
        <c:ser>
          <c:idx val="5"/>
          <c:order val="1"/>
          <c:tx>
            <c:strRef>
              <c:f>Outputs_with_historical_data!$B$92</c:f>
              <c:strCache>
                <c:ptCount val="1"/>
                <c:pt idx="0">
                  <c:v>Wastage - projected</c:v>
                </c:pt>
              </c:strCache>
            </c:strRef>
          </c:tx>
          <c:spPr>
            <a:ln>
              <a:solidFill>
                <a:schemeClr val="tx1">
                  <a:lumMod val="95000"/>
                  <a:lumOff val="5000"/>
                </a:schemeClr>
              </a:solidFill>
              <a:prstDash val="sysDot"/>
            </a:ln>
          </c:spPr>
          <c:marker>
            <c:symbol val="none"/>
          </c:marker>
          <c:cat>
            <c:strRef>
              <c:f>Outputs_with_historical_data!$C$86:$T$86</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Outputs_with_historical_data!$C$92:$T$92</c:f>
              <c:numCache>
                <c:formatCode>#,##0</c:formatCode>
                <c:ptCount val="18"/>
                <c:pt idx="6">
                  <c:v>34888.371588124966</c:v>
                </c:pt>
                <c:pt idx="7">
                  <c:v>35529.446069730082</c:v>
                </c:pt>
                <c:pt idx="8">
                  <c:v>35949.952605110753</c:v>
                </c:pt>
                <c:pt idx="9">
                  <c:v>36329.889509971035</c:v>
                </c:pt>
                <c:pt idx="10">
                  <c:v>36642.272118782013</c:v>
                </c:pt>
                <c:pt idx="11">
                  <c:v>36899.271008727606</c:v>
                </c:pt>
                <c:pt idx="12">
                  <c:v>37113.590592677494</c:v>
                </c:pt>
                <c:pt idx="13">
                  <c:v>37303.367111398431</c:v>
                </c:pt>
                <c:pt idx="14">
                  <c:v>37438.283663679962</c:v>
                </c:pt>
                <c:pt idx="15">
                  <c:v>37515.858676641888</c:v>
                </c:pt>
                <c:pt idx="16">
                  <c:v>37592.446232694725</c:v>
                </c:pt>
                <c:pt idx="17">
                  <c:v>37638.357800992941</c:v>
                </c:pt>
              </c:numCache>
            </c:numRef>
          </c:val>
          <c:smooth val="0"/>
          <c:extLst>
            <c:ext xmlns:c16="http://schemas.microsoft.com/office/drawing/2014/chart" uri="{C3380CC4-5D6E-409C-BE32-E72D297353CC}">
              <c16:uniqueId val="{00000001-5463-442E-AE08-F72C1F80CB71}"/>
            </c:ext>
          </c:extLst>
        </c:ser>
        <c:dLbls>
          <c:showLegendKey val="0"/>
          <c:showVal val="0"/>
          <c:showCatName val="0"/>
          <c:showSerName val="0"/>
          <c:showPercent val="0"/>
          <c:showBubbleSize val="0"/>
        </c:dLbls>
        <c:smooth val="0"/>
        <c:axId val="170857984"/>
        <c:axId val="170859520"/>
      </c:lineChart>
      <c:catAx>
        <c:axId val="17085798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0859520"/>
        <c:crosses val="autoZero"/>
        <c:auto val="1"/>
        <c:lblAlgn val="ctr"/>
        <c:lblOffset val="100"/>
        <c:noMultiLvlLbl val="0"/>
      </c:catAx>
      <c:valAx>
        <c:axId val="17085952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wastage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0857984"/>
        <c:crosses val="autoZero"/>
        <c:crossBetween val="between"/>
      </c:valAx>
      <c:spPr>
        <a:ln>
          <a:solidFill>
            <a:schemeClr val="tx1">
              <a:lumMod val="95000"/>
              <a:lumOff val="5000"/>
            </a:schemeClr>
          </a:solidFill>
        </a:ln>
      </c:spPr>
    </c:plotArea>
    <c:legend>
      <c:legendPos val="r"/>
      <c:layout>
        <c:manualLayout>
          <c:xMode val="edge"/>
          <c:yMode val="edge"/>
          <c:x val="0.77911084744543924"/>
          <c:y val="0.19519551047110101"/>
          <c:w val="0.20291122856218313"/>
          <c:h val="0.5615625073892791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wastage rate</a:t>
            </a:r>
          </a:p>
        </c:rich>
      </c:tx>
      <c:overlay val="0"/>
    </c:title>
    <c:autoTitleDeleted val="0"/>
    <c:plotArea>
      <c:layout>
        <c:manualLayout>
          <c:layoutTarget val="inner"/>
          <c:xMode val="edge"/>
          <c:yMode val="edge"/>
          <c:x val="0.14276549409651967"/>
          <c:y val="0.10120999026065138"/>
          <c:w val="0.61284582970887602"/>
          <c:h val="0.73777078965758214"/>
        </c:manualLayout>
      </c:layout>
      <c:lineChart>
        <c:grouping val="standard"/>
        <c:varyColors val="0"/>
        <c:ser>
          <c:idx val="4"/>
          <c:order val="0"/>
          <c:tx>
            <c:strRef>
              <c:f>Outputs_with_historical_data!$B$122</c:f>
              <c:strCache>
                <c:ptCount val="1"/>
                <c:pt idx="0">
                  <c:v>Wastage rate - historical</c:v>
                </c:pt>
              </c:strCache>
            </c:strRef>
          </c:tx>
          <c:spPr>
            <a:ln>
              <a:solidFill>
                <a:schemeClr val="tx1">
                  <a:lumMod val="95000"/>
                  <a:lumOff val="5000"/>
                </a:schemeClr>
              </a:solidFill>
            </a:ln>
          </c:spPr>
          <c:marker>
            <c:symbol val="none"/>
          </c:marker>
          <c:cat>
            <c:strRef>
              <c:f>Outputs_with_historical_data!$C$117:$T$117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Outputs_with_historical_data!$C$122:$T$122</c:f>
              <c:numCache>
                <c:formatCode>0.0%</c:formatCode>
                <c:ptCount val="18"/>
                <c:pt idx="0">
                  <c:v>6.1644736571469509E-2</c:v>
                </c:pt>
                <c:pt idx="1">
                  <c:v>6.2336490641396833E-2</c:v>
                </c:pt>
                <c:pt idx="2">
                  <c:v>6.9528072924396375E-2</c:v>
                </c:pt>
                <c:pt idx="3">
                  <c:v>7.8930581551507395E-2</c:v>
                </c:pt>
                <c:pt idx="4">
                  <c:v>8.6032720462654644E-2</c:v>
                </c:pt>
              </c:numCache>
            </c:numRef>
          </c:val>
          <c:smooth val="0"/>
          <c:extLst>
            <c:ext xmlns:c16="http://schemas.microsoft.com/office/drawing/2014/chart" uri="{C3380CC4-5D6E-409C-BE32-E72D297353CC}">
              <c16:uniqueId val="{00000000-3235-4353-B41A-3B0AEDF4C0B8}"/>
            </c:ext>
          </c:extLst>
        </c:ser>
        <c:ser>
          <c:idx val="5"/>
          <c:order val="1"/>
          <c:tx>
            <c:strRef>
              <c:f>Outputs_with_historical_data!$B$123</c:f>
              <c:strCache>
                <c:ptCount val="1"/>
                <c:pt idx="0">
                  <c:v>Wastage rate - projected</c:v>
                </c:pt>
              </c:strCache>
            </c:strRef>
          </c:tx>
          <c:spPr>
            <a:ln>
              <a:solidFill>
                <a:schemeClr val="tx1">
                  <a:lumMod val="95000"/>
                  <a:lumOff val="5000"/>
                </a:schemeClr>
              </a:solidFill>
              <a:prstDash val="sysDot"/>
            </a:ln>
          </c:spPr>
          <c:marker>
            <c:symbol val="none"/>
          </c:marker>
          <c:cat>
            <c:strRef>
              <c:f>Outputs_with_historical_data!$C$117:$T$117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Outputs_with_historical_data!$C$123:$T$123</c:f>
              <c:numCache>
                <c:formatCode>0.0%</c:formatCode>
                <c:ptCount val="18"/>
                <c:pt idx="6">
                  <c:v>7.6464985082753609E-2</c:v>
                </c:pt>
                <c:pt idx="7">
                  <c:v>7.7361580323739104E-2</c:v>
                </c:pt>
                <c:pt idx="8">
                  <c:v>7.7790415551925216E-2</c:v>
                </c:pt>
                <c:pt idx="9">
                  <c:v>7.8195035472486116E-2</c:v>
                </c:pt>
                <c:pt idx="10">
                  <c:v>7.8490038400108139E-2</c:v>
                </c:pt>
                <c:pt idx="11">
                  <c:v>7.8701579773071698E-2</c:v>
                </c:pt>
                <c:pt idx="12">
                  <c:v>7.8840737760015211E-2</c:v>
                </c:pt>
                <c:pt idx="13">
                  <c:v>7.9008023200910688E-2</c:v>
                </c:pt>
                <c:pt idx="14">
                  <c:v>7.914415379185924E-2</c:v>
                </c:pt>
                <c:pt idx="15">
                  <c:v>7.915050155263291E-2</c:v>
                </c:pt>
                <c:pt idx="16">
                  <c:v>7.9207254045804656E-2</c:v>
                </c:pt>
                <c:pt idx="17">
                  <c:v>7.9265062898249417E-2</c:v>
                </c:pt>
              </c:numCache>
            </c:numRef>
          </c:val>
          <c:smooth val="0"/>
          <c:extLst>
            <c:ext xmlns:c16="http://schemas.microsoft.com/office/drawing/2014/chart" uri="{C3380CC4-5D6E-409C-BE32-E72D297353CC}">
              <c16:uniqueId val="{00000001-3235-4353-B41A-3B0AEDF4C0B8}"/>
            </c:ext>
          </c:extLst>
        </c:ser>
        <c:dLbls>
          <c:showLegendKey val="0"/>
          <c:showVal val="0"/>
          <c:showCatName val="0"/>
          <c:showSerName val="0"/>
          <c:showPercent val="0"/>
          <c:showBubbleSize val="0"/>
        </c:dLbls>
        <c:smooth val="0"/>
        <c:axId val="171189376"/>
        <c:axId val="171190912"/>
      </c:lineChart>
      <c:catAx>
        <c:axId val="17118937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90912"/>
        <c:crosses val="autoZero"/>
        <c:auto val="1"/>
        <c:lblAlgn val="ctr"/>
        <c:lblOffset val="100"/>
        <c:noMultiLvlLbl val="0"/>
      </c:catAx>
      <c:valAx>
        <c:axId val="17119091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wastage rate (proportion of teachers leaving as wastage)</a:t>
                </a:r>
              </a:p>
            </c:rich>
          </c:tx>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89376"/>
        <c:crosses val="autoZero"/>
        <c:crossBetween val="between"/>
      </c:valAx>
      <c:spPr>
        <a:ln>
          <a:solidFill>
            <a:schemeClr val="tx1">
              <a:lumMod val="95000"/>
              <a:lumOff val="5000"/>
            </a:schemeClr>
          </a:solidFill>
        </a:ln>
      </c:spPr>
    </c:plotArea>
    <c:legend>
      <c:legendPos val="r"/>
      <c:layout>
        <c:manualLayout>
          <c:xMode val="edge"/>
          <c:yMode val="edge"/>
          <c:x val="0.76153908966507389"/>
          <c:y val="0.17208686312584909"/>
          <c:w val="0.2188035982681652"/>
          <c:h val="0.5934967885111921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retirements</a:t>
            </a:r>
          </a:p>
        </c:rich>
      </c:tx>
      <c:overlay val="0"/>
    </c:title>
    <c:autoTitleDeleted val="0"/>
    <c:plotArea>
      <c:layout>
        <c:manualLayout>
          <c:layoutTarget val="inner"/>
          <c:xMode val="edge"/>
          <c:yMode val="edge"/>
          <c:x val="0.14083309030815591"/>
          <c:y val="0.1106690820822796"/>
          <c:w val="0.62800456859319098"/>
          <c:h val="0.71596565805128576"/>
        </c:manualLayout>
      </c:layout>
      <c:lineChart>
        <c:grouping val="standard"/>
        <c:varyColors val="0"/>
        <c:ser>
          <c:idx val="0"/>
          <c:order val="0"/>
          <c:tx>
            <c:strRef>
              <c:f>Outputs_with_historical_data!$B$151</c:f>
              <c:strCache>
                <c:ptCount val="1"/>
                <c:pt idx="0">
                  <c:v>Primary retirements - historical</c:v>
                </c:pt>
              </c:strCache>
            </c:strRef>
          </c:tx>
          <c:spPr>
            <a:ln>
              <a:solidFill>
                <a:schemeClr val="tx1">
                  <a:lumMod val="95000"/>
                  <a:lumOff val="5000"/>
                </a:schemeClr>
              </a:solidFill>
            </a:ln>
          </c:spPr>
          <c:marker>
            <c:symbol val="none"/>
          </c:marker>
          <c:cat>
            <c:strRef>
              <c:f>Outputs_with_historical_data!$C$150:$T$150</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Outputs_with_historical_data!$C$151:$T$151</c:f>
              <c:numCache>
                <c:formatCode>#,##0</c:formatCode>
                <c:ptCount val="18"/>
                <c:pt idx="0">
                  <c:v>6762.6063646304747</c:v>
                </c:pt>
                <c:pt idx="1">
                  <c:v>6628.8568091804718</c:v>
                </c:pt>
                <c:pt idx="2">
                  <c:v>6154.5291919373476</c:v>
                </c:pt>
                <c:pt idx="3">
                  <c:v>5919.6728337762952</c:v>
                </c:pt>
                <c:pt idx="4">
                  <c:v>4860.259</c:v>
                </c:pt>
              </c:numCache>
            </c:numRef>
          </c:val>
          <c:smooth val="0"/>
          <c:extLst>
            <c:ext xmlns:c16="http://schemas.microsoft.com/office/drawing/2014/chart" uri="{C3380CC4-5D6E-409C-BE32-E72D297353CC}">
              <c16:uniqueId val="{00000000-56E7-4C45-977C-A47833FD3E0C}"/>
            </c:ext>
          </c:extLst>
        </c:ser>
        <c:ser>
          <c:idx val="1"/>
          <c:order val="1"/>
          <c:tx>
            <c:strRef>
              <c:f>Outputs_with_historical_data!$B$152</c:f>
              <c:strCache>
                <c:ptCount val="1"/>
                <c:pt idx="0">
                  <c:v>Primary retirements - projected</c:v>
                </c:pt>
              </c:strCache>
            </c:strRef>
          </c:tx>
          <c:spPr>
            <a:ln>
              <a:solidFill>
                <a:schemeClr val="tx1">
                  <a:lumMod val="95000"/>
                  <a:lumOff val="5000"/>
                </a:schemeClr>
              </a:solidFill>
              <a:prstDash val="sysDot"/>
            </a:ln>
          </c:spPr>
          <c:marker>
            <c:symbol val="none"/>
          </c:marker>
          <c:cat>
            <c:strRef>
              <c:f>Outputs_with_historical_data!$C$150:$T$150</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Outputs_with_historical_data!$C$152:$T$152</c:f>
              <c:numCache>
                <c:formatCode>#,##0</c:formatCode>
                <c:ptCount val="18"/>
                <c:pt idx="6">
                  <c:v>6167.6803742384254</c:v>
                </c:pt>
                <c:pt idx="7">
                  <c:v>5951.3753526149458</c:v>
                </c:pt>
                <c:pt idx="8">
                  <c:v>5753.7577875659135</c:v>
                </c:pt>
                <c:pt idx="9">
                  <c:v>5591.1905396552866</c:v>
                </c:pt>
                <c:pt idx="10">
                  <c:v>5464.1437466401148</c:v>
                </c:pt>
                <c:pt idx="11">
                  <c:v>5377.0420267775617</c:v>
                </c:pt>
                <c:pt idx="12">
                  <c:v>5316.8334258683071</c:v>
                </c:pt>
                <c:pt idx="13">
                  <c:v>5275.0734116356061</c:v>
                </c:pt>
                <c:pt idx="14">
                  <c:v>5247.1481804221421</c:v>
                </c:pt>
                <c:pt idx="15">
                  <c:v>5238.3317148588048</c:v>
                </c:pt>
                <c:pt idx="16">
                  <c:v>5242.4390645564126</c:v>
                </c:pt>
                <c:pt idx="17">
                  <c:v>5251.7134043382448</c:v>
                </c:pt>
              </c:numCache>
            </c:numRef>
          </c:val>
          <c:smooth val="0"/>
          <c:extLst>
            <c:ext xmlns:c16="http://schemas.microsoft.com/office/drawing/2014/chart" uri="{C3380CC4-5D6E-409C-BE32-E72D297353CC}">
              <c16:uniqueId val="{00000001-56E7-4C45-977C-A47833FD3E0C}"/>
            </c:ext>
          </c:extLst>
        </c:ser>
        <c:ser>
          <c:idx val="2"/>
          <c:order val="2"/>
          <c:tx>
            <c:strRef>
              <c:f>Outputs_with_historical_data!$B$153</c:f>
              <c:strCache>
                <c:ptCount val="1"/>
                <c:pt idx="0">
                  <c:v>Secondary retirements - historical</c:v>
                </c:pt>
              </c:strCache>
            </c:strRef>
          </c:tx>
          <c:spPr>
            <a:ln>
              <a:solidFill>
                <a:srgbClr val="FF0000"/>
              </a:solidFill>
            </a:ln>
          </c:spPr>
          <c:marker>
            <c:symbol val="none"/>
          </c:marker>
          <c:cat>
            <c:strRef>
              <c:f>Outputs_with_historical_data!$C$150:$T$150</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Outputs_with_historical_data!$C$153:$T$153</c:f>
              <c:numCache>
                <c:formatCode>#,##0</c:formatCode>
                <c:ptCount val="18"/>
                <c:pt idx="0">
                  <c:v>7912.703734365622</c:v>
                </c:pt>
                <c:pt idx="1">
                  <c:v>6979.0077246996079</c:v>
                </c:pt>
                <c:pt idx="2">
                  <c:v>6411.1199913941964</c:v>
                </c:pt>
                <c:pt idx="3">
                  <c:v>5920.5517301384343</c:v>
                </c:pt>
                <c:pt idx="4">
                  <c:v>5329.4619999999995</c:v>
                </c:pt>
              </c:numCache>
            </c:numRef>
          </c:val>
          <c:smooth val="0"/>
          <c:extLst>
            <c:ext xmlns:c16="http://schemas.microsoft.com/office/drawing/2014/chart" uri="{C3380CC4-5D6E-409C-BE32-E72D297353CC}">
              <c16:uniqueId val="{00000002-56E7-4C45-977C-A47833FD3E0C}"/>
            </c:ext>
          </c:extLst>
        </c:ser>
        <c:ser>
          <c:idx val="3"/>
          <c:order val="3"/>
          <c:tx>
            <c:strRef>
              <c:f>Outputs_with_historical_data!$B$154</c:f>
              <c:strCache>
                <c:ptCount val="1"/>
                <c:pt idx="0">
                  <c:v>Secondary retirements - projected</c:v>
                </c:pt>
              </c:strCache>
            </c:strRef>
          </c:tx>
          <c:spPr>
            <a:ln>
              <a:solidFill>
                <a:srgbClr val="FF0000"/>
              </a:solidFill>
              <a:prstDash val="sysDot"/>
            </a:ln>
          </c:spPr>
          <c:marker>
            <c:symbol val="none"/>
          </c:marker>
          <c:cat>
            <c:strRef>
              <c:f>Outputs_with_historical_data!$C$150:$T$150</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Outputs_with_historical_data!$C$154:$T$154</c:f>
              <c:numCache>
                <c:formatCode>#,##0</c:formatCode>
                <c:ptCount val="18"/>
                <c:pt idx="6">
                  <c:v>6661.2722983722251</c:v>
                </c:pt>
                <c:pt idx="7">
                  <c:v>6265.0219022993324</c:v>
                </c:pt>
                <c:pt idx="8">
                  <c:v>5930.1010555610028</c:v>
                </c:pt>
                <c:pt idx="9">
                  <c:v>5696.5148537332207</c:v>
                </c:pt>
                <c:pt idx="10">
                  <c:v>5546.9866714527416</c:v>
                </c:pt>
                <c:pt idx="11">
                  <c:v>5453.0060883042634</c:v>
                </c:pt>
                <c:pt idx="12">
                  <c:v>5407.8677434806095</c:v>
                </c:pt>
                <c:pt idx="13">
                  <c:v>5401.3660845854711</c:v>
                </c:pt>
                <c:pt idx="14">
                  <c:v>5412.4898858963006</c:v>
                </c:pt>
                <c:pt idx="15">
                  <c:v>5416.8660713723675</c:v>
                </c:pt>
                <c:pt idx="16">
                  <c:v>5424.2033349457161</c:v>
                </c:pt>
                <c:pt idx="17">
                  <c:v>5430.6554752320371</c:v>
                </c:pt>
              </c:numCache>
            </c:numRef>
          </c:val>
          <c:smooth val="0"/>
          <c:extLst>
            <c:ext xmlns:c16="http://schemas.microsoft.com/office/drawing/2014/chart" uri="{C3380CC4-5D6E-409C-BE32-E72D297353CC}">
              <c16:uniqueId val="{00000003-56E7-4C45-977C-A47833FD3E0C}"/>
            </c:ext>
          </c:extLst>
        </c:ser>
        <c:dLbls>
          <c:showLegendKey val="0"/>
          <c:showVal val="0"/>
          <c:showCatName val="0"/>
          <c:showSerName val="0"/>
          <c:showPercent val="0"/>
          <c:showBubbleSize val="0"/>
        </c:dLbls>
        <c:smooth val="0"/>
        <c:axId val="171215872"/>
        <c:axId val="171217664"/>
      </c:lineChart>
      <c:catAx>
        <c:axId val="1712158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217664"/>
        <c:crosses val="autoZero"/>
        <c:auto val="1"/>
        <c:lblAlgn val="ctr"/>
        <c:lblOffset val="100"/>
        <c:noMultiLvlLbl val="0"/>
      </c:catAx>
      <c:valAx>
        <c:axId val="1712176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retirements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215872"/>
        <c:crosses val="autoZero"/>
        <c:crossBetween val="between"/>
      </c:valAx>
      <c:spPr>
        <a:ln>
          <a:solidFill>
            <a:schemeClr val="tx1">
              <a:lumMod val="95000"/>
              <a:lumOff val="5000"/>
            </a:schemeClr>
          </a:solidFill>
        </a:ln>
      </c:spPr>
    </c:plotArea>
    <c:legend>
      <c:legendPos val="r"/>
      <c:layout>
        <c:manualLayout>
          <c:xMode val="edge"/>
          <c:yMode val="edge"/>
          <c:x val="0.79037872843214185"/>
          <c:y val="7.9646017699115043E-2"/>
          <c:w val="0.19501727232549537"/>
          <c:h val="0.7522133184679348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SCIENCES</a:t>
            </a:r>
          </a:p>
        </c:rich>
      </c:tx>
      <c:overlay val="0"/>
    </c:title>
    <c:autoTitleDeleted val="0"/>
    <c:plotArea>
      <c:layout>
        <c:manualLayout>
          <c:layoutTarget val="inner"/>
          <c:xMode val="edge"/>
          <c:yMode val="edge"/>
          <c:x val="0.11423840769903762"/>
          <c:y val="0.12283573928258967"/>
          <c:w val="0.56431028459326549"/>
          <c:h val="0.71181029454651512"/>
        </c:manualLayout>
      </c:layout>
      <c:lineChart>
        <c:grouping val="standard"/>
        <c:varyColors val="0"/>
        <c:ser>
          <c:idx val="22"/>
          <c:order val="0"/>
          <c:tx>
            <c:strRef>
              <c:f>Entrant_need_figures!$B$111</c:f>
              <c:strCache>
                <c:ptCount val="1"/>
                <c:pt idx="0">
                  <c:v>BIOLOGY All Central Scenario</c:v>
                </c:pt>
              </c:strCache>
            </c:strRef>
          </c:tx>
          <c:spPr>
            <a:ln>
              <a:solidFill>
                <a:srgbClr val="00206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Entrant_need_figures!$C$111:$N$111</c:f>
              <c:numCache>
                <c:formatCode>#,##0</c:formatCode>
                <c:ptCount val="12"/>
                <c:pt idx="0">
                  <c:v>1914.5076796152448</c:v>
                </c:pt>
                <c:pt idx="1">
                  <c:v>1456.0427186937031</c:v>
                </c:pt>
                <c:pt idx="2">
                  <c:v>1622.9690753203779</c:v>
                </c:pt>
                <c:pt idx="3">
                  <c:v>1541.0689857592392</c:v>
                </c:pt>
                <c:pt idx="4">
                  <c:v>1523.4355793739348</c:v>
                </c:pt>
                <c:pt idx="5">
                  <c:v>1554.0900491778327</c:v>
                </c:pt>
                <c:pt idx="6">
                  <c:v>1597.2525539966007</c:v>
                </c:pt>
                <c:pt idx="7">
                  <c:v>1568.3907652139583</c:v>
                </c:pt>
                <c:pt idx="8">
                  <c:v>1525.6184113063307</c:v>
                </c:pt>
                <c:pt idx="9">
                  <c:v>1543.0806641013999</c:v>
                </c:pt>
                <c:pt idx="10">
                  <c:v>1534.0714545852397</c:v>
                </c:pt>
                <c:pt idx="11">
                  <c:v>1479.2817977451632</c:v>
                </c:pt>
              </c:numCache>
            </c:numRef>
          </c:val>
          <c:smooth val="0"/>
          <c:extLst>
            <c:ext xmlns:c16="http://schemas.microsoft.com/office/drawing/2014/chart" uri="{C3380CC4-5D6E-409C-BE32-E72D297353CC}">
              <c16:uniqueId val="{00000000-15D3-490A-AB8E-456EC4EED70A}"/>
            </c:ext>
          </c:extLst>
        </c:ser>
        <c:ser>
          <c:idx val="2"/>
          <c:order val="1"/>
          <c:tx>
            <c:strRef>
              <c:f>Entrant_need_figures!$B$90</c:f>
              <c:strCache>
                <c:ptCount val="1"/>
                <c:pt idx="0">
                  <c:v>BIOLOGY Scenario Selected</c:v>
                </c:pt>
              </c:strCache>
            </c:strRef>
          </c:tx>
          <c:spPr>
            <a:ln>
              <a:solidFill>
                <a:srgbClr val="00206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Entrant_need_figures!$C$90:$N$90</c:f>
              <c:numCache>
                <c:formatCode>#,##0</c:formatCode>
                <c:ptCount val="12"/>
                <c:pt idx="0">
                  <c:v>1914.5076796152448</c:v>
                </c:pt>
                <c:pt idx="1">
                  <c:v>1456.0427186937031</c:v>
                </c:pt>
                <c:pt idx="2">
                  <c:v>1622.9690753203779</c:v>
                </c:pt>
                <c:pt idx="3">
                  <c:v>1541.0689857592392</c:v>
                </c:pt>
                <c:pt idx="4">
                  <c:v>1523.4355793739348</c:v>
                </c:pt>
                <c:pt idx="5">
                  <c:v>1554.0900491778327</c:v>
                </c:pt>
                <c:pt idx="6">
                  <c:v>1597.2525539966007</c:v>
                </c:pt>
                <c:pt idx="7">
                  <c:v>1568.3907652139583</c:v>
                </c:pt>
                <c:pt idx="8">
                  <c:v>1525.6184113063307</c:v>
                </c:pt>
                <c:pt idx="9">
                  <c:v>1543.0806641013999</c:v>
                </c:pt>
                <c:pt idx="10">
                  <c:v>1534.0714545852397</c:v>
                </c:pt>
                <c:pt idx="11">
                  <c:v>1479.2817977451632</c:v>
                </c:pt>
              </c:numCache>
            </c:numRef>
          </c:val>
          <c:smooth val="0"/>
          <c:extLst>
            <c:ext xmlns:c16="http://schemas.microsoft.com/office/drawing/2014/chart" uri="{C3380CC4-5D6E-409C-BE32-E72D297353CC}">
              <c16:uniqueId val="{00000001-15D3-490A-AB8E-456EC4EED70A}"/>
            </c:ext>
          </c:extLst>
        </c:ser>
        <c:ser>
          <c:idx val="24"/>
          <c:order val="2"/>
          <c:tx>
            <c:strRef>
              <c:f>Entrant_need_figures!$B$113</c:f>
              <c:strCache>
                <c:ptCount val="1"/>
                <c:pt idx="0">
                  <c:v>CHEMISTRY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Entrant_need_figures!$C$113:$N$113</c:f>
              <c:numCache>
                <c:formatCode>#,##0</c:formatCode>
                <c:ptCount val="12"/>
                <c:pt idx="0">
                  <c:v>1643.6448981347612</c:v>
                </c:pt>
                <c:pt idx="1">
                  <c:v>1300.1736948351936</c:v>
                </c:pt>
                <c:pt idx="2">
                  <c:v>1369.3635969078512</c:v>
                </c:pt>
                <c:pt idx="3">
                  <c:v>1370.3546697869631</c:v>
                </c:pt>
                <c:pt idx="4">
                  <c:v>1350.5794286394669</c:v>
                </c:pt>
                <c:pt idx="5">
                  <c:v>1375.8173502548311</c:v>
                </c:pt>
                <c:pt idx="6">
                  <c:v>1411.6156893113766</c:v>
                </c:pt>
                <c:pt idx="7">
                  <c:v>1375.2824750734162</c:v>
                </c:pt>
                <c:pt idx="8">
                  <c:v>1334.3803130509314</c:v>
                </c:pt>
                <c:pt idx="9">
                  <c:v>1353.9948822402539</c:v>
                </c:pt>
                <c:pt idx="10">
                  <c:v>1344.5024695298421</c:v>
                </c:pt>
                <c:pt idx="11">
                  <c:v>1283.2001953735639</c:v>
                </c:pt>
              </c:numCache>
            </c:numRef>
          </c:val>
          <c:smooth val="0"/>
          <c:extLst>
            <c:ext xmlns:c16="http://schemas.microsoft.com/office/drawing/2014/chart" uri="{C3380CC4-5D6E-409C-BE32-E72D297353CC}">
              <c16:uniqueId val="{00000002-15D3-490A-AB8E-456EC4EED70A}"/>
            </c:ext>
          </c:extLst>
        </c:ser>
        <c:ser>
          <c:idx val="4"/>
          <c:order val="3"/>
          <c:tx>
            <c:strRef>
              <c:f>Entrant_need_figures!$B$92</c:f>
              <c:strCache>
                <c:ptCount val="1"/>
                <c:pt idx="0">
                  <c:v>CHEMISTRY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Entrant_need_figures!$C$92:$N$92</c:f>
              <c:numCache>
                <c:formatCode>#,##0</c:formatCode>
                <c:ptCount val="12"/>
                <c:pt idx="0">
                  <c:v>1643.6448981347612</c:v>
                </c:pt>
                <c:pt idx="1">
                  <c:v>1300.1736948351936</c:v>
                </c:pt>
                <c:pt idx="2">
                  <c:v>1369.3635969078512</c:v>
                </c:pt>
                <c:pt idx="3">
                  <c:v>1370.3546697869631</c:v>
                </c:pt>
                <c:pt idx="4">
                  <c:v>1350.5794286394669</c:v>
                </c:pt>
                <c:pt idx="5">
                  <c:v>1375.8173502548311</c:v>
                </c:pt>
                <c:pt idx="6">
                  <c:v>1411.6156893113766</c:v>
                </c:pt>
                <c:pt idx="7">
                  <c:v>1375.2824750734162</c:v>
                </c:pt>
                <c:pt idx="8">
                  <c:v>1334.3803130509314</c:v>
                </c:pt>
                <c:pt idx="9">
                  <c:v>1353.9948822402539</c:v>
                </c:pt>
                <c:pt idx="10">
                  <c:v>1344.5024695298421</c:v>
                </c:pt>
                <c:pt idx="11">
                  <c:v>1283.2001953735639</c:v>
                </c:pt>
              </c:numCache>
            </c:numRef>
          </c:val>
          <c:smooth val="0"/>
          <c:extLst>
            <c:ext xmlns:c16="http://schemas.microsoft.com/office/drawing/2014/chart" uri="{C3380CC4-5D6E-409C-BE32-E72D297353CC}">
              <c16:uniqueId val="{00000003-15D3-490A-AB8E-456EC4EED70A}"/>
            </c:ext>
          </c:extLst>
        </c:ser>
        <c:ser>
          <c:idx val="37"/>
          <c:order val="4"/>
          <c:tx>
            <c:strRef>
              <c:f>Entrant_need_figures!$B$127</c:f>
              <c:strCache>
                <c:ptCount val="1"/>
                <c:pt idx="0">
                  <c:v>PHYSICS All Central Scenario</c:v>
                </c:pt>
              </c:strCache>
            </c:strRef>
          </c:tx>
          <c:spPr>
            <a:ln>
              <a:solidFill>
                <a:srgbClr val="92D05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Entrant_need_figures!$C$127:$N$127</c:f>
              <c:numCache>
                <c:formatCode>#,##0</c:formatCode>
                <c:ptCount val="12"/>
                <c:pt idx="0">
                  <c:v>1631.0443069596247</c:v>
                </c:pt>
                <c:pt idx="1">
                  <c:v>1285.3823896686515</c:v>
                </c:pt>
                <c:pt idx="2">
                  <c:v>1355.7186393380998</c:v>
                </c:pt>
                <c:pt idx="3">
                  <c:v>1351.3681617479645</c:v>
                </c:pt>
                <c:pt idx="4">
                  <c:v>1326.0834198792879</c:v>
                </c:pt>
                <c:pt idx="5">
                  <c:v>1347.1957044035869</c:v>
                </c:pt>
                <c:pt idx="6">
                  <c:v>1378.2996306252403</c:v>
                </c:pt>
                <c:pt idx="7">
                  <c:v>1336.4078717100294</c:v>
                </c:pt>
                <c:pt idx="8">
                  <c:v>1290.9992024313312</c:v>
                </c:pt>
                <c:pt idx="9">
                  <c:v>1312.4413665041593</c:v>
                </c:pt>
                <c:pt idx="10">
                  <c:v>1301.8671056283961</c:v>
                </c:pt>
                <c:pt idx="11">
                  <c:v>1234.9691066198673</c:v>
                </c:pt>
              </c:numCache>
            </c:numRef>
          </c:val>
          <c:smooth val="0"/>
          <c:extLst>
            <c:ext xmlns:c16="http://schemas.microsoft.com/office/drawing/2014/chart" uri="{C3380CC4-5D6E-409C-BE32-E72D297353CC}">
              <c16:uniqueId val="{00000004-15D3-490A-AB8E-456EC4EED70A}"/>
            </c:ext>
          </c:extLst>
        </c:ser>
        <c:ser>
          <c:idx val="17"/>
          <c:order val="5"/>
          <c:tx>
            <c:strRef>
              <c:f>Entrant_need_figures!$B$106</c:f>
              <c:strCache>
                <c:ptCount val="1"/>
                <c:pt idx="0">
                  <c:v>PHYSICS Scenario Selected</c:v>
                </c:pt>
              </c:strCache>
            </c:strRef>
          </c:tx>
          <c:spPr>
            <a:ln>
              <a:solidFill>
                <a:srgbClr val="92D05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Entrant_need_figures!$C$106:$N$106</c:f>
              <c:numCache>
                <c:formatCode>#,##0</c:formatCode>
                <c:ptCount val="12"/>
                <c:pt idx="0">
                  <c:v>1631.0443069596247</c:v>
                </c:pt>
                <c:pt idx="1">
                  <c:v>1285.3823896686515</c:v>
                </c:pt>
                <c:pt idx="2">
                  <c:v>1355.7186393380998</c:v>
                </c:pt>
                <c:pt idx="3">
                  <c:v>1351.3681617479645</c:v>
                </c:pt>
                <c:pt idx="4">
                  <c:v>1326.0834198792879</c:v>
                </c:pt>
                <c:pt idx="5">
                  <c:v>1347.1957044035869</c:v>
                </c:pt>
                <c:pt idx="6">
                  <c:v>1378.2996306252403</c:v>
                </c:pt>
                <c:pt idx="7">
                  <c:v>1336.4078717100294</c:v>
                </c:pt>
                <c:pt idx="8">
                  <c:v>1290.9992024313312</c:v>
                </c:pt>
                <c:pt idx="9">
                  <c:v>1312.4413665041593</c:v>
                </c:pt>
                <c:pt idx="10">
                  <c:v>1301.8671056283961</c:v>
                </c:pt>
                <c:pt idx="11">
                  <c:v>1234.9691066198673</c:v>
                </c:pt>
              </c:numCache>
            </c:numRef>
          </c:val>
          <c:smooth val="0"/>
          <c:extLst>
            <c:ext xmlns:c16="http://schemas.microsoft.com/office/drawing/2014/chart" uri="{C3380CC4-5D6E-409C-BE32-E72D297353CC}">
              <c16:uniqueId val="{00000005-15D3-490A-AB8E-456EC4EED70A}"/>
            </c:ext>
          </c:extLst>
        </c:ser>
        <c:dLbls>
          <c:showLegendKey val="0"/>
          <c:showVal val="0"/>
          <c:showCatName val="0"/>
          <c:showSerName val="0"/>
          <c:showPercent val="0"/>
          <c:showBubbleSize val="0"/>
        </c:dLbls>
        <c:smooth val="0"/>
        <c:axId val="148297216"/>
        <c:axId val="148298752"/>
      </c:lineChart>
      <c:catAx>
        <c:axId val="148297216"/>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298752"/>
        <c:crosses val="autoZero"/>
        <c:auto val="1"/>
        <c:lblAlgn val="ctr"/>
        <c:lblOffset val="100"/>
        <c:noMultiLvlLbl val="0"/>
      </c:catAx>
      <c:valAx>
        <c:axId val="14829875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297216"/>
        <c:crosses val="autoZero"/>
        <c:crossBetween val="between"/>
      </c:valAx>
      <c:spPr>
        <a:ln>
          <a:solidFill>
            <a:schemeClr val="tx1">
              <a:lumMod val="95000"/>
              <a:lumOff val="5000"/>
            </a:schemeClr>
          </a:solidFill>
        </a:ln>
      </c:spPr>
    </c:plotArea>
    <c:legend>
      <c:legendPos val="r"/>
      <c:layout>
        <c:manualLayout>
          <c:xMode val="edge"/>
          <c:yMode val="edge"/>
          <c:x val="0.70075433900250683"/>
          <c:y val="4.3554189872607389E-2"/>
          <c:w val="0.28164289223067263"/>
          <c:h val="0.8745673863937739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retirement rate</a:t>
            </a:r>
          </a:p>
        </c:rich>
      </c:tx>
      <c:overlay val="0"/>
    </c:title>
    <c:autoTitleDeleted val="0"/>
    <c:plotArea>
      <c:layout>
        <c:manualLayout>
          <c:layoutTarget val="inner"/>
          <c:xMode val="edge"/>
          <c:yMode val="edge"/>
          <c:x val="0.13054502446453453"/>
          <c:y val="9.9468816397950258E-2"/>
          <c:w val="0.63052701146169676"/>
          <c:h val="0.74228280988685935"/>
        </c:manualLayout>
      </c:layout>
      <c:lineChart>
        <c:grouping val="standard"/>
        <c:varyColors val="0"/>
        <c:ser>
          <c:idx val="0"/>
          <c:order val="0"/>
          <c:tx>
            <c:strRef>
              <c:f>Outputs_with_historical_data!$B$180</c:f>
              <c:strCache>
                <c:ptCount val="1"/>
                <c:pt idx="0">
                  <c:v>Primary retirement rate - historical</c:v>
                </c:pt>
              </c:strCache>
            </c:strRef>
          </c:tx>
          <c:spPr>
            <a:ln>
              <a:solidFill>
                <a:schemeClr val="tx1">
                  <a:lumMod val="95000"/>
                  <a:lumOff val="5000"/>
                </a:schemeClr>
              </a:solidFill>
            </a:ln>
          </c:spPr>
          <c:marker>
            <c:symbol val="none"/>
          </c:marker>
          <c:cat>
            <c:strRef>
              <c:f>Outputs_with_historical_data!$C$179:$T$179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Outputs_with_historical_data!$C$180:$T$180</c:f>
              <c:numCache>
                <c:formatCode>0%</c:formatCode>
                <c:ptCount val="18"/>
                <c:pt idx="0">
                  <c:v>3.1192392741321545E-2</c:v>
                </c:pt>
                <c:pt idx="1">
                  <c:v>3.0164174187841973E-2</c:v>
                </c:pt>
                <c:pt idx="2">
                  <c:v>2.7315723186509759E-2</c:v>
                </c:pt>
                <c:pt idx="3">
                  <c:v>2.5690554969858413E-2</c:v>
                </c:pt>
                <c:pt idx="4">
                  <c:v>2.0644772834116091E-2</c:v>
                </c:pt>
              </c:numCache>
            </c:numRef>
          </c:val>
          <c:smooth val="0"/>
          <c:extLst>
            <c:ext xmlns:c16="http://schemas.microsoft.com/office/drawing/2014/chart" uri="{C3380CC4-5D6E-409C-BE32-E72D297353CC}">
              <c16:uniqueId val="{00000000-523D-4E09-AFCA-C12E16BBB5EB}"/>
            </c:ext>
          </c:extLst>
        </c:ser>
        <c:ser>
          <c:idx val="1"/>
          <c:order val="1"/>
          <c:tx>
            <c:strRef>
              <c:f>Outputs_with_historical_data!$B$181</c:f>
              <c:strCache>
                <c:ptCount val="1"/>
                <c:pt idx="0">
                  <c:v>Primary retirement rate - projected</c:v>
                </c:pt>
              </c:strCache>
            </c:strRef>
          </c:tx>
          <c:spPr>
            <a:ln>
              <a:solidFill>
                <a:schemeClr val="tx1">
                  <a:lumMod val="95000"/>
                  <a:lumOff val="5000"/>
                </a:schemeClr>
              </a:solidFill>
              <a:prstDash val="sysDot"/>
            </a:ln>
          </c:spPr>
          <c:marker>
            <c:symbol val="none"/>
          </c:marker>
          <c:cat>
            <c:strRef>
              <c:f>Outputs_with_historical_data!$C$179:$T$179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Outputs_with_historical_data!$C$181:$T$181</c:f>
              <c:numCache>
                <c:formatCode>0%</c:formatCode>
                <c:ptCount val="18"/>
                <c:pt idx="6" formatCode="0.0%">
                  <c:v>2.5455779990930905E-2</c:v>
                </c:pt>
                <c:pt idx="7" formatCode="0.0%">
                  <c:v>2.4409239041921275E-2</c:v>
                </c:pt>
                <c:pt idx="8" formatCode="0.0%">
                  <c:v>2.3535350633409773E-2</c:v>
                </c:pt>
                <c:pt idx="9" formatCode="0.0%">
                  <c:v>2.2868501694322061E-2</c:v>
                </c:pt>
                <c:pt idx="10" formatCode="0.0%">
                  <c:v>2.2324809993576118E-2</c:v>
                </c:pt>
                <c:pt idx="11" formatCode="0.0%">
                  <c:v>2.1961649312160353E-2</c:v>
                </c:pt>
                <c:pt idx="12" formatCode="0.0%">
                  <c:v>2.1734522203292788E-2</c:v>
                </c:pt>
                <c:pt idx="13">
                  <c:v>2.1598492501938332E-2</c:v>
                </c:pt>
                <c:pt idx="14">
                  <c:v>2.1463309136651006E-2</c:v>
                </c:pt>
                <c:pt idx="15">
                  <c:v>2.1367238347126102E-2</c:v>
                </c:pt>
                <c:pt idx="16">
                  <c:v>2.1319565366151667E-2</c:v>
                </c:pt>
                <c:pt idx="17">
                  <c:v>2.130911296323219E-2</c:v>
                </c:pt>
              </c:numCache>
            </c:numRef>
          </c:val>
          <c:smooth val="0"/>
          <c:extLst>
            <c:ext xmlns:c16="http://schemas.microsoft.com/office/drawing/2014/chart" uri="{C3380CC4-5D6E-409C-BE32-E72D297353CC}">
              <c16:uniqueId val="{00000001-523D-4E09-AFCA-C12E16BBB5EB}"/>
            </c:ext>
          </c:extLst>
        </c:ser>
        <c:ser>
          <c:idx val="2"/>
          <c:order val="2"/>
          <c:tx>
            <c:strRef>
              <c:f>Outputs_with_historical_data!$B$182</c:f>
              <c:strCache>
                <c:ptCount val="1"/>
                <c:pt idx="0">
                  <c:v>Secondary retirement rate - historical</c:v>
                </c:pt>
              </c:strCache>
            </c:strRef>
          </c:tx>
          <c:spPr>
            <a:ln>
              <a:solidFill>
                <a:srgbClr val="FF0000"/>
              </a:solidFill>
            </a:ln>
          </c:spPr>
          <c:marker>
            <c:symbol val="none"/>
          </c:marker>
          <c:cat>
            <c:strRef>
              <c:f>Outputs_with_historical_data!$C$179:$T$179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Outputs_with_historical_data!$C$182:$T$182</c:f>
              <c:numCache>
                <c:formatCode>0%</c:formatCode>
                <c:ptCount val="18"/>
                <c:pt idx="0">
                  <c:v>3.5658766029197701E-2</c:v>
                </c:pt>
                <c:pt idx="1">
                  <c:v>3.1840921003481494E-2</c:v>
                </c:pt>
                <c:pt idx="2">
                  <c:v>2.9148862159675826E-2</c:v>
                </c:pt>
                <c:pt idx="3">
                  <c:v>2.7180419547140542E-2</c:v>
                </c:pt>
                <c:pt idx="4">
                  <c:v>2.4711913350376816E-2</c:v>
                </c:pt>
              </c:numCache>
            </c:numRef>
          </c:val>
          <c:smooth val="0"/>
          <c:extLst>
            <c:ext xmlns:c16="http://schemas.microsoft.com/office/drawing/2014/chart" uri="{C3380CC4-5D6E-409C-BE32-E72D297353CC}">
              <c16:uniqueId val="{00000002-523D-4E09-AFCA-C12E16BBB5EB}"/>
            </c:ext>
          </c:extLst>
        </c:ser>
        <c:ser>
          <c:idx val="3"/>
          <c:order val="3"/>
          <c:tx>
            <c:strRef>
              <c:f>Outputs_with_historical_data!$B$183</c:f>
              <c:strCache>
                <c:ptCount val="1"/>
                <c:pt idx="0">
                  <c:v>Secondary retirement rate - projected</c:v>
                </c:pt>
              </c:strCache>
            </c:strRef>
          </c:tx>
          <c:spPr>
            <a:ln>
              <a:solidFill>
                <a:srgbClr val="FF0000"/>
              </a:solidFill>
              <a:prstDash val="sysDot"/>
            </a:ln>
          </c:spPr>
          <c:marker>
            <c:symbol val="none"/>
          </c:marker>
          <c:cat>
            <c:strRef>
              <c:f>Outputs_with_historical_data!$C$179:$T$179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Outputs_with_historical_data!$C$183:$T$183</c:f>
              <c:numCache>
                <c:formatCode>0%</c:formatCode>
                <c:ptCount val="18"/>
                <c:pt idx="6" formatCode="0.0%">
                  <c:v>3.1130931232025701E-2</c:v>
                </c:pt>
                <c:pt idx="7" formatCode="0.0%">
                  <c:v>2.9079012428741915E-2</c:v>
                </c:pt>
                <c:pt idx="8" formatCode="0.0%">
                  <c:v>2.7244091238633594E-2</c:v>
                </c:pt>
                <c:pt idx="9" formatCode="0.0%">
                  <c:v>2.5879956185645526E-2</c:v>
                </c:pt>
                <c:pt idx="10" formatCode="0.0%">
                  <c:v>2.4977063876930699E-2</c:v>
                </c:pt>
                <c:pt idx="11" formatCode="0.0%">
                  <c:v>2.4342403219217722E-2</c:v>
                </c:pt>
                <c:pt idx="12" formatCode="0.0%">
                  <c:v>2.3916438219375922E-2</c:v>
                </c:pt>
                <c:pt idx="13">
                  <c:v>2.3699228377616021E-2</c:v>
                </c:pt>
                <c:pt idx="14">
                  <c:v>2.3679941480356608E-2</c:v>
                </c:pt>
                <c:pt idx="15">
                  <c:v>2.3672616127153358E-2</c:v>
                </c:pt>
                <c:pt idx="16">
                  <c:v>2.3716449074006593E-2</c:v>
                </c:pt>
                <c:pt idx="17">
                  <c:v>2.3778216877774459E-2</c:v>
                </c:pt>
              </c:numCache>
            </c:numRef>
          </c:val>
          <c:smooth val="0"/>
          <c:extLst>
            <c:ext xmlns:c16="http://schemas.microsoft.com/office/drawing/2014/chart" uri="{C3380CC4-5D6E-409C-BE32-E72D297353CC}">
              <c16:uniqueId val="{00000003-523D-4E09-AFCA-C12E16BBB5EB}"/>
            </c:ext>
          </c:extLst>
        </c:ser>
        <c:dLbls>
          <c:showLegendKey val="0"/>
          <c:showVal val="0"/>
          <c:showCatName val="0"/>
          <c:showSerName val="0"/>
          <c:showPercent val="0"/>
          <c:showBubbleSize val="0"/>
        </c:dLbls>
        <c:smooth val="0"/>
        <c:axId val="171017344"/>
        <c:axId val="171018880"/>
      </c:lineChart>
      <c:catAx>
        <c:axId val="17101734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18880"/>
        <c:crosses val="autoZero"/>
        <c:auto val="1"/>
        <c:lblAlgn val="ctr"/>
        <c:lblOffset val="100"/>
        <c:noMultiLvlLbl val="0"/>
      </c:catAx>
      <c:valAx>
        <c:axId val="17101888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retirement rate (proportion of teachers leaving as retirements)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17344"/>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78216123499142365"/>
          <c:y val="8.5044296149198353E-2"/>
          <c:w val="0.20154382931979131"/>
          <c:h val="0.7917910114608107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as deaths in service</a:t>
            </a:r>
          </a:p>
        </c:rich>
      </c:tx>
      <c:overlay val="0"/>
    </c:title>
    <c:autoTitleDeleted val="0"/>
    <c:plotArea>
      <c:layout>
        <c:manualLayout>
          <c:layoutTarget val="inner"/>
          <c:xMode val="edge"/>
          <c:yMode val="edge"/>
          <c:x val="0.12339410488487146"/>
          <c:y val="0.1069500119303269"/>
          <c:w val="0.6391404671538361"/>
          <c:h val="0.71968444285373423"/>
        </c:manualLayout>
      </c:layout>
      <c:lineChart>
        <c:grouping val="standard"/>
        <c:varyColors val="0"/>
        <c:ser>
          <c:idx val="0"/>
          <c:order val="0"/>
          <c:tx>
            <c:strRef>
              <c:f>Outputs_with_historical_data!$B$210</c:f>
              <c:strCache>
                <c:ptCount val="1"/>
                <c:pt idx="0">
                  <c:v>Primary deaths - historical</c:v>
                </c:pt>
              </c:strCache>
            </c:strRef>
          </c:tx>
          <c:spPr>
            <a:ln>
              <a:solidFill>
                <a:schemeClr val="tx1">
                  <a:lumMod val="95000"/>
                  <a:lumOff val="5000"/>
                </a:schemeClr>
              </a:solidFill>
            </a:ln>
          </c:spPr>
          <c:marker>
            <c:symbol val="none"/>
          </c:marker>
          <c:cat>
            <c:strRef>
              <c:f>Outputs_with_historical_data!$C$209:$T$209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Outputs_with_historical_data!$C$210:$T$210</c:f>
              <c:numCache>
                <c:formatCode>#,##0</c:formatCode>
                <c:ptCount val="18"/>
                <c:pt idx="0">
                  <c:v>108.32561868123376</c:v>
                </c:pt>
                <c:pt idx="1">
                  <c:v>123.78999256339159</c:v>
                </c:pt>
                <c:pt idx="2">
                  <c:v>81.188469372073087</c:v>
                </c:pt>
                <c:pt idx="3">
                  <c:v>97.700202673964625</c:v>
                </c:pt>
                <c:pt idx="4">
                  <c:v>97.700202673964625</c:v>
                </c:pt>
              </c:numCache>
            </c:numRef>
          </c:val>
          <c:smooth val="0"/>
          <c:extLst>
            <c:ext xmlns:c16="http://schemas.microsoft.com/office/drawing/2014/chart" uri="{C3380CC4-5D6E-409C-BE32-E72D297353CC}">
              <c16:uniqueId val="{00000000-2C46-479D-A60A-9F57B908FA14}"/>
            </c:ext>
          </c:extLst>
        </c:ser>
        <c:ser>
          <c:idx val="1"/>
          <c:order val="1"/>
          <c:tx>
            <c:strRef>
              <c:f>Outputs_with_historical_data!$B$211</c:f>
              <c:strCache>
                <c:ptCount val="1"/>
                <c:pt idx="0">
                  <c:v>Primary deaths - projected</c:v>
                </c:pt>
              </c:strCache>
            </c:strRef>
          </c:tx>
          <c:spPr>
            <a:ln>
              <a:solidFill>
                <a:schemeClr val="tx1">
                  <a:lumMod val="95000"/>
                  <a:lumOff val="5000"/>
                </a:schemeClr>
              </a:solidFill>
              <a:prstDash val="sysDot"/>
            </a:ln>
          </c:spPr>
          <c:marker>
            <c:symbol val="none"/>
          </c:marker>
          <c:cat>
            <c:strRef>
              <c:f>Outputs_with_historical_data!$C$209:$T$209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Outputs_with_historical_data!$C$211:$T$211</c:f>
              <c:numCache>
                <c:formatCode>#,##0</c:formatCode>
                <c:ptCount val="18"/>
                <c:pt idx="6">
                  <c:v>102.25039017757025</c:v>
                </c:pt>
                <c:pt idx="7">
                  <c:v>101.57911714039349</c:v>
                </c:pt>
                <c:pt idx="8">
                  <c:v>101.10775246428955</c:v>
                </c:pt>
                <c:pt idx="9">
                  <c:v>100.81424732298102</c:v>
                </c:pt>
                <c:pt idx="10">
                  <c:v>100.61089583646418</c:v>
                </c:pt>
                <c:pt idx="11">
                  <c:v>100.61764922688974</c:v>
                </c:pt>
                <c:pt idx="12">
                  <c:v>100.65859833230809</c:v>
                </c:pt>
                <c:pt idx="13">
                  <c:v>100.65710240801671</c:v>
                </c:pt>
                <c:pt idx="14">
                  <c:v>100.61003874402275</c:v>
                </c:pt>
                <c:pt idx="15">
                  <c:v>100.70970553141466</c:v>
                </c:pt>
                <c:pt idx="16">
                  <c:v>100.91041036968649</c:v>
                </c:pt>
                <c:pt idx="17">
                  <c:v>101.11318991544755</c:v>
                </c:pt>
              </c:numCache>
            </c:numRef>
          </c:val>
          <c:smooth val="0"/>
          <c:extLst>
            <c:ext xmlns:c16="http://schemas.microsoft.com/office/drawing/2014/chart" uri="{C3380CC4-5D6E-409C-BE32-E72D297353CC}">
              <c16:uniqueId val="{00000001-2C46-479D-A60A-9F57B908FA14}"/>
            </c:ext>
          </c:extLst>
        </c:ser>
        <c:ser>
          <c:idx val="2"/>
          <c:order val="2"/>
          <c:tx>
            <c:strRef>
              <c:f>Outputs_with_historical_data!$B$212</c:f>
              <c:strCache>
                <c:ptCount val="1"/>
                <c:pt idx="0">
                  <c:v>Secondary deaths - historical</c:v>
                </c:pt>
              </c:strCache>
            </c:strRef>
          </c:tx>
          <c:spPr>
            <a:ln>
              <a:solidFill>
                <a:srgbClr val="FF0000"/>
              </a:solidFill>
            </a:ln>
          </c:spPr>
          <c:marker>
            <c:symbol val="none"/>
          </c:marker>
          <c:cat>
            <c:strRef>
              <c:f>Outputs_with_historical_data!$C$209:$T$209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Outputs_with_historical_data!$C$212:$T$212</c:f>
              <c:numCache>
                <c:formatCode>#,##0</c:formatCode>
                <c:ptCount val="18"/>
                <c:pt idx="0">
                  <c:v>125.67159650001329</c:v>
                </c:pt>
                <c:pt idx="1">
                  <c:v>125.43187980730896</c:v>
                </c:pt>
                <c:pt idx="2">
                  <c:v>105.5678073493911</c:v>
                </c:pt>
                <c:pt idx="3">
                  <c:v>108.77852307632574</c:v>
                </c:pt>
                <c:pt idx="4">
                  <c:v>108.77852307632574</c:v>
                </c:pt>
              </c:numCache>
            </c:numRef>
          </c:val>
          <c:smooth val="0"/>
          <c:extLst>
            <c:ext xmlns:c16="http://schemas.microsoft.com/office/drawing/2014/chart" uri="{C3380CC4-5D6E-409C-BE32-E72D297353CC}">
              <c16:uniqueId val="{00000002-2C46-479D-A60A-9F57B908FA14}"/>
            </c:ext>
          </c:extLst>
        </c:ser>
        <c:ser>
          <c:idx val="3"/>
          <c:order val="3"/>
          <c:tx>
            <c:strRef>
              <c:f>Outputs_with_historical_data!$B$213</c:f>
              <c:strCache>
                <c:ptCount val="1"/>
                <c:pt idx="0">
                  <c:v>Secondary deaths - projected</c:v>
                </c:pt>
              </c:strCache>
            </c:strRef>
          </c:tx>
          <c:spPr>
            <a:ln>
              <a:solidFill>
                <a:srgbClr val="FF0000"/>
              </a:solidFill>
              <a:prstDash val="sysDot"/>
            </a:ln>
          </c:spPr>
          <c:marker>
            <c:symbol val="none"/>
          </c:marker>
          <c:cat>
            <c:strRef>
              <c:f>Outputs_with_historical_data!$C$209:$T$209</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Outputs_with_historical_data!$C$213:$T$213</c:f>
              <c:numCache>
                <c:formatCode>#,##0</c:formatCode>
                <c:ptCount val="18"/>
                <c:pt idx="6">
                  <c:v>123.68578089245334</c:v>
                </c:pt>
                <c:pt idx="7">
                  <c:v>123.14732387966208</c:v>
                </c:pt>
                <c:pt idx="8">
                  <c:v>121.6294595075795</c:v>
                </c:pt>
                <c:pt idx="9">
                  <c:v>120.28621766306732</c:v>
                </c:pt>
                <c:pt idx="10">
                  <c:v>119.33635937226165</c:v>
                </c:pt>
                <c:pt idx="11">
                  <c:v>118.66665627160998</c:v>
                </c:pt>
                <c:pt idx="12">
                  <c:v>118.41705076740766</c:v>
                </c:pt>
                <c:pt idx="13">
                  <c:v>118.59125915094695</c:v>
                </c:pt>
                <c:pt idx="14">
                  <c:v>118.92558728612261</c:v>
                </c:pt>
                <c:pt idx="15">
                  <c:v>119.02919117248818</c:v>
                </c:pt>
                <c:pt idx="16">
                  <c:v>119.11818540957348</c:v>
                </c:pt>
                <c:pt idx="17">
                  <c:v>119.15373928221817</c:v>
                </c:pt>
              </c:numCache>
            </c:numRef>
          </c:val>
          <c:smooth val="0"/>
          <c:extLst>
            <c:ext xmlns:c16="http://schemas.microsoft.com/office/drawing/2014/chart" uri="{C3380CC4-5D6E-409C-BE32-E72D297353CC}">
              <c16:uniqueId val="{00000003-2C46-479D-A60A-9F57B908FA14}"/>
            </c:ext>
          </c:extLst>
        </c:ser>
        <c:dLbls>
          <c:showLegendKey val="0"/>
          <c:showVal val="0"/>
          <c:showCatName val="0"/>
          <c:showSerName val="0"/>
          <c:showPercent val="0"/>
          <c:showBubbleSize val="0"/>
        </c:dLbls>
        <c:smooth val="0"/>
        <c:axId val="171064320"/>
        <c:axId val="171086592"/>
      </c:lineChart>
      <c:catAx>
        <c:axId val="17106432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086592"/>
        <c:crosses val="autoZero"/>
        <c:auto val="1"/>
        <c:lblAlgn val="ctr"/>
        <c:lblOffset val="100"/>
        <c:noMultiLvlLbl val="0"/>
      </c:catAx>
      <c:valAx>
        <c:axId val="1710865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as deaths in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064320"/>
        <c:crosses val="autoZero"/>
        <c:crossBetween val="between"/>
      </c:valAx>
      <c:spPr>
        <a:ln>
          <a:solidFill>
            <a:schemeClr val="tx1">
              <a:lumMod val="95000"/>
              <a:lumOff val="5000"/>
            </a:schemeClr>
          </a:solidFill>
        </a:ln>
      </c:spPr>
    </c:plotArea>
    <c:legend>
      <c:legendPos val="r"/>
      <c:layout>
        <c:manualLayout>
          <c:xMode val="edge"/>
          <c:yMode val="edge"/>
          <c:x val="0.78044596912521436"/>
          <c:y val="8.2352941176470587E-2"/>
          <c:w val="0.20325909518600049"/>
          <c:h val="0.7426472132159951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deaths in service rate</a:t>
            </a:r>
          </a:p>
        </c:rich>
      </c:tx>
      <c:overlay val="0"/>
    </c:title>
    <c:autoTitleDeleted val="0"/>
    <c:plotArea>
      <c:layout>
        <c:manualLayout>
          <c:layoutTarget val="inner"/>
          <c:xMode val="edge"/>
          <c:yMode val="edge"/>
          <c:x val="0.16398123845630408"/>
          <c:y val="9.9468816397950258E-2"/>
          <c:w val="0.59527804528031114"/>
          <c:h val="0.72716565191255855"/>
        </c:manualLayout>
      </c:layout>
      <c:lineChart>
        <c:grouping val="standard"/>
        <c:varyColors val="0"/>
        <c:ser>
          <c:idx val="0"/>
          <c:order val="0"/>
          <c:tx>
            <c:strRef>
              <c:f>Outputs_with_historical_data!$B$239</c:f>
              <c:strCache>
                <c:ptCount val="1"/>
                <c:pt idx="0">
                  <c:v>Primary deaths rate - historical</c:v>
                </c:pt>
              </c:strCache>
            </c:strRef>
          </c:tx>
          <c:spPr>
            <a:ln>
              <a:solidFill>
                <a:schemeClr val="tx1">
                  <a:lumMod val="95000"/>
                  <a:lumOff val="5000"/>
                </a:schemeClr>
              </a:solidFill>
            </a:ln>
          </c:spPr>
          <c:marker>
            <c:symbol val="none"/>
          </c:marker>
          <c:cat>
            <c:strRef>
              <c:f>Outputs_with_historical_data!$C$238:$T$238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Outputs_with_historical_data!$C$239:$T$239</c:f>
              <c:numCache>
                <c:formatCode>0.00%</c:formatCode>
                <c:ptCount val="18"/>
                <c:pt idx="0">
                  <c:v>4.9964984795271533E-4</c:v>
                </c:pt>
                <c:pt idx="1">
                  <c:v>5.6329816827879937E-4</c:v>
                </c:pt>
                <c:pt idx="2">
                  <c:v>3.6033978979403794E-4</c:v>
                </c:pt>
                <c:pt idx="3">
                  <c:v>4.2400526141250062E-4</c:v>
                </c:pt>
                <c:pt idx="4">
                  <c:v>4.14998149286098E-4</c:v>
                </c:pt>
              </c:numCache>
            </c:numRef>
          </c:val>
          <c:smooth val="0"/>
          <c:extLst>
            <c:ext xmlns:c16="http://schemas.microsoft.com/office/drawing/2014/chart" uri="{C3380CC4-5D6E-409C-BE32-E72D297353CC}">
              <c16:uniqueId val="{00000000-5189-4ADA-94CF-BC0C6D157C84}"/>
            </c:ext>
          </c:extLst>
        </c:ser>
        <c:ser>
          <c:idx val="1"/>
          <c:order val="1"/>
          <c:tx>
            <c:strRef>
              <c:f>Outputs_with_historical_data!$B$240</c:f>
              <c:strCache>
                <c:ptCount val="1"/>
                <c:pt idx="0">
                  <c:v>Primary deaths rate - projected</c:v>
                </c:pt>
              </c:strCache>
            </c:strRef>
          </c:tx>
          <c:spPr>
            <a:ln>
              <a:solidFill>
                <a:schemeClr val="tx1">
                  <a:lumMod val="95000"/>
                  <a:lumOff val="5000"/>
                </a:schemeClr>
              </a:solidFill>
              <a:prstDash val="sysDot"/>
            </a:ln>
          </c:spPr>
          <c:marker>
            <c:symbol val="none"/>
          </c:marker>
          <c:cat>
            <c:strRef>
              <c:f>Outputs_with_historical_data!$C$238:$T$238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Outputs_with_historical_data!$C$240:$T$240</c:f>
              <c:numCache>
                <c:formatCode>0.00%</c:formatCode>
                <c:ptCount val="18"/>
                <c:pt idx="6">
                  <c:v>4.2201658944890895E-4</c:v>
                </c:pt>
                <c:pt idx="7">
                  <c:v>4.1662116822420642E-4</c:v>
                </c:pt>
                <c:pt idx="8">
                  <c:v>4.1357430984416378E-4</c:v>
                </c:pt>
                <c:pt idx="9">
                  <c:v>4.1233987097487361E-4</c:v>
                </c:pt>
                <c:pt idx="10">
                  <c:v>4.110651617124226E-4</c:v>
                </c:pt>
                <c:pt idx="11">
                  <c:v>4.1095634289828976E-4</c:v>
                </c:pt>
                <c:pt idx="12">
                  <c:v>4.1147923306410347E-4</c:v>
                </c:pt>
                <c:pt idx="13">
                  <c:v>4.1213486561740516E-4</c:v>
                </c:pt>
                <c:pt idx="14">
                  <c:v>4.11542477849304E-4</c:v>
                </c:pt>
                <c:pt idx="15">
                  <c:v>4.1079649000743421E-4</c:v>
                </c:pt>
                <c:pt idx="16">
                  <c:v>4.103750303073398E-4</c:v>
                </c:pt>
                <c:pt idx="17">
                  <c:v>4.1027227117937555E-4</c:v>
                </c:pt>
              </c:numCache>
            </c:numRef>
          </c:val>
          <c:smooth val="0"/>
          <c:extLst>
            <c:ext xmlns:c16="http://schemas.microsoft.com/office/drawing/2014/chart" uri="{C3380CC4-5D6E-409C-BE32-E72D297353CC}">
              <c16:uniqueId val="{00000001-5189-4ADA-94CF-BC0C6D157C84}"/>
            </c:ext>
          </c:extLst>
        </c:ser>
        <c:ser>
          <c:idx val="2"/>
          <c:order val="2"/>
          <c:tx>
            <c:strRef>
              <c:f>Outputs_with_historical_data!$B$241</c:f>
              <c:strCache>
                <c:ptCount val="1"/>
                <c:pt idx="0">
                  <c:v>Secondary deaths rate - historical</c:v>
                </c:pt>
              </c:strCache>
            </c:strRef>
          </c:tx>
          <c:spPr>
            <a:ln>
              <a:solidFill>
                <a:srgbClr val="FF0000"/>
              </a:solidFill>
            </a:ln>
          </c:spPr>
          <c:marker>
            <c:symbol val="none"/>
          </c:marker>
          <c:cat>
            <c:strRef>
              <c:f>Outputs_with_historical_data!$C$238:$T$238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Outputs_with_historical_data!$C$241:$T$241</c:f>
              <c:numCache>
                <c:formatCode>0.00%</c:formatCode>
                <c:ptCount val="18"/>
                <c:pt idx="0">
                  <c:v>5.6634169640991741E-4</c:v>
                </c:pt>
                <c:pt idx="1">
                  <c:v>5.7226854214932328E-4</c:v>
                </c:pt>
                <c:pt idx="2">
                  <c:v>4.7997564685377746E-4</c:v>
                </c:pt>
                <c:pt idx="3">
                  <c:v>4.9938688650959739E-4</c:v>
                </c:pt>
                <c:pt idx="4">
                  <c:v>5.0438964320303375E-4</c:v>
                </c:pt>
              </c:numCache>
            </c:numRef>
          </c:val>
          <c:smooth val="0"/>
          <c:extLst>
            <c:ext xmlns:c16="http://schemas.microsoft.com/office/drawing/2014/chart" uri="{C3380CC4-5D6E-409C-BE32-E72D297353CC}">
              <c16:uniqueId val="{00000002-5189-4ADA-94CF-BC0C6D157C84}"/>
            </c:ext>
          </c:extLst>
        </c:ser>
        <c:ser>
          <c:idx val="3"/>
          <c:order val="3"/>
          <c:tx>
            <c:strRef>
              <c:f>Outputs_with_historical_data!$B$242</c:f>
              <c:strCache>
                <c:ptCount val="1"/>
                <c:pt idx="0">
                  <c:v>Secondary deaths rate - projected</c:v>
                </c:pt>
              </c:strCache>
            </c:strRef>
          </c:tx>
          <c:spPr>
            <a:ln>
              <a:solidFill>
                <a:srgbClr val="FF0000"/>
              </a:solidFill>
              <a:prstDash val="sysDot"/>
            </a:ln>
          </c:spPr>
          <c:marker>
            <c:symbol val="none"/>
          </c:marker>
          <c:cat>
            <c:strRef>
              <c:f>Outputs_with_historical_data!$C$238:$T$238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Outputs_with_historical_data!$C$242:$T$242</c:f>
              <c:numCache>
                <c:formatCode>0.00%</c:formatCode>
                <c:ptCount val="18"/>
                <c:pt idx="6">
                  <c:v>5.7803575156104567E-4</c:v>
                </c:pt>
                <c:pt idx="7">
                  <c:v>5.7158659897880515E-4</c:v>
                </c:pt>
                <c:pt idx="8">
                  <c:v>5.5879049295842103E-4</c:v>
                </c:pt>
                <c:pt idx="9">
                  <c:v>5.4647483993078543E-4</c:v>
                </c:pt>
                <c:pt idx="10">
                  <c:v>5.3734974454169848E-4</c:v>
                </c:pt>
                <c:pt idx="11">
                  <c:v>5.2973195864120654E-4</c:v>
                </c:pt>
                <c:pt idx="12">
                  <c:v>5.2370254102712265E-4</c:v>
                </c:pt>
                <c:pt idx="13">
                  <c:v>5.2033528003740768E-4</c:v>
                </c:pt>
                <c:pt idx="14">
                  <c:v>5.2030599720669492E-4</c:v>
                </c:pt>
                <c:pt idx="15">
                  <c:v>5.2017759225086199E-4</c:v>
                </c:pt>
                <c:pt idx="16">
                  <c:v>5.2082494029189949E-4</c:v>
                </c:pt>
                <c:pt idx="17">
                  <c:v>5.2171666337005483E-4</c:v>
                </c:pt>
              </c:numCache>
            </c:numRef>
          </c:val>
          <c:smooth val="0"/>
          <c:extLst>
            <c:ext xmlns:c16="http://schemas.microsoft.com/office/drawing/2014/chart" uri="{C3380CC4-5D6E-409C-BE32-E72D297353CC}">
              <c16:uniqueId val="{00000003-5189-4ADA-94CF-BC0C6D157C84}"/>
            </c:ext>
          </c:extLst>
        </c:ser>
        <c:dLbls>
          <c:showLegendKey val="0"/>
          <c:showVal val="0"/>
          <c:showCatName val="0"/>
          <c:showSerName val="0"/>
          <c:showPercent val="0"/>
          <c:showBubbleSize val="0"/>
        </c:dLbls>
        <c:smooth val="0"/>
        <c:axId val="171127936"/>
        <c:axId val="171129472"/>
      </c:lineChart>
      <c:catAx>
        <c:axId val="171127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129472"/>
        <c:crosses val="autoZero"/>
        <c:auto val="1"/>
        <c:lblAlgn val="ctr"/>
        <c:lblOffset val="100"/>
        <c:noMultiLvlLbl val="0"/>
      </c:catAx>
      <c:valAx>
        <c:axId val="171129472"/>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deaths rate (proportion of teachers leaving as deaths in service)</a:t>
                </a:r>
              </a:p>
            </c:rich>
          </c:tx>
          <c:overlay val="0"/>
        </c:title>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127936"/>
        <c:crosses val="autoZero"/>
        <c:crossBetween val="between"/>
      </c:valAx>
      <c:spPr>
        <a:ln>
          <a:solidFill>
            <a:schemeClr val="tx1">
              <a:lumMod val="95000"/>
              <a:lumOff val="5000"/>
            </a:schemeClr>
          </a:solidFill>
        </a:ln>
      </c:spPr>
    </c:plotArea>
    <c:legend>
      <c:legendPos val="r"/>
      <c:layout>
        <c:manualLayout>
          <c:xMode val="edge"/>
          <c:yMode val="edge"/>
          <c:x val="0.77444262863368496"/>
          <c:y val="8.9442969188968671E-2"/>
          <c:w val="0.20840489278462837"/>
          <c:h val="0.7595329469446817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a:t>
            </a:r>
          </a:p>
        </c:rich>
      </c:tx>
      <c:overlay val="0"/>
    </c:title>
    <c:autoTitleDeleted val="0"/>
    <c:plotArea>
      <c:layout>
        <c:manualLayout>
          <c:layoutTarget val="inner"/>
          <c:xMode val="edge"/>
          <c:yMode val="edge"/>
          <c:x val="0.1458156295485486"/>
          <c:y val="0.11073789071820568"/>
          <c:w val="0.61212919428236934"/>
          <c:h val="0.71589656406585545"/>
        </c:manualLayout>
      </c:layout>
      <c:lineChart>
        <c:grouping val="standard"/>
        <c:varyColors val="0"/>
        <c:ser>
          <c:idx val="0"/>
          <c:order val="0"/>
          <c:tx>
            <c:strRef>
              <c:f>Outputs_with_historical_data!$B$327</c:f>
              <c:strCache>
                <c:ptCount val="1"/>
                <c:pt idx="0">
                  <c:v>Primary entrants - historical</c:v>
                </c:pt>
              </c:strCache>
            </c:strRef>
          </c:tx>
          <c:spPr>
            <a:ln>
              <a:solidFill>
                <a:schemeClr val="tx1">
                  <a:lumMod val="95000"/>
                  <a:lumOff val="5000"/>
                </a:schemeClr>
              </a:solidFill>
            </a:ln>
          </c:spPr>
          <c:marker>
            <c:symbol val="none"/>
          </c:marker>
          <c:cat>
            <c:strRef>
              <c:f>Outputs_with_historical_data!$C$326:$T$326</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Outputs_with_historical_data!$C$327:$T$327</c:f>
              <c:numCache>
                <c:formatCode>#,##0</c:formatCode>
                <c:ptCount val="18"/>
                <c:pt idx="0">
                  <c:v>20529.657089546286</c:v>
                </c:pt>
                <c:pt idx="1">
                  <c:v>23989.040999999994</c:v>
                </c:pt>
                <c:pt idx="2">
                  <c:v>25348.096000000001</c:v>
                </c:pt>
                <c:pt idx="3">
                  <c:v>26619.192999999996</c:v>
                </c:pt>
                <c:pt idx="4">
                  <c:v>27041.996000000003</c:v>
                </c:pt>
              </c:numCache>
            </c:numRef>
          </c:val>
          <c:smooth val="0"/>
          <c:extLst>
            <c:ext xmlns:c16="http://schemas.microsoft.com/office/drawing/2014/chart" uri="{C3380CC4-5D6E-409C-BE32-E72D297353CC}">
              <c16:uniqueId val="{00000000-D495-4F7B-9372-C15FDD7403A6}"/>
            </c:ext>
          </c:extLst>
        </c:ser>
        <c:ser>
          <c:idx val="1"/>
          <c:order val="1"/>
          <c:tx>
            <c:strRef>
              <c:f>Outputs_with_historical_data!$B$328</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Outputs_with_historical_data!$C$326:$T$326</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Outputs_with_historical_data!$C$328:$T$328</c:f>
              <c:numCache>
                <c:formatCode>#,##0</c:formatCode>
                <c:ptCount val="18"/>
                <c:pt idx="6">
                  <c:v>27538.544661464744</c:v>
                </c:pt>
                <c:pt idx="7">
                  <c:v>26105.002673937081</c:v>
                </c:pt>
                <c:pt idx="8">
                  <c:v>25804.401119795846</c:v>
                </c:pt>
                <c:pt idx="9">
                  <c:v>24509.091093232932</c:v>
                </c:pt>
                <c:pt idx="10">
                  <c:v>24656.998817781678</c:v>
                </c:pt>
                <c:pt idx="11">
                  <c:v>24432.263410506512</c:v>
                </c:pt>
                <c:pt idx="12">
                  <c:v>24102.311757997213</c:v>
                </c:pt>
                <c:pt idx="13">
                  <c:v>23873.194543470338</c:v>
                </c:pt>
                <c:pt idx="14">
                  <c:v>24450.504710155619</c:v>
                </c:pt>
                <c:pt idx="15">
                  <c:v>24916.785672652128</c:v>
                </c:pt>
                <c:pt idx="16">
                  <c:v>25036.449572418685</c:v>
                </c:pt>
                <c:pt idx="17">
                  <c:v>24924.618653464819</c:v>
                </c:pt>
              </c:numCache>
            </c:numRef>
          </c:val>
          <c:smooth val="0"/>
          <c:extLst>
            <c:ext xmlns:c16="http://schemas.microsoft.com/office/drawing/2014/chart" uri="{C3380CC4-5D6E-409C-BE32-E72D297353CC}">
              <c16:uniqueId val="{00000001-D495-4F7B-9372-C15FDD7403A6}"/>
            </c:ext>
          </c:extLst>
        </c:ser>
        <c:ser>
          <c:idx val="2"/>
          <c:order val="2"/>
          <c:tx>
            <c:strRef>
              <c:f>Outputs_with_historical_data!$B$329</c:f>
              <c:strCache>
                <c:ptCount val="1"/>
                <c:pt idx="0">
                  <c:v>Secondary entrants - historical</c:v>
                </c:pt>
              </c:strCache>
            </c:strRef>
          </c:tx>
          <c:spPr>
            <a:ln>
              <a:solidFill>
                <a:srgbClr val="FF0000"/>
              </a:solidFill>
            </a:ln>
          </c:spPr>
          <c:marker>
            <c:symbol val="none"/>
          </c:marker>
          <c:cat>
            <c:strRef>
              <c:f>Outputs_with_historical_data!$C$326:$T$326</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Outputs_with_historical_data!$C$329:$T$329</c:f>
              <c:numCache>
                <c:formatCode>#,##0</c:formatCode>
                <c:ptCount val="18"/>
                <c:pt idx="0">
                  <c:v>19900.351266773563</c:v>
                </c:pt>
                <c:pt idx="1">
                  <c:v>21265.592999999993</c:v>
                </c:pt>
                <c:pt idx="2">
                  <c:v>20574.989999999998</c:v>
                </c:pt>
                <c:pt idx="3">
                  <c:v>21104.835999999996</c:v>
                </c:pt>
                <c:pt idx="4">
                  <c:v>20959.223000000002</c:v>
                </c:pt>
              </c:numCache>
            </c:numRef>
          </c:val>
          <c:smooth val="0"/>
          <c:extLst>
            <c:ext xmlns:c16="http://schemas.microsoft.com/office/drawing/2014/chart" uri="{C3380CC4-5D6E-409C-BE32-E72D297353CC}">
              <c16:uniqueId val="{00000002-D495-4F7B-9372-C15FDD7403A6}"/>
            </c:ext>
          </c:extLst>
        </c:ser>
        <c:ser>
          <c:idx val="3"/>
          <c:order val="3"/>
          <c:tx>
            <c:strRef>
              <c:f>Outputs_with_historical_data!$B$330</c:f>
              <c:strCache>
                <c:ptCount val="1"/>
                <c:pt idx="0">
                  <c:v>Secondary entrants - projected</c:v>
                </c:pt>
              </c:strCache>
            </c:strRef>
          </c:tx>
          <c:spPr>
            <a:ln>
              <a:solidFill>
                <a:srgbClr val="FF0000"/>
              </a:solidFill>
              <a:prstDash val="sysDot"/>
            </a:ln>
          </c:spPr>
          <c:marker>
            <c:symbol val="none"/>
          </c:marker>
          <c:cat>
            <c:strRef>
              <c:f>Outputs_with_historical_data!$C$326:$T$326</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Outputs_with_historical_data!$C$330:$T$330</c:f>
              <c:numCache>
                <c:formatCode>#,##0</c:formatCode>
                <c:ptCount val="18"/>
                <c:pt idx="6">
                  <c:v>25325.981524290863</c:v>
                </c:pt>
                <c:pt idx="7">
                  <c:v>24864.32398892309</c:v>
                </c:pt>
                <c:pt idx="8">
                  <c:v>26448.871508078941</c:v>
                </c:pt>
                <c:pt idx="9">
                  <c:v>25797.106539924709</c:v>
                </c:pt>
                <c:pt idx="10">
                  <c:v>25450.041469507818</c:v>
                </c:pt>
                <c:pt idx="11">
                  <c:v>25527.010741858019</c:v>
                </c:pt>
                <c:pt idx="12">
                  <c:v>25845.896651495765</c:v>
                </c:pt>
                <c:pt idx="13">
                  <c:v>25731.139914905129</c:v>
                </c:pt>
                <c:pt idx="14">
                  <c:v>24759.538609418585</c:v>
                </c:pt>
                <c:pt idx="15">
                  <c:v>24416.167627861571</c:v>
                </c:pt>
                <c:pt idx="16">
                  <c:v>24069.983113000369</c:v>
                </c:pt>
                <c:pt idx="17">
                  <c:v>23849.453533819546</c:v>
                </c:pt>
              </c:numCache>
            </c:numRef>
          </c:val>
          <c:smooth val="0"/>
          <c:extLst>
            <c:ext xmlns:c16="http://schemas.microsoft.com/office/drawing/2014/chart" uri="{C3380CC4-5D6E-409C-BE32-E72D297353CC}">
              <c16:uniqueId val="{00000003-D495-4F7B-9372-C15FDD7403A6}"/>
            </c:ext>
          </c:extLst>
        </c:ser>
        <c:dLbls>
          <c:showLegendKey val="0"/>
          <c:showVal val="0"/>
          <c:showCatName val="0"/>
          <c:showSerName val="0"/>
          <c:showPercent val="0"/>
          <c:showBubbleSize val="0"/>
        </c:dLbls>
        <c:smooth val="0"/>
        <c:axId val="171514880"/>
        <c:axId val="171520768"/>
      </c:lineChart>
      <c:catAx>
        <c:axId val="1715148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20768"/>
        <c:crosses val="autoZero"/>
        <c:auto val="1"/>
        <c:lblAlgn val="ctr"/>
        <c:lblOffset val="100"/>
        <c:noMultiLvlLbl val="0"/>
      </c:catAx>
      <c:valAx>
        <c:axId val="1715207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14880"/>
        <c:crosses val="autoZero"/>
        <c:crossBetween val="between"/>
      </c:valAx>
      <c:spPr>
        <a:ln>
          <a:solidFill>
            <a:schemeClr val="tx1">
              <a:lumMod val="95000"/>
              <a:lumOff val="5000"/>
            </a:schemeClr>
          </a:solidFill>
        </a:ln>
      </c:spPr>
    </c:plotArea>
    <c:legend>
      <c:legendPos val="r"/>
      <c:layout>
        <c:manualLayout>
          <c:xMode val="edge"/>
          <c:yMode val="edge"/>
          <c:x val="0.77358490566037741"/>
          <c:y val="8.5294117647058826E-2"/>
          <c:w val="0.21012015865083766"/>
          <c:h val="0.75882352941176467"/>
        </c:manualLayout>
      </c:layout>
      <c:overlay val="0"/>
      <c:txPr>
        <a:bodyPr/>
        <a:lstStyle/>
        <a:p>
          <a:pPr>
            <a:defRPr sz="6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entrant rate</a:t>
            </a:r>
          </a:p>
        </c:rich>
      </c:tx>
      <c:overlay val="0"/>
    </c:title>
    <c:autoTitleDeleted val="0"/>
    <c:plotArea>
      <c:layout>
        <c:manualLayout>
          <c:layoutTarget val="inner"/>
          <c:xMode val="edge"/>
          <c:yMode val="edge"/>
          <c:x val="0.14975657381376406"/>
          <c:y val="0.10697591372507008"/>
          <c:w val="0.6020530976793369"/>
          <c:h val="0.71965885216728864"/>
        </c:manualLayout>
      </c:layout>
      <c:lineChart>
        <c:grouping val="standard"/>
        <c:varyColors val="0"/>
        <c:ser>
          <c:idx val="0"/>
          <c:order val="0"/>
          <c:tx>
            <c:strRef>
              <c:f>Outputs_with_historical_data!$B$356</c:f>
              <c:strCache>
                <c:ptCount val="1"/>
                <c:pt idx="0">
                  <c:v>Primary entrants - historical</c:v>
                </c:pt>
              </c:strCache>
            </c:strRef>
          </c:tx>
          <c:spPr>
            <a:ln>
              <a:solidFill>
                <a:schemeClr val="tx1">
                  <a:lumMod val="95000"/>
                  <a:lumOff val="5000"/>
                </a:schemeClr>
              </a:solidFill>
            </a:ln>
          </c:spPr>
          <c:marker>
            <c:symbol val="none"/>
          </c:marker>
          <c:cat>
            <c:strRef>
              <c:f>Outputs_with_historical_data!$C$355:$T$355</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Outputs_with_historical_data!$C$356:$T$356</c:f>
              <c:numCache>
                <c:formatCode>0%</c:formatCode>
                <c:ptCount val="18"/>
                <c:pt idx="0">
                  <c:v>9.4692651361613783E-2</c:v>
                </c:pt>
                <c:pt idx="1">
                  <c:v>0.10916054338677783</c:v>
                </c:pt>
                <c:pt idx="2">
                  <c:v>0.11250276861927083</c:v>
                </c:pt>
                <c:pt idx="3">
                  <c:v>0.11552358723573564</c:v>
                </c:pt>
                <c:pt idx="4">
                  <c:v>0.11486545560659958</c:v>
                </c:pt>
              </c:numCache>
            </c:numRef>
          </c:val>
          <c:smooth val="0"/>
          <c:extLst>
            <c:ext xmlns:c16="http://schemas.microsoft.com/office/drawing/2014/chart" uri="{C3380CC4-5D6E-409C-BE32-E72D297353CC}">
              <c16:uniqueId val="{00000000-2085-4DF6-9257-51A64F019026}"/>
            </c:ext>
          </c:extLst>
        </c:ser>
        <c:ser>
          <c:idx val="1"/>
          <c:order val="1"/>
          <c:tx>
            <c:strRef>
              <c:f>Outputs_with_historical_data!$B$357</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Outputs_with_historical_data!$C$355:$T$355</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Outputs_with_historical_data!$C$357:$T$357</c:f>
              <c:numCache>
                <c:formatCode>0%</c:formatCode>
                <c:ptCount val="18"/>
                <c:pt idx="6">
                  <c:v>0.11365944595649242</c:v>
                </c:pt>
                <c:pt idx="7">
                  <c:v>0.10706823426590739</c:v>
                </c:pt>
                <c:pt idx="8">
                  <c:v>0.10555112861232686</c:v>
                </c:pt>
                <c:pt idx="9">
                  <c:v>0.1002445163005385</c:v>
                </c:pt>
                <c:pt idx="10">
                  <c:v>0.10074091003870182</c:v>
                </c:pt>
                <c:pt idx="11">
                  <c:v>9.9789586589011034E-2</c:v>
                </c:pt>
                <c:pt idx="12">
                  <c:v>9.8527109671359234E-2</c:v>
                </c:pt>
                <c:pt idx="13">
                  <c:v>9.7747457354263212E-2</c:v>
                </c:pt>
                <c:pt idx="14">
                  <c:v>0.1000140882430714</c:v>
                </c:pt>
                <c:pt idx="15">
                  <c:v>0.10163596490112028</c:v>
                </c:pt>
                <c:pt idx="16">
                  <c:v>0.1018163905431497</c:v>
                </c:pt>
                <c:pt idx="17">
                  <c:v>0.10113299671178293</c:v>
                </c:pt>
              </c:numCache>
            </c:numRef>
          </c:val>
          <c:smooth val="0"/>
          <c:extLst>
            <c:ext xmlns:c16="http://schemas.microsoft.com/office/drawing/2014/chart" uri="{C3380CC4-5D6E-409C-BE32-E72D297353CC}">
              <c16:uniqueId val="{00000001-2085-4DF6-9257-51A64F019026}"/>
            </c:ext>
          </c:extLst>
        </c:ser>
        <c:ser>
          <c:idx val="2"/>
          <c:order val="2"/>
          <c:tx>
            <c:strRef>
              <c:f>Outputs_with_historical_data!$B$358</c:f>
              <c:strCache>
                <c:ptCount val="1"/>
                <c:pt idx="0">
                  <c:v>Secondary entrants - historical</c:v>
                </c:pt>
              </c:strCache>
            </c:strRef>
          </c:tx>
          <c:spPr>
            <a:ln>
              <a:solidFill>
                <a:srgbClr val="FF0000"/>
              </a:solidFill>
            </a:ln>
          </c:spPr>
          <c:marker>
            <c:symbol val="none"/>
          </c:marker>
          <c:cat>
            <c:strRef>
              <c:f>Outputs_with_historical_data!$C$355:$T$355</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Outputs_with_historical_data!$C$358:$T$358</c:f>
              <c:numCache>
                <c:formatCode>0%</c:formatCode>
                <c:ptCount val="18"/>
                <c:pt idx="0">
                  <c:v>8.9681352107089662E-2</c:v>
                </c:pt>
                <c:pt idx="1">
                  <c:v>9.7021825095391104E-2</c:v>
                </c:pt>
                <c:pt idx="2">
                  <c:v>9.354645494886242E-2</c:v>
                </c:pt>
                <c:pt idx="3">
                  <c:v>9.6889331113095861E-2</c:v>
                </c:pt>
                <c:pt idx="4">
                  <c:v>9.7184763240121597E-2</c:v>
                </c:pt>
              </c:numCache>
            </c:numRef>
          </c:val>
          <c:smooth val="0"/>
          <c:extLst>
            <c:ext xmlns:c16="http://schemas.microsoft.com/office/drawing/2014/chart" uri="{C3380CC4-5D6E-409C-BE32-E72D297353CC}">
              <c16:uniqueId val="{00000002-2085-4DF6-9257-51A64F019026}"/>
            </c:ext>
          </c:extLst>
        </c:ser>
        <c:ser>
          <c:idx val="3"/>
          <c:order val="3"/>
          <c:tx>
            <c:strRef>
              <c:f>Outputs_with_historical_data!$B$359</c:f>
              <c:strCache>
                <c:ptCount val="1"/>
                <c:pt idx="0">
                  <c:v>Secondary entrants - projected</c:v>
                </c:pt>
              </c:strCache>
            </c:strRef>
          </c:tx>
          <c:spPr>
            <a:ln>
              <a:solidFill>
                <a:srgbClr val="FF0000"/>
              </a:solidFill>
              <a:prstDash val="sysDot"/>
            </a:ln>
          </c:spPr>
          <c:marker>
            <c:symbol val="none"/>
          </c:marker>
          <c:cat>
            <c:strRef>
              <c:f>Outputs_with_historical_data!$C$355:$T$355</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Outputs_with_historical_data!$C$359:$T$359</c:f>
              <c:numCache>
                <c:formatCode>0%</c:formatCode>
                <c:ptCount val="18"/>
                <c:pt idx="6">
                  <c:v>0.11835897917112832</c:v>
                </c:pt>
                <c:pt idx="7">
                  <c:v>0.11540741558154813</c:v>
                </c:pt>
                <c:pt idx="8">
                  <c:v>0.121511499007133</c:v>
                </c:pt>
                <c:pt idx="9">
                  <c:v>0.11719937612945044</c:v>
                </c:pt>
                <c:pt idx="10">
                  <c:v>0.11459687017563221</c:v>
                </c:pt>
                <c:pt idx="11">
                  <c:v>0.11395343749796638</c:v>
                </c:pt>
                <c:pt idx="12">
                  <c:v>0.11430416197494232</c:v>
                </c:pt>
                <c:pt idx="13">
                  <c:v>0.11289887626761883</c:v>
                </c:pt>
                <c:pt idx="14">
                  <c:v>0.10832434567303971</c:v>
                </c:pt>
                <c:pt idx="15">
                  <c:v>0.10670276058794272</c:v>
                </c:pt>
                <c:pt idx="16">
                  <c:v>0.10524209611278978</c:v>
                </c:pt>
                <c:pt idx="17">
                  <c:v>0.10442523579887658</c:v>
                </c:pt>
              </c:numCache>
            </c:numRef>
          </c:val>
          <c:smooth val="0"/>
          <c:extLst>
            <c:ext xmlns:c16="http://schemas.microsoft.com/office/drawing/2014/chart" uri="{C3380CC4-5D6E-409C-BE32-E72D297353CC}">
              <c16:uniqueId val="{00000003-2085-4DF6-9257-51A64F019026}"/>
            </c:ext>
          </c:extLst>
        </c:ser>
        <c:dLbls>
          <c:showLegendKey val="0"/>
          <c:showVal val="0"/>
          <c:showCatName val="0"/>
          <c:showSerName val="0"/>
          <c:showPercent val="0"/>
          <c:showBubbleSize val="0"/>
        </c:dLbls>
        <c:smooth val="0"/>
        <c:axId val="171566208"/>
        <c:axId val="171567744"/>
      </c:lineChart>
      <c:catAx>
        <c:axId val="17156620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567744"/>
        <c:crosses val="autoZero"/>
        <c:auto val="1"/>
        <c:lblAlgn val="ctr"/>
        <c:lblOffset val="100"/>
        <c:noMultiLvlLbl val="0"/>
      </c:catAx>
      <c:valAx>
        <c:axId val="1715677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entrant rate (proportion of 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566208"/>
        <c:crosses val="autoZero"/>
        <c:crossBetween val="between"/>
      </c:valAx>
      <c:spPr>
        <a:ln>
          <a:solidFill>
            <a:schemeClr val="tx1">
              <a:lumMod val="95000"/>
              <a:lumOff val="5000"/>
            </a:schemeClr>
          </a:solidFill>
        </a:ln>
      </c:spPr>
    </c:plotArea>
    <c:legend>
      <c:legendPos val="r"/>
      <c:layout>
        <c:manualLayout>
          <c:xMode val="edge"/>
          <c:yMode val="edge"/>
          <c:x val="0.77530017152658659"/>
          <c:y val="8.2111744829550262E-2"/>
          <c:w val="0.20840489278462837"/>
          <c:h val="0.7683306009036260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Newly Qualified Teachers</a:t>
            </a:r>
          </a:p>
        </c:rich>
      </c:tx>
      <c:overlay val="0"/>
    </c:title>
    <c:autoTitleDeleted val="0"/>
    <c:plotArea>
      <c:layout>
        <c:manualLayout>
          <c:layoutTarget val="inner"/>
          <c:xMode val="edge"/>
          <c:yMode val="edge"/>
          <c:x val="0.1458156295485486"/>
          <c:y val="0.12210152708184205"/>
          <c:w val="0.59874536157118297"/>
          <c:h val="0.70453292770221909"/>
        </c:manualLayout>
      </c:layout>
      <c:lineChart>
        <c:grouping val="standard"/>
        <c:varyColors val="0"/>
        <c:ser>
          <c:idx val="0"/>
          <c:order val="0"/>
          <c:tx>
            <c:strRef>
              <c:f>Outputs_with_historical_data!$B$385</c:f>
              <c:strCache>
                <c:ptCount val="1"/>
                <c:pt idx="0">
                  <c:v>Primary NQTs - historical</c:v>
                </c:pt>
              </c:strCache>
            </c:strRef>
          </c:tx>
          <c:spPr>
            <a:ln>
              <a:solidFill>
                <a:schemeClr val="tx1">
                  <a:lumMod val="95000"/>
                  <a:lumOff val="5000"/>
                </a:schemeClr>
              </a:solidFill>
            </a:ln>
          </c:spPr>
          <c:marker>
            <c:symbol val="none"/>
          </c:marker>
          <c:cat>
            <c:strRef>
              <c:f>Outputs_with_historical_data!$C$384:$T$384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Outputs_with_historical_data!$C$385:$T$385</c:f>
              <c:numCache>
                <c:formatCode>#,##0</c:formatCode>
                <c:ptCount val="18"/>
                <c:pt idx="0">
                  <c:v>9238.1412282795718</c:v>
                </c:pt>
                <c:pt idx="1">
                  <c:v>11663.958000000001</c:v>
                </c:pt>
                <c:pt idx="2">
                  <c:v>12872.182000000001</c:v>
                </c:pt>
                <c:pt idx="3">
                  <c:v>13585.184999999999</c:v>
                </c:pt>
                <c:pt idx="4">
                  <c:v>14472.775</c:v>
                </c:pt>
              </c:numCache>
            </c:numRef>
          </c:val>
          <c:smooth val="0"/>
          <c:extLst>
            <c:ext xmlns:c16="http://schemas.microsoft.com/office/drawing/2014/chart" uri="{C3380CC4-5D6E-409C-BE32-E72D297353CC}">
              <c16:uniqueId val="{00000000-AC66-4E74-A78A-7E5592318B07}"/>
            </c:ext>
          </c:extLst>
        </c:ser>
        <c:ser>
          <c:idx val="1"/>
          <c:order val="1"/>
          <c:tx>
            <c:strRef>
              <c:f>Outputs_with_historical_data!$B$386</c:f>
              <c:strCache>
                <c:ptCount val="1"/>
                <c:pt idx="0">
                  <c:v>Primary NQTs - projected</c:v>
                </c:pt>
              </c:strCache>
            </c:strRef>
          </c:tx>
          <c:spPr>
            <a:ln>
              <a:solidFill>
                <a:schemeClr val="tx1">
                  <a:lumMod val="95000"/>
                  <a:lumOff val="5000"/>
                </a:schemeClr>
              </a:solidFill>
              <a:prstDash val="sysDot"/>
            </a:ln>
          </c:spPr>
          <c:marker>
            <c:symbol val="none"/>
          </c:marker>
          <c:cat>
            <c:strRef>
              <c:f>Outputs_with_historical_data!$C$384:$T$384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Outputs_with_historical_data!$C$386:$T$386</c:f>
              <c:numCache>
                <c:formatCode>#,##0</c:formatCode>
                <c:ptCount val="18"/>
                <c:pt idx="8">
                  <c:v>12867.743665953705</c:v>
                </c:pt>
                <c:pt idx="9">
                  <c:v>12221.818294061828</c:v>
                </c:pt>
                <c:pt idx="10">
                  <c:v>12295.574653563142</c:v>
                </c:pt>
                <c:pt idx="11">
                  <c:v>12183.507041528463</c:v>
                </c:pt>
                <c:pt idx="12">
                  <c:v>12018.971803258957</c:v>
                </c:pt>
                <c:pt idx="13">
                  <c:v>11904.719138672705</c:v>
                </c:pt>
                <c:pt idx="14">
                  <c:v>12192.603333549689</c:v>
                </c:pt>
                <c:pt idx="15">
                  <c:v>12425.121184821051</c:v>
                </c:pt>
                <c:pt idx="16">
                  <c:v>12484.793346213828</c:v>
                </c:pt>
                <c:pt idx="17">
                  <c:v>12429.027215763994</c:v>
                </c:pt>
              </c:numCache>
            </c:numRef>
          </c:val>
          <c:smooth val="0"/>
          <c:extLst>
            <c:ext xmlns:c16="http://schemas.microsoft.com/office/drawing/2014/chart" uri="{C3380CC4-5D6E-409C-BE32-E72D297353CC}">
              <c16:uniqueId val="{00000001-AC66-4E74-A78A-7E5592318B07}"/>
            </c:ext>
          </c:extLst>
        </c:ser>
        <c:ser>
          <c:idx val="2"/>
          <c:order val="2"/>
          <c:tx>
            <c:strRef>
              <c:f>Outputs_with_historical_data!$B$387</c:f>
              <c:strCache>
                <c:ptCount val="1"/>
                <c:pt idx="0">
                  <c:v>Secondary NQTs - historical</c:v>
                </c:pt>
              </c:strCache>
            </c:strRef>
          </c:tx>
          <c:spPr>
            <a:ln>
              <a:solidFill>
                <a:srgbClr val="FF0000"/>
              </a:solidFill>
            </a:ln>
          </c:spPr>
          <c:marker>
            <c:symbol val="none"/>
          </c:marker>
          <c:cat>
            <c:strRef>
              <c:f>Outputs_with_historical_data!$C$384:$T$384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Outputs_with_historical_data!$C$387:$T$387</c:f>
              <c:numCache>
                <c:formatCode>#,##0</c:formatCode>
                <c:ptCount val="18"/>
                <c:pt idx="0">
                  <c:v>11078.722844185231</c:v>
                </c:pt>
                <c:pt idx="1">
                  <c:v>11086.531000000001</c:v>
                </c:pt>
                <c:pt idx="2">
                  <c:v>10439.566999999999</c:v>
                </c:pt>
                <c:pt idx="3">
                  <c:v>10363.199000000001</c:v>
                </c:pt>
                <c:pt idx="4">
                  <c:v>10549.123</c:v>
                </c:pt>
              </c:numCache>
            </c:numRef>
          </c:val>
          <c:smooth val="0"/>
          <c:extLst>
            <c:ext xmlns:c16="http://schemas.microsoft.com/office/drawing/2014/chart" uri="{C3380CC4-5D6E-409C-BE32-E72D297353CC}">
              <c16:uniqueId val="{00000002-AC66-4E74-A78A-7E5592318B07}"/>
            </c:ext>
          </c:extLst>
        </c:ser>
        <c:ser>
          <c:idx val="3"/>
          <c:order val="3"/>
          <c:tx>
            <c:strRef>
              <c:f>Outputs_with_historical_data!$B$388</c:f>
              <c:strCache>
                <c:ptCount val="1"/>
                <c:pt idx="0">
                  <c:v>Secondary NQTs - projected</c:v>
                </c:pt>
              </c:strCache>
            </c:strRef>
          </c:tx>
          <c:spPr>
            <a:ln>
              <a:solidFill>
                <a:srgbClr val="FF0000"/>
              </a:solidFill>
              <a:prstDash val="sysDot"/>
            </a:ln>
          </c:spPr>
          <c:marker>
            <c:symbol val="none"/>
          </c:marker>
          <c:cat>
            <c:strRef>
              <c:f>Outputs_with_historical_data!$C$384:$T$384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Outputs_with_historical_data!$C$388:$T$388</c:f>
              <c:numCache>
                <c:formatCode>#,##0</c:formatCode>
                <c:ptCount val="18"/>
                <c:pt idx="8">
                  <c:v>14217.624152131313</c:v>
                </c:pt>
                <c:pt idx="9">
                  <c:v>14017.521640549134</c:v>
                </c:pt>
                <c:pt idx="10">
                  <c:v>13235.551159366723</c:v>
                </c:pt>
                <c:pt idx="11">
                  <c:v>13063.078750099821</c:v>
                </c:pt>
                <c:pt idx="12">
                  <c:v>13224.609868217367</c:v>
                </c:pt>
                <c:pt idx="13">
                  <c:v>13177.605504592228</c:v>
                </c:pt>
                <c:pt idx="14">
                  <c:v>12582.979805417128</c:v>
                </c:pt>
                <c:pt idx="15">
                  <c:v>12353.349723356845</c:v>
                </c:pt>
                <c:pt idx="16">
                  <c:v>12140.579768564203</c:v>
                </c:pt>
                <c:pt idx="17">
                  <c:v>12046.213883516282</c:v>
                </c:pt>
              </c:numCache>
            </c:numRef>
          </c:val>
          <c:smooth val="0"/>
          <c:extLst>
            <c:ext xmlns:c16="http://schemas.microsoft.com/office/drawing/2014/chart" uri="{C3380CC4-5D6E-409C-BE32-E72D297353CC}">
              <c16:uniqueId val="{00000003-AC66-4E74-A78A-7E5592318B07}"/>
            </c:ext>
          </c:extLst>
        </c:ser>
        <c:dLbls>
          <c:showLegendKey val="0"/>
          <c:showVal val="0"/>
          <c:showCatName val="0"/>
          <c:showSerName val="0"/>
          <c:showPercent val="0"/>
          <c:showBubbleSize val="0"/>
        </c:dLbls>
        <c:smooth val="0"/>
        <c:axId val="171351040"/>
        <c:axId val="171356928"/>
      </c:lineChart>
      <c:catAx>
        <c:axId val="17135104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356928"/>
        <c:crosses val="autoZero"/>
        <c:auto val="1"/>
        <c:lblAlgn val="ctr"/>
        <c:lblOffset val="100"/>
        <c:noMultiLvlLbl val="0"/>
      </c:catAx>
      <c:valAx>
        <c:axId val="171356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51040"/>
        <c:crosses val="autoZero"/>
        <c:crossBetween val="between"/>
      </c:valAx>
      <c:spPr>
        <a:ln>
          <a:solidFill>
            <a:schemeClr val="tx1">
              <a:lumMod val="95000"/>
              <a:lumOff val="5000"/>
            </a:schemeClr>
          </a:solidFill>
        </a:ln>
      </c:spPr>
    </c:plotArea>
    <c:legend>
      <c:legendPos val="r"/>
      <c:layout>
        <c:manualLayout>
          <c:xMode val="edge"/>
          <c:yMode val="edge"/>
          <c:x val="0.76113148527666918"/>
          <c:y val="8.8235294117647065E-2"/>
          <c:w val="0.22174702477258834"/>
          <c:h val="0.7823529411764705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re-entrants</a:t>
            </a:r>
          </a:p>
        </c:rich>
      </c:tx>
      <c:overlay val="0"/>
    </c:title>
    <c:autoTitleDeleted val="0"/>
    <c:plotArea>
      <c:layout>
        <c:manualLayout>
          <c:layoutTarget val="inner"/>
          <c:xMode val="edge"/>
          <c:yMode val="edge"/>
          <c:x val="0.1458156295485486"/>
          <c:y val="0.11073789071820568"/>
          <c:w val="0.62385962530545747"/>
          <c:h val="0.71589656406585545"/>
        </c:manualLayout>
      </c:layout>
      <c:lineChart>
        <c:grouping val="standard"/>
        <c:varyColors val="0"/>
        <c:ser>
          <c:idx val="0"/>
          <c:order val="0"/>
          <c:tx>
            <c:strRef>
              <c:f>Outputs_with_historical_data!$B$414</c:f>
              <c:strCache>
                <c:ptCount val="1"/>
                <c:pt idx="0">
                  <c:v>Primary re-entrants - historical</c:v>
                </c:pt>
              </c:strCache>
            </c:strRef>
          </c:tx>
          <c:spPr>
            <a:ln>
              <a:solidFill>
                <a:schemeClr val="tx1">
                  <a:lumMod val="95000"/>
                  <a:lumOff val="5000"/>
                </a:schemeClr>
              </a:solidFill>
            </a:ln>
          </c:spPr>
          <c:marker>
            <c:symbol val="none"/>
          </c:marker>
          <c:cat>
            <c:strRef>
              <c:f>Outputs_with_historical_data!$C$413:$T$413</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Outputs_with_historical_data!$C$414:$T$414</c:f>
              <c:numCache>
                <c:formatCode>#,##0</c:formatCode>
                <c:ptCount val="18"/>
                <c:pt idx="0">
                  <c:v>7477.0196836734895</c:v>
                </c:pt>
                <c:pt idx="1">
                  <c:v>7952.49</c:v>
                </c:pt>
                <c:pt idx="2">
                  <c:v>8276.0380000000005</c:v>
                </c:pt>
                <c:pt idx="3">
                  <c:v>8982.8410000000003</c:v>
                </c:pt>
                <c:pt idx="4">
                  <c:v>8875.7720000000008</c:v>
                </c:pt>
              </c:numCache>
            </c:numRef>
          </c:val>
          <c:smooth val="0"/>
          <c:extLst>
            <c:ext xmlns:c16="http://schemas.microsoft.com/office/drawing/2014/chart" uri="{C3380CC4-5D6E-409C-BE32-E72D297353CC}">
              <c16:uniqueId val="{00000000-0081-4FF8-8449-6375AE457D49}"/>
            </c:ext>
          </c:extLst>
        </c:ser>
        <c:ser>
          <c:idx val="1"/>
          <c:order val="1"/>
          <c:tx>
            <c:strRef>
              <c:f>Outputs_with_historical_data!$B$415</c:f>
              <c:strCache>
                <c:ptCount val="1"/>
                <c:pt idx="0">
                  <c:v>Primary re-entrants - projected</c:v>
                </c:pt>
              </c:strCache>
            </c:strRef>
          </c:tx>
          <c:spPr>
            <a:ln>
              <a:solidFill>
                <a:schemeClr val="tx1">
                  <a:lumMod val="95000"/>
                  <a:lumOff val="5000"/>
                </a:schemeClr>
              </a:solidFill>
              <a:prstDash val="sysDot"/>
            </a:ln>
          </c:spPr>
          <c:marker>
            <c:symbol val="none"/>
          </c:marker>
          <c:cat>
            <c:strRef>
              <c:f>Outputs_with_historical_data!$C$413:$T$413</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Outputs_with_historical_data!$C$415:$T$415</c:f>
              <c:numCache>
                <c:formatCode>#,##0</c:formatCode>
                <c:ptCount val="18"/>
                <c:pt idx="8">
                  <c:v>8231.8459106222508</c:v>
                </c:pt>
                <c:pt idx="9">
                  <c:v>7818.6298667525107</c:v>
                </c:pt>
                <c:pt idx="10">
                  <c:v>7865.8138177314004</c:v>
                </c:pt>
                <c:pt idx="11">
                  <c:v>7794.1211155926603</c:v>
                </c:pt>
                <c:pt idx="12">
                  <c:v>7688.8634446704673</c:v>
                </c:pt>
                <c:pt idx="13">
                  <c:v>7615.7729049326808</c:v>
                </c:pt>
                <c:pt idx="14">
                  <c:v>7799.940261219168</c:v>
                </c:pt>
                <c:pt idx="15">
                  <c:v>7948.6882603108161</c:v>
                </c:pt>
                <c:pt idx="16">
                  <c:v>7986.8621663576705</c:v>
                </c:pt>
                <c:pt idx="17">
                  <c:v>7951.1870546355349</c:v>
                </c:pt>
              </c:numCache>
            </c:numRef>
          </c:val>
          <c:smooth val="0"/>
          <c:extLst>
            <c:ext xmlns:c16="http://schemas.microsoft.com/office/drawing/2014/chart" uri="{C3380CC4-5D6E-409C-BE32-E72D297353CC}">
              <c16:uniqueId val="{00000001-0081-4FF8-8449-6375AE457D49}"/>
            </c:ext>
          </c:extLst>
        </c:ser>
        <c:ser>
          <c:idx val="2"/>
          <c:order val="2"/>
          <c:tx>
            <c:strRef>
              <c:f>Outputs_with_historical_data!$B$416</c:f>
              <c:strCache>
                <c:ptCount val="1"/>
                <c:pt idx="0">
                  <c:v>Secondary re-entrants - historical</c:v>
                </c:pt>
              </c:strCache>
            </c:strRef>
          </c:tx>
          <c:spPr>
            <a:ln>
              <a:solidFill>
                <a:srgbClr val="FF0000"/>
              </a:solidFill>
            </a:ln>
          </c:spPr>
          <c:marker>
            <c:symbol val="none"/>
          </c:marker>
          <c:cat>
            <c:strRef>
              <c:f>Outputs_with_historical_data!$C$413:$T$413</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Outputs_with_historical_data!$C$416:$T$416</c:f>
              <c:numCache>
                <c:formatCode>#,##0</c:formatCode>
                <c:ptCount val="18"/>
                <c:pt idx="0">
                  <c:v>5851.643530536141</c:v>
                </c:pt>
                <c:pt idx="1">
                  <c:v>6637.8329999999996</c:v>
                </c:pt>
                <c:pt idx="2">
                  <c:v>7039.57</c:v>
                </c:pt>
                <c:pt idx="3">
                  <c:v>7672.5290000000005</c:v>
                </c:pt>
                <c:pt idx="4">
                  <c:v>7412</c:v>
                </c:pt>
              </c:numCache>
            </c:numRef>
          </c:val>
          <c:smooth val="0"/>
          <c:extLst>
            <c:ext xmlns:c16="http://schemas.microsoft.com/office/drawing/2014/chart" uri="{C3380CC4-5D6E-409C-BE32-E72D297353CC}">
              <c16:uniqueId val="{00000002-0081-4FF8-8449-6375AE457D49}"/>
            </c:ext>
          </c:extLst>
        </c:ser>
        <c:ser>
          <c:idx val="3"/>
          <c:order val="3"/>
          <c:tx>
            <c:strRef>
              <c:f>Outputs_with_historical_data!$B$417</c:f>
              <c:strCache>
                <c:ptCount val="1"/>
                <c:pt idx="0">
                  <c:v>Secondary re-entrants - projected</c:v>
                </c:pt>
              </c:strCache>
            </c:strRef>
          </c:tx>
          <c:spPr>
            <a:ln>
              <a:solidFill>
                <a:srgbClr val="FF0000"/>
              </a:solidFill>
              <a:prstDash val="sysDot"/>
            </a:ln>
          </c:spPr>
          <c:marker>
            <c:symbol val="none"/>
          </c:marker>
          <c:cat>
            <c:strRef>
              <c:f>Outputs_with_historical_data!$C$413:$T$413</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Outputs_with_historical_data!$C$417:$T$417</c:f>
              <c:numCache>
                <c:formatCode>#,##0</c:formatCode>
                <c:ptCount val="18"/>
                <c:pt idx="8">
                  <c:v>8316.1993920311761</c:v>
                </c:pt>
                <c:pt idx="9">
                  <c:v>8005.2888529964303</c:v>
                </c:pt>
                <c:pt idx="10">
                  <c:v>8314.8745490636538</c:v>
                </c:pt>
                <c:pt idx="11">
                  <c:v>8489.547000759092</c:v>
                </c:pt>
                <c:pt idx="12">
                  <c:v>8596.9033411618529</c:v>
                </c:pt>
                <c:pt idx="13">
                  <c:v>8550.4426507643893</c:v>
                </c:pt>
                <c:pt idx="14">
                  <c:v>8295.4238045970069</c:v>
                </c:pt>
                <c:pt idx="15">
                  <c:v>8219.0057321536769</c:v>
                </c:pt>
                <c:pt idx="16">
                  <c:v>8128.7769862583391</c:v>
                </c:pt>
                <c:pt idx="17">
                  <c:v>8042.332792711939</c:v>
                </c:pt>
              </c:numCache>
            </c:numRef>
          </c:val>
          <c:smooth val="0"/>
          <c:extLst>
            <c:ext xmlns:c16="http://schemas.microsoft.com/office/drawing/2014/chart" uri="{C3380CC4-5D6E-409C-BE32-E72D297353CC}">
              <c16:uniqueId val="{00000003-0081-4FF8-8449-6375AE457D49}"/>
            </c:ext>
          </c:extLst>
        </c:ser>
        <c:dLbls>
          <c:showLegendKey val="0"/>
          <c:showVal val="0"/>
          <c:showCatName val="0"/>
          <c:showSerName val="0"/>
          <c:showPercent val="0"/>
          <c:showBubbleSize val="0"/>
        </c:dLbls>
        <c:smooth val="0"/>
        <c:axId val="171398656"/>
        <c:axId val="171400192"/>
      </c:lineChart>
      <c:catAx>
        <c:axId val="1713986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00192"/>
        <c:crosses val="autoZero"/>
        <c:auto val="1"/>
        <c:lblAlgn val="ctr"/>
        <c:lblOffset val="100"/>
        <c:noMultiLvlLbl val="0"/>
      </c:catAx>
      <c:valAx>
        <c:axId val="17140019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398656"/>
        <c:crosses val="autoZero"/>
        <c:crossBetween val="between"/>
      </c:valAx>
      <c:spPr>
        <a:ln>
          <a:solidFill>
            <a:schemeClr val="tx1">
              <a:lumMod val="95000"/>
              <a:lumOff val="5000"/>
            </a:schemeClr>
          </a:solidFill>
        </a:ln>
      </c:spPr>
    </c:plotArea>
    <c:legend>
      <c:legendPos val="r"/>
      <c:layout>
        <c:manualLayout>
          <c:xMode val="edge"/>
          <c:yMode val="edge"/>
          <c:x val="0.78339175924927196"/>
          <c:y val="5.5882352941176473E-2"/>
          <c:w val="0.20119889979505989"/>
          <c:h val="0.7970588235294118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entering service as new to the state-funded sector</a:t>
            </a:r>
          </a:p>
        </c:rich>
      </c:tx>
      <c:overlay val="0"/>
    </c:title>
    <c:autoTitleDeleted val="0"/>
    <c:plotArea>
      <c:layout>
        <c:manualLayout>
          <c:layoutTarget val="inner"/>
          <c:xMode val="edge"/>
          <c:yMode val="edge"/>
          <c:x val="0.13163120567375886"/>
          <c:y val="0.11073789071820568"/>
          <c:w val="0.6241349314836363"/>
          <c:h val="0.71589656406585545"/>
        </c:manualLayout>
      </c:layout>
      <c:lineChart>
        <c:grouping val="standard"/>
        <c:varyColors val="0"/>
        <c:ser>
          <c:idx val="0"/>
          <c:order val="0"/>
          <c:tx>
            <c:strRef>
              <c:f>Outputs_with_historical_data!$B$443</c:f>
              <c:strCache>
                <c:ptCount val="1"/>
                <c:pt idx="0">
                  <c:v>Primary new to SF - historical</c:v>
                </c:pt>
              </c:strCache>
            </c:strRef>
          </c:tx>
          <c:spPr>
            <a:ln>
              <a:solidFill>
                <a:schemeClr val="tx1">
                  <a:lumMod val="95000"/>
                  <a:lumOff val="5000"/>
                </a:schemeClr>
              </a:solidFill>
            </a:ln>
          </c:spPr>
          <c:marker>
            <c:symbol val="none"/>
          </c:marker>
          <c:cat>
            <c:strRef>
              <c:f>Outputs_with_historical_data!$C$442:$T$442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Outputs_with_historical_data!$C$443:$T$443</c:f>
              <c:numCache>
                <c:formatCode>#,##0</c:formatCode>
                <c:ptCount val="18"/>
                <c:pt idx="0">
                  <c:v>3814.4961775932238</c:v>
                </c:pt>
                <c:pt idx="1">
                  <c:v>4372.5929999999998</c:v>
                </c:pt>
                <c:pt idx="2">
                  <c:v>4199.875</c:v>
                </c:pt>
                <c:pt idx="3">
                  <c:v>4051.1689999999999</c:v>
                </c:pt>
                <c:pt idx="4">
                  <c:v>3693.4470000000001</c:v>
                </c:pt>
              </c:numCache>
            </c:numRef>
          </c:val>
          <c:smooth val="0"/>
          <c:extLst>
            <c:ext xmlns:c16="http://schemas.microsoft.com/office/drawing/2014/chart" uri="{C3380CC4-5D6E-409C-BE32-E72D297353CC}">
              <c16:uniqueId val="{00000000-E21F-4B84-98A3-FB4A9867C868}"/>
            </c:ext>
          </c:extLst>
        </c:ser>
        <c:ser>
          <c:idx val="1"/>
          <c:order val="1"/>
          <c:tx>
            <c:strRef>
              <c:f>Outputs_with_historical_data!$B$444</c:f>
              <c:strCache>
                <c:ptCount val="1"/>
                <c:pt idx="0">
                  <c:v>Primary new to SF - projected</c:v>
                </c:pt>
              </c:strCache>
            </c:strRef>
          </c:tx>
          <c:spPr>
            <a:ln>
              <a:solidFill>
                <a:schemeClr val="tx1">
                  <a:lumMod val="95000"/>
                  <a:lumOff val="5000"/>
                </a:schemeClr>
              </a:solidFill>
              <a:prstDash val="sysDot"/>
            </a:ln>
          </c:spPr>
          <c:marker>
            <c:symbol val="none"/>
          </c:marker>
          <c:cat>
            <c:strRef>
              <c:f>Outputs_with_historical_data!$C$442:$T$442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Outputs_with_historical_data!$C$444:$T$444</c:f>
              <c:numCache>
                <c:formatCode>#,##0</c:formatCode>
                <c:ptCount val="18"/>
                <c:pt idx="8">
                  <c:v>3771.8758646932843</c:v>
                </c:pt>
                <c:pt idx="9">
                  <c:v>3582.5380612772706</c:v>
                </c:pt>
                <c:pt idx="10">
                  <c:v>3604.1580002108321</c:v>
                </c:pt>
                <c:pt idx="11">
                  <c:v>3571.3080202904334</c:v>
                </c:pt>
                <c:pt idx="12">
                  <c:v>3523.078391986417</c:v>
                </c:pt>
                <c:pt idx="13">
                  <c:v>3489.5879153949377</c:v>
                </c:pt>
                <c:pt idx="14">
                  <c:v>3573.9743839687717</c:v>
                </c:pt>
                <c:pt idx="15">
                  <c:v>3642.1315134615897</c:v>
                </c:pt>
                <c:pt idx="16">
                  <c:v>3659.6230015728288</c:v>
                </c:pt>
                <c:pt idx="17">
                  <c:v>3643.2764743982466</c:v>
                </c:pt>
              </c:numCache>
            </c:numRef>
          </c:val>
          <c:smooth val="0"/>
          <c:extLst>
            <c:ext xmlns:c16="http://schemas.microsoft.com/office/drawing/2014/chart" uri="{C3380CC4-5D6E-409C-BE32-E72D297353CC}">
              <c16:uniqueId val="{00000001-E21F-4B84-98A3-FB4A9867C868}"/>
            </c:ext>
          </c:extLst>
        </c:ser>
        <c:ser>
          <c:idx val="2"/>
          <c:order val="2"/>
          <c:tx>
            <c:strRef>
              <c:f>Outputs_with_historical_data!$B$445</c:f>
              <c:strCache>
                <c:ptCount val="1"/>
                <c:pt idx="0">
                  <c:v>Secondary new to SF - historical</c:v>
                </c:pt>
              </c:strCache>
            </c:strRef>
          </c:tx>
          <c:spPr>
            <a:ln>
              <a:solidFill>
                <a:srgbClr val="FF0000"/>
              </a:solidFill>
            </a:ln>
          </c:spPr>
          <c:marker>
            <c:symbol val="none"/>
          </c:marker>
          <c:cat>
            <c:strRef>
              <c:f>Outputs_with_historical_data!$C$442:$T$442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Outputs_with_historical_data!$C$445:$T$445</c:f>
              <c:numCache>
                <c:formatCode>#,##0</c:formatCode>
                <c:ptCount val="18"/>
                <c:pt idx="0">
                  <c:v>2969.9848920521908</c:v>
                </c:pt>
                <c:pt idx="1">
                  <c:v>3541.2289999999998</c:v>
                </c:pt>
                <c:pt idx="2">
                  <c:v>3095.8530000000001</c:v>
                </c:pt>
                <c:pt idx="3">
                  <c:v>3069.1080000000002</c:v>
                </c:pt>
                <c:pt idx="4">
                  <c:v>2998.1010000000001</c:v>
                </c:pt>
              </c:numCache>
            </c:numRef>
          </c:val>
          <c:smooth val="0"/>
          <c:extLst>
            <c:ext xmlns:c16="http://schemas.microsoft.com/office/drawing/2014/chart" uri="{C3380CC4-5D6E-409C-BE32-E72D297353CC}">
              <c16:uniqueId val="{00000002-E21F-4B84-98A3-FB4A9867C868}"/>
            </c:ext>
          </c:extLst>
        </c:ser>
        <c:ser>
          <c:idx val="3"/>
          <c:order val="3"/>
          <c:tx>
            <c:strRef>
              <c:f>Outputs_with_historical_data!$B$446</c:f>
              <c:strCache>
                <c:ptCount val="1"/>
                <c:pt idx="0">
                  <c:v>Secondary new to SF - projected</c:v>
                </c:pt>
              </c:strCache>
            </c:strRef>
          </c:tx>
          <c:spPr>
            <a:ln>
              <a:solidFill>
                <a:srgbClr val="FF0000"/>
              </a:solidFill>
              <a:prstDash val="sysDot"/>
            </a:ln>
          </c:spPr>
          <c:marker>
            <c:symbol val="none"/>
          </c:marker>
          <c:cat>
            <c:strRef>
              <c:f>Outputs_with_historical_data!$C$442:$T$442</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Outputs_with_historical_data!$C$446:$T$446</c:f>
              <c:numCache>
                <c:formatCode>#,##0</c:formatCode>
                <c:ptCount val="18"/>
                <c:pt idx="8">
                  <c:v>3521.1921556226212</c:v>
                </c:pt>
                <c:pt idx="9">
                  <c:v>3390.1458097680952</c:v>
                </c:pt>
                <c:pt idx="10">
                  <c:v>3520.6337447361211</c:v>
                </c:pt>
                <c:pt idx="11">
                  <c:v>3594.25680874419</c:v>
                </c:pt>
                <c:pt idx="12">
                  <c:v>3639.5066615081832</c:v>
                </c:pt>
                <c:pt idx="13">
                  <c:v>3619.9238460739803</c:v>
                </c:pt>
                <c:pt idx="14">
                  <c:v>3512.4354089884237</c:v>
                </c:pt>
                <c:pt idx="15">
                  <c:v>3480.2257927366391</c:v>
                </c:pt>
                <c:pt idx="16">
                  <c:v>3442.1950862918529</c:v>
                </c:pt>
                <c:pt idx="17">
                  <c:v>3405.7595388840141</c:v>
                </c:pt>
              </c:numCache>
            </c:numRef>
          </c:val>
          <c:smooth val="0"/>
          <c:extLst>
            <c:ext xmlns:c16="http://schemas.microsoft.com/office/drawing/2014/chart" uri="{C3380CC4-5D6E-409C-BE32-E72D297353CC}">
              <c16:uniqueId val="{00000003-E21F-4B84-98A3-FB4A9867C868}"/>
            </c:ext>
          </c:extLst>
        </c:ser>
        <c:dLbls>
          <c:showLegendKey val="0"/>
          <c:showVal val="0"/>
          <c:showCatName val="0"/>
          <c:showSerName val="0"/>
          <c:showPercent val="0"/>
          <c:showBubbleSize val="0"/>
        </c:dLbls>
        <c:smooth val="0"/>
        <c:axId val="171446272"/>
        <c:axId val="171447808"/>
      </c:lineChart>
      <c:catAx>
        <c:axId val="17144627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447808"/>
        <c:crosses val="autoZero"/>
        <c:auto val="1"/>
        <c:lblAlgn val="ctr"/>
        <c:lblOffset val="100"/>
        <c:noMultiLvlLbl val="0"/>
      </c:catAx>
      <c:valAx>
        <c:axId val="1714478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entering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446272"/>
        <c:crosses val="autoZero"/>
        <c:crossBetween val="between"/>
      </c:valAx>
      <c:spPr>
        <a:ln>
          <a:solidFill>
            <a:schemeClr val="tx1">
              <a:lumMod val="95000"/>
              <a:lumOff val="5000"/>
            </a:schemeClr>
          </a:solidFill>
        </a:ln>
      </c:spPr>
    </c:plotArea>
    <c:legend>
      <c:legendPos val="r"/>
      <c:layout>
        <c:manualLayout>
          <c:xMode val="edge"/>
          <c:yMode val="edge"/>
          <c:x val="0.7700860982120824"/>
          <c:y val="0.10294117647058823"/>
          <c:w val="0.21453000426228774"/>
          <c:h val="0.7705882352941176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Proportion of teachers that enter service that do so as NQTs</a:t>
            </a:r>
          </a:p>
        </c:rich>
      </c:tx>
      <c:overlay val="0"/>
    </c:title>
    <c:autoTitleDeleted val="0"/>
    <c:plotArea>
      <c:layout>
        <c:manualLayout>
          <c:layoutTarget val="inner"/>
          <c:xMode val="edge"/>
          <c:yMode val="edge"/>
          <c:x val="0.11592026333031241"/>
          <c:y val="0.10333368962363867"/>
          <c:w val="0.62264091089333262"/>
          <c:h val="0.72330108906070001"/>
        </c:manualLayout>
      </c:layout>
      <c:lineChart>
        <c:grouping val="standard"/>
        <c:varyColors val="0"/>
        <c:ser>
          <c:idx val="0"/>
          <c:order val="0"/>
          <c:tx>
            <c:strRef>
              <c:f>Outputs_with_historical_data!$B$472</c:f>
              <c:strCache>
                <c:ptCount val="1"/>
                <c:pt idx="0">
                  <c:v>Primary NQT rate - historical</c:v>
                </c:pt>
              </c:strCache>
            </c:strRef>
          </c:tx>
          <c:spPr>
            <a:ln>
              <a:solidFill>
                <a:schemeClr val="tx1">
                  <a:lumMod val="95000"/>
                  <a:lumOff val="5000"/>
                </a:schemeClr>
              </a:solidFill>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Outputs_with_historical_data!$C$472:$T$472</c:f>
              <c:numCache>
                <c:formatCode>0%</c:formatCode>
                <c:ptCount val="18"/>
                <c:pt idx="0">
                  <c:v>0.44999004065117282</c:v>
                </c:pt>
                <c:pt idx="1">
                  <c:v>0.48622027033093984</c:v>
                </c:pt>
                <c:pt idx="2">
                  <c:v>0.50781654400458887</c:v>
                </c:pt>
                <c:pt idx="3">
                  <c:v>0.51035296146258369</c:v>
                </c:pt>
                <c:pt idx="4">
                  <c:v>0.53519629506611088</c:v>
                </c:pt>
              </c:numCache>
            </c:numRef>
          </c:val>
          <c:smooth val="0"/>
          <c:extLst>
            <c:ext xmlns:c16="http://schemas.microsoft.com/office/drawing/2014/chart" uri="{C3380CC4-5D6E-409C-BE32-E72D297353CC}">
              <c16:uniqueId val="{00000000-3D6A-402E-A261-CE25C0B61BD6}"/>
            </c:ext>
          </c:extLst>
        </c:ser>
        <c:ser>
          <c:idx val="1"/>
          <c:order val="1"/>
          <c:tx>
            <c:strRef>
              <c:f>Outputs_with_historical_data!$B$473</c:f>
              <c:strCache>
                <c:ptCount val="1"/>
                <c:pt idx="0">
                  <c:v>Primary NQT rate - projected</c:v>
                </c:pt>
              </c:strCache>
            </c:strRef>
          </c:tx>
          <c:spPr>
            <a:ln>
              <a:solidFill>
                <a:schemeClr val="tx1">
                  <a:lumMod val="95000"/>
                  <a:lumOff val="5000"/>
                </a:schemeClr>
              </a:solidFill>
              <a:prstDash val="sysDot"/>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Outputs_with_historical_data!$C$473:$T$473</c:f>
              <c:numCache>
                <c:formatCode>0%</c:formatCode>
                <c:ptCount val="18"/>
                <c:pt idx="8">
                  <c:v>0.51736974229923138</c:v>
                </c:pt>
                <c:pt idx="9">
                  <c:v>0.51736974229923127</c:v>
                </c:pt>
                <c:pt idx="10">
                  <c:v>0.51736974229923138</c:v>
                </c:pt>
                <c:pt idx="11">
                  <c:v>0.51736974229923127</c:v>
                </c:pt>
                <c:pt idx="12">
                  <c:v>0.51736974229923127</c:v>
                </c:pt>
                <c:pt idx="13">
                  <c:v>0.51736974229923127</c:v>
                </c:pt>
                <c:pt idx="14">
                  <c:v>0.51736974229923127</c:v>
                </c:pt>
                <c:pt idx="15">
                  <c:v>0.51736974229923127</c:v>
                </c:pt>
                <c:pt idx="16">
                  <c:v>0.51736974229923127</c:v>
                </c:pt>
                <c:pt idx="17">
                  <c:v>0.51736974229923138</c:v>
                </c:pt>
              </c:numCache>
            </c:numRef>
          </c:val>
          <c:smooth val="0"/>
          <c:extLst>
            <c:ext xmlns:c16="http://schemas.microsoft.com/office/drawing/2014/chart" uri="{C3380CC4-5D6E-409C-BE32-E72D297353CC}">
              <c16:uniqueId val="{00000001-3D6A-402E-A261-CE25C0B61BD6}"/>
            </c:ext>
          </c:extLst>
        </c:ser>
        <c:ser>
          <c:idx val="2"/>
          <c:order val="2"/>
          <c:tx>
            <c:strRef>
              <c:f>Outputs_with_historical_data!$B$474</c:f>
              <c:strCache>
                <c:ptCount val="1"/>
                <c:pt idx="0">
                  <c:v>Secondary NQT rate - historical</c:v>
                </c:pt>
              </c:strCache>
            </c:strRef>
          </c:tx>
          <c:spPr>
            <a:ln>
              <a:solidFill>
                <a:srgbClr val="FF0000"/>
              </a:solidFill>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Outputs_with_historical_data!$C$474:$T$474</c:f>
              <c:numCache>
                <c:formatCode>0%</c:formatCode>
                <c:ptCount val="18"/>
                <c:pt idx="0">
                  <c:v>0.55670991409496973</c:v>
                </c:pt>
                <c:pt idx="1">
                  <c:v>0.5213365552514807</c:v>
                </c:pt>
                <c:pt idx="2">
                  <c:v>0.50739110930309084</c:v>
                </c:pt>
                <c:pt idx="3">
                  <c:v>0.49103432976214545</c:v>
                </c:pt>
                <c:pt idx="4">
                  <c:v>0.50331648728979661</c:v>
                </c:pt>
              </c:numCache>
            </c:numRef>
          </c:val>
          <c:smooth val="0"/>
          <c:extLst>
            <c:ext xmlns:c16="http://schemas.microsoft.com/office/drawing/2014/chart" uri="{C3380CC4-5D6E-409C-BE32-E72D297353CC}">
              <c16:uniqueId val="{00000002-3D6A-402E-A261-CE25C0B61BD6}"/>
            </c:ext>
          </c:extLst>
        </c:ser>
        <c:ser>
          <c:idx val="3"/>
          <c:order val="3"/>
          <c:tx>
            <c:strRef>
              <c:f>Outputs_with_historical_data!$B$475</c:f>
              <c:strCache>
                <c:ptCount val="1"/>
                <c:pt idx="0">
                  <c:v>Secondary NQT rate - projected</c:v>
                </c:pt>
              </c:strCache>
            </c:strRef>
          </c:tx>
          <c:spPr>
            <a:ln>
              <a:solidFill>
                <a:srgbClr val="FF0000"/>
              </a:solidFill>
              <a:prstDash val="sysDot"/>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Outputs_with_historical_data!$C$475:$T$475</c:f>
              <c:numCache>
                <c:formatCode>0%</c:formatCode>
                <c:ptCount val="18"/>
                <c:pt idx="8">
                  <c:v>0.54567705181803339</c:v>
                </c:pt>
                <c:pt idx="9">
                  <c:v>0.55158957003051845</c:v>
                </c:pt>
                <c:pt idx="10">
                  <c:v>0.52792149386790521</c:v>
                </c:pt>
                <c:pt idx="11">
                  <c:v>0.51947110021044285</c:v>
                </c:pt>
                <c:pt idx="12">
                  <c:v>0.51940613279747794</c:v>
                </c:pt>
                <c:pt idx="13">
                  <c:v>0.51986823655353986</c:v>
                </c:pt>
                <c:pt idx="14">
                  <c:v>0.51588958443019961</c:v>
                </c:pt>
                <c:pt idx="15">
                  <c:v>0.51359767152879277</c:v>
                </c:pt>
                <c:pt idx="16">
                  <c:v>0.51201118551478242</c:v>
                </c:pt>
                <c:pt idx="17">
                  <c:v>0.51272907457755867</c:v>
                </c:pt>
              </c:numCache>
            </c:numRef>
          </c:val>
          <c:smooth val="0"/>
          <c:extLst>
            <c:ext xmlns:c16="http://schemas.microsoft.com/office/drawing/2014/chart" uri="{C3380CC4-5D6E-409C-BE32-E72D297353CC}">
              <c16:uniqueId val="{00000003-3D6A-402E-A261-CE25C0B61BD6}"/>
            </c:ext>
          </c:extLst>
        </c:ser>
        <c:dLbls>
          <c:showLegendKey val="0"/>
          <c:showVal val="0"/>
          <c:showCatName val="0"/>
          <c:showSerName val="0"/>
          <c:showPercent val="0"/>
          <c:showBubbleSize val="0"/>
        </c:dLbls>
        <c:smooth val="0"/>
        <c:axId val="171639936"/>
        <c:axId val="171641472"/>
      </c:lineChart>
      <c:catAx>
        <c:axId val="1716399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641472"/>
        <c:crosses val="autoZero"/>
        <c:auto val="1"/>
        <c:lblAlgn val="ctr"/>
        <c:lblOffset val="100"/>
        <c:noMultiLvlLbl val="0"/>
      </c:catAx>
      <c:valAx>
        <c:axId val="1716414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Proportion of entrants that are NQTs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1639936"/>
        <c:crosses val="autoZero"/>
        <c:crossBetween val="between"/>
      </c:valAx>
      <c:spPr>
        <a:ln>
          <a:solidFill>
            <a:schemeClr val="tx1">
              <a:lumMod val="95000"/>
              <a:lumOff val="5000"/>
            </a:schemeClr>
          </a:solidFill>
        </a:ln>
      </c:spPr>
    </c:plotArea>
    <c:legend>
      <c:legendPos val="r"/>
      <c:layout>
        <c:manualLayout>
          <c:xMode val="edge"/>
          <c:yMode val="edge"/>
          <c:x val="0.75385943823917378"/>
          <c:y val="6.1403508771929821E-2"/>
          <c:w val="0.22898808317913943"/>
          <c:h val="0.7500010744271001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0762516460186503"/>
          <c:y val="2.2922636103151862E-2"/>
        </c:manualLayout>
      </c:layout>
      <c:overlay val="0"/>
    </c:title>
    <c:autoTitleDeleted val="0"/>
    <c:plotArea>
      <c:layout>
        <c:manualLayout>
          <c:layoutTarget val="inner"/>
          <c:xMode val="edge"/>
          <c:yMode val="edge"/>
          <c:x val="0.13675280871903209"/>
          <c:y val="0.10376038083931305"/>
          <c:w val="0.56507346107232348"/>
          <c:h val="0.74182539821103288"/>
        </c:manualLayout>
      </c:layout>
      <c:lineChart>
        <c:grouping val="standard"/>
        <c:varyColors val="0"/>
        <c:ser>
          <c:idx val="0"/>
          <c:order val="0"/>
          <c:tx>
            <c:strRef>
              <c:f>Outputs_with_historical_data!$B$509</c:f>
              <c:strCache>
                <c:ptCount val="1"/>
                <c:pt idx="0">
                  <c:v>Primary aged 20-29 - historical</c:v>
                </c:pt>
              </c:strCache>
            </c:strRef>
          </c:tx>
          <c:spPr>
            <a:ln>
              <a:solidFill>
                <a:schemeClr val="tx1"/>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Outputs_with_historical_data!$C$509:$T$509</c:f>
              <c:numCache>
                <c:formatCode>#,##0</c:formatCode>
                <c:ptCount val="18"/>
                <c:pt idx="0">
                  <c:v>47409.606736543297</c:v>
                </c:pt>
                <c:pt idx="1">
                  <c:v>48174.248</c:v>
                </c:pt>
                <c:pt idx="2">
                  <c:v>51280.237999999998</c:v>
                </c:pt>
                <c:pt idx="3">
                  <c:v>54759.762999999999</c:v>
                </c:pt>
                <c:pt idx="4">
                  <c:v>57913.320999999996</c:v>
                </c:pt>
                <c:pt idx="5">
                  <c:v>60571.323000000004</c:v>
                </c:pt>
              </c:numCache>
            </c:numRef>
          </c:val>
          <c:smooth val="0"/>
          <c:extLst>
            <c:ext xmlns:c16="http://schemas.microsoft.com/office/drawing/2014/chart" uri="{C3380CC4-5D6E-409C-BE32-E72D297353CC}">
              <c16:uniqueId val="{00000000-FB8A-4F74-BD09-C5979D79082B}"/>
            </c:ext>
          </c:extLst>
        </c:ser>
        <c:ser>
          <c:idx val="1"/>
          <c:order val="1"/>
          <c:tx>
            <c:strRef>
              <c:f>Outputs_with_historical_data!$B$510</c:f>
              <c:strCache>
                <c:ptCount val="1"/>
                <c:pt idx="0">
                  <c:v>Primary aged 30-39 - historical</c:v>
                </c:pt>
              </c:strCache>
            </c:strRef>
          </c:tx>
          <c:spPr>
            <a:ln>
              <a:solidFill>
                <a:srgbClr val="FF000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Outputs_with_historical_data!$C$510:$T$510</c:f>
              <c:numCache>
                <c:formatCode>#,##0</c:formatCode>
                <c:ptCount val="18"/>
                <c:pt idx="0">
                  <c:v>66482.935842105537</c:v>
                </c:pt>
                <c:pt idx="1">
                  <c:v>68607.543999999994</c:v>
                </c:pt>
                <c:pt idx="2">
                  <c:v>70747.823000000004</c:v>
                </c:pt>
                <c:pt idx="3">
                  <c:v>72029.81</c:v>
                </c:pt>
                <c:pt idx="4">
                  <c:v>73565.491000000009</c:v>
                </c:pt>
                <c:pt idx="5">
                  <c:v>74698.943999999989</c:v>
                </c:pt>
              </c:numCache>
            </c:numRef>
          </c:val>
          <c:smooth val="0"/>
          <c:extLst>
            <c:ext xmlns:c16="http://schemas.microsoft.com/office/drawing/2014/chart" uri="{C3380CC4-5D6E-409C-BE32-E72D297353CC}">
              <c16:uniqueId val="{00000001-FB8A-4F74-BD09-C5979D79082B}"/>
            </c:ext>
          </c:extLst>
        </c:ser>
        <c:ser>
          <c:idx val="2"/>
          <c:order val="2"/>
          <c:tx>
            <c:strRef>
              <c:f>Outputs_with_historical_data!$B$511</c:f>
              <c:strCache>
                <c:ptCount val="1"/>
                <c:pt idx="0">
                  <c:v>Primary aged 40-49 - historical</c:v>
                </c:pt>
              </c:strCache>
            </c:strRef>
          </c:tx>
          <c:spPr>
            <a:ln>
              <a:solidFill>
                <a:srgbClr val="00B0F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Outputs_with_historical_data!$C$511:$T$511</c:f>
              <c:numCache>
                <c:formatCode>#,##0</c:formatCode>
                <c:ptCount val="18"/>
                <c:pt idx="0">
                  <c:v>51259.979128336861</c:v>
                </c:pt>
                <c:pt idx="1">
                  <c:v>53644.612999999998</c:v>
                </c:pt>
                <c:pt idx="2">
                  <c:v>56235.042000000001</c:v>
                </c:pt>
                <c:pt idx="3">
                  <c:v>58418.114000000001</c:v>
                </c:pt>
                <c:pt idx="4">
                  <c:v>60294.141000000003</c:v>
                </c:pt>
                <c:pt idx="5">
                  <c:v>61156.686000000002</c:v>
                </c:pt>
              </c:numCache>
            </c:numRef>
          </c:val>
          <c:smooth val="0"/>
          <c:extLst>
            <c:ext xmlns:c16="http://schemas.microsoft.com/office/drawing/2014/chart" uri="{C3380CC4-5D6E-409C-BE32-E72D297353CC}">
              <c16:uniqueId val="{00000002-FB8A-4F74-BD09-C5979D79082B}"/>
            </c:ext>
          </c:extLst>
        </c:ser>
        <c:ser>
          <c:idx val="3"/>
          <c:order val="3"/>
          <c:tx>
            <c:strRef>
              <c:f>Outputs_with_historical_data!$B$512</c:f>
              <c:strCache>
                <c:ptCount val="1"/>
                <c:pt idx="0">
                  <c:v>Primary aged 50-59 - historical</c:v>
                </c:pt>
              </c:strCache>
            </c:strRef>
          </c:tx>
          <c:spPr>
            <a:ln>
              <a:solidFill>
                <a:srgbClr val="92D05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Outputs_with_historical_data!$C$512:$T$512</c:f>
              <c:numCache>
                <c:formatCode>#,##0</c:formatCode>
                <c:ptCount val="18"/>
                <c:pt idx="0">
                  <c:v>45676.552149158888</c:v>
                </c:pt>
                <c:pt idx="1">
                  <c:v>43154.445</c:v>
                </c:pt>
                <c:pt idx="2">
                  <c:v>40543.807000000001</c:v>
                </c:pt>
                <c:pt idx="3">
                  <c:v>38708.807000000001</c:v>
                </c:pt>
                <c:pt idx="4">
                  <c:v>37208.921999999999</c:v>
                </c:pt>
                <c:pt idx="5">
                  <c:v>36654.972999999998</c:v>
                </c:pt>
              </c:numCache>
            </c:numRef>
          </c:val>
          <c:smooth val="0"/>
          <c:extLst>
            <c:ext xmlns:c16="http://schemas.microsoft.com/office/drawing/2014/chart" uri="{C3380CC4-5D6E-409C-BE32-E72D297353CC}">
              <c16:uniqueId val="{00000003-FB8A-4F74-BD09-C5979D79082B}"/>
            </c:ext>
          </c:extLst>
        </c:ser>
        <c:ser>
          <c:idx val="4"/>
          <c:order val="4"/>
          <c:tx>
            <c:strRef>
              <c:f>Outputs_with_historical_data!$B$513</c:f>
              <c:strCache>
                <c:ptCount val="1"/>
                <c:pt idx="0">
                  <c:v>Primary aged 60 plus - historical</c:v>
                </c:pt>
              </c:strCache>
            </c:strRef>
          </c:tx>
          <c:spPr>
            <a:ln>
              <a:solidFill>
                <a:srgbClr val="FFC00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Outputs_with_historical_data!$C$513:$T$513</c:f>
              <c:numCache>
                <c:formatCode>#,##0</c:formatCode>
                <c:ptCount val="18"/>
                <c:pt idx="0">
                  <c:v>5973.9915807636144</c:v>
                </c:pt>
                <c:pt idx="1">
                  <c:v>6178.4169999999995</c:v>
                </c:pt>
                <c:pt idx="2">
                  <c:v>6503.9540000000006</c:v>
                </c:pt>
                <c:pt idx="3">
                  <c:v>6505.6530000000002</c:v>
                </c:pt>
                <c:pt idx="4">
                  <c:v>6441.3499999999995</c:v>
                </c:pt>
                <c:pt idx="5">
                  <c:v>6149.7240000000002</c:v>
                </c:pt>
              </c:numCache>
            </c:numRef>
          </c:val>
          <c:smooth val="0"/>
          <c:extLst>
            <c:ext xmlns:c16="http://schemas.microsoft.com/office/drawing/2014/chart" uri="{C3380CC4-5D6E-409C-BE32-E72D297353CC}">
              <c16:uniqueId val="{00000004-FB8A-4F74-BD09-C5979D79082B}"/>
            </c:ext>
          </c:extLst>
        </c:ser>
        <c:ser>
          <c:idx val="5"/>
          <c:order val="5"/>
          <c:tx>
            <c:strRef>
              <c:f>Outputs_with_historical_data!$B$514</c:f>
              <c:strCache>
                <c:ptCount val="1"/>
                <c:pt idx="0">
                  <c:v>Primary aged 20-29 - projected</c:v>
                </c:pt>
              </c:strCache>
            </c:strRef>
          </c:tx>
          <c:spPr>
            <a:ln>
              <a:solidFill>
                <a:schemeClr val="tx1"/>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Outputs_with_historical_data!$C$514:$T$514</c:f>
              <c:numCache>
                <c:formatCode>#,##0</c:formatCode>
                <c:ptCount val="18"/>
                <c:pt idx="5">
                  <c:v>60571.323000000004</c:v>
                </c:pt>
                <c:pt idx="6">
                  <c:v>62650.93552573862</c:v>
                </c:pt>
                <c:pt idx="7">
                  <c:v>64031.45301434362</c:v>
                </c:pt>
                <c:pt idx="8">
                  <c:v>64940.099394596502</c:v>
                </c:pt>
                <c:pt idx="9">
                  <c:v>65447.326363560402</c:v>
                </c:pt>
                <c:pt idx="10">
                  <c:v>66032.872645544514</c:v>
                </c:pt>
                <c:pt idx="11">
                  <c:v>66438.210160471775</c:v>
                </c:pt>
                <c:pt idx="12">
                  <c:v>66611.803532756225</c:v>
                </c:pt>
                <c:pt idx="13">
                  <c:v>66637.043515244965</c:v>
                </c:pt>
                <c:pt idx="14">
                  <c:v>66984.773250216866</c:v>
                </c:pt>
                <c:pt idx="15">
                  <c:v>67535.727746934863</c:v>
                </c:pt>
                <c:pt idx="16">
                  <c:v>68056.672324148589</c:v>
                </c:pt>
                <c:pt idx="17">
                  <c:v>68418.347353354722</c:v>
                </c:pt>
              </c:numCache>
            </c:numRef>
          </c:val>
          <c:smooth val="0"/>
          <c:extLst>
            <c:ext xmlns:c16="http://schemas.microsoft.com/office/drawing/2014/chart" uri="{C3380CC4-5D6E-409C-BE32-E72D297353CC}">
              <c16:uniqueId val="{00000005-FB8A-4F74-BD09-C5979D79082B}"/>
            </c:ext>
          </c:extLst>
        </c:ser>
        <c:ser>
          <c:idx val="6"/>
          <c:order val="6"/>
          <c:tx>
            <c:strRef>
              <c:f>Outputs_with_historical_data!$B$515</c:f>
              <c:strCache>
                <c:ptCount val="1"/>
                <c:pt idx="0">
                  <c:v>Primary aged 30-39 - projected</c:v>
                </c:pt>
              </c:strCache>
            </c:strRef>
          </c:tx>
          <c:spPr>
            <a:ln>
              <a:solidFill>
                <a:srgbClr val="FF000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Outputs_with_historical_data!$C$515:$T$515</c:f>
              <c:numCache>
                <c:formatCode>#,##0</c:formatCode>
                <c:ptCount val="18"/>
                <c:pt idx="5">
                  <c:v>74698.943999999989</c:v>
                </c:pt>
                <c:pt idx="6">
                  <c:v>75735.405419752205</c:v>
                </c:pt>
                <c:pt idx="7">
                  <c:v>75995.970841096336</c:v>
                </c:pt>
                <c:pt idx="8">
                  <c:v>75830.891756347177</c:v>
                </c:pt>
                <c:pt idx="9">
                  <c:v>75426.467156199738</c:v>
                </c:pt>
                <c:pt idx="10">
                  <c:v>75042.012183824831</c:v>
                </c:pt>
                <c:pt idx="11">
                  <c:v>74654.224654473612</c:v>
                </c:pt>
                <c:pt idx="12">
                  <c:v>74263.138431663057</c:v>
                </c:pt>
                <c:pt idx="13">
                  <c:v>73892.379859028777</c:v>
                </c:pt>
                <c:pt idx="14">
                  <c:v>73701.63762853689</c:v>
                </c:pt>
                <c:pt idx="15">
                  <c:v>73668.749002973826</c:v>
                </c:pt>
                <c:pt idx="16">
                  <c:v>73719.992924695573</c:v>
                </c:pt>
                <c:pt idx="17">
                  <c:v>73798.4339630451</c:v>
                </c:pt>
              </c:numCache>
            </c:numRef>
          </c:val>
          <c:smooth val="0"/>
          <c:extLst>
            <c:ext xmlns:c16="http://schemas.microsoft.com/office/drawing/2014/chart" uri="{C3380CC4-5D6E-409C-BE32-E72D297353CC}">
              <c16:uniqueId val="{00000006-FB8A-4F74-BD09-C5979D79082B}"/>
            </c:ext>
          </c:extLst>
        </c:ser>
        <c:ser>
          <c:idx val="7"/>
          <c:order val="7"/>
          <c:tx>
            <c:strRef>
              <c:f>Outputs_with_historical_data!$B$516</c:f>
              <c:strCache>
                <c:ptCount val="1"/>
                <c:pt idx="0">
                  <c:v>Primary aged 40-49 - projected</c:v>
                </c:pt>
              </c:strCache>
            </c:strRef>
          </c:tx>
          <c:spPr>
            <a:ln>
              <a:solidFill>
                <a:srgbClr val="00B0F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Outputs_with_historical_data!$C$516:$T$516</c:f>
              <c:numCache>
                <c:formatCode>#,##0</c:formatCode>
                <c:ptCount val="18"/>
                <c:pt idx="5">
                  <c:v>61156.686000000002</c:v>
                </c:pt>
                <c:pt idx="6">
                  <c:v>62289.874013559063</c:v>
                </c:pt>
                <c:pt idx="7">
                  <c:v>63072.618241949516</c:v>
                </c:pt>
                <c:pt idx="8">
                  <c:v>63624.733961929029</c:v>
                </c:pt>
                <c:pt idx="9">
                  <c:v>63985.425131467229</c:v>
                </c:pt>
                <c:pt idx="10">
                  <c:v>64291.559487604827</c:v>
                </c:pt>
                <c:pt idx="11">
                  <c:v>64486.430147166597</c:v>
                </c:pt>
                <c:pt idx="12">
                  <c:v>64561.208282714681</c:v>
                </c:pt>
                <c:pt idx="13">
                  <c:v>64543.25821458998</c:v>
                </c:pt>
                <c:pt idx="14">
                  <c:v>64570.500802602692</c:v>
                </c:pt>
                <c:pt idx="15">
                  <c:v>64633.312798081548</c:v>
                </c:pt>
                <c:pt idx="16">
                  <c:v>64685.5256240132</c:v>
                </c:pt>
                <c:pt idx="17">
                  <c:v>64700.316239290973</c:v>
                </c:pt>
              </c:numCache>
            </c:numRef>
          </c:val>
          <c:smooth val="0"/>
          <c:extLst>
            <c:ext xmlns:c16="http://schemas.microsoft.com/office/drawing/2014/chart" uri="{C3380CC4-5D6E-409C-BE32-E72D297353CC}">
              <c16:uniqueId val="{00000007-FB8A-4F74-BD09-C5979D79082B}"/>
            </c:ext>
          </c:extLst>
        </c:ser>
        <c:ser>
          <c:idx val="8"/>
          <c:order val="8"/>
          <c:tx>
            <c:strRef>
              <c:f>Outputs_with_historical_data!$B$517</c:f>
              <c:strCache>
                <c:ptCount val="1"/>
                <c:pt idx="0">
                  <c:v>Primary aged 50-59 - projected</c:v>
                </c:pt>
              </c:strCache>
            </c:strRef>
          </c:tx>
          <c:spPr>
            <a:ln>
              <a:solidFill>
                <a:srgbClr val="92D05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Outputs_with_historical_data!$C$517:$T$517</c:f>
              <c:numCache>
                <c:formatCode>#,##0</c:formatCode>
                <c:ptCount val="18"/>
                <c:pt idx="5">
                  <c:v>36654.972999999998</c:v>
                </c:pt>
                <c:pt idx="6">
                  <c:v>35256.172626426145</c:v>
                </c:pt>
                <c:pt idx="7">
                  <c:v>34405.442939738532</c:v>
                </c:pt>
                <c:pt idx="8">
                  <c:v>33917.212918317891</c:v>
                </c:pt>
                <c:pt idx="9">
                  <c:v>33653.310897227668</c:v>
                </c:pt>
                <c:pt idx="10">
                  <c:v>33570.122365956151</c:v>
                </c:pt>
                <c:pt idx="11">
                  <c:v>33574.031843871395</c:v>
                </c:pt>
                <c:pt idx="12">
                  <c:v>33614.038089825655</c:v>
                </c:pt>
                <c:pt idx="13">
                  <c:v>33668.312722966017</c:v>
                </c:pt>
                <c:pt idx="14">
                  <c:v>33771.769610301111</c:v>
                </c:pt>
                <c:pt idx="15">
                  <c:v>33902.821573338355</c:v>
                </c:pt>
                <c:pt idx="16">
                  <c:v>34030.329060201249</c:v>
                </c:pt>
                <c:pt idx="17">
                  <c:v>34135.542473067653</c:v>
                </c:pt>
              </c:numCache>
            </c:numRef>
          </c:val>
          <c:smooth val="0"/>
          <c:extLst>
            <c:ext xmlns:c16="http://schemas.microsoft.com/office/drawing/2014/chart" uri="{C3380CC4-5D6E-409C-BE32-E72D297353CC}">
              <c16:uniqueId val="{00000008-FB8A-4F74-BD09-C5979D79082B}"/>
            </c:ext>
          </c:extLst>
        </c:ser>
        <c:ser>
          <c:idx val="9"/>
          <c:order val="9"/>
          <c:tx>
            <c:strRef>
              <c:f>Outputs_with_historical_data!$B$518</c:f>
              <c:strCache>
                <c:ptCount val="1"/>
                <c:pt idx="0">
                  <c:v>Primary aged 60 plus - projected</c:v>
                </c:pt>
              </c:strCache>
            </c:strRef>
          </c:tx>
          <c:spPr>
            <a:ln>
              <a:solidFill>
                <a:srgbClr val="FFC00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Outputs_with_historical_data!$C$518:$T$518</c:f>
              <c:numCache>
                <c:formatCode>#,##0</c:formatCode>
                <c:ptCount val="18"/>
                <c:pt idx="5">
                  <c:v>6149.7240000000002</c:v>
                </c:pt>
                <c:pt idx="6">
                  <c:v>6357.590424853106</c:v>
                </c:pt>
                <c:pt idx="7">
                  <c:v>6311.0199507516372</c:v>
                </c:pt>
                <c:pt idx="8">
                  <c:v>6160.0624856627619</c:v>
                </c:pt>
                <c:pt idx="9">
                  <c:v>5980.5559361747692</c:v>
                </c:pt>
                <c:pt idx="10">
                  <c:v>5819.9955548849412</c:v>
                </c:pt>
                <c:pt idx="11">
                  <c:v>5684.908877410684</c:v>
                </c:pt>
                <c:pt idx="12">
                  <c:v>5576.0047827954386</c:v>
                </c:pt>
                <c:pt idx="13">
                  <c:v>5492.4127725859953</c:v>
                </c:pt>
                <c:pt idx="14">
                  <c:v>5441.9241967592661</c:v>
                </c:pt>
                <c:pt idx="15">
                  <c:v>5416.5603277071023</c:v>
                </c:pt>
                <c:pt idx="16">
                  <c:v>5405.507279055646</c:v>
                </c:pt>
                <c:pt idx="17">
                  <c:v>5401.2322370562924</c:v>
                </c:pt>
              </c:numCache>
            </c:numRef>
          </c:val>
          <c:smooth val="0"/>
          <c:extLst>
            <c:ext xmlns:c16="http://schemas.microsoft.com/office/drawing/2014/chart" uri="{C3380CC4-5D6E-409C-BE32-E72D297353CC}">
              <c16:uniqueId val="{00000009-FB8A-4F74-BD09-C5979D79082B}"/>
            </c:ext>
          </c:extLst>
        </c:ser>
        <c:dLbls>
          <c:showLegendKey val="0"/>
          <c:showVal val="0"/>
          <c:showCatName val="0"/>
          <c:showSerName val="0"/>
          <c:showPercent val="0"/>
          <c:showBubbleSize val="0"/>
        </c:dLbls>
        <c:smooth val="0"/>
        <c:axId val="171718912"/>
        <c:axId val="171737088"/>
      </c:lineChart>
      <c:catAx>
        <c:axId val="17171891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737088"/>
        <c:crosses val="autoZero"/>
        <c:auto val="1"/>
        <c:lblAlgn val="ctr"/>
        <c:lblOffset val="100"/>
        <c:noMultiLvlLbl val="0"/>
      </c:catAx>
      <c:valAx>
        <c:axId val="1717370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718912"/>
        <c:crosses val="autoZero"/>
        <c:crossBetween val="between"/>
      </c:valAx>
      <c:spPr>
        <a:ln>
          <a:solidFill>
            <a:schemeClr val="tx1">
              <a:lumMod val="95000"/>
              <a:lumOff val="5000"/>
            </a:schemeClr>
          </a:solidFill>
        </a:ln>
      </c:spPr>
    </c:plotArea>
    <c:legend>
      <c:legendPos val="r"/>
      <c:layout>
        <c:manualLayout>
          <c:xMode val="edge"/>
          <c:yMode val="edge"/>
          <c:x val="0.70932878270762223"/>
          <c:y val="7.3066052989794614E-2"/>
          <c:w val="0.27986348122866894"/>
          <c:h val="0.8538681948424068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ARTS</a:t>
            </a:r>
          </a:p>
        </c:rich>
      </c:tx>
      <c:overlay val="0"/>
    </c:title>
    <c:autoTitleDeleted val="0"/>
    <c:plotArea>
      <c:layout>
        <c:manualLayout>
          <c:layoutTarget val="inner"/>
          <c:xMode val="edge"/>
          <c:yMode val="edge"/>
          <c:x val="0.11423840769903762"/>
          <c:y val="0.12283573928258967"/>
          <c:w val="0.56316625286704025"/>
          <c:h val="0.69329177602799663"/>
        </c:manualLayout>
      </c:layout>
      <c:lineChart>
        <c:grouping val="standard"/>
        <c:varyColors val="0"/>
        <c:ser>
          <c:idx val="21"/>
          <c:order val="0"/>
          <c:tx>
            <c:strRef>
              <c:f>Entrant_need_figures!$B$110</c:f>
              <c:strCache>
                <c:ptCount val="1"/>
                <c:pt idx="0">
                  <c:v>ART &amp; DESIGN All Central Scenario</c:v>
                </c:pt>
              </c:strCache>
            </c:strRef>
          </c:tx>
          <c:spPr>
            <a:ln>
              <a:solidFill>
                <a:srgbClr val="00206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Entrant_need_figures!$C$110:$N$110</c:f>
              <c:numCache>
                <c:formatCode>#,##0</c:formatCode>
                <c:ptCount val="12"/>
                <c:pt idx="0">
                  <c:v>818.75145377217302</c:v>
                </c:pt>
                <c:pt idx="1">
                  <c:v>927.93654352597684</c:v>
                </c:pt>
                <c:pt idx="2">
                  <c:v>817.25785947076361</c:v>
                </c:pt>
                <c:pt idx="3">
                  <c:v>821.31614638925009</c:v>
                </c:pt>
                <c:pt idx="4">
                  <c:v>922.91788492748583</c:v>
                </c:pt>
                <c:pt idx="5">
                  <c:v>941.38089751993812</c:v>
                </c:pt>
                <c:pt idx="6">
                  <c:v>948.22222537427285</c:v>
                </c:pt>
                <c:pt idx="7">
                  <c:v>962.85061924353772</c:v>
                </c:pt>
                <c:pt idx="8">
                  <c:v>926.77228411941587</c:v>
                </c:pt>
                <c:pt idx="9">
                  <c:v>890.58828211018431</c:v>
                </c:pt>
                <c:pt idx="10">
                  <c:v>872.01931104115033</c:v>
                </c:pt>
                <c:pt idx="11">
                  <c:v>891.42260405371076</c:v>
                </c:pt>
              </c:numCache>
            </c:numRef>
          </c:val>
          <c:smooth val="0"/>
          <c:extLst>
            <c:ext xmlns:c16="http://schemas.microsoft.com/office/drawing/2014/chart" uri="{C3380CC4-5D6E-409C-BE32-E72D297353CC}">
              <c16:uniqueId val="{00000000-AA13-4445-9596-6E5F0D62E010}"/>
            </c:ext>
          </c:extLst>
        </c:ser>
        <c:ser>
          <c:idx val="1"/>
          <c:order val="1"/>
          <c:tx>
            <c:strRef>
              <c:f>Entrant_need_figures!$B$89</c:f>
              <c:strCache>
                <c:ptCount val="1"/>
                <c:pt idx="0">
                  <c:v>ART &amp; DESIGN Scenario Selected</c:v>
                </c:pt>
              </c:strCache>
            </c:strRef>
          </c:tx>
          <c:spPr>
            <a:ln>
              <a:solidFill>
                <a:srgbClr val="00206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Entrant_need_figures!$C$89:$N$89</c:f>
              <c:numCache>
                <c:formatCode>#,##0</c:formatCode>
                <c:ptCount val="12"/>
                <c:pt idx="0">
                  <c:v>818.75145377217302</c:v>
                </c:pt>
                <c:pt idx="1">
                  <c:v>927.93654352597684</c:v>
                </c:pt>
                <c:pt idx="2">
                  <c:v>817.25785947076361</c:v>
                </c:pt>
                <c:pt idx="3">
                  <c:v>821.31614638925009</c:v>
                </c:pt>
                <c:pt idx="4">
                  <c:v>922.91788492748583</c:v>
                </c:pt>
                <c:pt idx="5">
                  <c:v>941.38089751993812</c:v>
                </c:pt>
                <c:pt idx="6">
                  <c:v>948.22222537427285</c:v>
                </c:pt>
                <c:pt idx="7">
                  <c:v>962.85061924353772</c:v>
                </c:pt>
                <c:pt idx="8">
                  <c:v>926.77228411941587</c:v>
                </c:pt>
                <c:pt idx="9">
                  <c:v>890.58828211018431</c:v>
                </c:pt>
                <c:pt idx="10">
                  <c:v>872.01931104115033</c:v>
                </c:pt>
                <c:pt idx="11">
                  <c:v>891.42260405371076</c:v>
                </c:pt>
              </c:numCache>
            </c:numRef>
          </c:val>
          <c:smooth val="0"/>
          <c:extLst>
            <c:ext xmlns:c16="http://schemas.microsoft.com/office/drawing/2014/chart" uri="{C3380CC4-5D6E-409C-BE32-E72D297353CC}">
              <c16:uniqueId val="{00000001-AA13-4445-9596-6E5F0D62E010}"/>
            </c:ext>
          </c:extLst>
        </c:ser>
        <c:ser>
          <c:idx val="28"/>
          <c:order val="2"/>
          <c:tx>
            <c:strRef>
              <c:f>Entrant_need_figures!$B$117</c:f>
              <c:strCache>
                <c:ptCount val="1"/>
                <c:pt idx="0">
                  <c:v>DRAMA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Entrant_need_figures!$C$117:$N$117</c:f>
              <c:numCache>
                <c:formatCode>#,##0</c:formatCode>
                <c:ptCount val="12"/>
                <c:pt idx="0">
                  <c:v>500.66562407477022</c:v>
                </c:pt>
                <c:pt idx="1">
                  <c:v>535.81534290220816</c:v>
                </c:pt>
                <c:pt idx="2">
                  <c:v>524.0947653422545</c:v>
                </c:pt>
                <c:pt idx="3">
                  <c:v>506.27762177873194</c:v>
                </c:pt>
                <c:pt idx="4">
                  <c:v>502.59427234489328</c:v>
                </c:pt>
                <c:pt idx="5">
                  <c:v>542.0105294600877</c:v>
                </c:pt>
                <c:pt idx="6">
                  <c:v>545.64501769486344</c:v>
                </c:pt>
                <c:pt idx="7">
                  <c:v>558.07417897334494</c:v>
                </c:pt>
                <c:pt idx="8">
                  <c:v>535.94832354417588</c:v>
                </c:pt>
                <c:pt idx="9">
                  <c:v>515.54095619313125</c:v>
                </c:pt>
                <c:pt idx="10">
                  <c:v>506.49020975013286</c:v>
                </c:pt>
                <c:pt idx="11">
                  <c:v>522.93864569563834</c:v>
                </c:pt>
              </c:numCache>
            </c:numRef>
          </c:val>
          <c:smooth val="0"/>
          <c:extLst>
            <c:ext xmlns:c16="http://schemas.microsoft.com/office/drawing/2014/chart" uri="{C3380CC4-5D6E-409C-BE32-E72D297353CC}">
              <c16:uniqueId val="{00000002-AA13-4445-9596-6E5F0D62E010}"/>
            </c:ext>
          </c:extLst>
        </c:ser>
        <c:ser>
          <c:idx val="8"/>
          <c:order val="3"/>
          <c:tx>
            <c:strRef>
              <c:f>Entrant_need_figures!$B$96</c:f>
              <c:strCache>
                <c:ptCount val="1"/>
                <c:pt idx="0">
                  <c:v>DRAMA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Entrant_need_figures!$C$96:$N$96</c:f>
              <c:numCache>
                <c:formatCode>#,##0</c:formatCode>
                <c:ptCount val="12"/>
                <c:pt idx="0">
                  <c:v>500.66562407477022</c:v>
                </c:pt>
                <c:pt idx="1">
                  <c:v>535.81534290220816</c:v>
                </c:pt>
                <c:pt idx="2">
                  <c:v>524.0947653422545</c:v>
                </c:pt>
                <c:pt idx="3">
                  <c:v>506.27762177873194</c:v>
                </c:pt>
                <c:pt idx="4">
                  <c:v>502.59427234489328</c:v>
                </c:pt>
                <c:pt idx="5">
                  <c:v>542.0105294600877</c:v>
                </c:pt>
                <c:pt idx="6">
                  <c:v>545.64501769486344</c:v>
                </c:pt>
                <c:pt idx="7">
                  <c:v>558.07417897334494</c:v>
                </c:pt>
                <c:pt idx="8">
                  <c:v>535.94832354417588</c:v>
                </c:pt>
                <c:pt idx="9">
                  <c:v>515.54095619313125</c:v>
                </c:pt>
                <c:pt idx="10">
                  <c:v>506.49020975013286</c:v>
                </c:pt>
                <c:pt idx="11">
                  <c:v>522.93864569563834</c:v>
                </c:pt>
              </c:numCache>
            </c:numRef>
          </c:val>
          <c:smooth val="0"/>
          <c:extLst>
            <c:ext xmlns:c16="http://schemas.microsoft.com/office/drawing/2014/chart" uri="{C3380CC4-5D6E-409C-BE32-E72D297353CC}">
              <c16:uniqueId val="{00000003-AA13-4445-9596-6E5F0D62E010}"/>
            </c:ext>
          </c:extLst>
        </c:ser>
        <c:ser>
          <c:idx val="34"/>
          <c:order val="4"/>
          <c:tx>
            <c:strRef>
              <c:f>Entrant_need_figures!$B$124</c:f>
              <c:strCache>
                <c:ptCount val="1"/>
                <c:pt idx="0">
                  <c:v>MUSIC All Central Scenario</c:v>
                </c:pt>
              </c:strCache>
            </c:strRef>
          </c:tx>
          <c:spPr>
            <a:ln>
              <a:solidFill>
                <a:srgbClr val="92D05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Entrant_need_figures!$C$124:$N$124</c:f>
              <c:numCache>
                <c:formatCode>#,##0</c:formatCode>
                <c:ptCount val="12"/>
                <c:pt idx="0">
                  <c:v>518.19712238615239</c:v>
                </c:pt>
                <c:pt idx="1">
                  <c:v>563.21972711972126</c:v>
                </c:pt>
                <c:pt idx="2">
                  <c:v>572.59936089012535</c:v>
                </c:pt>
                <c:pt idx="3">
                  <c:v>592.16071758430417</c:v>
                </c:pt>
                <c:pt idx="4">
                  <c:v>583.48353399109374</c:v>
                </c:pt>
                <c:pt idx="5">
                  <c:v>573.27595593338151</c:v>
                </c:pt>
                <c:pt idx="6">
                  <c:v>567.32244580792019</c:v>
                </c:pt>
                <c:pt idx="7">
                  <c:v>588.9684862115779</c:v>
                </c:pt>
                <c:pt idx="8">
                  <c:v>557.81099730005849</c:v>
                </c:pt>
                <c:pt idx="9">
                  <c:v>522.11676448490664</c:v>
                </c:pt>
                <c:pt idx="10">
                  <c:v>508.07188932545034</c:v>
                </c:pt>
                <c:pt idx="11">
                  <c:v>541.22773670326114</c:v>
                </c:pt>
              </c:numCache>
            </c:numRef>
          </c:val>
          <c:smooth val="0"/>
          <c:extLst>
            <c:ext xmlns:c16="http://schemas.microsoft.com/office/drawing/2014/chart" uri="{C3380CC4-5D6E-409C-BE32-E72D297353CC}">
              <c16:uniqueId val="{00000004-AA13-4445-9596-6E5F0D62E010}"/>
            </c:ext>
          </c:extLst>
        </c:ser>
        <c:ser>
          <c:idx val="14"/>
          <c:order val="5"/>
          <c:tx>
            <c:strRef>
              <c:f>Entrant_need_figures!$B$103</c:f>
              <c:strCache>
                <c:ptCount val="1"/>
                <c:pt idx="0">
                  <c:v>MUSIC Scenario Selected</c:v>
                </c:pt>
              </c:strCache>
            </c:strRef>
          </c:tx>
          <c:spPr>
            <a:ln>
              <a:solidFill>
                <a:srgbClr val="92D05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Entrant_need_figures!$C$103:$N$103</c:f>
              <c:numCache>
                <c:formatCode>#,##0</c:formatCode>
                <c:ptCount val="12"/>
                <c:pt idx="0">
                  <c:v>518.19712238615239</c:v>
                </c:pt>
                <c:pt idx="1">
                  <c:v>563.21972711972126</c:v>
                </c:pt>
                <c:pt idx="2">
                  <c:v>572.59936089012535</c:v>
                </c:pt>
                <c:pt idx="3">
                  <c:v>592.16071758430417</c:v>
                </c:pt>
                <c:pt idx="4">
                  <c:v>583.48353399109374</c:v>
                </c:pt>
                <c:pt idx="5">
                  <c:v>573.27595593338151</c:v>
                </c:pt>
                <c:pt idx="6">
                  <c:v>567.32244580792019</c:v>
                </c:pt>
                <c:pt idx="7">
                  <c:v>588.9684862115779</c:v>
                </c:pt>
                <c:pt idx="8">
                  <c:v>557.81099730005849</c:v>
                </c:pt>
                <c:pt idx="9">
                  <c:v>522.11676448490664</c:v>
                </c:pt>
                <c:pt idx="10">
                  <c:v>508.07188932545034</c:v>
                </c:pt>
                <c:pt idx="11">
                  <c:v>541.22773670326114</c:v>
                </c:pt>
              </c:numCache>
            </c:numRef>
          </c:val>
          <c:smooth val="0"/>
          <c:extLst>
            <c:ext xmlns:c16="http://schemas.microsoft.com/office/drawing/2014/chart" uri="{C3380CC4-5D6E-409C-BE32-E72D297353CC}">
              <c16:uniqueId val="{00000005-AA13-4445-9596-6E5F0D62E010}"/>
            </c:ext>
          </c:extLst>
        </c:ser>
        <c:dLbls>
          <c:showLegendKey val="0"/>
          <c:showVal val="0"/>
          <c:showCatName val="0"/>
          <c:showSerName val="0"/>
          <c:showPercent val="0"/>
          <c:showBubbleSize val="0"/>
        </c:dLbls>
        <c:smooth val="0"/>
        <c:axId val="148813312"/>
        <c:axId val="148814848"/>
      </c:lineChart>
      <c:catAx>
        <c:axId val="148813312"/>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14848"/>
        <c:crosses val="autoZero"/>
        <c:auto val="1"/>
        <c:lblAlgn val="ctr"/>
        <c:lblOffset val="100"/>
        <c:noMultiLvlLbl val="0"/>
      </c:catAx>
      <c:valAx>
        <c:axId val="148814848"/>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13312"/>
        <c:crosses val="autoZero"/>
        <c:crossBetween val="between"/>
      </c:valAx>
      <c:spPr>
        <a:ln>
          <a:solidFill>
            <a:schemeClr val="tx1">
              <a:lumMod val="95000"/>
              <a:lumOff val="5000"/>
            </a:schemeClr>
          </a:solidFill>
        </a:ln>
      </c:spPr>
    </c:plotArea>
    <c:legend>
      <c:legendPos val="r"/>
      <c:layout>
        <c:manualLayout>
          <c:xMode val="edge"/>
          <c:yMode val="edge"/>
          <c:x val="0.6895983723511071"/>
          <c:y val="3.3216966760273844E-2"/>
          <c:w val="0.28859113248427837"/>
          <c:h val="0.8881118881118881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867276846804406"/>
          <c:y val="2.2922636103151862E-2"/>
        </c:manualLayout>
      </c:layout>
      <c:overlay val="0"/>
    </c:title>
    <c:autoTitleDeleted val="0"/>
    <c:plotArea>
      <c:layout>
        <c:manualLayout>
          <c:layoutTarget val="inner"/>
          <c:xMode val="edge"/>
          <c:yMode val="edge"/>
          <c:x val="0.13675280871903209"/>
          <c:y val="0.10372210315426549"/>
          <c:w val="0.54672756225593755"/>
          <c:h val="0.74186361412663648"/>
        </c:manualLayout>
      </c:layout>
      <c:lineChart>
        <c:grouping val="standard"/>
        <c:varyColors val="0"/>
        <c:ser>
          <c:idx val="10"/>
          <c:order val="0"/>
          <c:tx>
            <c:strRef>
              <c:f>Outputs_with_historical_data!$B$519</c:f>
              <c:strCache>
                <c:ptCount val="1"/>
                <c:pt idx="0">
                  <c:v>Secondary aged 20-29 - historical</c:v>
                </c:pt>
              </c:strCache>
            </c:strRef>
          </c:tx>
          <c:spPr>
            <a:ln>
              <a:solidFill>
                <a:schemeClr val="tx1"/>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Outputs_with_historical_data!$C$519:$T$519</c:f>
              <c:numCache>
                <c:formatCode>#,##0</c:formatCode>
                <c:ptCount val="18"/>
                <c:pt idx="0">
                  <c:v>48223.053502070397</c:v>
                </c:pt>
                <c:pt idx="1">
                  <c:v>48675.355000000003</c:v>
                </c:pt>
                <c:pt idx="2">
                  <c:v>48792.569999999992</c:v>
                </c:pt>
                <c:pt idx="3">
                  <c:v>47430.468999999997</c:v>
                </c:pt>
                <c:pt idx="4">
                  <c:v>46197.395000000004</c:v>
                </c:pt>
                <c:pt idx="5">
                  <c:v>44883.123058915102</c:v>
                </c:pt>
              </c:numCache>
            </c:numRef>
          </c:val>
          <c:smooth val="0"/>
          <c:extLst>
            <c:ext xmlns:c16="http://schemas.microsoft.com/office/drawing/2014/chart" uri="{C3380CC4-5D6E-409C-BE32-E72D297353CC}">
              <c16:uniqueId val="{00000000-A907-4F52-B390-B8CF825C8D86}"/>
            </c:ext>
          </c:extLst>
        </c:ser>
        <c:ser>
          <c:idx val="11"/>
          <c:order val="1"/>
          <c:tx>
            <c:strRef>
              <c:f>Outputs_with_historical_data!$B$520</c:f>
              <c:strCache>
                <c:ptCount val="1"/>
                <c:pt idx="0">
                  <c:v>Secondary aged 30-39 - historical</c:v>
                </c:pt>
              </c:strCache>
            </c:strRef>
          </c:tx>
          <c:spPr>
            <a:ln>
              <a:solidFill>
                <a:srgbClr val="FF000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Outputs_with_historical_data!$C$520:$T$520</c:f>
              <c:numCache>
                <c:formatCode>#,##0</c:formatCode>
                <c:ptCount val="18"/>
                <c:pt idx="0">
                  <c:v>70746.670872497823</c:v>
                </c:pt>
                <c:pt idx="1">
                  <c:v>71910.765000000014</c:v>
                </c:pt>
                <c:pt idx="2">
                  <c:v>73470.31700000001</c:v>
                </c:pt>
                <c:pt idx="3">
                  <c:v>74044.337</c:v>
                </c:pt>
                <c:pt idx="4">
                  <c:v>74394.232999999993</c:v>
                </c:pt>
                <c:pt idx="5">
                  <c:v>73507.005808613161</c:v>
                </c:pt>
              </c:numCache>
            </c:numRef>
          </c:val>
          <c:smooth val="0"/>
          <c:extLst>
            <c:ext xmlns:c16="http://schemas.microsoft.com/office/drawing/2014/chart" uri="{C3380CC4-5D6E-409C-BE32-E72D297353CC}">
              <c16:uniqueId val="{00000001-A907-4F52-B390-B8CF825C8D86}"/>
            </c:ext>
          </c:extLst>
        </c:ser>
        <c:ser>
          <c:idx val="12"/>
          <c:order val="2"/>
          <c:tx>
            <c:strRef>
              <c:f>Outputs_with_historical_data!$B$521</c:f>
              <c:strCache>
                <c:ptCount val="1"/>
                <c:pt idx="0">
                  <c:v>Secondary aged 40-49 - historical</c:v>
                </c:pt>
              </c:strCache>
            </c:strRef>
          </c:tx>
          <c:spPr>
            <a:ln>
              <a:solidFill>
                <a:srgbClr val="00B0F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Outputs_with_historical_data!$C$521:$T$521</c:f>
              <c:numCache>
                <c:formatCode>#,##0</c:formatCode>
                <c:ptCount val="18"/>
                <c:pt idx="0">
                  <c:v>49557.739923707719</c:v>
                </c:pt>
                <c:pt idx="1">
                  <c:v>51414.662000000004</c:v>
                </c:pt>
                <c:pt idx="2">
                  <c:v>52967.756999999998</c:v>
                </c:pt>
                <c:pt idx="3">
                  <c:v>53905.713999999993</c:v>
                </c:pt>
                <c:pt idx="4">
                  <c:v>54642.598000000005</c:v>
                </c:pt>
                <c:pt idx="5">
                  <c:v>55029.977755717009</c:v>
                </c:pt>
              </c:numCache>
            </c:numRef>
          </c:val>
          <c:smooth val="0"/>
          <c:extLst>
            <c:ext xmlns:c16="http://schemas.microsoft.com/office/drawing/2014/chart" uri="{C3380CC4-5D6E-409C-BE32-E72D297353CC}">
              <c16:uniqueId val="{00000002-A907-4F52-B390-B8CF825C8D86}"/>
            </c:ext>
          </c:extLst>
        </c:ser>
        <c:ser>
          <c:idx val="13"/>
          <c:order val="3"/>
          <c:tx>
            <c:strRef>
              <c:f>Outputs_with_historical_data!$B$522</c:f>
              <c:strCache>
                <c:ptCount val="1"/>
                <c:pt idx="0">
                  <c:v>Secondary aged 50-59 - historical</c:v>
                </c:pt>
              </c:strCache>
            </c:strRef>
          </c:tx>
          <c:spPr>
            <a:ln>
              <a:solidFill>
                <a:srgbClr val="92D05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Outputs_with_historical_data!$C$522:$T$522</c:f>
              <c:numCache>
                <c:formatCode>#,##0</c:formatCode>
                <c:ptCount val="18"/>
                <c:pt idx="0">
                  <c:v>47135.9921469494</c:v>
                </c:pt>
                <c:pt idx="1">
                  <c:v>41941.245999999999</c:v>
                </c:pt>
                <c:pt idx="2">
                  <c:v>39474.42</c:v>
                </c:pt>
                <c:pt idx="3">
                  <c:v>37283.615000000005</c:v>
                </c:pt>
                <c:pt idx="4">
                  <c:v>35400.942000000003</c:v>
                </c:pt>
                <c:pt idx="5">
                  <c:v>33922.691964960701</c:v>
                </c:pt>
              </c:numCache>
            </c:numRef>
          </c:val>
          <c:smooth val="0"/>
          <c:extLst>
            <c:ext xmlns:c16="http://schemas.microsoft.com/office/drawing/2014/chart" uri="{C3380CC4-5D6E-409C-BE32-E72D297353CC}">
              <c16:uniqueId val="{00000003-A907-4F52-B390-B8CF825C8D86}"/>
            </c:ext>
          </c:extLst>
        </c:ser>
        <c:ser>
          <c:idx val="14"/>
          <c:order val="4"/>
          <c:tx>
            <c:strRef>
              <c:f>Outputs_with_historical_data!$B$523</c:f>
              <c:strCache>
                <c:ptCount val="1"/>
                <c:pt idx="0">
                  <c:v>Secondary aged 60 plus - historical</c:v>
                </c:pt>
              </c:strCache>
            </c:strRef>
          </c:tx>
          <c:spPr>
            <a:ln>
              <a:solidFill>
                <a:srgbClr val="FFC000"/>
              </a:solidFill>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Outputs_with_historical_data!$C$523:$T$523</c:f>
              <c:numCache>
                <c:formatCode>#,##0</c:formatCode>
                <c:ptCount val="18"/>
                <c:pt idx="0">
                  <c:v>6237.2040511763826</c:v>
                </c:pt>
                <c:pt idx="1">
                  <c:v>5241.5729999999994</c:v>
                </c:pt>
                <c:pt idx="2">
                  <c:v>5239.027</c:v>
                </c:pt>
                <c:pt idx="3">
                  <c:v>5160.0129999999999</c:v>
                </c:pt>
                <c:pt idx="4">
                  <c:v>5028.5050000000001</c:v>
                </c:pt>
                <c:pt idx="5">
                  <c:v>4770.2687135826254</c:v>
                </c:pt>
              </c:numCache>
            </c:numRef>
          </c:val>
          <c:smooth val="0"/>
          <c:extLst>
            <c:ext xmlns:c16="http://schemas.microsoft.com/office/drawing/2014/chart" uri="{C3380CC4-5D6E-409C-BE32-E72D297353CC}">
              <c16:uniqueId val="{00000004-A907-4F52-B390-B8CF825C8D86}"/>
            </c:ext>
          </c:extLst>
        </c:ser>
        <c:ser>
          <c:idx val="15"/>
          <c:order val="5"/>
          <c:tx>
            <c:strRef>
              <c:f>Outputs_with_historical_data!$B$524</c:f>
              <c:strCache>
                <c:ptCount val="1"/>
                <c:pt idx="0">
                  <c:v>Secondary aged 20-29 - projected</c:v>
                </c:pt>
              </c:strCache>
            </c:strRef>
          </c:tx>
          <c:spPr>
            <a:ln>
              <a:solidFill>
                <a:schemeClr val="tx1"/>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Outputs_with_historical_data!$C$524:$T$524</c:f>
              <c:numCache>
                <c:formatCode>#,##0</c:formatCode>
                <c:ptCount val="18"/>
                <c:pt idx="5">
                  <c:v>44883.123058915102</c:v>
                </c:pt>
                <c:pt idx="6">
                  <c:v>47314.128233217132</c:v>
                </c:pt>
                <c:pt idx="7">
                  <c:v>49406.086826814586</c:v>
                </c:pt>
                <c:pt idx="8">
                  <c:v>51655.595163894788</c:v>
                </c:pt>
                <c:pt idx="9">
                  <c:v>53731.444299751543</c:v>
                </c:pt>
                <c:pt idx="10">
                  <c:v>55274.110347070768</c:v>
                </c:pt>
                <c:pt idx="11">
                  <c:v>56575.915734733579</c:v>
                </c:pt>
                <c:pt idx="12">
                  <c:v>57792.499159889136</c:v>
                </c:pt>
                <c:pt idx="13">
                  <c:v>58701.658196901932</c:v>
                </c:pt>
                <c:pt idx="14">
                  <c:v>58908.80377009623</c:v>
                </c:pt>
                <c:pt idx="15">
                  <c:v>58880.686903804679</c:v>
                </c:pt>
                <c:pt idx="16">
                  <c:v>58665.476390843309</c:v>
                </c:pt>
                <c:pt idx="17">
                  <c:v>58370.452606707084</c:v>
                </c:pt>
              </c:numCache>
            </c:numRef>
          </c:val>
          <c:smooth val="0"/>
          <c:extLst>
            <c:ext xmlns:c16="http://schemas.microsoft.com/office/drawing/2014/chart" uri="{C3380CC4-5D6E-409C-BE32-E72D297353CC}">
              <c16:uniqueId val="{00000005-A907-4F52-B390-B8CF825C8D86}"/>
            </c:ext>
          </c:extLst>
        </c:ser>
        <c:ser>
          <c:idx val="16"/>
          <c:order val="6"/>
          <c:tx>
            <c:strRef>
              <c:f>Outputs_with_historical_data!$B$525</c:f>
              <c:strCache>
                <c:ptCount val="1"/>
                <c:pt idx="0">
                  <c:v>Secondary aged 30-39 - projected</c:v>
                </c:pt>
              </c:strCache>
            </c:strRef>
          </c:tx>
          <c:spPr>
            <a:ln>
              <a:solidFill>
                <a:srgbClr val="FF000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Outputs_with_historical_data!$C$525:$T$525</c:f>
              <c:numCache>
                <c:formatCode>#,##0</c:formatCode>
                <c:ptCount val="18"/>
                <c:pt idx="5">
                  <c:v>73507.005808613161</c:v>
                </c:pt>
                <c:pt idx="6">
                  <c:v>73396.362974800417</c:v>
                </c:pt>
                <c:pt idx="7">
                  <c:v>72911.653975566063</c:v>
                </c:pt>
                <c:pt idx="8">
                  <c:v>72531.977073701157</c:v>
                </c:pt>
                <c:pt idx="9">
                  <c:v>72305.368186154214</c:v>
                </c:pt>
                <c:pt idx="10">
                  <c:v>72143.737556280132</c:v>
                </c:pt>
                <c:pt idx="11">
                  <c:v>72145.971529317321</c:v>
                </c:pt>
                <c:pt idx="12">
                  <c:v>72352.667858441477</c:v>
                </c:pt>
                <c:pt idx="13">
                  <c:v>72642.480963505091</c:v>
                </c:pt>
                <c:pt idx="14">
                  <c:v>72787.23741328693</c:v>
                </c:pt>
                <c:pt idx="15">
                  <c:v>72886.535537959469</c:v>
                </c:pt>
                <c:pt idx="16">
                  <c:v>72915.313037811138</c:v>
                </c:pt>
                <c:pt idx="17">
                  <c:v>72886.116289801954</c:v>
                </c:pt>
              </c:numCache>
            </c:numRef>
          </c:val>
          <c:smooth val="0"/>
          <c:extLst>
            <c:ext xmlns:c16="http://schemas.microsoft.com/office/drawing/2014/chart" uri="{C3380CC4-5D6E-409C-BE32-E72D297353CC}">
              <c16:uniqueId val="{00000006-A907-4F52-B390-B8CF825C8D86}"/>
            </c:ext>
          </c:extLst>
        </c:ser>
        <c:ser>
          <c:idx val="17"/>
          <c:order val="7"/>
          <c:tx>
            <c:strRef>
              <c:f>Outputs_with_historical_data!$B$526</c:f>
              <c:strCache>
                <c:ptCount val="1"/>
                <c:pt idx="0">
                  <c:v>Secondary aged 40-49 - projected</c:v>
                </c:pt>
              </c:strCache>
            </c:strRef>
          </c:tx>
          <c:spPr>
            <a:ln>
              <a:solidFill>
                <a:srgbClr val="00B0F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Outputs_with_historical_data!$C$526:$T$526</c:f>
              <c:numCache>
                <c:formatCode>#,##0</c:formatCode>
                <c:ptCount val="18"/>
                <c:pt idx="5">
                  <c:v>55029.977755717009</c:v>
                </c:pt>
                <c:pt idx="6">
                  <c:v>56486.746385285594</c:v>
                </c:pt>
                <c:pt idx="7">
                  <c:v>57663.62090852148</c:v>
                </c:pt>
                <c:pt idx="8">
                  <c:v>58735.66652158786</c:v>
                </c:pt>
                <c:pt idx="9">
                  <c:v>59652.171727196648</c:v>
                </c:pt>
                <c:pt idx="10">
                  <c:v>60335.1945160834</c:v>
                </c:pt>
                <c:pt idx="11">
                  <c:v>60873.98833188694</c:v>
                </c:pt>
                <c:pt idx="12">
                  <c:v>61332.737684620311</c:v>
                </c:pt>
                <c:pt idx="13">
                  <c:v>61675.005246936955</c:v>
                </c:pt>
                <c:pt idx="14">
                  <c:v>61802.727094746238</c:v>
                </c:pt>
                <c:pt idx="15">
                  <c:v>61838.351749213012</c:v>
                </c:pt>
                <c:pt idx="16">
                  <c:v>61801.448699066998</c:v>
                </c:pt>
                <c:pt idx="17">
                  <c:v>61724.938356985753</c:v>
                </c:pt>
              </c:numCache>
            </c:numRef>
          </c:val>
          <c:smooth val="0"/>
          <c:extLst>
            <c:ext xmlns:c16="http://schemas.microsoft.com/office/drawing/2014/chart" uri="{C3380CC4-5D6E-409C-BE32-E72D297353CC}">
              <c16:uniqueId val="{00000007-A907-4F52-B390-B8CF825C8D86}"/>
            </c:ext>
          </c:extLst>
        </c:ser>
        <c:ser>
          <c:idx val="18"/>
          <c:order val="8"/>
          <c:tx>
            <c:strRef>
              <c:f>Outputs_with_historical_data!$B$527</c:f>
              <c:strCache>
                <c:ptCount val="1"/>
                <c:pt idx="0">
                  <c:v>Secondary aged 50-59 - projected</c:v>
                </c:pt>
              </c:strCache>
            </c:strRef>
          </c:tx>
          <c:spPr>
            <a:ln>
              <a:solidFill>
                <a:srgbClr val="92D05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Outputs_with_historical_data!$C$527:$T$527</c:f>
              <c:numCache>
                <c:formatCode>#,##0</c:formatCode>
                <c:ptCount val="18"/>
                <c:pt idx="5">
                  <c:v>33922.691964960701</c:v>
                </c:pt>
                <c:pt idx="6">
                  <c:v>31939.65300924172</c:v>
                </c:pt>
                <c:pt idx="7">
                  <c:v>30821.266569871899</c:v>
                </c:pt>
                <c:pt idx="8">
                  <c:v>30331.520264500687</c:v>
                </c:pt>
                <c:pt idx="9">
                  <c:v>30219.840391889469</c:v>
                </c:pt>
                <c:pt idx="10">
                  <c:v>30292.581943641402</c:v>
                </c:pt>
                <c:pt idx="11">
                  <c:v>30493.672386282313</c:v>
                </c:pt>
                <c:pt idx="12">
                  <c:v>30780.218186249738</c:v>
                </c:pt>
                <c:pt idx="13">
                  <c:v>31075.178434564972</c:v>
                </c:pt>
                <c:pt idx="14">
                  <c:v>31286.454755083585</c:v>
                </c:pt>
                <c:pt idx="15">
                  <c:v>31458.084750391154</c:v>
                </c:pt>
                <c:pt idx="16">
                  <c:v>31583.353221165515</c:v>
                </c:pt>
                <c:pt idx="17">
                  <c:v>31670.7417130018</c:v>
                </c:pt>
              </c:numCache>
            </c:numRef>
          </c:val>
          <c:smooth val="0"/>
          <c:extLst>
            <c:ext xmlns:c16="http://schemas.microsoft.com/office/drawing/2014/chart" uri="{C3380CC4-5D6E-409C-BE32-E72D297353CC}">
              <c16:uniqueId val="{00000008-A907-4F52-B390-B8CF825C8D86}"/>
            </c:ext>
          </c:extLst>
        </c:ser>
        <c:ser>
          <c:idx val="19"/>
          <c:order val="9"/>
          <c:tx>
            <c:strRef>
              <c:f>Outputs_with_historical_data!$B$528</c:f>
              <c:strCache>
                <c:ptCount val="1"/>
                <c:pt idx="0">
                  <c:v>Secondary aged 60 plus - projected</c:v>
                </c:pt>
              </c:strCache>
            </c:strRef>
          </c:tx>
          <c:spPr>
            <a:ln>
              <a:solidFill>
                <a:srgbClr val="FFC000"/>
              </a:solidFill>
              <a:prstDash val="sysDot"/>
            </a:ln>
          </c:spPr>
          <c:marker>
            <c:symbol val="none"/>
          </c:marker>
          <c:cat>
            <c:strRef>
              <c:f>Outputs_with_historical_data!$C$508:$T$508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Outputs_with_historical_data!$C$528:$T$528</c:f>
              <c:numCache>
                <c:formatCode>#,##0</c:formatCode>
                <c:ptCount val="18"/>
                <c:pt idx="5">
                  <c:v>4770.2687135826254</c:v>
                </c:pt>
                <c:pt idx="6">
                  <c:v>4839.1144428645748</c:v>
                </c:pt>
                <c:pt idx="7">
                  <c:v>4645.6066842806313</c:v>
                </c:pt>
                <c:pt idx="8">
                  <c:v>4410.825914300156</c:v>
                </c:pt>
                <c:pt idx="9">
                  <c:v>4204.1776300283991</c:v>
                </c:pt>
                <c:pt idx="10">
                  <c:v>4037.5916139650049</c:v>
                </c:pt>
                <c:pt idx="11">
                  <c:v>3923.0952722983839</c:v>
                </c:pt>
                <c:pt idx="12">
                  <c:v>3856.9739273237165</c:v>
                </c:pt>
                <c:pt idx="13">
                  <c:v>3818.8394991517171</c:v>
                </c:pt>
                <c:pt idx="14">
                  <c:v>3783.3268673922357</c:v>
                </c:pt>
                <c:pt idx="15">
                  <c:v>3760.482939554789</c:v>
                </c:pt>
                <c:pt idx="16">
                  <c:v>3745.010226400479</c:v>
                </c:pt>
                <c:pt idx="17">
                  <c:v>3735.5861326138729</c:v>
                </c:pt>
              </c:numCache>
            </c:numRef>
          </c:val>
          <c:smooth val="0"/>
          <c:extLst>
            <c:ext xmlns:c16="http://schemas.microsoft.com/office/drawing/2014/chart" uri="{C3380CC4-5D6E-409C-BE32-E72D297353CC}">
              <c16:uniqueId val="{00000009-A907-4F52-B390-B8CF825C8D86}"/>
            </c:ext>
          </c:extLst>
        </c:ser>
        <c:dLbls>
          <c:showLegendKey val="0"/>
          <c:showVal val="0"/>
          <c:showCatName val="0"/>
          <c:showSerName val="0"/>
          <c:showPercent val="0"/>
          <c:showBubbleSize val="0"/>
        </c:dLbls>
        <c:smooth val="0"/>
        <c:axId val="172051456"/>
        <c:axId val="172061440"/>
      </c:lineChart>
      <c:catAx>
        <c:axId val="17205145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061440"/>
        <c:crosses val="autoZero"/>
        <c:auto val="1"/>
        <c:lblAlgn val="ctr"/>
        <c:lblOffset val="100"/>
        <c:noMultiLvlLbl val="0"/>
      </c:catAx>
      <c:valAx>
        <c:axId val="1720614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Number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2051456"/>
        <c:crosses val="autoZero"/>
        <c:crossBetween val="between"/>
      </c:valAx>
      <c:spPr>
        <a:ln>
          <a:solidFill>
            <a:schemeClr val="tx1">
              <a:lumMod val="95000"/>
              <a:lumOff val="5000"/>
            </a:schemeClr>
          </a:solidFill>
        </a:ln>
      </c:spPr>
    </c:plotArea>
    <c:legend>
      <c:legendPos val="r"/>
      <c:layout>
        <c:manualLayout>
          <c:xMode val="edge"/>
          <c:yMode val="edge"/>
          <c:x val="0.69316302128900553"/>
          <c:y val="7.0200723476900623E-2"/>
          <c:w val="0.2846156538125042"/>
          <c:h val="0.8538681948424068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Primary stock </a:t>
            </a:r>
          </a:p>
        </c:rich>
      </c:tx>
      <c:layout>
        <c:manualLayout>
          <c:xMode val="edge"/>
          <c:yMode val="edge"/>
          <c:x val="0.2139032107287959"/>
          <c:y val="2.2922636103151862E-2"/>
        </c:manualLayout>
      </c:layout>
      <c:overlay val="0"/>
    </c:title>
    <c:autoTitleDeleted val="0"/>
    <c:plotArea>
      <c:layout>
        <c:manualLayout>
          <c:layoutTarget val="inner"/>
          <c:xMode val="edge"/>
          <c:yMode val="edge"/>
          <c:x val="0.10597634812693868"/>
          <c:y val="0.10488268684418788"/>
          <c:w val="0.59342021902434605"/>
          <c:h val="0.74070319572309429"/>
        </c:manualLayout>
      </c:layout>
      <c:lineChart>
        <c:grouping val="standard"/>
        <c:varyColors val="0"/>
        <c:ser>
          <c:idx val="0"/>
          <c:order val="0"/>
          <c:tx>
            <c:strRef>
              <c:f>Outputs_with_historical_data!$B$568</c:f>
              <c:strCache>
                <c:ptCount val="1"/>
                <c:pt idx="0">
                  <c:v>Primary 20-29 - historical</c:v>
                </c:pt>
              </c:strCache>
            </c:strRef>
          </c:tx>
          <c:spPr>
            <a:ln>
              <a:solidFill>
                <a:schemeClr val="tx1"/>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Outputs_with_historical_data!$C$568:$T$568</c:f>
              <c:numCache>
                <c:formatCode>0%</c:formatCode>
                <c:ptCount val="18"/>
                <c:pt idx="0">
                  <c:v>0.21867590590106281</c:v>
                </c:pt>
                <c:pt idx="1">
                  <c:v>0.21921372717356219</c:v>
                </c:pt>
                <c:pt idx="2">
                  <c:v>0.22759771583850477</c:v>
                </c:pt>
                <c:pt idx="3">
                  <c:v>0.23764973859044894</c:v>
                </c:pt>
                <c:pt idx="4">
                  <c:v>0.2459966343592481</c:v>
                </c:pt>
                <c:pt idx="5">
                  <c:v>0.25319109323536421</c:v>
                </c:pt>
              </c:numCache>
            </c:numRef>
          </c:val>
          <c:smooth val="0"/>
          <c:extLst>
            <c:ext xmlns:c16="http://schemas.microsoft.com/office/drawing/2014/chart" uri="{C3380CC4-5D6E-409C-BE32-E72D297353CC}">
              <c16:uniqueId val="{00000000-D2B6-481D-8724-61EFD497F207}"/>
            </c:ext>
          </c:extLst>
        </c:ser>
        <c:ser>
          <c:idx val="1"/>
          <c:order val="1"/>
          <c:tx>
            <c:strRef>
              <c:f>Outputs_with_historical_data!$B$569</c:f>
              <c:strCache>
                <c:ptCount val="1"/>
                <c:pt idx="0">
                  <c:v>Primary 30-39 - historical</c:v>
                </c:pt>
              </c:strCache>
            </c:strRef>
          </c:tx>
          <c:spPr>
            <a:ln>
              <a:solidFill>
                <a:srgbClr val="FF000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Outputs_with_historical_data!$C$569:$T$569</c:f>
              <c:numCache>
                <c:formatCode>0%</c:formatCode>
                <c:ptCount val="18"/>
                <c:pt idx="0">
                  <c:v>0.30665127224159439</c:v>
                </c:pt>
                <c:pt idx="1">
                  <c:v>0.31219408827023437</c:v>
                </c:pt>
                <c:pt idx="2">
                  <c:v>0.31400093960848691</c:v>
                </c:pt>
                <c:pt idx="3">
                  <c:v>0.31259933534079948</c:v>
                </c:pt>
                <c:pt idx="4">
                  <c:v>0.31248187599163169</c:v>
                </c:pt>
                <c:pt idx="5">
                  <c:v>0.31224524012604521</c:v>
                </c:pt>
              </c:numCache>
            </c:numRef>
          </c:val>
          <c:smooth val="0"/>
          <c:extLst>
            <c:ext xmlns:c16="http://schemas.microsoft.com/office/drawing/2014/chart" uri="{C3380CC4-5D6E-409C-BE32-E72D297353CC}">
              <c16:uniqueId val="{00000001-D2B6-481D-8724-61EFD497F207}"/>
            </c:ext>
          </c:extLst>
        </c:ser>
        <c:ser>
          <c:idx val="2"/>
          <c:order val="2"/>
          <c:tx>
            <c:strRef>
              <c:f>Outputs_with_historical_data!$B$570</c:f>
              <c:strCache>
                <c:ptCount val="1"/>
                <c:pt idx="0">
                  <c:v>Primary 40-49 - historical</c:v>
                </c:pt>
              </c:strCache>
            </c:strRef>
          </c:tx>
          <c:spPr>
            <a:ln>
              <a:solidFill>
                <a:srgbClr val="00B0F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Outputs_with_historical_data!$C$570:$T$570</c:f>
              <c:numCache>
                <c:formatCode>0%</c:formatCode>
                <c:ptCount val="18"/>
                <c:pt idx="0">
                  <c:v>0.23643567504470556</c:v>
                </c:pt>
                <c:pt idx="1">
                  <c:v>0.24410626105701383</c:v>
                </c:pt>
                <c:pt idx="2">
                  <c:v>0.24958868383727825</c:v>
                </c:pt>
                <c:pt idx="3">
                  <c:v>0.25352647200184281</c:v>
                </c:pt>
                <c:pt idx="4">
                  <c:v>0.25610957032807619</c:v>
                </c:pt>
                <c:pt idx="5">
                  <c:v>0.25563793921080263</c:v>
                </c:pt>
              </c:numCache>
            </c:numRef>
          </c:val>
          <c:smooth val="0"/>
          <c:extLst>
            <c:ext xmlns:c16="http://schemas.microsoft.com/office/drawing/2014/chart" uri="{C3380CC4-5D6E-409C-BE32-E72D297353CC}">
              <c16:uniqueId val="{00000002-D2B6-481D-8724-61EFD497F207}"/>
            </c:ext>
          </c:extLst>
        </c:ser>
        <c:ser>
          <c:idx val="3"/>
          <c:order val="3"/>
          <c:tx>
            <c:strRef>
              <c:f>Outputs_with_historical_data!$B$571</c:f>
              <c:strCache>
                <c:ptCount val="1"/>
                <c:pt idx="0">
                  <c:v>Primary 50-59 - historical</c:v>
                </c:pt>
              </c:strCache>
            </c:strRef>
          </c:tx>
          <c:spPr>
            <a:ln>
              <a:solidFill>
                <a:srgbClr val="92D05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Outputs_with_historical_data!$C$571:$T$571</c:f>
              <c:numCache>
                <c:formatCode>0%</c:formatCode>
                <c:ptCount val="18"/>
                <c:pt idx="0">
                  <c:v>0.21068222470521852</c:v>
                </c:pt>
                <c:pt idx="1">
                  <c:v>0.19637144585124597</c:v>
                </c:pt>
                <c:pt idx="2">
                  <c:v>0.17994608107312571</c:v>
                </c:pt>
                <c:pt idx="3">
                  <c:v>0.16799082685398292</c:v>
                </c:pt>
                <c:pt idx="4">
                  <c:v>0.15805119482158142</c:v>
                </c:pt>
                <c:pt idx="5">
                  <c:v>0.15321958026874791</c:v>
                </c:pt>
              </c:numCache>
            </c:numRef>
          </c:val>
          <c:smooth val="0"/>
          <c:extLst>
            <c:ext xmlns:c16="http://schemas.microsoft.com/office/drawing/2014/chart" uri="{C3380CC4-5D6E-409C-BE32-E72D297353CC}">
              <c16:uniqueId val="{00000003-D2B6-481D-8724-61EFD497F207}"/>
            </c:ext>
          </c:extLst>
        </c:ser>
        <c:ser>
          <c:idx val="4"/>
          <c:order val="4"/>
          <c:tx>
            <c:strRef>
              <c:f>Outputs_with_historical_data!$B$572</c:f>
              <c:strCache>
                <c:ptCount val="1"/>
                <c:pt idx="0">
                  <c:v>Primary 60 plus - historical</c:v>
                </c:pt>
              </c:strCache>
            </c:strRef>
          </c:tx>
          <c:spPr>
            <a:ln>
              <a:solidFill>
                <a:srgbClr val="FFC00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Outputs_with_historical_data!$C$572:$T$572</c:f>
              <c:numCache>
                <c:formatCode>0%</c:formatCode>
                <c:ptCount val="18"/>
                <c:pt idx="0">
                  <c:v>2.7554922107418747E-2</c:v>
                </c:pt>
                <c:pt idx="1">
                  <c:v>2.8114477647943739E-2</c:v>
                </c:pt>
                <c:pt idx="2">
                  <c:v>2.8866579642604365E-2</c:v>
                </c:pt>
                <c:pt idx="3">
                  <c:v>2.8233627212925848E-2</c:v>
                </c:pt>
                <c:pt idx="4">
                  <c:v>2.7360724499462613E-2</c:v>
                </c:pt>
                <c:pt idx="5">
                  <c:v>2.5706147159040207E-2</c:v>
                </c:pt>
              </c:numCache>
            </c:numRef>
          </c:val>
          <c:smooth val="0"/>
          <c:extLst>
            <c:ext xmlns:c16="http://schemas.microsoft.com/office/drawing/2014/chart" uri="{C3380CC4-5D6E-409C-BE32-E72D297353CC}">
              <c16:uniqueId val="{00000004-D2B6-481D-8724-61EFD497F207}"/>
            </c:ext>
          </c:extLst>
        </c:ser>
        <c:ser>
          <c:idx val="5"/>
          <c:order val="5"/>
          <c:tx>
            <c:strRef>
              <c:f>Outputs_with_historical_data!$B$573</c:f>
              <c:strCache>
                <c:ptCount val="1"/>
                <c:pt idx="0">
                  <c:v>Primary 20-29 - projected</c:v>
                </c:pt>
              </c:strCache>
            </c:strRef>
          </c:tx>
          <c:spPr>
            <a:ln>
              <a:solidFill>
                <a:schemeClr val="tx1"/>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Outputs_with_historical_data!$C$573:$T$573</c:f>
              <c:numCache>
                <c:formatCode>0%</c:formatCode>
                <c:ptCount val="18"/>
                <c:pt idx="5">
                  <c:v>0.25319109323536421</c:v>
                </c:pt>
                <c:pt idx="6">
                  <c:v>0.25857832024347177</c:v>
                </c:pt>
                <c:pt idx="7">
                  <c:v>0.26262148666894675</c:v>
                </c:pt>
                <c:pt idx="8">
                  <c:v>0.2656330116507884</c:v>
                </c:pt>
                <c:pt idx="9">
                  <c:v>0.26768579665078007</c:v>
                </c:pt>
                <c:pt idx="10">
                  <c:v>0.26978999885357241</c:v>
                </c:pt>
                <c:pt idx="11">
                  <c:v>0.27135601046181851</c:v>
                </c:pt>
                <c:pt idx="12">
                  <c:v>0.2723003725939801</c:v>
                </c:pt>
                <c:pt idx="13">
                  <c:v>0.27284164075151618</c:v>
                </c:pt>
                <c:pt idx="14">
                  <c:v>0.27399929376536292</c:v>
                </c:pt>
                <c:pt idx="15">
                  <c:v>0.27547930720425395</c:v>
                </c:pt>
                <c:pt idx="16">
                  <c:v>0.27676786632144135</c:v>
                </c:pt>
                <c:pt idx="17">
                  <c:v>0.27761116806296954</c:v>
                </c:pt>
              </c:numCache>
            </c:numRef>
          </c:val>
          <c:smooth val="0"/>
          <c:extLst>
            <c:ext xmlns:c16="http://schemas.microsoft.com/office/drawing/2014/chart" uri="{C3380CC4-5D6E-409C-BE32-E72D297353CC}">
              <c16:uniqueId val="{00000005-D2B6-481D-8724-61EFD497F207}"/>
            </c:ext>
          </c:extLst>
        </c:ser>
        <c:ser>
          <c:idx val="6"/>
          <c:order val="6"/>
          <c:tx>
            <c:strRef>
              <c:f>Outputs_with_historical_data!$B$574</c:f>
              <c:strCache>
                <c:ptCount val="1"/>
                <c:pt idx="0">
                  <c:v>Primary 30-39 - projected</c:v>
                </c:pt>
              </c:strCache>
            </c:strRef>
          </c:tx>
          <c:spPr>
            <a:ln>
              <a:solidFill>
                <a:srgbClr val="FF000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Outputs_with_historical_data!$C$574:$T$574</c:f>
              <c:numCache>
                <c:formatCode>0%</c:formatCode>
                <c:ptCount val="18"/>
                <c:pt idx="5">
                  <c:v>0.31224524012604521</c:v>
                </c:pt>
                <c:pt idx="6">
                  <c:v>0.31258166780849472</c:v>
                </c:pt>
                <c:pt idx="7">
                  <c:v>0.31169329920824745</c:v>
                </c:pt>
                <c:pt idx="8">
                  <c:v>0.3101810490157566</c:v>
                </c:pt>
                <c:pt idx="9">
                  <c:v>0.30850143269569669</c:v>
                </c:pt>
                <c:pt idx="10">
                  <c:v>0.30659857083182512</c:v>
                </c:pt>
                <c:pt idx="11">
                  <c:v>0.30491297880283597</c:v>
                </c:pt>
                <c:pt idx="12">
                  <c:v>0.30357803260793115</c:v>
                </c:pt>
                <c:pt idx="13">
                  <c:v>0.30254820886763029</c:v>
                </c:pt>
                <c:pt idx="14">
                  <c:v>0.3014744348560503</c:v>
                </c:pt>
                <c:pt idx="15">
                  <c:v>0.30049599841417812</c:v>
                </c:pt>
                <c:pt idx="16">
                  <c:v>0.29979904174303895</c:v>
                </c:pt>
                <c:pt idx="17">
                  <c:v>0.29944116229364504</c:v>
                </c:pt>
              </c:numCache>
            </c:numRef>
          </c:val>
          <c:smooth val="0"/>
          <c:extLst>
            <c:ext xmlns:c16="http://schemas.microsoft.com/office/drawing/2014/chart" uri="{C3380CC4-5D6E-409C-BE32-E72D297353CC}">
              <c16:uniqueId val="{00000006-D2B6-481D-8724-61EFD497F207}"/>
            </c:ext>
          </c:extLst>
        </c:ser>
        <c:ser>
          <c:idx val="7"/>
          <c:order val="7"/>
          <c:tx>
            <c:strRef>
              <c:f>Outputs_with_historical_data!$B$575</c:f>
              <c:strCache>
                <c:ptCount val="1"/>
                <c:pt idx="0">
                  <c:v>Primary 40-49 - projected</c:v>
                </c:pt>
              </c:strCache>
            </c:strRef>
          </c:tx>
          <c:spPr>
            <a:ln>
              <a:solidFill>
                <a:srgbClr val="00B0F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Outputs_with_historical_data!$C$575:$T$575</c:f>
              <c:numCache>
                <c:formatCode>0%</c:formatCode>
                <c:ptCount val="18"/>
                <c:pt idx="5">
                  <c:v>0.25563793921080263</c:v>
                </c:pt>
                <c:pt idx="6">
                  <c:v>0.25708811617005289</c:v>
                </c:pt>
                <c:pt idx="7">
                  <c:v>0.25868887852807548</c:v>
                </c:pt>
                <c:pt idx="8">
                  <c:v>0.26025259978572929</c:v>
                </c:pt>
                <c:pt idx="9">
                  <c:v>0.26170648141086067</c:v>
                </c:pt>
                <c:pt idx="10">
                  <c:v>0.26267552910445185</c:v>
                </c:pt>
                <c:pt idx="11">
                  <c:v>0.26338428400455288</c:v>
                </c:pt>
                <c:pt idx="12">
                  <c:v>0.26391780642684159</c:v>
                </c:pt>
                <c:pt idx="13">
                  <c:v>0.26426875416057044</c:v>
                </c:pt>
                <c:pt idx="14">
                  <c:v>0.26412378156302346</c:v>
                </c:pt>
                <c:pt idx="15">
                  <c:v>0.26364031048350461</c:v>
                </c:pt>
                <c:pt idx="16">
                  <c:v>0.26305833502362658</c:v>
                </c:pt>
                <c:pt idx="17">
                  <c:v>0.26252505446336805</c:v>
                </c:pt>
              </c:numCache>
            </c:numRef>
          </c:val>
          <c:smooth val="0"/>
          <c:extLst>
            <c:ext xmlns:c16="http://schemas.microsoft.com/office/drawing/2014/chart" uri="{C3380CC4-5D6E-409C-BE32-E72D297353CC}">
              <c16:uniqueId val="{00000007-D2B6-481D-8724-61EFD497F207}"/>
            </c:ext>
          </c:extLst>
        </c:ser>
        <c:ser>
          <c:idx val="8"/>
          <c:order val="8"/>
          <c:tx>
            <c:strRef>
              <c:f>Outputs_with_historical_data!$B$576</c:f>
              <c:strCache>
                <c:ptCount val="1"/>
                <c:pt idx="0">
                  <c:v>Primary 50-59 - projected</c:v>
                </c:pt>
              </c:strCache>
            </c:strRef>
          </c:tx>
          <c:spPr>
            <a:ln>
              <a:solidFill>
                <a:srgbClr val="92D05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Outputs_with_historical_data!$C$576:$T$576</c:f>
              <c:numCache>
                <c:formatCode>0%</c:formatCode>
                <c:ptCount val="18"/>
                <c:pt idx="5">
                  <c:v>0.15321958026874791</c:v>
                </c:pt>
                <c:pt idx="6">
                  <c:v>0.14551230272068094</c:v>
                </c:pt>
                <c:pt idx="7">
                  <c:v>0.14111203399232081</c:v>
                </c:pt>
                <c:pt idx="8">
                  <c:v>0.13873602748201933</c:v>
                </c:pt>
                <c:pt idx="9">
                  <c:v>0.13764524600162284</c:v>
                </c:pt>
                <c:pt idx="10">
                  <c:v>0.13715719022617287</c:v>
                </c:pt>
                <c:pt idx="11">
                  <c:v>0.13712764558626547</c:v>
                </c:pt>
                <c:pt idx="12">
                  <c:v>0.13740980743370412</c:v>
                </c:pt>
                <c:pt idx="13">
                  <c:v>0.13785301988326706</c:v>
                </c:pt>
                <c:pt idx="14">
                  <c:v>0.13814245497052707</c:v>
                </c:pt>
                <c:pt idx="15">
                  <c:v>0.13829014820554095</c:v>
                </c:pt>
                <c:pt idx="16">
                  <c:v>0.13839203773215442</c:v>
                </c:pt>
                <c:pt idx="17">
                  <c:v>0.13850682141545131</c:v>
                </c:pt>
              </c:numCache>
            </c:numRef>
          </c:val>
          <c:smooth val="0"/>
          <c:extLst>
            <c:ext xmlns:c16="http://schemas.microsoft.com/office/drawing/2014/chart" uri="{C3380CC4-5D6E-409C-BE32-E72D297353CC}">
              <c16:uniqueId val="{00000008-D2B6-481D-8724-61EFD497F207}"/>
            </c:ext>
          </c:extLst>
        </c:ser>
        <c:ser>
          <c:idx val="9"/>
          <c:order val="9"/>
          <c:tx>
            <c:strRef>
              <c:f>Outputs_with_historical_data!$B$577</c:f>
              <c:strCache>
                <c:ptCount val="1"/>
                <c:pt idx="0">
                  <c:v>Primary 60 plus - projected</c:v>
                </c:pt>
              </c:strCache>
            </c:strRef>
          </c:tx>
          <c:spPr>
            <a:ln>
              <a:solidFill>
                <a:srgbClr val="FFC00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Outputs_with_historical_data!$C$577:$T$577</c:f>
              <c:numCache>
                <c:formatCode>0%</c:formatCode>
                <c:ptCount val="18"/>
                <c:pt idx="5">
                  <c:v>2.5706147159040207E-2</c:v>
                </c:pt>
                <c:pt idx="6">
                  <c:v>2.6239593057299601E-2</c:v>
                </c:pt>
                <c:pt idx="7">
                  <c:v>2.5884301602409419E-2</c:v>
                </c:pt>
                <c:pt idx="8">
                  <c:v>2.5197312065706426E-2</c:v>
                </c:pt>
                <c:pt idx="9">
                  <c:v>2.4461043241039798E-2</c:v>
                </c:pt>
                <c:pt idx="10">
                  <c:v>2.3778710983977623E-2</c:v>
                </c:pt>
                <c:pt idx="11">
                  <c:v>2.3219081144527094E-2</c:v>
                </c:pt>
                <c:pt idx="12">
                  <c:v>2.2793980937543121E-2</c:v>
                </c:pt>
                <c:pt idx="13">
                  <c:v>2.24883763370161E-2</c:v>
                </c:pt>
                <c:pt idx="14">
                  <c:v>2.226003484503624E-2</c:v>
                </c:pt>
                <c:pt idx="15">
                  <c:v>2.2094235692522335E-2</c:v>
                </c:pt>
                <c:pt idx="16">
                  <c:v>2.1982719179738673E-2</c:v>
                </c:pt>
                <c:pt idx="17">
                  <c:v>2.1915793764566018E-2</c:v>
                </c:pt>
              </c:numCache>
            </c:numRef>
          </c:val>
          <c:smooth val="0"/>
          <c:extLst>
            <c:ext xmlns:c16="http://schemas.microsoft.com/office/drawing/2014/chart" uri="{C3380CC4-5D6E-409C-BE32-E72D297353CC}">
              <c16:uniqueId val="{00000009-D2B6-481D-8724-61EFD497F207}"/>
            </c:ext>
          </c:extLst>
        </c:ser>
        <c:dLbls>
          <c:showLegendKey val="0"/>
          <c:showVal val="0"/>
          <c:showCatName val="0"/>
          <c:showSerName val="0"/>
          <c:showPercent val="0"/>
          <c:showBubbleSize val="0"/>
        </c:dLbls>
        <c:smooth val="0"/>
        <c:axId val="171880832"/>
        <c:axId val="171882368"/>
      </c:lineChart>
      <c:catAx>
        <c:axId val="17188083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882368"/>
        <c:crosses val="autoZero"/>
        <c:auto val="1"/>
        <c:lblAlgn val="ctr"/>
        <c:lblOffset val="100"/>
        <c:noMultiLvlLbl val="0"/>
      </c:catAx>
      <c:valAx>
        <c:axId val="171882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880832"/>
        <c:crosses val="autoZero"/>
        <c:crossBetween val="between"/>
      </c:valAx>
      <c:spPr>
        <a:ln>
          <a:solidFill>
            <a:schemeClr val="tx1">
              <a:lumMod val="95000"/>
              <a:lumOff val="5000"/>
            </a:schemeClr>
          </a:solidFill>
        </a:ln>
      </c:spPr>
    </c:plotArea>
    <c:legend>
      <c:legendPos val="r"/>
      <c:layout>
        <c:manualLayout>
          <c:xMode val="edge"/>
          <c:yMode val="edge"/>
          <c:x val="0.71661075755941461"/>
          <c:y val="7.0200723476900623E-2"/>
          <c:w val="0.26455524395067054"/>
          <c:h val="0.8495703509840639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Age breakdown of Secondary stock </a:t>
            </a:r>
          </a:p>
        </c:rich>
      </c:tx>
      <c:layout>
        <c:manualLayout>
          <c:xMode val="edge"/>
          <c:yMode val="edge"/>
          <c:x val="0.19294030784745389"/>
          <c:y val="2.2922636103151862E-2"/>
        </c:manualLayout>
      </c:layout>
      <c:overlay val="0"/>
    </c:title>
    <c:autoTitleDeleted val="0"/>
    <c:plotArea>
      <c:layout>
        <c:manualLayout>
          <c:layoutTarget val="inner"/>
          <c:xMode val="edge"/>
          <c:yMode val="edge"/>
          <c:x val="0.10593257990688575"/>
          <c:y val="0.10493739745153741"/>
          <c:w val="0.60599735666043164"/>
          <c:h val="0.74064829111962305"/>
        </c:manualLayout>
      </c:layout>
      <c:lineChart>
        <c:grouping val="standard"/>
        <c:varyColors val="0"/>
        <c:ser>
          <c:idx val="10"/>
          <c:order val="0"/>
          <c:tx>
            <c:strRef>
              <c:f>Outputs_with_historical_data!$B$578</c:f>
              <c:strCache>
                <c:ptCount val="1"/>
                <c:pt idx="0">
                  <c:v>Secondary 20-29 - historical</c:v>
                </c:pt>
              </c:strCache>
            </c:strRef>
          </c:tx>
          <c:spPr>
            <a:ln>
              <a:solidFill>
                <a:schemeClr val="tx1"/>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Outputs_with_historical_data!$C$578:$T$578</c:f>
              <c:numCache>
                <c:formatCode>0%</c:formatCode>
                <c:ptCount val="18"/>
                <c:pt idx="0">
                  <c:v>0.21731820623784204</c:v>
                </c:pt>
                <c:pt idx="1">
                  <c:v>0.22207571541814386</c:v>
                </c:pt>
                <c:pt idx="2">
                  <c:v>0.22184078589317496</c:v>
                </c:pt>
                <c:pt idx="3">
                  <c:v>0.21774660631290518</c:v>
                </c:pt>
                <c:pt idx="4">
                  <c:v>0.21421036912415009</c:v>
                </c:pt>
                <c:pt idx="5">
                  <c:v>0.21159999065525106</c:v>
                </c:pt>
              </c:numCache>
            </c:numRef>
          </c:val>
          <c:smooth val="0"/>
          <c:extLst>
            <c:ext xmlns:c16="http://schemas.microsoft.com/office/drawing/2014/chart" uri="{C3380CC4-5D6E-409C-BE32-E72D297353CC}">
              <c16:uniqueId val="{00000000-04C4-44B9-A2EA-DFE20844E2E3}"/>
            </c:ext>
          </c:extLst>
        </c:ser>
        <c:ser>
          <c:idx val="11"/>
          <c:order val="1"/>
          <c:tx>
            <c:strRef>
              <c:f>Outputs_with_historical_data!$B$579</c:f>
              <c:strCache>
                <c:ptCount val="1"/>
                <c:pt idx="0">
                  <c:v>Secondary 30-39 - historical</c:v>
                </c:pt>
              </c:strCache>
            </c:strRef>
          </c:tx>
          <c:spPr>
            <a:ln>
              <a:solidFill>
                <a:srgbClr val="FF000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Outputs_with_historical_data!$C$579:$T$579</c:f>
              <c:numCache>
                <c:formatCode>0%</c:formatCode>
                <c:ptCount val="18"/>
                <c:pt idx="0">
                  <c:v>0.31882136228992897</c:v>
                </c:pt>
                <c:pt idx="1">
                  <c:v>0.32808460428570108</c:v>
                </c:pt>
                <c:pt idx="2">
                  <c:v>0.3340408767789993</c:v>
                </c:pt>
                <c:pt idx="3">
                  <c:v>0.33992712782239365</c:v>
                </c:pt>
                <c:pt idx="4">
                  <c:v>0.34495486404889336</c:v>
                </c:pt>
                <c:pt idx="5">
                  <c:v>0.34654633372506671</c:v>
                </c:pt>
              </c:numCache>
            </c:numRef>
          </c:val>
          <c:smooth val="0"/>
          <c:extLst>
            <c:ext xmlns:c16="http://schemas.microsoft.com/office/drawing/2014/chart" uri="{C3380CC4-5D6E-409C-BE32-E72D297353CC}">
              <c16:uniqueId val="{00000001-04C4-44B9-A2EA-DFE20844E2E3}"/>
            </c:ext>
          </c:extLst>
        </c:ser>
        <c:ser>
          <c:idx val="12"/>
          <c:order val="2"/>
          <c:tx>
            <c:strRef>
              <c:f>Outputs_with_historical_data!$B$580</c:f>
              <c:strCache>
                <c:ptCount val="1"/>
                <c:pt idx="0">
                  <c:v>Secondary 40-49 - historical</c:v>
                </c:pt>
              </c:strCache>
            </c:strRef>
          </c:tx>
          <c:spPr>
            <a:ln>
              <a:solidFill>
                <a:srgbClr val="00B0F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Outputs_with_historical_data!$C$580:$T$580</c:f>
              <c:numCache>
                <c:formatCode>0%</c:formatCode>
                <c:ptCount val="18"/>
                <c:pt idx="0">
                  <c:v>0.22333299870692064</c:v>
                </c:pt>
                <c:pt idx="1">
                  <c:v>0.23457348891717492</c:v>
                </c:pt>
                <c:pt idx="2">
                  <c:v>0.24082373279125738</c:v>
                </c:pt>
                <c:pt idx="3">
                  <c:v>0.24747354457688497</c:v>
                </c:pt>
                <c:pt idx="4">
                  <c:v>0.25336950465459246</c:v>
                </c:pt>
                <c:pt idx="5">
                  <c:v>0.25943699959522948</c:v>
                </c:pt>
              </c:numCache>
            </c:numRef>
          </c:val>
          <c:smooth val="0"/>
          <c:extLst>
            <c:ext xmlns:c16="http://schemas.microsoft.com/office/drawing/2014/chart" uri="{C3380CC4-5D6E-409C-BE32-E72D297353CC}">
              <c16:uniqueId val="{00000002-04C4-44B9-A2EA-DFE20844E2E3}"/>
            </c:ext>
          </c:extLst>
        </c:ser>
        <c:ser>
          <c:idx val="13"/>
          <c:order val="3"/>
          <c:tx>
            <c:strRef>
              <c:f>Outputs_with_historical_data!$B$581</c:f>
              <c:strCache>
                <c:ptCount val="1"/>
                <c:pt idx="0">
                  <c:v>Secondary 50-59 - historical</c:v>
                </c:pt>
              </c:strCache>
            </c:strRef>
          </c:tx>
          <c:spPr>
            <a:ln>
              <a:solidFill>
                <a:srgbClr val="92D05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Outputs_with_historical_data!$C$581:$T$581</c:f>
              <c:numCache>
                <c:formatCode>0%</c:formatCode>
                <c:ptCount val="18"/>
                <c:pt idx="0">
                  <c:v>0.21241934134627663</c:v>
                </c:pt>
                <c:pt idx="1">
                  <c:v>0.19135211671241767</c:v>
                </c:pt>
                <c:pt idx="2">
                  <c:v>0.17947479207340922</c:v>
                </c:pt>
                <c:pt idx="3">
                  <c:v>0.17116382798843774</c:v>
                </c:pt>
                <c:pt idx="4">
                  <c:v>0.16414884114488767</c:v>
                </c:pt>
                <c:pt idx="5">
                  <c:v>0.1599274028539526</c:v>
                </c:pt>
              </c:numCache>
            </c:numRef>
          </c:val>
          <c:smooth val="0"/>
          <c:extLst>
            <c:ext xmlns:c16="http://schemas.microsoft.com/office/drawing/2014/chart" uri="{C3380CC4-5D6E-409C-BE32-E72D297353CC}">
              <c16:uniqueId val="{00000003-04C4-44B9-A2EA-DFE20844E2E3}"/>
            </c:ext>
          </c:extLst>
        </c:ser>
        <c:ser>
          <c:idx val="14"/>
          <c:order val="4"/>
          <c:tx>
            <c:strRef>
              <c:f>Outputs_with_historical_data!$B$582</c:f>
              <c:strCache>
                <c:ptCount val="1"/>
                <c:pt idx="0">
                  <c:v>Secondary 60 plus - historical</c:v>
                </c:pt>
              </c:strCache>
            </c:strRef>
          </c:tx>
          <c:spPr>
            <a:ln>
              <a:solidFill>
                <a:srgbClr val="FFC000"/>
              </a:solidFill>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Outputs_with_historical_data!$C$582:$T$582</c:f>
              <c:numCache>
                <c:formatCode>0%</c:formatCode>
                <c:ptCount val="18"/>
                <c:pt idx="0">
                  <c:v>2.8108091419031731E-2</c:v>
                </c:pt>
                <c:pt idx="1">
                  <c:v>2.3914074666562295E-2</c:v>
                </c:pt>
                <c:pt idx="2">
                  <c:v>2.3819812463159101E-2</c:v>
                </c:pt>
                <c:pt idx="3">
                  <c:v>2.3688893299378358E-2</c:v>
                </c:pt>
                <c:pt idx="4">
                  <c:v>2.3316421027476424E-2</c:v>
                </c:pt>
                <c:pt idx="5">
                  <c:v>2.248927317050024E-2</c:v>
                </c:pt>
              </c:numCache>
            </c:numRef>
          </c:val>
          <c:smooth val="0"/>
          <c:extLst>
            <c:ext xmlns:c16="http://schemas.microsoft.com/office/drawing/2014/chart" uri="{C3380CC4-5D6E-409C-BE32-E72D297353CC}">
              <c16:uniqueId val="{00000004-04C4-44B9-A2EA-DFE20844E2E3}"/>
            </c:ext>
          </c:extLst>
        </c:ser>
        <c:ser>
          <c:idx val="15"/>
          <c:order val="5"/>
          <c:tx>
            <c:strRef>
              <c:f>Outputs_with_historical_data!$B$583</c:f>
              <c:strCache>
                <c:ptCount val="1"/>
                <c:pt idx="0">
                  <c:v>Secondary 20-29 - projected</c:v>
                </c:pt>
              </c:strCache>
            </c:strRef>
          </c:tx>
          <c:spPr>
            <a:ln>
              <a:solidFill>
                <a:schemeClr val="tx1"/>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Outputs_with_historical_data!$C$583:$T$583</c:f>
              <c:numCache>
                <c:formatCode>0%</c:formatCode>
                <c:ptCount val="18"/>
                <c:pt idx="5">
                  <c:v>0.21159999065525106</c:v>
                </c:pt>
                <c:pt idx="6">
                  <c:v>0.22111885032705536</c:v>
                </c:pt>
                <c:pt idx="7">
                  <c:v>0.22931766804600731</c:v>
                </c:pt>
                <c:pt idx="8">
                  <c:v>0.23731631795909328</c:v>
                </c:pt>
                <c:pt idx="9">
                  <c:v>0.24410845226844485</c:v>
                </c:pt>
                <c:pt idx="10">
                  <c:v>0.24888918374085994</c:v>
                </c:pt>
                <c:pt idx="11">
                  <c:v>0.25255679729850428</c:v>
                </c:pt>
                <c:pt idx="12">
                  <c:v>0.25558885706239892</c:v>
                </c:pt>
                <c:pt idx="13">
                  <c:v>0.25756150980458881</c:v>
                </c:pt>
                <c:pt idx="14">
                  <c:v>0.25772926238414329</c:v>
                </c:pt>
                <c:pt idx="15">
                  <c:v>0.25731850852715255</c:v>
                </c:pt>
                <c:pt idx="16">
                  <c:v>0.25650527779112015</c:v>
                </c:pt>
                <c:pt idx="17">
                  <c:v>0.25557601428892579</c:v>
                </c:pt>
              </c:numCache>
            </c:numRef>
          </c:val>
          <c:smooth val="0"/>
          <c:extLst>
            <c:ext xmlns:c16="http://schemas.microsoft.com/office/drawing/2014/chart" uri="{C3380CC4-5D6E-409C-BE32-E72D297353CC}">
              <c16:uniqueId val="{00000005-04C4-44B9-A2EA-DFE20844E2E3}"/>
            </c:ext>
          </c:extLst>
        </c:ser>
        <c:ser>
          <c:idx val="16"/>
          <c:order val="6"/>
          <c:tx>
            <c:strRef>
              <c:f>Outputs_with_historical_data!$B$584</c:f>
              <c:strCache>
                <c:ptCount val="1"/>
                <c:pt idx="0">
                  <c:v>Secondary 30-39 - projected</c:v>
                </c:pt>
              </c:strCache>
            </c:strRef>
          </c:tx>
          <c:spPr>
            <a:ln>
              <a:solidFill>
                <a:srgbClr val="FF000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Outputs_with_historical_data!$C$584:$T$584</c:f>
              <c:numCache>
                <c:formatCode>0%</c:formatCode>
                <c:ptCount val="18"/>
                <c:pt idx="5">
                  <c:v>0.34654633372506671</c:v>
                </c:pt>
                <c:pt idx="6">
                  <c:v>0.34301211932255876</c:v>
                </c:pt>
                <c:pt idx="7">
                  <c:v>0.33841843256405518</c:v>
                </c:pt>
                <c:pt idx="8">
                  <c:v>0.33322666554920166</c:v>
                </c:pt>
                <c:pt idx="9">
                  <c:v>0.3284920356906128</c:v>
                </c:pt>
                <c:pt idx="10">
                  <c:v>0.32485002182127287</c:v>
                </c:pt>
                <c:pt idx="11">
                  <c:v>0.32206205186082543</c:v>
                </c:pt>
                <c:pt idx="12">
                  <c:v>0.31998158847903158</c:v>
                </c:pt>
                <c:pt idx="13">
                  <c:v>0.31872876589198151</c:v>
                </c:pt>
                <c:pt idx="14">
                  <c:v>0.31844817427830302</c:v>
                </c:pt>
                <c:pt idx="15">
                  <c:v>0.31852642356193611</c:v>
                </c:pt>
                <c:pt idx="16">
                  <c:v>0.31881037667512202</c:v>
                </c:pt>
                <c:pt idx="17">
                  <c:v>0.31913309331108869</c:v>
                </c:pt>
              </c:numCache>
            </c:numRef>
          </c:val>
          <c:smooth val="0"/>
          <c:extLst>
            <c:ext xmlns:c16="http://schemas.microsoft.com/office/drawing/2014/chart" uri="{C3380CC4-5D6E-409C-BE32-E72D297353CC}">
              <c16:uniqueId val="{00000006-04C4-44B9-A2EA-DFE20844E2E3}"/>
            </c:ext>
          </c:extLst>
        </c:ser>
        <c:ser>
          <c:idx val="17"/>
          <c:order val="7"/>
          <c:tx>
            <c:strRef>
              <c:f>Outputs_with_historical_data!$B$585</c:f>
              <c:strCache>
                <c:ptCount val="1"/>
                <c:pt idx="0">
                  <c:v>Secondary 40-49 - projected</c:v>
                </c:pt>
              </c:strCache>
            </c:strRef>
          </c:tx>
          <c:spPr>
            <a:ln>
              <a:solidFill>
                <a:srgbClr val="00B0F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Outputs_with_historical_data!$C$585:$T$585</c:f>
              <c:numCache>
                <c:formatCode>0%</c:formatCode>
                <c:ptCount val="18"/>
                <c:pt idx="5">
                  <c:v>0.25943699959522948</c:v>
                </c:pt>
                <c:pt idx="6">
                  <c:v>0.26398635853257529</c:v>
                </c:pt>
                <c:pt idx="7">
                  <c:v>0.26764489817182502</c:v>
                </c:pt>
                <c:pt idx="8">
                  <c:v>0.2698436068261425</c:v>
                </c:pt>
                <c:pt idx="9">
                  <c:v>0.27100703330330528</c:v>
                </c:pt>
                <c:pt idx="10">
                  <c:v>0.27167831774518675</c:v>
                </c:pt>
                <c:pt idx="11">
                  <c:v>0.27174353843378019</c:v>
                </c:pt>
                <c:pt idx="12">
                  <c:v>0.27124565563345504</c:v>
                </c:pt>
                <c:pt idx="13">
                  <c:v>0.27060747441450267</c:v>
                </c:pt>
                <c:pt idx="14">
                  <c:v>0.27039033638539345</c:v>
                </c:pt>
                <c:pt idx="15">
                  <c:v>0.27024400153281392</c:v>
                </c:pt>
                <c:pt idx="16">
                  <c:v>0.27021680793718283</c:v>
                </c:pt>
                <c:pt idx="17">
                  <c:v>0.27026368689996028</c:v>
                </c:pt>
              </c:numCache>
            </c:numRef>
          </c:val>
          <c:smooth val="0"/>
          <c:extLst>
            <c:ext xmlns:c16="http://schemas.microsoft.com/office/drawing/2014/chart" uri="{C3380CC4-5D6E-409C-BE32-E72D297353CC}">
              <c16:uniqueId val="{00000007-04C4-44B9-A2EA-DFE20844E2E3}"/>
            </c:ext>
          </c:extLst>
        </c:ser>
        <c:ser>
          <c:idx val="18"/>
          <c:order val="8"/>
          <c:tx>
            <c:strRef>
              <c:f>Outputs_with_historical_data!$B$586</c:f>
              <c:strCache>
                <c:ptCount val="1"/>
                <c:pt idx="0">
                  <c:v>Secondary 50-59 - projected</c:v>
                </c:pt>
              </c:strCache>
            </c:strRef>
          </c:tx>
          <c:spPr>
            <a:ln>
              <a:solidFill>
                <a:srgbClr val="92D05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Outputs_with_historical_data!$C$586:$T$586</c:f>
              <c:numCache>
                <c:formatCode>0%</c:formatCode>
                <c:ptCount val="18"/>
                <c:pt idx="5">
                  <c:v>0.1599274028539526</c:v>
                </c:pt>
                <c:pt idx="6">
                  <c:v>0.14926745175218861</c:v>
                </c:pt>
                <c:pt idx="7">
                  <c:v>0.14305648210518437</c:v>
                </c:pt>
                <c:pt idx="8">
                  <c:v>0.13934917765315299</c:v>
                </c:pt>
                <c:pt idx="9">
                  <c:v>0.13729239111292013</c:v>
                </c:pt>
                <c:pt idx="10">
                  <c:v>0.13640194199445083</c:v>
                </c:pt>
                <c:pt idx="11">
                  <c:v>0.13612478270539416</c:v>
                </c:pt>
                <c:pt idx="12">
                  <c:v>0.13612632955342033</c:v>
                </c:pt>
                <c:pt idx="13">
                  <c:v>0.13634657215655901</c:v>
                </c:pt>
                <c:pt idx="14">
                  <c:v>0.13687996344505288</c:v>
                </c:pt>
                <c:pt idx="15">
                  <c:v>0.13747712322575431</c:v>
                </c:pt>
                <c:pt idx="16">
                  <c:v>0.13809308796194494</c:v>
                </c:pt>
                <c:pt idx="17">
                  <c:v>0.13867087841722422</c:v>
                </c:pt>
              </c:numCache>
            </c:numRef>
          </c:val>
          <c:smooth val="0"/>
          <c:extLst>
            <c:ext xmlns:c16="http://schemas.microsoft.com/office/drawing/2014/chart" uri="{C3380CC4-5D6E-409C-BE32-E72D297353CC}">
              <c16:uniqueId val="{00000008-04C4-44B9-A2EA-DFE20844E2E3}"/>
            </c:ext>
          </c:extLst>
        </c:ser>
        <c:ser>
          <c:idx val="19"/>
          <c:order val="9"/>
          <c:tx>
            <c:strRef>
              <c:f>Outputs_with_historical_data!$B$587</c:f>
              <c:strCache>
                <c:ptCount val="1"/>
                <c:pt idx="0">
                  <c:v>Secondary 60 plus - projected</c:v>
                </c:pt>
              </c:strCache>
            </c:strRef>
          </c:tx>
          <c:spPr>
            <a:ln>
              <a:solidFill>
                <a:srgbClr val="FFC000"/>
              </a:solidFill>
              <a:prstDash val="sysDot"/>
            </a:ln>
          </c:spPr>
          <c:marker>
            <c:symbol val="none"/>
          </c:marker>
          <c:cat>
            <c:strRef>
              <c:f>Outputs_with_historical_data!$C$567:$T$567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Outputs_with_historical_data!$C$587:$T$587</c:f>
              <c:numCache>
                <c:formatCode>0%</c:formatCode>
                <c:ptCount val="18"/>
                <c:pt idx="5">
                  <c:v>2.248927317050024E-2</c:v>
                </c:pt>
                <c:pt idx="6">
                  <c:v>2.2615220065621985E-2</c:v>
                </c:pt>
                <c:pt idx="7">
                  <c:v>2.1562519112928176E-2</c:v>
                </c:pt>
                <c:pt idx="8">
                  <c:v>2.0264232012409539E-2</c:v>
                </c:pt>
                <c:pt idx="9">
                  <c:v>1.9100087624716922E-2</c:v>
                </c:pt>
                <c:pt idx="10">
                  <c:v>1.818053469822959E-2</c:v>
                </c:pt>
                <c:pt idx="11">
                  <c:v>1.7512829701496108E-2</c:v>
                </c:pt>
                <c:pt idx="12">
                  <c:v>1.7057569271694252E-2</c:v>
                </c:pt>
                <c:pt idx="13">
                  <c:v>1.6755677732368149E-2</c:v>
                </c:pt>
                <c:pt idx="14">
                  <c:v>1.6552263507107361E-2</c:v>
                </c:pt>
                <c:pt idx="15">
                  <c:v>1.6433943152343131E-2</c:v>
                </c:pt>
                <c:pt idx="16">
                  <c:v>1.6374449634630028E-2</c:v>
                </c:pt>
                <c:pt idx="17">
                  <c:v>1.6356327082801016E-2</c:v>
                </c:pt>
              </c:numCache>
            </c:numRef>
          </c:val>
          <c:smooth val="0"/>
          <c:extLst>
            <c:ext xmlns:c16="http://schemas.microsoft.com/office/drawing/2014/chart" uri="{C3380CC4-5D6E-409C-BE32-E72D297353CC}">
              <c16:uniqueId val="{00000009-04C4-44B9-A2EA-DFE20844E2E3}"/>
            </c:ext>
          </c:extLst>
        </c:ser>
        <c:dLbls>
          <c:showLegendKey val="0"/>
          <c:showVal val="0"/>
          <c:showCatName val="0"/>
          <c:showSerName val="0"/>
          <c:showPercent val="0"/>
          <c:showBubbleSize val="0"/>
        </c:dLbls>
        <c:smooth val="0"/>
        <c:axId val="171944192"/>
        <c:axId val="171966464"/>
      </c:lineChart>
      <c:catAx>
        <c:axId val="171944192"/>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1966464"/>
        <c:crosses val="autoZero"/>
        <c:auto val="1"/>
        <c:lblAlgn val="ctr"/>
        <c:lblOffset val="100"/>
        <c:noMultiLvlLbl val="0"/>
      </c:catAx>
      <c:valAx>
        <c:axId val="17196646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of teachers</a:t>
                </a:r>
              </a:p>
            </c:rich>
          </c:tx>
          <c:overlay val="0"/>
        </c:title>
        <c:numFmt formatCode="0%" sourceLinked="1"/>
        <c:majorTickMark val="out"/>
        <c:minorTickMark val="none"/>
        <c:tickLblPos val="nextTo"/>
        <c:txPr>
          <a:bodyPr rot="0" vert="horz"/>
          <a:lstStyle/>
          <a:p>
            <a:pPr>
              <a:defRPr sz="900" b="0" i="0" u="none" strike="noStrike" baseline="0">
                <a:solidFill>
                  <a:srgbClr val="000000"/>
                </a:solidFill>
                <a:latin typeface="Calibri"/>
                <a:ea typeface="Calibri"/>
                <a:cs typeface="Calibri"/>
              </a:defRPr>
            </a:pPr>
            <a:endParaRPr lang="en-US"/>
          </a:p>
        </c:txPr>
        <c:crossAx val="171944192"/>
        <c:crosses val="autoZero"/>
        <c:crossBetween val="between"/>
      </c:valAx>
      <c:spPr>
        <a:ln>
          <a:solidFill>
            <a:schemeClr val="tx1">
              <a:lumMod val="95000"/>
              <a:lumOff val="5000"/>
            </a:schemeClr>
          </a:solidFill>
        </a:ln>
      </c:spPr>
    </c:plotArea>
    <c:legend>
      <c:legendPos val="r"/>
      <c:layout>
        <c:manualLayout>
          <c:xMode val="edge"/>
          <c:yMode val="edge"/>
          <c:x val="0.72126938678119779"/>
          <c:y val="7.5931382502688591E-2"/>
          <c:w val="0.26072041166380788"/>
          <c:h val="0.8567335243553008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a:t>
            </a:r>
          </a:p>
        </c:rich>
      </c:tx>
      <c:layout>
        <c:manualLayout>
          <c:xMode val="edge"/>
          <c:yMode val="edge"/>
          <c:x val="0.11910941544678048"/>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Outputs_with_historical_data!$B$615</c:f>
              <c:strCache>
                <c:ptCount val="1"/>
                <c:pt idx="0">
                  <c:v>Primary entrants - historical</c:v>
                </c:pt>
              </c:strCache>
            </c:strRef>
          </c:tx>
          <c:spPr>
            <a:ln>
              <a:solidFill>
                <a:schemeClr val="tx1">
                  <a:lumMod val="95000"/>
                  <a:lumOff val="5000"/>
                </a:schemeClr>
              </a:solidFill>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Outputs_with_historical_data!$C$615:$T$615</c:f>
              <c:numCache>
                <c:formatCode>#,##0</c:formatCode>
                <c:ptCount val="18"/>
                <c:pt idx="0">
                  <c:v>20529.657089546286</c:v>
                </c:pt>
                <c:pt idx="1">
                  <c:v>23989.040999999994</c:v>
                </c:pt>
                <c:pt idx="2">
                  <c:v>25348.096000000001</c:v>
                </c:pt>
                <c:pt idx="3">
                  <c:v>26619.192999999996</c:v>
                </c:pt>
                <c:pt idx="4">
                  <c:v>27041.996000000003</c:v>
                </c:pt>
              </c:numCache>
            </c:numRef>
          </c:val>
          <c:smooth val="0"/>
          <c:extLst>
            <c:ext xmlns:c16="http://schemas.microsoft.com/office/drawing/2014/chart" uri="{C3380CC4-5D6E-409C-BE32-E72D297353CC}">
              <c16:uniqueId val="{00000000-2056-4E00-B912-7914049F10D7}"/>
            </c:ext>
          </c:extLst>
        </c:ser>
        <c:ser>
          <c:idx val="7"/>
          <c:order val="1"/>
          <c:tx>
            <c:strRef>
              <c:f>Outputs_with_historical_data!$B$616</c:f>
              <c:strCache>
                <c:ptCount val="1"/>
                <c:pt idx="0">
                  <c:v>Primary entrants - projected</c:v>
                </c:pt>
              </c:strCache>
            </c:strRef>
          </c:tx>
          <c:spPr>
            <a:ln>
              <a:solidFill>
                <a:schemeClr val="tx1">
                  <a:lumMod val="95000"/>
                  <a:lumOff val="5000"/>
                </a:schemeClr>
              </a:solidFill>
              <a:prstDash val="sysDot"/>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Outputs_with_historical_data!$C$616:$T$616</c:f>
              <c:numCache>
                <c:formatCode>#,##0</c:formatCode>
                <c:ptCount val="18"/>
                <c:pt idx="6">
                  <c:v>27538.544661464744</c:v>
                </c:pt>
                <c:pt idx="7">
                  <c:v>26105.002673937081</c:v>
                </c:pt>
                <c:pt idx="8">
                  <c:v>25804.401119795846</c:v>
                </c:pt>
                <c:pt idx="9">
                  <c:v>24509.091093232932</c:v>
                </c:pt>
                <c:pt idx="10">
                  <c:v>24656.998817781678</c:v>
                </c:pt>
                <c:pt idx="11">
                  <c:v>24432.263410506512</c:v>
                </c:pt>
                <c:pt idx="12">
                  <c:v>24102.311757997213</c:v>
                </c:pt>
                <c:pt idx="13">
                  <c:v>23873.194543470338</c:v>
                </c:pt>
                <c:pt idx="14">
                  <c:v>24450.504710155619</c:v>
                </c:pt>
                <c:pt idx="15">
                  <c:v>24916.785672652128</c:v>
                </c:pt>
                <c:pt idx="16">
                  <c:v>25036.449572418685</c:v>
                </c:pt>
                <c:pt idx="17">
                  <c:v>24924.618653464819</c:v>
                </c:pt>
              </c:numCache>
            </c:numRef>
          </c:val>
          <c:smooth val="0"/>
          <c:extLst>
            <c:ext xmlns:c16="http://schemas.microsoft.com/office/drawing/2014/chart" uri="{C3380CC4-5D6E-409C-BE32-E72D297353CC}">
              <c16:uniqueId val="{00000001-2056-4E00-B912-7914049F10D7}"/>
            </c:ext>
          </c:extLst>
        </c:ser>
        <c:ser>
          <c:idx val="8"/>
          <c:order val="2"/>
          <c:tx>
            <c:strRef>
              <c:f>Outputs_with_historical_data!$B$617</c:f>
              <c:strCache>
                <c:ptCount val="1"/>
                <c:pt idx="0">
                  <c:v>Primary leavers - historical</c:v>
                </c:pt>
              </c:strCache>
            </c:strRef>
          </c:tx>
          <c:spPr>
            <a:ln>
              <a:solidFill>
                <a:srgbClr val="FF0000"/>
              </a:solidFill>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Outputs_with_historical_data!$C$617:$T$617</c:f>
              <c:numCache>
                <c:formatCode>#,##0</c:formatCode>
                <c:ptCount val="18"/>
                <c:pt idx="1">
                  <c:v>20111.489062167639</c:v>
                </c:pt>
                <c:pt idx="2">
                  <c:v>21510.41466506775</c:v>
                </c:pt>
                <c:pt idx="3">
                  <c:v>23974.348859006604</c:v>
                </c:pt>
                <c:pt idx="4">
                  <c:v>24711.396202673968</c:v>
                </c:pt>
              </c:numCache>
            </c:numRef>
          </c:val>
          <c:smooth val="0"/>
          <c:extLst>
            <c:ext xmlns:c16="http://schemas.microsoft.com/office/drawing/2014/chart" uri="{C3380CC4-5D6E-409C-BE32-E72D297353CC}">
              <c16:uniqueId val="{00000002-2056-4E00-B912-7914049F10D7}"/>
            </c:ext>
          </c:extLst>
        </c:ser>
        <c:ser>
          <c:idx val="0"/>
          <c:order val="3"/>
          <c:tx>
            <c:strRef>
              <c:f>Outputs_with_historical_data!$B$618</c:f>
              <c:strCache>
                <c:ptCount val="1"/>
                <c:pt idx="0">
                  <c:v>Primary leavers - projected</c:v>
                </c:pt>
              </c:strCache>
            </c:strRef>
          </c:tx>
          <c:spPr>
            <a:ln>
              <a:solidFill>
                <a:srgbClr val="FF0000"/>
              </a:solidFill>
              <a:prstDash val="sysDot"/>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Outputs_with_historical_data!$C$618:$T$618</c:f>
              <c:numCache>
                <c:formatCode>#,##0</c:formatCode>
                <c:ptCount val="18"/>
                <c:pt idx="6">
                  <c:v>24480.216651135612</c:v>
                </c:pt>
                <c:pt idx="7">
                  <c:v>24578.475696386551</c:v>
                </c:pt>
                <c:pt idx="8">
                  <c:v>24557.665343385146</c:v>
                </c:pt>
                <c:pt idx="9">
                  <c:v>24489.006125456497</c:v>
                </c:pt>
                <c:pt idx="10">
                  <c:v>24393.522064596204</c:v>
                </c:pt>
                <c:pt idx="11">
                  <c:v>24351.019964927757</c:v>
                </c:pt>
                <c:pt idx="12">
                  <c:v>24313.92432163619</c:v>
                </c:pt>
                <c:pt idx="13">
                  <c:v>24265.98057880966</c:v>
                </c:pt>
                <c:pt idx="14">
                  <c:v>24213.306306154522</c:v>
                </c:pt>
                <c:pt idx="15">
                  <c:v>24230.21971203326</c:v>
                </c:pt>
                <c:pt idx="16">
                  <c:v>24295.593809340098</c:v>
                </c:pt>
                <c:pt idx="17">
                  <c:v>24368.773599764347</c:v>
                </c:pt>
              </c:numCache>
            </c:numRef>
          </c:val>
          <c:smooth val="0"/>
          <c:extLst>
            <c:ext xmlns:c16="http://schemas.microsoft.com/office/drawing/2014/chart" uri="{C3380CC4-5D6E-409C-BE32-E72D297353CC}">
              <c16:uniqueId val="{00000003-2056-4E00-B912-7914049F10D7}"/>
            </c:ext>
          </c:extLst>
        </c:ser>
        <c:ser>
          <c:idx val="1"/>
          <c:order val="4"/>
          <c:tx>
            <c:strRef>
              <c:f>Outputs_with_historical_data!$B$619</c:f>
              <c:strCache>
                <c:ptCount val="1"/>
                <c:pt idx="0">
                  <c:v>Primary net change - historical</c:v>
                </c:pt>
              </c:strCache>
            </c:strRef>
          </c:tx>
          <c:spPr>
            <a:ln>
              <a:solidFill>
                <a:srgbClr val="00B0F0"/>
              </a:solidFill>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Outputs_with_historical_data!$C$619:$T$619</c:f>
              <c:numCache>
                <c:formatCode>#,##0</c:formatCode>
                <c:ptCount val="18"/>
                <c:pt idx="1">
                  <c:v>3877.5519378323552</c:v>
                </c:pt>
                <c:pt idx="2">
                  <c:v>3837.681334932251</c:v>
                </c:pt>
                <c:pt idx="3">
                  <c:v>2644.8441409933912</c:v>
                </c:pt>
                <c:pt idx="4">
                  <c:v>2330.5997973260346</c:v>
                </c:pt>
              </c:numCache>
            </c:numRef>
          </c:val>
          <c:smooth val="0"/>
          <c:extLst>
            <c:ext xmlns:c16="http://schemas.microsoft.com/office/drawing/2014/chart" uri="{C3380CC4-5D6E-409C-BE32-E72D297353CC}">
              <c16:uniqueId val="{00000004-2056-4E00-B912-7914049F10D7}"/>
            </c:ext>
          </c:extLst>
        </c:ser>
        <c:ser>
          <c:idx val="2"/>
          <c:order val="5"/>
          <c:tx>
            <c:strRef>
              <c:f>Outputs_with_historical_data!$B$620</c:f>
              <c:strCache>
                <c:ptCount val="1"/>
                <c:pt idx="0">
                  <c:v>Primary net change - projected</c:v>
                </c:pt>
              </c:strCache>
            </c:strRef>
          </c:tx>
          <c:spPr>
            <a:ln>
              <a:solidFill>
                <a:srgbClr val="00B0F0"/>
              </a:solidFill>
              <a:prstDash val="sysDot"/>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Outputs_with_historical_data!$C$620:$T$620</c:f>
              <c:numCache>
                <c:formatCode>#,##0</c:formatCode>
                <c:ptCount val="18"/>
                <c:pt idx="6">
                  <c:v>3058.3280103291327</c:v>
                </c:pt>
                <c:pt idx="7">
                  <c:v>1526.5269775505294</c:v>
                </c:pt>
                <c:pt idx="8">
                  <c:v>1246.7357764107001</c:v>
                </c:pt>
                <c:pt idx="9">
                  <c:v>20.084967776434496</c:v>
                </c:pt>
                <c:pt idx="10">
                  <c:v>263.47675318547408</c:v>
                </c:pt>
                <c:pt idx="11">
                  <c:v>81.2434455787552</c:v>
                </c:pt>
                <c:pt idx="12">
                  <c:v>-211.61256363897701</c:v>
                </c:pt>
                <c:pt idx="13">
                  <c:v>-392.78603533932255</c:v>
                </c:pt>
                <c:pt idx="14">
                  <c:v>237.19840400109751</c:v>
                </c:pt>
                <c:pt idx="15">
                  <c:v>686.56596061886739</c:v>
                </c:pt>
                <c:pt idx="16">
                  <c:v>740.85576307858719</c:v>
                </c:pt>
                <c:pt idx="17">
                  <c:v>555.84505370047191</c:v>
                </c:pt>
              </c:numCache>
            </c:numRef>
          </c:val>
          <c:smooth val="0"/>
          <c:extLst>
            <c:ext xmlns:c16="http://schemas.microsoft.com/office/drawing/2014/chart" uri="{C3380CC4-5D6E-409C-BE32-E72D297353CC}">
              <c16:uniqueId val="{00000005-2056-4E00-B912-7914049F10D7}"/>
            </c:ext>
          </c:extLst>
        </c:ser>
        <c:dLbls>
          <c:showLegendKey val="0"/>
          <c:showVal val="0"/>
          <c:showCatName val="0"/>
          <c:showSerName val="0"/>
          <c:showPercent val="0"/>
          <c:showBubbleSize val="0"/>
        </c:dLbls>
        <c:smooth val="0"/>
        <c:axId val="172014592"/>
        <c:axId val="172163840"/>
      </c:lineChart>
      <c:catAx>
        <c:axId val="172014592"/>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163840"/>
        <c:crosses val="autoZero"/>
        <c:auto val="1"/>
        <c:lblAlgn val="ctr"/>
        <c:lblOffset val="100"/>
        <c:noMultiLvlLbl val="0"/>
      </c:catAx>
      <c:valAx>
        <c:axId val="1721638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014592"/>
        <c:crosses val="autoZero"/>
        <c:crossBetween val="between"/>
      </c:valAx>
      <c:spPr>
        <a:ln>
          <a:solidFill>
            <a:schemeClr val="tx1">
              <a:lumMod val="95000"/>
              <a:lumOff val="5000"/>
            </a:schemeClr>
          </a:solidFill>
        </a:ln>
      </c:spPr>
    </c:plotArea>
    <c:legend>
      <c:legendPos val="r"/>
      <c:layout>
        <c:manualLayout>
          <c:xMode val="edge"/>
          <c:yMode val="edge"/>
          <c:x val="0.75343705748121681"/>
          <c:y val="0.1141978548977674"/>
          <c:w val="0.22938171388370265"/>
          <c:h val="0.771606234405884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Teachers leaving service by all routes</a:t>
            </a:r>
          </a:p>
        </c:rich>
      </c:tx>
      <c:overlay val="0"/>
    </c:title>
    <c:autoTitleDeleted val="0"/>
    <c:plotArea>
      <c:layout>
        <c:manualLayout>
          <c:layoutTarget val="inner"/>
          <c:xMode val="edge"/>
          <c:yMode val="edge"/>
          <c:x val="0.12813569889823517"/>
          <c:y val="0.1031621331424481"/>
          <c:w val="0.63448083392136434"/>
          <c:h val="0.72347232164161301"/>
        </c:manualLayout>
      </c:layout>
      <c:lineChart>
        <c:grouping val="standard"/>
        <c:varyColors val="0"/>
        <c:ser>
          <c:idx val="0"/>
          <c:order val="0"/>
          <c:tx>
            <c:strRef>
              <c:f>Outputs_with_historical_data!$B$269</c:f>
              <c:strCache>
                <c:ptCount val="1"/>
                <c:pt idx="0">
                  <c:v>Primary leavers - historical</c:v>
                </c:pt>
              </c:strCache>
            </c:strRef>
          </c:tx>
          <c:spPr>
            <a:ln>
              <a:solidFill>
                <a:schemeClr val="tx1">
                  <a:lumMod val="95000"/>
                  <a:lumOff val="5000"/>
                </a:schemeClr>
              </a:solidFill>
            </a:ln>
          </c:spPr>
          <c:marker>
            <c:symbol val="none"/>
          </c:marker>
          <c:cat>
            <c:strRef>
              <c:f>Outputs_with_historical_data!$C$268:$T$268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Outputs_with_historical_data!$C$269:$T$269</c:f>
              <c:numCache>
                <c:formatCode>#,##0</c:formatCode>
                <c:ptCount val="18"/>
                <c:pt idx="1">
                  <c:v>20111.489062167639</c:v>
                </c:pt>
                <c:pt idx="2">
                  <c:v>21510.41466506775</c:v>
                </c:pt>
                <c:pt idx="3">
                  <c:v>23974.348859006604</c:v>
                </c:pt>
                <c:pt idx="4">
                  <c:v>24711.396202673968</c:v>
                </c:pt>
              </c:numCache>
            </c:numRef>
          </c:val>
          <c:smooth val="0"/>
          <c:extLst>
            <c:ext xmlns:c16="http://schemas.microsoft.com/office/drawing/2014/chart" uri="{C3380CC4-5D6E-409C-BE32-E72D297353CC}">
              <c16:uniqueId val="{00000000-D0EF-42EF-93A6-B5B83C48DC60}"/>
            </c:ext>
          </c:extLst>
        </c:ser>
        <c:ser>
          <c:idx val="1"/>
          <c:order val="1"/>
          <c:tx>
            <c:strRef>
              <c:f>Outputs_with_historical_data!$B$270</c:f>
              <c:strCache>
                <c:ptCount val="1"/>
                <c:pt idx="0">
                  <c:v>Primary leavers - projected</c:v>
                </c:pt>
              </c:strCache>
            </c:strRef>
          </c:tx>
          <c:spPr>
            <a:ln>
              <a:solidFill>
                <a:schemeClr val="tx1">
                  <a:lumMod val="95000"/>
                  <a:lumOff val="5000"/>
                </a:schemeClr>
              </a:solidFill>
              <a:prstDash val="sysDot"/>
            </a:ln>
          </c:spPr>
          <c:marker>
            <c:symbol val="none"/>
          </c:marker>
          <c:cat>
            <c:strRef>
              <c:f>Outputs_with_historical_data!$C$268:$T$268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Outputs_with_historical_data!$C$270:$T$270</c:f>
              <c:numCache>
                <c:formatCode>#,##0</c:formatCode>
                <c:ptCount val="18"/>
                <c:pt idx="6">
                  <c:v>24480.216651135612</c:v>
                </c:pt>
                <c:pt idx="7">
                  <c:v>24578.475696386551</c:v>
                </c:pt>
                <c:pt idx="8">
                  <c:v>24557.665343385146</c:v>
                </c:pt>
                <c:pt idx="9">
                  <c:v>24489.006125456497</c:v>
                </c:pt>
                <c:pt idx="10">
                  <c:v>24393.522064596204</c:v>
                </c:pt>
                <c:pt idx="11">
                  <c:v>24351.019964927757</c:v>
                </c:pt>
                <c:pt idx="12">
                  <c:v>24313.92432163619</c:v>
                </c:pt>
                <c:pt idx="13">
                  <c:v>24265.98057880966</c:v>
                </c:pt>
                <c:pt idx="14">
                  <c:v>24213.306306154522</c:v>
                </c:pt>
                <c:pt idx="15">
                  <c:v>24230.21971203326</c:v>
                </c:pt>
                <c:pt idx="16">
                  <c:v>24295.593809340098</c:v>
                </c:pt>
                <c:pt idx="17">
                  <c:v>24368.773599764347</c:v>
                </c:pt>
              </c:numCache>
            </c:numRef>
          </c:val>
          <c:smooth val="0"/>
          <c:extLst>
            <c:ext xmlns:c16="http://schemas.microsoft.com/office/drawing/2014/chart" uri="{C3380CC4-5D6E-409C-BE32-E72D297353CC}">
              <c16:uniqueId val="{00000001-D0EF-42EF-93A6-B5B83C48DC60}"/>
            </c:ext>
          </c:extLst>
        </c:ser>
        <c:ser>
          <c:idx val="2"/>
          <c:order val="2"/>
          <c:tx>
            <c:strRef>
              <c:f>Outputs_with_historical_data!$B$271</c:f>
              <c:strCache>
                <c:ptCount val="1"/>
                <c:pt idx="0">
                  <c:v>Secondary leavers - historical</c:v>
                </c:pt>
              </c:strCache>
            </c:strRef>
          </c:tx>
          <c:spPr>
            <a:ln>
              <a:solidFill>
                <a:srgbClr val="FF0000"/>
              </a:solidFill>
            </a:ln>
          </c:spPr>
          <c:marker>
            <c:symbol val="none"/>
          </c:marker>
          <c:cat>
            <c:strRef>
              <c:f>Outputs_with_historical_data!$C$268:$T$268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Outputs_with_historical_data!$C$271:$T$271</c:f>
              <c:numCache>
                <c:formatCode>#,##0</c:formatCode>
                <c:ptCount val="18"/>
                <c:pt idx="1">
                  <c:v>21107.755327273022</c:v>
                </c:pt>
                <c:pt idx="2">
                  <c:v>22199.709776174088</c:v>
                </c:pt>
                <c:pt idx="3">
                  <c:v>23452.695173316952</c:v>
                </c:pt>
                <c:pt idx="4">
                  <c:v>24493.036523076324</c:v>
                </c:pt>
              </c:numCache>
            </c:numRef>
          </c:val>
          <c:smooth val="0"/>
          <c:extLst>
            <c:ext xmlns:c16="http://schemas.microsoft.com/office/drawing/2014/chart" uri="{C3380CC4-5D6E-409C-BE32-E72D297353CC}">
              <c16:uniqueId val="{00000002-D0EF-42EF-93A6-B5B83C48DC60}"/>
            </c:ext>
          </c:extLst>
        </c:ser>
        <c:ser>
          <c:idx val="3"/>
          <c:order val="3"/>
          <c:tx>
            <c:strRef>
              <c:f>Outputs_with_historical_data!$B$272</c:f>
              <c:strCache>
                <c:ptCount val="1"/>
                <c:pt idx="0">
                  <c:v>Secondary leavers - projected</c:v>
                </c:pt>
              </c:strCache>
            </c:strRef>
          </c:tx>
          <c:spPr>
            <a:ln>
              <a:solidFill>
                <a:srgbClr val="FF0000"/>
              </a:solidFill>
              <a:prstDash val="sysDot"/>
            </a:ln>
          </c:spPr>
          <c:marker>
            <c:symbol val="none"/>
          </c:marker>
          <c:cat>
            <c:strRef>
              <c:f>Outputs_with_historical_data!$C$268:$T$268</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Outputs_with_historical_data!$C$272:$T$272</c:f>
              <c:numCache>
                <c:formatCode>#,##0</c:formatCode>
                <c:ptCount val="18"/>
                <c:pt idx="6">
                  <c:v>23463.043780670028</c:v>
                </c:pt>
                <c:pt idx="7">
                  <c:v>23392.094069277864</c:v>
                </c:pt>
                <c:pt idx="8">
                  <c:v>23298.883316824395</c:v>
                </c:pt>
                <c:pt idx="9">
                  <c:v>23349.689242889093</c:v>
                </c:pt>
                <c:pt idx="10">
                  <c:v>23479.827727487391</c:v>
                </c:pt>
                <c:pt idx="11">
                  <c:v>23597.583464380175</c:v>
                </c:pt>
                <c:pt idx="12">
                  <c:v>23743.443089489938</c:v>
                </c:pt>
                <c:pt idx="13">
                  <c:v>23933.074390368813</c:v>
                </c:pt>
                <c:pt idx="14">
                  <c:v>24104.151049874028</c:v>
                </c:pt>
                <c:pt idx="15">
                  <c:v>24160.575647543701</c:v>
                </c:pt>
                <c:pt idx="16">
                  <c:v>24183.523418636014</c:v>
                </c:pt>
                <c:pt idx="17">
                  <c:v>24172.220009996541</c:v>
                </c:pt>
              </c:numCache>
            </c:numRef>
          </c:val>
          <c:smooth val="0"/>
          <c:extLst>
            <c:ext xmlns:c16="http://schemas.microsoft.com/office/drawing/2014/chart" uri="{C3380CC4-5D6E-409C-BE32-E72D297353CC}">
              <c16:uniqueId val="{00000003-D0EF-42EF-93A6-B5B83C48DC60}"/>
            </c:ext>
          </c:extLst>
        </c:ser>
        <c:dLbls>
          <c:showLegendKey val="0"/>
          <c:showVal val="0"/>
          <c:showCatName val="0"/>
          <c:showSerName val="0"/>
          <c:showPercent val="0"/>
          <c:showBubbleSize val="0"/>
        </c:dLbls>
        <c:smooth val="0"/>
        <c:axId val="172193280"/>
        <c:axId val="172194816"/>
      </c:lineChart>
      <c:catAx>
        <c:axId val="172193280"/>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194816"/>
        <c:crosses val="autoZero"/>
        <c:auto val="1"/>
        <c:lblAlgn val="ctr"/>
        <c:lblOffset val="100"/>
        <c:noMultiLvlLbl val="0"/>
      </c:catAx>
      <c:valAx>
        <c:axId val="172194816"/>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Teachers leaving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193280"/>
        <c:crosses val="autoZero"/>
        <c:crossBetween val="between"/>
      </c:valAx>
      <c:spPr>
        <a:ln>
          <a:solidFill>
            <a:schemeClr val="tx1">
              <a:lumMod val="95000"/>
              <a:lumOff val="5000"/>
            </a:schemeClr>
          </a:solidFill>
        </a:ln>
      </c:spPr>
    </c:plotArea>
    <c:legend>
      <c:legendPos val="r"/>
      <c:layout>
        <c:manualLayout>
          <c:xMode val="edge"/>
          <c:yMode val="edge"/>
          <c:x val="0.77530017152658659"/>
          <c:y val="8.5294117647058826E-2"/>
          <c:w val="0.20840489278462837"/>
          <c:h val="0.74705882352941178"/>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Teacher leaving service rate</a:t>
            </a:r>
          </a:p>
        </c:rich>
      </c:tx>
      <c:overlay val="0"/>
    </c:title>
    <c:autoTitleDeleted val="0"/>
    <c:plotArea>
      <c:layout>
        <c:manualLayout>
          <c:layoutTarget val="inner"/>
          <c:xMode val="edge"/>
          <c:yMode val="edge"/>
          <c:x val="0.14959270378972411"/>
          <c:y val="0.1145859743722511"/>
          <c:w val="0.59816726146641741"/>
          <c:h val="0.71204849393825775"/>
        </c:manualLayout>
      </c:layout>
      <c:lineChart>
        <c:grouping val="standard"/>
        <c:varyColors val="0"/>
        <c:ser>
          <c:idx val="0"/>
          <c:order val="0"/>
          <c:tx>
            <c:strRef>
              <c:f>Outputs_with_historical_data!$B$298</c:f>
              <c:strCache>
                <c:ptCount val="1"/>
                <c:pt idx="0">
                  <c:v>Primary leavers rate - historical</c:v>
                </c:pt>
              </c:strCache>
            </c:strRef>
          </c:tx>
          <c:spPr>
            <a:ln>
              <a:solidFill>
                <a:schemeClr val="tx1">
                  <a:lumMod val="95000"/>
                  <a:lumOff val="5000"/>
                </a:schemeClr>
              </a:solidFill>
            </a:ln>
          </c:spPr>
          <c:marker>
            <c:symbol val="none"/>
          </c:marker>
          <c:cat>
            <c:strRef>
              <c:f>Outputs_with_historical_data!$C$297:$T$297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Outputs_with_historical_data!$C$298:$T$298</c:f>
              <c:numCache>
                <c:formatCode>0%</c:formatCode>
                <c:ptCount val="18"/>
                <c:pt idx="1">
                  <c:v>9.1515999924442953E-2</c:v>
                </c:pt>
                <c:pt idx="2">
                  <c:v>9.5469939989523758E-2</c:v>
                </c:pt>
                <c:pt idx="3">
                  <c:v>0.10404533232218606</c:v>
                </c:pt>
                <c:pt idx="4">
                  <c:v>0.10496583844977049</c:v>
                </c:pt>
              </c:numCache>
            </c:numRef>
          </c:val>
          <c:smooth val="0"/>
          <c:extLst>
            <c:ext xmlns:c16="http://schemas.microsoft.com/office/drawing/2014/chart" uri="{C3380CC4-5D6E-409C-BE32-E72D297353CC}">
              <c16:uniqueId val="{00000000-CDB4-49D8-A36B-163920375A4A}"/>
            </c:ext>
          </c:extLst>
        </c:ser>
        <c:ser>
          <c:idx val="1"/>
          <c:order val="1"/>
          <c:tx>
            <c:strRef>
              <c:f>Outputs_with_historical_data!$B$299</c:f>
              <c:strCache>
                <c:ptCount val="1"/>
                <c:pt idx="0">
                  <c:v>Primary leavers rate - projected</c:v>
                </c:pt>
              </c:strCache>
            </c:strRef>
          </c:tx>
          <c:spPr>
            <a:ln>
              <a:solidFill>
                <a:schemeClr val="tx1">
                  <a:lumMod val="95000"/>
                  <a:lumOff val="5000"/>
                </a:schemeClr>
              </a:solidFill>
              <a:prstDash val="sysDot"/>
            </a:ln>
          </c:spPr>
          <c:marker>
            <c:symbol val="none"/>
          </c:marker>
          <c:cat>
            <c:strRef>
              <c:f>Outputs_with_historical_data!$C$297:$T$297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Outputs_with_historical_data!$C$299:$T$299</c:f>
              <c:numCache>
                <c:formatCode>0%</c:formatCode>
                <c:ptCount val="18"/>
                <c:pt idx="6">
                  <c:v>0.10103685200752292</c:v>
                </c:pt>
                <c:pt idx="7">
                  <c:v>0.10080726773443155</c:v>
                </c:pt>
                <c:pt idx="8">
                  <c:v>0.10045144163758973</c:v>
                </c:pt>
                <c:pt idx="9">
                  <c:v>0.10016236686986392</c:v>
                </c:pt>
                <c:pt idx="10">
                  <c:v>9.9664425098823201E-2</c:v>
                </c:pt>
                <c:pt idx="11">
                  <c:v>9.9457761014312765E-2</c:v>
                </c:pt>
                <c:pt idx="12">
                  <c:v>9.9392154256079487E-2</c:v>
                </c:pt>
                <c:pt idx="13">
                  <c:v>9.9355697766696061E-2</c:v>
                </c:pt>
                <c:pt idx="14">
                  <c:v>9.9043834974678613E-2</c:v>
                </c:pt>
                <c:pt idx="15">
                  <c:v>9.8835451432308333E-2</c:v>
                </c:pt>
                <c:pt idx="16">
                  <c:v>9.8803532849746911E-2</c:v>
                </c:pt>
                <c:pt idx="17">
                  <c:v>9.8877625154459775E-2</c:v>
                </c:pt>
              </c:numCache>
            </c:numRef>
          </c:val>
          <c:smooth val="0"/>
          <c:extLst>
            <c:ext xmlns:c16="http://schemas.microsoft.com/office/drawing/2014/chart" uri="{C3380CC4-5D6E-409C-BE32-E72D297353CC}">
              <c16:uniqueId val="{00000001-CDB4-49D8-A36B-163920375A4A}"/>
            </c:ext>
          </c:extLst>
        </c:ser>
        <c:ser>
          <c:idx val="2"/>
          <c:order val="2"/>
          <c:tx>
            <c:strRef>
              <c:f>Outputs_with_historical_data!$B$300</c:f>
              <c:strCache>
                <c:ptCount val="1"/>
                <c:pt idx="0">
                  <c:v>Secondary leavers rate - historical</c:v>
                </c:pt>
              </c:strCache>
            </c:strRef>
          </c:tx>
          <c:spPr>
            <a:ln>
              <a:solidFill>
                <a:srgbClr val="FF0000"/>
              </a:solidFill>
            </a:ln>
          </c:spPr>
          <c:marker>
            <c:symbol val="none"/>
          </c:marker>
          <c:cat>
            <c:strRef>
              <c:f>Outputs_with_historical_data!$C$297:$T$297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Outputs_with_historical_data!$C$300:$T$300</c:f>
              <c:numCache>
                <c:formatCode>0%</c:formatCode>
                <c:ptCount val="18"/>
                <c:pt idx="1">
                  <c:v>9.6301708845786413E-2</c:v>
                </c:pt>
                <c:pt idx="2">
                  <c:v>0.1009334221039568</c:v>
                </c:pt>
                <c:pt idx="3">
                  <c:v>0.10766802206574889</c:v>
                </c:pt>
                <c:pt idx="4">
                  <c:v>0.11357052480079168</c:v>
                </c:pt>
              </c:numCache>
            </c:numRef>
          </c:val>
          <c:smooth val="0"/>
          <c:extLst>
            <c:ext xmlns:c16="http://schemas.microsoft.com/office/drawing/2014/chart" uri="{C3380CC4-5D6E-409C-BE32-E72D297353CC}">
              <c16:uniqueId val="{00000002-CDB4-49D8-A36B-163920375A4A}"/>
            </c:ext>
          </c:extLst>
        </c:ser>
        <c:ser>
          <c:idx val="3"/>
          <c:order val="3"/>
          <c:tx>
            <c:strRef>
              <c:f>Outputs_with_historical_data!$B$301</c:f>
              <c:strCache>
                <c:ptCount val="1"/>
                <c:pt idx="0">
                  <c:v>Secondary leavers rate - projected</c:v>
                </c:pt>
              </c:strCache>
            </c:strRef>
          </c:tx>
          <c:spPr>
            <a:ln>
              <a:solidFill>
                <a:srgbClr val="FF0000"/>
              </a:solidFill>
              <a:prstDash val="sysDot"/>
            </a:ln>
          </c:spPr>
          <c:marker>
            <c:symbol val="none"/>
          </c:marker>
          <c:cat>
            <c:strRef>
              <c:f>Outputs_with_historical_data!$C$297:$T$297</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Outputs_with_historical_data!$C$301:$T$301</c:f>
              <c:numCache>
                <c:formatCode>0%</c:formatCode>
                <c:ptCount val="18"/>
                <c:pt idx="6">
                  <c:v>0.10965268641075322</c:v>
                </c:pt>
                <c:pt idx="7">
                  <c:v>0.10857408079055289</c:v>
                </c:pt>
                <c:pt idx="8">
                  <c:v>0.10703981212033363</c:v>
                </c:pt>
                <c:pt idx="9">
                  <c:v>0.10608046324295752</c:v>
                </c:pt>
                <c:pt idx="10">
                  <c:v>0.1057253589569541</c:v>
                </c:pt>
                <c:pt idx="11">
                  <c:v>0.10534040901240153</c:v>
                </c:pt>
                <c:pt idx="12">
                  <c:v>0.10500600545374458</c:v>
                </c:pt>
                <c:pt idx="13">
                  <c:v>0.10500961920994349</c:v>
                </c:pt>
                <c:pt idx="14">
                  <c:v>0.10545698898801215</c:v>
                </c:pt>
                <c:pt idx="15">
                  <c:v>0.10558578063024719</c:v>
                </c:pt>
                <c:pt idx="16">
                  <c:v>0.10573853267871028</c:v>
                </c:pt>
                <c:pt idx="17">
                  <c:v>0.10583847427559724</c:v>
                </c:pt>
              </c:numCache>
            </c:numRef>
          </c:val>
          <c:smooth val="0"/>
          <c:extLst>
            <c:ext xmlns:c16="http://schemas.microsoft.com/office/drawing/2014/chart" uri="{C3380CC4-5D6E-409C-BE32-E72D297353CC}">
              <c16:uniqueId val="{00000003-CDB4-49D8-A36B-163920375A4A}"/>
            </c:ext>
          </c:extLst>
        </c:ser>
        <c:dLbls>
          <c:showLegendKey val="0"/>
          <c:showVal val="0"/>
          <c:showCatName val="0"/>
          <c:showSerName val="0"/>
          <c:showPercent val="0"/>
          <c:showBubbleSize val="0"/>
        </c:dLbls>
        <c:smooth val="0"/>
        <c:axId val="172227968"/>
        <c:axId val="172237952"/>
      </c:lineChart>
      <c:catAx>
        <c:axId val="17222796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237952"/>
        <c:crosses val="autoZero"/>
        <c:auto val="1"/>
        <c:lblAlgn val="ctr"/>
        <c:lblOffset val="100"/>
        <c:noMultiLvlLbl val="0"/>
      </c:catAx>
      <c:valAx>
        <c:axId val="17223795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Teacher leaving rate (proportion of teachers leaving service)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227968"/>
        <c:crosses val="autoZero"/>
        <c:crossBetween val="between"/>
      </c:valAx>
      <c:spPr>
        <a:ln>
          <a:solidFill>
            <a:schemeClr val="tx1">
              <a:lumMod val="95000"/>
              <a:lumOff val="5000"/>
            </a:schemeClr>
          </a:solidFill>
        </a:ln>
      </c:spPr>
    </c:plotArea>
    <c:legend>
      <c:legendPos val="r"/>
      <c:layout>
        <c:manualLayout>
          <c:xMode val="edge"/>
          <c:yMode val="edge"/>
          <c:x val="0.76072050170401084"/>
          <c:y val="0.11290368762555707"/>
          <c:w val="0.22212701971430238"/>
          <c:h val="0.747802741666089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Number of teachers entering or leaving the teacher stock each year</a:t>
            </a:r>
          </a:p>
        </c:rich>
      </c:tx>
      <c:layout>
        <c:manualLayout>
          <c:xMode val="edge"/>
          <c:yMode val="edge"/>
          <c:x val="0.11910950239281839"/>
          <c:y val="3.9755678688312111E-3"/>
        </c:manualLayout>
      </c:layout>
      <c:overlay val="0"/>
    </c:title>
    <c:autoTitleDeleted val="0"/>
    <c:plotArea>
      <c:layout>
        <c:manualLayout>
          <c:layoutTarget val="inner"/>
          <c:xMode val="edge"/>
          <c:yMode val="edge"/>
          <c:x val="0.13563160374183997"/>
          <c:y val="0.14357154349441539"/>
          <c:w val="0.60261663339091165"/>
          <c:h val="0.69311131046994912"/>
        </c:manualLayout>
      </c:layout>
      <c:lineChart>
        <c:grouping val="standard"/>
        <c:varyColors val="0"/>
        <c:ser>
          <c:idx val="6"/>
          <c:order val="0"/>
          <c:tx>
            <c:strRef>
              <c:f>Outputs_with_historical_data!$B$621</c:f>
              <c:strCache>
                <c:ptCount val="1"/>
                <c:pt idx="0">
                  <c:v>Secondary entrants - historical</c:v>
                </c:pt>
              </c:strCache>
            </c:strRef>
          </c:tx>
          <c:spPr>
            <a:ln>
              <a:solidFill>
                <a:schemeClr val="tx1">
                  <a:lumMod val="95000"/>
                  <a:lumOff val="5000"/>
                </a:schemeClr>
              </a:solidFill>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Outputs_with_historical_data!$C$621:$T$621</c:f>
              <c:numCache>
                <c:formatCode>#,##0</c:formatCode>
                <c:ptCount val="18"/>
                <c:pt idx="0">
                  <c:v>19900.351266773563</c:v>
                </c:pt>
                <c:pt idx="1">
                  <c:v>21265.592999999993</c:v>
                </c:pt>
                <c:pt idx="2">
                  <c:v>20574.989999999998</c:v>
                </c:pt>
                <c:pt idx="3">
                  <c:v>21104.835999999996</c:v>
                </c:pt>
                <c:pt idx="4">
                  <c:v>20959.223000000002</c:v>
                </c:pt>
              </c:numCache>
            </c:numRef>
          </c:val>
          <c:smooth val="0"/>
          <c:extLst>
            <c:ext xmlns:c16="http://schemas.microsoft.com/office/drawing/2014/chart" uri="{C3380CC4-5D6E-409C-BE32-E72D297353CC}">
              <c16:uniqueId val="{00000000-4551-488B-B86B-C1CB117B2B78}"/>
            </c:ext>
          </c:extLst>
        </c:ser>
        <c:ser>
          <c:idx val="7"/>
          <c:order val="1"/>
          <c:tx>
            <c:strRef>
              <c:f>Outputs_with_historical_data!$B$622</c:f>
              <c:strCache>
                <c:ptCount val="1"/>
                <c:pt idx="0">
                  <c:v>Secondary entrants - projected</c:v>
                </c:pt>
              </c:strCache>
            </c:strRef>
          </c:tx>
          <c:spPr>
            <a:ln>
              <a:solidFill>
                <a:schemeClr val="tx1">
                  <a:lumMod val="95000"/>
                  <a:lumOff val="5000"/>
                </a:schemeClr>
              </a:solidFill>
              <a:prstDash val="sysDot"/>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Outputs_with_historical_data!$C$622:$T$622</c:f>
              <c:numCache>
                <c:formatCode>#,##0</c:formatCode>
                <c:ptCount val="18"/>
                <c:pt idx="6">
                  <c:v>25325.981524290863</c:v>
                </c:pt>
                <c:pt idx="7">
                  <c:v>24864.32398892309</c:v>
                </c:pt>
                <c:pt idx="8">
                  <c:v>26448.871508078941</c:v>
                </c:pt>
                <c:pt idx="9">
                  <c:v>25797.106539924709</c:v>
                </c:pt>
                <c:pt idx="10">
                  <c:v>25450.041469507818</c:v>
                </c:pt>
                <c:pt idx="11">
                  <c:v>25527.010741858019</c:v>
                </c:pt>
                <c:pt idx="12">
                  <c:v>25845.896651495765</c:v>
                </c:pt>
                <c:pt idx="13">
                  <c:v>25731.139914905129</c:v>
                </c:pt>
                <c:pt idx="14">
                  <c:v>24759.538609418585</c:v>
                </c:pt>
                <c:pt idx="15">
                  <c:v>24416.167627861571</c:v>
                </c:pt>
                <c:pt idx="16">
                  <c:v>24069.983113000369</c:v>
                </c:pt>
                <c:pt idx="17">
                  <c:v>23849.453533819546</c:v>
                </c:pt>
              </c:numCache>
            </c:numRef>
          </c:val>
          <c:smooth val="0"/>
          <c:extLst>
            <c:ext xmlns:c16="http://schemas.microsoft.com/office/drawing/2014/chart" uri="{C3380CC4-5D6E-409C-BE32-E72D297353CC}">
              <c16:uniqueId val="{00000001-4551-488B-B86B-C1CB117B2B78}"/>
            </c:ext>
          </c:extLst>
        </c:ser>
        <c:ser>
          <c:idx val="8"/>
          <c:order val="2"/>
          <c:tx>
            <c:strRef>
              <c:f>Outputs_with_historical_data!$B$623</c:f>
              <c:strCache>
                <c:ptCount val="1"/>
                <c:pt idx="0">
                  <c:v>Secondary leavers - historical</c:v>
                </c:pt>
              </c:strCache>
            </c:strRef>
          </c:tx>
          <c:spPr>
            <a:ln>
              <a:solidFill>
                <a:srgbClr val="FF0000"/>
              </a:solidFill>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Outputs_with_historical_data!$C$623:$T$623</c:f>
              <c:numCache>
                <c:formatCode>#,##0</c:formatCode>
                <c:ptCount val="18"/>
                <c:pt idx="1">
                  <c:v>21107.755327273022</c:v>
                </c:pt>
                <c:pt idx="2">
                  <c:v>22199.709776174088</c:v>
                </c:pt>
                <c:pt idx="3">
                  <c:v>23452.695173316952</c:v>
                </c:pt>
                <c:pt idx="4">
                  <c:v>24493.036523076324</c:v>
                </c:pt>
              </c:numCache>
            </c:numRef>
          </c:val>
          <c:smooth val="0"/>
          <c:extLst>
            <c:ext xmlns:c16="http://schemas.microsoft.com/office/drawing/2014/chart" uri="{C3380CC4-5D6E-409C-BE32-E72D297353CC}">
              <c16:uniqueId val="{00000002-4551-488B-B86B-C1CB117B2B78}"/>
            </c:ext>
          </c:extLst>
        </c:ser>
        <c:ser>
          <c:idx val="0"/>
          <c:order val="3"/>
          <c:tx>
            <c:strRef>
              <c:f>Outputs_with_historical_data!$B$624</c:f>
              <c:strCache>
                <c:ptCount val="1"/>
                <c:pt idx="0">
                  <c:v>Secondary leavers - projected</c:v>
                </c:pt>
              </c:strCache>
            </c:strRef>
          </c:tx>
          <c:spPr>
            <a:ln>
              <a:solidFill>
                <a:srgbClr val="FF0000"/>
              </a:solidFill>
              <a:prstDash val="sysDot"/>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Outputs_with_historical_data!$C$624:$T$624</c:f>
              <c:numCache>
                <c:formatCode>#,##0</c:formatCode>
                <c:ptCount val="18"/>
                <c:pt idx="6">
                  <c:v>23463.043780670028</c:v>
                </c:pt>
                <c:pt idx="7">
                  <c:v>23392.094069277864</c:v>
                </c:pt>
                <c:pt idx="8">
                  <c:v>23298.883316824395</c:v>
                </c:pt>
                <c:pt idx="9">
                  <c:v>23349.689242889093</c:v>
                </c:pt>
                <c:pt idx="10">
                  <c:v>23479.827727487391</c:v>
                </c:pt>
                <c:pt idx="11">
                  <c:v>23597.583464380175</c:v>
                </c:pt>
                <c:pt idx="12">
                  <c:v>23743.443089489938</c:v>
                </c:pt>
                <c:pt idx="13">
                  <c:v>23933.074390368813</c:v>
                </c:pt>
                <c:pt idx="14">
                  <c:v>24104.151049874028</c:v>
                </c:pt>
                <c:pt idx="15">
                  <c:v>24160.575647543701</c:v>
                </c:pt>
                <c:pt idx="16">
                  <c:v>24183.523418636014</c:v>
                </c:pt>
                <c:pt idx="17">
                  <c:v>24172.220009996541</c:v>
                </c:pt>
              </c:numCache>
            </c:numRef>
          </c:val>
          <c:smooth val="0"/>
          <c:extLst>
            <c:ext xmlns:c16="http://schemas.microsoft.com/office/drawing/2014/chart" uri="{C3380CC4-5D6E-409C-BE32-E72D297353CC}">
              <c16:uniqueId val="{00000003-4551-488B-B86B-C1CB117B2B78}"/>
            </c:ext>
          </c:extLst>
        </c:ser>
        <c:ser>
          <c:idx val="1"/>
          <c:order val="4"/>
          <c:tx>
            <c:strRef>
              <c:f>Outputs_with_historical_data!$B$625</c:f>
              <c:strCache>
                <c:ptCount val="1"/>
                <c:pt idx="0">
                  <c:v>Secondary net change - historical</c:v>
                </c:pt>
              </c:strCache>
            </c:strRef>
          </c:tx>
          <c:spPr>
            <a:ln>
              <a:solidFill>
                <a:srgbClr val="00B0F0"/>
              </a:solidFill>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Outputs_with_historical_data!$C$625:$T$625</c:f>
              <c:numCache>
                <c:formatCode>#,##0</c:formatCode>
                <c:ptCount val="18"/>
                <c:pt idx="1">
                  <c:v>157.8376727269715</c:v>
                </c:pt>
                <c:pt idx="2">
                  <c:v>-1624.7197761740899</c:v>
                </c:pt>
                <c:pt idx="3">
                  <c:v>-2347.859173316956</c:v>
                </c:pt>
                <c:pt idx="4">
                  <c:v>-3533.8135230763219</c:v>
                </c:pt>
              </c:numCache>
            </c:numRef>
          </c:val>
          <c:smooth val="0"/>
          <c:extLst>
            <c:ext xmlns:c16="http://schemas.microsoft.com/office/drawing/2014/chart" uri="{C3380CC4-5D6E-409C-BE32-E72D297353CC}">
              <c16:uniqueId val="{00000004-4551-488B-B86B-C1CB117B2B78}"/>
            </c:ext>
          </c:extLst>
        </c:ser>
        <c:ser>
          <c:idx val="2"/>
          <c:order val="5"/>
          <c:tx>
            <c:strRef>
              <c:f>Outputs_with_historical_data!$B$626</c:f>
              <c:strCache>
                <c:ptCount val="1"/>
                <c:pt idx="0">
                  <c:v>Secondary net change - projected</c:v>
                </c:pt>
              </c:strCache>
            </c:strRef>
          </c:tx>
          <c:spPr>
            <a:ln>
              <a:solidFill>
                <a:srgbClr val="00B0F0"/>
              </a:solidFill>
              <a:prstDash val="sysDot"/>
            </a:ln>
          </c:spPr>
          <c:marker>
            <c:symbol val="none"/>
          </c:marker>
          <c:cat>
            <c:strRef>
              <c:f>Outputs_with_historical_data!$C$614:$T$614</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Outputs_with_historical_data!$C$626:$T$626</c:f>
              <c:numCache>
                <c:formatCode>#,##0</c:formatCode>
                <c:ptCount val="18"/>
                <c:pt idx="6">
                  <c:v>1862.9377436208342</c:v>
                </c:pt>
                <c:pt idx="7">
                  <c:v>1472.2299196452259</c:v>
                </c:pt>
                <c:pt idx="8">
                  <c:v>3149.9881912545461</c:v>
                </c:pt>
                <c:pt idx="9">
                  <c:v>2447.4172970356158</c:v>
                </c:pt>
                <c:pt idx="10">
                  <c:v>1970.2137420204272</c:v>
                </c:pt>
                <c:pt idx="11">
                  <c:v>1929.4272774778437</c:v>
                </c:pt>
                <c:pt idx="12">
                  <c:v>2102.4535620058268</c:v>
                </c:pt>
                <c:pt idx="13">
                  <c:v>1798.0655245363159</c:v>
                </c:pt>
                <c:pt idx="14">
                  <c:v>655.38755954455701</c:v>
                </c:pt>
                <c:pt idx="15">
                  <c:v>255.59198031786946</c:v>
                </c:pt>
                <c:pt idx="16">
                  <c:v>-113.54030563564447</c:v>
                </c:pt>
                <c:pt idx="17">
                  <c:v>-322.76647617699564</c:v>
                </c:pt>
              </c:numCache>
            </c:numRef>
          </c:val>
          <c:smooth val="0"/>
          <c:extLst>
            <c:ext xmlns:c16="http://schemas.microsoft.com/office/drawing/2014/chart" uri="{C3380CC4-5D6E-409C-BE32-E72D297353CC}">
              <c16:uniqueId val="{00000005-4551-488B-B86B-C1CB117B2B78}"/>
            </c:ext>
          </c:extLst>
        </c:ser>
        <c:dLbls>
          <c:showLegendKey val="0"/>
          <c:showVal val="0"/>
          <c:showCatName val="0"/>
          <c:showSerName val="0"/>
          <c:showPercent val="0"/>
          <c:showBubbleSize val="0"/>
        </c:dLbls>
        <c:smooth val="0"/>
        <c:axId val="172302336"/>
        <c:axId val="172303872"/>
      </c:lineChart>
      <c:catAx>
        <c:axId val="172302336"/>
        <c:scaling>
          <c:orientation val="minMax"/>
        </c:scaling>
        <c:delete val="0"/>
        <c:axPos val="b"/>
        <c:numFmt formatCode="General" sourceLinked="1"/>
        <c:majorTickMark val="out"/>
        <c:minorTickMark val="none"/>
        <c:tickLblPos val="low"/>
        <c:txPr>
          <a:bodyPr rot="-2700000" vert="horz"/>
          <a:lstStyle/>
          <a:p>
            <a:pPr>
              <a:defRPr sz="800" b="0" i="0" u="none" strike="noStrike" baseline="0">
                <a:solidFill>
                  <a:srgbClr val="000000"/>
                </a:solidFill>
                <a:latin typeface="Calibri"/>
                <a:ea typeface="Calibri"/>
                <a:cs typeface="Calibri"/>
              </a:defRPr>
            </a:pPr>
            <a:endParaRPr lang="en-US"/>
          </a:p>
        </c:txPr>
        <c:crossAx val="172303872"/>
        <c:crosses val="autoZero"/>
        <c:auto val="1"/>
        <c:lblAlgn val="ctr"/>
        <c:lblOffset val="100"/>
        <c:noMultiLvlLbl val="0"/>
      </c:catAx>
      <c:valAx>
        <c:axId val="17230387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teachers (headcount)</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02336"/>
        <c:crosses val="autoZero"/>
        <c:crossBetween val="between"/>
      </c:valAx>
      <c:spPr>
        <a:ln>
          <a:solidFill>
            <a:schemeClr val="tx1">
              <a:lumMod val="95000"/>
              <a:lumOff val="5000"/>
            </a:schemeClr>
          </a:solidFill>
        </a:ln>
      </c:spPr>
    </c:plotArea>
    <c:legend>
      <c:legendPos val="r"/>
      <c:layout>
        <c:manualLayout>
          <c:xMode val="edge"/>
          <c:yMode val="edge"/>
          <c:x val="0.75471698113207553"/>
          <c:y val="0.1141978548977674"/>
          <c:w val="0.22898808317913955"/>
          <c:h val="0.77160623440588449"/>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Primary entrants by entrant route</a:t>
            </a:r>
          </a:p>
        </c:rich>
      </c:tx>
      <c:overlay val="0"/>
    </c:title>
    <c:autoTitleDeleted val="0"/>
    <c:plotArea>
      <c:layout>
        <c:manualLayout>
          <c:layoutTarget val="inner"/>
          <c:xMode val="edge"/>
          <c:yMode val="edge"/>
          <c:x val="0.13167333039183482"/>
          <c:y val="0.10792987869759524"/>
          <c:w val="0.60164361089028273"/>
          <c:h val="0.7227415844642282"/>
        </c:manualLayout>
      </c:layout>
      <c:lineChart>
        <c:grouping val="standard"/>
        <c:varyColors val="0"/>
        <c:ser>
          <c:idx val="0"/>
          <c:order val="0"/>
          <c:tx>
            <c:strRef>
              <c:f>Outputs_with_historical_data!$B$476</c:f>
              <c:strCache>
                <c:ptCount val="1"/>
                <c:pt idx="0">
                  <c:v>Primary NQT entrants - historical</c:v>
                </c:pt>
              </c:strCache>
            </c:strRef>
          </c:tx>
          <c:spPr>
            <a:ln>
              <a:solidFill>
                <a:schemeClr val="tx1">
                  <a:lumMod val="95000"/>
                  <a:lumOff val="5000"/>
                </a:schemeClr>
              </a:solidFill>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Outputs_with_historical_data!$C$476:$T$476</c:f>
              <c:numCache>
                <c:formatCode>#,##0</c:formatCode>
                <c:ptCount val="18"/>
                <c:pt idx="0">
                  <c:v>9238.1412282795718</c:v>
                </c:pt>
                <c:pt idx="1">
                  <c:v>11663.958000000001</c:v>
                </c:pt>
                <c:pt idx="2">
                  <c:v>12872.182000000001</c:v>
                </c:pt>
                <c:pt idx="3">
                  <c:v>13585.184999999999</c:v>
                </c:pt>
                <c:pt idx="4">
                  <c:v>14472.775</c:v>
                </c:pt>
              </c:numCache>
            </c:numRef>
          </c:val>
          <c:smooth val="0"/>
          <c:extLst>
            <c:ext xmlns:c16="http://schemas.microsoft.com/office/drawing/2014/chart" uri="{C3380CC4-5D6E-409C-BE32-E72D297353CC}">
              <c16:uniqueId val="{00000000-688A-494D-B4DD-5E04A0234CAE}"/>
            </c:ext>
          </c:extLst>
        </c:ser>
        <c:ser>
          <c:idx val="1"/>
          <c:order val="1"/>
          <c:tx>
            <c:strRef>
              <c:f>Outputs_with_historical_data!$B$477</c:f>
              <c:strCache>
                <c:ptCount val="1"/>
                <c:pt idx="0">
                  <c:v>Primary NQT entrants - projected</c:v>
                </c:pt>
              </c:strCache>
            </c:strRef>
          </c:tx>
          <c:spPr>
            <a:ln>
              <a:solidFill>
                <a:schemeClr val="tx1">
                  <a:lumMod val="95000"/>
                  <a:lumOff val="5000"/>
                </a:schemeClr>
              </a:solidFill>
              <a:prstDash val="sysDot"/>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Outputs_with_historical_data!$C$477:$T$477</c:f>
              <c:numCache>
                <c:formatCode>#,##0</c:formatCode>
                <c:ptCount val="18"/>
                <c:pt idx="8">
                  <c:v>12867.743665953705</c:v>
                </c:pt>
                <c:pt idx="9">
                  <c:v>12221.818294061828</c:v>
                </c:pt>
                <c:pt idx="10">
                  <c:v>12295.574653563142</c:v>
                </c:pt>
                <c:pt idx="11">
                  <c:v>12183.507041528463</c:v>
                </c:pt>
                <c:pt idx="12">
                  <c:v>12018.971803258957</c:v>
                </c:pt>
                <c:pt idx="13">
                  <c:v>11904.719138672705</c:v>
                </c:pt>
                <c:pt idx="14">
                  <c:v>12192.603333549689</c:v>
                </c:pt>
                <c:pt idx="15">
                  <c:v>12425.121184821051</c:v>
                </c:pt>
                <c:pt idx="16">
                  <c:v>12484.793346213828</c:v>
                </c:pt>
                <c:pt idx="17">
                  <c:v>12429.027215763994</c:v>
                </c:pt>
              </c:numCache>
            </c:numRef>
          </c:val>
          <c:smooth val="0"/>
          <c:extLst>
            <c:ext xmlns:c16="http://schemas.microsoft.com/office/drawing/2014/chart" uri="{C3380CC4-5D6E-409C-BE32-E72D297353CC}">
              <c16:uniqueId val="{00000001-688A-494D-B4DD-5E04A0234CAE}"/>
            </c:ext>
          </c:extLst>
        </c:ser>
        <c:ser>
          <c:idx val="2"/>
          <c:order val="2"/>
          <c:tx>
            <c:strRef>
              <c:f>Outputs_with_historical_data!$B$478</c:f>
              <c:strCache>
                <c:ptCount val="1"/>
                <c:pt idx="0">
                  <c:v>Primary entrants other routes- historical</c:v>
                </c:pt>
              </c:strCache>
            </c:strRef>
          </c:tx>
          <c:spPr>
            <a:ln>
              <a:solidFill>
                <a:srgbClr val="FF0000"/>
              </a:solidFill>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Outputs_with_historical_data!$C$478:$T$478</c:f>
              <c:numCache>
                <c:formatCode>#,##0</c:formatCode>
                <c:ptCount val="18"/>
                <c:pt idx="0">
                  <c:v>11291.515861266713</c:v>
                </c:pt>
                <c:pt idx="1">
                  <c:v>12325.082999999999</c:v>
                </c:pt>
                <c:pt idx="2">
                  <c:v>12475.913</c:v>
                </c:pt>
                <c:pt idx="3">
                  <c:v>13034.01</c:v>
                </c:pt>
                <c:pt idx="4">
                  <c:v>12569.219000000001</c:v>
                </c:pt>
              </c:numCache>
            </c:numRef>
          </c:val>
          <c:smooth val="0"/>
          <c:extLst>
            <c:ext xmlns:c16="http://schemas.microsoft.com/office/drawing/2014/chart" uri="{C3380CC4-5D6E-409C-BE32-E72D297353CC}">
              <c16:uniqueId val="{00000002-688A-494D-B4DD-5E04A0234CAE}"/>
            </c:ext>
          </c:extLst>
        </c:ser>
        <c:ser>
          <c:idx val="3"/>
          <c:order val="3"/>
          <c:tx>
            <c:strRef>
              <c:f>Outputs_with_historical_data!$B$479</c:f>
              <c:strCache>
                <c:ptCount val="1"/>
                <c:pt idx="0">
                  <c:v>Primary entrants other routes - projected</c:v>
                </c:pt>
              </c:strCache>
            </c:strRef>
          </c:tx>
          <c:spPr>
            <a:ln>
              <a:solidFill>
                <a:srgbClr val="FF0000"/>
              </a:solidFill>
              <a:prstDash val="sysDot"/>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Outputs_with_historical_data!$C$479:$T$479</c:f>
              <c:numCache>
                <c:formatCode>#,##0</c:formatCode>
                <c:ptCount val="18"/>
                <c:pt idx="8">
                  <c:v>12003.721775315535</c:v>
                </c:pt>
                <c:pt idx="9">
                  <c:v>11401.167928029781</c:v>
                </c:pt>
                <c:pt idx="10">
                  <c:v>11469.971817942233</c:v>
                </c:pt>
                <c:pt idx="11">
                  <c:v>11365.429135883094</c:v>
                </c:pt>
                <c:pt idx="12">
                  <c:v>11211.941836656884</c:v>
                </c:pt>
                <c:pt idx="13">
                  <c:v>11105.360820327618</c:v>
                </c:pt>
                <c:pt idx="14">
                  <c:v>11373.914645187939</c:v>
                </c:pt>
                <c:pt idx="15">
                  <c:v>11590.819773772406</c:v>
                </c:pt>
                <c:pt idx="16">
                  <c:v>11646.485167930499</c:v>
                </c:pt>
                <c:pt idx="17">
                  <c:v>11594.463529033781</c:v>
                </c:pt>
              </c:numCache>
            </c:numRef>
          </c:val>
          <c:smooth val="0"/>
          <c:extLst>
            <c:ext xmlns:c16="http://schemas.microsoft.com/office/drawing/2014/chart" uri="{C3380CC4-5D6E-409C-BE32-E72D297353CC}">
              <c16:uniqueId val="{00000003-688A-494D-B4DD-5E04A0234CAE}"/>
            </c:ext>
          </c:extLst>
        </c:ser>
        <c:dLbls>
          <c:showLegendKey val="0"/>
          <c:showVal val="0"/>
          <c:showCatName val="0"/>
          <c:showSerName val="0"/>
          <c:showPercent val="0"/>
          <c:showBubbleSize val="0"/>
        </c:dLbls>
        <c:smooth val="0"/>
        <c:axId val="172357504"/>
        <c:axId val="172359040"/>
      </c:lineChart>
      <c:catAx>
        <c:axId val="172357504"/>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359040"/>
        <c:crosses val="autoZero"/>
        <c:auto val="1"/>
        <c:lblAlgn val="ctr"/>
        <c:lblOffset val="100"/>
        <c:noMultiLvlLbl val="0"/>
      </c:catAx>
      <c:valAx>
        <c:axId val="172359040"/>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357504"/>
        <c:crosses val="autoZero"/>
        <c:crossBetween val="between"/>
      </c:valAx>
      <c:spPr>
        <a:ln>
          <a:solidFill>
            <a:schemeClr val="tx1">
              <a:lumMod val="95000"/>
              <a:lumOff val="5000"/>
            </a:schemeClr>
          </a:solidFill>
        </a:ln>
      </c:spPr>
    </c:plotArea>
    <c:legend>
      <c:legendPos val="r"/>
      <c:layout>
        <c:manualLayout>
          <c:xMode val="edge"/>
          <c:yMode val="edge"/>
          <c:x val="0.76014183412258651"/>
          <c:y val="8.771929824561403E-2"/>
          <c:w val="0.22134066575011457"/>
          <c:h val="0.7923988887353992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Secondary entrants by entrant route</a:t>
            </a:r>
          </a:p>
        </c:rich>
      </c:tx>
      <c:overlay val="0"/>
    </c:title>
    <c:autoTitleDeleted val="0"/>
    <c:plotArea>
      <c:layout>
        <c:manualLayout>
          <c:layoutTarget val="inner"/>
          <c:xMode val="edge"/>
          <c:yMode val="edge"/>
          <c:x val="0.12673627781222485"/>
          <c:y val="0.10792987869759524"/>
          <c:w val="0.6065806634698927"/>
          <c:h val="0.73031229448463408"/>
        </c:manualLayout>
      </c:layout>
      <c:lineChart>
        <c:grouping val="standard"/>
        <c:varyColors val="0"/>
        <c:ser>
          <c:idx val="0"/>
          <c:order val="0"/>
          <c:tx>
            <c:strRef>
              <c:f>Outputs_with_historical_data!$B$480</c:f>
              <c:strCache>
                <c:ptCount val="1"/>
                <c:pt idx="0">
                  <c:v>Secondary NQT entrants - historical</c:v>
                </c:pt>
              </c:strCache>
            </c:strRef>
          </c:tx>
          <c:spPr>
            <a:ln>
              <a:solidFill>
                <a:schemeClr val="tx1">
                  <a:lumMod val="95000"/>
                  <a:lumOff val="5000"/>
                </a:schemeClr>
              </a:solidFill>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Outputs_with_historical_data!$C$480:$T$480</c:f>
              <c:numCache>
                <c:formatCode>#,##0_ ;\-#,##0\ </c:formatCode>
                <c:ptCount val="18"/>
                <c:pt idx="0">
                  <c:v>11078.722844185231</c:v>
                </c:pt>
                <c:pt idx="1">
                  <c:v>11086.531000000001</c:v>
                </c:pt>
                <c:pt idx="2">
                  <c:v>10439.566999999999</c:v>
                </c:pt>
                <c:pt idx="3">
                  <c:v>10363.199000000001</c:v>
                </c:pt>
                <c:pt idx="4">
                  <c:v>10549.123</c:v>
                </c:pt>
              </c:numCache>
            </c:numRef>
          </c:val>
          <c:smooth val="0"/>
          <c:extLst>
            <c:ext xmlns:c16="http://schemas.microsoft.com/office/drawing/2014/chart" uri="{C3380CC4-5D6E-409C-BE32-E72D297353CC}">
              <c16:uniqueId val="{00000000-6DA0-48BC-A237-494EC026A472}"/>
            </c:ext>
          </c:extLst>
        </c:ser>
        <c:ser>
          <c:idx val="1"/>
          <c:order val="1"/>
          <c:tx>
            <c:strRef>
              <c:f>Outputs_with_historical_data!$B$481</c:f>
              <c:strCache>
                <c:ptCount val="1"/>
                <c:pt idx="0">
                  <c:v>Secondary NQT entrants - projected</c:v>
                </c:pt>
              </c:strCache>
            </c:strRef>
          </c:tx>
          <c:spPr>
            <a:ln>
              <a:solidFill>
                <a:schemeClr val="tx1">
                  <a:lumMod val="95000"/>
                  <a:lumOff val="5000"/>
                </a:schemeClr>
              </a:solidFill>
              <a:prstDash val="sysDot"/>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Outputs_with_historical_data!$C$481:$T$481</c:f>
              <c:numCache>
                <c:formatCode>#,##0_ ;\-#,##0\ </c:formatCode>
                <c:ptCount val="18"/>
                <c:pt idx="8">
                  <c:v>14217.624152131313</c:v>
                </c:pt>
                <c:pt idx="9">
                  <c:v>14017.521640549134</c:v>
                </c:pt>
                <c:pt idx="10">
                  <c:v>13235.551159366723</c:v>
                </c:pt>
                <c:pt idx="11">
                  <c:v>13063.078750099821</c:v>
                </c:pt>
                <c:pt idx="12">
                  <c:v>13224.609868217367</c:v>
                </c:pt>
                <c:pt idx="13">
                  <c:v>13177.605504592228</c:v>
                </c:pt>
                <c:pt idx="14">
                  <c:v>12582.979805417128</c:v>
                </c:pt>
                <c:pt idx="15">
                  <c:v>12353.349723356845</c:v>
                </c:pt>
                <c:pt idx="16">
                  <c:v>12140.579768564203</c:v>
                </c:pt>
                <c:pt idx="17">
                  <c:v>12046.213883516282</c:v>
                </c:pt>
              </c:numCache>
            </c:numRef>
          </c:val>
          <c:smooth val="0"/>
          <c:extLst>
            <c:ext xmlns:c16="http://schemas.microsoft.com/office/drawing/2014/chart" uri="{C3380CC4-5D6E-409C-BE32-E72D297353CC}">
              <c16:uniqueId val="{00000001-6DA0-48BC-A237-494EC026A472}"/>
            </c:ext>
          </c:extLst>
        </c:ser>
        <c:ser>
          <c:idx val="2"/>
          <c:order val="2"/>
          <c:tx>
            <c:strRef>
              <c:f>Outputs_with_historical_data!$B$482</c:f>
              <c:strCache>
                <c:ptCount val="1"/>
                <c:pt idx="0">
                  <c:v>Secondary entrants other routes- historical</c:v>
                </c:pt>
              </c:strCache>
            </c:strRef>
          </c:tx>
          <c:spPr>
            <a:ln>
              <a:solidFill>
                <a:srgbClr val="FF0000"/>
              </a:solidFill>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Outputs_with_historical_data!$C$482:$T$482</c:f>
              <c:numCache>
                <c:formatCode>#,##0</c:formatCode>
                <c:ptCount val="18"/>
                <c:pt idx="0">
                  <c:v>8821.6284225883319</c:v>
                </c:pt>
                <c:pt idx="1">
                  <c:v>10179.062</c:v>
                </c:pt>
                <c:pt idx="2">
                  <c:v>10135.422999999999</c:v>
                </c:pt>
                <c:pt idx="3">
                  <c:v>10741.637000000001</c:v>
                </c:pt>
                <c:pt idx="4">
                  <c:v>10410.101000000001</c:v>
                </c:pt>
              </c:numCache>
            </c:numRef>
          </c:val>
          <c:smooth val="0"/>
          <c:extLst>
            <c:ext xmlns:c16="http://schemas.microsoft.com/office/drawing/2014/chart" uri="{C3380CC4-5D6E-409C-BE32-E72D297353CC}">
              <c16:uniqueId val="{00000002-6DA0-48BC-A237-494EC026A472}"/>
            </c:ext>
          </c:extLst>
        </c:ser>
        <c:ser>
          <c:idx val="3"/>
          <c:order val="3"/>
          <c:tx>
            <c:strRef>
              <c:f>Outputs_with_historical_data!$B$483</c:f>
              <c:strCache>
                <c:ptCount val="1"/>
                <c:pt idx="0">
                  <c:v>Secondary entrants other routes - projected</c:v>
                </c:pt>
              </c:strCache>
            </c:strRef>
          </c:tx>
          <c:spPr>
            <a:ln>
              <a:solidFill>
                <a:srgbClr val="FF0000"/>
              </a:solidFill>
              <a:prstDash val="sysDot"/>
            </a:ln>
          </c:spPr>
          <c:marker>
            <c:symbol val="none"/>
          </c:marker>
          <c:cat>
            <c:strRef>
              <c:f>Outputs_with_historical_data!$C$471:$T$471</c:f>
              <c:strCache>
                <c:ptCount val="18"/>
                <c:pt idx="0">
                  <c:v>2010/11</c:v>
                </c:pt>
                <c:pt idx="1">
                  <c:v>2011/12</c:v>
                </c:pt>
                <c:pt idx="2">
                  <c:v>2012/13</c:v>
                </c:pt>
                <c:pt idx="3">
                  <c:v>2013/14</c:v>
                </c:pt>
                <c:pt idx="4">
                  <c:v>2014/15</c:v>
                </c:pt>
                <c:pt idx="5">
                  <c:v>2015/16</c:v>
                </c:pt>
                <c:pt idx="6">
                  <c:v>2016/17</c:v>
                </c:pt>
                <c:pt idx="7">
                  <c:v>2017/18</c:v>
                </c:pt>
                <c:pt idx="8">
                  <c:v>2018/19</c:v>
                </c:pt>
                <c:pt idx="9">
                  <c:v>2019/20</c:v>
                </c:pt>
                <c:pt idx="10">
                  <c:v>2020/21</c:v>
                </c:pt>
                <c:pt idx="11">
                  <c:v>2021/22</c:v>
                </c:pt>
                <c:pt idx="12">
                  <c:v>2022/23</c:v>
                </c:pt>
                <c:pt idx="13">
                  <c:v>2023/24</c:v>
                </c:pt>
                <c:pt idx="14">
                  <c:v>2024/25</c:v>
                </c:pt>
                <c:pt idx="15">
                  <c:v>2025/26</c:v>
                </c:pt>
                <c:pt idx="16">
                  <c:v>2026/27</c:v>
                </c:pt>
                <c:pt idx="17">
                  <c:v>2027/28</c:v>
                </c:pt>
              </c:strCache>
            </c:strRef>
          </c:cat>
          <c:val>
            <c:numRef>
              <c:f>Outputs_with_historical_data!$C$483:$T$483</c:f>
              <c:numCache>
                <c:formatCode>#,##0</c:formatCode>
                <c:ptCount val="18"/>
                <c:pt idx="8">
                  <c:v>11837.391547653797</c:v>
                </c:pt>
                <c:pt idx="9">
                  <c:v>11395.434662764525</c:v>
                </c:pt>
                <c:pt idx="10">
                  <c:v>11835.508293799776</c:v>
                </c:pt>
                <c:pt idx="11">
                  <c:v>12083.803809503283</c:v>
                </c:pt>
                <c:pt idx="12">
                  <c:v>12236.410002670036</c:v>
                </c:pt>
                <c:pt idx="13">
                  <c:v>12170.366496838369</c:v>
                </c:pt>
                <c:pt idx="14">
                  <c:v>11807.859213585431</c:v>
                </c:pt>
                <c:pt idx="15">
                  <c:v>11699.231524890316</c:v>
                </c:pt>
                <c:pt idx="16">
                  <c:v>11570.972072550192</c:v>
                </c:pt>
                <c:pt idx="17">
                  <c:v>11448.092331595954</c:v>
                </c:pt>
              </c:numCache>
            </c:numRef>
          </c:val>
          <c:smooth val="0"/>
          <c:extLst>
            <c:ext xmlns:c16="http://schemas.microsoft.com/office/drawing/2014/chart" uri="{C3380CC4-5D6E-409C-BE32-E72D297353CC}">
              <c16:uniqueId val="{00000003-6DA0-48BC-A237-494EC026A472}"/>
            </c:ext>
          </c:extLst>
        </c:ser>
        <c:dLbls>
          <c:showLegendKey val="0"/>
          <c:showVal val="0"/>
          <c:showCatName val="0"/>
          <c:showSerName val="0"/>
          <c:showPercent val="0"/>
          <c:showBubbleSize val="0"/>
        </c:dLbls>
        <c:smooth val="0"/>
        <c:axId val="172412288"/>
        <c:axId val="172418176"/>
      </c:lineChart>
      <c:catAx>
        <c:axId val="172412288"/>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n-US"/>
          </a:p>
        </c:txPr>
        <c:crossAx val="172418176"/>
        <c:crosses val="autoZero"/>
        <c:auto val="1"/>
        <c:lblAlgn val="ctr"/>
        <c:lblOffset val="100"/>
        <c:noMultiLvlLbl val="0"/>
      </c:catAx>
      <c:valAx>
        <c:axId val="1724181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entrants</a:t>
                </a:r>
              </a:p>
            </c:rich>
          </c:tx>
          <c:overlay val="0"/>
        </c:title>
        <c:numFmt formatCode="#,##0_ ;\-#,##0\ "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12288"/>
        <c:crosses val="autoZero"/>
        <c:crossBetween val="between"/>
      </c:valAx>
      <c:spPr>
        <a:ln>
          <a:solidFill>
            <a:schemeClr val="tx1">
              <a:lumMod val="95000"/>
              <a:lumOff val="5000"/>
            </a:schemeClr>
          </a:solidFill>
        </a:ln>
      </c:spPr>
    </c:plotArea>
    <c:legend>
      <c:legendPos val="r"/>
      <c:layout>
        <c:manualLayout>
          <c:xMode val="edge"/>
          <c:yMode val="edge"/>
          <c:x val="0.76085163412197787"/>
          <c:y val="8.1871345029239762E-2"/>
          <c:w val="0.22232108201380618"/>
          <c:h val="0.79239888873539921"/>
        </c:manualLayout>
      </c:layout>
      <c:overlay val="0"/>
      <c:txPr>
        <a:bodyPr/>
        <a:lstStyle/>
        <a:p>
          <a:pPr>
            <a:defRPr sz="62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Pupil numbers by Phase in the 2016/17 and 2017/18 TSMs</a:t>
            </a:r>
          </a:p>
        </c:rich>
      </c:tx>
      <c:layout>
        <c:manualLayout>
          <c:xMode val="edge"/>
          <c:yMode val="edge"/>
          <c:x val="0.11763496672405377"/>
          <c:y val="1.5726839700592982E-2"/>
        </c:manualLayout>
      </c:layout>
      <c:overlay val="0"/>
    </c:title>
    <c:autoTitleDeleted val="0"/>
    <c:plotArea>
      <c:layout>
        <c:manualLayout>
          <c:layoutTarget val="inner"/>
          <c:xMode val="edge"/>
          <c:yMode val="edge"/>
          <c:x val="0.11631919796433213"/>
          <c:y val="0.10907210776399626"/>
          <c:w val="0.68848965478360546"/>
          <c:h val="0.79313023103871672"/>
        </c:manualLayout>
      </c:layout>
      <c:lineChart>
        <c:grouping val="standard"/>
        <c:varyColors val="0"/>
        <c:ser>
          <c:idx val="0"/>
          <c:order val="0"/>
          <c:tx>
            <c:strRef>
              <c:f>Comparison_of_pupil_projns!$B$37</c:f>
              <c:strCache>
                <c:ptCount val="1"/>
                <c:pt idx="0">
                  <c:v>Primary total 2017/18 TSM</c:v>
                </c:pt>
              </c:strCache>
            </c:strRef>
          </c:tx>
          <c:spPr>
            <a:ln>
              <a:solidFill>
                <a:srgbClr val="FF0000"/>
              </a:solidFill>
            </a:ln>
          </c:spPr>
          <c:marker>
            <c:symbol val="none"/>
          </c:marker>
          <c:cat>
            <c:strRef>
              <c:f>Comparison_of_pupil_projns!$C$36:$Z$36</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Comparison_of_pupil_projns!$C$37:$Z$37</c:f>
              <c:numCache>
                <c:formatCode>_-* #,##0_-;\-* #,##0_-;_-* "-"??_-;_-@_-</c:formatCode>
                <c:ptCount val="24"/>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4574041.5</c:v>
                </c:pt>
                <c:pt idx="12">
                  <c:v>4669403.6051013358</c:v>
                </c:pt>
                <c:pt idx="13">
                  <c:v>4728615.0056829667</c:v>
                </c:pt>
                <c:pt idx="14">
                  <c:v>4754148.1072515734</c:v>
                </c:pt>
                <c:pt idx="15">
                  <c:v>4754929.3367273957</c:v>
                </c:pt>
                <c:pt idx="16">
                  <c:v>4765188.6443500407</c:v>
                </c:pt>
                <c:pt idx="17">
                  <c:v>4768353.1674103234</c:v>
                </c:pt>
                <c:pt idx="18">
                  <c:v>4760117.7392643597</c:v>
                </c:pt>
                <c:pt idx="19">
                  <c:v>4744856.0009206505</c:v>
                </c:pt>
                <c:pt idx="20">
                  <c:v>4754081.3268117374</c:v>
                </c:pt>
                <c:pt idx="21">
                  <c:v>4780859.047119638</c:v>
                </c:pt>
                <c:pt idx="22">
                  <c:v>4809841.7847702289</c:v>
                </c:pt>
                <c:pt idx="23">
                  <c:v>4831636.05383253</c:v>
                </c:pt>
              </c:numCache>
            </c:numRef>
          </c:val>
          <c:smooth val="0"/>
          <c:extLst>
            <c:ext xmlns:c16="http://schemas.microsoft.com/office/drawing/2014/chart" uri="{C3380CC4-5D6E-409C-BE32-E72D297353CC}">
              <c16:uniqueId val="{00000000-BB64-403E-81F6-350AFC2B0E4E}"/>
            </c:ext>
          </c:extLst>
        </c:ser>
        <c:ser>
          <c:idx val="1"/>
          <c:order val="1"/>
          <c:tx>
            <c:strRef>
              <c:f>Comparison_of_pupil_projns!$B$38</c:f>
              <c:strCache>
                <c:ptCount val="1"/>
                <c:pt idx="0">
                  <c:v>Primary total 2016/17 TSM</c:v>
                </c:pt>
              </c:strCache>
            </c:strRef>
          </c:tx>
          <c:spPr>
            <a:ln>
              <a:solidFill>
                <a:srgbClr val="FF0000"/>
              </a:solidFill>
              <a:prstDash val="sysDot"/>
            </a:ln>
          </c:spPr>
          <c:marker>
            <c:symbol val="none"/>
          </c:marker>
          <c:cat>
            <c:strRef>
              <c:f>Comparison_of_pupil_projns!$C$36:$Z$36</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Comparison_of_pupil_projns!$C$38:$Z$38</c:f>
              <c:numCache>
                <c:formatCode>_-* #,##0_-;\-* #,##0_-;_-* "-"??_-;_-@_-</c:formatCode>
                <c:ptCount val="24"/>
                <c:pt idx="0">
                  <c:v>4133670.5</c:v>
                </c:pt>
                <c:pt idx="1">
                  <c:v>4085271.436729731</c:v>
                </c:pt>
                <c:pt idx="2">
                  <c:v>4047195.5</c:v>
                </c:pt>
                <c:pt idx="3">
                  <c:v>4028055.5</c:v>
                </c:pt>
                <c:pt idx="4">
                  <c:v>4016161.5</c:v>
                </c:pt>
                <c:pt idx="5">
                  <c:v>4036364.5</c:v>
                </c:pt>
                <c:pt idx="6">
                  <c:v>4074368</c:v>
                </c:pt>
                <c:pt idx="7">
                  <c:v>4150277.5</c:v>
                </c:pt>
                <c:pt idx="8">
                  <c:v>4247394.5</c:v>
                </c:pt>
                <c:pt idx="9">
                  <c:v>4359000</c:v>
                </c:pt>
                <c:pt idx="10">
                  <c:v>4463434</c:v>
                </c:pt>
                <c:pt idx="11">
                  <c:v>4570340.578957404</c:v>
                </c:pt>
                <c:pt idx="12">
                  <c:v>4649765.8083290039</c:v>
                </c:pt>
                <c:pt idx="13">
                  <c:v>4705889.4138890179</c:v>
                </c:pt>
                <c:pt idx="14">
                  <c:v>4757529.5423344802</c:v>
                </c:pt>
                <c:pt idx="15">
                  <c:v>4773997.1801783619</c:v>
                </c:pt>
                <c:pt idx="16">
                  <c:v>4797623.7688326025</c:v>
                </c:pt>
                <c:pt idx="17">
                  <c:v>4817168.9981302889</c:v>
                </c:pt>
                <c:pt idx="18">
                  <c:v>4823777.9385658344</c:v>
                </c:pt>
                <c:pt idx="19">
                  <c:v>4821307.1348442696</c:v>
                </c:pt>
                <c:pt idx="20">
                  <c:v>4834558.6127212327</c:v>
                </c:pt>
                <c:pt idx="21">
                  <c:v>4837519.8380235024</c:v>
                </c:pt>
                <c:pt idx="22">
                  <c:v>4836690.2106246557</c:v>
                </c:pt>
              </c:numCache>
            </c:numRef>
          </c:val>
          <c:smooth val="0"/>
          <c:extLst>
            <c:ext xmlns:c16="http://schemas.microsoft.com/office/drawing/2014/chart" uri="{C3380CC4-5D6E-409C-BE32-E72D297353CC}">
              <c16:uniqueId val="{00000001-BB64-403E-81F6-350AFC2B0E4E}"/>
            </c:ext>
          </c:extLst>
        </c:ser>
        <c:ser>
          <c:idx val="2"/>
          <c:order val="2"/>
          <c:tx>
            <c:strRef>
              <c:f>Comparison_of_pupil_projns!$B$39</c:f>
              <c:strCache>
                <c:ptCount val="1"/>
                <c:pt idx="0">
                  <c:v>Secondary total 2017/18 TSM</c:v>
                </c:pt>
              </c:strCache>
            </c:strRef>
          </c:tx>
          <c:spPr>
            <a:ln>
              <a:solidFill>
                <a:srgbClr val="00B0F0"/>
              </a:solidFill>
            </a:ln>
          </c:spPr>
          <c:marker>
            <c:symbol val="none"/>
          </c:marker>
          <c:cat>
            <c:strRef>
              <c:f>Comparison_of_pupil_projns!$C$36:$Z$36</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Comparison_of_pupil_projns!$C$39:$Z$39</c:f>
              <c:numCache>
                <c:formatCode>_-* #,##0_-;\-* #,##0_-;_-* "-"??_-;_-@_-</c:formatCode>
                <c:ptCount val="24"/>
                <c:pt idx="0">
                  <c:v>3308483</c:v>
                </c:pt>
                <c:pt idx="1">
                  <c:v>3305157.563270269</c:v>
                </c:pt>
                <c:pt idx="2">
                  <c:v>3282404</c:v>
                </c:pt>
                <c:pt idx="3">
                  <c:v>3248902.5</c:v>
                </c:pt>
                <c:pt idx="4">
                  <c:v>3231650</c:v>
                </c:pt>
                <c:pt idx="5">
                  <c:v>3227785.5</c:v>
                </c:pt>
                <c:pt idx="6">
                  <c:v>3212254</c:v>
                </c:pt>
                <c:pt idx="7">
                  <c:v>3185686.5</c:v>
                </c:pt>
                <c:pt idx="8">
                  <c:v>3158780</c:v>
                </c:pt>
                <c:pt idx="9">
                  <c:v>3125924</c:v>
                </c:pt>
                <c:pt idx="10">
                  <c:v>3119799</c:v>
                </c:pt>
                <c:pt idx="11">
                  <c:v>3121988</c:v>
                </c:pt>
                <c:pt idx="12">
                  <c:v>3153434.5188964177</c:v>
                </c:pt>
                <c:pt idx="13">
                  <c:v>3206473.5103805256</c:v>
                </c:pt>
                <c:pt idx="14">
                  <c:v>3284777.7855463745</c:v>
                </c:pt>
                <c:pt idx="15">
                  <c:v>3371521.969667735</c:v>
                </c:pt>
                <c:pt idx="16">
                  <c:v>3441735.9770776005</c:v>
                </c:pt>
                <c:pt idx="17">
                  <c:v>3517503.4884628272</c:v>
                </c:pt>
                <c:pt idx="18">
                  <c:v>3601496.689145844</c:v>
                </c:pt>
                <c:pt idx="19">
                  <c:v>3674251.4793677852</c:v>
                </c:pt>
                <c:pt idx="20">
                  <c:v>3701291.536776138</c:v>
                </c:pt>
                <c:pt idx="21">
                  <c:v>3712096.756026078</c:v>
                </c:pt>
                <c:pt idx="22">
                  <c:v>3707922.516725075</c:v>
                </c:pt>
                <c:pt idx="23">
                  <c:v>3695259.6565467082</c:v>
                </c:pt>
              </c:numCache>
            </c:numRef>
          </c:val>
          <c:smooth val="0"/>
          <c:extLst>
            <c:ext xmlns:c16="http://schemas.microsoft.com/office/drawing/2014/chart" uri="{C3380CC4-5D6E-409C-BE32-E72D297353CC}">
              <c16:uniqueId val="{00000002-BB64-403E-81F6-350AFC2B0E4E}"/>
            </c:ext>
          </c:extLst>
        </c:ser>
        <c:ser>
          <c:idx val="3"/>
          <c:order val="3"/>
          <c:tx>
            <c:strRef>
              <c:f>Comparison_of_pupil_projns!$B$40</c:f>
              <c:strCache>
                <c:ptCount val="1"/>
                <c:pt idx="0">
                  <c:v>Secondary total 2016/17 TSM</c:v>
                </c:pt>
              </c:strCache>
            </c:strRef>
          </c:tx>
          <c:spPr>
            <a:ln>
              <a:solidFill>
                <a:srgbClr val="00B0F0"/>
              </a:solidFill>
              <a:prstDash val="sysDot"/>
            </a:ln>
          </c:spPr>
          <c:marker>
            <c:symbol val="none"/>
          </c:marker>
          <c:cat>
            <c:strRef>
              <c:f>Comparison_of_pupil_projns!$C$36:$Z$36</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Comparison_of_pupil_projns!$C$40:$Z$40</c:f>
              <c:numCache>
                <c:formatCode>_-* #,##0_-;\-* #,##0_-;_-* "-"??_-;_-@_-</c:formatCode>
                <c:ptCount val="24"/>
                <c:pt idx="0">
                  <c:v>3308483</c:v>
                </c:pt>
                <c:pt idx="1">
                  <c:v>3305157.5632702685</c:v>
                </c:pt>
                <c:pt idx="2">
                  <c:v>3282404</c:v>
                </c:pt>
                <c:pt idx="3">
                  <c:v>3248902.5</c:v>
                </c:pt>
                <c:pt idx="4">
                  <c:v>3231650</c:v>
                </c:pt>
                <c:pt idx="5">
                  <c:v>3227785.5</c:v>
                </c:pt>
                <c:pt idx="6">
                  <c:v>3212254</c:v>
                </c:pt>
                <c:pt idx="7">
                  <c:v>3185686.5</c:v>
                </c:pt>
                <c:pt idx="8">
                  <c:v>3158780</c:v>
                </c:pt>
                <c:pt idx="9">
                  <c:v>3124671</c:v>
                </c:pt>
                <c:pt idx="10">
                  <c:v>3124452.0464176591</c:v>
                </c:pt>
                <c:pt idx="11">
                  <c:v>3145449.2961368472</c:v>
                </c:pt>
                <c:pt idx="12">
                  <c:v>3191746.3828756288</c:v>
                </c:pt>
                <c:pt idx="13">
                  <c:v>3244817.4287742344</c:v>
                </c:pt>
                <c:pt idx="14">
                  <c:v>3321087.3158284714</c:v>
                </c:pt>
                <c:pt idx="15">
                  <c:v>3400776.3341256958</c:v>
                </c:pt>
                <c:pt idx="16">
                  <c:v>3463778.9570197756</c:v>
                </c:pt>
                <c:pt idx="17">
                  <c:v>3526293.8933777227</c:v>
                </c:pt>
                <c:pt idx="18">
                  <c:v>3594169.0556138484</c:v>
                </c:pt>
                <c:pt idx="19">
                  <c:v>3655194.3644724903</c:v>
                </c:pt>
                <c:pt idx="20">
                  <c:v>3675651.9081815225</c:v>
                </c:pt>
                <c:pt idx="21">
                  <c:v>3709484.7901777411</c:v>
                </c:pt>
                <c:pt idx="22">
                  <c:v>3736314.401774379</c:v>
                </c:pt>
              </c:numCache>
            </c:numRef>
          </c:val>
          <c:smooth val="0"/>
          <c:extLst>
            <c:ext xmlns:c16="http://schemas.microsoft.com/office/drawing/2014/chart" uri="{C3380CC4-5D6E-409C-BE32-E72D297353CC}">
              <c16:uniqueId val="{00000003-BB64-403E-81F6-350AFC2B0E4E}"/>
            </c:ext>
          </c:extLst>
        </c:ser>
        <c:dLbls>
          <c:showLegendKey val="0"/>
          <c:showVal val="0"/>
          <c:showCatName val="0"/>
          <c:showSerName val="0"/>
          <c:showPercent val="0"/>
          <c:showBubbleSize val="0"/>
        </c:dLbls>
        <c:smooth val="0"/>
        <c:axId val="169176448"/>
        <c:axId val="169182336"/>
      </c:lineChart>
      <c:catAx>
        <c:axId val="169176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69182336"/>
        <c:crosses val="autoZero"/>
        <c:auto val="1"/>
        <c:lblAlgn val="ctr"/>
        <c:lblOffset val="100"/>
        <c:noMultiLvlLbl val="0"/>
      </c:catAx>
      <c:valAx>
        <c:axId val="1691823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Pupil Population (FTE)</a:t>
                </a:r>
              </a:p>
            </c:rich>
          </c:tx>
          <c:layout>
            <c:manualLayout>
              <c:xMode val="edge"/>
              <c:yMode val="edge"/>
              <c:x val="4.6101761682920727E-3"/>
              <c:y val="0.37925925925925924"/>
            </c:manualLayout>
          </c:layout>
          <c:overlay val="0"/>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176448"/>
        <c:crosses val="autoZero"/>
        <c:crossBetween val="between"/>
      </c:valAx>
      <c:spPr>
        <a:ln>
          <a:solidFill>
            <a:sysClr val="windowText" lastClr="000000"/>
          </a:solidFill>
        </a:ln>
      </c:spPr>
    </c:plotArea>
    <c:legend>
      <c:legendPos val="r"/>
      <c:layout>
        <c:manualLayout>
          <c:xMode val="edge"/>
          <c:yMode val="edge"/>
          <c:x val="0.81976490466837315"/>
          <c:y val="9.4444444444444442E-2"/>
          <c:w val="0.16641069509264594"/>
          <c:h val="0.8231488286186448"/>
        </c:manualLayout>
      </c:layout>
      <c:overlay val="0"/>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LANGUAGES</a:t>
            </a:r>
          </a:p>
        </c:rich>
      </c:tx>
      <c:overlay val="0"/>
    </c:title>
    <c:autoTitleDeleted val="0"/>
    <c:plotArea>
      <c:layout>
        <c:manualLayout>
          <c:layoutTarget val="inner"/>
          <c:xMode val="edge"/>
          <c:yMode val="edge"/>
          <c:x val="0.11423840769903762"/>
          <c:y val="0.12283573928258967"/>
          <c:w val="0.56716512999977564"/>
          <c:h val="0.69329177602799663"/>
        </c:manualLayout>
      </c:layout>
      <c:lineChart>
        <c:grouping val="standard"/>
        <c:varyColors val="0"/>
        <c:ser>
          <c:idx val="25"/>
          <c:order val="0"/>
          <c:tx>
            <c:strRef>
              <c:f>Entrant_need_figures!$B$114</c:f>
              <c:strCache>
                <c:ptCount val="1"/>
                <c:pt idx="0">
                  <c:v>CLASSICS All Central Scenario</c:v>
                </c:pt>
              </c:strCache>
            </c:strRef>
          </c:tx>
          <c:spPr>
            <a:ln>
              <a:solidFill>
                <a:srgbClr val="00206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Entrant_need_figures!$C$114:$N$114</c:f>
              <c:numCache>
                <c:formatCode>#,##0</c:formatCode>
                <c:ptCount val="12"/>
                <c:pt idx="0">
                  <c:v>40.462977276203873</c:v>
                </c:pt>
                <c:pt idx="1">
                  <c:v>40.103914155770951</c:v>
                </c:pt>
                <c:pt idx="2">
                  <c:v>38.885487227047463</c:v>
                </c:pt>
                <c:pt idx="3">
                  <c:v>37.79443409415417</c:v>
                </c:pt>
                <c:pt idx="4">
                  <c:v>37.320608334297425</c:v>
                </c:pt>
                <c:pt idx="5">
                  <c:v>37.508610997447512</c:v>
                </c:pt>
                <c:pt idx="6">
                  <c:v>38.178825260527432</c:v>
                </c:pt>
                <c:pt idx="7">
                  <c:v>37.964857506925505</c:v>
                </c:pt>
                <c:pt idx="8">
                  <c:v>37.386645759601443</c:v>
                </c:pt>
                <c:pt idx="9">
                  <c:v>36.484506038977038</c:v>
                </c:pt>
                <c:pt idx="10">
                  <c:v>35.996949863146021</c:v>
                </c:pt>
                <c:pt idx="11">
                  <c:v>35.965383679281501</c:v>
                </c:pt>
              </c:numCache>
            </c:numRef>
          </c:val>
          <c:smooth val="0"/>
          <c:extLst>
            <c:ext xmlns:c16="http://schemas.microsoft.com/office/drawing/2014/chart" uri="{C3380CC4-5D6E-409C-BE32-E72D297353CC}">
              <c16:uniqueId val="{00000000-FC88-488B-8481-6BACB9B31148}"/>
            </c:ext>
          </c:extLst>
        </c:ser>
        <c:ser>
          <c:idx val="5"/>
          <c:order val="1"/>
          <c:tx>
            <c:strRef>
              <c:f>Entrant_need_figures!$B$93</c:f>
              <c:strCache>
                <c:ptCount val="1"/>
                <c:pt idx="0">
                  <c:v>CLASSICS Scenario Selected</c:v>
                </c:pt>
              </c:strCache>
            </c:strRef>
          </c:tx>
          <c:spPr>
            <a:ln>
              <a:solidFill>
                <a:srgbClr val="00206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Entrant_need_figures!$C$93:$N$93</c:f>
              <c:numCache>
                <c:formatCode>#,##0</c:formatCode>
                <c:ptCount val="12"/>
                <c:pt idx="0">
                  <c:v>40.462977276203873</c:v>
                </c:pt>
                <c:pt idx="1">
                  <c:v>40.103914155770951</c:v>
                </c:pt>
                <c:pt idx="2">
                  <c:v>38.885487227047463</c:v>
                </c:pt>
                <c:pt idx="3">
                  <c:v>37.79443409415417</c:v>
                </c:pt>
                <c:pt idx="4">
                  <c:v>37.320608334297425</c:v>
                </c:pt>
                <c:pt idx="5">
                  <c:v>37.508610997447512</c:v>
                </c:pt>
                <c:pt idx="6">
                  <c:v>38.178825260527432</c:v>
                </c:pt>
                <c:pt idx="7">
                  <c:v>37.964857506925505</c:v>
                </c:pt>
                <c:pt idx="8">
                  <c:v>37.386645759601443</c:v>
                </c:pt>
                <c:pt idx="9">
                  <c:v>36.484506038977038</c:v>
                </c:pt>
                <c:pt idx="10">
                  <c:v>35.996949863146021</c:v>
                </c:pt>
                <c:pt idx="11">
                  <c:v>35.965383679281501</c:v>
                </c:pt>
              </c:numCache>
            </c:numRef>
          </c:val>
          <c:smooth val="0"/>
          <c:extLst>
            <c:ext xmlns:c16="http://schemas.microsoft.com/office/drawing/2014/chart" uri="{C3380CC4-5D6E-409C-BE32-E72D297353CC}">
              <c16:uniqueId val="{00000001-FC88-488B-8481-6BACB9B31148}"/>
            </c:ext>
          </c:extLst>
        </c:ser>
        <c:ser>
          <c:idx val="33"/>
          <c:order val="2"/>
          <c:tx>
            <c:strRef>
              <c:f>Entrant_need_figures!$B$123</c:f>
              <c:strCache>
                <c:ptCount val="1"/>
                <c:pt idx="0">
                  <c:v>MODERN FOREIGN LANGUAGES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Entrant_need_figures!$C$123:$N$123</c:f>
              <c:numCache>
                <c:formatCode>#,##0</c:formatCode>
                <c:ptCount val="12"/>
                <c:pt idx="0">
                  <c:v>1598.4891505508069</c:v>
                </c:pt>
                <c:pt idx="1">
                  <c:v>1814.5522420788348</c:v>
                </c:pt>
                <c:pt idx="2">
                  <c:v>3169.8238040684982</c:v>
                </c:pt>
                <c:pt idx="3">
                  <c:v>3382.5455067966113</c:v>
                </c:pt>
                <c:pt idx="4">
                  <c:v>2577.6234451171326</c:v>
                </c:pt>
                <c:pt idx="5">
                  <c:v>2200.730093337505</c:v>
                </c:pt>
                <c:pt idx="6">
                  <c:v>2191.2039640264884</c:v>
                </c:pt>
                <c:pt idx="7">
                  <c:v>2194.4925909694066</c:v>
                </c:pt>
                <c:pt idx="8">
                  <c:v>2077.6440279294093</c:v>
                </c:pt>
                <c:pt idx="9">
                  <c:v>2017.5374365779689</c:v>
                </c:pt>
                <c:pt idx="10">
                  <c:v>1973.8877271487099</c:v>
                </c:pt>
                <c:pt idx="11">
                  <c:v>1984.3324489999882</c:v>
                </c:pt>
              </c:numCache>
            </c:numRef>
          </c:val>
          <c:smooth val="0"/>
          <c:extLst>
            <c:ext xmlns:c16="http://schemas.microsoft.com/office/drawing/2014/chart" uri="{C3380CC4-5D6E-409C-BE32-E72D297353CC}">
              <c16:uniqueId val="{00000002-FC88-488B-8481-6BACB9B31148}"/>
            </c:ext>
          </c:extLst>
        </c:ser>
        <c:ser>
          <c:idx val="13"/>
          <c:order val="3"/>
          <c:tx>
            <c:strRef>
              <c:f>Entrant_need_figures!$B$102</c:f>
              <c:strCache>
                <c:ptCount val="1"/>
                <c:pt idx="0">
                  <c:v>MODERN FOREIGN LANGUAGES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Entrant_need_figures!$C$102:$N$102</c:f>
              <c:numCache>
                <c:formatCode>#,##0</c:formatCode>
                <c:ptCount val="12"/>
                <c:pt idx="0">
                  <c:v>1598.4891505508069</c:v>
                </c:pt>
                <c:pt idx="1">
                  <c:v>1814.5522420788348</c:v>
                </c:pt>
                <c:pt idx="2">
                  <c:v>3169.8238040684982</c:v>
                </c:pt>
                <c:pt idx="3">
                  <c:v>3382.5455067966113</c:v>
                </c:pt>
                <c:pt idx="4">
                  <c:v>2577.6234451171326</c:v>
                </c:pt>
                <c:pt idx="5">
                  <c:v>2200.730093337505</c:v>
                </c:pt>
                <c:pt idx="6">
                  <c:v>2191.2039640264884</c:v>
                </c:pt>
                <c:pt idx="7">
                  <c:v>2194.4925909694066</c:v>
                </c:pt>
                <c:pt idx="8">
                  <c:v>2077.6440279294093</c:v>
                </c:pt>
                <c:pt idx="9">
                  <c:v>2017.5374365779689</c:v>
                </c:pt>
                <c:pt idx="10">
                  <c:v>1973.8877271487099</c:v>
                </c:pt>
                <c:pt idx="11">
                  <c:v>1984.3324489999882</c:v>
                </c:pt>
              </c:numCache>
            </c:numRef>
          </c:val>
          <c:smooth val="0"/>
          <c:extLst>
            <c:ext xmlns:c16="http://schemas.microsoft.com/office/drawing/2014/chart" uri="{C3380CC4-5D6E-409C-BE32-E72D297353CC}">
              <c16:uniqueId val="{00000003-FC88-488B-8481-6BACB9B31148}"/>
            </c:ext>
          </c:extLst>
        </c:ser>
        <c:dLbls>
          <c:showLegendKey val="0"/>
          <c:showVal val="0"/>
          <c:showCatName val="0"/>
          <c:showSerName val="0"/>
          <c:showPercent val="0"/>
          <c:showBubbleSize val="0"/>
        </c:dLbls>
        <c:smooth val="0"/>
        <c:axId val="148855424"/>
        <c:axId val="148861312"/>
      </c:lineChart>
      <c:catAx>
        <c:axId val="148855424"/>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861312"/>
        <c:crosses val="autoZero"/>
        <c:auto val="1"/>
        <c:lblAlgn val="ctr"/>
        <c:lblOffset val="100"/>
        <c:noMultiLvlLbl val="0"/>
      </c:catAx>
      <c:valAx>
        <c:axId val="148861312"/>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855424"/>
        <c:crosses val="autoZero"/>
        <c:crossBetween val="between"/>
      </c:valAx>
      <c:spPr>
        <a:ln>
          <a:solidFill>
            <a:schemeClr val="tx1">
              <a:lumMod val="95000"/>
              <a:lumOff val="5000"/>
            </a:schemeClr>
          </a:solidFill>
        </a:ln>
      </c:spPr>
    </c:plotArea>
    <c:legend>
      <c:legendPos val="r"/>
      <c:layout>
        <c:manualLayout>
          <c:xMode val="edge"/>
          <c:yMode val="edge"/>
          <c:x val="0.69605429205001701"/>
          <c:y val="2.768166089965398E-2"/>
          <c:w val="0.28211602044943196"/>
          <c:h val="0.87370260378352371"/>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Year-on-year change rate for pupil population compared to year before </a:t>
            </a:r>
          </a:p>
        </c:rich>
      </c:tx>
      <c:layout>
        <c:manualLayout>
          <c:xMode val="edge"/>
          <c:yMode val="edge"/>
          <c:x val="0.15117165354330708"/>
          <c:y val="2.9440171486684813E-3"/>
        </c:manualLayout>
      </c:layout>
      <c:overlay val="0"/>
    </c:title>
    <c:autoTitleDeleted val="0"/>
    <c:plotArea>
      <c:layout>
        <c:manualLayout>
          <c:layoutTarget val="inner"/>
          <c:xMode val="edge"/>
          <c:yMode val="edge"/>
          <c:x val="7.9354330708661422E-2"/>
          <c:y val="7.1691004961902199E-2"/>
          <c:w val="0.71772814298316767"/>
          <c:h val="0.89523600842533824"/>
        </c:manualLayout>
      </c:layout>
      <c:lineChart>
        <c:grouping val="standard"/>
        <c:varyColors val="0"/>
        <c:ser>
          <c:idx val="2"/>
          <c:order val="0"/>
          <c:tx>
            <c:strRef>
              <c:f>Comparison_of_pupil_projns!$B$86</c:f>
              <c:strCache>
                <c:ptCount val="1"/>
                <c:pt idx="0">
                  <c:v>2017/18 TSM Primary change rates</c:v>
                </c:pt>
              </c:strCache>
            </c:strRef>
          </c:tx>
          <c:spPr>
            <a:ln>
              <a:solidFill>
                <a:schemeClr val="tx1">
                  <a:lumMod val="95000"/>
                  <a:lumOff val="5000"/>
                </a:schemeClr>
              </a:solidFill>
            </a:ln>
          </c:spPr>
          <c:marker>
            <c:symbol val="none"/>
          </c:marker>
          <c:cat>
            <c:strRef>
              <c:f>Comparison_of_pupil_projns!$C$81:$Y$81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Comparison_of_pupil_projns!$C$86:$Y$86</c:f>
              <c:numCache>
                <c:formatCode>0%</c:formatCode>
                <c:ptCount val="23"/>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2.478080778163181E-2</c:v>
                </c:pt>
                <c:pt idx="11">
                  <c:v>2.0848543919274844E-2</c:v>
                </c:pt>
                <c:pt idx="12">
                  <c:v>1.2680720192390794E-2</c:v>
                </c:pt>
                <c:pt idx="13">
                  <c:v>5.3996998144108512E-3</c:v>
                </c:pt>
                <c:pt idx="14">
                  <c:v>1.643258599013099E-4</c:v>
                </c:pt>
                <c:pt idx="15">
                  <c:v>2.1576151602088942E-3</c:v>
                </c:pt>
                <c:pt idx="16">
                  <c:v>6.6409187473297291E-4</c:v>
                </c:pt>
                <c:pt idx="17">
                  <c:v>-1.7271011304803021E-3</c:v>
                </c:pt>
                <c:pt idx="18">
                  <c:v>-3.2061682461803423E-3</c:v>
                </c:pt>
                <c:pt idx="19">
                  <c:v>1.9442794237163003E-3</c:v>
                </c:pt>
                <c:pt idx="20">
                  <c:v>5.6325751427266178E-3</c:v>
                </c:pt>
                <c:pt idx="21">
                  <c:v>6.062244748263894E-3</c:v>
                </c:pt>
                <c:pt idx="22">
                  <c:v>4.531182113164306E-3</c:v>
                </c:pt>
              </c:numCache>
            </c:numRef>
          </c:val>
          <c:smooth val="0"/>
          <c:extLst>
            <c:ext xmlns:c16="http://schemas.microsoft.com/office/drawing/2014/chart" uri="{C3380CC4-5D6E-409C-BE32-E72D297353CC}">
              <c16:uniqueId val="{00000000-AD40-423A-96EA-CFE62EACA192}"/>
            </c:ext>
          </c:extLst>
        </c:ser>
        <c:ser>
          <c:idx val="3"/>
          <c:order val="1"/>
          <c:tx>
            <c:strRef>
              <c:f>Comparison_of_pupil_projns!$B$87</c:f>
              <c:strCache>
                <c:ptCount val="1"/>
                <c:pt idx="0">
                  <c:v>2017/18 TSM Secondary change rates</c:v>
                </c:pt>
              </c:strCache>
            </c:strRef>
          </c:tx>
          <c:spPr>
            <a:ln>
              <a:solidFill>
                <a:srgbClr val="FF0000"/>
              </a:solidFill>
            </a:ln>
          </c:spPr>
          <c:marker>
            <c:symbol val="none"/>
          </c:marker>
          <c:cat>
            <c:strRef>
              <c:f>Comparison_of_pupil_projns!$C$81:$Y$81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Comparison_of_pupil_projns!$C$87:$Y$87</c:f>
              <c:numCache>
                <c:formatCode>0%</c:formatCode>
                <c:ptCount val="23"/>
                <c:pt idx="0">
                  <c:v>-1.0051243212466372E-3</c:v>
                </c:pt>
                <c:pt idx="1">
                  <c:v>-6.8842597772420808E-3</c:v>
                </c:pt>
                <c:pt idx="2">
                  <c:v>-1.0206391413122821E-2</c:v>
                </c:pt>
                <c:pt idx="3">
                  <c:v>-5.3102547706494734E-3</c:v>
                </c:pt>
                <c:pt idx="4">
                  <c:v>-1.195828756208129E-3</c:v>
                </c:pt>
                <c:pt idx="5">
                  <c:v>-4.8118129287091724E-3</c:v>
                </c:pt>
                <c:pt idx="6">
                  <c:v>-8.2706722444738177E-3</c:v>
                </c:pt>
                <c:pt idx="7">
                  <c:v>-8.4460602133951349E-3</c:v>
                </c:pt>
                <c:pt idx="8">
                  <c:v>-1.0401484117285788E-2</c:v>
                </c:pt>
                <c:pt idx="9">
                  <c:v>-1.9594206385056068E-3</c:v>
                </c:pt>
                <c:pt idx="10">
                  <c:v>7.0164776641059245E-4</c:v>
                </c:pt>
                <c:pt idx="11">
                  <c:v>1.0072594416255826E-2</c:v>
                </c:pt>
                <c:pt idx="12">
                  <c:v>1.6819436448190322E-2</c:v>
                </c:pt>
                <c:pt idx="13">
                  <c:v>2.44206836302715E-2</c:v>
                </c:pt>
                <c:pt idx="14">
                  <c:v>2.6407930698706887E-2</c:v>
                </c:pt>
                <c:pt idx="15">
                  <c:v>2.0825611709356626E-2</c:v>
                </c:pt>
                <c:pt idx="16">
                  <c:v>2.2014329945657624E-2</c:v>
                </c:pt>
                <c:pt idx="17">
                  <c:v>2.3878640336394492E-2</c:v>
                </c:pt>
                <c:pt idx="18">
                  <c:v>2.0201265335383724E-2</c:v>
                </c:pt>
                <c:pt idx="19">
                  <c:v>7.3593376937295353E-3</c:v>
                </c:pt>
                <c:pt idx="20">
                  <c:v>2.9193105008289799E-3</c:v>
                </c:pt>
                <c:pt idx="21">
                  <c:v>-1.1244963629320134E-3</c:v>
                </c:pt>
                <c:pt idx="22">
                  <c:v>-3.415082197982634E-3</c:v>
                </c:pt>
              </c:numCache>
            </c:numRef>
          </c:val>
          <c:smooth val="0"/>
          <c:extLst>
            <c:ext xmlns:c16="http://schemas.microsoft.com/office/drawing/2014/chart" uri="{C3380CC4-5D6E-409C-BE32-E72D297353CC}">
              <c16:uniqueId val="{00000001-AD40-423A-96EA-CFE62EACA192}"/>
            </c:ext>
          </c:extLst>
        </c:ser>
        <c:ser>
          <c:idx val="0"/>
          <c:order val="2"/>
          <c:tx>
            <c:strRef>
              <c:f>Comparison_of_pupil_projns!$B$92</c:f>
              <c:strCache>
                <c:ptCount val="1"/>
                <c:pt idx="0">
                  <c:v>2016/17 TSM Primary change rates</c:v>
                </c:pt>
              </c:strCache>
            </c:strRef>
          </c:tx>
          <c:spPr>
            <a:ln>
              <a:solidFill>
                <a:schemeClr val="tx1">
                  <a:lumMod val="95000"/>
                  <a:lumOff val="5000"/>
                </a:schemeClr>
              </a:solidFill>
              <a:prstDash val="sysDot"/>
            </a:ln>
          </c:spPr>
          <c:marker>
            <c:symbol val="none"/>
          </c:marker>
          <c:cat>
            <c:strRef>
              <c:f>Comparison_of_pupil_projns!$C$81:$Y$81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Comparison_of_pupil_projns!$C$92:$Y$92</c:f>
              <c:numCache>
                <c:formatCode>0%</c:formatCode>
                <c:ptCount val="23"/>
                <c:pt idx="0">
                  <c:v>-1.1708495698984465E-2</c:v>
                </c:pt>
                <c:pt idx="1">
                  <c:v>-9.3202954367729626E-3</c:v>
                </c:pt>
                <c:pt idx="2">
                  <c:v>-4.7292007514833419E-3</c:v>
                </c:pt>
                <c:pt idx="3">
                  <c:v>-2.9527895035209918E-3</c:v>
                </c:pt>
                <c:pt idx="4">
                  <c:v>5.0304251957995214E-3</c:v>
                </c:pt>
                <c:pt idx="5">
                  <c:v>9.4152795170010049E-3</c:v>
                </c:pt>
                <c:pt idx="6">
                  <c:v>1.8630987677107223E-2</c:v>
                </c:pt>
                <c:pt idx="7">
                  <c:v>2.3400122040032265E-2</c:v>
                </c:pt>
                <c:pt idx="8">
                  <c:v>2.6276226519575709E-2</c:v>
                </c:pt>
                <c:pt idx="9">
                  <c:v>2.395824730442762E-2</c:v>
                </c:pt>
                <c:pt idx="10">
                  <c:v>2.3951643276769415E-2</c:v>
                </c:pt>
                <c:pt idx="11">
                  <c:v>1.7378404956796132E-2</c:v>
                </c:pt>
                <c:pt idx="12">
                  <c:v>1.2070200494717664E-2</c:v>
                </c:pt>
                <c:pt idx="13">
                  <c:v>1.0973510829440878E-2</c:v>
                </c:pt>
                <c:pt idx="14">
                  <c:v>3.4613842536017551E-3</c:v>
                </c:pt>
                <c:pt idx="15">
                  <c:v>4.949016047252436E-3</c:v>
                </c:pt>
                <c:pt idx="16">
                  <c:v>4.0739395666372306E-3</c:v>
                </c:pt>
                <c:pt idx="17">
                  <c:v>1.3719552787354312E-3</c:v>
                </c:pt>
                <c:pt idx="18">
                  <c:v>-5.1221340472804196E-4</c:v>
                </c:pt>
                <c:pt idx="19">
                  <c:v>2.7485238974287256E-3</c:v>
                </c:pt>
                <c:pt idx="20">
                  <c:v>6.1251202839443801E-4</c:v>
                </c:pt>
                <c:pt idx="21">
                  <c:v>-1.7149850060059647E-4</c:v>
                </c:pt>
              </c:numCache>
            </c:numRef>
          </c:val>
          <c:smooth val="0"/>
          <c:extLst>
            <c:ext xmlns:c16="http://schemas.microsoft.com/office/drawing/2014/chart" uri="{C3380CC4-5D6E-409C-BE32-E72D297353CC}">
              <c16:uniqueId val="{00000002-AD40-423A-96EA-CFE62EACA192}"/>
            </c:ext>
          </c:extLst>
        </c:ser>
        <c:ser>
          <c:idx val="1"/>
          <c:order val="3"/>
          <c:tx>
            <c:strRef>
              <c:f>Comparison_of_pupil_projns!$B$93</c:f>
              <c:strCache>
                <c:ptCount val="1"/>
                <c:pt idx="0">
                  <c:v>2016/17 TSM Secondary change rates</c:v>
                </c:pt>
              </c:strCache>
            </c:strRef>
          </c:tx>
          <c:spPr>
            <a:ln>
              <a:solidFill>
                <a:srgbClr val="FF0000"/>
              </a:solidFill>
              <a:prstDash val="sysDot"/>
            </a:ln>
          </c:spPr>
          <c:marker>
            <c:symbol val="none"/>
          </c:marker>
          <c:cat>
            <c:strRef>
              <c:f>Comparison_of_pupil_projns!$C$81:$Y$81</c:f>
              <c:strCache>
                <c:ptCount val="23"/>
                <c:pt idx="0">
                  <c:v> 2005/06 </c:v>
                </c:pt>
                <c:pt idx="1">
                  <c:v> 2006/07 </c:v>
                </c:pt>
                <c:pt idx="2">
                  <c:v> 2007/08 </c:v>
                </c:pt>
                <c:pt idx="3">
                  <c:v> 2008/09 </c:v>
                </c:pt>
                <c:pt idx="4">
                  <c:v> 2009/10 </c:v>
                </c:pt>
                <c:pt idx="5">
                  <c:v> 2010/11 </c:v>
                </c:pt>
                <c:pt idx="6">
                  <c:v> 2011/12 </c:v>
                </c:pt>
                <c:pt idx="7">
                  <c:v> 2012/13 </c:v>
                </c:pt>
                <c:pt idx="8">
                  <c:v> 2013/14 </c:v>
                </c:pt>
                <c:pt idx="9">
                  <c:v> 2014/15 </c:v>
                </c:pt>
                <c:pt idx="10">
                  <c:v> 2015/16 </c:v>
                </c:pt>
                <c:pt idx="11">
                  <c:v> 2016/17 </c:v>
                </c:pt>
                <c:pt idx="12">
                  <c:v> 2017/18 </c:v>
                </c:pt>
                <c:pt idx="13">
                  <c:v> 2018/19 </c:v>
                </c:pt>
                <c:pt idx="14">
                  <c:v> 2019/20 </c:v>
                </c:pt>
                <c:pt idx="15">
                  <c:v> 2020/21 </c:v>
                </c:pt>
                <c:pt idx="16">
                  <c:v> 2021/22 </c:v>
                </c:pt>
                <c:pt idx="17">
                  <c:v> 2022/23 </c:v>
                </c:pt>
                <c:pt idx="18">
                  <c:v> 2023/24 </c:v>
                </c:pt>
                <c:pt idx="19">
                  <c:v> 2024/25 </c:v>
                </c:pt>
                <c:pt idx="20">
                  <c:v> 2025/26 </c:v>
                </c:pt>
                <c:pt idx="21">
                  <c:v> 2026/27 </c:v>
                </c:pt>
                <c:pt idx="22">
                  <c:v> 2027/28 </c:v>
                </c:pt>
              </c:strCache>
            </c:strRef>
          </c:cat>
          <c:val>
            <c:numRef>
              <c:f>Comparison_of_pupil_projns!$C$93:$Y$93</c:f>
              <c:numCache>
                <c:formatCode>0%</c:formatCode>
                <c:ptCount val="23"/>
                <c:pt idx="0">
                  <c:v>-1.0051243212467779E-3</c:v>
                </c:pt>
                <c:pt idx="1">
                  <c:v>-6.8842597772419412E-3</c:v>
                </c:pt>
                <c:pt idx="2">
                  <c:v>-1.0206391413122821E-2</c:v>
                </c:pt>
                <c:pt idx="3">
                  <c:v>-5.3102547706494734E-3</c:v>
                </c:pt>
                <c:pt idx="4">
                  <c:v>-1.195828756208129E-3</c:v>
                </c:pt>
                <c:pt idx="5">
                  <c:v>-4.8118129287091724E-3</c:v>
                </c:pt>
                <c:pt idx="6">
                  <c:v>-8.2706722444738177E-3</c:v>
                </c:pt>
                <c:pt idx="7">
                  <c:v>-8.4460602133951349E-3</c:v>
                </c:pt>
                <c:pt idx="8">
                  <c:v>-1.079815625019786E-2</c:v>
                </c:pt>
                <c:pt idx="9">
                  <c:v>-7.0072523584355413E-5</c:v>
                </c:pt>
                <c:pt idx="10">
                  <c:v>6.7202982818259224E-3</c:v>
                </c:pt>
                <c:pt idx="11">
                  <c:v>1.4718751561388169E-2</c:v>
                </c:pt>
                <c:pt idx="12">
                  <c:v>1.6627588640295045E-2</c:v>
                </c:pt>
                <c:pt idx="13">
                  <c:v>2.350513972770692E-2</c:v>
                </c:pt>
                <c:pt idx="14">
                  <c:v>2.3994857924217284E-2</c:v>
                </c:pt>
                <c:pt idx="15">
                  <c:v>1.8525953107197568E-2</c:v>
                </c:pt>
                <c:pt idx="16">
                  <c:v>1.8048188736539562E-2</c:v>
                </c:pt>
                <c:pt idx="17">
                  <c:v>1.9248299854868381E-2</c:v>
                </c:pt>
                <c:pt idx="18">
                  <c:v>1.6978975644822408E-2</c:v>
                </c:pt>
                <c:pt idx="19">
                  <c:v>5.5968415545488035E-3</c:v>
                </c:pt>
                <c:pt idx="20">
                  <c:v>9.2045935908432984E-3</c:v>
                </c:pt>
                <c:pt idx="21">
                  <c:v>7.2327056489567979E-3</c:v>
                </c:pt>
              </c:numCache>
            </c:numRef>
          </c:val>
          <c:smooth val="0"/>
          <c:extLst>
            <c:ext xmlns:c16="http://schemas.microsoft.com/office/drawing/2014/chart" uri="{C3380CC4-5D6E-409C-BE32-E72D297353CC}">
              <c16:uniqueId val="{00000003-AD40-423A-96EA-CFE62EACA192}"/>
            </c:ext>
          </c:extLst>
        </c:ser>
        <c:dLbls>
          <c:showLegendKey val="0"/>
          <c:showVal val="0"/>
          <c:showCatName val="0"/>
          <c:showSerName val="0"/>
          <c:showPercent val="0"/>
          <c:showBubbleSize val="0"/>
        </c:dLbls>
        <c:smooth val="0"/>
        <c:axId val="169231872"/>
        <c:axId val="169233408"/>
      </c:lineChart>
      <c:catAx>
        <c:axId val="16923187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69233408"/>
        <c:crosses val="autoZero"/>
        <c:auto val="1"/>
        <c:lblAlgn val="ctr"/>
        <c:lblOffset val="100"/>
        <c:noMultiLvlLbl val="0"/>
      </c:catAx>
      <c:valAx>
        <c:axId val="16923340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Year-on-year change rate</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69231872"/>
        <c:crosses val="autoZero"/>
        <c:crossBetween val="between"/>
        <c:majorUnit val="1.0000000000000002E-2"/>
      </c:valAx>
      <c:spPr>
        <a:ln>
          <a:solidFill>
            <a:schemeClr val="tx1">
              <a:lumMod val="95000"/>
              <a:lumOff val="5000"/>
            </a:schemeClr>
          </a:solidFill>
        </a:ln>
      </c:spPr>
    </c:plotArea>
    <c:legend>
      <c:legendPos val="r"/>
      <c:layout>
        <c:manualLayout>
          <c:xMode val="edge"/>
          <c:yMode val="edge"/>
          <c:x val="0.80687598425196849"/>
          <c:y val="0.22853889203524735"/>
          <c:w val="0.18000026246719159"/>
          <c:h val="0.5452448374347638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Secondary pupil numbers by Key Stage</a:t>
            </a:r>
          </a:p>
        </c:rich>
      </c:tx>
      <c:overlay val="0"/>
    </c:title>
    <c:autoTitleDeleted val="0"/>
    <c:plotArea>
      <c:layout>
        <c:manualLayout>
          <c:layoutTarget val="inner"/>
          <c:xMode val="edge"/>
          <c:yMode val="edge"/>
          <c:x val="0.13457058407557784"/>
          <c:y val="0.10986542454725348"/>
          <c:w val="0.66087901348355671"/>
          <c:h val="0.79050537137793397"/>
        </c:manualLayout>
      </c:layout>
      <c:lineChart>
        <c:grouping val="standard"/>
        <c:varyColors val="0"/>
        <c:ser>
          <c:idx val="0"/>
          <c:order val="0"/>
          <c:tx>
            <c:strRef>
              <c:f>Comparison_of_pupil_projns!$B$18</c:f>
              <c:strCache>
                <c:ptCount val="1"/>
                <c:pt idx="0">
                  <c:v>KS3 2017/18 TSM</c:v>
                </c:pt>
              </c:strCache>
            </c:strRef>
          </c:tx>
          <c:spPr>
            <a:ln>
              <a:solidFill>
                <a:srgbClr val="92D050"/>
              </a:solidFill>
            </a:ln>
          </c:spPr>
          <c:marker>
            <c:symbol val="none"/>
          </c:marker>
          <c:cat>
            <c:strRef>
              <c:f>Comparison_of_pupil_projns!$C$17:$Z$17</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Comparison_of_pupil_projns!$C$18:$Z$18</c:f>
              <c:numCache>
                <c:formatCode>_-* #,##0_-;\-* #,##0_-;_-* "-"??_-;_-@_-</c:formatCode>
                <c:ptCount val="24"/>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1630717</c:v>
                </c:pt>
                <c:pt idx="12">
                  <c:v>1684263.7099882406</c:v>
                </c:pt>
                <c:pt idx="13">
                  <c:v>1728753.1396461697</c:v>
                </c:pt>
                <c:pt idx="14">
                  <c:v>1776887.7109150444</c:v>
                </c:pt>
                <c:pt idx="15">
                  <c:v>1837687.6258995868</c:v>
                </c:pt>
                <c:pt idx="16">
                  <c:v>1881127.9885499382</c:v>
                </c:pt>
                <c:pt idx="17">
                  <c:v>1915313.121305503</c:v>
                </c:pt>
                <c:pt idx="18">
                  <c:v>1940527.0547370678</c:v>
                </c:pt>
                <c:pt idx="19">
                  <c:v>1979340.1487121659</c:v>
                </c:pt>
                <c:pt idx="20">
                  <c:v>1983726.1049581233</c:v>
                </c:pt>
                <c:pt idx="21">
                  <c:v>1956668.4677220159</c:v>
                </c:pt>
                <c:pt idx="22">
                  <c:v>1918632.3095877871</c:v>
                </c:pt>
                <c:pt idx="23">
                  <c:v>1909994.1147172714</c:v>
                </c:pt>
              </c:numCache>
            </c:numRef>
          </c:val>
          <c:smooth val="0"/>
          <c:extLst>
            <c:ext xmlns:c16="http://schemas.microsoft.com/office/drawing/2014/chart" uri="{C3380CC4-5D6E-409C-BE32-E72D297353CC}">
              <c16:uniqueId val="{00000000-2548-4D8C-982A-26F4C63AA540}"/>
            </c:ext>
          </c:extLst>
        </c:ser>
        <c:ser>
          <c:idx val="1"/>
          <c:order val="1"/>
          <c:tx>
            <c:strRef>
              <c:f>Comparison_of_pupil_projns!$B$19</c:f>
              <c:strCache>
                <c:ptCount val="1"/>
                <c:pt idx="0">
                  <c:v>KS3 2016/17 TSM</c:v>
                </c:pt>
              </c:strCache>
            </c:strRef>
          </c:tx>
          <c:spPr>
            <a:ln>
              <a:solidFill>
                <a:srgbClr val="92D050"/>
              </a:solidFill>
              <a:prstDash val="sysDot"/>
            </a:ln>
          </c:spPr>
          <c:marker>
            <c:symbol val="none"/>
          </c:marker>
          <c:cat>
            <c:strRef>
              <c:f>Comparison_of_pupil_projns!$C$17:$Z$17</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Comparison_of_pupil_projns!$C$19:$Z$19</c:f>
              <c:numCache>
                <c:formatCode>_-* #,##0_-;\-* #,##0_-;_-* "-"??_-;_-@_-</c:formatCode>
                <c:ptCount val="24"/>
                <c:pt idx="0">
                  <c:v>1783139.5</c:v>
                </c:pt>
                <c:pt idx="1">
                  <c:v>1758000.0007601124</c:v>
                </c:pt>
                <c:pt idx="2">
                  <c:v>1722930</c:v>
                </c:pt>
                <c:pt idx="3">
                  <c:v>1701531</c:v>
                </c:pt>
                <c:pt idx="4">
                  <c:v>1691158</c:v>
                </c:pt>
                <c:pt idx="5">
                  <c:v>1680949</c:v>
                </c:pt>
                <c:pt idx="6">
                  <c:v>1672689.5</c:v>
                </c:pt>
                <c:pt idx="7">
                  <c:v>1641887</c:v>
                </c:pt>
                <c:pt idx="8">
                  <c:v>1612821</c:v>
                </c:pt>
                <c:pt idx="9">
                  <c:v>1587472</c:v>
                </c:pt>
                <c:pt idx="10">
                  <c:v>1595949</c:v>
                </c:pt>
                <c:pt idx="11">
                  <c:v>1631337.4992774806</c:v>
                </c:pt>
                <c:pt idx="12">
                  <c:v>1682574.5099853808</c:v>
                </c:pt>
                <c:pt idx="13">
                  <c:v>1725591.9409217832</c:v>
                </c:pt>
                <c:pt idx="14">
                  <c:v>1772810.6599119727</c:v>
                </c:pt>
                <c:pt idx="15">
                  <c:v>1832687.4256291559</c:v>
                </c:pt>
                <c:pt idx="16">
                  <c:v>1875369.0821932168</c:v>
                </c:pt>
                <c:pt idx="17">
                  <c:v>1901593.2207178739</c:v>
                </c:pt>
                <c:pt idx="18">
                  <c:v>1916528.1702612313</c:v>
                </c:pt>
                <c:pt idx="19">
                  <c:v>1943999.3807479443</c:v>
                </c:pt>
                <c:pt idx="20">
                  <c:v>1949787.5095374477</c:v>
                </c:pt>
                <c:pt idx="21">
                  <c:v>1951437.3793627038</c:v>
                </c:pt>
                <c:pt idx="22">
                  <c:v>1946965.2461551256</c:v>
                </c:pt>
              </c:numCache>
            </c:numRef>
          </c:val>
          <c:smooth val="0"/>
          <c:extLst>
            <c:ext xmlns:c16="http://schemas.microsoft.com/office/drawing/2014/chart" uri="{C3380CC4-5D6E-409C-BE32-E72D297353CC}">
              <c16:uniqueId val="{00000001-2548-4D8C-982A-26F4C63AA540}"/>
            </c:ext>
          </c:extLst>
        </c:ser>
        <c:ser>
          <c:idx val="5"/>
          <c:order val="2"/>
          <c:tx>
            <c:strRef>
              <c:f>Comparison_of_pupil_projns!$B$23</c:f>
              <c:strCache>
                <c:ptCount val="1"/>
                <c:pt idx="0">
                  <c:v>KS4 2017/18 TSM</c:v>
                </c:pt>
              </c:strCache>
            </c:strRef>
          </c:tx>
          <c:spPr>
            <a:ln>
              <a:solidFill>
                <a:srgbClr val="FF0000"/>
              </a:solidFill>
            </a:ln>
          </c:spPr>
          <c:marker>
            <c:symbol val="none"/>
          </c:marker>
          <c:cat>
            <c:strRef>
              <c:f>Comparison_of_pupil_projns!$C$17:$Z$17</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Comparison_of_pupil_projns!$C$23:$Z$23</c:f>
              <c:numCache>
                <c:formatCode>_-* #,##0_-;\-* #,##0_-;_-* "-"??_-;_-@_-</c:formatCode>
                <c:ptCount val="24"/>
                <c:pt idx="0">
                  <c:v>1170159</c:v>
                </c:pt>
                <c:pt idx="1">
                  <c:v>1185802.5625101563</c:v>
                </c:pt>
                <c:pt idx="2">
                  <c:v>1189358</c:v>
                </c:pt>
                <c:pt idx="3">
                  <c:v>1166918.5</c:v>
                </c:pt>
                <c:pt idx="4">
                  <c:v>1146150</c:v>
                </c:pt>
                <c:pt idx="5">
                  <c:v>1133977</c:v>
                </c:pt>
                <c:pt idx="6">
                  <c:v>1116342.5</c:v>
                </c:pt>
                <c:pt idx="7">
                  <c:v>1120567</c:v>
                </c:pt>
                <c:pt idx="8">
                  <c:v>1117099</c:v>
                </c:pt>
                <c:pt idx="9">
                  <c:v>1099417.5</c:v>
                </c:pt>
                <c:pt idx="10">
                  <c:v>1081078</c:v>
                </c:pt>
                <c:pt idx="11">
                  <c:v>1057483</c:v>
                </c:pt>
                <c:pt idx="12">
                  <c:v>1040625.6043942383</c:v>
                </c:pt>
                <c:pt idx="13">
                  <c:v>1058358.5821559713</c:v>
                </c:pt>
                <c:pt idx="14">
                  <c:v>1097644.5657882683</c:v>
                </c:pt>
                <c:pt idx="15">
                  <c:v>1127512.3599218801</c:v>
                </c:pt>
                <c:pt idx="16">
                  <c:v>1152699.2067537962</c:v>
                </c:pt>
                <c:pt idx="17">
                  <c:v>1187590.8202413935</c:v>
                </c:pt>
                <c:pt idx="18">
                  <c:v>1233917.8070985656</c:v>
                </c:pt>
                <c:pt idx="19">
                  <c:v>1255218.8994874852</c:v>
                </c:pt>
                <c:pt idx="20">
                  <c:v>1264502.0497479856</c:v>
                </c:pt>
                <c:pt idx="21">
                  <c:v>1292760.7570925467</c:v>
                </c:pt>
                <c:pt idx="22">
                  <c:v>1318712.4272962825</c:v>
                </c:pt>
                <c:pt idx="23">
                  <c:v>1307078.5028154906</c:v>
                </c:pt>
              </c:numCache>
            </c:numRef>
          </c:val>
          <c:smooth val="0"/>
          <c:extLst>
            <c:ext xmlns:c16="http://schemas.microsoft.com/office/drawing/2014/chart" uri="{C3380CC4-5D6E-409C-BE32-E72D297353CC}">
              <c16:uniqueId val="{00000002-2548-4D8C-982A-26F4C63AA540}"/>
            </c:ext>
          </c:extLst>
        </c:ser>
        <c:ser>
          <c:idx val="6"/>
          <c:order val="3"/>
          <c:tx>
            <c:strRef>
              <c:f>Comparison_of_pupil_projns!$B$24</c:f>
              <c:strCache>
                <c:ptCount val="1"/>
                <c:pt idx="0">
                  <c:v>KS4 2016/17 TSM</c:v>
                </c:pt>
              </c:strCache>
            </c:strRef>
          </c:tx>
          <c:spPr>
            <a:ln>
              <a:solidFill>
                <a:srgbClr val="FF0000"/>
              </a:solidFill>
              <a:prstDash val="sysDot"/>
            </a:ln>
          </c:spPr>
          <c:marker>
            <c:symbol val="none"/>
          </c:marker>
          <c:cat>
            <c:strRef>
              <c:f>Comparison_of_pupil_projns!$C$17:$Z$17</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Comparison_of_pupil_projns!$C$24:$Z$24</c:f>
              <c:numCache>
                <c:formatCode>_-* #,##0_-;\-* #,##0_-;_-* "-"??_-;_-@_-</c:formatCode>
                <c:ptCount val="24"/>
                <c:pt idx="0">
                  <c:v>1170159</c:v>
                </c:pt>
                <c:pt idx="1">
                  <c:v>1185802.5625101561</c:v>
                </c:pt>
                <c:pt idx="2">
                  <c:v>1189358</c:v>
                </c:pt>
                <c:pt idx="3">
                  <c:v>1166918.5</c:v>
                </c:pt>
                <c:pt idx="4">
                  <c:v>1146150</c:v>
                </c:pt>
                <c:pt idx="5">
                  <c:v>1133977</c:v>
                </c:pt>
                <c:pt idx="6">
                  <c:v>1116342.5</c:v>
                </c:pt>
                <c:pt idx="7">
                  <c:v>1120567</c:v>
                </c:pt>
                <c:pt idx="8">
                  <c:v>1117099</c:v>
                </c:pt>
                <c:pt idx="9">
                  <c:v>1099417.5</c:v>
                </c:pt>
                <c:pt idx="10">
                  <c:v>1081075</c:v>
                </c:pt>
                <c:pt idx="11">
                  <c:v>1058432.3288384024</c:v>
                </c:pt>
                <c:pt idx="12">
                  <c:v>1044919.5569496884</c:v>
                </c:pt>
                <c:pt idx="13">
                  <c:v>1062144.4945245557</c:v>
                </c:pt>
                <c:pt idx="14">
                  <c:v>1101182.2609006851</c:v>
                </c:pt>
                <c:pt idx="15">
                  <c:v>1130456.8898198837</c:v>
                </c:pt>
                <c:pt idx="16">
                  <c:v>1155562.6241693753</c:v>
                </c:pt>
                <c:pt idx="17">
                  <c:v>1190610.1109601259</c:v>
                </c:pt>
                <c:pt idx="18">
                  <c:v>1236824.0435936502</c:v>
                </c:pt>
                <c:pt idx="19">
                  <c:v>1257506.9499400903</c:v>
                </c:pt>
                <c:pt idx="20">
                  <c:v>1259261.6067573994</c:v>
                </c:pt>
                <c:pt idx="21">
                  <c:v>1277899.9010900259</c:v>
                </c:pt>
                <c:pt idx="22">
                  <c:v>1299936.6778506928</c:v>
                </c:pt>
              </c:numCache>
            </c:numRef>
          </c:val>
          <c:smooth val="0"/>
          <c:extLst>
            <c:ext xmlns:c16="http://schemas.microsoft.com/office/drawing/2014/chart" uri="{C3380CC4-5D6E-409C-BE32-E72D297353CC}">
              <c16:uniqueId val="{00000003-2548-4D8C-982A-26F4C63AA540}"/>
            </c:ext>
          </c:extLst>
        </c:ser>
        <c:ser>
          <c:idx val="10"/>
          <c:order val="4"/>
          <c:tx>
            <c:strRef>
              <c:f>Comparison_of_pupil_projns!$B$28</c:f>
              <c:strCache>
                <c:ptCount val="1"/>
                <c:pt idx="0">
                  <c:v>KS5 2017/18 TSM</c:v>
                </c:pt>
              </c:strCache>
            </c:strRef>
          </c:tx>
          <c:spPr>
            <a:ln>
              <a:solidFill>
                <a:schemeClr val="tx1">
                  <a:lumMod val="95000"/>
                  <a:lumOff val="5000"/>
                </a:schemeClr>
              </a:solidFill>
            </a:ln>
          </c:spPr>
          <c:marker>
            <c:symbol val="none"/>
          </c:marker>
          <c:cat>
            <c:strRef>
              <c:f>Comparison_of_pupil_projns!$C$17:$Z$17</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Comparison_of_pupil_projns!$C$28:$Z$28</c:f>
              <c:numCache>
                <c:formatCode>_-* #,##0_-;\-* #,##0_-;_-* "-"??_-;_-@_-</c:formatCode>
                <c:ptCount val="24"/>
                <c:pt idx="0">
                  <c:v>355184.5</c:v>
                </c:pt>
                <c:pt idx="1">
                  <c:v>361355</c:v>
                </c:pt>
                <c:pt idx="2">
                  <c:v>370116</c:v>
                </c:pt>
                <c:pt idx="3">
                  <c:v>380453</c:v>
                </c:pt>
                <c:pt idx="4">
                  <c:v>394342</c:v>
                </c:pt>
                <c:pt idx="5">
                  <c:v>412859.5</c:v>
                </c:pt>
                <c:pt idx="6">
                  <c:v>423222</c:v>
                </c:pt>
                <c:pt idx="7">
                  <c:v>423232.5</c:v>
                </c:pt>
                <c:pt idx="8">
                  <c:v>428860</c:v>
                </c:pt>
                <c:pt idx="9">
                  <c:v>439034.5</c:v>
                </c:pt>
                <c:pt idx="10">
                  <c:v>442772</c:v>
                </c:pt>
                <c:pt idx="11">
                  <c:v>433788</c:v>
                </c:pt>
                <c:pt idx="12">
                  <c:v>428545.20451393852</c:v>
                </c:pt>
                <c:pt idx="13">
                  <c:v>419361.78857838438</c:v>
                </c:pt>
                <c:pt idx="14">
                  <c:v>410245.50884306151</c:v>
                </c:pt>
                <c:pt idx="15">
                  <c:v>406321.98384626833</c:v>
                </c:pt>
                <c:pt idx="16">
                  <c:v>407908.7817738661</c:v>
                </c:pt>
                <c:pt idx="17">
                  <c:v>414599.54691593052</c:v>
                </c:pt>
                <c:pt idx="18">
                  <c:v>427051.82731021068</c:v>
                </c:pt>
                <c:pt idx="19">
                  <c:v>439692.43116813409</c:v>
                </c:pt>
                <c:pt idx="20">
                  <c:v>453063.3820700291</c:v>
                </c:pt>
                <c:pt idx="21">
                  <c:v>462667.53121151531</c:v>
                </c:pt>
                <c:pt idx="22">
                  <c:v>470577.77984100528</c:v>
                </c:pt>
                <c:pt idx="23">
                  <c:v>478187.03901394637</c:v>
                </c:pt>
              </c:numCache>
            </c:numRef>
          </c:val>
          <c:smooth val="0"/>
          <c:extLst>
            <c:ext xmlns:c16="http://schemas.microsoft.com/office/drawing/2014/chart" uri="{C3380CC4-5D6E-409C-BE32-E72D297353CC}">
              <c16:uniqueId val="{00000004-2548-4D8C-982A-26F4C63AA540}"/>
            </c:ext>
          </c:extLst>
        </c:ser>
        <c:ser>
          <c:idx val="11"/>
          <c:order val="5"/>
          <c:tx>
            <c:strRef>
              <c:f>Comparison_of_pupil_projns!$B$29</c:f>
              <c:strCache>
                <c:ptCount val="1"/>
                <c:pt idx="0">
                  <c:v>KS5 2016/17 TSM</c:v>
                </c:pt>
              </c:strCache>
            </c:strRef>
          </c:tx>
          <c:spPr>
            <a:ln>
              <a:solidFill>
                <a:schemeClr val="tx1">
                  <a:lumMod val="95000"/>
                  <a:lumOff val="5000"/>
                </a:schemeClr>
              </a:solidFill>
              <a:prstDash val="sysDot"/>
            </a:ln>
          </c:spPr>
          <c:marker>
            <c:symbol val="none"/>
          </c:marker>
          <c:cat>
            <c:strRef>
              <c:f>Comparison_of_pupil_projns!$C$17:$Z$17</c:f>
              <c:strCache>
                <c:ptCount val="24"/>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pt idx="21">
                  <c:v>2025/26</c:v>
                </c:pt>
                <c:pt idx="22">
                  <c:v>2026/27</c:v>
                </c:pt>
                <c:pt idx="23">
                  <c:v>2027/28</c:v>
                </c:pt>
              </c:strCache>
            </c:strRef>
          </c:cat>
          <c:val>
            <c:numRef>
              <c:f>Comparison_of_pupil_projns!$C$29:$Z$29</c:f>
              <c:numCache>
                <c:formatCode>_-* #,##0_-;\-* #,##0_-;_-* "-"??_-;_-@_-</c:formatCode>
                <c:ptCount val="24"/>
                <c:pt idx="0">
                  <c:v>355184.5</c:v>
                </c:pt>
                <c:pt idx="1">
                  <c:v>361355</c:v>
                </c:pt>
                <c:pt idx="2">
                  <c:v>370116</c:v>
                </c:pt>
                <c:pt idx="3">
                  <c:v>380453</c:v>
                </c:pt>
                <c:pt idx="4">
                  <c:v>394342</c:v>
                </c:pt>
                <c:pt idx="5">
                  <c:v>412859.5</c:v>
                </c:pt>
                <c:pt idx="6">
                  <c:v>423222</c:v>
                </c:pt>
                <c:pt idx="7">
                  <c:v>423232.5</c:v>
                </c:pt>
                <c:pt idx="8">
                  <c:v>428860</c:v>
                </c:pt>
                <c:pt idx="9">
                  <c:v>437781.5</c:v>
                </c:pt>
                <c:pt idx="10">
                  <c:v>447428.04641765938</c:v>
                </c:pt>
                <c:pt idx="11">
                  <c:v>455679.46802096401</c:v>
                </c:pt>
                <c:pt idx="12">
                  <c:v>464252.31594055961</c:v>
                </c:pt>
                <c:pt idx="13">
                  <c:v>457080.99332789559</c:v>
                </c:pt>
                <c:pt idx="14">
                  <c:v>447094.39501581329</c:v>
                </c:pt>
                <c:pt idx="15">
                  <c:v>437632.01867665612</c:v>
                </c:pt>
                <c:pt idx="16">
                  <c:v>432847.25065718353</c:v>
                </c:pt>
                <c:pt idx="17">
                  <c:v>434090.56169972272</c:v>
                </c:pt>
                <c:pt idx="18">
                  <c:v>440816.84175896668</c:v>
                </c:pt>
                <c:pt idx="19">
                  <c:v>453688.03378445579</c:v>
                </c:pt>
                <c:pt idx="20">
                  <c:v>466602.7918866757</c:v>
                </c:pt>
                <c:pt idx="21">
                  <c:v>480147.50972501154</c:v>
                </c:pt>
                <c:pt idx="22">
                  <c:v>489412.47776856052</c:v>
                </c:pt>
              </c:numCache>
            </c:numRef>
          </c:val>
          <c:smooth val="0"/>
          <c:extLst>
            <c:ext xmlns:c16="http://schemas.microsoft.com/office/drawing/2014/chart" uri="{C3380CC4-5D6E-409C-BE32-E72D297353CC}">
              <c16:uniqueId val="{00000005-2548-4D8C-982A-26F4C63AA540}"/>
            </c:ext>
          </c:extLst>
        </c:ser>
        <c:dLbls>
          <c:showLegendKey val="0"/>
          <c:showVal val="0"/>
          <c:showCatName val="0"/>
          <c:showSerName val="0"/>
          <c:showPercent val="0"/>
          <c:showBubbleSize val="0"/>
        </c:dLbls>
        <c:smooth val="0"/>
        <c:axId val="172448384"/>
        <c:axId val="172458368"/>
      </c:lineChart>
      <c:catAx>
        <c:axId val="17244838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2458368"/>
        <c:crosses val="autoZero"/>
        <c:auto val="1"/>
        <c:lblAlgn val="ctr"/>
        <c:lblOffset val="100"/>
        <c:noMultiLvlLbl val="0"/>
      </c:catAx>
      <c:valAx>
        <c:axId val="17245836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Pupil population (FTE)</a:t>
                </a:r>
              </a:p>
            </c:rich>
          </c:tx>
          <c:overlay val="0"/>
        </c:title>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448384"/>
        <c:crosses val="autoZero"/>
        <c:crossBetween val="between"/>
      </c:valAx>
      <c:spPr>
        <a:ln>
          <a:solidFill>
            <a:schemeClr val="tx1">
              <a:lumMod val="95000"/>
              <a:lumOff val="5000"/>
            </a:schemeClr>
          </a:solidFill>
        </a:ln>
      </c:spPr>
    </c:plotArea>
    <c:legend>
      <c:legendPos val="r"/>
      <c:layout>
        <c:manualLayout>
          <c:xMode val="edge"/>
          <c:yMode val="edge"/>
          <c:x val="0.82486811370800872"/>
          <c:y val="0.26481500923495671"/>
          <c:w val="0.16349211904067551"/>
          <c:h val="0.487037425877320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Phase level ITT places calculated by the TSM</a:t>
            </a:r>
          </a:p>
        </c:rich>
      </c:tx>
      <c:overlay val="0"/>
    </c:title>
    <c:autoTitleDeleted val="0"/>
    <c:plotArea>
      <c:layout>
        <c:manualLayout>
          <c:layoutTarget val="inner"/>
          <c:xMode val="edge"/>
          <c:yMode val="edge"/>
          <c:x val="0.12736444803373936"/>
          <c:y val="0.12284383062933676"/>
          <c:w val="0.59521123276202292"/>
          <c:h val="0.72498837963388196"/>
        </c:manualLayout>
      </c:layout>
      <c:lineChart>
        <c:grouping val="standard"/>
        <c:varyColors val="0"/>
        <c:ser>
          <c:idx val="0"/>
          <c:order val="0"/>
          <c:tx>
            <c:strRef>
              <c:f>Historical_and_projected_ITT!$B$41</c:f>
              <c:strCache>
                <c:ptCount val="1"/>
                <c:pt idx="0">
                  <c:v>Primary - Historical </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Historical_and_projected_ITT!$C$41:$R$41</c:f>
              <c:numCache>
                <c:formatCode>#,##0</c:formatCode>
                <c:ptCount val="16"/>
                <c:pt idx="0">
                  <c:v>13040.499199007802</c:v>
                </c:pt>
                <c:pt idx="1">
                  <c:v>14421.375629707218</c:v>
                </c:pt>
                <c:pt idx="2">
                  <c:v>14130</c:v>
                </c:pt>
                <c:pt idx="3">
                  <c:v>14328</c:v>
                </c:pt>
                <c:pt idx="4">
                  <c:v>11245.392069649593</c:v>
                </c:pt>
                <c:pt idx="5">
                  <c:v>11488.74477424193</c:v>
                </c:pt>
              </c:numCache>
            </c:numRef>
          </c:val>
          <c:smooth val="0"/>
          <c:extLst>
            <c:ext xmlns:c16="http://schemas.microsoft.com/office/drawing/2014/chart" uri="{C3380CC4-5D6E-409C-BE32-E72D297353CC}">
              <c16:uniqueId val="{00000000-AC50-494D-9523-CB92DD8D8B16}"/>
            </c:ext>
          </c:extLst>
        </c:ser>
        <c:ser>
          <c:idx val="21"/>
          <c:order val="1"/>
          <c:tx>
            <c:strRef>
              <c:f>Historical_and_projected_ITT!$B$62</c:f>
              <c:strCache>
                <c:ptCount val="1"/>
                <c:pt idx="0">
                  <c:v>Secondary total - Historical</c:v>
                </c:pt>
              </c:strCache>
            </c:strRef>
          </c:tx>
          <c:spPr>
            <a:ln>
              <a:solidFill>
                <a:srgbClr val="00B0F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Historical_and_projected_ITT!$C$62:$R$62</c:f>
              <c:numCache>
                <c:formatCode>#,##0</c:formatCode>
                <c:ptCount val="16"/>
                <c:pt idx="0">
                  <c:v>13806.688748035122</c:v>
                </c:pt>
                <c:pt idx="1">
                  <c:v>13816.873904163418</c:v>
                </c:pt>
                <c:pt idx="2">
                  <c:v>13360</c:v>
                </c:pt>
                <c:pt idx="3">
                  <c:v>13866</c:v>
                </c:pt>
                <c:pt idx="4">
                  <c:v>18541.484824463427</c:v>
                </c:pt>
                <c:pt idx="5">
                  <c:v>17687.709649774803</c:v>
                </c:pt>
              </c:numCache>
            </c:numRef>
          </c:val>
          <c:smooth val="0"/>
          <c:extLst>
            <c:ext xmlns:c16="http://schemas.microsoft.com/office/drawing/2014/chart" uri="{C3380CC4-5D6E-409C-BE32-E72D297353CC}">
              <c16:uniqueId val="{00000001-AC50-494D-9523-CB92DD8D8B16}"/>
            </c:ext>
          </c:extLst>
        </c:ser>
        <c:ser>
          <c:idx val="22"/>
          <c:order val="2"/>
          <c:tx>
            <c:strRef>
              <c:f>Historical_and_projected_ITT!$B$63</c:f>
              <c:strCache>
                <c:ptCount val="1"/>
                <c:pt idx="0">
                  <c:v>Total - Historical</c:v>
                </c:pt>
              </c:strCache>
            </c:strRef>
          </c:tx>
          <c:spPr>
            <a:ln>
              <a:solidFill>
                <a:schemeClr val="tx1">
                  <a:lumMod val="95000"/>
                  <a:lumOff val="5000"/>
                </a:schemeClr>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Historical_and_projected_ITT!$C$63:$R$63</c:f>
              <c:numCache>
                <c:formatCode>#,##0</c:formatCode>
                <c:ptCount val="16"/>
                <c:pt idx="0">
                  <c:v>26847.187947042923</c:v>
                </c:pt>
                <c:pt idx="1">
                  <c:v>28238.249533870639</c:v>
                </c:pt>
                <c:pt idx="2">
                  <c:v>27490</c:v>
                </c:pt>
                <c:pt idx="3">
                  <c:v>28194</c:v>
                </c:pt>
                <c:pt idx="4">
                  <c:v>29786.876894113011</c:v>
                </c:pt>
                <c:pt idx="5">
                  <c:v>29176.454424016734</c:v>
                </c:pt>
              </c:numCache>
            </c:numRef>
          </c:val>
          <c:smooth val="0"/>
          <c:extLst>
            <c:ext xmlns:c16="http://schemas.microsoft.com/office/drawing/2014/chart" uri="{C3380CC4-5D6E-409C-BE32-E72D297353CC}">
              <c16:uniqueId val="{00000002-AC50-494D-9523-CB92DD8D8B16}"/>
            </c:ext>
          </c:extLst>
        </c:ser>
        <c:ser>
          <c:idx val="23"/>
          <c:order val="3"/>
          <c:tx>
            <c:strRef>
              <c:f>Historical_and_projected_ITT!$B$64</c:f>
              <c:strCache>
                <c:ptCount val="1"/>
                <c:pt idx="0">
                  <c:v>Primary - Projected </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Historical_and_projected_ITT!$C$64:$R$64</c:f>
              <c:numCache>
                <c:formatCode>#,##0</c:formatCode>
                <c:ptCount val="16"/>
                <c:pt idx="6">
                  <c:v>12120.954810176481</c:v>
                </c:pt>
                <c:pt idx="7">
                  <c:v>11275.592211413737</c:v>
                </c:pt>
                <c:pt idx="8">
                  <c:v>11372.121733950818</c:v>
                </c:pt>
                <c:pt idx="9">
                  <c:v>11225.451898905803</c:v>
                </c:pt>
                <c:pt idx="10">
                  <c:v>11010.114427017737</c:v>
                </c:pt>
                <c:pt idx="11">
                  <c:v>10860.584878167052</c:v>
                </c:pt>
                <c:pt idx="12">
                  <c:v>11237.356780486234</c:v>
                </c:pt>
                <c:pt idx="13">
                  <c:v>11541.667314741562</c:v>
                </c:pt>
                <c:pt idx="14">
                  <c:v>11619.763973618792</c:v>
                </c:pt>
                <c:pt idx="15">
                  <c:v>11546.77937971449</c:v>
                </c:pt>
              </c:numCache>
            </c:numRef>
          </c:val>
          <c:smooth val="0"/>
          <c:extLst>
            <c:ext xmlns:c16="http://schemas.microsoft.com/office/drawing/2014/chart" uri="{C3380CC4-5D6E-409C-BE32-E72D297353CC}">
              <c16:uniqueId val="{00000003-AC50-494D-9523-CB92DD8D8B16}"/>
            </c:ext>
          </c:extLst>
        </c:ser>
        <c:ser>
          <c:idx val="44"/>
          <c:order val="4"/>
          <c:tx>
            <c:strRef>
              <c:f>Historical_and_projected_ITT!$B$85</c:f>
              <c:strCache>
                <c:ptCount val="1"/>
                <c:pt idx="0">
                  <c:v>Secondary total - Projected</c:v>
                </c:pt>
              </c:strCache>
            </c:strRef>
          </c:tx>
          <c:spPr>
            <a:ln>
              <a:solidFill>
                <a:srgbClr val="00B0F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Historical_and_projected_ITT!$C$85:$R$85</c:f>
              <c:numCache>
                <c:formatCode>#,##0</c:formatCode>
                <c:ptCount val="16"/>
                <c:pt idx="6">
                  <c:v>18725.549862912729</c:v>
                </c:pt>
                <c:pt idx="7">
                  <c:v>19515.190881512994</c:v>
                </c:pt>
                <c:pt idx="8">
                  <c:v>18428.964934112475</c:v>
                </c:pt>
                <c:pt idx="9">
                  <c:v>18175.061788589235</c:v>
                </c:pt>
                <c:pt idx="10">
                  <c:v>18401.250625583823</c:v>
                </c:pt>
                <c:pt idx="11">
                  <c:v>18331.115004997617</c:v>
                </c:pt>
                <c:pt idx="12">
                  <c:v>17490.015711976306</c:v>
                </c:pt>
                <c:pt idx="13">
                  <c:v>17166.570572757835</c:v>
                </c:pt>
                <c:pt idx="14">
                  <c:v>16865.236505710149</c:v>
                </c:pt>
                <c:pt idx="15">
                  <c:v>16727.789361056282</c:v>
                </c:pt>
              </c:numCache>
            </c:numRef>
          </c:val>
          <c:smooth val="0"/>
          <c:extLst>
            <c:ext xmlns:c16="http://schemas.microsoft.com/office/drawing/2014/chart" uri="{C3380CC4-5D6E-409C-BE32-E72D297353CC}">
              <c16:uniqueId val="{00000004-AC50-494D-9523-CB92DD8D8B16}"/>
            </c:ext>
          </c:extLst>
        </c:ser>
        <c:ser>
          <c:idx val="45"/>
          <c:order val="5"/>
          <c:tx>
            <c:strRef>
              <c:f>Historical_and_projected_ITT!$B$86</c:f>
              <c:strCache>
                <c:ptCount val="1"/>
                <c:pt idx="0">
                  <c:v>Total - Projected</c:v>
                </c:pt>
              </c:strCache>
            </c:strRef>
          </c:tx>
          <c:spPr>
            <a:ln>
              <a:solidFill>
                <a:schemeClr val="tx1">
                  <a:lumMod val="95000"/>
                  <a:lumOff val="5000"/>
                </a:schemeClr>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Historical_and_projected_ITT!$C$86:$R$86</c:f>
              <c:numCache>
                <c:formatCode>#,##0</c:formatCode>
                <c:ptCount val="16"/>
                <c:pt idx="6">
                  <c:v>30846.50467308921</c:v>
                </c:pt>
                <c:pt idx="7">
                  <c:v>30790.783092926726</c:v>
                </c:pt>
                <c:pt idx="8">
                  <c:v>29801.08666806329</c:v>
                </c:pt>
                <c:pt idx="9">
                  <c:v>29400.513687495037</c:v>
                </c:pt>
                <c:pt idx="10">
                  <c:v>29411.365052601563</c:v>
                </c:pt>
                <c:pt idx="11">
                  <c:v>29191.699883164678</c:v>
                </c:pt>
                <c:pt idx="12">
                  <c:v>28727.372492462546</c:v>
                </c:pt>
                <c:pt idx="13">
                  <c:v>28708.237887499399</c:v>
                </c:pt>
                <c:pt idx="14">
                  <c:v>28485.000479328941</c:v>
                </c:pt>
                <c:pt idx="15">
                  <c:v>28274.568740770777</c:v>
                </c:pt>
              </c:numCache>
            </c:numRef>
          </c:val>
          <c:smooth val="0"/>
          <c:extLst>
            <c:ext xmlns:c16="http://schemas.microsoft.com/office/drawing/2014/chart" uri="{C3380CC4-5D6E-409C-BE32-E72D297353CC}">
              <c16:uniqueId val="{00000005-AC50-494D-9523-CB92DD8D8B16}"/>
            </c:ext>
          </c:extLst>
        </c:ser>
        <c:dLbls>
          <c:showLegendKey val="0"/>
          <c:showVal val="0"/>
          <c:showCatName val="0"/>
          <c:showSerName val="0"/>
          <c:showPercent val="0"/>
          <c:showBubbleSize val="0"/>
        </c:dLbls>
        <c:smooth val="0"/>
        <c:axId val="152310912"/>
        <c:axId val="152312448"/>
      </c:lineChart>
      <c:catAx>
        <c:axId val="15231091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12448"/>
        <c:crosses val="autoZero"/>
        <c:auto val="1"/>
        <c:lblAlgn val="ctr"/>
        <c:lblOffset val="100"/>
        <c:noMultiLvlLbl val="0"/>
      </c:catAx>
      <c:valAx>
        <c:axId val="15231244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10912"/>
        <c:crosses val="autoZero"/>
        <c:crossBetween val="between"/>
      </c:valAx>
      <c:spPr>
        <a:ln>
          <a:solidFill>
            <a:schemeClr val="tx1">
              <a:lumMod val="95000"/>
              <a:lumOff val="5000"/>
            </a:schemeClr>
          </a:solidFill>
        </a:ln>
      </c:spPr>
    </c:plotArea>
    <c:legend>
      <c:legendPos val="r"/>
      <c:layout>
        <c:manualLayout>
          <c:xMode val="edge"/>
          <c:yMode val="edge"/>
          <c:x val="0.74176499294372122"/>
          <c:y val="8.7912087912087919E-2"/>
          <c:w val="0.23646034195474308"/>
          <c:h val="0.8035715727841712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English, Mathematics, &amp; Science ITT places calculated by the TSM</a:t>
            </a:r>
          </a:p>
        </c:rich>
      </c:tx>
      <c:overlay val="0"/>
    </c:title>
    <c:autoTitleDeleted val="0"/>
    <c:plotArea>
      <c:layout>
        <c:manualLayout>
          <c:layoutTarget val="inner"/>
          <c:xMode val="edge"/>
          <c:yMode val="edge"/>
          <c:x val="0.11786777187039654"/>
          <c:y val="0.12284383062933676"/>
          <c:w val="0.59685095452811987"/>
          <c:h val="0.72945561020142891"/>
        </c:manualLayout>
      </c:layout>
      <c:lineChart>
        <c:grouping val="standard"/>
        <c:varyColors val="0"/>
        <c:ser>
          <c:idx val="9"/>
          <c:order val="0"/>
          <c:tx>
            <c:strRef>
              <c:f>Historical_and_projected_ITT!$B$50</c:f>
              <c:strCache>
                <c:ptCount val="1"/>
                <c:pt idx="0">
                  <c:v>English - Historical</c:v>
                </c:pt>
              </c:strCache>
            </c:strRef>
          </c:tx>
          <c:spPr>
            <a:ln>
              <a:solidFill>
                <a:schemeClr val="tx1">
                  <a:lumMod val="95000"/>
                  <a:lumOff val="5000"/>
                </a:schemeClr>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Historical_and_projected_ITT!$C$50:$R$50</c:f>
              <c:numCache>
                <c:formatCode>#,##0</c:formatCode>
                <c:ptCount val="16"/>
                <c:pt idx="0">
                  <c:v>2051.5506807866868</c:v>
                </c:pt>
                <c:pt idx="1">
                  <c:v>1961.867816091954</c:v>
                </c:pt>
                <c:pt idx="2">
                  <c:v>1500</c:v>
                </c:pt>
                <c:pt idx="3">
                  <c:v>1348</c:v>
                </c:pt>
                <c:pt idx="4">
                  <c:v>2253.1400951922151</c:v>
                </c:pt>
                <c:pt idx="5">
                  <c:v>2253.1400951922151</c:v>
                </c:pt>
              </c:numCache>
            </c:numRef>
          </c:val>
          <c:smooth val="0"/>
          <c:extLst>
            <c:ext xmlns:c16="http://schemas.microsoft.com/office/drawing/2014/chart" uri="{C3380CC4-5D6E-409C-BE32-E72D297353CC}">
              <c16:uniqueId val="{00000000-E0FE-4738-B955-28B344E8257B}"/>
            </c:ext>
          </c:extLst>
        </c:ser>
        <c:ser>
          <c:idx val="13"/>
          <c:order val="1"/>
          <c:tx>
            <c:strRef>
              <c:f>Historical_and_projected_ITT!$B$54</c:f>
              <c:strCache>
                <c:ptCount val="1"/>
                <c:pt idx="0">
                  <c:v>Mathematics - Historical</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Historical_and_projected_ITT!$C$54:$R$54</c:f>
              <c:numCache>
                <c:formatCode>#,##0</c:formatCode>
                <c:ptCount val="16"/>
                <c:pt idx="0">
                  <c:v>2500.620842572062</c:v>
                </c:pt>
                <c:pt idx="1">
                  <c:v>2511.4154103852597</c:v>
                </c:pt>
                <c:pt idx="2">
                  <c:v>2460</c:v>
                </c:pt>
                <c:pt idx="3">
                  <c:v>2346</c:v>
                </c:pt>
                <c:pt idx="4">
                  <c:v>2581.4599575409056</c:v>
                </c:pt>
                <c:pt idx="5">
                  <c:v>3102.4919179919257</c:v>
                </c:pt>
              </c:numCache>
            </c:numRef>
          </c:val>
          <c:smooth val="0"/>
          <c:extLst>
            <c:ext xmlns:c16="http://schemas.microsoft.com/office/drawing/2014/chart" uri="{C3380CC4-5D6E-409C-BE32-E72D297353CC}">
              <c16:uniqueId val="{00000001-E0FE-4738-B955-28B344E8257B}"/>
            </c:ext>
          </c:extLst>
        </c:ser>
        <c:ser>
          <c:idx val="0"/>
          <c:order val="2"/>
          <c:tx>
            <c:strRef>
              <c:f>Historical_and_projected_ITT!$B$61</c:f>
              <c:strCache>
                <c:ptCount val="1"/>
                <c:pt idx="0">
                  <c:v>Science - Historical</c:v>
                </c:pt>
              </c:strCache>
            </c:strRef>
          </c:tx>
          <c:spPr>
            <a:ln>
              <a:solidFill>
                <a:srgbClr val="00B0F0"/>
              </a:solidFill>
            </a:ln>
          </c:spPr>
          <c:marker>
            <c:symbol val="none"/>
          </c:marker>
          <c:val>
            <c:numRef>
              <c:f>Historical_and_projected_ITT!$C$61:$R$61</c:f>
              <c:numCache>
                <c:formatCode>#,##0_ ;\-#,##0\ </c:formatCode>
                <c:ptCount val="16"/>
                <c:pt idx="0">
                  <c:v>2749.5181846440782</c:v>
                </c:pt>
                <c:pt idx="1">
                  <c:v>2784.3395234758236</c:v>
                </c:pt>
                <c:pt idx="2">
                  <c:v>2550</c:v>
                </c:pt>
                <c:pt idx="3" formatCode="#,##0">
                  <c:v>2520</c:v>
                </c:pt>
                <c:pt idx="4" formatCode="#,##0">
                  <c:v>3285.7475286716763</c:v>
                </c:pt>
                <c:pt idx="5" formatCode="#,##0">
                  <c:v>3285.7475286716763</c:v>
                </c:pt>
              </c:numCache>
            </c:numRef>
          </c:val>
          <c:smooth val="0"/>
          <c:extLst>
            <c:ext xmlns:c16="http://schemas.microsoft.com/office/drawing/2014/chart" uri="{C3380CC4-5D6E-409C-BE32-E72D297353CC}">
              <c16:uniqueId val="{00000002-E0FE-4738-B955-28B344E8257B}"/>
            </c:ext>
          </c:extLst>
        </c:ser>
        <c:ser>
          <c:idx val="32"/>
          <c:order val="3"/>
          <c:tx>
            <c:strRef>
              <c:f>Historical_and_projected_ITT!$B$73</c:f>
              <c:strCache>
                <c:ptCount val="1"/>
                <c:pt idx="0">
                  <c:v>English - Projected</c:v>
                </c:pt>
              </c:strCache>
            </c:strRef>
          </c:tx>
          <c:spPr>
            <a:ln>
              <a:solidFill>
                <a:schemeClr val="tx1">
                  <a:lumMod val="95000"/>
                  <a:lumOff val="5000"/>
                </a:schemeClr>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Historical_and_projected_ITT!$C$73:$R$73</c:f>
              <c:numCache>
                <c:formatCode>#,##0</c:formatCode>
                <c:ptCount val="16"/>
                <c:pt idx="6">
                  <c:v>2426.2873096074586</c:v>
                </c:pt>
                <c:pt idx="7">
                  <c:v>2323.4684744104111</c:v>
                </c:pt>
                <c:pt idx="8">
                  <c:v>2268.6420328789732</c:v>
                </c:pt>
                <c:pt idx="9">
                  <c:v>2278.593451429927</c:v>
                </c:pt>
                <c:pt idx="10">
                  <c:v>2298.1609401418104</c:v>
                </c:pt>
                <c:pt idx="11">
                  <c:v>2271.872149209833</c:v>
                </c:pt>
                <c:pt idx="12">
                  <c:v>2167.2148305963751</c:v>
                </c:pt>
                <c:pt idx="13">
                  <c:v>2153.9669706904515</c:v>
                </c:pt>
                <c:pt idx="14">
                  <c:v>2124.5103290759926</c:v>
                </c:pt>
                <c:pt idx="15">
                  <c:v>2083.6403942278298</c:v>
                </c:pt>
              </c:numCache>
            </c:numRef>
          </c:val>
          <c:smooth val="0"/>
          <c:extLst>
            <c:ext xmlns:c16="http://schemas.microsoft.com/office/drawing/2014/chart" uri="{C3380CC4-5D6E-409C-BE32-E72D297353CC}">
              <c16:uniqueId val="{00000003-E0FE-4738-B955-28B344E8257B}"/>
            </c:ext>
          </c:extLst>
        </c:ser>
        <c:ser>
          <c:idx val="36"/>
          <c:order val="4"/>
          <c:tx>
            <c:strRef>
              <c:f>Historical_and_projected_ITT!$B$77</c:f>
              <c:strCache>
                <c:ptCount val="1"/>
                <c:pt idx="0">
                  <c:v>Mathematics - Projected</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Historical_and_projected_ITT!$C$77:$R$77</c:f>
              <c:numCache>
                <c:formatCode>#,##0</c:formatCode>
                <c:ptCount val="16"/>
                <c:pt idx="6">
                  <c:v>3102.4919179919257</c:v>
                </c:pt>
                <c:pt idx="7">
                  <c:v>2787.7844679424343</c:v>
                </c:pt>
                <c:pt idx="8">
                  <c:v>2759.1944162857258</c:v>
                </c:pt>
                <c:pt idx="9">
                  <c:v>2686.7842559842552</c:v>
                </c:pt>
                <c:pt idx="10">
                  <c:v>2705.204820186279</c:v>
                </c:pt>
                <c:pt idx="11">
                  <c:v>2672.4548942492102</c:v>
                </c:pt>
                <c:pt idx="12">
                  <c:v>2551.9160082118424</c:v>
                </c:pt>
                <c:pt idx="13">
                  <c:v>2522.1075675346615</c:v>
                </c:pt>
                <c:pt idx="14">
                  <c:v>2480.4814594800223</c:v>
                </c:pt>
                <c:pt idx="15">
                  <c:v>2434.6035100379568</c:v>
                </c:pt>
              </c:numCache>
            </c:numRef>
          </c:val>
          <c:smooth val="0"/>
          <c:extLst>
            <c:ext xmlns:c16="http://schemas.microsoft.com/office/drawing/2014/chart" uri="{C3380CC4-5D6E-409C-BE32-E72D297353CC}">
              <c16:uniqueId val="{00000004-E0FE-4738-B955-28B344E8257B}"/>
            </c:ext>
          </c:extLst>
        </c:ser>
        <c:ser>
          <c:idx val="1"/>
          <c:order val="5"/>
          <c:tx>
            <c:strRef>
              <c:f>Historical_and_projected_ITT!$B$84</c:f>
              <c:strCache>
                <c:ptCount val="1"/>
                <c:pt idx="0">
                  <c:v>Science - Projected</c:v>
                </c:pt>
              </c:strCache>
            </c:strRef>
          </c:tx>
          <c:spPr>
            <a:ln>
              <a:solidFill>
                <a:srgbClr val="00B0F0"/>
              </a:solidFill>
              <a:prstDash val="sysDot"/>
            </a:ln>
          </c:spPr>
          <c:marker>
            <c:symbol val="none"/>
          </c:marker>
          <c:val>
            <c:numRef>
              <c:f>Historical_and_projected_ITT!$C$84:$R$84</c:f>
              <c:numCache>
                <c:formatCode>#,##0</c:formatCode>
                <c:ptCount val="16"/>
                <c:pt idx="6">
                  <c:v>3295.7976481957207</c:v>
                </c:pt>
                <c:pt idx="7">
                  <c:v>3127.4535806465483</c:v>
                </c:pt>
                <c:pt idx="8">
                  <c:v>3080.497046252417</c:v>
                </c:pt>
                <c:pt idx="9">
                  <c:v>3137.7350762963397</c:v>
                </c:pt>
                <c:pt idx="10">
                  <c:v>3219.5935282721407</c:v>
                </c:pt>
                <c:pt idx="11">
                  <c:v>3139.5203325403909</c:v>
                </c:pt>
                <c:pt idx="12">
                  <c:v>3043.117234740294</c:v>
                </c:pt>
                <c:pt idx="13">
                  <c:v>3086.8223865769796</c:v>
                </c:pt>
                <c:pt idx="14">
                  <c:v>3065.1022483326378</c:v>
                </c:pt>
                <c:pt idx="15">
                  <c:v>2928.4406485830982</c:v>
                </c:pt>
              </c:numCache>
            </c:numRef>
          </c:val>
          <c:smooth val="0"/>
          <c:extLst>
            <c:ext xmlns:c16="http://schemas.microsoft.com/office/drawing/2014/chart" uri="{C3380CC4-5D6E-409C-BE32-E72D297353CC}">
              <c16:uniqueId val="{00000005-E0FE-4738-B955-28B344E8257B}"/>
            </c:ext>
          </c:extLst>
        </c:ser>
        <c:dLbls>
          <c:showLegendKey val="0"/>
          <c:showVal val="0"/>
          <c:showCatName val="0"/>
          <c:showSerName val="0"/>
          <c:showPercent val="0"/>
          <c:showBubbleSize val="0"/>
        </c:dLbls>
        <c:smooth val="0"/>
        <c:axId val="152360448"/>
        <c:axId val="152361984"/>
      </c:lineChart>
      <c:catAx>
        <c:axId val="15236044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52361984"/>
        <c:crosses val="autoZero"/>
        <c:auto val="1"/>
        <c:lblAlgn val="ctr"/>
        <c:lblOffset val="100"/>
        <c:noMultiLvlLbl val="0"/>
      </c:catAx>
      <c:valAx>
        <c:axId val="15236198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52360448"/>
        <c:crosses val="autoZero"/>
        <c:crossBetween val="between"/>
      </c:valAx>
      <c:spPr>
        <a:ln>
          <a:solidFill>
            <a:schemeClr val="tx1">
              <a:lumMod val="95000"/>
              <a:lumOff val="5000"/>
            </a:schemeClr>
          </a:solidFill>
        </a:ln>
      </c:spPr>
    </c:plotArea>
    <c:legend>
      <c:legendPos val="r"/>
      <c:layout>
        <c:manualLayout>
          <c:xMode val="edge"/>
          <c:yMode val="edge"/>
          <c:x val="0.72963951159157259"/>
          <c:y val="0.11369906158990399"/>
          <c:w val="0.25272904150075326"/>
          <c:h val="0.75753640383993093"/>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Science ITT places calculated by the TSM</a:t>
            </a:r>
          </a:p>
        </c:rich>
      </c:tx>
      <c:overlay val="0"/>
    </c:title>
    <c:autoTitleDeleted val="0"/>
    <c:plotArea>
      <c:layout>
        <c:manualLayout>
          <c:layoutTarget val="inner"/>
          <c:xMode val="edge"/>
          <c:yMode val="edge"/>
          <c:x val="0.11786777187039654"/>
          <c:y val="0.12271369945282264"/>
          <c:w val="0.6054524657313699"/>
          <c:h val="0.72974220383469013"/>
        </c:manualLayout>
      </c:layout>
      <c:lineChart>
        <c:grouping val="standard"/>
        <c:varyColors val="0"/>
        <c:ser>
          <c:idx val="2"/>
          <c:order val="0"/>
          <c:tx>
            <c:strRef>
              <c:f>Historical_and_projected_ITT!$B$43</c:f>
              <c:strCache>
                <c:ptCount val="1"/>
                <c:pt idx="0">
                  <c:v>Biology - Historical</c:v>
                </c:pt>
              </c:strCache>
            </c:strRef>
          </c:tx>
          <c:spPr>
            <a:ln>
              <a:solidFill>
                <a:sysClr val="windowText" lastClr="00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Historical_and_projected_ITT!$C$43:$R$43</c:f>
              <c:numCache>
                <c:formatCode>#,##0</c:formatCode>
                <c:ptCount val="16"/>
                <c:pt idx="3">
                  <c:v>891</c:v>
                </c:pt>
                <c:pt idx="4">
                  <c:v>1177.6613302701508</c:v>
                </c:pt>
                <c:pt idx="5">
                  <c:v>1177.6613302701508</c:v>
                </c:pt>
              </c:numCache>
            </c:numRef>
          </c:val>
          <c:smooth val="0"/>
          <c:extLst>
            <c:ext xmlns:c16="http://schemas.microsoft.com/office/drawing/2014/chart" uri="{C3380CC4-5D6E-409C-BE32-E72D297353CC}">
              <c16:uniqueId val="{00000000-982C-4B58-A895-3FF77B688E6C}"/>
            </c:ext>
          </c:extLst>
        </c:ser>
        <c:ser>
          <c:idx val="4"/>
          <c:order val="1"/>
          <c:tx>
            <c:strRef>
              <c:f>Historical_and_projected_ITT!$B$45</c:f>
              <c:strCache>
                <c:ptCount val="1"/>
                <c:pt idx="0">
                  <c:v>Chemistry - Historical</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Historical_and_projected_ITT!$C$45:$R$45</c:f>
              <c:numCache>
                <c:formatCode>#,##0</c:formatCode>
                <c:ptCount val="16"/>
                <c:pt idx="3">
                  <c:v>682</c:v>
                </c:pt>
                <c:pt idx="4">
                  <c:v>1053.4775422401942</c:v>
                </c:pt>
                <c:pt idx="5">
                  <c:v>1053.4775422401942</c:v>
                </c:pt>
              </c:numCache>
            </c:numRef>
          </c:val>
          <c:smooth val="0"/>
          <c:extLst>
            <c:ext xmlns:c16="http://schemas.microsoft.com/office/drawing/2014/chart" uri="{C3380CC4-5D6E-409C-BE32-E72D297353CC}">
              <c16:uniqueId val="{00000001-982C-4B58-A895-3FF77B688E6C}"/>
            </c:ext>
          </c:extLst>
        </c:ser>
        <c:ser>
          <c:idx val="18"/>
          <c:order val="2"/>
          <c:tx>
            <c:strRef>
              <c:f>Historical_and_projected_ITT!$B$59</c:f>
              <c:strCache>
                <c:ptCount val="1"/>
                <c:pt idx="0">
                  <c:v>Physics - Historical</c:v>
                </c:pt>
              </c:strCache>
            </c:strRef>
          </c:tx>
          <c:spPr>
            <a:ln>
              <a:solidFill>
                <a:srgbClr val="00B0F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Historical_and_projected_ITT!$C$59:$R$59</c:f>
              <c:numCache>
                <c:formatCode>#,##0</c:formatCode>
                <c:ptCount val="16"/>
                <c:pt idx="3">
                  <c:v>947</c:v>
                </c:pt>
                <c:pt idx="4">
                  <c:v>1054.6086561613313</c:v>
                </c:pt>
                <c:pt idx="5">
                  <c:v>1054.6086561613313</c:v>
                </c:pt>
              </c:numCache>
            </c:numRef>
          </c:val>
          <c:smooth val="0"/>
          <c:extLst>
            <c:ext xmlns:c16="http://schemas.microsoft.com/office/drawing/2014/chart" uri="{C3380CC4-5D6E-409C-BE32-E72D297353CC}">
              <c16:uniqueId val="{00000002-982C-4B58-A895-3FF77B688E6C}"/>
            </c:ext>
          </c:extLst>
        </c:ser>
        <c:ser>
          <c:idx val="25"/>
          <c:order val="3"/>
          <c:tx>
            <c:strRef>
              <c:f>Historical_and_projected_ITT!$B$66</c:f>
              <c:strCache>
                <c:ptCount val="1"/>
                <c:pt idx="0">
                  <c:v>Biology - Projected</c:v>
                </c:pt>
              </c:strCache>
            </c:strRef>
          </c:tx>
          <c:spPr>
            <a:ln>
              <a:solidFill>
                <a:sysClr val="windowText" lastClr="00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Historical_and_projected_ITT!$C$66:$R$66</c:f>
              <c:numCache>
                <c:formatCode>#,##0</c:formatCode>
                <c:ptCount val="16"/>
                <c:pt idx="6">
                  <c:v>1187.7114497941952</c:v>
                </c:pt>
                <c:pt idx="7">
                  <c:v>1126.9124911200001</c:v>
                </c:pt>
                <c:pt idx="8">
                  <c:v>1113.8222399145347</c:v>
                </c:pt>
                <c:pt idx="9">
                  <c:v>1136.5787454662809</c:v>
                </c:pt>
                <c:pt idx="10">
                  <c:v>1168.6206560528622</c:v>
                </c:pt>
                <c:pt idx="11">
                  <c:v>1147.1949566078174</c:v>
                </c:pt>
                <c:pt idx="12">
                  <c:v>1115.4426765851367</c:v>
                </c:pt>
                <c:pt idx="13">
                  <c:v>1128.4058710301586</c:v>
                </c:pt>
                <c:pt idx="14">
                  <c:v>1121.7178373540626</c:v>
                </c:pt>
                <c:pt idx="15">
                  <c:v>1081.0444498175762</c:v>
                </c:pt>
              </c:numCache>
            </c:numRef>
          </c:val>
          <c:smooth val="0"/>
          <c:extLst>
            <c:ext xmlns:c16="http://schemas.microsoft.com/office/drawing/2014/chart" uri="{C3380CC4-5D6E-409C-BE32-E72D297353CC}">
              <c16:uniqueId val="{00000003-982C-4B58-A895-3FF77B688E6C}"/>
            </c:ext>
          </c:extLst>
        </c:ser>
        <c:ser>
          <c:idx val="27"/>
          <c:order val="4"/>
          <c:tx>
            <c:strRef>
              <c:f>Historical_and_projected_ITT!$B$68</c:f>
              <c:strCache>
                <c:ptCount val="1"/>
                <c:pt idx="0">
                  <c:v>Chemistry - Projected</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Historical_and_projected_ITT!$C$68:$R$68</c:f>
              <c:numCache>
                <c:formatCode>#,##0</c:formatCode>
                <c:ptCount val="16"/>
                <c:pt idx="6">
                  <c:v>1053.4775422401942</c:v>
                </c:pt>
                <c:pt idx="7">
                  <c:v>966.78127647038559</c:v>
                </c:pt>
                <c:pt idx="8">
                  <c:v>952.72186905673129</c:v>
                </c:pt>
                <c:pt idx="9">
                  <c:v>970.66502431930064</c:v>
                </c:pt>
                <c:pt idx="10">
                  <c:v>996.11621501650393</c:v>
                </c:pt>
                <c:pt idx="11">
                  <c:v>970.2847494071076</c:v>
                </c:pt>
                <c:pt idx="12">
                  <c:v>941.20494422626291</c:v>
                </c:pt>
                <c:pt idx="13">
                  <c:v>955.15012028854881</c:v>
                </c:pt>
                <c:pt idx="14">
                  <c:v>948.40139360355818</c:v>
                </c:pt>
                <c:pt idx="15">
                  <c:v>904.81792267047354</c:v>
                </c:pt>
              </c:numCache>
            </c:numRef>
          </c:val>
          <c:smooth val="0"/>
          <c:extLst>
            <c:ext xmlns:c16="http://schemas.microsoft.com/office/drawing/2014/chart" uri="{C3380CC4-5D6E-409C-BE32-E72D297353CC}">
              <c16:uniqueId val="{00000004-982C-4B58-A895-3FF77B688E6C}"/>
            </c:ext>
          </c:extLst>
        </c:ser>
        <c:ser>
          <c:idx val="41"/>
          <c:order val="5"/>
          <c:tx>
            <c:strRef>
              <c:f>Historical_and_projected_ITT!$B$82</c:f>
              <c:strCache>
                <c:ptCount val="1"/>
                <c:pt idx="0">
                  <c:v>Physics - Projected</c:v>
                </c:pt>
              </c:strCache>
            </c:strRef>
          </c:tx>
          <c:spPr>
            <a:ln>
              <a:solidFill>
                <a:srgbClr val="00B0F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Historical_and_projected_ITT!$C$82:$R$82</c:f>
              <c:numCache>
                <c:formatCode>#,##0</c:formatCode>
                <c:ptCount val="16"/>
                <c:pt idx="6">
                  <c:v>1054.6086561613313</c:v>
                </c:pt>
                <c:pt idx="7">
                  <c:v>1033.7598130561623</c:v>
                </c:pt>
                <c:pt idx="8">
                  <c:v>1013.9529372811508</c:v>
                </c:pt>
                <c:pt idx="9">
                  <c:v>1030.4913065107582</c:v>
                </c:pt>
                <c:pt idx="10">
                  <c:v>1054.8566572027746</c:v>
                </c:pt>
                <c:pt idx="11">
                  <c:v>1022.0406265254661</c:v>
                </c:pt>
                <c:pt idx="12">
                  <c:v>986.46961392889443</c:v>
                </c:pt>
                <c:pt idx="13">
                  <c:v>1003.2663952582722</c:v>
                </c:pt>
                <c:pt idx="14">
                  <c:v>994.98301737501697</c:v>
                </c:pt>
                <c:pt idx="15">
                  <c:v>942.57827609504864</c:v>
                </c:pt>
              </c:numCache>
            </c:numRef>
          </c:val>
          <c:smooth val="0"/>
          <c:extLst>
            <c:ext xmlns:c16="http://schemas.microsoft.com/office/drawing/2014/chart" uri="{C3380CC4-5D6E-409C-BE32-E72D297353CC}">
              <c16:uniqueId val="{00000005-982C-4B58-A895-3FF77B688E6C}"/>
            </c:ext>
          </c:extLst>
        </c:ser>
        <c:dLbls>
          <c:showLegendKey val="0"/>
          <c:showVal val="0"/>
          <c:showCatName val="0"/>
          <c:showSerName val="0"/>
          <c:showPercent val="0"/>
          <c:showBubbleSize val="0"/>
        </c:dLbls>
        <c:smooth val="0"/>
        <c:axId val="173025152"/>
        <c:axId val="173026688"/>
      </c:lineChart>
      <c:catAx>
        <c:axId val="17302515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026688"/>
        <c:crosses val="autoZero"/>
        <c:auto val="1"/>
        <c:lblAlgn val="ctr"/>
        <c:lblOffset val="100"/>
        <c:noMultiLvlLbl val="0"/>
      </c:catAx>
      <c:valAx>
        <c:axId val="1730266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025152"/>
        <c:crosses val="autoZero"/>
        <c:crossBetween val="between"/>
      </c:valAx>
      <c:spPr>
        <a:ln>
          <a:solidFill>
            <a:schemeClr val="tx1">
              <a:lumMod val="95000"/>
              <a:lumOff val="5000"/>
            </a:schemeClr>
          </a:solidFill>
        </a:ln>
      </c:spPr>
    </c:plotArea>
    <c:legend>
      <c:legendPos val="r"/>
      <c:layout>
        <c:manualLayout>
          <c:xMode val="edge"/>
          <c:yMode val="edge"/>
          <c:x val="0.74077295707164115"/>
          <c:y val="7.6712616402401748E-2"/>
          <c:w val="0.24412795715971747"/>
          <c:h val="0.838358465465789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Humanities subjects ITT places calculated by the TSM</a:t>
            </a:r>
          </a:p>
        </c:rich>
      </c:tx>
      <c:overlay val="0"/>
    </c:title>
    <c:autoTitleDeleted val="0"/>
    <c:plotArea>
      <c:layout>
        <c:manualLayout>
          <c:layoutTarget val="inner"/>
          <c:xMode val="edge"/>
          <c:yMode val="edge"/>
          <c:x val="0.11786777187039654"/>
          <c:y val="0.12271369945282264"/>
          <c:w val="0.59568779864055454"/>
          <c:h val="0.72974220383469013"/>
        </c:manualLayout>
      </c:layout>
      <c:lineChart>
        <c:grouping val="standard"/>
        <c:varyColors val="0"/>
        <c:ser>
          <c:idx val="11"/>
          <c:order val="0"/>
          <c:tx>
            <c:strRef>
              <c:f>Historical_and_projected_ITT!$B$52</c:f>
              <c:strCache>
                <c:ptCount val="1"/>
                <c:pt idx="0">
                  <c:v>Geography - Historical</c:v>
                </c:pt>
              </c:strCache>
            </c:strRef>
          </c:tx>
          <c:spPr>
            <a:ln>
              <a:solidFill>
                <a:schemeClr val="tx1">
                  <a:lumMod val="95000"/>
                  <a:lumOff val="5000"/>
                </a:schemeClr>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Historical_and_projected_ITT!$C$52:$R$52</c:f>
              <c:numCache>
                <c:formatCode>#,##0</c:formatCode>
                <c:ptCount val="16"/>
                <c:pt idx="0">
                  <c:v>615</c:v>
                </c:pt>
                <c:pt idx="1">
                  <c:v>625</c:v>
                </c:pt>
                <c:pt idx="2">
                  <c:v>620</c:v>
                </c:pt>
                <c:pt idx="3">
                  <c:v>741</c:v>
                </c:pt>
                <c:pt idx="4">
                  <c:v>777.63869746363002</c:v>
                </c:pt>
                <c:pt idx="5">
                  <c:v>777.63869746363002</c:v>
                </c:pt>
              </c:numCache>
            </c:numRef>
          </c:val>
          <c:smooth val="0"/>
          <c:extLst>
            <c:ext xmlns:c16="http://schemas.microsoft.com/office/drawing/2014/chart" uri="{C3380CC4-5D6E-409C-BE32-E72D297353CC}">
              <c16:uniqueId val="{00000000-46B8-4FC7-8E79-4514AE1D43C3}"/>
            </c:ext>
          </c:extLst>
        </c:ser>
        <c:ser>
          <c:idx val="12"/>
          <c:order val="1"/>
          <c:tx>
            <c:strRef>
              <c:f>Historical_and_projected_ITT!$B$53</c:f>
              <c:strCache>
                <c:ptCount val="1"/>
                <c:pt idx="0">
                  <c:v>History - Historical</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Historical_and_projected_ITT!$C$53:$R$53</c:f>
              <c:numCache>
                <c:formatCode>#,##0</c:formatCode>
                <c:ptCount val="16"/>
                <c:pt idx="0">
                  <c:v>545</c:v>
                </c:pt>
                <c:pt idx="1">
                  <c:v>545</c:v>
                </c:pt>
                <c:pt idx="2">
                  <c:v>540</c:v>
                </c:pt>
                <c:pt idx="3">
                  <c:v>632</c:v>
                </c:pt>
                <c:pt idx="4">
                  <c:v>816.3930626788316</c:v>
                </c:pt>
                <c:pt idx="5">
                  <c:v>816.3930626788316</c:v>
                </c:pt>
              </c:numCache>
            </c:numRef>
          </c:val>
          <c:smooth val="0"/>
          <c:extLst>
            <c:ext xmlns:c16="http://schemas.microsoft.com/office/drawing/2014/chart" uri="{C3380CC4-5D6E-409C-BE32-E72D297353CC}">
              <c16:uniqueId val="{00000001-46B8-4FC7-8E79-4514AE1D43C3}"/>
            </c:ext>
          </c:extLst>
        </c:ser>
        <c:ser>
          <c:idx val="0"/>
          <c:order val="2"/>
          <c:tx>
            <c:strRef>
              <c:f>Historical_and_projected_ITT!$B$60</c:f>
              <c:strCache>
                <c:ptCount val="1"/>
                <c:pt idx="0">
                  <c:v>Religious Education Historical</c:v>
                </c:pt>
              </c:strCache>
            </c:strRef>
          </c:tx>
          <c:spPr>
            <a:ln>
              <a:solidFill>
                <a:srgbClr val="00B0F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Historical_and_projected_ITT!$C$60:$R$60</c:f>
              <c:numCache>
                <c:formatCode>#,##0</c:formatCode>
                <c:ptCount val="16"/>
                <c:pt idx="0">
                  <c:v>445.56485355648533</c:v>
                </c:pt>
                <c:pt idx="1">
                  <c:v>438.81987577639751</c:v>
                </c:pt>
                <c:pt idx="2">
                  <c:v>450</c:v>
                </c:pt>
                <c:pt idx="3">
                  <c:v>537</c:v>
                </c:pt>
                <c:pt idx="4">
                  <c:v>650.29476323685049</c:v>
                </c:pt>
                <c:pt idx="5">
                  <c:v>543.76114601060056</c:v>
                </c:pt>
              </c:numCache>
            </c:numRef>
          </c:val>
          <c:smooth val="0"/>
          <c:extLst>
            <c:ext xmlns:c16="http://schemas.microsoft.com/office/drawing/2014/chart" uri="{C3380CC4-5D6E-409C-BE32-E72D297353CC}">
              <c16:uniqueId val="{00000002-46B8-4FC7-8E79-4514AE1D43C3}"/>
            </c:ext>
          </c:extLst>
        </c:ser>
        <c:ser>
          <c:idx val="34"/>
          <c:order val="3"/>
          <c:tx>
            <c:strRef>
              <c:f>Historical_and_projected_ITT!$B$75</c:f>
              <c:strCache>
                <c:ptCount val="1"/>
                <c:pt idx="0">
                  <c:v>Geography - Projected</c:v>
                </c:pt>
              </c:strCache>
            </c:strRef>
          </c:tx>
          <c:spPr>
            <a:ln>
              <a:solidFill>
                <a:schemeClr val="tx1">
                  <a:lumMod val="95000"/>
                  <a:lumOff val="5000"/>
                </a:schemeClr>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Historical_and_projected_ITT!$C$75:$R$75</c:f>
              <c:numCache>
                <c:formatCode>#,##0</c:formatCode>
                <c:ptCount val="16"/>
                <c:pt idx="6">
                  <c:v>1531.1469289044046</c:v>
                </c:pt>
                <c:pt idx="7">
                  <c:v>1504.7087985344428</c:v>
                </c:pt>
                <c:pt idx="8">
                  <c:v>1171.0131864048562</c:v>
                </c:pt>
                <c:pt idx="9">
                  <c:v>1110.5021575700273</c:v>
                </c:pt>
                <c:pt idx="10">
                  <c:v>1119.050627427448</c:v>
                </c:pt>
                <c:pt idx="11">
                  <c:v>1132.2752720987266</c:v>
                </c:pt>
                <c:pt idx="12">
                  <c:v>1046.4380380159587</c:v>
                </c:pt>
                <c:pt idx="13">
                  <c:v>1000.8557887231527</c:v>
                </c:pt>
                <c:pt idx="14">
                  <c:v>971.03333055983364</c:v>
                </c:pt>
                <c:pt idx="15">
                  <c:v>987.78183568772477</c:v>
                </c:pt>
              </c:numCache>
            </c:numRef>
          </c:val>
          <c:smooth val="0"/>
          <c:extLst>
            <c:ext xmlns:c16="http://schemas.microsoft.com/office/drawing/2014/chart" uri="{C3380CC4-5D6E-409C-BE32-E72D297353CC}">
              <c16:uniqueId val="{00000003-46B8-4FC7-8E79-4514AE1D43C3}"/>
            </c:ext>
          </c:extLst>
        </c:ser>
        <c:ser>
          <c:idx val="35"/>
          <c:order val="4"/>
          <c:tx>
            <c:strRef>
              <c:f>Historical_and_projected_ITT!$B$76</c:f>
              <c:strCache>
                <c:ptCount val="1"/>
                <c:pt idx="0">
                  <c:v>History - Projected</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Historical_and_projected_ITT!$C$76:$R$76</c:f>
              <c:numCache>
                <c:formatCode>#,##0</c:formatCode>
                <c:ptCount val="16"/>
                <c:pt idx="6">
                  <c:v>1159.7619052471459</c:v>
                </c:pt>
                <c:pt idx="7">
                  <c:v>1226.4518433462051</c:v>
                </c:pt>
                <c:pt idx="8">
                  <c:v>971.86023416977423</c:v>
                </c:pt>
                <c:pt idx="9">
                  <c:v>958.66743107310538</c:v>
                </c:pt>
                <c:pt idx="10">
                  <c:v>972.36862014938811</c:v>
                </c:pt>
                <c:pt idx="11">
                  <c:v>981.51438465095782</c:v>
                </c:pt>
                <c:pt idx="12">
                  <c:v>913.15755071210424</c:v>
                </c:pt>
                <c:pt idx="13">
                  <c:v>876.35005582859299</c:v>
                </c:pt>
                <c:pt idx="14">
                  <c:v>851.5709958491974</c:v>
                </c:pt>
                <c:pt idx="15">
                  <c:v>861.39426824252848</c:v>
                </c:pt>
              </c:numCache>
            </c:numRef>
          </c:val>
          <c:smooth val="0"/>
          <c:extLst>
            <c:ext xmlns:c16="http://schemas.microsoft.com/office/drawing/2014/chart" uri="{C3380CC4-5D6E-409C-BE32-E72D297353CC}">
              <c16:uniqueId val="{00000004-46B8-4FC7-8E79-4514AE1D43C3}"/>
            </c:ext>
          </c:extLst>
        </c:ser>
        <c:ser>
          <c:idx val="1"/>
          <c:order val="5"/>
          <c:tx>
            <c:strRef>
              <c:f>Historical_and_projected_ITT!$B$83</c:f>
              <c:strCache>
                <c:ptCount val="1"/>
                <c:pt idx="0">
                  <c:v>Religious Education Projected</c:v>
                </c:pt>
              </c:strCache>
            </c:strRef>
          </c:tx>
          <c:spPr>
            <a:ln>
              <a:solidFill>
                <a:srgbClr val="00B0F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Historical_and_projected_ITT!$C$83:$R$83</c:f>
              <c:numCache>
                <c:formatCode>#,##0</c:formatCode>
                <c:ptCount val="16"/>
                <c:pt idx="6">
                  <c:v>643.48147436594184</c:v>
                </c:pt>
                <c:pt idx="7">
                  <c:v>600.16043362715345</c:v>
                </c:pt>
                <c:pt idx="8">
                  <c:v>593.07523679947383</c:v>
                </c:pt>
                <c:pt idx="9">
                  <c:v>590.61636295417236</c:v>
                </c:pt>
                <c:pt idx="10">
                  <c:v>593.78080774248076</c:v>
                </c:pt>
                <c:pt idx="11">
                  <c:v>592.38109159233511</c:v>
                </c:pt>
                <c:pt idx="12">
                  <c:v>564.86664177803425</c:v>
                </c:pt>
                <c:pt idx="13">
                  <c:v>553.40561220288089</c:v>
                </c:pt>
                <c:pt idx="14">
                  <c:v>543.9025520190205</c:v>
                </c:pt>
                <c:pt idx="15">
                  <c:v>542.51318066409567</c:v>
                </c:pt>
              </c:numCache>
            </c:numRef>
          </c:val>
          <c:smooth val="0"/>
          <c:extLst>
            <c:ext xmlns:c16="http://schemas.microsoft.com/office/drawing/2014/chart" uri="{C3380CC4-5D6E-409C-BE32-E72D297353CC}">
              <c16:uniqueId val="{00000005-46B8-4FC7-8E79-4514AE1D43C3}"/>
            </c:ext>
          </c:extLst>
        </c:ser>
        <c:dLbls>
          <c:showLegendKey val="0"/>
          <c:showVal val="0"/>
          <c:showCatName val="0"/>
          <c:showSerName val="0"/>
          <c:showPercent val="0"/>
          <c:showBubbleSize val="0"/>
        </c:dLbls>
        <c:smooth val="0"/>
        <c:axId val="173218432"/>
        <c:axId val="173228416"/>
      </c:lineChart>
      <c:catAx>
        <c:axId val="173218432"/>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28416"/>
        <c:crosses val="autoZero"/>
        <c:auto val="1"/>
        <c:lblAlgn val="ctr"/>
        <c:lblOffset val="100"/>
        <c:noMultiLvlLbl val="0"/>
      </c:catAx>
      <c:valAx>
        <c:axId val="1732284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218432"/>
        <c:crosses val="autoZero"/>
        <c:crossBetween val="between"/>
      </c:valAx>
      <c:spPr>
        <a:ln>
          <a:solidFill>
            <a:schemeClr val="tx1">
              <a:lumMod val="95000"/>
              <a:lumOff val="5000"/>
            </a:schemeClr>
          </a:solidFill>
        </a:ln>
      </c:spPr>
    </c:plotArea>
    <c:legend>
      <c:legendPos val="r"/>
      <c:layout>
        <c:manualLayout>
          <c:xMode val="edge"/>
          <c:yMode val="edge"/>
          <c:x val="0.73439750584347563"/>
          <c:y val="9.5890698594182575E-2"/>
          <c:w val="0.24629178627177264"/>
          <c:h val="0.79726228741955207"/>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Arts ITT places calculated by the TSM</a:t>
            </a:r>
          </a:p>
        </c:rich>
      </c:tx>
      <c:overlay val="0"/>
    </c:title>
    <c:autoTitleDeleted val="0"/>
    <c:plotArea>
      <c:layout>
        <c:manualLayout>
          <c:layoutTarget val="inner"/>
          <c:xMode val="edge"/>
          <c:yMode val="edge"/>
          <c:x val="0.11773876907270284"/>
          <c:y val="0.12105650329303574"/>
          <c:w val="0.60083759391279457"/>
          <c:h val="0.73339192007627252"/>
        </c:manualLayout>
      </c:layout>
      <c:lineChart>
        <c:grouping val="standard"/>
        <c:varyColors val="0"/>
        <c:ser>
          <c:idx val="1"/>
          <c:order val="0"/>
          <c:tx>
            <c:strRef>
              <c:f>Historical_and_projected_ITT!$B$42</c:f>
              <c:strCache>
                <c:ptCount val="1"/>
                <c:pt idx="0">
                  <c:v>Art &amp; Design - Historical</c:v>
                </c:pt>
              </c:strCache>
            </c:strRef>
          </c:tx>
          <c:spPr>
            <a:ln>
              <a:solidFill>
                <a:schemeClr val="tx1"/>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Historical_and_projected_ITT!$C$42:$R$42</c:f>
              <c:numCache>
                <c:formatCode>#,##0</c:formatCode>
                <c:ptCount val="16"/>
                <c:pt idx="0">
                  <c:v>320</c:v>
                </c:pt>
                <c:pt idx="1">
                  <c:v>320</c:v>
                </c:pt>
                <c:pt idx="2">
                  <c:v>340</c:v>
                </c:pt>
                <c:pt idx="3">
                  <c:v>403</c:v>
                </c:pt>
                <c:pt idx="4">
                  <c:v>793.58241370447331</c:v>
                </c:pt>
                <c:pt idx="5">
                  <c:v>633.36225106708196</c:v>
                </c:pt>
              </c:numCache>
            </c:numRef>
          </c:val>
          <c:smooth val="0"/>
          <c:extLst>
            <c:ext xmlns:c16="http://schemas.microsoft.com/office/drawing/2014/chart" uri="{C3380CC4-5D6E-409C-BE32-E72D297353CC}">
              <c16:uniqueId val="{00000000-1398-48F9-8474-CB2857ADD40E}"/>
            </c:ext>
          </c:extLst>
        </c:ser>
        <c:ser>
          <c:idx val="8"/>
          <c:order val="1"/>
          <c:tx>
            <c:strRef>
              <c:f>Historical_and_projected_ITT!$B$49</c:f>
              <c:strCache>
                <c:ptCount val="1"/>
                <c:pt idx="0">
                  <c:v>Drama - Historical</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Historical_and_projected_ITT!$C$49:$R$49</c:f>
              <c:numCache>
                <c:formatCode>#,##0</c:formatCode>
                <c:ptCount val="16"/>
                <c:pt idx="4">
                  <c:v>434.87922730407433</c:v>
                </c:pt>
                <c:pt idx="5">
                  <c:v>346.85956318941584</c:v>
                </c:pt>
              </c:numCache>
            </c:numRef>
          </c:val>
          <c:smooth val="0"/>
          <c:extLst>
            <c:ext xmlns:c16="http://schemas.microsoft.com/office/drawing/2014/chart" uri="{C3380CC4-5D6E-409C-BE32-E72D297353CC}">
              <c16:uniqueId val="{00000001-1398-48F9-8474-CB2857ADD40E}"/>
            </c:ext>
          </c:extLst>
        </c:ser>
        <c:ser>
          <c:idx val="15"/>
          <c:order val="2"/>
          <c:tx>
            <c:strRef>
              <c:f>Historical_and_projected_ITT!$B$56</c:f>
              <c:strCache>
                <c:ptCount val="1"/>
                <c:pt idx="0">
                  <c:v>Music - Historical</c:v>
                </c:pt>
              </c:strCache>
            </c:strRef>
          </c:tx>
          <c:spPr>
            <a:ln>
              <a:solidFill>
                <a:srgbClr val="00B0F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Historical_and_projected_ITT!$C$56:$R$56</c:f>
              <c:numCache>
                <c:formatCode>#,##0</c:formatCode>
                <c:ptCount val="16"/>
                <c:pt idx="0">
                  <c:v>389.0176322418136</c:v>
                </c:pt>
                <c:pt idx="1">
                  <c:v>380</c:v>
                </c:pt>
                <c:pt idx="2">
                  <c:v>390</c:v>
                </c:pt>
                <c:pt idx="3">
                  <c:v>461</c:v>
                </c:pt>
                <c:pt idx="4">
                  <c:v>481.49267645590942</c:v>
                </c:pt>
                <c:pt idx="5">
                  <c:v>399.22124195848323</c:v>
                </c:pt>
              </c:numCache>
            </c:numRef>
          </c:val>
          <c:smooth val="0"/>
          <c:extLst>
            <c:ext xmlns:c16="http://schemas.microsoft.com/office/drawing/2014/chart" uri="{C3380CC4-5D6E-409C-BE32-E72D297353CC}">
              <c16:uniqueId val="{00000002-1398-48F9-8474-CB2857ADD40E}"/>
            </c:ext>
          </c:extLst>
        </c:ser>
        <c:ser>
          <c:idx val="24"/>
          <c:order val="3"/>
          <c:tx>
            <c:strRef>
              <c:f>Historical_and_projected_ITT!$B$65</c:f>
              <c:strCache>
                <c:ptCount val="1"/>
                <c:pt idx="0">
                  <c:v>Art &amp; Design - Projected</c:v>
                </c:pt>
              </c:strCache>
            </c:strRef>
          </c:tx>
          <c:spPr>
            <a:ln>
              <a:solidFill>
                <a:schemeClr val="tx1"/>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Historical_and_projected_ITT!$C$65:$R$65</c:f>
              <c:numCache>
                <c:formatCode>#,##0</c:formatCode>
                <c:ptCount val="16"/>
                <c:pt idx="6">
                  <c:v>577.09697709165653</c:v>
                </c:pt>
                <c:pt idx="7">
                  <c:v>579.96268842827885</c:v>
                </c:pt>
                <c:pt idx="8">
                  <c:v>651.70755511655113</c:v>
                </c:pt>
                <c:pt idx="9">
                  <c:v>664.74499321718838</c:v>
                </c:pt>
                <c:pt idx="10">
                  <c:v>669.57591601380284</c:v>
                </c:pt>
                <c:pt idx="11">
                  <c:v>679.90558343006444</c:v>
                </c:pt>
                <c:pt idx="12">
                  <c:v>654.42929354511489</c:v>
                </c:pt>
                <c:pt idx="13">
                  <c:v>628.87838823827781</c:v>
                </c:pt>
                <c:pt idx="14">
                  <c:v>615.76612881188157</c:v>
                </c:pt>
                <c:pt idx="15">
                  <c:v>629.46753481661972</c:v>
                </c:pt>
              </c:numCache>
            </c:numRef>
          </c:val>
          <c:smooth val="0"/>
          <c:extLst>
            <c:ext xmlns:c16="http://schemas.microsoft.com/office/drawing/2014/chart" uri="{C3380CC4-5D6E-409C-BE32-E72D297353CC}">
              <c16:uniqueId val="{00000003-1398-48F9-8474-CB2857ADD40E}"/>
            </c:ext>
          </c:extLst>
        </c:ser>
        <c:ser>
          <c:idx val="31"/>
          <c:order val="4"/>
          <c:tx>
            <c:strRef>
              <c:f>Historical_and_projected_ITT!$B$72</c:f>
              <c:strCache>
                <c:ptCount val="1"/>
                <c:pt idx="0">
                  <c:v>Drama - Projected</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Historical_and_projected_ITT!$C$72:$R$72</c:f>
              <c:numCache>
                <c:formatCode>#,##0</c:formatCode>
                <c:ptCount val="16"/>
                <c:pt idx="6">
                  <c:v>345.11470491922063</c:v>
                </c:pt>
                <c:pt idx="7">
                  <c:v>333.38217360990109</c:v>
                </c:pt>
                <c:pt idx="8">
                  <c:v>330.95669994171158</c:v>
                </c:pt>
                <c:pt idx="9">
                  <c:v>356.91217754402464</c:v>
                </c:pt>
                <c:pt idx="10">
                  <c:v>359.3054762709408</c:v>
                </c:pt>
                <c:pt idx="11">
                  <c:v>367.49003870253716</c:v>
                </c:pt>
                <c:pt idx="12">
                  <c:v>352.92023458984693</c:v>
                </c:pt>
                <c:pt idx="13">
                  <c:v>339.48204930872771</c:v>
                </c:pt>
                <c:pt idx="14">
                  <c:v>333.52216210028701</c:v>
                </c:pt>
                <c:pt idx="15">
                  <c:v>344.35340387773311</c:v>
                </c:pt>
              </c:numCache>
            </c:numRef>
          </c:val>
          <c:smooth val="0"/>
          <c:extLst>
            <c:ext xmlns:c16="http://schemas.microsoft.com/office/drawing/2014/chart" uri="{C3380CC4-5D6E-409C-BE32-E72D297353CC}">
              <c16:uniqueId val="{00000004-1398-48F9-8474-CB2857ADD40E}"/>
            </c:ext>
          </c:extLst>
        </c:ser>
        <c:ser>
          <c:idx val="38"/>
          <c:order val="5"/>
          <c:tx>
            <c:strRef>
              <c:f>Historical_and_projected_ITT!$B$79</c:f>
              <c:strCache>
                <c:ptCount val="1"/>
                <c:pt idx="0">
                  <c:v>Music - Projected</c:v>
                </c:pt>
              </c:strCache>
            </c:strRef>
          </c:tx>
          <c:spPr>
            <a:ln>
              <a:solidFill>
                <a:srgbClr val="00B0F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Historical_and_projected_ITT!$C$79:$R$79</c:f>
              <c:numCache>
                <c:formatCode>#,##0</c:formatCode>
                <c:ptCount val="16"/>
                <c:pt idx="6">
                  <c:v>393.33766666889568</c:v>
                </c:pt>
                <c:pt idx="7">
                  <c:v>406.77501732713841</c:v>
                </c:pt>
                <c:pt idx="8">
                  <c:v>400.8143694799154</c:v>
                </c:pt>
                <c:pt idx="9">
                  <c:v>393.80244245065768</c:v>
                </c:pt>
                <c:pt idx="10">
                  <c:v>389.71277707345877</c:v>
                </c:pt>
                <c:pt idx="11">
                  <c:v>404.58216674891997</c:v>
                </c:pt>
                <c:pt idx="12">
                  <c:v>383.179044732389</c:v>
                </c:pt>
                <c:pt idx="13">
                  <c:v>358.65948147751101</c:v>
                </c:pt>
                <c:pt idx="14">
                  <c:v>349.01158662955197</c:v>
                </c:pt>
                <c:pt idx="15">
                  <c:v>371.78744796433364</c:v>
                </c:pt>
              </c:numCache>
            </c:numRef>
          </c:val>
          <c:smooth val="0"/>
          <c:extLst>
            <c:ext xmlns:c16="http://schemas.microsoft.com/office/drawing/2014/chart" uri="{C3380CC4-5D6E-409C-BE32-E72D297353CC}">
              <c16:uniqueId val="{00000005-1398-48F9-8474-CB2857ADD40E}"/>
            </c:ext>
          </c:extLst>
        </c:ser>
        <c:dLbls>
          <c:showLegendKey val="0"/>
          <c:showVal val="0"/>
          <c:showCatName val="0"/>
          <c:showSerName val="0"/>
          <c:showPercent val="0"/>
          <c:showBubbleSize val="0"/>
        </c:dLbls>
        <c:smooth val="0"/>
        <c:axId val="173558400"/>
        <c:axId val="173564288"/>
      </c:lineChart>
      <c:catAx>
        <c:axId val="17355840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564288"/>
        <c:crosses val="autoZero"/>
        <c:auto val="1"/>
        <c:lblAlgn val="ctr"/>
        <c:lblOffset val="100"/>
        <c:noMultiLvlLbl val="0"/>
      </c:catAx>
      <c:valAx>
        <c:axId val="17356428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58400"/>
        <c:crosses val="autoZero"/>
        <c:crossBetween val="between"/>
      </c:valAx>
      <c:spPr>
        <a:ln>
          <a:solidFill>
            <a:schemeClr val="tx1">
              <a:lumMod val="95000"/>
              <a:lumOff val="5000"/>
            </a:schemeClr>
          </a:solidFill>
        </a:ln>
      </c:spPr>
    </c:plotArea>
    <c:legend>
      <c:legendPos val="r"/>
      <c:layout>
        <c:manualLayout>
          <c:xMode val="edge"/>
          <c:yMode val="edge"/>
          <c:x val="0.73299803354572823"/>
          <c:y val="9.6153846153846159E-2"/>
          <c:w val="0.24601199759244219"/>
          <c:h val="0.78846153846153844"/>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Other subjects ITT places calculated by the TSM</a:t>
            </a:r>
          </a:p>
        </c:rich>
      </c:tx>
      <c:overlay val="0"/>
    </c:title>
    <c:autoTitleDeleted val="0"/>
    <c:plotArea>
      <c:layout>
        <c:manualLayout>
          <c:layoutTarget val="inner"/>
          <c:xMode val="edge"/>
          <c:yMode val="edge"/>
          <c:x val="0.11786777187039654"/>
          <c:y val="0.12105647008936396"/>
          <c:w val="0.6074718905500579"/>
          <c:h val="0.73339199320218429"/>
        </c:manualLayout>
      </c:layout>
      <c:lineChart>
        <c:grouping val="standard"/>
        <c:varyColors val="0"/>
        <c:ser>
          <c:idx val="3"/>
          <c:order val="0"/>
          <c:tx>
            <c:strRef>
              <c:f>Historical_and_projected_ITT!$B$44</c:f>
              <c:strCache>
                <c:ptCount val="1"/>
                <c:pt idx="0">
                  <c:v>Business Studies - Historical</c:v>
                </c:pt>
              </c:strCache>
            </c:strRef>
          </c:tx>
          <c:spPr>
            <a:ln>
              <a:solidFill>
                <a:sysClr val="windowText" lastClr="00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Historical_and_projected_ITT!$C$44:$R$44</c:f>
              <c:numCache>
                <c:formatCode>#,##0</c:formatCode>
                <c:ptCount val="16"/>
                <c:pt idx="1">
                  <c:v>225</c:v>
                </c:pt>
                <c:pt idx="2">
                  <c:v>230</c:v>
                </c:pt>
                <c:pt idx="3">
                  <c:v>264</c:v>
                </c:pt>
                <c:pt idx="4">
                  <c:v>312.53900645670046</c:v>
                </c:pt>
                <c:pt idx="5">
                  <c:v>252.10609160545758</c:v>
                </c:pt>
              </c:numCache>
            </c:numRef>
          </c:val>
          <c:smooth val="0"/>
          <c:extLst>
            <c:ext xmlns:c16="http://schemas.microsoft.com/office/drawing/2014/chart" uri="{C3380CC4-5D6E-409C-BE32-E72D297353CC}">
              <c16:uniqueId val="{00000000-EF93-4A3F-9CB1-3BC02DC0367D}"/>
            </c:ext>
          </c:extLst>
        </c:ser>
        <c:ser>
          <c:idx val="16"/>
          <c:order val="1"/>
          <c:tx>
            <c:strRef>
              <c:f>Historical_and_projected_ITT!$B$57</c:f>
              <c:strCache>
                <c:ptCount val="1"/>
                <c:pt idx="0">
                  <c:v>Others - Historical</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Historical_and_projected_ITT!$C$57:$R$57</c:f>
              <c:numCache>
                <c:formatCode>#,##0</c:formatCode>
                <c:ptCount val="16"/>
                <c:pt idx="0">
                  <c:v>289.31442080378253</c:v>
                </c:pt>
                <c:pt idx="1">
                  <c:v>220</c:v>
                </c:pt>
                <c:pt idx="2">
                  <c:v>580</c:v>
                </c:pt>
                <c:pt idx="3">
                  <c:v>682</c:v>
                </c:pt>
                <c:pt idx="4">
                  <c:v>1341.831139968202</c:v>
                </c:pt>
                <c:pt idx="5">
                  <c:v>938.4604745574145</c:v>
                </c:pt>
              </c:numCache>
            </c:numRef>
          </c:val>
          <c:smooth val="0"/>
          <c:extLst>
            <c:ext xmlns:c16="http://schemas.microsoft.com/office/drawing/2014/chart" uri="{C3380CC4-5D6E-409C-BE32-E72D297353CC}">
              <c16:uniqueId val="{00000001-EF93-4A3F-9CB1-3BC02DC0367D}"/>
            </c:ext>
          </c:extLst>
        </c:ser>
        <c:ser>
          <c:idx val="17"/>
          <c:order val="2"/>
          <c:tx>
            <c:strRef>
              <c:f>Historical_and_projected_ITT!$B$58</c:f>
              <c:strCache>
                <c:ptCount val="1"/>
                <c:pt idx="0">
                  <c:v>Physical Education - Historical</c:v>
                </c:pt>
              </c:strCache>
            </c:strRef>
          </c:tx>
          <c:spPr>
            <a:ln>
              <a:solidFill>
                <a:srgbClr val="00B0F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Historical_and_projected_ITT!$C$58:$R$58</c:f>
              <c:numCache>
                <c:formatCode>#,##0</c:formatCode>
                <c:ptCount val="16"/>
                <c:pt idx="0">
                  <c:v>779.44593386952636</c:v>
                </c:pt>
                <c:pt idx="1">
                  <c:v>767.29729729729729</c:v>
                </c:pt>
                <c:pt idx="2">
                  <c:v>780</c:v>
                </c:pt>
                <c:pt idx="3">
                  <c:v>966</c:v>
                </c:pt>
                <c:pt idx="4">
                  <c:v>1227.4824684668752</c:v>
                </c:pt>
                <c:pt idx="5">
                  <c:v>999.20159210266934</c:v>
                </c:pt>
              </c:numCache>
            </c:numRef>
          </c:val>
          <c:smooth val="0"/>
          <c:extLst>
            <c:ext xmlns:c16="http://schemas.microsoft.com/office/drawing/2014/chart" uri="{C3380CC4-5D6E-409C-BE32-E72D297353CC}">
              <c16:uniqueId val="{00000002-EF93-4A3F-9CB1-3BC02DC0367D}"/>
            </c:ext>
          </c:extLst>
        </c:ser>
        <c:ser>
          <c:idx val="26"/>
          <c:order val="3"/>
          <c:tx>
            <c:strRef>
              <c:f>Historical_and_projected_ITT!$B$67</c:f>
              <c:strCache>
                <c:ptCount val="1"/>
                <c:pt idx="0">
                  <c:v>Business Studies - Projected</c:v>
                </c:pt>
              </c:strCache>
            </c:strRef>
          </c:tx>
          <c:spPr>
            <a:ln>
              <a:solidFill>
                <a:sysClr val="windowText" lastClr="00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Historical_and_projected_ITT!$C$67:$R$67</c:f>
              <c:numCache>
                <c:formatCode>#,##0</c:formatCode>
                <c:ptCount val="16"/>
                <c:pt idx="6">
                  <c:v>217.57177227814842</c:v>
                </c:pt>
                <c:pt idx="7">
                  <c:v>163.8680660321287</c:v>
                </c:pt>
                <c:pt idx="8">
                  <c:v>243.85222751649474</c:v>
                </c:pt>
                <c:pt idx="9">
                  <c:v>281.41522968344844</c:v>
                </c:pt>
                <c:pt idx="10">
                  <c:v>305.15509723756918</c:v>
                </c:pt>
                <c:pt idx="11">
                  <c:v>296.01205150713486</c:v>
                </c:pt>
                <c:pt idx="12">
                  <c:v>305.40544457193852</c:v>
                </c:pt>
                <c:pt idx="13">
                  <c:v>315.00261012458503</c:v>
                </c:pt>
                <c:pt idx="14">
                  <c:v>316.8079820872515</c:v>
                </c:pt>
                <c:pt idx="15">
                  <c:v>297.73317389529876</c:v>
                </c:pt>
              </c:numCache>
            </c:numRef>
          </c:val>
          <c:smooth val="0"/>
          <c:extLst>
            <c:ext xmlns:c16="http://schemas.microsoft.com/office/drawing/2014/chart" uri="{C3380CC4-5D6E-409C-BE32-E72D297353CC}">
              <c16:uniqueId val="{00000003-EF93-4A3F-9CB1-3BC02DC0367D}"/>
            </c:ext>
          </c:extLst>
        </c:ser>
        <c:ser>
          <c:idx val="39"/>
          <c:order val="4"/>
          <c:tx>
            <c:strRef>
              <c:f>Historical_and_projected_ITT!$B$80</c:f>
              <c:strCache>
                <c:ptCount val="1"/>
                <c:pt idx="0">
                  <c:v>Others - Projected</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Historical_and_projected_ITT!$C$80:$R$80</c:f>
              <c:numCache>
                <c:formatCode>#,##0</c:formatCode>
                <c:ptCount val="16"/>
                <c:pt idx="6">
                  <c:v>811.63141166826551</c:v>
                </c:pt>
                <c:pt idx="7">
                  <c:v>668.83659118319588</c:v>
                </c:pt>
                <c:pt idx="8">
                  <c:v>853.24435743427398</c:v>
                </c:pt>
                <c:pt idx="9">
                  <c:v>995.16619643327533</c:v>
                </c:pt>
                <c:pt idx="10">
                  <c:v>1050.7740359917625</c:v>
                </c:pt>
                <c:pt idx="11">
                  <c:v>1049.7894876474948</c:v>
                </c:pt>
                <c:pt idx="12">
                  <c:v>1066.4794337394167</c:v>
                </c:pt>
                <c:pt idx="13">
                  <c:v>1056.2545845910097</c:v>
                </c:pt>
                <c:pt idx="14">
                  <c:v>1051.8453542187458</c:v>
                </c:pt>
                <c:pt idx="15">
                  <c:v>1040.7727138241928</c:v>
                </c:pt>
              </c:numCache>
            </c:numRef>
          </c:val>
          <c:smooth val="0"/>
          <c:extLst>
            <c:ext xmlns:c16="http://schemas.microsoft.com/office/drawing/2014/chart" uri="{C3380CC4-5D6E-409C-BE32-E72D297353CC}">
              <c16:uniqueId val="{00000004-EF93-4A3F-9CB1-3BC02DC0367D}"/>
            </c:ext>
          </c:extLst>
        </c:ser>
        <c:ser>
          <c:idx val="40"/>
          <c:order val="5"/>
          <c:tx>
            <c:strRef>
              <c:f>Historical_and_projected_ITT!$B$81</c:f>
              <c:strCache>
                <c:ptCount val="1"/>
                <c:pt idx="0">
                  <c:v>Physical Education - Projected</c:v>
                </c:pt>
              </c:strCache>
            </c:strRef>
          </c:tx>
          <c:spPr>
            <a:ln>
              <a:solidFill>
                <a:srgbClr val="00B0F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Historical_and_projected_ITT!$C$81:$R$81</c:f>
              <c:numCache>
                <c:formatCode>#,##0</c:formatCode>
                <c:ptCount val="16"/>
                <c:pt idx="6">
                  <c:v>999.20159210266934</c:v>
                </c:pt>
                <c:pt idx="7">
                  <c:v>940.5356890179014</c:v>
                </c:pt>
                <c:pt idx="8">
                  <c:v>1064.2534959057152</c:v>
                </c:pt>
                <c:pt idx="9">
                  <c:v>1119.4401408775921</c:v>
                </c:pt>
                <c:pt idx="10">
                  <c:v>1137.5114386744754</c:v>
                </c:pt>
                <c:pt idx="11">
                  <c:v>1145.3452281014163</c:v>
                </c:pt>
                <c:pt idx="12">
                  <c:v>1093.0705675868437</c:v>
                </c:pt>
                <c:pt idx="13">
                  <c:v>1078.6572605499464</c:v>
                </c:pt>
                <c:pt idx="14">
                  <c:v>1066.0664422003647</c:v>
                </c:pt>
                <c:pt idx="15">
                  <c:v>1068.9838311431301</c:v>
                </c:pt>
              </c:numCache>
            </c:numRef>
          </c:val>
          <c:smooth val="0"/>
          <c:extLst>
            <c:ext xmlns:c16="http://schemas.microsoft.com/office/drawing/2014/chart" uri="{C3380CC4-5D6E-409C-BE32-E72D297353CC}">
              <c16:uniqueId val="{00000005-EF93-4A3F-9CB1-3BC02DC0367D}"/>
            </c:ext>
          </c:extLst>
        </c:ser>
        <c:dLbls>
          <c:showLegendKey val="0"/>
          <c:showVal val="0"/>
          <c:showCatName val="0"/>
          <c:showSerName val="0"/>
          <c:showPercent val="0"/>
          <c:showBubbleSize val="0"/>
        </c:dLbls>
        <c:smooth val="0"/>
        <c:axId val="173599744"/>
        <c:axId val="173286144"/>
      </c:lineChart>
      <c:catAx>
        <c:axId val="173599744"/>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286144"/>
        <c:crosses val="autoZero"/>
        <c:auto val="1"/>
        <c:lblAlgn val="ctr"/>
        <c:lblOffset val="100"/>
        <c:noMultiLvlLbl val="0"/>
      </c:catAx>
      <c:valAx>
        <c:axId val="173286144"/>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99744"/>
        <c:crosses val="autoZero"/>
        <c:crossBetween val="between"/>
      </c:valAx>
      <c:spPr>
        <a:ln>
          <a:solidFill>
            <a:schemeClr val="tx1">
              <a:lumMod val="95000"/>
              <a:lumOff val="5000"/>
            </a:schemeClr>
          </a:solidFill>
        </a:ln>
      </c:spPr>
    </c:plotArea>
    <c:legend>
      <c:legendPos val="r"/>
      <c:layout>
        <c:manualLayout>
          <c:xMode val="edge"/>
          <c:yMode val="edge"/>
          <c:x val="0.74077295707164126"/>
          <c:y val="9.1117360329958735E-2"/>
          <c:w val="0.24412795715971747"/>
          <c:h val="0.8186813186813186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Language subjects ITT places calculated by the TSM</a:t>
            </a:r>
          </a:p>
        </c:rich>
      </c:tx>
      <c:overlay val="0"/>
    </c:title>
    <c:autoTitleDeleted val="0"/>
    <c:plotArea>
      <c:layout>
        <c:manualLayout>
          <c:layoutTarget val="inner"/>
          <c:xMode val="edge"/>
          <c:yMode val="edge"/>
          <c:x val="0.11786031204016759"/>
          <c:y val="0.12284383062933676"/>
          <c:w val="0.605009154526155"/>
          <c:h val="0.72851939588059966"/>
        </c:manualLayout>
      </c:layout>
      <c:lineChart>
        <c:grouping val="standard"/>
        <c:varyColors val="0"/>
        <c:ser>
          <c:idx val="5"/>
          <c:order val="0"/>
          <c:tx>
            <c:strRef>
              <c:f>Historical_and_projected_ITT!$B$46</c:f>
              <c:strCache>
                <c:ptCount val="1"/>
                <c:pt idx="0">
                  <c:v>Classics - Historical</c:v>
                </c:pt>
              </c:strCache>
            </c:strRef>
          </c:tx>
          <c:spPr>
            <a:ln>
              <a:solidFill>
                <a:schemeClr val="tx1">
                  <a:lumMod val="95000"/>
                  <a:lumOff val="5000"/>
                </a:schemeClr>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Historical_and_projected_ITT!$C$46:$R$46</c:f>
              <c:numCache>
                <c:formatCode>#,##0</c:formatCode>
                <c:ptCount val="16"/>
                <c:pt idx="4">
                  <c:v>68.619515583024508</c:v>
                </c:pt>
                <c:pt idx="5">
                  <c:v>68.619515583024508</c:v>
                </c:pt>
              </c:numCache>
            </c:numRef>
          </c:val>
          <c:smooth val="0"/>
          <c:extLst>
            <c:ext xmlns:c16="http://schemas.microsoft.com/office/drawing/2014/chart" uri="{C3380CC4-5D6E-409C-BE32-E72D297353CC}">
              <c16:uniqueId val="{00000000-BBEF-48FA-9625-A172F685C3BC}"/>
            </c:ext>
          </c:extLst>
        </c:ser>
        <c:ser>
          <c:idx val="14"/>
          <c:order val="1"/>
          <c:tx>
            <c:strRef>
              <c:f>Historical_and_projected_ITT!$B$55</c:f>
              <c:strCache>
                <c:ptCount val="1"/>
                <c:pt idx="0">
                  <c:v>Modern Foreign Languages - Historical</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Historical_and_projected_ITT!$C$55:$R$55</c:f>
              <c:numCache>
                <c:formatCode>#,##0</c:formatCode>
                <c:ptCount val="16"/>
                <c:pt idx="0">
                  <c:v>1393.4917355371902</c:v>
                </c:pt>
                <c:pt idx="1">
                  <c:v>1569.2413162705668</c:v>
                </c:pt>
                <c:pt idx="2">
                  <c:v>1550</c:v>
                </c:pt>
                <c:pt idx="3">
                  <c:v>1375</c:v>
                </c:pt>
                <c:pt idx="4">
                  <c:v>1514.3142939148067</c:v>
                </c:pt>
                <c:pt idx="5">
                  <c:v>1514.3142939148067</c:v>
                </c:pt>
              </c:numCache>
            </c:numRef>
          </c:val>
          <c:smooth val="0"/>
          <c:extLst>
            <c:ext xmlns:c16="http://schemas.microsoft.com/office/drawing/2014/chart" uri="{C3380CC4-5D6E-409C-BE32-E72D297353CC}">
              <c16:uniqueId val="{00000001-BBEF-48FA-9625-A172F685C3BC}"/>
            </c:ext>
          </c:extLst>
        </c:ser>
        <c:ser>
          <c:idx val="28"/>
          <c:order val="2"/>
          <c:tx>
            <c:strRef>
              <c:f>Historical_and_projected_ITT!$B$69</c:f>
              <c:strCache>
                <c:ptCount val="1"/>
                <c:pt idx="0">
                  <c:v>Classics - Projected</c:v>
                </c:pt>
              </c:strCache>
            </c:strRef>
          </c:tx>
          <c:spPr>
            <a:ln>
              <a:solidFill>
                <a:schemeClr val="tx1">
                  <a:lumMod val="95000"/>
                  <a:lumOff val="5000"/>
                </a:schemeClr>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Historical_and_projected_ITT!$C$69:$R$69</c:f>
              <c:numCache>
                <c:formatCode>#,##0</c:formatCode>
                <c:ptCount val="16"/>
                <c:pt idx="6">
                  <c:v>68.619515583024508</c:v>
                </c:pt>
                <c:pt idx="7">
                  <c:v>29.1322719401591</c:v>
                </c:pt>
                <c:pt idx="8">
                  <c:v>28.767043005813594</c:v>
                </c:pt>
                <c:pt idx="9">
                  <c:v>28.911957061008021</c:v>
                </c:pt>
                <c:pt idx="10">
                  <c:v>29.428563927552897</c:v>
                </c:pt>
                <c:pt idx="11">
                  <c:v>29.263635759325066</c:v>
                </c:pt>
                <c:pt idx="12">
                  <c:v>28.817945216107095</c:v>
                </c:pt>
                <c:pt idx="13">
                  <c:v>28.122568230073217</c:v>
                </c:pt>
                <c:pt idx="14">
                  <c:v>27.746755774063718</c:v>
                </c:pt>
                <c:pt idx="15">
                  <c:v>27.72242429048697</c:v>
                </c:pt>
              </c:numCache>
            </c:numRef>
          </c:val>
          <c:smooth val="0"/>
          <c:extLst>
            <c:ext xmlns:c16="http://schemas.microsoft.com/office/drawing/2014/chart" uri="{C3380CC4-5D6E-409C-BE32-E72D297353CC}">
              <c16:uniqueId val="{00000002-BBEF-48FA-9625-A172F685C3BC}"/>
            </c:ext>
          </c:extLst>
        </c:ser>
        <c:ser>
          <c:idx val="37"/>
          <c:order val="3"/>
          <c:tx>
            <c:strRef>
              <c:f>Historical_and_projected_ITT!$B$78</c:f>
              <c:strCache>
                <c:ptCount val="1"/>
                <c:pt idx="0">
                  <c:v>Modern Foreign Languages - Projected</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Historical_and_projected_ITT!$C$78:$R$78</c:f>
              <c:numCache>
                <c:formatCode>#,##0</c:formatCode>
                <c:ptCount val="16"/>
                <c:pt idx="6">
                  <c:v>1514.3142939148067</c:v>
                </c:pt>
                <c:pt idx="7">
                  <c:v>3564.1137551342372</c:v>
                </c:pt>
                <c:pt idx="8">
                  <c:v>2413.6178984918847</c:v>
                </c:pt>
                <c:pt idx="9">
                  <c:v>1874.9145130811667</c:v>
                </c:pt>
                <c:pt idx="10">
                  <c:v>1861.298570837894</c:v>
                </c:pt>
                <c:pt idx="11">
                  <c:v>1865.9990901204387</c:v>
                </c:pt>
                <c:pt idx="12">
                  <c:v>1698.9844261769103</c:v>
                </c:pt>
                <c:pt idx="13">
                  <c:v>1613.0725253868641</c:v>
                </c:pt>
                <c:pt idx="14">
                  <c:v>1550.6828702478019</c:v>
                </c:pt>
                <c:pt idx="15">
                  <c:v>1565.6117804936027</c:v>
                </c:pt>
              </c:numCache>
            </c:numRef>
          </c:val>
          <c:smooth val="0"/>
          <c:extLst>
            <c:ext xmlns:c16="http://schemas.microsoft.com/office/drawing/2014/chart" uri="{C3380CC4-5D6E-409C-BE32-E72D297353CC}">
              <c16:uniqueId val="{00000003-BBEF-48FA-9625-A172F685C3BC}"/>
            </c:ext>
          </c:extLst>
        </c:ser>
        <c:dLbls>
          <c:showLegendKey val="0"/>
          <c:showVal val="0"/>
          <c:showCatName val="0"/>
          <c:showSerName val="0"/>
          <c:showPercent val="0"/>
          <c:showBubbleSize val="0"/>
        </c:dLbls>
        <c:smooth val="0"/>
        <c:axId val="173327488"/>
        <c:axId val="173329024"/>
      </c:lineChart>
      <c:catAx>
        <c:axId val="173327488"/>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329024"/>
        <c:crosses val="autoZero"/>
        <c:auto val="1"/>
        <c:lblAlgn val="ctr"/>
        <c:lblOffset val="100"/>
        <c:noMultiLvlLbl val="0"/>
      </c:catAx>
      <c:valAx>
        <c:axId val="173329024"/>
        <c:scaling>
          <c:orientation val="minMax"/>
          <c:min val="0"/>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327488"/>
        <c:crosses val="autoZero"/>
        <c:crossBetween val="between"/>
      </c:valAx>
      <c:spPr>
        <a:ln>
          <a:solidFill>
            <a:schemeClr val="tx1">
              <a:lumMod val="95000"/>
              <a:lumOff val="5000"/>
            </a:schemeClr>
          </a:solidFill>
        </a:ln>
      </c:spPr>
    </c:plotArea>
    <c:legend>
      <c:legendPos val="r"/>
      <c:layout>
        <c:manualLayout>
          <c:xMode val="edge"/>
          <c:yMode val="edge"/>
          <c:x val="0.74077295707164115"/>
          <c:y val="0.13049464970724814"/>
          <c:w val="0.24412795715971747"/>
          <c:h val="0.7994505494505495"/>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a:t>Technologies ITT places calculated by the TSM</a:t>
            </a:r>
          </a:p>
        </c:rich>
      </c:tx>
      <c:overlay val="0"/>
    </c:title>
    <c:autoTitleDeleted val="0"/>
    <c:plotArea>
      <c:layout>
        <c:manualLayout>
          <c:layoutTarget val="inner"/>
          <c:xMode val="edge"/>
          <c:yMode val="edge"/>
          <c:x val="0.10595380203809043"/>
          <c:y val="0.12105647008936396"/>
          <c:w val="0.6145596487494539"/>
          <c:h val="0.73339199320218429"/>
        </c:manualLayout>
      </c:layout>
      <c:lineChart>
        <c:grouping val="standard"/>
        <c:varyColors val="0"/>
        <c:ser>
          <c:idx val="0"/>
          <c:order val="0"/>
          <c:tx>
            <c:strRef>
              <c:f>Historical_and_projected_ITT!$B$47</c:f>
              <c:strCache>
                <c:ptCount val="1"/>
                <c:pt idx="0">
                  <c:v>Computing - Historical</c:v>
                </c:pt>
              </c:strCache>
            </c:strRef>
          </c:tx>
          <c:spPr>
            <a:ln>
              <a:solidFill>
                <a:sysClr val="windowText" lastClr="00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Historical_and_projected_ITT!$C$47:$R$47</c:f>
              <c:numCache>
                <c:formatCode>#,##0</c:formatCode>
                <c:ptCount val="16"/>
                <c:pt idx="1">
                  <c:v>708.83435582822085</c:v>
                </c:pt>
                <c:pt idx="2">
                  <c:v>570</c:v>
                </c:pt>
                <c:pt idx="3">
                  <c:v>610</c:v>
                </c:pt>
                <c:pt idx="4">
                  <c:v>722.77160624604142</c:v>
                </c:pt>
                <c:pt idx="5">
                  <c:v>722.77160624604142</c:v>
                </c:pt>
              </c:numCache>
            </c:numRef>
          </c:val>
          <c:smooth val="0"/>
          <c:extLst>
            <c:ext xmlns:c16="http://schemas.microsoft.com/office/drawing/2014/chart" uri="{C3380CC4-5D6E-409C-BE32-E72D297353CC}">
              <c16:uniqueId val="{00000000-63F3-4488-A11A-703E1BEEE5BD}"/>
            </c:ext>
          </c:extLst>
        </c:ser>
        <c:ser>
          <c:idx val="7"/>
          <c:order val="1"/>
          <c:tx>
            <c:strRef>
              <c:f>Historical_and_projected_ITT!$B$48</c:f>
              <c:strCache>
                <c:ptCount val="1"/>
                <c:pt idx="0">
                  <c:v>Design &amp; Technology - Historical</c:v>
                </c:pt>
              </c:strCache>
            </c:strRef>
          </c:tx>
          <c:spPr>
            <a:ln>
              <a:solidFill>
                <a:srgbClr val="FF000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Historical_and_projected_ITT!$C$48:$R$48</c:f>
              <c:numCache>
                <c:formatCode>#,##0</c:formatCode>
                <c:ptCount val="16"/>
                <c:pt idx="0">
                  <c:v>1728.1644640234949</c:v>
                </c:pt>
                <c:pt idx="1">
                  <c:v>760.05830903790093</c:v>
                </c:pt>
                <c:pt idx="2">
                  <c:v>800</c:v>
                </c:pt>
                <c:pt idx="3">
                  <c:v>981</c:v>
                </c:pt>
                <c:pt idx="4">
                  <c:v>1279.2983715792066</c:v>
                </c:pt>
                <c:pt idx="5">
                  <c:v>847.65292472434487</c:v>
                </c:pt>
              </c:numCache>
            </c:numRef>
          </c:val>
          <c:smooth val="0"/>
          <c:extLst>
            <c:ext xmlns:c16="http://schemas.microsoft.com/office/drawing/2014/chart" uri="{C3380CC4-5D6E-409C-BE32-E72D297353CC}">
              <c16:uniqueId val="{00000001-63F3-4488-A11A-703E1BEEE5BD}"/>
            </c:ext>
          </c:extLst>
        </c:ser>
        <c:ser>
          <c:idx val="1"/>
          <c:order val="2"/>
          <c:tx>
            <c:strRef>
              <c:f>Historical_and_projected_ITT!$B$51</c:f>
              <c:strCache>
                <c:ptCount val="1"/>
                <c:pt idx="0">
                  <c:v>Food - Historical</c:v>
                </c:pt>
              </c:strCache>
            </c:strRef>
          </c:tx>
          <c:spPr>
            <a:ln>
              <a:solidFill>
                <a:srgbClr val="00B0F0"/>
              </a:solidFill>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Historical_and_projected_ITT!$C$51:$R$51</c:f>
              <c:numCache>
                <c:formatCode>#,##0</c:formatCode>
                <c:ptCount val="16"/>
                <c:pt idx="5">
                  <c:v>185.96764681718406</c:v>
                </c:pt>
              </c:numCache>
            </c:numRef>
          </c:val>
          <c:smooth val="0"/>
          <c:extLst>
            <c:ext xmlns:c16="http://schemas.microsoft.com/office/drawing/2014/chart" uri="{C3380CC4-5D6E-409C-BE32-E72D297353CC}">
              <c16:uniqueId val="{00000002-63F3-4488-A11A-703E1BEEE5BD}"/>
            </c:ext>
          </c:extLst>
        </c:ser>
        <c:ser>
          <c:idx val="29"/>
          <c:order val="3"/>
          <c:tx>
            <c:strRef>
              <c:f>Historical_and_projected_ITT!$B$70</c:f>
              <c:strCache>
                <c:ptCount val="1"/>
                <c:pt idx="0">
                  <c:v>Computing - Projected</c:v>
                </c:pt>
              </c:strCache>
            </c:strRef>
          </c:tx>
          <c:spPr>
            <a:ln>
              <a:solidFill>
                <a:sysClr val="windowText" lastClr="00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Historical_and_projected_ITT!$C$70:$R$70</c:f>
              <c:numCache>
                <c:formatCode>#,##0</c:formatCode>
                <c:ptCount val="16"/>
                <c:pt idx="6">
                  <c:v>722.77160624604142</c:v>
                </c:pt>
                <c:pt idx="7">
                  <c:v>433.53102596737239</c:v>
                </c:pt>
                <c:pt idx="8">
                  <c:v>575.20583989280658</c:v>
                </c:pt>
                <c:pt idx="9">
                  <c:v>618.72393469281337</c:v>
                </c:pt>
                <c:pt idx="10">
                  <c:v>629.09277926887046</c:v>
                </c:pt>
                <c:pt idx="11">
                  <c:v>634.04470732215611</c:v>
                </c:pt>
                <c:pt idx="12">
                  <c:v>614.70158038292914</c:v>
                </c:pt>
                <c:pt idx="13">
                  <c:v>600.73102182608807</c:v>
                </c:pt>
                <c:pt idx="14">
                  <c:v>591.78235769590924</c:v>
                </c:pt>
                <c:pt idx="15">
                  <c:v>594.94731250346888</c:v>
                </c:pt>
              </c:numCache>
            </c:numRef>
          </c:val>
          <c:smooth val="0"/>
          <c:extLst>
            <c:ext xmlns:c16="http://schemas.microsoft.com/office/drawing/2014/chart" uri="{C3380CC4-5D6E-409C-BE32-E72D297353CC}">
              <c16:uniqueId val="{00000003-63F3-4488-A11A-703E1BEEE5BD}"/>
            </c:ext>
          </c:extLst>
        </c:ser>
        <c:ser>
          <c:idx val="30"/>
          <c:order val="4"/>
          <c:tx>
            <c:strRef>
              <c:f>Historical_and_projected_ITT!$B$71</c:f>
              <c:strCache>
                <c:ptCount val="1"/>
                <c:pt idx="0">
                  <c:v>Design &amp; Technology - Projected</c:v>
                </c:pt>
              </c:strCache>
            </c:strRef>
          </c:tx>
          <c:spPr>
            <a:ln>
              <a:solidFill>
                <a:srgbClr val="FF000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Historical_and_projected_ITT!$C$71:$R$71</c:f>
              <c:numCache>
                <c:formatCode>#,##0</c:formatCode>
                <c:ptCount val="16"/>
                <c:pt idx="6">
                  <c:v>750.58903626833126</c:v>
                </c:pt>
                <c:pt idx="7">
                  <c:v>678.68882372609664</c:v>
                </c:pt>
                <c:pt idx="8">
                  <c:v>824.91324502188422</c:v>
                </c:pt>
                <c:pt idx="9">
                  <c:v>867.6543108930523</c:v>
                </c:pt>
                <c:pt idx="10">
                  <c:v>850.20534261685646</c:v>
                </c:pt>
                <c:pt idx="11">
                  <c:v>866.10377617753966</c:v>
                </c:pt>
                <c:pt idx="12">
                  <c:v>812.79670631268834</c:v>
                </c:pt>
                <c:pt idx="13">
                  <c:v>760.38720932916794</c:v>
                </c:pt>
                <c:pt idx="14">
                  <c:v>734.73894890819361</c:v>
                </c:pt>
                <c:pt idx="15">
                  <c:v>767.93972636070032</c:v>
                </c:pt>
              </c:numCache>
            </c:numRef>
          </c:val>
          <c:smooth val="0"/>
          <c:extLst>
            <c:ext xmlns:c16="http://schemas.microsoft.com/office/drawing/2014/chart" uri="{C3380CC4-5D6E-409C-BE32-E72D297353CC}">
              <c16:uniqueId val="{00000004-63F3-4488-A11A-703E1BEEE5BD}"/>
            </c:ext>
          </c:extLst>
        </c:ser>
        <c:ser>
          <c:idx val="33"/>
          <c:order val="5"/>
          <c:tx>
            <c:strRef>
              <c:f>Historical_and_projected_ITT!$B$74</c:f>
              <c:strCache>
                <c:ptCount val="1"/>
                <c:pt idx="0">
                  <c:v>Food - Projected</c:v>
                </c:pt>
              </c:strCache>
            </c:strRef>
          </c:tx>
          <c:spPr>
            <a:ln>
              <a:solidFill>
                <a:srgbClr val="00B0F0"/>
              </a:solidFill>
              <a:prstDash val="sysDot"/>
            </a:ln>
          </c:spPr>
          <c:marker>
            <c:symbol val="none"/>
          </c:marker>
          <c:cat>
            <c:strRef>
              <c:f>Historical_and_projected_ITT!$C$40:$R$40</c:f>
              <c:strCache>
                <c:ptCount val="16"/>
                <c:pt idx="0">
                  <c:v>2011/12</c:v>
                </c:pt>
                <c:pt idx="1">
                  <c:v>2012/13</c:v>
                </c:pt>
                <c:pt idx="2">
                  <c:v>2013/14</c:v>
                </c:pt>
                <c:pt idx="3">
                  <c:v>2014/15</c:v>
                </c:pt>
                <c:pt idx="4">
                  <c:v>2015/16</c:v>
                </c:pt>
                <c:pt idx="5">
                  <c:v>2016/17</c:v>
                </c:pt>
                <c:pt idx="6">
                  <c:v>2017/18</c:v>
                </c:pt>
                <c:pt idx="7">
                  <c:v>2018/19</c:v>
                </c:pt>
                <c:pt idx="8">
                  <c:v>2019/20</c:v>
                </c:pt>
                <c:pt idx="9">
                  <c:v>2020/21</c:v>
                </c:pt>
                <c:pt idx="10">
                  <c:v>2021/22</c:v>
                </c:pt>
                <c:pt idx="11">
                  <c:v>2022/23</c:v>
                </c:pt>
                <c:pt idx="12">
                  <c:v>2023/24</c:v>
                </c:pt>
                <c:pt idx="13">
                  <c:v>2024/25</c:v>
                </c:pt>
                <c:pt idx="14">
                  <c:v>2025/26</c:v>
                </c:pt>
                <c:pt idx="15">
                  <c:v>2026/27</c:v>
                </c:pt>
              </c:strCache>
            </c:strRef>
          </c:cat>
          <c:val>
            <c:numRef>
              <c:f>Historical_and_projected_ITT!$C$74:$R$74</c:f>
              <c:numCache>
                <c:formatCode>#,##0</c:formatCode>
                <c:ptCount val="16"/>
                <c:pt idx="6">
                  <c:v>166.33410185907249</c:v>
                </c:pt>
                <c:pt idx="7">
                  <c:v>146.33718063938591</c:v>
                </c:pt>
                <c:pt idx="8">
                  <c:v>197.35004951420458</c:v>
                </c:pt>
                <c:pt idx="9">
                  <c:v>210.47715734718025</c:v>
                </c:pt>
                <c:pt idx="10">
                  <c:v>211.03128375109421</c:v>
                </c:pt>
                <c:pt idx="11">
                  <c:v>202.56111513913442</c:v>
                </c:pt>
                <c:pt idx="12">
                  <c:v>192.52073106751774</c:v>
                </c:pt>
                <c:pt idx="13">
                  <c:v>193.81449213886424</c:v>
                </c:pt>
                <c:pt idx="14">
                  <c:v>190.66500171939609</c:v>
                </c:pt>
                <c:pt idx="15">
                  <c:v>180.09617444348353</c:v>
                </c:pt>
              </c:numCache>
            </c:numRef>
          </c:val>
          <c:smooth val="0"/>
          <c:extLst>
            <c:ext xmlns:c16="http://schemas.microsoft.com/office/drawing/2014/chart" uri="{C3380CC4-5D6E-409C-BE32-E72D297353CC}">
              <c16:uniqueId val="{00000005-63F3-4488-A11A-703E1BEEE5BD}"/>
            </c:ext>
          </c:extLst>
        </c:ser>
        <c:dLbls>
          <c:showLegendKey val="0"/>
          <c:showVal val="0"/>
          <c:showCatName val="0"/>
          <c:showSerName val="0"/>
          <c:showPercent val="0"/>
          <c:showBubbleSize val="0"/>
        </c:dLbls>
        <c:smooth val="0"/>
        <c:axId val="173454080"/>
        <c:axId val="173455616"/>
      </c:lineChart>
      <c:catAx>
        <c:axId val="173454080"/>
        <c:scaling>
          <c:orientation val="minMax"/>
        </c:scaling>
        <c:delete val="0"/>
        <c:axPos val="b"/>
        <c:numFmt formatCode="General" sourceLinked="1"/>
        <c:majorTickMark val="out"/>
        <c:minorTickMark val="none"/>
        <c:tickLblPos val="nextTo"/>
        <c:txPr>
          <a:bodyPr rot="-2700000" vert="horz"/>
          <a:lstStyle/>
          <a:p>
            <a:pPr>
              <a:defRPr sz="900" b="0" i="0" u="none" strike="noStrike" baseline="0">
                <a:solidFill>
                  <a:srgbClr val="000000"/>
                </a:solidFill>
                <a:latin typeface="Calibri"/>
                <a:ea typeface="Calibri"/>
                <a:cs typeface="Calibri"/>
              </a:defRPr>
            </a:pPr>
            <a:endParaRPr lang="en-US"/>
          </a:p>
        </c:txPr>
        <c:crossAx val="173455616"/>
        <c:crosses val="autoZero"/>
        <c:auto val="1"/>
        <c:lblAlgn val="ctr"/>
        <c:lblOffset val="100"/>
        <c:noMultiLvlLbl val="0"/>
      </c:catAx>
      <c:valAx>
        <c:axId val="17345561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No. of ITT places</a:t>
                </a:r>
              </a:p>
            </c:rich>
          </c:tx>
          <c:overlay val="0"/>
        </c:title>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454080"/>
        <c:crosses val="autoZero"/>
        <c:crossBetween val="between"/>
      </c:valAx>
      <c:spPr>
        <a:ln>
          <a:solidFill>
            <a:schemeClr val="tx1">
              <a:lumMod val="95000"/>
              <a:lumOff val="5000"/>
            </a:schemeClr>
          </a:solidFill>
        </a:ln>
      </c:spPr>
    </c:plotArea>
    <c:legend>
      <c:legendPos val="r"/>
      <c:layout>
        <c:manualLayout>
          <c:xMode val="edge"/>
          <c:yMode val="edge"/>
          <c:x val="0.7397150774540393"/>
          <c:y val="0.1002748694874679"/>
          <c:w val="0.24433273661536448"/>
          <c:h val="0.83241758241758246"/>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n-GB"/>
              <a:t>HUMANITIES</a:t>
            </a:r>
          </a:p>
        </c:rich>
      </c:tx>
      <c:overlay val="0"/>
    </c:title>
    <c:autoTitleDeleted val="0"/>
    <c:plotArea>
      <c:layout>
        <c:manualLayout>
          <c:layoutTarget val="inner"/>
          <c:xMode val="edge"/>
          <c:yMode val="edge"/>
          <c:x val="0.11423840769903762"/>
          <c:y val="0.12283573928258967"/>
          <c:w val="0.56369006691065027"/>
          <c:h val="0.69329177602799663"/>
        </c:manualLayout>
      </c:layout>
      <c:lineChart>
        <c:grouping val="standard"/>
        <c:varyColors val="0"/>
        <c:ser>
          <c:idx val="30"/>
          <c:order val="0"/>
          <c:tx>
            <c:strRef>
              <c:f>Entrant_need_figures!$B$120</c:f>
              <c:strCache>
                <c:ptCount val="1"/>
                <c:pt idx="0">
                  <c:v>GEOGRAPHY All Central Scenario</c:v>
                </c:pt>
              </c:strCache>
            </c:strRef>
          </c:tx>
          <c:spPr>
            <a:ln>
              <a:solidFill>
                <a:schemeClr val="tx2">
                  <a:lumMod val="50000"/>
                </a:schemeClr>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Entrant_need_figures!$C$120:$N$120</c:f>
              <c:numCache>
                <c:formatCode>#,##0</c:formatCode>
                <c:ptCount val="12"/>
                <c:pt idx="0">
                  <c:v>1091.6578874521288</c:v>
                </c:pt>
                <c:pt idx="1">
                  <c:v>1176.8486226628406</c:v>
                </c:pt>
                <c:pt idx="2">
                  <c:v>1578.1307391323012</c:v>
                </c:pt>
                <c:pt idx="3">
                  <c:v>1559.9435854724363</c:v>
                </c:pt>
                <c:pt idx="4">
                  <c:v>1330.3897823669502</c:v>
                </c:pt>
                <c:pt idx="5">
                  <c:v>1288.7634130233025</c:v>
                </c:pt>
                <c:pt idx="6">
                  <c:v>1294.644023061835</c:v>
                </c:pt>
                <c:pt idx="7">
                  <c:v>1303.7414380971634</c:v>
                </c:pt>
                <c:pt idx="8">
                  <c:v>1244.6928236847466</c:v>
                </c:pt>
                <c:pt idx="9">
                  <c:v>1213.3361672022436</c:v>
                </c:pt>
                <c:pt idx="10">
                  <c:v>1192.8208878862974</c:v>
                </c:pt>
                <c:pt idx="11">
                  <c:v>1204.3424150166754</c:v>
                </c:pt>
              </c:numCache>
            </c:numRef>
          </c:val>
          <c:smooth val="0"/>
          <c:extLst>
            <c:ext xmlns:c16="http://schemas.microsoft.com/office/drawing/2014/chart" uri="{C3380CC4-5D6E-409C-BE32-E72D297353CC}">
              <c16:uniqueId val="{00000000-00DD-44EA-A08B-56633BA49801}"/>
            </c:ext>
          </c:extLst>
        </c:ser>
        <c:ser>
          <c:idx val="10"/>
          <c:order val="1"/>
          <c:tx>
            <c:strRef>
              <c:f>Entrant_need_figures!$B$99</c:f>
              <c:strCache>
                <c:ptCount val="1"/>
                <c:pt idx="0">
                  <c:v>GEOGRAPHY Scenario Selected</c:v>
                </c:pt>
              </c:strCache>
            </c:strRef>
          </c:tx>
          <c:spPr>
            <a:ln>
              <a:solidFill>
                <a:schemeClr val="tx2">
                  <a:lumMod val="50000"/>
                </a:schemeClr>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Entrant_need_figures!$C$99:$N$99</c:f>
              <c:numCache>
                <c:formatCode>#,##0</c:formatCode>
                <c:ptCount val="12"/>
                <c:pt idx="0">
                  <c:v>1091.6578874521288</c:v>
                </c:pt>
                <c:pt idx="1">
                  <c:v>1176.8486226628406</c:v>
                </c:pt>
                <c:pt idx="2">
                  <c:v>1578.1307391323012</c:v>
                </c:pt>
                <c:pt idx="3">
                  <c:v>1559.9435854724363</c:v>
                </c:pt>
                <c:pt idx="4">
                  <c:v>1330.3897823669502</c:v>
                </c:pt>
                <c:pt idx="5">
                  <c:v>1288.7634130233025</c:v>
                </c:pt>
                <c:pt idx="6">
                  <c:v>1294.644023061835</c:v>
                </c:pt>
                <c:pt idx="7">
                  <c:v>1303.7414380971634</c:v>
                </c:pt>
                <c:pt idx="8">
                  <c:v>1244.6928236847466</c:v>
                </c:pt>
                <c:pt idx="9">
                  <c:v>1213.3361672022436</c:v>
                </c:pt>
                <c:pt idx="10">
                  <c:v>1192.8208878862974</c:v>
                </c:pt>
                <c:pt idx="11">
                  <c:v>1204.3424150166754</c:v>
                </c:pt>
              </c:numCache>
            </c:numRef>
          </c:val>
          <c:smooth val="0"/>
          <c:extLst>
            <c:ext xmlns:c16="http://schemas.microsoft.com/office/drawing/2014/chart" uri="{C3380CC4-5D6E-409C-BE32-E72D297353CC}">
              <c16:uniqueId val="{00000001-00DD-44EA-A08B-56633BA49801}"/>
            </c:ext>
          </c:extLst>
        </c:ser>
        <c:ser>
          <c:idx val="31"/>
          <c:order val="2"/>
          <c:tx>
            <c:strRef>
              <c:f>Entrant_need_figures!$B$121</c:f>
              <c:strCache>
                <c:ptCount val="1"/>
                <c:pt idx="0">
                  <c:v>HISTORY All Central Scenario</c:v>
                </c:pt>
              </c:strCache>
            </c:strRef>
          </c:tx>
          <c:spPr>
            <a:ln>
              <a:solidFill>
                <a:srgbClr val="FF000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Entrant_need_figures!$C$121:$N$121</c:f>
              <c:numCache>
                <c:formatCode>#,##0</c:formatCode>
                <c:ptCount val="12"/>
                <c:pt idx="0">
                  <c:v>1081.6752707668475</c:v>
                </c:pt>
                <c:pt idx="1">
                  <c:v>1242.6293981653848</c:v>
                </c:pt>
                <c:pt idx="2">
                  <c:v>1516.6921585404023</c:v>
                </c:pt>
                <c:pt idx="3">
                  <c:v>1571.7216952093804</c:v>
                </c:pt>
                <c:pt idx="4">
                  <c:v>1361.6441528973978</c:v>
                </c:pt>
                <c:pt idx="5">
                  <c:v>1350.7580453005312</c:v>
                </c:pt>
                <c:pt idx="6">
                  <c:v>1362.0636501364806</c:v>
                </c:pt>
                <c:pt idx="7">
                  <c:v>1369.6103235530522</c:v>
                </c:pt>
                <c:pt idx="8">
                  <c:v>1313.2053394274715</c:v>
                </c:pt>
                <c:pt idx="9">
                  <c:v>1282.8334505470709</c:v>
                </c:pt>
                <c:pt idx="10">
                  <c:v>1262.3868850136987</c:v>
                </c:pt>
                <c:pt idx="11">
                  <c:v>1270.4926074627915</c:v>
                </c:pt>
              </c:numCache>
            </c:numRef>
          </c:val>
          <c:smooth val="0"/>
          <c:extLst>
            <c:ext xmlns:c16="http://schemas.microsoft.com/office/drawing/2014/chart" uri="{C3380CC4-5D6E-409C-BE32-E72D297353CC}">
              <c16:uniqueId val="{00000002-00DD-44EA-A08B-56633BA49801}"/>
            </c:ext>
          </c:extLst>
        </c:ser>
        <c:ser>
          <c:idx val="11"/>
          <c:order val="3"/>
          <c:tx>
            <c:strRef>
              <c:f>Entrant_need_figures!$B$100</c:f>
              <c:strCache>
                <c:ptCount val="1"/>
                <c:pt idx="0">
                  <c:v>HISTORY Scenario Selected</c:v>
                </c:pt>
              </c:strCache>
            </c:strRef>
          </c:tx>
          <c:spPr>
            <a:ln>
              <a:solidFill>
                <a:srgbClr val="FF000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Entrant_need_figures!$C$100:$N$100</c:f>
              <c:numCache>
                <c:formatCode>#,##0</c:formatCode>
                <c:ptCount val="12"/>
                <c:pt idx="0">
                  <c:v>1081.6752707668475</c:v>
                </c:pt>
                <c:pt idx="1">
                  <c:v>1242.6293981653848</c:v>
                </c:pt>
                <c:pt idx="2">
                  <c:v>1516.6921585404023</c:v>
                </c:pt>
                <c:pt idx="3">
                  <c:v>1571.7216952093804</c:v>
                </c:pt>
                <c:pt idx="4">
                  <c:v>1361.6441528973978</c:v>
                </c:pt>
                <c:pt idx="5">
                  <c:v>1350.7580453005312</c:v>
                </c:pt>
                <c:pt idx="6">
                  <c:v>1362.0636501364806</c:v>
                </c:pt>
                <c:pt idx="7">
                  <c:v>1369.6103235530522</c:v>
                </c:pt>
                <c:pt idx="8">
                  <c:v>1313.2053394274715</c:v>
                </c:pt>
                <c:pt idx="9">
                  <c:v>1282.8334505470709</c:v>
                </c:pt>
                <c:pt idx="10">
                  <c:v>1262.3868850136987</c:v>
                </c:pt>
                <c:pt idx="11">
                  <c:v>1270.4926074627915</c:v>
                </c:pt>
              </c:numCache>
            </c:numRef>
          </c:val>
          <c:smooth val="0"/>
          <c:extLst>
            <c:ext xmlns:c16="http://schemas.microsoft.com/office/drawing/2014/chart" uri="{C3380CC4-5D6E-409C-BE32-E72D297353CC}">
              <c16:uniqueId val="{00000003-00DD-44EA-A08B-56633BA49801}"/>
            </c:ext>
          </c:extLst>
        </c:ser>
        <c:ser>
          <c:idx val="38"/>
          <c:order val="4"/>
          <c:tx>
            <c:strRef>
              <c:f>Entrant_need_figures!$B$128</c:f>
              <c:strCache>
                <c:ptCount val="1"/>
                <c:pt idx="0">
                  <c:v>RELIGIOUS EDUCATION All Central Scenario</c:v>
                </c:pt>
              </c:strCache>
            </c:strRef>
          </c:tx>
          <c:spPr>
            <a:ln>
              <a:solidFill>
                <a:srgbClr val="92D050"/>
              </a:solidFill>
              <a:prstDash val="solid"/>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Entrant_need_figures!$C$128:$N$128</c:f>
              <c:numCache>
                <c:formatCode>#,##0</c:formatCode>
                <c:ptCount val="12"/>
                <c:pt idx="0">
                  <c:v>775.65420682677745</c:v>
                </c:pt>
                <c:pt idx="1">
                  <c:v>844.58048482276604</c:v>
                </c:pt>
                <c:pt idx="2">
                  <c:v>931.01598996858297</c:v>
                </c:pt>
                <c:pt idx="3">
                  <c:v>869.6491609035586</c:v>
                </c:pt>
                <c:pt idx="4">
                  <c:v>859.61255847662369</c:v>
                </c:pt>
                <c:pt idx="5">
                  <c:v>856.12941752747361</c:v>
                </c:pt>
                <c:pt idx="6">
                  <c:v>860.61204165418258</c:v>
                </c:pt>
                <c:pt idx="7">
                  <c:v>858.62926053302999</c:v>
                </c:pt>
                <c:pt idx="8">
                  <c:v>819.65340700371758</c:v>
                </c:pt>
                <c:pt idx="9">
                  <c:v>803.41817740504644</c:v>
                </c:pt>
                <c:pt idx="10">
                  <c:v>789.95652782432785</c:v>
                </c:pt>
                <c:pt idx="11">
                  <c:v>787.98840072046607</c:v>
                </c:pt>
              </c:numCache>
            </c:numRef>
          </c:val>
          <c:smooth val="0"/>
          <c:extLst>
            <c:ext xmlns:c16="http://schemas.microsoft.com/office/drawing/2014/chart" uri="{C3380CC4-5D6E-409C-BE32-E72D297353CC}">
              <c16:uniqueId val="{00000004-00DD-44EA-A08B-56633BA49801}"/>
            </c:ext>
          </c:extLst>
        </c:ser>
        <c:ser>
          <c:idx val="18"/>
          <c:order val="5"/>
          <c:tx>
            <c:strRef>
              <c:f>Entrant_need_figures!$B$107</c:f>
              <c:strCache>
                <c:ptCount val="1"/>
                <c:pt idx="0">
                  <c:v>RELIGIOUS EDUCATION Scenario Selected</c:v>
                </c:pt>
              </c:strCache>
            </c:strRef>
          </c:tx>
          <c:spPr>
            <a:ln>
              <a:solidFill>
                <a:srgbClr val="92D050"/>
              </a:solidFill>
              <a:prstDash val="sysDot"/>
            </a:ln>
          </c:spPr>
          <c:marker>
            <c:symbol val="none"/>
          </c:marker>
          <c:cat>
            <c:strRef>
              <c:f>Entrant_need_figures!$C$87:$N$87</c:f>
              <c:strCache>
                <c:ptCount val="12"/>
                <c:pt idx="0">
                  <c:v>2016/17</c:v>
                </c:pt>
                <c:pt idx="1">
                  <c:v>2017/18</c:v>
                </c:pt>
                <c:pt idx="2">
                  <c:v>2018/19</c:v>
                </c:pt>
                <c:pt idx="3">
                  <c:v>2019/20</c:v>
                </c:pt>
                <c:pt idx="4">
                  <c:v>2020/21</c:v>
                </c:pt>
                <c:pt idx="5">
                  <c:v>2021/22</c:v>
                </c:pt>
                <c:pt idx="6">
                  <c:v>2022/23</c:v>
                </c:pt>
                <c:pt idx="7">
                  <c:v>2023/24</c:v>
                </c:pt>
                <c:pt idx="8">
                  <c:v>2024/25</c:v>
                </c:pt>
                <c:pt idx="9">
                  <c:v>2025/26</c:v>
                </c:pt>
                <c:pt idx="10">
                  <c:v>2026/27</c:v>
                </c:pt>
                <c:pt idx="11">
                  <c:v>2027/28</c:v>
                </c:pt>
              </c:strCache>
            </c:strRef>
          </c:cat>
          <c:val>
            <c:numRef>
              <c:f>Entrant_need_figures!$C$107:$N$107</c:f>
              <c:numCache>
                <c:formatCode>#,##0</c:formatCode>
                <c:ptCount val="12"/>
                <c:pt idx="0">
                  <c:v>775.65420682677745</c:v>
                </c:pt>
                <c:pt idx="1">
                  <c:v>844.58048482276604</c:v>
                </c:pt>
                <c:pt idx="2">
                  <c:v>931.01598996858297</c:v>
                </c:pt>
                <c:pt idx="3">
                  <c:v>869.6491609035586</c:v>
                </c:pt>
                <c:pt idx="4">
                  <c:v>859.61255847662369</c:v>
                </c:pt>
                <c:pt idx="5">
                  <c:v>856.12941752747361</c:v>
                </c:pt>
                <c:pt idx="6">
                  <c:v>860.61204165418258</c:v>
                </c:pt>
                <c:pt idx="7">
                  <c:v>858.62926053302999</c:v>
                </c:pt>
                <c:pt idx="8">
                  <c:v>819.65340700371758</c:v>
                </c:pt>
                <c:pt idx="9">
                  <c:v>803.41817740504644</c:v>
                </c:pt>
                <c:pt idx="10">
                  <c:v>789.95652782432785</c:v>
                </c:pt>
                <c:pt idx="11">
                  <c:v>787.98840072046607</c:v>
                </c:pt>
              </c:numCache>
            </c:numRef>
          </c:val>
          <c:smooth val="0"/>
          <c:extLst>
            <c:ext xmlns:c16="http://schemas.microsoft.com/office/drawing/2014/chart" uri="{C3380CC4-5D6E-409C-BE32-E72D297353CC}">
              <c16:uniqueId val="{00000005-00DD-44EA-A08B-56633BA49801}"/>
            </c:ext>
          </c:extLst>
        </c:ser>
        <c:dLbls>
          <c:showLegendKey val="0"/>
          <c:showVal val="0"/>
          <c:showCatName val="0"/>
          <c:showSerName val="0"/>
          <c:showPercent val="0"/>
          <c:showBubbleSize val="0"/>
        </c:dLbls>
        <c:smooth val="0"/>
        <c:axId val="148982400"/>
        <c:axId val="148992384"/>
      </c:lineChart>
      <c:catAx>
        <c:axId val="148982400"/>
        <c:scaling>
          <c:orientation val="minMax"/>
        </c:scaling>
        <c:delete val="0"/>
        <c:axPos val="b"/>
        <c:numFmt formatCode="General" sourceLinked="1"/>
        <c:majorTickMark val="out"/>
        <c:minorTickMark val="none"/>
        <c:tickLblPos val="nextTo"/>
        <c:txPr>
          <a:bodyPr rot="-2700000" vert="horz"/>
          <a:lstStyle/>
          <a:p>
            <a:pPr>
              <a:defRPr sz="800" b="0" i="0" u="none" strike="noStrike" baseline="0">
                <a:solidFill>
                  <a:srgbClr val="000000"/>
                </a:solidFill>
                <a:latin typeface="Calibri"/>
                <a:ea typeface="Calibri"/>
                <a:cs typeface="Calibri"/>
              </a:defRPr>
            </a:pPr>
            <a:endParaRPr lang="en-US"/>
          </a:p>
        </c:txPr>
        <c:crossAx val="148992384"/>
        <c:crosses val="autoZero"/>
        <c:auto val="1"/>
        <c:lblAlgn val="ctr"/>
        <c:lblOffset val="100"/>
        <c:noMultiLvlLbl val="0"/>
      </c:catAx>
      <c:valAx>
        <c:axId val="148992384"/>
        <c:scaling>
          <c:orientation val="minMax"/>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48982400"/>
        <c:crosses val="autoZero"/>
        <c:crossBetween val="between"/>
      </c:valAx>
      <c:spPr>
        <a:ln>
          <a:solidFill>
            <a:schemeClr val="tx1">
              <a:lumMod val="95000"/>
              <a:lumOff val="5000"/>
            </a:schemeClr>
          </a:solidFill>
        </a:ln>
      </c:spPr>
    </c:plotArea>
    <c:legend>
      <c:legendPos val="r"/>
      <c:layout>
        <c:manualLayout>
          <c:xMode val="edge"/>
          <c:yMode val="edge"/>
          <c:x val="0.69547094364882245"/>
          <c:y val="4.6712984406360972E-2"/>
          <c:w val="0.28187972308830522"/>
          <c:h val="0.84083044982698962"/>
        </c:manualLayout>
      </c:layout>
      <c:overlay val="0"/>
      <c:txPr>
        <a:bodyPr/>
        <a:lstStyle/>
        <a:p>
          <a:pPr>
            <a:defRPr sz="7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Key Stage 3 teaching hours dedicated to each subject between 2014/15 and 2015/16 (EBacc in green and non-EBacc in red)</a:t>
            </a:r>
          </a:p>
        </c:rich>
      </c:tx>
      <c:layout>
        <c:manualLayout>
          <c:xMode val="edge"/>
          <c:yMode val="edge"/>
          <c:x val="0.12409196010398314"/>
          <c:y val="3.3345447203714921E-3"/>
        </c:manualLayout>
      </c:layout>
      <c:overlay val="0"/>
    </c:title>
    <c:autoTitleDeleted val="0"/>
    <c:plotArea>
      <c:layout>
        <c:manualLayout>
          <c:layoutTarget val="inner"/>
          <c:xMode val="edge"/>
          <c:yMode val="edge"/>
          <c:x val="0.1335227984943067"/>
          <c:y val="0.1423420324711214"/>
          <c:w val="0.84115508317282317"/>
          <c:h val="0.55932169568202617"/>
        </c:manualLayout>
      </c:layout>
      <c:barChart>
        <c:barDir val="col"/>
        <c:grouping val="clustered"/>
        <c:varyColors val="0"/>
        <c:ser>
          <c:idx val="0"/>
          <c:order val="0"/>
          <c:tx>
            <c:strRef>
              <c:f>Changes_in_subject_teaching_hrs!$S$16</c:f>
              <c:strCache>
                <c:ptCount val="1"/>
                <c:pt idx="0">
                  <c:v>Key stage 3</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70A1-42BD-B1D2-922EB620FB9D}"/>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70A1-42BD-B1D2-922EB620FB9D}"/>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70A1-42BD-B1D2-922EB620FB9D}"/>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70A1-42BD-B1D2-922EB620FB9D}"/>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70A1-42BD-B1D2-922EB620FB9D}"/>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70A1-42BD-B1D2-922EB620FB9D}"/>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70A1-42BD-B1D2-922EB620FB9D}"/>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70A1-42BD-B1D2-922EB620FB9D}"/>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70A1-42BD-B1D2-922EB620FB9D}"/>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Changes_in_subject_teaching_hrs!$S$17:$S$35</c:f>
              <c:numCache>
                <c:formatCode>0.0%</c:formatCode>
                <c:ptCount val="19"/>
                <c:pt idx="0">
                  <c:v>-8.0794082991635791E-4</c:v>
                </c:pt>
                <c:pt idx="1">
                  <c:v>-2.6203073504987504E-3</c:v>
                </c:pt>
                <c:pt idx="2">
                  <c:v>-7.3432818903805888E-5</c:v>
                </c:pt>
                <c:pt idx="3">
                  <c:v>1.6442073363114734E-3</c:v>
                </c:pt>
                <c:pt idx="4">
                  <c:v>3.3573197846954164E-5</c:v>
                </c:pt>
                <c:pt idx="5">
                  <c:v>-1.2659726942282831E-3</c:v>
                </c:pt>
                <c:pt idx="6">
                  <c:v>-2.8205866572712512E-3</c:v>
                </c:pt>
                <c:pt idx="7">
                  <c:v>4.8333966970555767E-4</c:v>
                </c:pt>
                <c:pt idx="8">
                  <c:v>2.8887963388012916E-3</c:v>
                </c:pt>
                <c:pt idx="9">
                  <c:v>4.2457116456225824E-5</c:v>
                </c:pt>
                <c:pt idx="10">
                  <c:v>4.8560309643240485E-4</c:v>
                </c:pt>
                <c:pt idx="11">
                  <c:v>9.8356854706665303E-4</c:v>
                </c:pt>
                <c:pt idx="12">
                  <c:v>4.2063305457207822E-3</c:v>
                </c:pt>
                <c:pt idx="13">
                  <c:v>-7.4620183324765332E-4</c:v>
                </c:pt>
                <c:pt idx="14">
                  <c:v>-6.8014349215710784E-4</c:v>
                </c:pt>
                <c:pt idx="15">
                  <c:v>-2.9991639988535268E-3</c:v>
                </c:pt>
                <c:pt idx="16">
                  <c:v>-6.3969130375873817E-4</c:v>
                </c:pt>
                <c:pt idx="17">
                  <c:v>1.5106517374103359E-3</c:v>
                </c:pt>
                <c:pt idx="18">
                  <c:v>3.7491339308401428E-4</c:v>
                </c:pt>
              </c:numCache>
            </c:numRef>
          </c:val>
          <c:extLst>
            <c:ext xmlns:c16="http://schemas.microsoft.com/office/drawing/2014/chart" uri="{C3380CC4-5D6E-409C-BE32-E72D297353CC}">
              <c16:uniqueId val="{00000009-70A1-42BD-B1D2-922EB620FB9D}"/>
            </c:ext>
          </c:extLst>
        </c:ser>
        <c:dLbls>
          <c:showLegendKey val="0"/>
          <c:showVal val="0"/>
          <c:showCatName val="0"/>
          <c:showSerName val="0"/>
          <c:showPercent val="0"/>
          <c:showBubbleSize val="0"/>
        </c:dLbls>
        <c:gapWidth val="150"/>
        <c:axId val="172780544"/>
        <c:axId val="172786432"/>
      </c:barChart>
      <c:catAx>
        <c:axId val="17278054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786432"/>
        <c:crosses val="autoZero"/>
        <c:auto val="1"/>
        <c:lblAlgn val="ctr"/>
        <c:lblOffset val="100"/>
        <c:noMultiLvlLbl val="0"/>
      </c:catAx>
      <c:valAx>
        <c:axId val="172786432"/>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78054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Key Stage 4 teaching hours dedicated to each subject between 2014/15 and 2015/16 (EBacc in green and non-EBacc in red)</a:t>
            </a:r>
          </a:p>
        </c:rich>
      </c:tx>
      <c:layout>
        <c:manualLayout>
          <c:xMode val="edge"/>
          <c:yMode val="edge"/>
          <c:x val="0.12409198054064897"/>
          <c:y val="3.3345447203714921E-3"/>
        </c:manualLayout>
      </c:layout>
      <c:overlay val="0"/>
    </c:title>
    <c:autoTitleDeleted val="0"/>
    <c:plotArea>
      <c:layout>
        <c:manualLayout>
          <c:layoutTarget val="inner"/>
          <c:xMode val="edge"/>
          <c:yMode val="edge"/>
          <c:x val="0.1335227984943067"/>
          <c:y val="0.1423420324711214"/>
          <c:w val="0.84115508317282317"/>
          <c:h val="0.55932169568202617"/>
        </c:manualLayout>
      </c:layout>
      <c:barChart>
        <c:barDir val="col"/>
        <c:grouping val="clustered"/>
        <c:varyColors val="0"/>
        <c:ser>
          <c:idx val="1"/>
          <c:order val="0"/>
          <c:tx>
            <c:strRef>
              <c:f>Changes_in_subject_teaching_hrs!$T$16</c:f>
              <c:strCache>
                <c:ptCount val="1"/>
                <c:pt idx="0">
                  <c:v>Key stage 4</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21EC-40AB-B2BD-904950A582F4}"/>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21EC-40AB-B2BD-904950A582F4}"/>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21EC-40AB-B2BD-904950A582F4}"/>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21EC-40AB-B2BD-904950A582F4}"/>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21EC-40AB-B2BD-904950A582F4}"/>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21EC-40AB-B2BD-904950A582F4}"/>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21EC-40AB-B2BD-904950A582F4}"/>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21EC-40AB-B2BD-904950A582F4}"/>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21EC-40AB-B2BD-904950A582F4}"/>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Changes_in_subject_teaching_hrs!$T$17:$T$35</c:f>
              <c:numCache>
                <c:formatCode>0.0%</c:formatCode>
                <c:ptCount val="19"/>
                <c:pt idx="0">
                  <c:v>-1.5377125604833786E-3</c:v>
                </c:pt>
                <c:pt idx="1">
                  <c:v>-3.4903865719596028E-5</c:v>
                </c:pt>
                <c:pt idx="2">
                  <c:v>-1.5120086599527127E-3</c:v>
                </c:pt>
                <c:pt idx="3">
                  <c:v>7.2928859149818531E-4</c:v>
                </c:pt>
                <c:pt idx="4">
                  <c:v>1.7136956754204569E-5</c:v>
                </c:pt>
                <c:pt idx="5">
                  <c:v>-4.5474687360353358E-3</c:v>
                </c:pt>
                <c:pt idx="6">
                  <c:v>-3.2604101590899826E-3</c:v>
                </c:pt>
                <c:pt idx="7">
                  <c:v>-7.3191211867609102E-4</c:v>
                </c:pt>
                <c:pt idx="8">
                  <c:v>6.1957603661011718E-3</c:v>
                </c:pt>
                <c:pt idx="9">
                  <c:v>-1.0123329045064536E-3</c:v>
                </c:pt>
                <c:pt idx="10">
                  <c:v>3.4148063990799282E-3</c:v>
                </c:pt>
                <c:pt idx="11">
                  <c:v>2.616293552136148E-3</c:v>
                </c:pt>
                <c:pt idx="12">
                  <c:v>6.518483512250095E-3</c:v>
                </c:pt>
                <c:pt idx="13">
                  <c:v>-1.1545382517331865E-3</c:v>
                </c:pt>
                <c:pt idx="14">
                  <c:v>-2.4366681001094029E-4</c:v>
                </c:pt>
                <c:pt idx="15">
                  <c:v>-4.610044259396047E-3</c:v>
                </c:pt>
                <c:pt idx="16">
                  <c:v>-3.1111879009909499E-3</c:v>
                </c:pt>
                <c:pt idx="17">
                  <c:v>1.7059950904938712E-3</c:v>
                </c:pt>
                <c:pt idx="18">
                  <c:v>5.5842175828119817E-4</c:v>
                </c:pt>
              </c:numCache>
            </c:numRef>
          </c:val>
          <c:extLst>
            <c:ext xmlns:c16="http://schemas.microsoft.com/office/drawing/2014/chart" uri="{C3380CC4-5D6E-409C-BE32-E72D297353CC}">
              <c16:uniqueId val="{00000009-21EC-40AB-B2BD-904950A582F4}"/>
            </c:ext>
          </c:extLst>
        </c:ser>
        <c:dLbls>
          <c:showLegendKey val="0"/>
          <c:showVal val="0"/>
          <c:showCatName val="0"/>
          <c:showSerName val="0"/>
          <c:showPercent val="0"/>
          <c:showBubbleSize val="0"/>
        </c:dLbls>
        <c:gapWidth val="150"/>
        <c:axId val="172827392"/>
        <c:axId val="172828928"/>
      </c:barChart>
      <c:catAx>
        <c:axId val="172827392"/>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28928"/>
        <c:crosses val="autoZero"/>
        <c:auto val="1"/>
        <c:lblAlgn val="ctr"/>
        <c:lblOffset val="100"/>
        <c:noMultiLvlLbl val="0"/>
      </c:catAx>
      <c:valAx>
        <c:axId val="172828928"/>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27392"/>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Key Stage 5 teaching hours dedicated to each subject between 2014/15 and 2015/16 (EBacc in green and non-EBacc in red)</a:t>
            </a:r>
          </a:p>
        </c:rich>
      </c:tx>
      <c:layout>
        <c:manualLayout>
          <c:xMode val="edge"/>
          <c:yMode val="edge"/>
          <c:x val="0.12409196010398314"/>
          <c:y val="3.33448036219123E-3"/>
        </c:manualLayout>
      </c:layout>
      <c:overlay val="0"/>
    </c:title>
    <c:autoTitleDeleted val="0"/>
    <c:plotArea>
      <c:layout>
        <c:manualLayout>
          <c:layoutTarget val="inner"/>
          <c:xMode val="edge"/>
          <c:yMode val="edge"/>
          <c:x val="0.12223093556394882"/>
          <c:y val="0.1423420324711214"/>
          <c:w val="0.85244684861546782"/>
          <c:h val="0.55932169568202617"/>
        </c:manualLayout>
      </c:layout>
      <c:barChart>
        <c:barDir val="col"/>
        <c:grouping val="clustered"/>
        <c:varyColors val="0"/>
        <c:ser>
          <c:idx val="2"/>
          <c:order val="0"/>
          <c:tx>
            <c:strRef>
              <c:f>Changes_in_subject_teaching_hrs!$U$16</c:f>
              <c:strCache>
                <c:ptCount val="1"/>
                <c:pt idx="0">
                  <c:v>Key stage 5</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9F30-4039-9F79-A2639C40BE09}"/>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9F30-4039-9F79-A2639C40BE09}"/>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9F30-4039-9F79-A2639C40BE09}"/>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9F30-4039-9F79-A2639C40BE09}"/>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9F30-4039-9F79-A2639C40BE09}"/>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9F30-4039-9F79-A2639C40BE09}"/>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9F30-4039-9F79-A2639C40BE09}"/>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9F30-4039-9F79-A2639C40BE09}"/>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9F30-4039-9F79-A2639C40BE09}"/>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Changes_in_subject_teaching_hrs!$U$17:$U$35</c:f>
              <c:numCache>
                <c:formatCode>0.0%</c:formatCode>
                <c:ptCount val="19"/>
                <c:pt idx="0">
                  <c:v>-3.4625812885479695E-4</c:v>
                </c:pt>
                <c:pt idx="1">
                  <c:v>8.0069069036843576E-4</c:v>
                </c:pt>
                <c:pt idx="2">
                  <c:v>-3.7497037268084676E-4</c:v>
                </c:pt>
                <c:pt idx="3">
                  <c:v>8.0343579824480177E-4</c:v>
                </c:pt>
                <c:pt idx="4">
                  <c:v>2.155730694569577E-4</c:v>
                </c:pt>
                <c:pt idx="5">
                  <c:v>-1.5505624504978041E-3</c:v>
                </c:pt>
                <c:pt idx="6">
                  <c:v>4.0467119048640671E-4</c:v>
                </c:pt>
                <c:pt idx="7">
                  <c:v>-1.2025168301016513E-3</c:v>
                </c:pt>
                <c:pt idx="8">
                  <c:v>-2.9038173491474639E-4</c:v>
                </c:pt>
                <c:pt idx="9">
                  <c:v>-5.3090069173403111E-4</c:v>
                </c:pt>
                <c:pt idx="10">
                  <c:v>5.8929962844797568E-4</c:v>
                </c:pt>
                <c:pt idx="11">
                  <c:v>-2.7369526521496546E-4</c:v>
                </c:pt>
                <c:pt idx="12">
                  <c:v>5.0939555761885108E-3</c:v>
                </c:pt>
                <c:pt idx="13">
                  <c:v>-5.0764137381140856E-4</c:v>
                </c:pt>
                <c:pt idx="14">
                  <c:v>-9.8933134056679306E-4</c:v>
                </c:pt>
                <c:pt idx="15">
                  <c:v>-3.8831527806202359E-3</c:v>
                </c:pt>
                <c:pt idx="16">
                  <c:v>-3.2743476300190616E-4</c:v>
                </c:pt>
                <c:pt idx="17">
                  <c:v>1.0669920220492332E-3</c:v>
                </c:pt>
                <c:pt idx="18">
                  <c:v>1.3022277567570663E-3</c:v>
                </c:pt>
              </c:numCache>
            </c:numRef>
          </c:val>
          <c:extLst>
            <c:ext xmlns:c16="http://schemas.microsoft.com/office/drawing/2014/chart" uri="{C3380CC4-5D6E-409C-BE32-E72D297353CC}">
              <c16:uniqueId val="{00000009-9F30-4039-9F79-A2639C40BE09}"/>
            </c:ext>
          </c:extLst>
        </c:ser>
        <c:dLbls>
          <c:showLegendKey val="0"/>
          <c:showVal val="0"/>
          <c:showCatName val="0"/>
          <c:showSerName val="0"/>
          <c:showPercent val="0"/>
          <c:showBubbleSize val="0"/>
        </c:dLbls>
        <c:gapWidth val="150"/>
        <c:axId val="172873984"/>
        <c:axId val="172875776"/>
      </c:barChart>
      <c:catAx>
        <c:axId val="172873984"/>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2875776"/>
        <c:crosses val="autoZero"/>
        <c:auto val="1"/>
        <c:lblAlgn val="ctr"/>
        <c:lblOffset val="100"/>
        <c:noMultiLvlLbl val="0"/>
      </c:catAx>
      <c:valAx>
        <c:axId val="17287577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2873984"/>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a:t>Percentage point change in the proportion of all secondary teaching hours dedicated to each subject between 2014/15 and 2015/16 (EBacc in green and non-EBacc in red)</a:t>
            </a:r>
          </a:p>
        </c:rich>
      </c:tx>
      <c:layout>
        <c:manualLayout>
          <c:xMode val="edge"/>
          <c:yMode val="edge"/>
          <c:x val="0.12409197654120986"/>
          <c:y val="3.33448036219123E-3"/>
        </c:manualLayout>
      </c:layout>
      <c:overlay val="0"/>
    </c:title>
    <c:autoTitleDeleted val="0"/>
    <c:plotArea>
      <c:layout>
        <c:manualLayout>
          <c:layoutTarget val="inner"/>
          <c:xMode val="edge"/>
          <c:yMode val="edge"/>
          <c:x val="0.12222077857356438"/>
          <c:y val="0.1423420324711214"/>
          <c:w val="0.85245707023963779"/>
          <c:h val="0.55932169568202617"/>
        </c:manualLayout>
      </c:layout>
      <c:barChart>
        <c:barDir val="col"/>
        <c:grouping val="clustered"/>
        <c:varyColors val="0"/>
        <c:ser>
          <c:idx val="3"/>
          <c:order val="0"/>
          <c:tx>
            <c:strRef>
              <c:f>Changes_in_subject_teaching_hrs!$V$16</c:f>
              <c:strCache>
                <c:ptCount val="1"/>
                <c:pt idx="0">
                  <c:v>Total</c:v>
                </c:pt>
              </c:strCache>
            </c:strRef>
          </c:tx>
          <c:spPr>
            <a:solidFill>
              <a:srgbClr val="00B050"/>
            </a:solidFill>
            <a:ln>
              <a:solidFill>
                <a:sysClr val="windowText" lastClr="000000"/>
              </a:solidFill>
            </a:ln>
          </c:spPr>
          <c:invertIfNegative val="0"/>
          <c:dPt>
            <c:idx val="0"/>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0-6634-4C7F-9452-7DADCE3DC33B}"/>
              </c:ext>
            </c:extLst>
          </c:dPt>
          <c:dPt>
            <c:idx val="2"/>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1-6634-4C7F-9452-7DADCE3DC33B}"/>
              </c:ext>
            </c:extLst>
          </c:dPt>
          <c:dPt>
            <c:idx val="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2-6634-4C7F-9452-7DADCE3DC33B}"/>
              </c:ext>
            </c:extLst>
          </c:dPt>
          <c:dPt>
            <c:idx val="7"/>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3-6634-4C7F-9452-7DADCE3DC33B}"/>
              </c:ext>
            </c:extLst>
          </c:dPt>
          <c:dPt>
            <c:idx val="9"/>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4-6634-4C7F-9452-7DADCE3DC33B}"/>
              </c:ext>
            </c:extLst>
          </c:dPt>
          <c:dPt>
            <c:idx val="14"/>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5-6634-4C7F-9452-7DADCE3DC33B}"/>
              </c:ext>
            </c:extLst>
          </c:dPt>
          <c:dPt>
            <c:idx val="15"/>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6-6634-4C7F-9452-7DADCE3DC33B}"/>
              </c:ext>
            </c:extLst>
          </c:dPt>
          <c:dPt>
            <c:idx val="16"/>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7-6634-4C7F-9452-7DADCE3DC33B}"/>
              </c:ext>
            </c:extLst>
          </c:dPt>
          <c:dPt>
            <c:idx val="18"/>
            <c:invertIfNegative val="0"/>
            <c:bubble3D val="0"/>
            <c:spPr>
              <a:solidFill>
                <a:srgbClr val="FF0000"/>
              </a:solidFill>
              <a:ln>
                <a:solidFill>
                  <a:sysClr val="windowText" lastClr="000000"/>
                </a:solidFill>
              </a:ln>
            </c:spPr>
            <c:extLst>
              <c:ext xmlns:c16="http://schemas.microsoft.com/office/drawing/2014/chart" uri="{C3380CC4-5D6E-409C-BE32-E72D297353CC}">
                <c16:uniqueId val="{00000008-6634-4C7F-9452-7DADCE3DC33B}"/>
              </c:ext>
            </c:extLst>
          </c:dPt>
          <c:cat>
            <c:strRef>
              <c:f>Changes_in_subject_teaching_hrs!$B$17:$B$35</c:f>
              <c:strCache>
                <c:ptCount val="19"/>
                <c:pt idx="0">
                  <c:v>Art &amp; Design</c:v>
                </c:pt>
                <c:pt idx="1">
                  <c:v>Biology</c:v>
                </c:pt>
                <c:pt idx="2">
                  <c:v>Business Studies</c:v>
                </c:pt>
                <c:pt idx="3">
                  <c:v>Chemistry</c:v>
                </c:pt>
                <c:pt idx="4">
                  <c:v>Classics</c:v>
                </c:pt>
                <c:pt idx="5">
                  <c:v>Computing</c:v>
                </c:pt>
                <c:pt idx="6">
                  <c:v>Design &amp; Technology</c:v>
                </c:pt>
                <c:pt idx="7">
                  <c:v>Drama</c:v>
                </c:pt>
                <c:pt idx="8">
                  <c:v>English</c:v>
                </c:pt>
                <c:pt idx="9">
                  <c:v>Food</c:v>
                </c:pt>
                <c:pt idx="10">
                  <c:v>Geography</c:v>
                </c:pt>
                <c:pt idx="11">
                  <c:v>History</c:v>
                </c:pt>
                <c:pt idx="12">
                  <c:v>Mathematics</c:v>
                </c:pt>
                <c:pt idx="13">
                  <c:v>Modern Foreign Languages</c:v>
                </c:pt>
                <c:pt idx="14">
                  <c:v>Music</c:v>
                </c:pt>
                <c:pt idx="15">
                  <c:v>Others</c:v>
                </c:pt>
                <c:pt idx="16">
                  <c:v>Physical Education</c:v>
                </c:pt>
                <c:pt idx="17">
                  <c:v>Physics</c:v>
                </c:pt>
                <c:pt idx="18">
                  <c:v>Religious Education</c:v>
                </c:pt>
              </c:strCache>
            </c:strRef>
          </c:cat>
          <c:val>
            <c:numRef>
              <c:f>Changes_in_subject_teaching_hrs!$V$17:$V$35</c:f>
              <c:numCache>
                <c:formatCode>0.0%</c:formatCode>
                <c:ptCount val="19"/>
                <c:pt idx="0">
                  <c:v>-9.5924982153727106E-4</c:v>
                </c:pt>
                <c:pt idx="1">
                  <c:v>-1.206644425716337E-3</c:v>
                </c:pt>
                <c:pt idx="2">
                  <c:v>-9.8994514253985394E-4</c:v>
                </c:pt>
                <c:pt idx="3">
                  <c:v>1.0119156800981952E-3</c:v>
                </c:pt>
                <c:pt idx="4">
                  <c:v>5.0396256590334344E-5</c:v>
                </c:pt>
                <c:pt idx="5">
                  <c:v>-2.5465754774985153E-3</c:v>
                </c:pt>
                <c:pt idx="6">
                  <c:v>-2.1538605834313593E-3</c:v>
                </c:pt>
                <c:pt idx="7">
                  <c:v>-1.9138121478859405E-4</c:v>
                </c:pt>
                <c:pt idx="8">
                  <c:v>3.7450986733709724E-3</c:v>
                </c:pt>
                <c:pt idx="9">
                  <c:v>-4.6662528003765281E-4</c:v>
                </c:pt>
                <c:pt idx="10">
                  <c:v>1.7294317186194591E-3</c:v>
                </c:pt>
                <c:pt idx="11">
                  <c:v>1.4628430198883186E-3</c:v>
                </c:pt>
                <c:pt idx="12">
                  <c:v>5.3410062131351854E-3</c:v>
                </c:pt>
                <c:pt idx="13">
                  <c:v>-5.1000511581483776E-4</c:v>
                </c:pt>
                <c:pt idx="14">
                  <c:v>-4.2589466337243989E-4</c:v>
                </c:pt>
                <c:pt idx="15">
                  <c:v>-4.576488626444386E-3</c:v>
                </c:pt>
                <c:pt idx="16">
                  <c:v>-1.3504989853917321E-3</c:v>
                </c:pt>
                <c:pt idx="17">
                  <c:v>1.381354037260564E-3</c:v>
                </c:pt>
                <c:pt idx="18">
                  <c:v>6.5512373760988341E-4</c:v>
                </c:pt>
              </c:numCache>
            </c:numRef>
          </c:val>
          <c:extLst>
            <c:ext xmlns:c16="http://schemas.microsoft.com/office/drawing/2014/chart" uri="{C3380CC4-5D6E-409C-BE32-E72D297353CC}">
              <c16:uniqueId val="{00000009-6634-4C7F-9452-7DADCE3DC33B}"/>
            </c:ext>
          </c:extLst>
        </c:ser>
        <c:dLbls>
          <c:showLegendKey val="0"/>
          <c:showVal val="0"/>
          <c:showCatName val="0"/>
          <c:showSerName val="0"/>
          <c:showPercent val="0"/>
          <c:showBubbleSize val="0"/>
        </c:dLbls>
        <c:gapWidth val="150"/>
        <c:axId val="173506560"/>
        <c:axId val="173508096"/>
      </c:barChart>
      <c:catAx>
        <c:axId val="173506560"/>
        <c:scaling>
          <c:orientation val="minMax"/>
        </c:scaling>
        <c:delete val="0"/>
        <c:axPos val="b"/>
        <c:numFmt formatCode="General" sourceLinked="1"/>
        <c:majorTickMark val="out"/>
        <c:minorTickMark val="none"/>
        <c:tickLblPos val="low"/>
        <c:txPr>
          <a:bodyPr rot="-2700000" vert="horz"/>
          <a:lstStyle/>
          <a:p>
            <a:pPr>
              <a:defRPr sz="900" b="0" i="0" u="none" strike="noStrike" baseline="0">
                <a:solidFill>
                  <a:srgbClr val="000000"/>
                </a:solidFill>
                <a:latin typeface="Calibri"/>
                <a:ea typeface="Calibri"/>
                <a:cs typeface="Calibri"/>
              </a:defRPr>
            </a:pPr>
            <a:endParaRPr lang="en-US"/>
          </a:p>
        </c:txPr>
        <c:crossAx val="173508096"/>
        <c:crosses val="autoZero"/>
        <c:auto val="1"/>
        <c:lblAlgn val="ctr"/>
        <c:lblOffset val="100"/>
        <c:noMultiLvlLbl val="0"/>
      </c:catAx>
      <c:valAx>
        <c:axId val="173508096"/>
        <c:scaling>
          <c:orientation val="minMax"/>
        </c:scaling>
        <c:delete val="0"/>
        <c:axPos val="l"/>
        <c:majorGridlines/>
        <c:title>
          <c:tx>
            <c:rich>
              <a:bodyPr/>
              <a:lstStyle/>
              <a:p>
                <a:pPr>
                  <a:defRPr sz="1000" b="1" i="0" u="none" strike="noStrike" baseline="0">
                    <a:solidFill>
                      <a:srgbClr val="000000"/>
                    </a:solidFill>
                    <a:latin typeface="Calibri"/>
                    <a:ea typeface="Calibri"/>
                    <a:cs typeface="Calibri"/>
                  </a:defRPr>
                </a:pPr>
                <a:r>
                  <a:rPr lang="en-GB"/>
                  <a:t>Percentage point change</a:t>
                </a:r>
              </a:p>
            </c:rich>
          </c:tx>
          <c:overlay val="0"/>
        </c:title>
        <c:numFmt formatCode="0.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3506560"/>
        <c:crosses val="autoZero"/>
        <c:crossBetween val="between"/>
      </c:valAx>
      <c:spPr>
        <a:ln>
          <a:solidFill>
            <a:sysClr val="windowText" lastClr="000000"/>
          </a:solid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Lines="3" dropStyle="combo" dx="15" fmlaLink="$G$69" fmlaRange="$E$69:$E$71" noThreeD="1" sel="1" val="0"/>
</file>

<file path=xl/ctrlProps/ctrlProp10.xml><?xml version="1.0" encoding="utf-8"?>
<formControlPr xmlns="http://schemas.microsoft.com/office/spreadsheetml/2009/9/main" objectType="Drop" dropStyle="combo" dx="39" fmlaLink="Data_selected_by_user_testing!$B$53" fmlaRange="Data_selected_by_user_testing!$C$53:$C$55" noThreeD="1" sel="2" val="0"/>
</file>

<file path=xl/ctrlProps/ctrlProp11.xml><?xml version="1.0" encoding="utf-8"?>
<formControlPr xmlns="http://schemas.microsoft.com/office/spreadsheetml/2009/9/main" objectType="Drop" dropStyle="combo" dx="39" fmlaLink="Data_selected_by_user_testing!$B$61" fmlaRange="Data_selected_by_user_testing!$C$62:$C$69" noThreeD="1" sel="4" val="0"/>
</file>

<file path=xl/ctrlProps/ctrlProp12.xml><?xml version="1.0" encoding="utf-8"?>
<formControlPr xmlns="http://schemas.microsoft.com/office/spreadsheetml/2009/9/main" objectType="Drop" dropStyle="combo" dx="39" fmlaLink="Data_selected_by_user_testing!$B$73" fmlaRange="Data_selected_by_user_testing!$C$74:$C$81" noThreeD="1" sel="4" val="0"/>
</file>

<file path=xl/ctrlProps/ctrlProp13.xml><?xml version="1.0" encoding="utf-8"?>
<formControlPr xmlns="http://schemas.microsoft.com/office/spreadsheetml/2009/9/main" objectType="Drop" dropStyle="combo" dx="39" fmlaLink="Data_selected_by_user_testing!$B$87" fmlaRange="Data_selected_by_user_testing!$C$88:$C$93" noThreeD="1" sel="3" val="0"/>
</file>

<file path=xl/ctrlProps/ctrlProp14.xml><?xml version="1.0" encoding="utf-8"?>
<formControlPr xmlns="http://schemas.microsoft.com/office/spreadsheetml/2009/9/main" objectType="Drop" dropStyle="combo" dx="39" fmlaLink="Data_selected_by_user_testing!$B$97" fmlaRange="Data_selected_by_user_testing!$C$98:$C$103" noThreeD="1" sel="3" val="0"/>
</file>

<file path=xl/ctrlProps/ctrlProp15.xml><?xml version="1.0" encoding="utf-8"?>
<formControlPr xmlns="http://schemas.microsoft.com/office/spreadsheetml/2009/9/main" objectType="Drop" dropStyle="combo" dx="39" fmlaLink="Data_selected_by_user_testing!$B$109" fmlaRange="Data_selected_by_user_testing!$C$110:$C$115" noThreeD="1" sel="3" val="0"/>
</file>

<file path=xl/ctrlProps/ctrlProp16.xml><?xml version="1.0" encoding="utf-8"?>
<formControlPr xmlns="http://schemas.microsoft.com/office/spreadsheetml/2009/9/main" objectType="Drop" dropStyle="combo" dx="39" fmlaLink="Data_selected_by_user_testing!$B$119" fmlaRange="Data_selected_by_user_testing!$C$120:$C$125" noThreeD="1" sel="3" val="0"/>
</file>

<file path=xl/ctrlProps/ctrlProp17.xml><?xml version="1.0" encoding="utf-8"?>
<formControlPr xmlns="http://schemas.microsoft.com/office/spreadsheetml/2009/9/main" objectType="Drop" dropStyle="combo" dx="39" fmlaLink="Data_selected_by_user_testing!$B$147" fmlaRange="Data_selected_by_user_testing!$C$148:$G$149" noThreeD="1" sel="1" val="0"/>
</file>

<file path=xl/ctrlProps/ctrlProp18.xml><?xml version="1.0" encoding="utf-8"?>
<formControlPr xmlns="http://schemas.microsoft.com/office/spreadsheetml/2009/9/main" objectType="Drop" dropStyle="combo" dx="39" fmlaLink="Data_selected_by_user_testing!$B$153" fmlaRange="Data_selected_by_user_testing!$C$153:$D$154" noThreeD="1" sel="1" val="0"/>
</file>

<file path=xl/ctrlProps/ctrlProp19.xml><?xml version="1.0" encoding="utf-8"?>
<formControlPr xmlns="http://schemas.microsoft.com/office/spreadsheetml/2009/9/main" objectType="Drop" dropStyle="combo" dx="39" fmlaLink="Data_selected_by_user_testing!$B$220" fmlaRange="Data_selected_by_user_testing!$C$221:$D$222" noThreeD="1" sel="2" val="0"/>
</file>

<file path=xl/ctrlProps/ctrlProp2.xml><?xml version="1.0" encoding="utf-8"?>
<formControlPr xmlns="http://schemas.microsoft.com/office/spreadsheetml/2009/9/main" objectType="Drop" dropLines="21" dropStyle="combo" dx="15" fmlaLink="$C$69" fmlaRange="$B$22:$B$42" noThreeD="1" sel="15" val="0"/>
</file>

<file path=xl/ctrlProps/ctrlProp20.xml><?xml version="1.0" encoding="utf-8"?>
<formControlPr xmlns="http://schemas.microsoft.com/office/spreadsheetml/2009/9/main" objectType="Drop" dropStyle="combo" dx="39" fmlaLink="Data_selected_by_user_testing!$B$226" fmlaRange="Data_selected_by_user_testing!$C$226:$D$227" noThreeD="1" sel="2" val="0"/>
</file>

<file path=xl/ctrlProps/ctrlProp21.xml><?xml version="1.0" encoding="utf-8"?>
<formControlPr xmlns="http://schemas.microsoft.com/office/spreadsheetml/2009/9/main" objectType="Drop" dropStyle="combo" dx="39" fmlaLink="Increased_EBacc_scenario_data!$B$15" fmlaRange="Increased_EBacc_scenario_data!$C$15:$D$20" noThreeD="1" sel="4" val="0"/>
</file>

<file path=xl/ctrlProps/ctrlProp3.xml><?xml version="1.0" encoding="utf-8"?>
<formControlPr xmlns="http://schemas.microsoft.com/office/spreadsheetml/2009/9/main" objectType="Drop" dropLines="21" dropStyle="combo" dx="15" fmlaLink="$C$70" fmlaRange="$B$22:$B$42" noThreeD="1" sel="12" val="0"/>
</file>

<file path=xl/ctrlProps/ctrlProp4.xml><?xml version="1.0" encoding="utf-8"?>
<formControlPr xmlns="http://schemas.microsoft.com/office/spreadsheetml/2009/9/main" objectType="Drop" dropLines="21" dropStyle="combo" dx="15" fmlaLink="$C$71" fmlaRange="$B$22:$B$42" noThreeD="1" sel="13" val="0"/>
</file>

<file path=xl/ctrlProps/ctrlProp5.xml><?xml version="1.0" encoding="utf-8"?>
<formControlPr xmlns="http://schemas.microsoft.com/office/spreadsheetml/2009/9/main" objectType="Drop" dropStyle="combo" dx="39" fmlaLink="Data_selected_by_user_testing!$B$16" fmlaRange="Data_selected_by_user_testing!$C$20:$L$24" noThreeD="1" sel="2" val="0"/>
</file>

<file path=xl/ctrlProps/ctrlProp6.xml><?xml version="1.0" encoding="utf-8"?>
<formControlPr xmlns="http://schemas.microsoft.com/office/spreadsheetml/2009/9/main" objectType="Drop" dropStyle="combo" dx="39" fmlaLink="Data_selected_by_user_testing!$B$17" fmlaRange="Data_selected_by_user_testing!$C$26:$C$30" noThreeD="1" sel="2" val="0"/>
</file>

<file path=xl/ctrlProps/ctrlProp7.xml><?xml version="1.0" encoding="utf-8"?>
<formControlPr xmlns="http://schemas.microsoft.com/office/spreadsheetml/2009/9/main" objectType="Drop" dropStyle="combo" dx="39" fmlaLink="Data_selected_by_user_testing!$B$41" fmlaRange="Data_selected_by_user_testing!$C$41:$C$43" noThreeD="1" sel="2" val="0"/>
</file>

<file path=xl/ctrlProps/ctrlProp8.xml><?xml version="1.0" encoding="utf-8"?>
<formControlPr xmlns="http://schemas.microsoft.com/office/spreadsheetml/2009/9/main" objectType="Drop" dropStyle="combo" dx="39" fmlaLink="Data_selected_by_user_testing!$B$45" fmlaRange="Data_selected_by_user_testing!$C$45:$C$47" noThreeD="1" sel="2" val="0"/>
</file>

<file path=xl/ctrlProps/ctrlProp9.xml><?xml version="1.0" encoding="utf-8"?>
<formControlPr xmlns="http://schemas.microsoft.com/office/spreadsheetml/2009/9/main" objectType="Drop" dropStyle="combo" dx="39" fmlaLink="Data_selected_by_user_testing!$B$49" fmlaRange="Data_selected_by_user_testing!$C$49:$C$51" noThreeD="1" sel="2" val="0"/>
</file>

<file path=xl/drawings/_rels/drawing1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chart" Target="../charts/chart36.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4" Type="http://schemas.openxmlformats.org/officeDocument/2006/relationships/chart" Target="../charts/chart4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4"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chart" Target="../charts/chart4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18" Type="http://schemas.openxmlformats.org/officeDocument/2006/relationships/chart" Target="../charts/chart71.xml"/><Relationship Id="rId3" Type="http://schemas.openxmlformats.org/officeDocument/2006/relationships/chart" Target="../charts/chart56.xml"/><Relationship Id="rId21" Type="http://schemas.openxmlformats.org/officeDocument/2006/relationships/chart" Target="../charts/chart74.xml"/><Relationship Id="rId7" Type="http://schemas.openxmlformats.org/officeDocument/2006/relationships/chart" Target="../charts/chart60.xml"/><Relationship Id="rId12" Type="http://schemas.openxmlformats.org/officeDocument/2006/relationships/chart" Target="../charts/chart65.xml"/><Relationship Id="rId17" Type="http://schemas.openxmlformats.org/officeDocument/2006/relationships/chart" Target="../charts/chart70.xml"/><Relationship Id="rId25" Type="http://schemas.openxmlformats.org/officeDocument/2006/relationships/chart" Target="../charts/chart78.xml"/><Relationship Id="rId2" Type="http://schemas.openxmlformats.org/officeDocument/2006/relationships/chart" Target="../charts/chart55.xml"/><Relationship Id="rId16" Type="http://schemas.openxmlformats.org/officeDocument/2006/relationships/chart" Target="../charts/chart69.xml"/><Relationship Id="rId20" Type="http://schemas.openxmlformats.org/officeDocument/2006/relationships/chart" Target="../charts/chart73.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chart" Target="../charts/chart64.xml"/><Relationship Id="rId24" Type="http://schemas.openxmlformats.org/officeDocument/2006/relationships/chart" Target="../charts/chart77.xml"/><Relationship Id="rId5" Type="http://schemas.openxmlformats.org/officeDocument/2006/relationships/chart" Target="../charts/chart58.xml"/><Relationship Id="rId15" Type="http://schemas.openxmlformats.org/officeDocument/2006/relationships/chart" Target="../charts/chart68.xml"/><Relationship Id="rId23" Type="http://schemas.openxmlformats.org/officeDocument/2006/relationships/chart" Target="../charts/chart76.xml"/><Relationship Id="rId10" Type="http://schemas.openxmlformats.org/officeDocument/2006/relationships/chart" Target="../charts/chart63.xml"/><Relationship Id="rId19" Type="http://schemas.openxmlformats.org/officeDocument/2006/relationships/chart" Target="../charts/chart72.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 Id="rId22" Type="http://schemas.openxmlformats.org/officeDocument/2006/relationships/chart" Target="../charts/chart75.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89.xml"/><Relationship Id="rId3" Type="http://schemas.openxmlformats.org/officeDocument/2006/relationships/chart" Target="../charts/chart84.xml"/><Relationship Id="rId7" Type="http://schemas.openxmlformats.org/officeDocument/2006/relationships/chart" Target="../charts/chart88.xml"/><Relationship Id="rId2" Type="http://schemas.openxmlformats.org/officeDocument/2006/relationships/chart" Target="../charts/chart83.xml"/><Relationship Id="rId1" Type="http://schemas.openxmlformats.org/officeDocument/2006/relationships/chart" Target="../charts/chart82.xml"/><Relationship Id="rId6" Type="http://schemas.openxmlformats.org/officeDocument/2006/relationships/chart" Target="../charts/chart87.xml"/><Relationship Id="rId5" Type="http://schemas.openxmlformats.org/officeDocument/2006/relationships/chart" Target="../charts/chart86.xml"/><Relationship Id="rId4" Type="http://schemas.openxmlformats.org/officeDocument/2006/relationships/chart" Target="../charts/chart85.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4" Type="http://schemas.openxmlformats.org/officeDocument/2006/relationships/chart" Target="../charts/chart9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4"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8.xml"/><Relationship Id="rId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3810</xdr:colOff>
      <xdr:row>8</xdr:row>
      <xdr:rowOff>123826</xdr:rowOff>
    </xdr:from>
    <xdr:to>
      <xdr:col>14</xdr:col>
      <xdr:colOff>561974</xdr:colOff>
      <xdr:row>31</xdr:row>
      <xdr:rowOff>28576</xdr:rowOff>
    </xdr:to>
    <xdr:sp macro="" textlink="">
      <xdr:nvSpPr>
        <xdr:cNvPr id="2" name="TextBox 1"/>
        <xdr:cNvSpPr txBox="1"/>
      </xdr:nvSpPr>
      <xdr:spPr>
        <a:xfrm>
          <a:off x="332423" y="1528764"/>
          <a:ext cx="11945301" cy="365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600"/>
            </a:lnSpc>
          </a:pPr>
          <a:r>
            <a:rPr lang="en-GB" sz="1050" u="sng">
              <a:solidFill>
                <a:sysClr val="windowText" lastClr="000000"/>
              </a:solidFill>
            </a:rPr>
            <a:t>There</a:t>
          </a:r>
          <a:r>
            <a:rPr lang="en-GB" sz="1050" u="sng" baseline="0">
              <a:solidFill>
                <a:sysClr val="windowText" lastClr="000000"/>
              </a:solidFill>
            </a:rPr>
            <a:t> are a number of differences to the model this year: </a:t>
          </a:r>
          <a:endParaRPr lang="en-GB" sz="1050" u="sng">
            <a:solidFill>
              <a:sysClr val="windowText" lastClr="000000"/>
            </a:solidFill>
          </a:endParaRPr>
        </a:p>
        <a:p>
          <a:pPr>
            <a:lnSpc>
              <a:spcPts val="1600"/>
            </a:lnSpc>
          </a:pPr>
          <a:endParaRPr lang="en-GB" sz="1050" baseline="0">
            <a:solidFill>
              <a:sysClr val="windowText" lastClr="000000"/>
            </a:solidFill>
          </a:endParaRPr>
        </a:p>
        <a:p>
          <a:pPr>
            <a:lnSpc>
              <a:spcPts val="1500"/>
            </a:lnSpc>
          </a:pPr>
          <a:r>
            <a:rPr lang="en-GB" sz="1050" baseline="0">
              <a:solidFill>
                <a:sysClr val="windowText" lastClr="000000"/>
              </a:solidFill>
            </a:rPr>
            <a:t>1. The TSM is now presented in one Excel workbook rather than two, allowing easier testing of different scenarios by model users.</a:t>
          </a:r>
        </a:p>
        <a:p>
          <a:pPr>
            <a:lnSpc>
              <a:spcPts val="1500"/>
            </a:lnSpc>
          </a:pPr>
          <a:endParaRPr lang="en-GB" sz="1050" baseline="0">
            <a:solidFill>
              <a:sysClr val="windowText" lastClr="000000"/>
            </a:solidFill>
          </a:endParaRPr>
        </a:p>
        <a:p>
          <a:pPr>
            <a:lnSpc>
              <a:spcPts val="1600"/>
            </a:lnSpc>
          </a:pPr>
          <a:r>
            <a:rPr lang="en-GB" sz="1050" baseline="0">
              <a:solidFill>
                <a:sysClr val="windowText" lastClr="000000"/>
              </a:solidFill>
            </a:rPr>
            <a:t>2. The TSM now provides additional user/scenario testing including testing around unqualified teacher rates and post-ITT employment rates (see the 'user testing tab').</a:t>
          </a:r>
        </a:p>
        <a:p>
          <a:pPr>
            <a:lnSpc>
              <a:spcPts val="1600"/>
            </a:lnSpc>
          </a:pPr>
          <a:endParaRPr lang="en-GB" sz="1050" baseline="0">
            <a:solidFill>
              <a:sysClr val="windowText" lastClr="000000"/>
            </a:solidFill>
          </a:endParaRPr>
        </a:p>
        <a:p>
          <a:pPr>
            <a:lnSpc>
              <a:spcPts val="1500"/>
            </a:lnSpc>
          </a:pPr>
          <a:r>
            <a:rPr lang="en-GB" sz="1050" baseline="0">
              <a:solidFill>
                <a:sysClr val="windowText" lastClr="000000"/>
              </a:solidFill>
            </a:rPr>
            <a:t>3. The TSM now estimates the future impact of the increased EBacc take-up rate policy within the teacher need estimations. Users can also test the impact of different EBacc take-up rate scenarios </a:t>
          </a:r>
          <a:r>
            <a:rPr lang="en-GB" sz="1050" baseline="0">
              <a:solidFill>
                <a:sysClr val="windowText" lastClr="000000"/>
              </a:solidFill>
              <a:effectLst/>
              <a:latin typeface="+mn-lt"/>
              <a:ea typeface="+mn-ea"/>
              <a:cs typeface="+mn-cs"/>
            </a:rPr>
            <a:t>(see the 'user testing tab')</a:t>
          </a:r>
          <a:r>
            <a:rPr lang="en-GB" sz="1050" baseline="0">
              <a:solidFill>
                <a:sysClr val="windowText" lastClr="000000"/>
              </a:solidFill>
            </a:rPr>
            <a:t>. </a:t>
          </a:r>
        </a:p>
        <a:p>
          <a:pPr>
            <a:lnSpc>
              <a:spcPts val="1500"/>
            </a:lnSpc>
          </a:pPr>
          <a:endParaRPr lang="en-GB" sz="1050" baseline="0">
            <a:solidFill>
              <a:sysClr val="windowText" lastClr="000000"/>
            </a:solidFill>
          </a:endParaRPr>
        </a:p>
        <a:p>
          <a:pPr>
            <a:lnSpc>
              <a:spcPts val="1500"/>
            </a:lnSpc>
          </a:pPr>
          <a:r>
            <a:rPr lang="en-GB" sz="1050" baseline="0">
              <a:solidFill>
                <a:sysClr val="windowText" lastClr="000000"/>
              </a:solidFill>
            </a:rPr>
            <a:t>4. Comparisons between historical time series to projections made by the model are now provided within the TSM (see the 'Outputs with historical data' tab).</a:t>
          </a:r>
        </a:p>
        <a:p>
          <a:pPr>
            <a:lnSpc>
              <a:spcPts val="1500"/>
            </a:lnSpc>
          </a:pPr>
          <a:endParaRPr lang="en-GB" sz="1050" baseline="0">
            <a:solidFill>
              <a:sysClr val="windowText" lastClr="000000"/>
            </a:solidFill>
          </a:endParaRPr>
        </a:p>
        <a:p>
          <a:pPr>
            <a:lnSpc>
              <a:spcPts val="1500"/>
            </a:lnSpc>
          </a:pPr>
          <a:r>
            <a:rPr lang="en-GB" sz="1050" baseline="0">
              <a:solidFill>
                <a:sysClr val="windowText" lastClr="000000"/>
              </a:solidFill>
            </a:rPr>
            <a:t>5. For the first time, the TSM now provides projections of ITT places beyond one year (see the 'Historical and projected ITT' tab, and the accompanying caveats).</a:t>
          </a:r>
        </a:p>
        <a:p>
          <a:pPr>
            <a:lnSpc>
              <a:spcPts val="1500"/>
            </a:lnSpc>
          </a:pPr>
          <a:endParaRPr lang="en-GB" sz="1050" baseline="0">
            <a:solidFill>
              <a:sysClr val="windowText" lastClr="000000"/>
            </a:solidFill>
          </a:endParaRPr>
        </a:p>
        <a:p>
          <a:pPr>
            <a:lnSpc>
              <a:spcPts val="1600"/>
            </a:lnSpc>
          </a:pPr>
          <a:r>
            <a:rPr lang="en-GB" sz="1050" baseline="0">
              <a:solidFill>
                <a:sysClr val="windowText" lastClr="000000"/>
              </a:solidFill>
            </a:rPr>
            <a:t>6. The TSM now has the capability built-in to address potential 'self-fulfilling prophecies' within the model such as increases in the % of teachers that are unqualified.</a:t>
          </a:r>
        </a:p>
        <a:p>
          <a:pPr>
            <a:lnSpc>
              <a:spcPts val="1600"/>
            </a:lnSpc>
          </a:pPr>
          <a:endParaRPr lang="en-GB" sz="1050" baseline="0">
            <a:solidFill>
              <a:sysClr val="windowText" lastClr="000000"/>
            </a:solidFill>
          </a:endParaRPr>
        </a:p>
        <a:p>
          <a:pPr>
            <a:lnSpc>
              <a:spcPts val="1600"/>
            </a:lnSpc>
          </a:pPr>
          <a:r>
            <a:rPr lang="en-GB" sz="1050" baseline="0">
              <a:solidFill>
                <a:sysClr val="windowText" lastClr="000000"/>
              </a:solidFill>
            </a:rPr>
            <a:t>More information on all of these can be found within the model's methodological annex.</a:t>
          </a:r>
          <a:r>
            <a:rPr lang="en-GB" sz="1600" baseline="0">
              <a:solidFill>
                <a:srgbClr val="FF0000"/>
              </a:solidFill>
            </a:rPr>
            <a:t> </a:t>
          </a:r>
        </a:p>
        <a:p>
          <a:pPr>
            <a:lnSpc>
              <a:spcPts val="1500"/>
            </a:lnSpc>
          </a:pPr>
          <a:endParaRPr lang="en-GB" sz="1600" baseline="0">
            <a:solidFill>
              <a:srgbClr val="FF0000"/>
            </a:solidFill>
          </a:endParaRPr>
        </a:p>
        <a:p>
          <a:pPr>
            <a:lnSpc>
              <a:spcPts val="1500"/>
            </a:lnSpc>
          </a:pPr>
          <a:endParaRPr lang="en-GB" sz="1600" baseline="0">
            <a:solidFill>
              <a:srgbClr val="FF0000"/>
            </a:solidFill>
          </a:endParaRPr>
        </a:p>
        <a:p>
          <a:pPr>
            <a:lnSpc>
              <a:spcPts val="1500"/>
            </a:lnSpc>
          </a:pPr>
          <a:endParaRPr lang="en-GB" sz="1600" baseline="0">
            <a:solidFill>
              <a:srgbClr val="FF0000"/>
            </a:solidFill>
          </a:endParaRPr>
        </a:p>
        <a:p>
          <a:pPr>
            <a:lnSpc>
              <a:spcPts val="1400"/>
            </a:lnSpc>
          </a:pPr>
          <a:r>
            <a:rPr lang="en-GB" sz="1600" baseline="0">
              <a:solidFill>
                <a:srgbClr val="FF0000"/>
              </a:solidFill>
            </a:rPr>
            <a:t> </a:t>
          </a:r>
          <a:endParaRPr lang="en-GB" sz="1600">
            <a:solidFill>
              <a:srgbClr val="FF0000"/>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614363</xdr:colOff>
      <xdr:row>102</xdr:row>
      <xdr:rowOff>38100</xdr:rowOff>
    </xdr:from>
    <xdr:to>
      <xdr:col>13</xdr:col>
      <xdr:colOff>0</xdr:colOff>
      <xdr:row>133</xdr:row>
      <xdr:rowOff>123825</xdr:rowOff>
    </xdr:to>
    <xdr:graphicFrame macro="">
      <xdr:nvGraphicFramePr>
        <xdr:cNvPr id="1283891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102</xdr:row>
      <xdr:rowOff>38100</xdr:rowOff>
    </xdr:from>
    <xdr:to>
      <xdr:col>22</xdr:col>
      <xdr:colOff>714375</xdr:colOff>
      <xdr:row>133</xdr:row>
      <xdr:rowOff>123825</xdr:rowOff>
    </xdr:to>
    <xdr:graphicFrame macro="">
      <xdr:nvGraphicFramePr>
        <xdr:cNvPr id="128389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40</xdr:row>
      <xdr:rowOff>38100</xdr:rowOff>
    </xdr:from>
    <xdr:to>
      <xdr:col>8</xdr:col>
      <xdr:colOff>214313</xdr:colOff>
      <xdr:row>68</xdr:row>
      <xdr:rowOff>42862</xdr:rowOff>
    </xdr:to>
    <xdr:graphicFrame macro="">
      <xdr:nvGraphicFramePr>
        <xdr:cNvPr id="12317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304800</xdr:colOff>
      <xdr:row>12</xdr:row>
      <xdr:rowOff>19050</xdr:rowOff>
    </xdr:from>
    <xdr:to>
      <xdr:col>22</xdr:col>
      <xdr:colOff>161925</xdr:colOff>
      <xdr:row>34</xdr:row>
      <xdr:rowOff>85725</xdr:rowOff>
    </xdr:to>
    <xdr:graphicFrame macro="">
      <xdr:nvGraphicFramePr>
        <xdr:cNvPr id="12324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171450</xdr:colOff>
      <xdr:row>12</xdr:row>
      <xdr:rowOff>19050</xdr:rowOff>
    </xdr:from>
    <xdr:to>
      <xdr:col>31</xdr:col>
      <xdr:colOff>528638</xdr:colOff>
      <xdr:row>34</xdr:row>
      <xdr:rowOff>85725</xdr:rowOff>
    </xdr:to>
    <xdr:graphicFrame macro="">
      <xdr:nvGraphicFramePr>
        <xdr:cNvPr id="1232486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0</xdr:colOff>
      <xdr:row>13</xdr:row>
      <xdr:rowOff>0</xdr:rowOff>
    </xdr:from>
    <xdr:to>
      <xdr:col>24</xdr:col>
      <xdr:colOff>352424</xdr:colOff>
      <xdr:row>36</xdr:row>
      <xdr:rowOff>71437</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352425</xdr:colOff>
      <xdr:row>13</xdr:row>
      <xdr:rowOff>0</xdr:rowOff>
    </xdr:from>
    <xdr:to>
      <xdr:col>34</xdr:col>
      <xdr:colOff>57151</xdr:colOff>
      <xdr:row>36</xdr:row>
      <xdr:rowOff>71437</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633413</xdr:colOff>
      <xdr:row>35</xdr:row>
      <xdr:rowOff>19050</xdr:rowOff>
    </xdr:from>
    <xdr:to>
      <xdr:col>6</xdr:col>
      <xdr:colOff>438150</xdr:colOff>
      <xdr:row>54</xdr:row>
      <xdr:rowOff>0</xdr:rowOff>
    </xdr:to>
    <xdr:graphicFrame macro="">
      <xdr:nvGraphicFramePr>
        <xdr:cNvPr id="123299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438150</xdr:colOff>
      <xdr:row>35</xdr:row>
      <xdr:rowOff>19050</xdr:rowOff>
    </xdr:from>
    <xdr:to>
      <xdr:col>14</xdr:col>
      <xdr:colOff>304800</xdr:colOff>
      <xdr:row>54</xdr:row>
      <xdr:rowOff>9525</xdr:rowOff>
    </xdr:to>
    <xdr:graphicFrame macro="">
      <xdr:nvGraphicFramePr>
        <xdr:cNvPr id="123299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54</xdr:row>
      <xdr:rowOff>0</xdr:rowOff>
    </xdr:from>
    <xdr:to>
      <xdr:col>6</xdr:col>
      <xdr:colOff>438150</xdr:colOff>
      <xdr:row>73</xdr:row>
      <xdr:rowOff>0</xdr:rowOff>
    </xdr:to>
    <xdr:graphicFrame macro="">
      <xdr:nvGraphicFramePr>
        <xdr:cNvPr id="123299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438150</xdr:colOff>
      <xdr:row>54</xdr:row>
      <xdr:rowOff>0</xdr:rowOff>
    </xdr:from>
    <xdr:to>
      <xdr:col>14</xdr:col>
      <xdr:colOff>304800</xdr:colOff>
      <xdr:row>73</xdr:row>
      <xdr:rowOff>0</xdr:rowOff>
    </xdr:to>
    <xdr:graphicFrame macro="">
      <xdr:nvGraphicFramePr>
        <xdr:cNvPr id="123299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633413</xdr:colOff>
      <xdr:row>35</xdr:row>
      <xdr:rowOff>76200</xdr:rowOff>
    </xdr:from>
    <xdr:to>
      <xdr:col>7</xdr:col>
      <xdr:colOff>9525</xdr:colOff>
      <xdr:row>54</xdr:row>
      <xdr:rowOff>104775</xdr:rowOff>
    </xdr:to>
    <xdr:graphicFrame macro="">
      <xdr:nvGraphicFramePr>
        <xdr:cNvPr id="123371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35</xdr:row>
      <xdr:rowOff>76200</xdr:rowOff>
    </xdr:from>
    <xdr:to>
      <xdr:col>15</xdr:col>
      <xdr:colOff>123825</xdr:colOff>
      <xdr:row>54</xdr:row>
      <xdr:rowOff>114300</xdr:rowOff>
    </xdr:to>
    <xdr:graphicFrame macro="">
      <xdr:nvGraphicFramePr>
        <xdr:cNvPr id="1233715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54</xdr:row>
      <xdr:rowOff>104775</xdr:rowOff>
    </xdr:from>
    <xdr:to>
      <xdr:col>7</xdr:col>
      <xdr:colOff>9525</xdr:colOff>
      <xdr:row>73</xdr:row>
      <xdr:rowOff>133350</xdr:rowOff>
    </xdr:to>
    <xdr:graphicFrame macro="">
      <xdr:nvGraphicFramePr>
        <xdr:cNvPr id="1233715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9525</xdr:colOff>
      <xdr:row>54</xdr:row>
      <xdr:rowOff>104775</xdr:rowOff>
    </xdr:from>
    <xdr:to>
      <xdr:col>15</xdr:col>
      <xdr:colOff>123825</xdr:colOff>
      <xdr:row>73</xdr:row>
      <xdr:rowOff>133350</xdr:rowOff>
    </xdr:to>
    <xdr:graphicFrame macro="">
      <xdr:nvGraphicFramePr>
        <xdr:cNvPr id="1233716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638175</xdr:colOff>
      <xdr:row>35</xdr:row>
      <xdr:rowOff>95250</xdr:rowOff>
    </xdr:from>
    <xdr:to>
      <xdr:col>6</xdr:col>
      <xdr:colOff>471488</xdr:colOff>
      <xdr:row>52</xdr:row>
      <xdr:rowOff>85725</xdr:rowOff>
    </xdr:to>
    <xdr:graphicFrame macro="">
      <xdr:nvGraphicFramePr>
        <xdr:cNvPr id="134051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471488</xdr:colOff>
      <xdr:row>35</xdr:row>
      <xdr:rowOff>95250</xdr:rowOff>
    </xdr:from>
    <xdr:to>
      <xdr:col>14</xdr:col>
      <xdr:colOff>414338</xdr:colOff>
      <xdr:row>52</xdr:row>
      <xdr:rowOff>95250</xdr:rowOff>
    </xdr:to>
    <xdr:graphicFrame macro="">
      <xdr:nvGraphicFramePr>
        <xdr:cNvPr id="134051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638175</xdr:colOff>
      <xdr:row>52</xdr:row>
      <xdr:rowOff>85725</xdr:rowOff>
    </xdr:from>
    <xdr:to>
      <xdr:col>6</xdr:col>
      <xdr:colOff>481013</xdr:colOff>
      <xdr:row>69</xdr:row>
      <xdr:rowOff>85725</xdr:rowOff>
    </xdr:to>
    <xdr:graphicFrame macro="">
      <xdr:nvGraphicFramePr>
        <xdr:cNvPr id="1340519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471488</xdr:colOff>
      <xdr:row>52</xdr:row>
      <xdr:rowOff>85725</xdr:rowOff>
    </xdr:from>
    <xdr:to>
      <xdr:col>14</xdr:col>
      <xdr:colOff>414338</xdr:colOff>
      <xdr:row>69</xdr:row>
      <xdr:rowOff>85725</xdr:rowOff>
    </xdr:to>
    <xdr:graphicFrame macro="">
      <xdr:nvGraphicFramePr>
        <xdr:cNvPr id="134051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633413</xdr:colOff>
      <xdr:row>34</xdr:row>
      <xdr:rowOff>142875</xdr:rowOff>
    </xdr:from>
    <xdr:to>
      <xdr:col>6</xdr:col>
      <xdr:colOff>400050</xdr:colOff>
      <xdr:row>56</xdr:row>
      <xdr:rowOff>66675</xdr:rowOff>
    </xdr:to>
    <xdr:graphicFrame macro="">
      <xdr:nvGraphicFramePr>
        <xdr:cNvPr id="134062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400050</xdr:colOff>
      <xdr:row>34</xdr:row>
      <xdr:rowOff>142875</xdr:rowOff>
    </xdr:from>
    <xdr:to>
      <xdr:col>14</xdr:col>
      <xdr:colOff>223838</xdr:colOff>
      <xdr:row>56</xdr:row>
      <xdr:rowOff>76200</xdr:rowOff>
    </xdr:to>
    <xdr:graphicFrame macro="">
      <xdr:nvGraphicFramePr>
        <xdr:cNvPr id="134062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633413</xdr:colOff>
      <xdr:row>56</xdr:row>
      <xdr:rowOff>66675</xdr:rowOff>
    </xdr:from>
    <xdr:to>
      <xdr:col>6</xdr:col>
      <xdr:colOff>400050</xdr:colOff>
      <xdr:row>76</xdr:row>
      <xdr:rowOff>152400</xdr:rowOff>
    </xdr:to>
    <xdr:graphicFrame macro="">
      <xdr:nvGraphicFramePr>
        <xdr:cNvPr id="134062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400050</xdr:colOff>
      <xdr:row>56</xdr:row>
      <xdr:rowOff>66675</xdr:rowOff>
    </xdr:from>
    <xdr:to>
      <xdr:col>14</xdr:col>
      <xdr:colOff>223838</xdr:colOff>
      <xdr:row>76</xdr:row>
      <xdr:rowOff>152400</xdr:rowOff>
    </xdr:to>
    <xdr:graphicFrame macro="">
      <xdr:nvGraphicFramePr>
        <xdr:cNvPr id="134062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0</xdr:colOff>
      <xdr:row>29</xdr:row>
      <xdr:rowOff>0</xdr:rowOff>
    </xdr:from>
    <xdr:to>
      <xdr:col>10</xdr:col>
      <xdr:colOff>0</xdr:colOff>
      <xdr:row>47</xdr:row>
      <xdr:rowOff>142875</xdr:rowOff>
    </xdr:to>
    <xdr:graphicFrame macro="">
      <xdr:nvGraphicFramePr>
        <xdr:cNvPr id="1237097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61</xdr:row>
      <xdr:rowOff>9525</xdr:rowOff>
    </xdr:from>
    <xdr:to>
      <xdr:col>10</xdr:col>
      <xdr:colOff>0</xdr:colOff>
      <xdr:row>81</xdr:row>
      <xdr:rowOff>85725</xdr:rowOff>
    </xdr:to>
    <xdr:graphicFrame macro="">
      <xdr:nvGraphicFramePr>
        <xdr:cNvPr id="1237097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61</xdr:row>
      <xdr:rowOff>9525</xdr:rowOff>
    </xdr:from>
    <xdr:to>
      <xdr:col>17</xdr:col>
      <xdr:colOff>676275</xdr:colOff>
      <xdr:row>81</xdr:row>
      <xdr:rowOff>85725</xdr:rowOff>
    </xdr:to>
    <xdr:graphicFrame macro="">
      <xdr:nvGraphicFramePr>
        <xdr:cNvPr id="1237097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93</xdr:row>
      <xdr:rowOff>47625</xdr:rowOff>
    </xdr:from>
    <xdr:to>
      <xdr:col>10</xdr:col>
      <xdr:colOff>0</xdr:colOff>
      <xdr:row>112</xdr:row>
      <xdr:rowOff>142875</xdr:rowOff>
    </xdr:to>
    <xdr:graphicFrame macro="">
      <xdr:nvGraphicFramePr>
        <xdr:cNvPr id="1237097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2428875</xdr:colOff>
      <xdr:row>124</xdr:row>
      <xdr:rowOff>28575</xdr:rowOff>
    </xdr:from>
    <xdr:to>
      <xdr:col>10</xdr:col>
      <xdr:colOff>0</xdr:colOff>
      <xdr:row>145</xdr:row>
      <xdr:rowOff>142875</xdr:rowOff>
    </xdr:to>
    <xdr:graphicFrame macro="">
      <xdr:nvGraphicFramePr>
        <xdr:cNvPr id="1237097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9525</xdr:colOff>
      <xdr:row>155</xdr:row>
      <xdr:rowOff>28575</xdr:rowOff>
    </xdr:from>
    <xdr:to>
      <xdr:col>9</xdr:col>
      <xdr:colOff>685800</xdr:colOff>
      <xdr:row>175</xdr:row>
      <xdr:rowOff>19050</xdr:rowOff>
    </xdr:to>
    <xdr:graphicFrame macro="">
      <xdr:nvGraphicFramePr>
        <xdr:cNvPr id="1237097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184</xdr:row>
      <xdr:rowOff>0</xdr:rowOff>
    </xdr:from>
    <xdr:to>
      <xdr:col>9</xdr:col>
      <xdr:colOff>685800</xdr:colOff>
      <xdr:row>204</xdr:row>
      <xdr:rowOff>9525</xdr:rowOff>
    </xdr:to>
    <xdr:graphicFrame macro="">
      <xdr:nvGraphicFramePr>
        <xdr:cNvPr id="1237097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214</xdr:row>
      <xdr:rowOff>0</xdr:rowOff>
    </xdr:from>
    <xdr:to>
      <xdr:col>9</xdr:col>
      <xdr:colOff>685800</xdr:colOff>
      <xdr:row>234</xdr:row>
      <xdr:rowOff>0</xdr:rowOff>
    </xdr:to>
    <xdr:graphicFrame macro="">
      <xdr:nvGraphicFramePr>
        <xdr:cNvPr id="1237097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243</xdr:row>
      <xdr:rowOff>0</xdr:rowOff>
    </xdr:from>
    <xdr:to>
      <xdr:col>9</xdr:col>
      <xdr:colOff>685800</xdr:colOff>
      <xdr:row>263</xdr:row>
      <xdr:rowOff>9525</xdr:rowOff>
    </xdr:to>
    <xdr:graphicFrame macro="">
      <xdr:nvGraphicFramePr>
        <xdr:cNvPr id="1237097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331</xdr:row>
      <xdr:rowOff>0</xdr:rowOff>
    </xdr:from>
    <xdr:to>
      <xdr:col>9</xdr:col>
      <xdr:colOff>685800</xdr:colOff>
      <xdr:row>351</xdr:row>
      <xdr:rowOff>0</xdr:rowOff>
    </xdr:to>
    <xdr:graphicFrame macro="">
      <xdr:nvGraphicFramePr>
        <xdr:cNvPr id="1237097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360</xdr:row>
      <xdr:rowOff>0</xdr:rowOff>
    </xdr:from>
    <xdr:to>
      <xdr:col>9</xdr:col>
      <xdr:colOff>685800</xdr:colOff>
      <xdr:row>380</xdr:row>
      <xdr:rowOff>9525</xdr:rowOff>
    </xdr:to>
    <xdr:graphicFrame macro="">
      <xdr:nvGraphicFramePr>
        <xdr:cNvPr id="12370980"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389</xdr:row>
      <xdr:rowOff>0</xdr:rowOff>
    </xdr:from>
    <xdr:to>
      <xdr:col>10</xdr:col>
      <xdr:colOff>0</xdr:colOff>
      <xdr:row>409</xdr:row>
      <xdr:rowOff>0</xdr:rowOff>
    </xdr:to>
    <xdr:graphicFrame macro="">
      <xdr:nvGraphicFramePr>
        <xdr:cNvPr id="12370981"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0</xdr:colOff>
      <xdr:row>418</xdr:row>
      <xdr:rowOff>0</xdr:rowOff>
    </xdr:from>
    <xdr:to>
      <xdr:col>10</xdr:col>
      <xdr:colOff>0</xdr:colOff>
      <xdr:row>438</xdr:row>
      <xdr:rowOff>0</xdr:rowOff>
    </xdr:to>
    <xdr:graphicFrame macro="">
      <xdr:nvGraphicFramePr>
        <xdr:cNvPr id="12370982"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447</xdr:row>
      <xdr:rowOff>0</xdr:rowOff>
    </xdr:from>
    <xdr:to>
      <xdr:col>10</xdr:col>
      <xdr:colOff>9525</xdr:colOff>
      <xdr:row>467</xdr:row>
      <xdr:rowOff>0</xdr:rowOff>
    </xdr:to>
    <xdr:graphicFrame macro="">
      <xdr:nvGraphicFramePr>
        <xdr:cNvPr id="1237098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xdr:col>
      <xdr:colOff>0</xdr:colOff>
      <xdr:row>484</xdr:row>
      <xdr:rowOff>0</xdr:rowOff>
    </xdr:from>
    <xdr:to>
      <xdr:col>9</xdr:col>
      <xdr:colOff>685800</xdr:colOff>
      <xdr:row>504</xdr:row>
      <xdr:rowOff>19050</xdr:rowOff>
    </xdr:to>
    <xdr:graphicFrame macro="">
      <xdr:nvGraphicFramePr>
        <xdr:cNvPr id="1237098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2428875</xdr:colOff>
      <xdr:row>531</xdr:row>
      <xdr:rowOff>28575</xdr:rowOff>
    </xdr:from>
    <xdr:to>
      <xdr:col>10</xdr:col>
      <xdr:colOff>9525</xdr:colOff>
      <xdr:row>551</xdr:row>
      <xdr:rowOff>114300</xdr:rowOff>
    </xdr:to>
    <xdr:graphicFrame macro="">
      <xdr:nvGraphicFramePr>
        <xdr:cNvPr id="1237098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531</xdr:row>
      <xdr:rowOff>28575</xdr:rowOff>
    </xdr:from>
    <xdr:to>
      <xdr:col>18</xdr:col>
      <xdr:colOff>19050</xdr:colOff>
      <xdr:row>551</xdr:row>
      <xdr:rowOff>114300</xdr:rowOff>
    </xdr:to>
    <xdr:graphicFrame macro="">
      <xdr:nvGraphicFramePr>
        <xdr:cNvPr id="1237098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589</xdr:row>
      <xdr:rowOff>0</xdr:rowOff>
    </xdr:from>
    <xdr:to>
      <xdr:col>10</xdr:col>
      <xdr:colOff>0</xdr:colOff>
      <xdr:row>609</xdr:row>
      <xdr:rowOff>85725</xdr:rowOff>
    </xdr:to>
    <xdr:graphicFrame macro="">
      <xdr:nvGraphicFramePr>
        <xdr:cNvPr id="1237098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589</xdr:row>
      <xdr:rowOff>0</xdr:rowOff>
    </xdr:from>
    <xdr:to>
      <xdr:col>18</xdr:col>
      <xdr:colOff>0</xdr:colOff>
      <xdr:row>609</xdr:row>
      <xdr:rowOff>85725</xdr:rowOff>
    </xdr:to>
    <xdr:graphicFrame macro="">
      <xdr:nvGraphicFramePr>
        <xdr:cNvPr id="1237098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xdr:col>
      <xdr:colOff>0</xdr:colOff>
      <xdr:row>627</xdr:row>
      <xdr:rowOff>38100</xdr:rowOff>
    </xdr:from>
    <xdr:to>
      <xdr:col>9</xdr:col>
      <xdr:colOff>676275</xdr:colOff>
      <xdr:row>646</xdr:row>
      <xdr:rowOff>47625</xdr:rowOff>
    </xdr:to>
    <xdr:graphicFrame macro="">
      <xdr:nvGraphicFramePr>
        <xdr:cNvPr id="123709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273</xdr:row>
      <xdr:rowOff>0</xdr:rowOff>
    </xdr:from>
    <xdr:to>
      <xdr:col>9</xdr:col>
      <xdr:colOff>685800</xdr:colOff>
      <xdr:row>293</xdr:row>
      <xdr:rowOff>0</xdr:rowOff>
    </xdr:to>
    <xdr:graphicFrame macro="">
      <xdr:nvGraphicFramePr>
        <xdr:cNvPr id="1237099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xdr:col>
      <xdr:colOff>0</xdr:colOff>
      <xdr:row>302</xdr:row>
      <xdr:rowOff>0</xdr:rowOff>
    </xdr:from>
    <xdr:to>
      <xdr:col>9</xdr:col>
      <xdr:colOff>685800</xdr:colOff>
      <xdr:row>322</xdr:row>
      <xdr:rowOff>9525</xdr:rowOff>
    </xdr:to>
    <xdr:graphicFrame macro="">
      <xdr:nvGraphicFramePr>
        <xdr:cNvPr id="12370991"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676275</xdr:colOff>
      <xdr:row>627</xdr:row>
      <xdr:rowOff>38100</xdr:rowOff>
    </xdr:from>
    <xdr:to>
      <xdr:col>17</xdr:col>
      <xdr:colOff>666750</xdr:colOff>
      <xdr:row>646</xdr:row>
      <xdr:rowOff>47625</xdr:rowOff>
    </xdr:to>
    <xdr:graphicFrame macro="">
      <xdr:nvGraphicFramePr>
        <xdr:cNvPr id="123709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685800</xdr:colOff>
      <xdr:row>484</xdr:row>
      <xdr:rowOff>0</xdr:rowOff>
    </xdr:from>
    <xdr:to>
      <xdr:col>17</xdr:col>
      <xdr:colOff>523875</xdr:colOff>
      <xdr:row>504</xdr:row>
      <xdr:rowOff>19050</xdr:rowOff>
    </xdr:to>
    <xdr:graphicFrame macro="">
      <xdr:nvGraphicFramePr>
        <xdr:cNvPr id="123709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523875</xdr:colOff>
      <xdr:row>484</xdr:row>
      <xdr:rowOff>0</xdr:rowOff>
    </xdr:from>
    <xdr:to>
      <xdr:col>25</xdr:col>
      <xdr:colOff>466725</xdr:colOff>
      <xdr:row>504</xdr:row>
      <xdr:rowOff>19050</xdr:rowOff>
    </xdr:to>
    <xdr:graphicFrame macro="">
      <xdr:nvGraphicFramePr>
        <xdr:cNvPr id="12370994"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542925</xdr:colOff>
      <xdr:row>42</xdr:row>
      <xdr:rowOff>95250</xdr:rowOff>
    </xdr:from>
    <xdr:to>
      <xdr:col>10</xdr:col>
      <xdr:colOff>161925</xdr:colOff>
      <xdr:row>74</xdr:row>
      <xdr:rowOff>57150</xdr:rowOff>
    </xdr:to>
    <xdr:graphicFrame macro="">
      <xdr:nvGraphicFramePr>
        <xdr:cNvPr id="1239859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561975</xdr:colOff>
      <xdr:row>94</xdr:row>
      <xdr:rowOff>57150</xdr:rowOff>
    </xdr:from>
    <xdr:to>
      <xdr:col>8</xdr:col>
      <xdr:colOff>338138</xdr:colOff>
      <xdr:row>119</xdr:row>
      <xdr:rowOff>114300</xdr:rowOff>
    </xdr:to>
    <xdr:graphicFrame macro="">
      <xdr:nvGraphicFramePr>
        <xdr:cNvPr id="123985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161925</xdr:colOff>
      <xdr:row>42</xdr:row>
      <xdr:rowOff>95250</xdr:rowOff>
    </xdr:from>
    <xdr:to>
      <xdr:col>19</xdr:col>
      <xdr:colOff>890588</xdr:colOff>
      <xdr:row>74</xdr:row>
      <xdr:rowOff>57150</xdr:rowOff>
    </xdr:to>
    <xdr:graphicFrame macro="">
      <xdr:nvGraphicFramePr>
        <xdr:cNvPr id="123985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3175</xdr:colOff>
      <xdr:row>6</xdr:row>
      <xdr:rowOff>41593</xdr:rowOff>
    </xdr:from>
    <xdr:to>
      <xdr:col>2</xdr:col>
      <xdr:colOff>442785</xdr:colOff>
      <xdr:row>7</xdr:row>
      <xdr:rowOff>144228</xdr:rowOff>
    </xdr:to>
    <xdr:sp macro="" textlink="">
      <xdr:nvSpPr>
        <xdr:cNvPr id="2" name="TextBox 158"/>
        <xdr:cNvSpPr txBox="1"/>
      </xdr:nvSpPr>
      <xdr:spPr>
        <a:xfrm>
          <a:off x="612775" y="1013143"/>
          <a:ext cx="1049210" cy="264560"/>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Input data</a:t>
          </a:r>
        </a:p>
      </xdr:txBody>
    </xdr:sp>
    <xdr:clientData/>
  </xdr:twoCellAnchor>
  <xdr:twoCellAnchor>
    <xdr:from>
      <xdr:col>1</xdr:col>
      <xdr:colOff>4082</xdr:colOff>
      <xdr:row>8</xdr:row>
      <xdr:rowOff>26671</xdr:rowOff>
    </xdr:from>
    <xdr:to>
      <xdr:col>2</xdr:col>
      <xdr:colOff>442033</xdr:colOff>
      <xdr:row>10</xdr:row>
      <xdr:rowOff>139607</xdr:rowOff>
    </xdr:to>
    <xdr:sp macro="" textlink="">
      <xdr:nvSpPr>
        <xdr:cNvPr id="3" name="TextBox 159"/>
        <xdr:cNvSpPr txBox="1"/>
      </xdr:nvSpPr>
      <xdr:spPr>
        <a:xfrm>
          <a:off x="613682" y="1322071"/>
          <a:ext cx="1047551" cy="436786"/>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Calculation sheet</a:t>
          </a:r>
        </a:p>
      </xdr:txBody>
    </xdr:sp>
    <xdr:clientData/>
  </xdr:twoCellAnchor>
  <xdr:twoCellAnchor>
    <xdr:from>
      <xdr:col>2</xdr:col>
      <xdr:colOff>479108</xdr:colOff>
      <xdr:row>8</xdr:row>
      <xdr:rowOff>31751</xdr:rowOff>
    </xdr:from>
    <xdr:to>
      <xdr:col>4</xdr:col>
      <xdr:colOff>294884</xdr:colOff>
      <xdr:row>9</xdr:row>
      <xdr:rowOff>134386</xdr:rowOff>
    </xdr:to>
    <xdr:sp macro="" textlink="">
      <xdr:nvSpPr>
        <xdr:cNvPr id="4" name="TextBox 160"/>
        <xdr:cNvSpPr txBox="1"/>
      </xdr:nvSpPr>
      <xdr:spPr>
        <a:xfrm>
          <a:off x="1698308" y="1327151"/>
          <a:ext cx="1034976" cy="26456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Output sheet</a:t>
          </a:r>
        </a:p>
      </xdr:txBody>
    </xdr:sp>
    <xdr:clientData/>
  </xdr:twoCellAnchor>
  <xdr:twoCellAnchor>
    <xdr:from>
      <xdr:col>1</xdr:col>
      <xdr:colOff>6350</xdr:colOff>
      <xdr:row>4</xdr:row>
      <xdr:rowOff>0</xdr:rowOff>
    </xdr:from>
    <xdr:to>
      <xdr:col>2</xdr:col>
      <xdr:colOff>117676</xdr:colOff>
      <xdr:row>6</xdr:row>
      <xdr:rowOff>18936</xdr:rowOff>
    </xdr:to>
    <xdr:sp macro="" textlink="">
      <xdr:nvSpPr>
        <xdr:cNvPr id="5" name="TextBox 161"/>
        <xdr:cNvSpPr txBox="1"/>
      </xdr:nvSpPr>
      <xdr:spPr>
        <a:xfrm>
          <a:off x="615950" y="647700"/>
          <a:ext cx="720926" cy="342786"/>
        </a:xfrm>
        <a:prstGeom prst="rect">
          <a:avLst/>
        </a:prstGeom>
        <a:noFill/>
        <a:ln>
          <a:no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600" b="1" u="sng"/>
            <a:t>Key</a:t>
          </a:r>
        </a:p>
      </xdr:txBody>
    </xdr:sp>
    <xdr:clientData/>
  </xdr:twoCellAnchor>
  <xdr:twoCellAnchor>
    <xdr:from>
      <xdr:col>2</xdr:col>
      <xdr:colOff>495301</xdr:colOff>
      <xdr:row>6</xdr:row>
      <xdr:rowOff>42545</xdr:rowOff>
    </xdr:from>
    <xdr:to>
      <xdr:col>4</xdr:col>
      <xdr:colOff>296894</xdr:colOff>
      <xdr:row>7</xdr:row>
      <xdr:rowOff>145180</xdr:rowOff>
    </xdr:to>
    <xdr:sp macro="" textlink="">
      <xdr:nvSpPr>
        <xdr:cNvPr id="6" name="TextBox 158"/>
        <xdr:cNvSpPr txBox="1"/>
      </xdr:nvSpPr>
      <xdr:spPr>
        <a:xfrm>
          <a:off x="1714501" y="1014095"/>
          <a:ext cx="1020793" cy="264560"/>
        </a:xfrm>
        <a:prstGeom prst="rect">
          <a:avLst/>
        </a:prstGeom>
        <a:solidFill>
          <a:srgbClr val="0070C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Admin/control</a:t>
          </a:r>
        </a:p>
      </xdr:txBody>
    </xdr:sp>
    <xdr:clientData/>
  </xdr:twoCellAnchor>
  <xdr:twoCellAnchor>
    <xdr:from>
      <xdr:col>0</xdr:col>
      <xdr:colOff>361951</xdr:colOff>
      <xdr:row>20</xdr:row>
      <xdr:rowOff>152400</xdr:rowOff>
    </xdr:from>
    <xdr:to>
      <xdr:col>1</xdr:col>
      <xdr:colOff>361951</xdr:colOff>
      <xdr:row>22</xdr:row>
      <xdr:rowOff>151715</xdr:rowOff>
    </xdr:to>
    <xdr:sp macro="" textlink="">
      <xdr:nvSpPr>
        <xdr:cNvPr id="7" name="TextBox 158"/>
        <xdr:cNvSpPr txBox="1"/>
      </xdr:nvSpPr>
      <xdr:spPr>
        <a:xfrm>
          <a:off x="361951" y="3390900"/>
          <a:ext cx="609600" cy="323165"/>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RAW DATA INPUTS</a:t>
          </a:r>
        </a:p>
      </xdr:txBody>
    </xdr:sp>
    <xdr:clientData/>
  </xdr:twoCellAnchor>
  <xdr:twoCellAnchor>
    <xdr:from>
      <xdr:col>1</xdr:col>
      <xdr:colOff>57151</xdr:colOff>
      <xdr:row>8</xdr:row>
      <xdr:rowOff>136871</xdr:rowOff>
    </xdr:from>
    <xdr:to>
      <xdr:col>9</xdr:col>
      <xdr:colOff>352426</xdr:colOff>
      <xdr:row>20</xdr:row>
      <xdr:rowOff>152400</xdr:rowOff>
    </xdr:to>
    <xdr:cxnSp macro="">
      <xdr:nvCxnSpPr>
        <xdr:cNvPr id="8" name="Straight Arrow Connector 7"/>
        <xdr:cNvCxnSpPr>
          <a:stCxn id="7" idx="0"/>
          <a:endCxn id="14" idx="1"/>
        </xdr:cNvCxnSpPr>
      </xdr:nvCxnSpPr>
      <xdr:spPr>
        <a:xfrm flipV="1">
          <a:off x="666751" y="1432271"/>
          <a:ext cx="5172075" cy="195862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428541</xdr:colOff>
      <xdr:row>19</xdr:row>
      <xdr:rowOff>44700</xdr:rowOff>
    </xdr:from>
    <xdr:to>
      <xdr:col>5</xdr:col>
      <xdr:colOff>57151</xdr:colOff>
      <xdr:row>19</xdr:row>
      <xdr:rowOff>87627</xdr:rowOff>
    </xdr:to>
    <xdr:cxnSp macro="">
      <xdr:nvCxnSpPr>
        <xdr:cNvPr id="9" name="Straight Arrow Connector 8"/>
        <xdr:cNvCxnSpPr>
          <a:stCxn id="15" idx="3"/>
          <a:endCxn id="35" idx="1"/>
        </xdr:cNvCxnSpPr>
      </xdr:nvCxnSpPr>
      <xdr:spPr>
        <a:xfrm flipV="1">
          <a:off x="2866941" y="3121275"/>
          <a:ext cx="238210" cy="4292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371475</xdr:colOff>
      <xdr:row>25</xdr:row>
      <xdr:rowOff>152400</xdr:rowOff>
    </xdr:from>
    <xdr:to>
      <xdr:col>12</xdr:col>
      <xdr:colOff>104776</xdr:colOff>
      <xdr:row>27</xdr:row>
      <xdr:rowOff>114300</xdr:rowOff>
    </xdr:to>
    <xdr:cxnSp macro="">
      <xdr:nvCxnSpPr>
        <xdr:cNvPr id="10" name="Straight Arrow Connector 9"/>
        <xdr:cNvCxnSpPr/>
      </xdr:nvCxnSpPr>
      <xdr:spPr>
        <a:xfrm flipH="1">
          <a:off x="5857875" y="4200525"/>
          <a:ext cx="1562101" cy="2857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57151</xdr:colOff>
      <xdr:row>22</xdr:row>
      <xdr:rowOff>151715</xdr:rowOff>
    </xdr:from>
    <xdr:to>
      <xdr:col>4</xdr:col>
      <xdr:colOff>76200</xdr:colOff>
      <xdr:row>42</xdr:row>
      <xdr:rowOff>133350</xdr:rowOff>
    </xdr:to>
    <xdr:cxnSp macro="">
      <xdr:nvCxnSpPr>
        <xdr:cNvPr id="11" name="Straight Arrow Connector 10"/>
        <xdr:cNvCxnSpPr>
          <a:stCxn id="7" idx="2"/>
        </xdr:cNvCxnSpPr>
      </xdr:nvCxnSpPr>
      <xdr:spPr>
        <a:xfrm>
          <a:off x="666751" y="3714065"/>
          <a:ext cx="1847849" cy="322013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361951</xdr:colOff>
      <xdr:row>21</xdr:row>
      <xdr:rowOff>152058</xdr:rowOff>
    </xdr:from>
    <xdr:to>
      <xdr:col>3</xdr:col>
      <xdr:colOff>285749</xdr:colOff>
      <xdr:row>23</xdr:row>
      <xdr:rowOff>48970</xdr:rowOff>
    </xdr:to>
    <xdr:cxnSp macro="">
      <xdr:nvCxnSpPr>
        <xdr:cNvPr id="12" name="Straight Arrow Connector 11"/>
        <xdr:cNvCxnSpPr>
          <a:stCxn id="7" idx="3"/>
          <a:endCxn id="16" idx="1"/>
        </xdr:cNvCxnSpPr>
      </xdr:nvCxnSpPr>
      <xdr:spPr>
        <a:xfrm>
          <a:off x="971551" y="3552483"/>
          <a:ext cx="1142998" cy="22076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371475</xdr:colOff>
      <xdr:row>19</xdr:row>
      <xdr:rowOff>87627</xdr:rowOff>
    </xdr:from>
    <xdr:to>
      <xdr:col>3</xdr:col>
      <xdr:colOff>238125</xdr:colOff>
      <xdr:row>21</xdr:row>
      <xdr:rowOff>28575</xdr:rowOff>
    </xdr:to>
    <xdr:cxnSp macro="">
      <xdr:nvCxnSpPr>
        <xdr:cNvPr id="13" name="Straight Arrow Connector 12"/>
        <xdr:cNvCxnSpPr>
          <a:endCxn id="15" idx="1"/>
        </xdr:cNvCxnSpPr>
      </xdr:nvCxnSpPr>
      <xdr:spPr>
        <a:xfrm flipV="1">
          <a:off x="981075" y="3164202"/>
          <a:ext cx="1085850" cy="2647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352426</xdr:colOff>
      <xdr:row>7</xdr:row>
      <xdr:rowOff>83821</xdr:rowOff>
    </xdr:from>
    <xdr:to>
      <xdr:col>10</xdr:col>
      <xdr:colOff>362017</xdr:colOff>
      <xdr:row>10</xdr:row>
      <xdr:rowOff>27996</xdr:rowOff>
    </xdr:to>
    <xdr:sp macro="" textlink="">
      <xdr:nvSpPr>
        <xdr:cNvPr id="14" name="TextBox 158"/>
        <xdr:cNvSpPr txBox="1"/>
      </xdr:nvSpPr>
      <xdr:spPr>
        <a:xfrm>
          <a:off x="5838826" y="1217296"/>
          <a:ext cx="619191" cy="429950"/>
        </a:xfrm>
        <a:prstGeom prst="rect">
          <a:avLst/>
        </a:prstGeom>
        <a:solidFill>
          <a:srgbClr val="0070C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USER TESTING TAB</a:t>
          </a:r>
        </a:p>
      </xdr:txBody>
    </xdr:sp>
    <xdr:clientData/>
  </xdr:twoCellAnchor>
  <xdr:twoCellAnchor>
    <xdr:from>
      <xdr:col>3</xdr:col>
      <xdr:colOff>238125</xdr:colOff>
      <xdr:row>17</xdr:row>
      <xdr:rowOff>140890</xdr:rowOff>
    </xdr:from>
    <xdr:to>
      <xdr:col>4</xdr:col>
      <xdr:colOff>428541</xdr:colOff>
      <xdr:row>21</xdr:row>
      <xdr:rowOff>34364</xdr:rowOff>
    </xdr:to>
    <xdr:sp macro="" textlink="">
      <xdr:nvSpPr>
        <xdr:cNvPr id="15" name="TextBox 158"/>
        <xdr:cNvSpPr txBox="1"/>
      </xdr:nvSpPr>
      <xdr:spPr>
        <a:xfrm>
          <a:off x="2066925" y="2893615"/>
          <a:ext cx="800016" cy="541174"/>
        </a:xfrm>
        <a:prstGeom prst="rect">
          <a:avLst/>
        </a:prstGeom>
        <a:solidFill>
          <a:srgbClr val="FF00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Calculation of primary and secondary retirement rates</a:t>
          </a:r>
        </a:p>
      </xdr:txBody>
    </xdr:sp>
    <xdr:clientData/>
  </xdr:twoCellAnchor>
  <xdr:twoCellAnchor>
    <xdr:from>
      <xdr:col>3</xdr:col>
      <xdr:colOff>285749</xdr:colOff>
      <xdr:row>21</xdr:row>
      <xdr:rowOff>76200</xdr:rowOff>
    </xdr:from>
    <xdr:to>
      <xdr:col>4</xdr:col>
      <xdr:colOff>466724</xdr:colOff>
      <xdr:row>25</xdr:row>
      <xdr:rowOff>21739</xdr:rowOff>
    </xdr:to>
    <xdr:sp macro="" textlink="">
      <xdr:nvSpPr>
        <xdr:cNvPr id="16" name="TextBox 158"/>
        <xdr:cNvSpPr txBox="1"/>
      </xdr:nvSpPr>
      <xdr:spPr>
        <a:xfrm>
          <a:off x="2114549" y="3476625"/>
          <a:ext cx="790575" cy="593239"/>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and secondary deaths</a:t>
          </a:r>
          <a:r>
            <a:rPr lang="en-GB" sz="800" baseline="0"/>
            <a:t> rates</a:t>
          </a:r>
          <a:endParaRPr lang="en-GB" sz="800"/>
        </a:p>
      </xdr:txBody>
    </xdr:sp>
    <xdr:clientData/>
  </xdr:twoCellAnchor>
  <xdr:twoCellAnchor>
    <xdr:from>
      <xdr:col>4</xdr:col>
      <xdr:colOff>57150</xdr:colOff>
      <xdr:row>42</xdr:row>
      <xdr:rowOff>135255</xdr:rowOff>
    </xdr:from>
    <xdr:to>
      <xdr:col>5</xdr:col>
      <xdr:colOff>238071</xdr:colOff>
      <xdr:row>44</xdr:row>
      <xdr:rowOff>134570</xdr:rowOff>
    </xdr:to>
    <xdr:sp macro="" textlink="">
      <xdr:nvSpPr>
        <xdr:cNvPr id="17" name="TextBox 158"/>
        <xdr:cNvSpPr txBox="1"/>
      </xdr:nvSpPr>
      <xdr:spPr>
        <a:xfrm>
          <a:off x="2495550" y="6936105"/>
          <a:ext cx="79052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Entrant age breakdowns</a:t>
          </a:r>
        </a:p>
      </xdr:txBody>
    </xdr:sp>
    <xdr:clientData/>
  </xdr:twoCellAnchor>
  <xdr:twoCellAnchor>
    <xdr:from>
      <xdr:col>8</xdr:col>
      <xdr:colOff>438150</xdr:colOff>
      <xdr:row>17</xdr:row>
      <xdr:rowOff>19050</xdr:rowOff>
    </xdr:from>
    <xdr:to>
      <xdr:col>10</xdr:col>
      <xdr:colOff>9525</xdr:colOff>
      <xdr:row>19</xdr:row>
      <xdr:rowOff>112504</xdr:rowOff>
    </xdr:to>
    <xdr:sp macro="" textlink="">
      <xdr:nvSpPr>
        <xdr:cNvPr id="18" name="TextBox 158"/>
        <xdr:cNvSpPr txBox="1"/>
      </xdr:nvSpPr>
      <xdr:spPr>
        <a:xfrm>
          <a:off x="5314950" y="2771775"/>
          <a:ext cx="790575" cy="417304"/>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800" b="0" i="0" u="none" strike="noStrike" kern="0" cap="none" spc="0" normalizeH="0" baseline="0" noProof="0">
              <a:ln>
                <a:noFill/>
              </a:ln>
              <a:solidFill>
                <a:sysClr val="windowText" lastClr="000000"/>
              </a:solidFill>
              <a:effectLst/>
              <a:uLnTx/>
              <a:uFillTx/>
              <a:latin typeface="+mn-lt"/>
            </a:rPr>
            <a:t>Calculation of secondary teacher need</a:t>
          </a:r>
        </a:p>
      </xdr:txBody>
    </xdr:sp>
    <xdr:clientData/>
  </xdr:twoCellAnchor>
  <xdr:twoCellAnchor>
    <xdr:from>
      <xdr:col>7</xdr:col>
      <xdr:colOff>266700</xdr:colOff>
      <xdr:row>20</xdr:row>
      <xdr:rowOff>104775</xdr:rowOff>
    </xdr:from>
    <xdr:to>
      <xdr:col>8</xdr:col>
      <xdr:colOff>438213</xdr:colOff>
      <xdr:row>23</xdr:row>
      <xdr:rowOff>87013</xdr:rowOff>
    </xdr:to>
    <xdr:sp macro="" textlink="">
      <xdr:nvSpPr>
        <xdr:cNvPr id="19" name="TextBox 158"/>
        <xdr:cNvSpPr txBox="1"/>
      </xdr:nvSpPr>
      <xdr:spPr>
        <a:xfrm>
          <a:off x="4533900" y="3343275"/>
          <a:ext cx="781113" cy="468013"/>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primary teacher need</a:t>
          </a:r>
        </a:p>
      </xdr:txBody>
    </xdr:sp>
    <xdr:clientData/>
  </xdr:twoCellAnchor>
  <xdr:twoCellAnchor>
    <xdr:from>
      <xdr:col>5</xdr:col>
      <xdr:colOff>238071</xdr:colOff>
      <xdr:row>30</xdr:row>
      <xdr:rowOff>142875</xdr:rowOff>
    </xdr:from>
    <xdr:to>
      <xdr:col>8</xdr:col>
      <xdr:colOff>323850</xdr:colOff>
      <xdr:row>43</xdr:row>
      <xdr:rowOff>134913</xdr:rowOff>
    </xdr:to>
    <xdr:cxnSp macro="">
      <xdr:nvCxnSpPr>
        <xdr:cNvPr id="20" name="Straight Arrow Connector 19"/>
        <xdr:cNvCxnSpPr>
          <a:stCxn id="17" idx="3"/>
        </xdr:cNvCxnSpPr>
      </xdr:nvCxnSpPr>
      <xdr:spPr>
        <a:xfrm flipV="1">
          <a:off x="3286071" y="5000625"/>
          <a:ext cx="1914579" cy="209706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466724</xdr:colOff>
      <xdr:row>23</xdr:row>
      <xdr:rowOff>48970</xdr:rowOff>
    </xdr:from>
    <xdr:to>
      <xdr:col>8</xdr:col>
      <xdr:colOff>228600</xdr:colOff>
      <xdr:row>29</xdr:row>
      <xdr:rowOff>152400</xdr:rowOff>
    </xdr:to>
    <xdr:cxnSp macro="">
      <xdr:nvCxnSpPr>
        <xdr:cNvPr id="21" name="Straight Arrow Connector 20"/>
        <xdr:cNvCxnSpPr>
          <a:stCxn id="16" idx="3"/>
        </xdr:cNvCxnSpPr>
      </xdr:nvCxnSpPr>
      <xdr:spPr>
        <a:xfrm>
          <a:off x="2905124" y="3773245"/>
          <a:ext cx="2200276" cy="107498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438150</xdr:colOff>
      <xdr:row>20</xdr:row>
      <xdr:rowOff>95250</xdr:rowOff>
    </xdr:from>
    <xdr:to>
      <xdr:col>8</xdr:col>
      <xdr:colOff>228600</xdr:colOff>
      <xdr:row>27</xdr:row>
      <xdr:rowOff>28575</xdr:rowOff>
    </xdr:to>
    <xdr:cxnSp macro="">
      <xdr:nvCxnSpPr>
        <xdr:cNvPr id="22" name="Straight Arrow Connector 21"/>
        <xdr:cNvCxnSpPr/>
      </xdr:nvCxnSpPr>
      <xdr:spPr>
        <a:xfrm>
          <a:off x="2876550" y="3333750"/>
          <a:ext cx="2228850" cy="10668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438213</xdr:colOff>
      <xdr:row>22</xdr:row>
      <xdr:rowOff>14932</xdr:rowOff>
    </xdr:from>
    <xdr:to>
      <xdr:col>12</xdr:col>
      <xdr:colOff>114300</xdr:colOff>
      <xdr:row>25</xdr:row>
      <xdr:rowOff>33082</xdr:rowOff>
    </xdr:to>
    <xdr:cxnSp macro="">
      <xdr:nvCxnSpPr>
        <xdr:cNvPr id="23" name="Straight Arrow Connector 22"/>
        <xdr:cNvCxnSpPr>
          <a:stCxn id="19" idx="3"/>
          <a:endCxn id="28" idx="1"/>
        </xdr:cNvCxnSpPr>
      </xdr:nvCxnSpPr>
      <xdr:spPr>
        <a:xfrm>
          <a:off x="5315013" y="3577282"/>
          <a:ext cx="2114487" cy="5039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509588</xdr:colOff>
      <xdr:row>21</xdr:row>
      <xdr:rowOff>47625</xdr:rowOff>
    </xdr:from>
    <xdr:to>
      <xdr:col>12</xdr:col>
      <xdr:colOff>542925</xdr:colOff>
      <xdr:row>23</xdr:row>
      <xdr:rowOff>121920</xdr:rowOff>
    </xdr:to>
    <xdr:cxnSp macro="">
      <xdr:nvCxnSpPr>
        <xdr:cNvPr id="24" name="Straight Arrow Connector 23"/>
        <xdr:cNvCxnSpPr>
          <a:stCxn id="27" idx="2"/>
          <a:endCxn id="28" idx="0"/>
        </xdr:cNvCxnSpPr>
      </xdr:nvCxnSpPr>
      <xdr:spPr>
        <a:xfrm flipH="1">
          <a:off x="7824788" y="3448050"/>
          <a:ext cx="33337" cy="3981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xdr:colOff>
      <xdr:row>19</xdr:row>
      <xdr:rowOff>38100</xdr:rowOff>
    </xdr:from>
    <xdr:to>
      <xdr:col>12</xdr:col>
      <xdr:colOff>152400</xdr:colOff>
      <xdr:row>19</xdr:row>
      <xdr:rowOff>147638</xdr:rowOff>
    </xdr:to>
    <xdr:cxnSp macro="">
      <xdr:nvCxnSpPr>
        <xdr:cNvPr id="25" name="Straight Arrow Connector 24"/>
        <xdr:cNvCxnSpPr>
          <a:endCxn id="27" idx="1"/>
        </xdr:cNvCxnSpPr>
      </xdr:nvCxnSpPr>
      <xdr:spPr>
        <a:xfrm>
          <a:off x="6115050" y="3114675"/>
          <a:ext cx="1352550" cy="10953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xdr:colOff>
      <xdr:row>7</xdr:row>
      <xdr:rowOff>95250</xdr:rowOff>
    </xdr:from>
    <xdr:to>
      <xdr:col>19</xdr:col>
      <xdr:colOff>342900</xdr:colOff>
      <xdr:row>18</xdr:row>
      <xdr:rowOff>65777</xdr:rowOff>
    </xdr:to>
    <xdr:cxnSp macro="">
      <xdr:nvCxnSpPr>
        <xdr:cNvPr id="26" name="Straight Arrow Connector 25"/>
        <xdr:cNvCxnSpPr>
          <a:endCxn id="18" idx="3"/>
        </xdr:cNvCxnSpPr>
      </xdr:nvCxnSpPr>
      <xdr:spPr>
        <a:xfrm flipH="1">
          <a:off x="6105525" y="1228725"/>
          <a:ext cx="5819775" cy="175170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152400</xdr:colOff>
      <xdr:row>18</xdr:row>
      <xdr:rowOff>85725</xdr:rowOff>
    </xdr:from>
    <xdr:to>
      <xdr:col>13</xdr:col>
      <xdr:colOff>323850</xdr:colOff>
      <xdr:row>21</xdr:row>
      <xdr:rowOff>47625</xdr:rowOff>
    </xdr:to>
    <xdr:sp macro="" textlink="">
      <xdr:nvSpPr>
        <xdr:cNvPr id="27" name="TextBox 158"/>
        <xdr:cNvSpPr txBox="1">
          <a:spLocks noChangeArrowheads="1"/>
        </xdr:cNvSpPr>
      </xdr:nvSpPr>
      <xdr:spPr bwMode="auto">
        <a:xfrm>
          <a:off x="7467600" y="3000375"/>
          <a:ext cx="781050" cy="447675"/>
        </a:xfrm>
        <a:prstGeom prst="rect">
          <a:avLst/>
        </a:prstGeom>
        <a:solidFill>
          <a:srgbClr val="FF0000"/>
        </a:solidFill>
        <a:ln w="9525">
          <a:solidFill>
            <a:srgbClr val="000000"/>
          </a:solidFill>
          <a:miter lim="800000"/>
          <a:headEnd/>
          <a:tailEnd/>
        </a:ln>
      </xdr:spPr>
      <xdr:txBody>
        <a:bodyPr vertOverflow="clip" wrap="square" lIns="27432" tIns="22860" rIns="0" bIns="0" anchor="t" upright="1"/>
        <a:lstStyle/>
        <a:p>
          <a:pPr algn="l" rtl="0">
            <a:lnSpc>
              <a:spcPts val="800"/>
            </a:lnSpc>
            <a:defRPr sz="1000"/>
          </a:pPr>
          <a:r>
            <a:rPr lang="en-GB" sz="800" b="0" i="0" u="none" strike="noStrike" baseline="0">
              <a:solidFill>
                <a:srgbClr val="000000"/>
              </a:solidFill>
              <a:latin typeface="Calibri"/>
            </a:rPr>
            <a:t>Calculation of secondary teacher need by subject</a:t>
          </a:r>
        </a:p>
      </xdr:txBody>
    </xdr:sp>
    <xdr:clientData/>
  </xdr:twoCellAnchor>
  <xdr:twoCellAnchor>
    <xdr:from>
      <xdr:col>12</xdr:col>
      <xdr:colOff>114300</xdr:colOff>
      <xdr:row>23</xdr:row>
      <xdr:rowOff>121920</xdr:rowOff>
    </xdr:from>
    <xdr:to>
      <xdr:col>13</xdr:col>
      <xdr:colOff>295275</xdr:colOff>
      <xdr:row>26</xdr:row>
      <xdr:rowOff>106169</xdr:rowOff>
    </xdr:to>
    <xdr:sp macro="" textlink="">
      <xdr:nvSpPr>
        <xdr:cNvPr id="28" name="TextBox 158"/>
        <xdr:cNvSpPr txBox="1"/>
      </xdr:nvSpPr>
      <xdr:spPr>
        <a:xfrm>
          <a:off x="7429500" y="3846195"/>
          <a:ext cx="790575" cy="47002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Stock calculations and forecasts</a:t>
          </a:r>
        </a:p>
      </xdr:txBody>
    </xdr:sp>
    <xdr:clientData/>
  </xdr:twoCellAnchor>
  <xdr:twoCellAnchor>
    <xdr:from>
      <xdr:col>1</xdr:col>
      <xdr:colOff>285750</xdr:colOff>
      <xdr:row>22</xdr:row>
      <xdr:rowOff>152400</xdr:rowOff>
    </xdr:from>
    <xdr:to>
      <xdr:col>2</xdr:col>
      <xdr:colOff>285750</xdr:colOff>
      <xdr:row>27</xdr:row>
      <xdr:rowOff>66675</xdr:rowOff>
    </xdr:to>
    <xdr:cxnSp macro="">
      <xdr:nvCxnSpPr>
        <xdr:cNvPr id="29" name="Straight Arrow Connector 28"/>
        <xdr:cNvCxnSpPr/>
      </xdr:nvCxnSpPr>
      <xdr:spPr>
        <a:xfrm>
          <a:off x="895350" y="3714750"/>
          <a:ext cx="609600" cy="7239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285749</xdr:colOff>
      <xdr:row>27</xdr:row>
      <xdr:rowOff>80010</xdr:rowOff>
    </xdr:from>
    <xdr:to>
      <xdr:col>3</xdr:col>
      <xdr:colOff>466724</xdr:colOff>
      <xdr:row>31</xdr:row>
      <xdr:rowOff>5412</xdr:rowOff>
    </xdr:to>
    <xdr:sp macro="" textlink="">
      <xdr:nvSpPr>
        <xdr:cNvPr id="30" name="TextBox 158"/>
        <xdr:cNvSpPr txBox="1"/>
      </xdr:nvSpPr>
      <xdr:spPr>
        <a:xfrm>
          <a:off x="1504949" y="4451985"/>
          <a:ext cx="790575" cy="573102"/>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primary and</a:t>
          </a:r>
          <a:r>
            <a:rPr lang="en-GB" sz="800" baseline="0"/>
            <a:t> secondary wastage rates</a:t>
          </a:r>
          <a:endParaRPr lang="en-GB" sz="800"/>
        </a:p>
      </xdr:txBody>
    </xdr:sp>
    <xdr:clientData/>
  </xdr:twoCellAnchor>
  <xdr:twoCellAnchor>
    <xdr:from>
      <xdr:col>6</xdr:col>
      <xdr:colOff>481012</xdr:colOff>
      <xdr:row>43</xdr:row>
      <xdr:rowOff>127635</xdr:rowOff>
    </xdr:from>
    <xdr:to>
      <xdr:col>8</xdr:col>
      <xdr:colOff>48403</xdr:colOff>
      <xdr:row>47</xdr:row>
      <xdr:rowOff>104445</xdr:rowOff>
    </xdr:to>
    <xdr:sp macro="" textlink="">
      <xdr:nvSpPr>
        <xdr:cNvPr id="31" name="TextBox 158"/>
        <xdr:cNvSpPr txBox="1"/>
      </xdr:nvSpPr>
      <xdr:spPr>
        <a:xfrm>
          <a:off x="4138612" y="7090410"/>
          <a:ext cx="786591" cy="62451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Calculation of  projected primary and</a:t>
          </a:r>
          <a:r>
            <a:rPr lang="en-GB" sz="800" baseline="0"/>
            <a:t> secondary wastage rates</a:t>
          </a:r>
          <a:endParaRPr lang="en-GB" sz="800"/>
        </a:p>
      </xdr:txBody>
    </xdr:sp>
    <xdr:clientData/>
  </xdr:twoCellAnchor>
  <xdr:twoCellAnchor>
    <xdr:from>
      <xdr:col>8</xdr:col>
      <xdr:colOff>66676</xdr:colOff>
      <xdr:row>6</xdr:row>
      <xdr:rowOff>48989</xdr:rowOff>
    </xdr:from>
    <xdr:to>
      <xdr:col>20</xdr:col>
      <xdr:colOff>429679</xdr:colOff>
      <xdr:row>46</xdr:row>
      <xdr:rowOff>112394</xdr:rowOff>
    </xdr:to>
    <xdr:cxnSp macro="">
      <xdr:nvCxnSpPr>
        <xdr:cNvPr id="32" name="Straight Arrow Connector 128"/>
        <xdr:cNvCxnSpPr>
          <a:stCxn id="71" idx="3"/>
        </xdr:cNvCxnSpPr>
      </xdr:nvCxnSpPr>
      <xdr:spPr>
        <a:xfrm flipH="1">
          <a:off x="4943476" y="1020539"/>
          <a:ext cx="7678203" cy="6540405"/>
        </a:xfrm>
        <a:prstGeom prst="curvedConnector3">
          <a:avLst>
            <a:gd name="adj1" fmla="val -6401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71437</xdr:colOff>
      <xdr:row>31</xdr:row>
      <xdr:rowOff>5412</xdr:rowOff>
    </xdr:from>
    <xdr:to>
      <xdr:col>6</xdr:col>
      <xdr:colOff>481012</xdr:colOff>
      <xdr:row>45</xdr:row>
      <xdr:rowOff>116040</xdr:rowOff>
    </xdr:to>
    <xdr:cxnSp macro="">
      <xdr:nvCxnSpPr>
        <xdr:cNvPr id="33" name="Straight Arrow Connector 32"/>
        <xdr:cNvCxnSpPr>
          <a:stCxn id="30" idx="2"/>
          <a:endCxn id="31" idx="1"/>
        </xdr:cNvCxnSpPr>
      </xdr:nvCxnSpPr>
      <xdr:spPr>
        <a:xfrm>
          <a:off x="1900237" y="5025087"/>
          <a:ext cx="2238375" cy="23775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30</xdr:row>
      <xdr:rowOff>152419</xdr:rowOff>
    </xdr:from>
    <xdr:to>
      <xdr:col>9</xdr:col>
      <xdr:colOff>2026</xdr:colOff>
      <xdr:row>43</xdr:row>
      <xdr:rowOff>104775</xdr:rowOff>
    </xdr:to>
    <xdr:cxnSp macro="">
      <xdr:nvCxnSpPr>
        <xdr:cNvPr id="34" name="Straight Arrow Connector 33"/>
        <xdr:cNvCxnSpPr>
          <a:endCxn id="48" idx="2"/>
        </xdr:cNvCxnSpPr>
      </xdr:nvCxnSpPr>
      <xdr:spPr>
        <a:xfrm flipV="1">
          <a:off x="4743450" y="5010169"/>
          <a:ext cx="744976" cy="205738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57151</xdr:colOff>
      <xdr:row>18</xdr:row>
      <xdr:rowOff>41910</xdr:rowOff>
    </xdr:from>
    <xdr:to>
      <xdr:col>6</xdr:col>
      <xdr:colOff>238126</xdr:colOff>
      <xdr:row>20</xdr:row>
      <xdr:rowOff>47490</xdr:rowOff>
    </xdr:to>
    <xdr:sp macro="" textlink="">
      <xdr:nvSpPr>
        <xdr:cNvPr id="35" name="TextBox 158"/>
        <xdr:cNvSpPr txBox="1"/>
      </xdr:nvSpPr>
      <xdr:spPr>
        <a:xfrm>
          <a:off x="3105151" y="2956560"/>
          <a:ext cx="790575" cy="32943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Assumptions data</a:t>
          </a:r>
        </a:p>
      </xdr:txBody>
    </xdr:sp>
    <xdr:clientData/>
  </xdr:twoCellAnchor>
  <xdr:twoCellAnchor>
    <xdr:from>
      <xdr:col>8</xdr:col>
      <xdr:colOff>438150</xdr:colOff>
      <xdr:row>23</xdr:row>
      <xdr:rowOff>19050</xdr:rowOff>
    </xdr:from>
    <xdr:to>
      <xdr:col>14</xdr:col>
      <xdr:colOff>9525</xdr:colOff>
      <xdr:row>41</xdr:row>
      <xdr:rowOff>112410</xdr:rowOff>
    </xdr:to>
    <xdr:cxnSp macro="">
      <xdr:nvCxnSpPr>
        <xdr:cNvPr id="36" name="Straight Arrow Connector 35"/>
        <xdr:cNvCxnSpPr/>
      </xdr:nvCxnSpPr>
      <xdr:spPr>
        <a:xfrm flipH="1" flipV="1">
          <a:off x="5314950" y="3743325"/>
          <a:ext cx="3228975" cy="300801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223838</xdr:colOff>
      <xdr:row>19</xdr:row>
      <xdr:rowOff>112504</xdr:rowOff>
    </xdr:from>
    <xdr:to>
      <xdr:col>13</xdr:col>
      <xdr:colOff>488951</xdr:colOff>
      <xdr:row>38</xdr:row>
      <xdr:rowOff>81607</xdr:rowOff>
    </xdr:to>
    <xdr:cxnSp macro="">
      <xdr:nvCxnSpPr>
        <xdr:cNvPr id="37" name="Straight Arrow Connector 36"/>
        <xdr:cNvCxnSpPr>
          <a:stCxn id="52" idx="1"/>
          <a:endCxn id="18" idx="2"/>
        </xdr:cNvCxnSpPr>
      </xdr:nvCxnSpPr>
      <xdr:spPr>
        <a:xfrm flipH="1" flipV="1">
          <a:off x="5710238" y="3189079"/>
          <a:ext cx="2703513" cy="304567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304800</xdr:colOff>
      <xdr:row>21</xdr:row>
      <xdr:rowOff>47625</xdr:rowOff>
    </xdr:from>
    <xdr:to>
      <xdr:col>14</xdr:col>
      <xdr:colOff>262994</xdr:colOff>
      <xdr:row>37</xdr:row>
      <xdr:rowOff>9525</xdr:rowOff>
    </xdr:to>
    <xdr:cxnSp macro="">
      <xdr:nvCxnSpPr>
        <xdr:cNvPr id="38" name="Straight Arrow Connector 37"/>
        <xdr:cNvCxnSpPr>
          <a:stCxn id="52" idx="0"/>
        </xdr:cNvCxnSpPr>
      </xdr:nvCxnSpPr>
      <xdr:spPr>
        <a:xfrm flipH="1" flipV="1">
          <a:off x="8229600" y="3448050"/>
          <a:ext cx="567794" cy="255270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228600</xdr:colOff>
      <xdr:row>7</xdr:row>
      <xdr:rowOff>9525</xdr:rowOff>
    </xdr:from>
    <xdr:to>
      <xdr:col>19</xdr:col>
      <xdr:colOff>161926</xdr:colOff>
      <xdr:row>18</xdr:row>
      <xdr:rowOff>66675</xdr:rowOff>
    </xdr:to>
    <xdr:cxnSp macro="">
      <xdr:nvCxnSpPr>
        <xdr:cNvPr id="39" name="Straight Arrow Connector 38"/>
        <xdr:cNvCxnSpPr/>
      </xdr:nvCxnSpPr>
      <xdr:spPr>
        <a:xfrm flipH="1">
          <a:off x="3886200" y="1143000"/>
          <a:ext cx="7858126" cy="183832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485775</xdr:colOff>
      <xdr:row>20</xdr:row>
      <xdr:rowOff>66675</xdr:rowOff>
    </xdr:from>
    <xdr:to>
      <xdr:col>5</xdr:col>
      <xdr:colOff>257175</xdr:colOff>
      <xdr:row>22</xdr:row>
      <xdr:rowOff>66676</xdr:rowOff>
    </xdr:to>
    <xdr:cxnSp macro="">
      <xdr:nvCxnSpPr>
        <xdr:cNvPr id="40" name="Straight Arrow Connector 39"/>
        <xdr:cNvCxnSpPr/>
      </xdr:nvCxnSpPr>
      <xdr:spPr>
        <a:xfrm flipV="1">
          <a:off x="2924175" y="3305175"/>
          <a:ext cx="381000" cy="3238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457225</xdr:colOff>
      <xdr:row>20</xdr:row>
      <xdr:rowOff>47490</xdr:rowOff>
    </xdr:from>
    <xdr:to>
      <xdr:col>5</xdr:col>
      <xdr:colOff>452438</xdr:colOff>
      <xdr:row>42</xdr:row>
      <xdr:rowOff>135280</xdr:rowOff>
    </xdr:to>
    <xdr:cxnSp macro="">
      <xdr:nvCxnSpPr>
        <xdr:cNvPr id="41" name="Straight Arrow Connector 40"/>
        <xdr:cNvCxnSpPr>
          <a:stCxn id="17" idx="0"/>
          <a:endCxn id="35" idx="2"/>
        </xdr:cNvCxnSpPr>
      </xdr:nvCxnSpPr>
      <xdr:spPr>
        <a:xfrm flipV="1">
          <a:off x="2895625" y="3285990"/>
          <a:ext cx="604813" cy="365014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66676</xdr:colOff>
      <xdr:row>20</xdr:row>
      <xdr:rowOff>38100</xdr:rowOff>
    </xdr:from>
    <xdr:to>
      <xdr:col>7</xdr:col>
      <xdr:colOff>85725</xdr:colOff>
      <xdr:row>43</xdr:row>
      <xdr:rowOff>114300</xdr:rowOff>
    </xdr:to>
    <xdr:cxnSp macro="">
      <xdr:nvCxnSpPr>
        <xdr:cNvPr id="42" name="Straight Arrow Connector 41"/>
        <xdr:cNvCxnSpPr/>
      </xdr:nvCxnSpPr>
      <xdr:spPr>
        <a:xfrm flipH="1" flipV="1">
          <a:off x="3724276" y="3276600"/>
          <a:ext cx="628649" cy="38004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379334</xdr:colOff>
      <xdr:row>28</xdr:row>
      <xdr:rowOff>84782</xdr:rowOff>
    </xdr:from>
    <xdr:to>
      <xdr:col>14</xdr:col>
      <xdr:colOff>447887</xdr:colOff>
      <xdr:row>33</xdr:row>
      <xdr:rowOff>49829</xdr:rowOff>
    </xdr:to>
    <xdr:cxnSp macro="">
      <xdr:nvCxnSpPr>
        <xdr:cNvPr id="43" name="Straight Arrow Connector 42"/>
        <xdr:cNvCxnSpPr>
          <a:stCxn id="48" idx="3"/>
          <a:endCxn id="44" idx="1"/>
        </xdr:cNvCxnSpPr>
      </xdr:nvCxnSpPr>
      <xdr:spPr>
        <a:xfrm>
          <a:off x="5865734" y="4618682"/>
          <a:ext cx="3116553" cy="77467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447887</xdr:colOff>
      <xdr:row>31</xdr:row>
      <xdr:rowOff>13324</xdr:rowOff>
    </xdr:from>
    <xdr:to>
      <xdr:col>16</xdr:col>
      <xdr:colOff>133644</xdr:colOff>
      <xdr:row>35</xdr:row>
      <xdr:rowOff>86334</xdr:rowOff>
    </xdr:to>
    <xdr:sp macro="" textlink="">
      <xdr:nvSpPr>
        <xdr:cNvPr id="44" name="TextBox 158"/>
        <xdr:cNvSpPr txBox="1"/>
      </xdr:nvSpPr>
      <xdr:spPr>
        <a:xfrm>
          <a:off x="8982287" y="5032999"/>
          <a:ext cx="800182" cy="720710"/>
        </a:xfrm>
        <a:prstGeom prst="rect">
          <a:avLst/>
        </a:prstGeom>
        <a:solidFill>
          <a:srgbClr val="FFFF00"/>
        </a:solidFill>
        <a:ln>
          <a:solidFill>
            <a:schemeClr val="tx1"/>
          </a:solidFill>
        </a:ln>
      </xdr:spPr>
      <xdr:txBody>
        <a:bodyPr wrap="square" rtlCol="0" anchor="ctr">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700"/>
            </a:lnSpc>
          </a:pPr>
          <a:r>
            <a:rPr lang="en-GB" sz="800"/>
            <a:t>OUTPUT TABS including teacher need, entrant need,</a:t>
          </a:r>
          <a:r>
            <a:rPr lang="en-GB" sz="800" baseline="0"/>
            <a:t> and assumed outflows over time</a:t>
          </a:r>
          <a:endParaRPr lang="en-GB" sz="800"/>
        </a:p>
      </xdr:txBody>
    </xdr:sp>
    <xdr:clientData/>
  </xdr:twoCellAnchor>
  <xdr:twoCellAnchor>
    <xdr:from>
      <xdr:col>9</xdr:col>
      <xdr:colOff>554356</xdr:colOff>
      <xdr:row>40</xdr:row>
      <xdr:rowOff>9742</xdr:rowOff>
    </xdr:from>
    <xdr:to>
      <xdr:col>11</xdr:col>
      <xdr:colOff>135302</xdr:colOff>
      <xdr:row>44</xdr:row>
      <xdr:rowOff>146872</xdr:rowOff>
    </xdr:to>
    <xdr:sp macro="" textlink="">
      <xdr:nvSpPr>
        <xdr:cNvPr id="45" name="TextBox 158"/>
        <xdr:cNvSpPr txBox="1"/>
      </xdr:nvSpPr>
      <xdr:spPr>
        <a:xfrm>
          <a:off x="6040756" y="6486742"/>
          <a:ext cx="800146" cy="784830"/>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Calculation of  projected </a:t>
          </a:r>
          <a:r>
            <a:rPr lang="en-GB" sz="800" baseline="0"/>
            <a:t> secondary wastage rates for Group 1, 2, and 3 subjects</a:t>
          </a:r>
          <a:endParaRPr lang="en-GB" sz="800"/>
        </a:p>
      </xdr:txBody>
    </xdr:sp>
    <xdr:clientData/>
  </xdr:twoCellAnchor>
  <xdr:twoCellAnchor>
    <xdr:from>
      <xdr:col>8</xdr:col>
      <xdr:colOff>47875</xdr:colOff>
      <xdr:row>42</xdr:row>
      <xdr:rowOff>78307</xdr:rowOff>
    </xdr:from>
    <xdr:to>
      <xdr:col>9</xdr:col>
      <xdr:colOff>554340</xdr:colOff>
      <xdr:row>46</xdr:row>
      <xdr:rowOff>344</xdr:rowOff>
    </xdr:to>
    <xdr:cxnSp macro="">
      <xdr:nvCxnSpPr>
        <xdr:cNvPr id="46" name="Straight Arrow Connector 45"/>
        <xdr:cNvCxnSpPr>
          <a:stCxn id="31" idx="3"/>
          <a:endCxn id="45" idx="1"/>
        </xdr:cNvCxnSpPr>
      </xdr:nvCxnSpPr>
      <xdr:spPr>
        <a:xfrm flipV="1">
          <a:off x="4924675" y="6879157"/>
          <a:ext cx="1116065" cy="56973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295275</xdr:colOff>
      <xdr:row>31</xdr:row>
      <xdr:rowOff>0</xdr:rowOff>
    </xdr:from>
    <xdr:to>
      <xdr:col>10</xdr:col>
      <xdr:colOff>344829</xdr:colOff>
      <xdr:row>40</xdr:row>
      <xdr:rowOff>9742</xdr:rowOff>
    </xdr:to>
    <xdr:cxnSp macro="">
      <xdr:nvCxnSpPr>
        <xdr:cNvPr id="47" name="Straight Arrow Connector 46"/>
        <xdr:cNvCxnSpPr>
          <a:stCxn id="45" idx="0"/>
        </xdr:cNvCxnSpPr>
      </xdr:nvCxnSpPr>
      <xdr:spPr>
        <a:xfrm flipH="1" flipV="1">
          <a:off x="5781675" y="5019675"/>
          <a:ext cx="659154" cy="14670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234317</xdr:colOff>
      <xdr:row>26</xdr:row>
      <xdr:rowOff>17145</xdr:rowOff>
    </xdr:from>
    <xdr:to>
      <xdr:col>9</xdr:col>
      <xdr:colOff>379334</xdr:colOff>
      <xdr:row>30</xdr:row>
      <xdr:rowOff>152419</xdr:rowOff>
    </xdr:to>
    <xdr:sp macro="" textlink="">
      <xdr:nvSpPr>
        <xdr:cNvPr id="48" name="TextBox 158"/>
        <xdr:cNvSpPr txBox="1"/>
      </xdr:nvSpPr>
      <xdr:spPr>
        <a:xfrm>
          <a:off x="5111117" y="4227195"/>
          <a:ext cx="754617" cy="782974"/>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Entrant teacher need calculation tabs (ONE</a:t>
          </a:r>
          <a:r>
            <a:rPr lang="en-GB" sz="800" baseline="0"/>
            <a:t> FOR EACH SUBJECT WITH A '1' IN THE TAB NAME)</a:t>
          </a:r>
          <a:endParaRPr lang="en-GB" sz="800"/>
        </a:p>
      </xdr:txBody>
    </xdr:sp>
    <xdr:clientData/>
  </xdr:twoCellAnchor>
  <xdr:twoCellAnchor>
    <xdr:from>
      <xdr:col>14</xdr:col>
      <xdr:colOff>515334</xdr:colOff>
      <xdr:row>26</xdr:row>
      <xdr:rowOff>3870</xdr:rowOff>
    </xdr:from>
    <xdr:to>
      <xdr:col>15</xdr:col>
      <xdr:colOff>238378</xdr:colOff>
      <xdr:row>31</xdr:row>
      <xdr:rowOff>13324</xdr:rowOff>
    </xdr:to>
    <xdr:cxnSp macro="">
      <xdr:nvCxnSpPr>
        <xdr:cNvPr id="49" name="Straight Arrow Connector 48"/>
        <xdr:cNvCxnSpPr>
          <a:stCxn id="44" idx="0"/>
          <a:endCxn id="50" idx="2"/>
        </xdr:cNvCxnSpPr>
      </xdr:nvCxnSpPr>
      <xdr:spPr>
        <a:xfrm flipH="1" flipV="1">
          <a:off x="9049734" y="4213920"/>
          <a:ext cx="332644" cy="8190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154305</xdr:colOff>
      <xdr:row>23</xdr:row>
      <xdr:rowOff>89535</xdr:rowOff>
    </xdr:from>
    <xdr:to>
      <xdr:col>15</xdr:col>
      <xdr:colOff>266762</xdr:colOff>
      <xdr:row>26</xdr:row>
      <xdr:rowOff>3870</xdr:rowOff>
    </xdr:to>
    <xdr:sp macro="" textlink="">
      <xdr:nvSpPr>
        <xdr:cNvPr id="50" name="TextBox 158"/>
        <xdr:cNvSpPr txBox="1"/>
      </xdr:nvSpPr>
      <xdr:spPr>
        <a:xfrm>
          <a:off x="8688705" y="3813810"/>
          <a:ext cx="722057" cy="400110"/>
        </a:xfrm>
        <a:prstGeom prst="rect">
          <a:avLst/>
        </a:prstGeom>
        <a:solidFill>
          <a:srgbClr val="FFFF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OUTPUTS FOR SECTION 2 OF MODEL</a:t>
          </a:r>
        </a:p>
      </xdr:txBody>
    </xdr:sp>
    <xdr:clientData/>
  </xdr:twoCellAnchor>
  <xdr:twoCellAnchor>
    <xdr:from>
      <xdr:col>14</xdr:col>
      <xdr:colOff>2527</xdr:colOff>
      <xdr:row>41</xdr:row>
      <xdr:rowOff>76411</xdr:rowOff>
    </xdr:from>
    <xdr:to>
      <xdr:col>15</xdr:col>
      <xdr:colOff>293942</xdr:colOff>
      <xdr:row>44</xdr:row>
      <xdr:rowOff>58649</xdr:rowOff>
    </xdr:to>
    <xdr:sp macro="" textlink="">
      <xdr:nvSpPr>
        <xdr:cNvPr id="51" name="TextBox 158"/>
        <xdr:cNvSpPr txBox="1"/>
      </xdr:nvSpPr>
      <xdr:spPr>
        <a:xfrm>
          <a:off x="8536927" y="6715336"/>
          <a:ext cx="901015"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(primary)</a:t>
          </a:r>
        </a:p>
      </xdr:txBody>
    </xdr:sp>
    <xdr:clientData/>
  </xdr:twoCellAnchor>
  <xdr:twoCellAnchor>
    <xdr:from>
      <xdr:col>13</xdr:col>
      <xdr:colOff>488951</xdr:colOff>
      <xdr:row>37</xdr:row>
      <xdr:rowOff>9525</xdr:rowOff>
    </xdr:from>
    <xdr:to>
      <xdr:col>15</xdr:col>
      <xdr:colOff>37037</xdr:colOff>
      <xdr:row>39</xdr:row>
      <xdr:rowOff>153688</xdr:rowOff>
    </xdr:to>
    <xdr:sp macro="" textlink="">
      <xdr:nvSpPr>
        <xdr:cNvPr id="52" name="TextBox 158"/>
        <xdr:cNvSpPr txBox="1"/>
      </xdr:nvSpPr>
      <xdr:spPr>
        <a:xfrm>
          <a:off x="8413751" y="6000750"/>
          <a:ext cx="767286" cy="468013"/>
        </a:xfrm>
        <a:prstGeom prst="rect">
          <a:avLst/>
        </a:prstGeom>
        <a:solidFill>
          <a:srgbClr val="00B05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Policy assumptions (secondary)</a:t>
          </a:r>
        </a:p>
      </xdr:txBody>
    </xdr:sp>
    <xdr:clientData/>
  </xdr:twoCellAnchor>
  <xdr:twoCellAnchor>
    <xdr:from>
      <xdr:col>15</xdr:col>
      <xdr:colOff>257175</xdr:colOff>
      <xdr:row>21</xdr:row>
      <xdr:rowOff>95250</xdr:rowOff>
    </xdr:from>
    <xdr:to>
      <xdr:col>16</xdr:col>
      <xdr:colOff>390525</xdr:colOff>
      <xdr:row>23</xdr:row>
      <xdr:rowOff>104775</xdr:rowOff>
    </xdr:to>
    <xdr:cxnSp macro="">
      <xdr:nvCxnSpPr>
        <xdr:cNvPr id="53" name="Straight Arrow Connector 52"/>
        <xdr:cNvCxnSpPr/>
      </xdr:nvCxnSpPr>
      <xdr:spPr>
        <a:xfrm flipV="1">
          <a:off x="9401175" y="3495675"/>
          <a:ext cx="638175" cy="333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95250</xdr:colOff>
      <xdr:row>26</xdr:row>
      <xdr:rowOff>0</xdr:rowOff>
    </xdr:from>
    <xdr:to>
      <xdr:col>16</xdr:col>
      <xdr:colOff>485775</xdr:colOff>
      <xdr:row>30</xdr:row>
      <xdr:rowOff>66675</xdr:rowOff>
    </xdr:to>
    <xdr:cxnSp macro="">
      <xdr:nvCxnSpPr>
        <xdr:cNvPr id="54" name="Straight Arrow Connector 53"/>
        <xdr:cNvCxnSpPr/>
      </xdr:nvCxnSpPr>
      <xdr:spPr>
        <a:xfrm>
          <a:off x="9239250" y="4210050"/>
          <a:ext cx="895350" cy="7143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266762</xdr:colOff>
      <xdr:row>24</xdr:row>
      <xdr:rowOff>127665</xdr:rowOff>
    </xdr:from>
    <xdr:to>
      <xdr:col>16</xdr:col>
      <xdr:colOff>352426</xdr:colOff>
      <xdr:row>27</xdr:row>
      <xdr:rowOff>131103</xdr:rowOff>
    </xdr:to>
    <xdr:cxnSp macro="">
      <xdr:nvCxnSpPr>
        <xdr:cNvPr id="55" name="Straight Arrow Connector 54"/>
        <xdr:cNvCxnSpPr>
          <a:stCxn id="50" idx="3"/>
          <a:endCxn id="69" idx="1"/>
        </xdr:cNvCxnSpPr>
      </xdr:nvCxnSpPr>
      <xdr:spPr>
        <a:xfrm>
          <a:off x="9410762" y="4013865"/>
          <a:ext cx="590489" cy="48921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172493</xdr:colOff>
      <xdr:row>16</xdr:row>
      <xdr:rowOff>126950</xdr:rowOff>
    </xdr:from>
    <xdr:to>
      <xdr:col>18</xdr:col>
      <xdr:colOff>552450</xdr:colOff>
      <xdr:row>26</xdr:row>
      <xdr:rowOff>142875</xdr:rowOff>
    </xdr:to>
    <xdr:cxnSp macro="">
      <xdr:nvCxnSpPr>
        <xdr:cNvPr id="56" name="Straight Arrow Connector 55"/>
        <xdr:cNvCxnSpPr>
          <a:stCxn id="67" idx="2"/>
        </xdr:cNvCxnSpPr>
      </xdr:nvCxnSpPr>
      <xdr:spPr>
        <a:xfrm>
          <a:off x="10535693" y="2717750"/>
          <a:ext cx="989557" cy="16351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17559</xdr:colOff>
      <xdr:row>21</xdr:row>
      <xdr:rowOff>90231</xdr:rowOff>
    </xdr:from>
    <xdr:to>
      <xdr:col>18</xdr:col>
      <xdr:colOff>342900</xdr:colOff>
      <xdr:row>26</xdr:row>
      <xdr:rowOff>152400</xdr:rowOff>
    </xdr:to>
    <xdr:cxnSp macro="">
      <xdr:nvCxnSpPr>
        <xdr:cNvPr id="57" name="Straight Arrow Connector 56"/>
        <xdr:cNvCxnSpPr>
          <a:stCxn id="68" idx="2"/>
        </xdr:cNvCxnSpPr>
      </xdr:nvCxnSpPr>
      <xdr:spPr>
        <a:xfrm>
          <a:off x="10380759" y="3490656"/>
          <a:ext cx="934941" cy="871794"/>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522341</xdr:colOff>
      <xdr:row>27</xdr:row>
      <xdr:rowOff>131103</xdr:rowOff>
    </xdr:from>
    <xdr:to>
      <xdr:col>18</xdr:col>
      <xdr:colOff>285750</xdr:colOff>
      <xdr:row>27</xdr:row>
      <xdr:rowOff>133350</xdr:rowOff>
    </xdr:to>
    <xdr:cxnSp macro="">
      <xdr:nvCxnSpPr>
        <xdr:cNvPr id="58" name="Straight Arrow Connector 57"/>
        <xdr:cNvCxnSpPr>
          <a:stCxn id="69" idx="3"/>
        </xdr:cNvCxnSpPr>
      </xdr:nvCxnSpPr>
      <xdr:spPr>
        <a:xfrm>
          <a:off x="10885541" y="4503078"/>
          <a:ext cx="373009" cy="224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550759</xdr:colOff>
      <xdr:row>29</xdr:row>
      <xdr:rowOff>142875</xdr:rowOff>
    </xdr:from>
    <xdr:to>
      <xdr:col>18</xdr:col>
      <xdr:colOff>295809</xdr:colOff>
      <xdr:row>31</xdr:row>
      <xdr:rowOff>85670</xdr:rowOff>
    </xdr:to>
    <xdr:cxnSp macro="">
      <xdr:nvCxnSpPr>
        <xdr:cNvPr id="59" name="Straight Arrow Connector 58"/>
        <xdr:cNvCxnSpPr>
          <a:stCxn id="70" idx="3"/>
        </xdr:cNvCxnSpPr>
      </xdr:nvCxnSpPr>
      <xdr:spPr>
        <a:xfrm flipV="1">
          <a:off x="10913959" y="4838700"/>
          <a:ext cx="354650" cy="26664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403290</xdr:colOff>
      <xdr:row>7</xdr:row>
      <xdr:rowOff>90358</xdr:rowOff>
    </xdr:from>
    <xdr:to>
      <xdr:col>19</xdr:col>
      <xdr:colOff>595205</xdr:colOff>
      <xdr:row>26</xdr:row>
      <xdr:rowOff>143934</xdr:rowOff>
    </xdr:to>
    <xdr:cxnSp macro="">
      <xdr:nvCxnSpPr>
        <xdr:cNvPr id="60" name="Straight Arrow Connector 59"/>
        <xdr:cNvCxnSpPr>
          <a:stCxn id="71" idx="2"/>
          <a:endCxn id="66" idx="0"/>
        </xdr:cNvCxnSpPr>
      </xdr:nvCxnSpPr>
      <xdr:spPr>
        <a:xfrm flipH="1">
          <a:off x="11985690" y="1223833"/>
          <a:ext cx="191915" cy="3130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517518</xdr:colOff>
      <xdr:row>27</xdr:row>
      <xdr:rowOff>140642</xdr:rowOff>
    </xdr:from>
    <xdr:to>
      <xdr:col>22</xdr:col>
      <xdr:colOff>79346</xdr:colOff>
      <xdr:row>28</xdr:row>
      <xdr:rowOff>102134</xdr:rowOff>
    </xdr:to>
    <xdr:cxnSp macro="">
      <xdr:nvCxnSpPr>
        <xdr:cNvPr id="61" name="Straight Arrow Connector 60"/>
        <xdr:cNvCxnSpPr>
          <a:stCxn id="66" idx="3"/>
          <a:endCxn id="73" idx="1"/>
        </xdr:cNvCxnSpPr>
      </xdr:nvCxnSpPr>
      <xdr:spPr>
        <a:xfrm flipV="1">
          <a:off x="12709518" y="4512617"/>
          <a:ext cx="781028" cy="12341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362017</xdr:colOff>
      <xdr:row>8</xdr:row>
      <xdr:rowOff>136871</xdr:rowOff>
    </xdr:from>
    <xdr:to>
      <xdr:col>16</xdr:col>
      <xdr:colOff>455297</xdr:colOff>
      <xdr:row>15</xdr:row>
      <xdr:rowOff>127293</xdr:rowOff>
    </xdr:to>
    <xdr:cxnSp macro="">
      <xdr:nvCxnSpPr>
        <xdr:cNvPr id="62" name="Straight Arrow Connector 61"/>
        <xdr:cNvCxnSpPr>
          <a:stCxn id="67" idx="1"/>
          <a:endCxn id="14" idx="3"/>
        </xdr:cNvCxnSpPr>
      </xdr:nvCxnSpPr>
      <xdr:spPr>
        <a:xfrm flipH="1" flipV="1">
          <a:off x="6458017" y="1432271"/>
          <a:ext cx="3646105" cy="112389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361951</xdr:colOff>
      <xdr:row>10</xdr:row>
      <xdr:rowOff>28576</xdr:rowOff>
    </xdr:from>
    <xdr:to>
      <xdr:col>16</xdr:col>
      <xdr:colOff>381000</xdr:colOff>
      <xdr:row>19</xdr:row>
      <xdr:rowOff>76200</xdr:rowOff>
    </xdr:to>
    <xdr:cxnSp macro="">
      <xdr:nvCxnSpPr>
        <xdr:cNvPr id="63" name="Straight Arrow Connector 62"/>
        <xdr:cNvCxnSpPr/>
      </xdr:nvCxnSpPr>
      <xdr:spPr>
        <a:xfrm flipH="1" flipV="1">
          <a:off x="6457951" y="1647826"/>
          <a:ext cx="3571874" cy="150494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361950</xdr:colOff>
      <xdr:row>6</xdr:row>
      <xdr:rowOff>48989</xdr:rowOff>
    </xdr:from>
    <xdr:to>
      <xdr:col>19</xdr:col>
      <xdr:colOff>151130</xdr:colOff>
      <xdr:row>8</xdr:row>
      <xdr:rowOff>0</xdr:rowOff>
    </xdr:to>
    <xdr:cxnSp macro="">
      <xdr:nvCxnSpPr>
        <xdr:cNvPr id="64" name="Straight Arrow Connector 63"/>
        <xdr:cNvCxnSpPr>
          <a:endCxn id="71" idx="1"/>
        </xdr:cNvCxnSpPr>
      </xdr:nvCxnSpPr>
      <xdr:spPr>
        <a:xfrm flipV="1">
          <a:off x="6457950" y="1020539"/>
          <a:ext cx="5275580" cy="27486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118506</xdr:colOff>
      <xdr:row>23</xdr:row>
      <xdr:rowOff>2020</xdr:rowOff>
    </xdr:from>
    <xdr:to>
      <xdr:col>23</xdr:col>
      <xdr:colOff>186173</xdr:colOff>
      <xdr:row>25</xdr:row>
      <xdr:rowOff>45676</xdr:rowOff>
    </xdr:to>
    <xdr:sp macro="" textlink="">
      <xdr:nvSpPr>
        <xdr:cNvPr id="65" name="TextBox 160"/>
        <xdr:cNvSpPr txBox="1"/>
      </xdr:nvSpPr>
      <xdr:spPr>
        <a:xfrm>
          <a:off x="13529706" y="3726295"/>
          <a:ext cx="677267" cy="367506"/>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Re-entrants expected</a:t>
          </a:r>
        </a:p>
      </xdr:txBody>
    </xdr:sp>
    <xdr:clientData/>
  </xdr:twoCellAnchor>
  <xdr:twoCellAnchor>
    <xdr:from>
      <xdr:col>18</xdr:col>
      <xdr:colOff>289137</xdr:colOff>
      <xdr:row>26</xdr:row>
      <xdr:rowOff>143934</xdr:rowOff>
    </xdr:from>
    <xdr:to>
      <xdr:col>20</xdr:col>
      <xdr:colOff>517442</xdr:colOff>
      <xdr:row>30</xdr:row>
      <xdr:rowOff>114253</xdr:rowOff>
    </xdr:to>
    <xdr:sp macro="" textlink="">
      <xdr:nvSpPr>
        <xdr:cNvPr id="66" name="TextBox 159"/>
        <xdr:cNvSpPr txBox="1"/>
      </xdr:nvSpPr>
      <xdr:spPr>
        <a:xfrm>
          <a:off x="11261937" y="4353984"/>
          <a:ext cx="1447505" cy="618019"/>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900"/>
            <a:t>Individual</a:t>
          </a:r>
          <a:r>
            <a:rPr lang="en-GB" sz="900" baseline="0"/>
            <a:t> subject entrants calculations </a:t>
          </a:r>
          <a:r>
            <a:rPr lang="en-GB" sz="900"/>
            <a:t>sheets (ONE FOR EACH SUBJECT WITH A '2' IN THE TAB NAME)</a:t>
          </a:r>
          <a:r>
            <a:rPr lang="en-GB" sz="900" baseline="0"/>
            <a:t> </a:t>
          </a:r>
          <a:endParaRPr lang="en-GB" sz="900"/>
        </a:p>
      </xdr:txBody>
    </xdr:sp>
    <xdr:clientData/>
  </xdr:twoCellAnchor>
  <xdr:twoCellAnchor>
    <xdr:from>
      <xdr:col>16</xdr:col>
      <xdr:colOff>455297</xdr:colOff>
      <xdr:row>14</xdr:row>
      <xdr:rowOff>127635</xdr:rowOff>
    </xdr:from>
    <xdr:to>
      <xdr:col>17</xdr:col>
      <xdr:colOff>604063</xdr:colOff>
      <xdr:row>16</xdr:row>
      <xdr:rowOff>126950</xdr:rowOff>
    </xdr:to>
    <xdr:sp macro="" textlink="">
      <xdr:nvSpPr>
        <xdr:cNvPr id="67" name="TextBox 159"/>
        <xdr:cNvSpPr txBox="1"/>
      </xdr:nvSpPr>
      <xdr:spPr>
        <a:xfrm>
          <a:off x="10104122" y="2394585"/>
          <a:ext cx="863141"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Primary entrant rates</a:t>
          </a:r>
        </a:p>
      </xdr:txBody>
    </xdr:sp>
    <xdr:clientData/>
  </xdr:twoCellAnchor>
  <xdr:twoCellAnchor>
    <xdr:from>
      <xdr:col>16</xdr:col>
      <xdr:colOff>369570</xdr:colOff>
      <xdr:row>19</xdr:row>
      <xdr:rowOff>70484</xdr:rowOff>
    </xdr:from>
    <xdr:to>
      <xdr:col>17</xdr:col>
      <xdr:colOff>379923</xdr:colOff>
      <xdr:row>21</xdr:row>
      <xdr:rowOff>90231</xdr:rowOff>
    </xdr:to>
    <xdr:sp macro="" textlink="">
      <xdr:nvSpPr>
        <xdr:cNvPr id="68" name="TextBox 159"/>
        <xdr:cNvSpPr txBox="1"/>
      </xdr:nvSpPr>
      <xdr:spPr>
        <a:xfrm>
          <a:off x="10018395" y="3147059"/>
          <a:ext cx="724728" cy="343597"/>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entrant rates</a:t>
          </a:r>
        </a:p>
      </xdr:txBody>
    </xdr:sp>
    <xdr:clientData/>
  </xdr:twoCellAnchor>
  <xdr:twoCellAnchor>
    <xdr:from>
      <xdr:col>16</xdr:col>
      <xdr:colOff>352426</xdr:colOff>
      <xdr:row>26</xdr:row>
      <xdr:rowOff>131445</xdr:rowOff>
    </xdr:from>
    <xdr:to>
      <xdr:col>17</xdr:col>
      <xdr:colOff>522341</xdr:colOff>
      <xdr:row>28</xdr:row>
      <xdr:rowOff>130760</xdr:rowOff>
    </xdr:to>
    <xdr:sp macro="" textlink="">
      <xdr:nvSpPr>
        <xdr:cNvPr id="69" name="TextBox 159"/>
        <xdr:cNvSpPr txBox="1"/>
      </xdr:nvSpPr>
      <xdr:spPr>
        <a:xfrm>
          <a:off x="10001251" y="4341495"/>
          <a:ext cx="884290"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600"/>
            </a:lnSpc>
          </a:pPr>
          <a:r>
            <a:rPr lang="en-GB" sz="800"/>
            <a:t>Primary part-time entrant rates</a:t>
          </a:r>
        </a:p>
      </xdr:txBody>
    </xdr:sp>
    <xdr:clientData/>
  </xdr:twoCellAnchor>
  <xdr:twoCellAnchor>
    <xdr:from>
      <xdr:col>16</xdr:col>
      <xdr:colOff>213362</xdr:colOff>
      <xdr:row>30</xdr:row>
      <xdr:rowOff>83820</xdr:rowOff>
    </xdr:from>
    <xdr:to>
      <xdr:col>17</xdr:col>
      <xdr:colOff>550794</xdr:colOff>
      <xdr:row>32</xdr:row>
      <xdr:rowOff>104798</xdr:rowOff>
    </xdr:to>
    <xdr:sp macro="" textlink="">
      <xdr:nvSpPr>
        <xdr:cNvPr id="70" name="TextBox 159"/>
        <xdr:cNvSpPr txBox="1"/>
      </xdr:nvSpPr>
      <xdr:spPr>
        <a:xfrm>
          <a:off x="9862187" y="4941570"/>
          <a:ext cx="1051807" cy="344828"/>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Secondary part-time entrant rates</a:t>
          </a:r>
        </a:p>
      </xdr:txBody>
    </xdr:sp>
    <xdr:clientData/>
  </xdr:twoCellAnchor>
  <xdr:twoCellAnchor>
    <xdr:from>
      <xdr:col>19</xdr:col>
      <xdr:colOff>151130</xdr:colOff>
      <xdr:row>5</xdr:row>
      <xdr:rowOff>7620</xdr:rowOff>
    </xdr:from>
    <xdr:to>
      <xdr:col>20</xdr:col>
      <xdr:colOff>429679</xdr:colOff>
      <xdr:row>7</xdr:row>
      <xdr:rowOff>90358</xdr:rowOff>
    </xdr:to>
    <xdr:sp macro="" textlink="">
      <xdr:nvSpPr>
        <xdr:cNvPr id="71" name="TextBox 158"/>
        <xdr:cNvSpPr txBox="1"/>
      </xdr:nvSpPr>
      <xdr:spPr>
        <a:xfrm>
          <a:off x="11733530" y="817245"/>
          <a:ext cx="888149" cy="406588"/>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Data selected</a:t>
          </a:r>
          <a:r>
            <a:rPr lang="en-GB" sz="800" baseline="0"/>
            <a:t> by user testing tab</a:t>
          </a:r>
          <a:endParaRPr lang="en-GB" sz="800"/>
        </a:p>
      </xdr:txBody>
    </xdr:sp>
    <xdr:clientData/>
  </xdr:twoCellAnchor>
  <xdr:twoCellAnchor>
    <xdr:from>
      <xdr:col>20</xdr:col>
      <xdr:colOff>523875</xdr:colOff>
      <xdr:row>24</xdr:row>
      <xdr:rowOff>23848</xdr:rowOff>
    </xdr:from>
    <xdr:to>
      <xdr:col>22</xdr:col>
      <xdr:colOff>118506</xdr:colOff>
      <xdr:row>27</xdr:row>
      <xdr:rowOff>47625</xdr:rowOff>
    </xdr:to>
    <xdr:cxnSp macro="">
      <xdr:nvCxnSpPr>
        <xdr:cNvPr id="72" name="Straight Arrow Connector 71"/>
        <xdr:cNvCxnSpPr>
          <a:endCxn id="65" idx="1"/>
        </xdr:cNvCxnSpPr>
      </xdr:nvCxnSpPr>
      <xdr:spPr>
        <a:xfrm flipV="1">
          <a:off x="12715875" y="3910048"/>
          <a:ext cx="813831" cy="50955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79346</xdr:colOff>
      <xdr:row>26</xdr:row>
      <xdr:rowOff>46363</xdr:rowOff>
    </xdr:from>
    <xdr:to>
      <xdr:col>23</xdr:col>
      <xdr:colOff>234825</xdr:colOff>
      <xdr:row>29</xdr:row>
      <xdr:rowOff>72996</xdr:rowOff>
    </xdr:to>
    <xdr:sp macro="" textlink="">
      <xdr:nvSpPr>
        <xdr:cNvPr id="73" name="TextBox 160"/>
        <xdr:cNvSpPr txBox="1"/>
      </xdr:nvSpPr>
      <xdr:spPr>
        <a:xfrm>
          <a:off x="13490546" y="4256413"/>
          <a:ext cx="765079" cy="512408"/>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New to state-funded</a:t>
          </a:r>
          <a:r>
            <a:rPr lang="en-GB" sz="800" baseline="0"/>
            <a:t> sector</a:t>
          </a:r>
          <a:r>
            <a:rPr lang="en-GB" sz="800"/>
            <a:t> expected</a:t>
          </a:r>
        </a:p>
      </xdr:txBody>
    </xdr:sp>
    <xdr:clientData/>
  </xdr:twoCellAnchor>
  <xdr:twoCellAnchor>
    <xdr:from>
      <xdr:col>22</xdr:col>
      <xdr:colOff>95220</xdr:colOff>
      <xdr:row>30</xdr:row>
      <xdr:rowOff>26466</xdr:rowOff>
    </xdr:from>
    <xdr:to>
      <xdr:col>23</xdr:col>
      <xdr:colOff>371282</xdr:colOff>
      <xdr:row>33</xdr:row>
      <xdr:rowOff>66675</xdr:rowOff>
    </xdr:to>
    <xdr:sp macro="" textlink="">
      <xdr:nvSpPr>
        <xdr:cNvPr id="74" name="TextBox 160"/>
        <xdr:cNvSpPr txBox="1"/>
      </xdr:nvSpPr>
      <xdr:spPr>
        <a:xfrm>
          <a:off x="13506420" y="4884216"/>
          <a:ext cx="885662" cy="525984"/>
        </a:xfrm>
        <a:prstGeom prst="rect">
          <a:avLst/>
        </a:prstGeom>
        <a:solidFill>
          <a:srgbClr val="FFFF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800"/>
            </a:lnSpc>
          </a:pPr>
          <a:r>
            <a:rPr lang="en-GB" sz="800"/>
            <a:t>NQTs</a:t>
          </a:r>
          <a:r>
            <a:rPr lang="en-GB" sz="800" baseline="0"/>
            <a:t> </a:t>
          </a:r>
          <a:r>
            <a:rPr lang="en-GB" sz="800"/>
            <a:t>required including long term (UG) courses</a:t>
          </a:r>
        </a:p>
      </xdr:txBody>
    </xdr:sp>
    <xdr:clientData/>
  </xdr:twoCellAnchor>
  <xdr:twoCellAnchor>
    <xdr:from>
      <xdr:col>20</xdr:col>
      <xdr:colOff>533400</xdr:colOff>
      <xdr:row>30</xdr:row>
      <xdr:rowOff>0</xdr:rowOff>
    </xdr:from>
    <xdr:to>
      <xdr:col>22</xdr:col>
      <xdr:colOff>95220</xdr:colOff>
      <xdr:row>31</xdr:row>
      <xdr:rowOff>127533</xdr:rowOff>
    </xdr:to>
    <xdr:cxnSp macro="">
      <xdr:nvCxnSpPr>
        <xdr:cNvPr id="75" name="Straight Arrow Connector 74"/>
        <xdr:cNvCxnSpPr>
          <a:endCxn id="74" idx="1"/>
        </xdr:cNvCxnSpPr>
      </xdr:nvCxnSpPr>
      <xdr:spPr>
        <a:xfrm>
          <a:off x="12725400" y="4857750"/>
          <a:ext cx="781020" cy="28945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538051</xdr:colOff>
      <xdr:row>33</xdr:row>
      <xdr:rowOff>66675</xdr:rowOff>
    </xdr:from>
    <xdr:to>
      <xdr:col>22</xdr:col>
      <xdr:colOff>584873</xdr:colOff>
      <xdr:row>36</xdr:row>
      <xdr:rowOff>19051</xdr:rowOff>
    </xdr:to>
    <xdr:cxnSp macro="">
      <xdr:nvCxnSpPr>
        <xdr:cNvPr id="76" name="Straight Arrow Connector 75"/>
        <xdr:cNvCxnSpPr>
          <a:stCxn id="74" idx="2"/>
          <a:endCxn id="77" idx="0"/>
        </xdr:cNvCxnSpPr>
      </xdr:nvCxnSpPr>
      <xdr:spPr>
        <a:xfrm>
          <a:off x="13949251" y="5410200"/>
          <a:ext cx="46822" cy="438151"/>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19050</xdr:colOff>
      <xdr:row>36</xdr:row>
      <xdr:rowOff>19051</xdr:rowOff>
    </xdr:from>
    <xdr:to>
      <xdr:col>23</xdr:col>
      <xdr:colOff>541096</xdr:colOff>
      <xdr:row>38</xdr:row>
      <xdr:rowOff>90113</xdr:rowOff>
    </xdr:to>
    <xdr:sp macro="" textlink="">
      <xdr:nvSpPr>
        <xdr:cNvPr id="77" name="TextBox 160"/>
        <xdr:cNvSpPr txBox="1"/>
      </xdr:nvSpPr>
      <xdr:spPr>
        <a:xfrm>
          <a:off x="13430250" y="5848351"/>
          <a:ext cx="1131646" cy="394912"/>
        </a:xfrm>
        <a:prstGeom prst="rect">
          <a:avLst/>
        </a:prstGeom>
        <a:solidFill>
          <a:srgbClr val="FF0000"/>
        </a:solidFill>
        <a:ln>
          <a:solidFill>
            <a:schemeClr val="tx1"/>
          </a:solidFill>
        </a:ln>
      </xdr:spPr>
      <xdr:txBody>
        <a:bodyPr wrap="square"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Calculation of long term NQT entrants</a:t>
          </a:r>
        </a:p>
      </xdr:txBody>
    </xdr:sp>
    <xdr:clientData/>
  </xdr:twoCellAnchor>
  <xdr:twoCellAnchor>
    <xdr:from>
      <xdr:col>24</xdr:col>
      <xdr:colOff>6351</xdr:colOff>
      <xdr:row>31</xdr:row>
      <xdr:rowOff>41275</xdr:rowOff>
    </xdr:from>
    <xdr:to>
      <xdr:col>25</xdr:col>
      <xdr:colOff>130246</xdr:colOff>
      <xdr:row>34</xdr:row>
      <xdr:rowOff>42401</xdr:rowOff>
    </xdr:to>
    <xdr:sp macro="" textlink="">
      <xdr:nvSpPr>
        <xdr:cNvPr id="78" name="TextBox 160"/>
        <xdr:cNvSpPr txBox="1"/>
      </xdr:nvSpPr>
      <xdr:spPr>
        <a:xfrm>
          <a:off x="14636751" y="5060950"/>
          <a:ext cx="733495" cy="486901"/>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Outputs for conversion</a:t>
          </a:r>
          <a:r>
            <a:rPr lang="en-GB" sz="800" baseline="0"/>
            <a:t> rates</a:t>
          </a:r>
          <a:endParaRPr lang="en-GB" sz="800"/>
        </a:p>
      </xdr:txBody>
    </xdr:sp>
    <xdr:clientData/>
  </xdr:twoCellAnchor>
  <xdr:twoCellAnchor>
    <xdr:from>
      <xdr:col>23</xdr:col>
      <xdr:colOff>540793</xdr:colOff>
      <xdr:row>34</xdr:row>
      <xdr:rowOff>42401</xdr:rowOff>
    </xdr:from>
    <xdr:to>
      <xdr:col>24</xdr:col>
      <xdr:colOff>382916</xdr:colOff>
      <xdr:row>37</xdr:row>
      <xdr:rowOff>63985</xdr:rowOff>
    </xdr:to>
    <xdr:cxnSp macro="">
      <xdr:nvCxnSpPr>
        <xdr:cNvPr id="79" name="Straight Arrow Connector 78"/>
        <xdr:cNvCxnSpPr>
          <a:stCxn id="77" idx="3"/>
          <a:endCxn id="78" idx="2"/>
        </xdr:cNvCxnSpPr>
      </xdr:nvCxnSpPr>
      <xdr:spPr>
        <a:xfrm flipV="1">
          <a:off x="14561593" y="5547851"/>
          <a:ext cx="451723" cy="50735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293942</xdr:colOff>
      <xdr:row>38</xdr:row>
      <xdr:rowOff>57150</xdr:rowOff>
    </xdr:from>
    <xdr:to>
      <xdr:col>22</xdr:col>
      <xdr:colOff>19050</xdr:colOff>
      <xdr:row>42</xdr:row>
      <xdr:rowOff>148493</xdr:rowOff>
    </xdr:to>
    <xdr:cxnSp macro="">
      <xdr:nvCxnSpPr>
        <xdr:cNvPr id="80" name="Straight Arrow Connector 79"/>
        <xdr:cNvCxnSpPr>
          <a:stCxn id="51" idx="3"/>
        </xdr:cNvCxnSpPr>
      </xdr:nvCxnSpPr>
      <xdr:spPr>
        <a:xfrm flipV="1">
          <a:off x="9437942" y="6210300"/>
          <a:ext cx="3992308" cy="73904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37037</xdr:colOff>
      <xdr:row>37</xdr:row>
      <xdr:rowOff>54582</xdr:rowOff>
    </xdr:from>
    <xdr:to>
      <xdr:col>22</xdr:col>
      <xdr:colOff>19050</xdr:colOff>
      <xdr:row>38</xdr:row>
      <xdr:rowOff>81607</xdr:rowOff>
    </xdr:to>
    <xdr:cxnSp macro="">
      <xdr:nvCxnSpPr>
        <xdr:cNvPr id="81" name="Straight Arrow Connector 80"/>
        <xdr:cNvCxnSpPr>
          <a:stCxn id="52" idx="3"/>
          <a:endCxn id="77" idx="1"/>
        </xdr:cNvCxnSpPr>
      </xdr:nvCxnSpPr>
      <xdr:spPr>
        <a:xfrm flipV="1">
          <a:off x="9181037" y="6045807"/>
          <a:ext cx="4249213" cy="1889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382624</xdr:colOff>
      <xdr:row>28</xdr:row>
      <xdr:rowOff>16852</xdr:rowOff>
    </xdr:from>
    <xdr:to>
      <xdr:col>24</xdr:col>
      <xdr:colOff>400975</xdr:colOff>
      <xdr:row>31</xdr:row>
      <xdr:rowOff>41275</xdr:rowOff>
    </xdr:to>
    <xdr:cxnSp macro="">
      <xdr:nvCxnSpPr>
        <xdr:cNvPr id="82" name="Straight Arrow Connector 81"/>
        <xdr:cNvCxnSpPr>
          <a:stCxn id="78" idx="0"/>
          <a:endCxn id="83" idx="2"/>
        </xdr:cNvCxnSpPr>
      </xdr:nvCxnSpPr>
      <xdr:spPr>
        <a:xfrm flipV="1">
          <a:off x="15013024" y="4550752"/>
          <a:ext cx="18351" cy="510198"/>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58212</xdr:colOff>
      <xdr:row>25</xdr:row>
      <xdr:rowOff>90593</xdr:rowOff>
    </xdr:from>
    <xdr:to>
      <xdr:col>25</xdr:col>
      <xdr:colOff>152518</xdr:colOff>
      <xdr:row>28</xdr:row>
      <xdr:rowOff>17101</xdr:rowOff>
    </xdr:to>
    <xdr:sp macro="" textlink="">
      <xdr:nvSpPr>
        <xdr:cNvPr id="83" name="TextBox 160"/>
        <xdr:cNvSpPr txBox="1"/>
      </xdr:nvSpPr>
      <xdr:spPr>
        <a:xfrm>
          <a:off x="14688612" y="4138718"/>
          <a:ext cx="703906" cy="412283"/>
        </a:xfrm>
        <a:prstGeom prst="rect">
          <a:avLst/>
        </a:prstGeom>
        <a:solidFill>
          <a:srgbClr val="FF00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Conversion rates table</a:t>
          </a:r>
        </a:p>
      </xdr:txBody>
    </xdr:sp>
    <xdr:clientData/>
  </xdr:twoCellAnchor>
  <xdr:twoCellAnchor>
    <xdr:from>
      <xdr:col>26</xdr:col>
      <xdr:colOff>198120</xdr:colOff>
      <xdr:row>17</xdr:row>
      <xdr:rowOff>154305</xdr:rowOff>
    </xdr:from>
    <xdr:to>
      <xdr:col>27</xdr:col>
      <xdr:colOff>476246</xdr:colOff>
      <xdr:row>21</xdr:row>
      <xdr:rowOff>28719</xdr:rowOff>
    </xdr:to>
    <xdr:sp macro="" textlink="">
      <xdr:nvSpPr>
        <xdr:cNvPr id="84" name="TextBox 160"/>
        <xdr:cNvSpPr txBox="1"/>
      </xdr:nvSpPr>
      <xdr:spPr>
        <a:xfrm>
          <a:off x="16047720" y="2907030"/>
          <a:ext cx="887726" cy="522114"/>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800"/>
            </a:lnSpc>
          </a:pPr>
          <a:r>
            <a:rPr lang="en-GB" sz="800"/>
            <a:t>Other output</a:t>
          </a:r>
          <a:r>
            <a:rPr lang="en-GB" sz="800" baseline="0"/>
            <a:t> tabs including  projections and historical data</a:t>
          </a:r>
          <a:endParaRPr lang="en-GB" sz="800"/>
        </a:p>
      </xdr:txBody>
    </xdr:sp>
    <xdr:clientData/>
  </xdr:twoCellAnchor>
  <xdr:twoCellAnchor>
    <xdr:from>
      <xdr:col>25</xdr:col>
      <xdr:colOff>152518</xdr:colOff>
      <xdr:row>21</xdr:row>
      <xdr:rowOff>28719</xdr:rowOff>
    </xdr:from>
    <xdr:to>
      <xdr:col>27</xdr:col>
      <xdr:colOff>32383</xdr:colOff>
      <xdr:row>26</xdr:row>
      <xdr:rowOff>134810</xdr:rowOff>
    </xdr:to>
    <xdr:cxnSp macro="">
      <xdr:nvCxnSpPr>
        <xdr:cNvPr id="85" name="Straight Arrow Connector 84"/>
        <xdr:cNvCxnSpPr>
          <a:stCxn id="83" idx="3"/>
          <a:endCxn id="84" idx="2"/>
        </xdr:cNvCxnSpPr>
      </xdr:nvCxnSpPr>
      <xdr:spPr>
        <a:xfrm flipV="1">
          <a:off x="15392518" y="3429144"/>
          <a:ext cx="1099065" cy="91571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257175</xdr:colOff>
      <xdr:row>11</xdr:row>
      <xdr:rowOff>28576</xdr:rowOff>
    </xdr:from>
    <xdr:to>
      <xdr:col>10</xdr:col>
      <xdr:colOff>438150</xdr:colOff>
      <xdr:row>13</xdr:row>
      <xdr:rowOff>152400</xdr:rowOff>
    </xdr:to>
    <xdr:sp macro="" textlink="">
      <xdr:nvSpPr>
        <xdr:cNvPr id="86" name="TextBox 158"/>
        <xdr:cNvSpPr txBox="1"/>
      </xdr:nvSpPr>
      <xdr:spPr>
        <a:xfrm>
          <a:off x="5743575" y="1809751"/>
          <a:ext cx="790575" cy="447674"/>
        </a:xfrm>
        <a:prstGeom prst="rect">
          <a:avLst/>
        </a:prstGeom>
        <a:solidFill>
          <a:srgbClr val="00B05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Increased EBacc entry scenario data</a:t>
          </a:r>
        </a:p>
      </xdr:txBody>
    </xdr:sp>
    <xdr:clientData/>
  </xdr:twoCellAnchor>
  <xdr:twoCellAnchor>
    <xdr:from>
      <xdr:col>10</xdr:col>
      <xdr:colOff>42863</xdr:colOff>
      <xdr:row>10</xdr:row>
      <xdr:rowOff>27996</xdr:rowOff>
    </xdr:from>
    <xdr:to>
      <xdr:col>10</xdr:col>
      <xdr:colOff>52422</xdr:colOff>
      <xdr:row>11</xdr:row>
      <xdr:rowOff>28576</xdr:rowOff>
    </xdr:to>
    <xdr:cxnSp macro="">
      <xdr:nvCxnSpPr>
        <xdr:cNvPr id="87" name="Straight Arrow Connector 86"/>
        <xdr:cNvCxnSpPr>
          <a:stCxn id="14" idx="2"/>
          <a:endCxn id="86" idx="0"/>
        </xdr:cNvCxnSpPr>
      </xdr:nvCxnSpPr>
      <xdr:spPr>
        <a:xfrm flipH="1">
          <a:off x="6138863" y="1647246"/>
          <a:ext cx="9559" cy="16250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42863</xdr:colOff>
      <xdr:row>13</xdr:row>
      <xdr:rowOff>152400</xdr:rowOff>
    </xdr:from>
    <xdr:to>
      <xdr:col>12</xdr:col>
      <xdr:colOff>133350</xdr:colOff>
      <xdr:row>18</xdr:row>
      <xdr:rowOff>123825</xdr:rowOff>
    </xdr:to>
    <xdr:cxnSp macro="">
      <xdr:nvCxnSpPr>
        <xdr:cNvPr id="88" name="Straight Arrow Connector 87"/>
        <xdr:cNvCxnSpPr>
          <a:stCxn id="86" idx="2"/>
        </xdr:cNvCxnSpPr>
      </xdr:nvCxnSpPr>
      <xdr:spPr>
        <a:xfrm>
          <a:off x="6138863" y="2257425"/>
          <a:ext cx="1309687" cy="78105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476250</xdr:colOff>
      <xdr:row>10</xdr:row>
      <xdr:rowOff>38100</xdr:rowOff>
    </xdr:from>
    <xdr:to>
      <xdr:col>4</xdr:col>
      <xdr:colOff>282571</xdr:colOff>
      <xdr:row>12</xdr:row>
      <xdr:rowOff>151036</xdr:rowOff>
    </xdr:to>
    <xdr:sp macro="" textlink="">
      <xdr:nvSpPr>
        <xdr:cNvPr id="89" name="TextBox 160"/>
        <xdr:cNvSpPr txBox="1"/>
      </xdr:nvSpPr>
      <xdr:spPr>
        <a:xfrm>
          <a:off x="1695450" y="1657350"/>
          <a:ext cx="1025521"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ITT outputs sheet</a:t>
          </a:r>
        </a:p>
      </xdr:txBody>
    </xdr:sp>
    <xdr:clientData/>
  </xdr:twoCellAnchor>
  <xdr:twoCellAnchor>
    <xdr:from>
      <xdr:col>22</xdr:col>
      <xdr:colOff>409575</xdr:colOff>
      <xdr:row>18</xdr:row>
      <xdr:rowOff>9525</xdr:rowOff>
    </xdr:from>
    <xdr:to>
      <xdr:col>24</xdr:col>
      <xdr:colOff>206380</xdr:colOff>
      <xdr:row>21</xdr:row>
      <xdr:rowOff>132763</xdr:rowOff>
    </xdr:to>
    <xdr:sp macro="" textlink="">
      <xdr:nvSpPr>
        <xdr:cNvPr id="90" name="TextBox 160"/>
        <xdr:cNvSpPr txBox="1"/>
      </xdr:nvSpPr>
      <xdr:spPr>
        <a:xfrm>
          <a:off x="13820775" y="2924175"/>
          <a:ext cx="1016005" cy="609013"/>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FINAL OUTPUTS OF ITT PLACES</a:t>
          </a:r>
        </a:p>
      </xdr:txBody>
    </xdr:sp>
    <xdr:clientData/>
  </xdr:twoCellAnchor>
  <xdr:twoCellAnchor>
    <xdr:from>
      <xdr:col>23</xdr:col>
      <xdr:colOff>307978</xdr:colOff>
      <xdr:row>21</xdr:row>
      <xdr:rowOff>132763</xdr:rowOff>
    </xdr:from>
    <xdr:to>
      <xdr:col>24</xdr:col>
      <xdr:colOff>410165</xdr:colOff>
      <xdr:row>25</xdr:row>
      <xdr:rowOff>90593</xdr:rowOff>
    </xdr:to>
    <xdr:cxnSp macro="">
      <xdr:nvCxnSpPr>
        <xdr:cNvPr id="91" name="Straight Arrow Connector 90"/>
        <xdr:cNvCxnSpPr>
          <a:stCxn id="83" idx="0"/>
          <a:endCxn id="90" idx="2"/>
        </xdr:cNvCxnSpPr>
      </xdr:nvCxnSpPr>
      <xdr:spPr>
        <a:xfrm flipH="1" flipV="1">
          <a:off x="14328778" y="3533188"/>
          <a:ext cx="711787" cy="605530"/>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515334</xdr:colOff>
      <xdr:row>16</xdr:row>
      <xdr:rowOff>114304</xdr:rowOff>
    </xdr:from>
    <xdr:to>
      <xdr:col>16</xdr:col>
      <xdr:colOff>701131</xdr:colOff>
      <xdr:row>23</xdr:row>
      <xdr:rowOff>89535</xdr:rowOff>
    </xdr:to>
    <xdr:cxnSp macro="">
      <xdr:nvCxnSpPr>
        <xdr:cNvPr id="92" name="Straight Arrow Connector 91"/>
        <xdr:cNvCxnSpPr>
          <a:stCxn id="50" idx="0"/>
        </xdr:cNvCxnSpPr>
      </xdr:nvCxnSpPr>
      <xdr:spPr>
        <a:xfrm flipV="1">
          <a:off x="9049734" y="2705104"/>
          <a:ext cx="1300222" cy="1108706"/>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142875</xdr:colOff>
      <xdr:row>21</xdr:row>
      <xdr:rowOff>0</xdr:rowOff>
    </xdr:from>
    <xdr:to>
      <xdr:col>21</xdr:col>
      <xdr:colOff>219110</xdr:colOff>
      <xdr:row>24</xdr:row>
      <xdr:rowOff>9525</xdr:rowOff>
    </xdr:to>
    <xdr:sp macro="" textlink="">
      <xdr:nvSpPr>
        <xdr:cNvPr id="93" name="TextBox 160"/>
        <xdr:cNvSpPr txBox="1"/>
      </xdr:nvSpPr>
      <xdr:spPr>
        <a:xfrm>
          <a:off x="12334875" y="3400425"/>
          <a:ext cx="685835" cy="495300"/>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Check of all entrant numbers</a:t>
          </a:r>
        </a:p>
      </xdr:txBody>
    </xdr:sp>
    <xdr:clientData/>
  </xdr:twoCellAnchor>
  <xdr:twoCellAnchor>
    <xdr:from>
      <xdr:col>20</xdr:col>
      <xdr:colOff>257175</xdr:colOff>
      <xdr:row>24</xdr:row>
      <xdr:rowOff>9525</xdr:rowOff>
    </xdr:from>
    <xdr:to>
      <xdr:col>20</xdr:col>
      <xdr:colOff>485793</xdr:colOff>
      <xdr:row>26</xdr:row>
      <xdr:rowOff>133350</xdr:rowOff>
    </xdr:to>
    <xdr:cxnSp macro="">
      <xdr:nvCxnSpPr>
        <xdr:cNvPr id="94" name="Straight Arrow Connector 93"/>
        <xdr:cNvCxnSpPr>
          <a:endCxn id="93" idx="2"/>
        </xdr:cNvCxnSpPr>
      </xdr:nvCxnSpPr>
      <xdr:spPr>
        <a:xfrm flipV="1">
          <a:off x="12449175" y="3895725"/>
          <a:ext cx="228618" cy="447675"/>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200026</xdr:colOff>
      <xdr:row>32</xdr:row>
      <xdr:rowOff>1904</xdr:rowOff>
    </xdr:from>
    <xdr:to>
      <xdr:col>1</xdr:col>
      <xdr:colOff>304832</xdr:colOff>
      <xdr:row>35</xdr:row>
      <xdr:rowOff>1904</xdr:rowOff>
    </xdr:to>
    <xdr:sp macro="" textlink="">
      <xdr:nvSpPr>
        <xdr:cNvPr id="95" name="TextBox 158"/>
        <xdr:cNvSpPr txBox="1"/>
      </xdr:nvSpPr>
      <xdr:spPr>
        <a:xfrm>
          <a:off x="200026" y="5183504"/>
          <a:ext cx="714406" cy="485775"/>
        </a:xfrm>
        <a:prstGeom prst="rect">
          <a:avLst/>
        </a:prstGeom>
        <a:solidFill>
          <a:srgbClr val="FFFF00"/>
        </a:solidFill>
        <a:ln>
          <a:solidFill>
            <a:schemeClr val="tx1"/>
          </a:solidFill>
        </a:ln>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800"/>
            <a:t>Changes in teaching hours</a:t>
          </a:r>
        </a:p>
      </xdr:txBody>
    </xdr:sp>
    <xdr:clientData/>
  </xdr:twoCellAnchor>
  <xdr:twoCellAnchor>
    <xdr:from>
      <xdr:col>0</xdr:col>
      <xdr:colOff>514350</xdr:colOff>
      <xdr:row>22</xdr:row>
      <xdr:rowOff>142875</xdr:rowOff>
    </xdr:from>
    <xdr:to>
      <xdr:col>0</xdr:col>
      <xdr:colOff>557229</xdr:colOff>
      <xdr:row>32</xdr:row>
      <xdr:rowOff>1904</xdr:rowOff>
    </xdr:to>
    <xdr:cxnSp macro="">
      <xdr:nvCxnSpPr>
        <xdr:cNvPr id="96" name="Straight Arrow Connector 95"/>
        <xdr:cNvCxnSpPr>
          <a:endCxn id="95" idx="0"/>
        </xdr:cNvCxnSpPr>
      </xdr:nvCxnSpPr>
      <xdr:spPr>
        <a:xfrm>
          <a:off x="514350" y="3705225"/>
          <a:ext cx="42879" cy="1478279"/>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5</xdr:row>
      <xdr:rowOff>0</xdr:rowOff>
    </xdr:from>
    <xdr:to>
      <xdr:col>10</xdr:col>
      <xdr:colOff>190582</xdr:colOff>
      <xdr:row>6</xdr:row>
      <xdr:rowOff>161240</xdr:rowOff>
    </xdr:to>
    <xdr:sp macro="" textlink="">
      <xdr:nvSpPr>
        <xdr:cNvPr id="97" name="TextBox 158"/>
        <xdr:cNvSpPr txBox="1"/>
      </xdr:nvSpPr>
      <xdr:spPr>
        <a:xfrm>
          <a:off x="5486400" y="809625"/>
          <a:ext cx="800182" cy="323165"/>
        </a:xfrm>
        <a:prstGeom prst="rect">
          <a:avLst/>
        </a:prstGeom>
        <a:solidFill>
          <a:srgbClr val="FF0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lnSpc>
              <a:spcPts val="900"/>
            </a:lnSpc>
          </a:pPr>
          <a:r>
            <a:rPr lang="en-GB" sz="800"/>
            <a:t>Pupils data scenarios</a:t>
          </a:r>
        </a:p>
      </xdr:txBody>
    </xdr:sp>
    <xdr:clientData/>
  </xdr:twoCellAnchor>
  <xdr:twoCellAnchor>
    <xdr:from>
      <xdr:col>0</xdr:col>
      <xdr:colOff>495300</xdr:colOff>
      <xdr:row>5</xdr:row>
      <xdr:rowOff>161583</xdr:rowOff>
    </xdr:from>
    <xdr:to>
      <xdr:col>9</xdr:col>
      <xdr:colOff>0</xdr:colOff>
      <xdr:row>20</xdr:row>
      <xdr:rowOff>142875</xdr:rowOff>
    </xdr:to>
    <xdr:cxnSp macro="">
      <xdr:nvCxnSpPr>
        <xdr:cNvPr id="98" name="Straight Arrow Connector 97"/>
        <xdr:cNvCxnSpPr>
          <a:endCxn id="97" idx="1"/>
        </xdr:cNvCxnSpPr>
      </xdr:nvCxnSpPr>
      <xdr:spPr>
        <a:xfrm flipV="1">
          <a:off x="495300" y="971208"/>
          <a:ext cx="4991100" cy="241016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190582</xdr:colOff>
      <xdr:row>5</xdr:row>
      <xdr:rowOff>76200</xdr:rowOff>
    </xdr:from>
    <xdr:to>
      <xdr:col>19</xdr:col>
      <xdr:colOff>152400</xdr:colOff>
      <xdr:row>5</xdr:row>
      <xdr:rowOff>161583</xdr:rowOff>
    </xdr:to>
    <xdr:cxnSp macro="">
      <xdr:nvCxnSpPr>
        <xdr:cNvPr id="99" name="Straight Arrow Connector 98"/>
        <xdr:cNvCxnSpPr>
          <a:stCxn id="97" idx="3"/>
        </xdr:cNvCxnSpPr>
      </xdr:nvCxnSpPr>
      <xdr:spPr>
        <a:xfrm flipV="1">
          <a:off x="6286582" y="885825"/>
          <a:ext cx="5448218" cy="85383"/>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352425</xdr:colOff>
      <xdr:row>14</xdr:row>
      <xdr:rowOff>0</xdr:rowOff>
    </xdr:from>
    <xdr:to>
      <xdr:col>26</xdr:col>
      <xdr:colOff>149230</xdr:colOff>
      <xdr:row>16</xdr:row>
      <xdr:rowOff>112936</xdr:rowOff>
    </xdr:to>
    <xdr:sp macro="" textlink="">
      <xdr:nvSpPr>
        <xdr:cNvPr id="100" name="TextBox 160"/>
        <xdr:cNvSpPr txBox="1"/>
      </xdr:nvSpPr>
      <xdr:spPr>
        <a:xfrm>
          <a:off x="14982825" y="2266950"/>
          <a:ext cx="1016005" cy="436786"/>
        </a:xfrm>
        <a:prstGeom prst="rect">
          <a:avLst/>
        </a:prstGeom>
        <a:solidFill>
          <a:srgbClr val="FFC000"/>
        </a:solidFill>
        <a:ln>
          <a:solidFill>
            <a:schemeClr val="tx1"/>
          </a:solidFill>
        </a:ln>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n-GB" sz="1100"/>
            <a:t>SUMMARY OUTPUTS</a:t>
          </a:r>
        </a:p>
      </xdr:txBody>
    </xdr:sp>
    <xdr:clientData/>
  </xdr:twoCellAnchor>
  <xdr:twoCellAnchor>
    <xdr:from>
      <xdr:col>23</xdr:col>
      <xdr:colOff>307978</xdr:colOff>
      <xdr:row>15</xdr:row>
      <xdr:rowOff>56468</xdr:rowOff>
    </xdr:from>
    <xdr:to>
      <xdr:col>24</xdr:col>
      <xdr:colOff>352425</xdr:colOff>
      <xdr:row>18</xdr:row>
      <xdr:rowOff>9525</xdr:rowOff>
    </xdr:to>
    <xdr:cxnSp macro="">
      <xdr:nvCxnSpPr>
        <xdr:cNvPr id="101" name="Straight Arrow Connector 100"/>
        <xdr:cNvCxnSpPr>
          <a:stCxn id="90" idx="0"/>
          <a:endCxn id="100" idx="1"/>
        </xdr:cNvCxnSpPr>
      </xdr:nvCxnSpPr>
      <xdr:spPr>
        <a:xfrm flipV="1">
          <a:off x="14328778" y="2485343"/>
          <a:ext cx="654047" cy="438832"/>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149230</xdr:colOff>
      <xdr:row>15</xdr:row>
      <xdr:rowOff>56468</xdr:rowOff>
    </xdr:from>
    <xdr:to>
      <xdr:col>27</xdr:col>
      <xdr:colOff>32383</xdr:colOff>
      <xdr:row>17</xdr:row>
      <xdr:rowOff>154305</xdr:rowOff>
    </xdr:to>
    <xdr:cxnSp macro="">
      <xdr:nvCxnSpPr>
        <xdr:cNvPr id="102" name="Straight Arrow Connector 101"/>
        <xdr:cNvCxnSpPr>
          <a:stCxn id="84" idx="0"/>
          <a:endCxn id="100" idx="3"/>
        </xdr:cNvCxnSpPr>
      </xdr:nvCxnSpPr>
      <xdr:spPr>
        <a:xfrm flipH="1" flipV="1">
          <a:off x="15998830" y="2485343"/>
          <a:ext cx="492753" cy="421687"/>
        </a:xfrm>
        <a:prstGeom prst="straightConnector1">
          <a:avLst/>
        </a:prstGeom>
        <a:ln>
          <a:solidFill>
            <a:schemeClr val="tx1">
              <a:lumMod val="95000"/>
              <a:lumOff val="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2571750</xdr:colOff>
      <xdr:row>87</xdr:row>
      <xdr:rowOff>38100</xdr:rowOff>
    </xdr:from>
    <xdr:to>
      <xdr:col>10</xdr:col>
      <xdr:colOff>495300</xdr:colOff>
      <xdr:row>108</xdr:row>
      <xdr:rowOff>104775</xdr:rowOff>
    </xdr:to>
    <xdr:graphicFrame macro="">
      <xdr:nvGraphicFramePr>
        <xdr:cNvPr id="124026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485775</xdr:colOff>
      <xdr:row>87</xdr:row>
      <xdr:rowOff>38100</xdr:rowOff>
    </xdr:from>
    <xdr:to>
      <xdr:col>19</xdr:col>
      <xdr:colOff>342900</xdr:colOff>
      <xdr:row>108</xdr:row>
      <xdr:rowOff>114300</xdr:rowOff>
    </xdr:to>
    <xdr:graphicFrame macro="">
      <xdr:nvGraphicFramePr>
        <xdr:cNvPr id="1240269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2571750</xdr:colOff>
      <xdr:row>108</xdr:row>
      <xdr:rowOff>104775</xdr:rowOff>
    </xdr:from>
    <xdr:to>
      <xdr:col>10</xdr:col>
      <xdr:colOff>485775</xdr:colOff>
      <xdr:row>130</xdr:row>
      <xdr:rowOff>19050</xdr:rowOff>
    </xdr:to>
    <xdr:graphicFrame macro="">
      <xdr:nvGraphicFramePr>
        <xdr:cNvPr id="1240269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485775</xdr:colOff>
      <xdr:row>108</xdr:row>
      <xdr:rowOff>104775</xdr:rowOff>
    </xdr:from>
    <xdr:to>
      <xdr:col>19</xdr:col>
      <xdr:colOff>342900</xdr:colOff>
      <xdr:row>130</xdr:row>
      <xdr:rowOff>19050</xdr:rowOff>
    </xdr:to>
    <xdr:graphicFrame macro="">
      <xdr:nvGraphicFramePr>
        <xdr:cNvPr id="1240270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485775</xdr:colOff>
      <xdr:row>130</xdr:row>
      <xdr:rowOff>19050</xdr:rowOff>
    </xdr:from>
    <xdr:to>
      <xdr:col>19</xdr:col>
      <xdr:colOff>342900</xdr:colOff>
      <xdr:row>151</xdr:row>
      <xdr:rowOff>85725</xdr:rowOff>
    </xdr:to>
    <xdr:graphicFrame macro="">
      <xdr:nvGraphicFramePr>
        <xdr:cNvPr id="1240270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2571750</xdr:colOff>
      <xdr:row>151</xdr:row>
      <xdr:rowOff>85725</xdr:rowOff>
    </xdr:from>
    <xdr:to>
      <xdr:col>10</xdr:col>
      <xdr:colOff>485775</xdr:colOff>
      <xdr:row>172</xdr:row>
      <xdr:rowOff>152400</xdr:rowOff>
    </xdr:to>
    <xdr:graphicFrame macro="">
      <xdr:nvGraphicFramePr>
        <xdr:cNvPr id="1240270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2571750</xdr:colOff>
      <xdr:row>130</xdr:row>
      <xdr:rowOff>19050</xdr:rowOff>
    </xdr:from>
    <xdr:to>
      <xdr:col>10</xdr:col>
      <xdr:colOff>485775</xdr:colOff>
      <xdr:row>151</xdr:row>
      <xdr:rowOff>85725</xdr:rowOff>
    </xdr:to>
    <xdr:graphicFrame macro="">
      <xdr:nvGraphicFramePr>
        <xdr:cNvPr id="1240270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485775</xdr:colOff>
      <xdr:row>151</xdr:row>
      <xdr:rowOff>85725</xdr:rowOff>
    </xdr:from>
    <xdr:to>
      <xdr:col>19</xdr:col>
      <xdr:colOff>342900</xdr:colOff>
      <xdr:row>172</xdr:row>
      <xdr:rowOff>152400</xdr:rowOff>
    </xdr:to>
    <xdr:graphicFrame macro="">
      <xdr:nvGraphicFramePr>
        <xdr:cNvPr id="12402704"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2090738</xdr:colOff>
      <xdr:row>38</xdr:row>
      <xdr:rowOff>85725</xdr:rowOff>
    </xdr:from>
    <xdr:to>
      <xdr:col>11</xdr:col>
      <xdr:colOff>19050</xdr:colOff>
      <xdr:row>61</xdr:row>
      <xdr:rowOff>76200</xdr:rowOff>
    </xdr:to>
    <xdr:graphicFrame macro="">
      <xdr:nvGraphicFramePr>
        <xdr:cNvPr id="124119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38</xdr:row>
      <xdr:rowOff>85725</xdr:rowOff>
    </xdr:from>
    <xdr:to>
      <xdr:col>20</xdr:col>
      <xdr:colOff>171450</xdr:colOff>
      <xdr:row>61</xdr:row>
      <xdr:rowOff>76200</xdr:rowOff>
    </xdr:to>
    <xdr:graphicFrame macro="">
      <xdr:nvGraphicFramePr>
        <xdr:cNvPr id="124119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2090738</xdr:colOff>
      <xdr:row>61</xdr:row>
      <xdr:rowOff>76200</xdr:rowOff>
    </xdr:from>
    <xdr:to>
      <xdr:col>11</xdr:col>
      <xdr:colOff>19050</xdr:colOff>
      <xdr:row>84</xdr:row>
      <xdr:rowOff>57150</xdr:rowOff>
    </xdr:to>
    <xdr:graphicFrame macro="">
      <xdr:nvGraphicFramePr>
        <xdr:cNvPr id="124119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19050</xdr:colOff>
      <xdr:row>61</xdr:row>
      <xdr:rowOff>76200</xdr:rowOff>
    </xdr:from>
    <xdr:to>
      <xdr:col>20</xdr:col>
      <xdr:colOff>161925</xdr:colOff>
      <xdr:row>84</xdr:row>
      <xdr:rowOff>57150</xdr:rowOff>
    </xdr:to>
    <xdr:graphicFrame macro="">
      <xdr:nvGraphicFramePr>
        <xdr:cNvPr id="1241191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9525</xdr:colOff>
      <xdr:row>20</xdr:row>
      <xdr:rowOff>95250</xdr:rowOff>
    </xdr:from>
    <xdr:to>
      <xdr:col>23</xdr:col>
      <xdr:colOff>485775</xdr:colOff>
      <xdr:row>41</xdr:row>
      <xdr:rowOff>152400</xdr:rowOff>
    </xdr:to>
    <xdr:graphicFrame macro="">
      <xdr:nvGraphicFramePr>
        <xdr:cNvPr id="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161925</xdr:colOff>
          <xdr:row>14</xdr:row>
          <xdr:rowOff>28575</xdr:rowOff>
        </xdr:from>
        <xdr:to>
          <xdr:col>11</xdr:col>
          <xdr:colOff>552450</xdr:colOff>
          <xdr:row>16</xdr:row>
          <xdr:rowOff>66675</xdr:rowOff>
        </xdr:to>
        <xdr:sp macro="" textlink="">
          <xdr:nvSpPr>
            <xdr:cNvPr id="12179457" name="Drop Down 1" hidden="1">
              <a:extLst>
                <a:ext uri="{63B3BB69-23CF-44E3-9099-C40C66FF867C}">
                  <a14:compatExt spid="_x0000_s12179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18</xdr:row>
          <xdr:rowOff>66675</xdr:rowOff>
        </xdr:from>
        <xdr:to>
          <xdr:col>16</xdr:col>
          <xdr:colOff>219075</xdr:colOff>
          <xdr:row>20</xdr:row>
          <xdr:rowOff>0</xdr:rowOff>
        </xdr:to>
        <xdr:sp macro="" textlink="">
          <xdr:nvSpPr>
            <xdr:cNvPr id="12179458" name="Drop Down 2" hidden="1">
              <a:extLst>
                <a:ext uri="{63B3BB69-23CF-44E3-9099-C40C66FF867C}">
                  <a14:compatExt spid="_x0000_s12179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266700</xdr:colOff>
          <xdr:row>18</xdr:row>
          <xdr:rowOff>57150</xdr:rowOff>
        </xdr:from>
        <xdr:to>
          <xdr:col>19</xdr:col>
          <xdr:colOff>428625</xdr:colOff>
          <xdr:row>20</xdr:row>
          <xdr:rowOff>0</xdr:rowOff>
        </xdr:to>
        <xdr:sp macro="" textlink="">
          <xdr:nvSpPr>
            <xdr:cNvPr id="12179459" name="Drop Down 3" hidden="1">
              <a:extLst>
                <a:ext uri="{63B3BB69-23CF-44E3-9099-C40C66FF867C}">
                  <a14:compatExt spid="_x0000_s12179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504825</xdr:colOff>
          <xdr:row>18</xdr:row>
          <xdr:rowOff>57150</xdr:rowOff>
        </xdr:from>
        <xdr:to>
          <xdr:col>23</xdr:col>
          <xdr:colOff>66675</xdr:colOff>
          <xdr:row>20</xdr:row>
          <xdr:rowOff>0</xdr:rowOff>
        </xdr:to>
        <xdr:sp macro="" textlink="">
          <xdr:nvSpPr>
            <xdr:cNvPr id="12179460" name="Drop Down 4" hidden="1">
              <a:extLst>
                <a:ext uri="{63B3BB69-23CF-44E3-9099-C40C66FF867C}">
                  <a14:compatExt spid="_x0000_s12179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156</xdr:row>
          <xdr:rowOff>9525</xdr:rowOff>
        </xdr:from>
        <xdr:to>
          <xdr:col>3</xdr:col>
          <xdr:colOff>0</xdr:colOff>
          <xdr:row>157</xdr:row>
          <xdr:rowOff>152400</xdr:rowOff>
        </xdr:to>
        <xdr:sp macro="" textlink="">
          <xdr:nvSpPr>
            <xdr:cNvPr id="12161025" name="Drop Down 238593" hidden="1">
              <a:extLst>
                <a:ext uri="{63B3BB69-23CF-44E3-9099-C40C66FF867C}">
                  <a14:compatExt spid="_x0000_s1216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156</xdr:row>
          <xdr:rowOff>9525</xdr:rowOff>
        </xdr:from>
        <xdr:to>
          <xdr:col>7</xdr:col>
          <xdr:colOff>390525</xdr:colOff>
          <xdr:row>158</xdr:row>
          <xdr:rowOff>0</xdr:rowOff>
        </xdr:to>
        <xdr:sp macro="" textlink="">
          <xdr:nvSpPr>
            <xdr:cNvPr id="12161027" name="Drop Down 238595" hidden="1">
              <a:extLst>
                <a:ext uri="{63B3BB69-23CF-44E3-9099-C40C66FF867C}">
                  <a14:compatExt spid="_x0000_s1216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183</xdr:row>
          <xdr:rowOff>0</xdr:rowOff>
        </xdr:from>
        <xdr:to>
          <xdr:col>3</xdr:col>
          <xdr:colOff>123825</xdr:colOff>
          <xdr:row>185</xdr:row>
          <xdr:rowOff>9525</xdr:rowOff>
        </xdr:to>
        <xdr:sp macro="" textlink="">
          <xdr:nvSpPr>
            <xdr:cNvPr id="12161028" name="Drop Down 238596" hidden="1">
              <a:extLst>
                <a:ext uri="{63B3BB69-23CF-44E3-9099-C40C66FF867C}">
                  <a14:compatExt spid="_x0000_s12161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183</xdr:row>
          <xdr:rowOff>9525</xdr:rowOff>
        </xdr:from>
        <xdr:to>
          <xdr:col>7</xdr:col>
          <xdr:colOff>390525</xdr:colOff>
          <xdr:row>184</xdr:row>
          <xdr:rowOff>152400</xdr:rowOff>
        </xdr:to>
        <xdr:sp macro="" textlink="">
          <xdr:nvSpPr>
            <xdr:cNvPr id="12161030" name="Drop Down 238598" hidden="1">
              <a:extLst>
                <a:ext uri="{63B3BB69-23CF-44E3-9099-C40C66FF867C}">
                  <a14:compatExt spid="_x0000_s12161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183</xdr:row>
          <xdr:rowOff>0</xdr:rowOff>
        </xdr:from>
        <xdr:to>
          <xdr:col>11</xdr:col>
          <xdr:colOff>400050</xdr:colOff>
          <xdr:row>185</xdr:row>
          <xdr:rowOff>0</xdr:rowOff>
        </xdr:to>
        <xdr:sp macro="" textlink="">
          <xdr:nvSpPr>
            <xdr:cNvPr id="12161031" name="Drop Down 238599" hidden="1">
              <a:extLst>
                <a:ext uri="{63B3BB69-23CF-44E3-9099-C40C66FF867C}">
                  <a14:compatExt spid="_x0000_s12161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183</xdr:row>
          <xdr:rowOff>0</xdr:rowOff>
        </xdr:from>
        <xdr:to>
          <xdr:col>15</xdr:col>
          <xdr:colOff>228600</xdr:colOff>
          <xdr:row>185</xdr:row>
          <xdr:rowOff>0</xdr:rowOff>
        </xdr:to>
        <xdr:sp macro="" textlink="">
          <xdr:nvSpPr>
            <xdr:cNvPr id="12161032" name="Drop Down 238600" hidden="1">
              <a:extLst>
                <a:ext uri="{63B3BB69-23CF-44E3-9099-C40C66FF867C}">
                  <a14:compatExt spid="_x0000_s12161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202</xdr:row>
          <xdr:rowOff>0</xdr:rowOff>
        </xdr:from>
        <xdr:to>
          <xdr:col>3</xdr:col>
          <xdr:colOff>485775</xdr:colOff>
          <xdr:row>204</xdr:row>
          <xdr:rowOff>0</xdr:rowOff>
        </xdr:to>
        <xdr:sp macro="" textlink="">
          <xdr:nvSpPr>
            <xdr:cNvPr id="12161033" name="Drop Down 238601" hidden="1">
              <a:extLst>
                <a:ext uri="{63B3BB69-23CF-44E3-9099-C40C66FF867C}">
                  <a14:compatExt spid="_x0000_s1216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202</xdr:row>
          <xdr:rowOff>9525</xdr:rowOff>
        </xdr:from>
        <xdr:to>
          <xdr:col>8</xdr:col>
          <xdr:colOff>76200</xdr:colOff>
          <xdr:row>203</xdr:row>
          <xdr:rowOff>152400</xdr:rowOff>
        </xdr:to>
        <xdr:sp macro="" textlink="">
          <xdr:nvSpPr>
            <xdr:cNvPr id="12161034" name="Drop Down 238602" hidden="1">
              <a:extLst>
                <a:ext uri="{63B3BB69-23CF-44E3-9099-C40C66FF867C}">
                  <a14:compatExt spid="_x0000_s12161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221</xdr:row>
          <xdr:rowOff>9525</xdr:rowOff>
        </xdr:from>
        <xdr:to>
          <xdr:col>3</xdr:col>
          <xdr:colOff>400050</xdr:colOff>
          <xdr:row>223</xdr:row>
          <xdr:rowOff>0</xdr:rowOff>
        </xdr:to>
        <xdr:sp macro="" textlink="">
          <xdr:nvSpPr>
            <xdr:cNvPr id="12161035" name="Drop Down 238603" hidden="1">
              <a:extLst>
                <a:ext uri="{63B3BB69-23CF-44E3-9099-C40C66FF867C}">
                  <a14:compatExt spid="_x0000_s12161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221</xdr:row>
          <xdr:rowOff>0</xdr:rowOff>
        </xdr:from>
        <xdr:to>
          <xdr:col>8</xdr:col>
          <xdr:colOff>19050</xdr:colOff>
          <xdr:row>223</xdr:row>
          <xdr:rowOff>0</xdr:rowOff>
        </xdr:to>
        <xdr:sp macro="" textlink="">
          <xdr:nvSpPr>
            <xdr:cNvPr id="12161036" name="Drop Down 238604" hidden="1">
              <a:extLst>
                <a:ext uri="{63B3BB69-23CF-44E3-9099-C40C66FF867C}">
                  <a14:compatExt spid="_x0000_s12161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240</xdr:row>
          <xdr:rowOff>9525</xdr:rowOff>
        </xdr:from>
        <xdr:to>
          <xdr:col>3</xdr:col>
          <xdr:colOff>495300</xdr:colOff>
          <xdr:row>242</xdr:row>
          <xdr:rowOff>0</xdr:rowOff>
        </xdr:to>
        <xdr:sp macro="" textlink="">
          <xdr:nvSpPr>
            <xdr:cNvPr id="12161157" name="Drop Down 238725" hidden="1">
              <a:extLst>
                <a:ext uri="{63B3BB69-23CF-44E3-9099-C40C66FF867C}">
                  <a14:compatExt spid="_x0000_s12161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240</xdr:row>
          <xdr:rowOff>0</xdr:rowOff>
        </xdr:from>
        <xdr:to>
          <xdr:col>8</xdr:col>
          <xdr:colOff>142875</xdr:colOff>
          <xdr:row>242</xdr:row>
          <xdr:rowOff>0</xdr:rowOff>
        </xdr:to>
        <xdr:sp macro="" textlink="">
          <xdr:nvSpPr>
            <xdr:cNvPr id="12161158" name="Drop Down 238726" hidden="1">
              <a:extLst>
                <a:ext uri="{63B3BB69-23CF-44E3-9099-C40C66FF867C}">
                  <a14:compatExt spid="_x0000_s12161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266</xdr:row>
          <xdr:rowOff>142875</xdr:rowOff>
        </xdr:from>
        <xdr:to>
          <xdr:col>3</xdr:col>
          <xdr:colOff>0</xdr:colOff>
          <xdr:row>269</xdr:row>
          <xdr:rowOff>38100</xdr:rowOff>
        </xdr:to>
        <xdr:sp macro="" textlink="">
          <xdr:nvSpPr>
            <xdr:cNvPr id="12161242" name="Drop Down 238810" hidden="1">
              <a:extLst>
                <a:ext uri="{63B3BB69-23CF-44E3-9099-C40C66FF867C}">
                  <a14:compatExt spid="_x0000_s1216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266</xdr:row>
          <xdr:rowOff>133350</xdr:rowOff>
        </xdr:from>
        <xdr:to>
          <xdr:col>7</xdr:col>
          <xdr:colOff>390525</xdr:colOff>
          <xdr:row>269</xdr:row>
          <xdr:rowOff>47625</xdr:rowOff>
        </xdr:to>
        <xdr:sp macro="" textlink="">
          <xdr:nvSpPr>
            <xdr:cNvPr id="12161243" name="Drop Down 238811" hidden="1">
              <a:extLst>
                <a:ext uri="{63B3BB69-23CF-44E3-9099-C40C66FF867C}">
                  <a14:compatExt spid="_x0000_s1216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305</xdr:row>
          <xdr:rowOff>9525</xdr:rowOff>
        </xdr:from>
        <xdr:to>
          <xdr:col>3</xdr:col>
          <xdr:colOff>0</xdr:colOff>
          <xdr:row>307</xdr:row>
          <xdr:rowOff>19050</xdr:rowOff>
        </xdr:to>
        <xdr:sp macro="" textlink="">
          <xdr:nvSpPr>
            <xdr:cNvPr id="12161244" name="Drop Down 238812" hidden="1">
              <a:extLst>
                <a:ext uri="{63B3BB69-23CF-44E3-9099-C40C66FF867C}">
                  <a14:compatExt spid="_x0000_s1216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305</xdr:row>
          <xdr:rowOff>19050</xdr:rowOff>
        </xdr:from>
        <xdr:to>
          <xdr:col>7</xdr:col>
          <xdr:colOff>400050</xdr:colOff>
          <xdr:row>307</xdr:row>
          <xdr:rowOff>19050</xdr:rowOff>
        </xdr:to>
        <xdr:sp macro="" textlink="">
          <xdr:nvSpPr>
            <xdr:cNvPr id="12161246" name="Drop Down 238814" hidden="1">
              <a:extLst>
                <a:ext uri="{63B3BB69-23CF-44E3-9099-C40C66FF867C}">
                  <a14:compatExt spid="_x0000_s1216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348</xdr:row>
          <xdr:rowOff>0</xdr:rowOff>
        </xdr:from>
        <xdr:to>
          <xdr:col>5</xdr:col>
          <xdr:colOff>9525</xdr:colOff>
          <xdr:row>350</xdr:row>
          <xdr:rowOff>28575</xdr:rowOff>
        </xdr:to>
        <xdr:sp macro="" textlink="">
          <xdr:nvSpPr>
            <xdr:cNvPr id="12161247" name="Drop Down 238815" hidden="1">
              <a:extLst>
                <a:ext uri="{63B3BB69-23CF-44E3-9099-C40C66FF867C}">
                  <a14:compatExt spid="_x0000_s1216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14</xdr:col>
      <xdr:colOff>195263</xdr:colOff>
      <xdr:row>30</xdr:row>
      <xdr:rowOff>66675</xdr:rowOff>
    </xdr:from>
    <xdr:to>
      <xdr:col>21</xdr:col>
      <xdr:colOff>704850</xdr:colOff>
      <xdr:row>51</xdr:row>
      <xdr:rowOff>252413</xdr:rowOff>
    </xdr:to>
    <xdr:graphicFrame macro="">
      <xdr:nvGraphicFramePr>
        <xdr:cNvPr id="1216176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714375</xdr:colOff>
      <xdr:row>178</xdr:row>
      <xdr:rowOff>38100</xdr:rowOff>
    </xdr:from>
    <xdr:to>
      <xdr:col>24</xdr:col>
      <xdr:colOff>204788</xdr:colOff>
      <xdr:row>199</xdr:row>
      <xdr:rowOff>9525</xdr:rowOff>
    </xdr:to>
    <xdr:graphicFrame macro="">
      <xdr:nvGraphicFramePr>
        <xdr:cNvPr id="1216177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604838</xdr:colOff>
      <xdr:row>10</xdr:row>
      <xdr:rowOff>19050</xdr:rowOff>
    </xdr:from>
    <xdr:to>
      <xdr:col>8</xdr:col>
      <xdr:colOff>295275</xdr:colOff>
      <xdr:row>27</xdr:row>
      <xdr:rowOff>19050</xdr:rowOff>
    </xdr:to>
    <xdr:graphicFrame macro="">
      <xdr:nvGraphicFramePr>
        <xdr:cNvPr id="122030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10</xdr:row>
      <xdr:rowOff>19050</xdr:rowOff>
    </xdr:from>
    <xdr:to>
      <xdr:col>15</xdr:col>
      <xdr:colOff>595313</xdr:colOff>
      <xdr:row>27</xdr:row>
      <xdr:rowOff>19050</xdr:rowOff>
    </xdr:to>
    <xdr:graphicFrame macro="">
      <xdr:nvGraphicFramePr>
        <xdr:cNvPr id="1220301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27</xdr:row>
      <xdr:rowOff>9525</xdr:rowOff>
    </xdr:from>
    <xdr:to>
      <xdr:col>8</xdr:col>
      <xdr:colOff>295275</xdr:colOff>
      <xdr:row>43</xdr:row>
      <xdr:rowOff>152400</xdr:rowOff>
    </xdr:to>
    <xdr:graphicFrame macro="">
      <xdr:nvGraphicFramePr>
        <xdr:cNvPr id="1220301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285750</xdr:colOff>
      <xdr:row>27</xdr:row>
      <xdr:rowOff>9525</xdr:rowOff>
    </xdr:from>
    <xdr:to>
      <xdr:col>15</xdr:col>
      <xdr:colOff>595313</xdr:colOff>
      <xdr:row>43</xdr:row>
      <xdr:rowOff>142875</xdr:rowOff>
    </xdr:to>
    <xdr:graphicFrame macro="">
      <xdr:nvGraphicFramePr>
        <xdr:cNvPr id="122030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604838</xdr:colOff>
      <xdr:row>43</xdr:row>
      <xdr:rowOff>142875</xdr:rowOff>
    </xdr:from>
    <xdr:to>
      <xdr:col>8</xdr:col>
      <xdr:colOff>285750</xdr:colOff>
      <xdr:row>60</xdr:row>
      <xdr:rowOff>142875</xdr:rowOff>
    </xdr:to>
    <xdr:graphicFrame macro="">
      <xdr:nvGraphicFramePr>
        <xdr:cNvPr id="12203020"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285750</xdr:colOff>
      <xdr:row>43</xdr:row>
      <xdr:rowOff>142875</xdr:rowOff>
    </xdr:from>
    <xdr:to>
      <xdr:col>15</xdr:col>
      <xdr:colOff>595313</xdr:colOff>
      <xdr:row>60</xdr:row>
      <xdr:rowOff>142875</xdr:rowOff>
    </xdr:to>
    <xdr:graphicFrame macro="">
      <xdr:nvGraphicFramePr>
        <xdr:cNvPr id="12203021"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604838</xdr:colOff>
      <xdr:row>60</xdr:row>
      <xdr:rowOff>133350</xdr:rowOff>
    </xdr:from>
    <xdr:to>
      <xdr:col>8</xdr:col>
      <xdr:colOff>295275</xdr:colOff>
      <xdr:row>77</xdr:row>
      <xdr:rowOff>114300</xdr:rowOff>
    </xdr:to>
    <xdr:graphicFrame macro="">
      <xdr:nvGraphicFramePr>
        <xdr:cNvPr id="1220302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285750</xdr:colOff>
      <xdr:row>60</xdr:row>
      <xdr:rowOff>133350</xdr:rowOff>
    </xdr:from>
    <xdr:to>
      <xdr:col>15</xdr:col>
      <xdr:colOff>595313</xdr:colOff>
      <xdr:row>77</xdr:row>
      <xdr:rowOff>114300</xdr:rowOff>
    </xdr:to>
    <xdr:graphicFrame macro="">
      <xdr:nvGraphicFramePr>
        <xdr:cNvPr id="12203023"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604838</xdr:colOff>
      <xdr:row>10</xdr:row>
      <xdr:rowOff>9525</xdr:rowOff>
    </xdr:from>
    <xdr:to>
      <xdr:col>8</xdr:col>
      <xdr:colOff>319088</xdr:colOff>
      <xdr:row>27</xdr:row>
      <xdr:rowOff>0</xdr:rowOff>
    </xdr:to>
    <xdr:graphicFrame macro="">
      <xdr:nvGraphicFramePr>
        <xdr:cNvPr id="1217229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319088</xdr:colOff>
      <xdr:row>10</xdr:row>
      <xdr:rowOff>9525</xdr:rowOff>
    </xdr:from>
    <xdr:to>
      <xdr:col>16</xdr:col>
      <xdr:colOff>0</xdr:colOff>
      <xdr:row>26</xdr:row>
      <xdr:rowOff>152400</xdr:rowOff>
    </xdr:to>
    <xdr:graphicFrame macro="">
      <xdr:nvGraphicFramePr>
        <xdr:cNvPr id="1217229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604838</xdr:colOff>
      <xdr:row>26</xdr:row>
      <xdr:rowOff>152400</xdr:rowOff>
    </xdr:from>
    <xdr:to>
      <xdr:col>8</xdr:col>
      <xdr:colOff>319088</xdr:colOff>
      <xdr:row>43</xdr:row>
      <xdr:rowOff>142875</xdr:rowOff>
    </xdr:to>
    <xdr:graphicFrame macro="">
      <xdr:nvGraphicFramePr>
        <xdr:cNvPr id="1217229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319088</xdr:colOff>
      <xdr:row>26</xdr:row>
      <xdr:rowOff>152400</xdr:rowOff>
    </xdr:from>
    <xdr:to>
      <xdr:col>16</xdr:col>
      <xdr:colOff>0</xdr:colOff>
      <xdr:row>43</xdr:row>
      <xdr:rowOff>142875</xdr:rowOff>
    </xdr:to>
    <xdr:graphicFrame macro="">
      <xdr:nvGraphicFramePr>
        <xdr:cNvPr id="1217229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604838</xdr:colOff>
      <xdr:row>43</xdr:row>
      <xdr:rowOff>142875</xdr:rowOff>
    </xdr:from>
    <xdr:to>
      <xdr:col>8</xdr:col>
      <xdr:colOff>319088</xdr:colOff>
      <xdr:row>60</xdr:row>
      <xdr:rowOff>142875</xdr:rowOff>
    </xdr:to>
    <xdr:graphicFrame macro="">
      <xdr:nvGraphicFramePr>
        <xdr:cNvPr id="1217230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319088</xdr:colOff>
      <xdr:row>43</xdr:row>
      <xdr:rowOff>142875</xdr:rowOff>
    </xdr:from>
    <xdr:to>
      <xdr:col>16</xdr:col>
      <xdr:colOff>0</xdr:colOff>
      <xdr:row>60</xdr:row>
      <xdr:rowOff>142875</xdr:rowOff>
    </xdr:to>
    <xdr:graphicFrame macro="">
      <xdr:nvGraphicFramePr>
        <xdr:cNvPr id="1217230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604838</xdr:colOff>
      <xdr:row>60</xdr:row>
      <xdr:rowOff>142875</xdr:rowOff>
    </xdr:from>
    <xdr:to>
      <xdr:col>8</xdr:col>
      <xdr:colOff>319088</xdr:colOff>
      <xdr:row>77</xdr:row>
      <xdr:rowOff>142875</xdr:rowOff>
    </xdr:to>
    <xdr:graphicFrame macro="">
      <xdr:nvGraphicFramePr>
        <xdr:cNvPr id="1217230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319088</xdr:colOff>
      <xdr:row>60</xdr:row>
      <xdr:rowOff>142875</xdr:rowOff>
    </xdr:from>
    <xdr:to>
      <xdr:col>16</xdr:col>
      <xdr:colOff>0</xdr:colOff>
      <xdr:row>77</xdr:row>
      <xdr:rowOff>142875</xdr:rowOff>
    </xdr:to>
    <xdr:graphicFrame macro="">
      <xdr:nvGraphicFramePr>
        <xdr:cNvPr id="1217230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171450</xdr:colOff>
      <xdr:row>10</xdr:row>
      <xdr:rowOff>38100</xdr:rowOff>
    </xdr:from>
    <xdr:to>
      <xdr:col>10</xdr:col>
      <xdr:colOff>133350</xdr:colOff>
      <xdr:row>35</xdr:row>
      <xdr:rowOff>9525</xdr:rowOff>
    </xdr:to>
    <xdr:graphicFrame macro="">
      <xdr:nvGraphicFramePr>
        <xdr:cNvPr id="2080051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538163</xdr:colOff>
      <xdr:row>82</xdr:row>
      <xdr:rowOff>95250</xdr:rowOff>
    </xdr:from>
    <xdr:to>
      <xdr:col>10</xdr:col>
      <xdr:colOff>161925</xdr:colOff>
      <xdr:row>114</xdr:row>
      <xdr:rowOff>57150</xdr:rowOff>
    </xdr:to>
    <xdr:graphicFrame macro="">
      <xdr:nvGraphicFramePr>
        <xdr:cNvPr id="208005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161925</xdr:colOff>
      <xdr:row>82</xdr:row>
      <xdr:rowOff>95250</xdr:rowOff>
    </xdr:from>
    <xdr:to>
      <xdr:col>19</xdr:col>
      <xdr:colOff>590550</xdr:colOff>
      <xdr:row>114</xdr:row>
      <xdr:rowOff>57150</xdr:rowOff>
    </xdr:to>
    <xdr:graphicFrame macro="">
      <xdr:nvGraphicFramePr>
        <xdr:cNvPr id="2080051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490538</xdr:colOff>
      <xdr:row>130</xdr:row>
      <xdr:rowOff>19050</xdr:rowOff>
    </xdr:from>
    <xdr:to>
      <xdr:col>8</xdr:col>
      <xdr:colOff>266700</xdr:colOff>
      <xdr:row>155</xdr:row>
      <xdr:rowOff>76200</xdr:rowOff>
    </xdr:to>
    <xdr:graphicFrame macro="">
      <xdr:nvGraphicFramePr>
        <xdr:cNvPr id="2080051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16</xdr:col>
      <xdr:colOff>919163</xdr:colOff>
      <xdr:row>191</xdr:row>
      <xdr:rowOff>128588</xdr:rowOff>
    </xdr:from>
    <xdr:to>
      <xdr:col>22</xdr:col>
      <xdr:colOff>1062038</xdr:colOff>
      <xdr:row>212</xdr:row>
      <xdr:rowOff>223838</xdr:rowOff>
    </xdr:to>
    <xdr:graphicFrame macro="">
      <xdr:nvGraphicFramePr>
        <xdr:cNvPr id="1218970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1071563</xdr:colOff>
      <xdr:row>191</xdr:row>
      <xdr:rowOff>128588</xdr:rowOff>
    </xdr:from>
    <xdr:to>
      <xdr:col>29</xdr:col>
      <xdr:colOff>90488</xdr:colOff>
      <xdr:row>212</xdr:row>
      <xdr:rowOff>223838</xdr:rowOff>
    </xdr:to>
    <xdr:graphicFrame macro="">
      <xdr:nvGraphicFramePr>
        <xdr:cNvPr id="1218970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409575</xdr:colOff>
      <xdr:row>120</xdr:row>
      <xdr:rowOff>38100</xdr:rowOff>
    </xdr:from>
    <xdr:to>
      <xdr:col>23</xdr:col>
      <xdr:colOff>766763</xdr:colOff>
      <xdr:row>131</xdr:row>
      <xdr:rowOff>119063</xdr:rowOff>
    </xdr:to>
    <xdr:graphicFrame macro="">
      <xdr:nvGraphicFramePr>
        <xdr:cNvPr id="1218970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409575</xdr:colOff>
      <xdr:row>131</xdr:row>
      <xdr:rowOff>119063</xdr:rowOff>
    </xdr:from>
    <xdr:to>
      <xdr:col>23</xdr:col>
      <xdr:colOff>766763</xdr:colOff>
      <xdr:row>146</xdr:row>
      <xdr:rowOff>66675</xdr:rowOff>
    </xdr:to>
    <xdr:graphicFrame macro="">
      <xdr:nvGraphicFramePr>
        <xdr:cNvPr id="1218970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409575</xdr:colOff>
      <xdr:row>146</xdr:row>
      <xdr:rowOff>76200</xdr:rowOff>
    </xdr:from>
    <xdr:to>
      <xdr:col>23</xdr:col>
      <xdr:colOff>766763</xdr:colOff>
      <xdr:row>161</xdr:row>
      <xdr:rowOff>19050</xdr:rowOff>
    </xdr:to>
    <xdr:graphicFrame macro="">
      <xdr:nvGraphicFramePr>
        <xdr:cNvPr id="1218970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161925</xdr:colOff>
      <xdr:row>111</xdr:row>
      <xdr:rowOff>28575</xdr:rowOff>
    </xdr:from>
    <xdr:to>
      <xdr:col>8</xdr:col>
      <xdr:colOff>581025</xdr:colOff>
      <xdr:row>133</xdr:row>
      <xdr:rowOff>0</xdr:rowOff>
    </xdr:to>
    <xdr:graphicFrame macro="">
      <xdr:nvGraphicFramePr>
        <xdr:cNvPr id="1223577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581025</xdr:colOff>
      <xdr:row>111</xdr:row>
      <xdr:rowOff>28575</xdr:rowOff>
    </xdr:from>
    <xdr:to>
      <xdr:col>15</xdr:col>
      <xdr:colOff>90488</xdr:colOff>
      <xdr:row>133</xdr:row>
      <xdr:rowOff>0</xdr:rowOff>
    </xdr:to>
    <xdr:graphicFrame macro="">
      <xdr:nvGraphicFramePr>
        <xdr:cNvPr id="122357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onnetapp01\swau\MP\SWAUP2\Demography\BWRM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vmlDrawing" Target="../drawings/vmlDrawing2.v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drawing" Target="../drawings/drawing4.xm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printerSettings" Target="../printerSettings/printerSettings7.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0.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1.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62.bin"/><Relationship Id="rId1" Type="http://schemas.openxmlformats.org/officeDocument/2006/relationships/hyperlink" Target="https://www.gov.uk/government/statistics/initial-teacher-training-trainee-number-census-2015-to-2016" TargetMode="External"/></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6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M124"/>
  <sheetViews>
    <sheetView tabSelected="1" zoomScaleNormal="100" workbookViewId="0">
      <pane ySplit="4" topLeftCell="A5" activePane="bottomLeft" state="frozen"/>
      <selection activeCell="B58" sqref="B58:B76"/>
      <selection pane="bottomLeft"/>
    </sheetView>
  </sheetViews>
  <sheetFormatPr defaultColWidth="9.140625" defaultRowHeight="12.75"/>
  <cols>
    <col min="1" max="2" width="4.5703125" style="16" customWidth="1"/>
    <col min="3" max="3" width="9.140625" style="16" customWidth="1"/>
    <col min="4" max="4" width="12.5703125" style="16" bestFit="1" customWidth="1"/>
    <col min="5" max="6" width="9.140625" style="16"/>
    <col min="7" max="7" width="21.140625" style="16" customWidth="1"/>
    <col min="8" max="8" width="40.7109375" style="16" customWidth="1"/>
    <col min="9" max="11" width="20.7109375" style="16" customWidth="1"/>
    <col min="12" max="12" width="9.140625" style="16"/>
    <col min="13" max="13" width="15.7109375" style="210" customWidth="1"/>
    <col min="14" max="16384" width="9.140625" style="16"/>
  </cols>
  <sheetData>
    <row r="1" spans="1:13" s="21" customFormat="1">
      <c r="M1" s="208"/>
    </row>
    <row r="2" spans="1:13" s="21" customFormat="1" ht="18">
      <c r="E2" s="28" t="str">
        <f>ModelName</f>
        <v>Teacher Supply Model 2017/18</v>
      </c>
      <c r="M2" s="208"/>
    </row>
    <row r="3" spans="1:13" s="21" customFormat="1">
      <c r="A3" s="27"/>
      <c r="D3" s="23"/>
      <c r="E3" s="205" t="str">
        <f>H9</f>
        <v>TSM_201718 for publication</v>
      </c>
      <c r="M3" s="208"/>
    </row>
    <row r="4" spans="1:13" s="21" customFormat="1">
      <c r="M4" s="208"/>
    </row>
    <row r="6" spans="1:13" s="23" customFormat="1">
      <c r="A6" s="16"/>
      <c r="B6" s="22">
        <v>1</v>
      </c>
      <c r="C6" s="22"/>
      <c r="D6" s="22" t="s">
        <v>9</v>
      </c>
      <c r="M6" s="209"/>
    </row>
    <row r="8" spans="1:13">
      <c r="E8" s="16" t="s">
        <v>15</v>
      </c>
      <c r="H8" s="37" t="str">
        <f>ModelName</f>
        <v>Teacher Supply Model 2017/18</v>
      </c>
    </row>
    <row r="9" spans="1:13">
      <c r="E9" s="16" t="s">
        <v>14</v>
      </c>
      <c r="H9" s="37" t="str">
        <f>CurrentVersion</f>
        <v>TSM_201718 for publication</v>
      </c>
    </row>
    <row r="10" spans="1:13">
      <c r="E10" s="16" t="s">
        <v>377</v>
      </c>
      <c r="H10" s="1077">
        <f>M17</f>
        <v>0</v>
      </c>
    </row>
    <row r="12" spans="1:13">
      <c r="G12" s="53"/>
      <c r="H12" s="52"/>
    </row>
    <row r="14" spans="1:13" s="21" customFormat="1">
      <c r="A14" s="16"/>
      <c r="B14" s="23">
        <v>2</v>
      </c>
      <c r="D14" s="22" t="s">
        <v>13</v>
      </c>
      <c r="M14" s="208"/>
    </row>
    <row r="15" spans="1:13">
      <c r="E15" s="18"/>
      <c r="F15" s="18"/>
      <c r="G15" s="18"/>
      <c r="H15" s="18"/>
      <c r="I15" s="18"/>
      <c r="J15" s="18"/>
      <c r="K15" s="18"/>
    </row>
    <row r="16" spans="1:13">
      <c r="C16" s="20">
        <f ca="1">MAX($B$6:OFFSET(C16,-1,))+0.01</f>
        <v>2.0099999999999998</v>
      </c>
      <c r="D16" s="19" t="s">
        <v>12</v>
      </c>
      <c r="E16" s="18"/>
      <c r="F16" s="18"/>
      <c r="G16" s="18"/>
      <c r="H16" s="107"/>
      <c r="I16" s="18"/>
      <c r="J16" s="18"/>
      <c r="K16" s="18"/>
      <c r="M16" s="211" t="s">
        <v>165</v>
      </c>
    </row>
    <row r="17" spans="3:13">
      <c r="E17" s="18"/>
      <c r="F17" s="18"/>
      <c r="G17" s="18"/>
      <c r="H17" s="18"/>
      <c r="I17" s="18"/>
      <c r="J17" s="18"/>
      <c r="K17" s="18"/>
      <c r="M17" s="564">
        <f>SUM(M18:M187)</f>
        <v>0</v>
      </c>
    </row>
    <row r="18" spans="3:13" ht="12.75" customHeight="1">
      <c r="E18" s="286" t="s">
        <v>9</v>
      </c>
      <c r="F18" s="109"/>
      <c r="G18" s="18"/>
      <c r="H18" s="1081" t="s">
        <v>1366</v>
      </c>
      <c r="I18" s="1081"/>
      <c r="J18" s="1081"/>
      <c r="K18" s="1081"/>
      <c r="M18" s="996"/>
    </row>
    <row r="19" spans="3:13" s="733" customFormat="1" ht="12.75" customHeight="1">
      <c r="E19" s="995" t="s">
        <v>1363</v>
      </c>
      <c r="F19" s="109"/>
      <c r="G19" s="18"/>
      <c r="H19" s="1085" t="s">
        <v>1747</v>
      </c>
      <c r="I19" s="1086"/>
      <c r="J19" s="1086"/>
      <c r="K19" s="1087"/>
      <c r="M19" s="996"/>
    </row>
    <row r="20" spans="3:13">
      <c r="E20" s="995" t="s">
        <v>28</v>
      </c>
      <c r="F20" s="109"/>
      <c r="G20" s="18"/>
      <c r="H20" s="1081" t="s">
        <v>219</v>
      </c>
      <c r="I20" s="1081"/>
      <c r="J20" s="1081"/>
      <c r="K20" s="1081"/>
      <c r="M20" s="997"/>
    </row>
    <row r="21" spans="3:13">
      <c r="E21" s="43" t="s">
        <v>29</v>
      </c>
      <c r="F21" s="109"/>
      <c r="G21" s="41"/>
      <c r="H21" s="1081" t="s">
        <v>38</v>
      </c>
      <c r="I21" s="1081"/>
      <c r="J21" s="1081"/>
      <c r="K21" s="1081"/>
      <c r="M21" s="997"/>
    </row>
    <row r="22" spans="3:13">
      <c r="E22" s="741" t="s">
        <v>1293</v>
      </c>
      <c r="F22" s="109"/>
      <c r="G22" s="41"/>
      <c r="H22" s="1082" t="s">
        <v>39</v>
      </c>
      <c r="I22" s="1083"/>
      <c r="J22" s="1083"/>
      <c r="K22" s="1084"/>
      <c r="M22" s="997"/>
    </row>
    <row r="23" spans="3:13">
      <c r="E23" s="287"/>
      <c r="M23" s="997"/>
    </row>
    <row r="24" spans="3:13">
      <c r="C24" s="20">
        <f ca="1">MAX($B$6:OFFSET(C24,-1,))+0.01</f>
        <v>2.0199999999999996</v>
      </c>
      <c r="D24" s="19" t="s">
        <v>31</v>
      </c>
      <c r="E24" s="18"/>
      <c r="F24" s="18"/>
      <c r="G24" s="18"/>
      <c r="H24" s="18"/>
      <c r="I24" s="18"/>
      <c r="J24" s="18"/>
      <c r="K24" s="18"/>
      <c r="M24" s="997"/>
    </row>
    <row r="25" spans="3:13">
      <c r="E25" s="18"/>
      <c r="F25" s="18"/>
      <c r="G25" s="18"/>
      <c r="H25" s="18"/>
      <c r="I25" s="18"/>
      <c r="J25" s="18"/>
      <c r="K25" s="18"/>
      <c r="M25" s="997"/>
    </row>
    <row r="26" spans="3:13">
      <c r="E26" s="741" t="s">
        <v>1369</v>
      </c>
      <c r="F26" s="18"/>
      <c r="G26" s="42"/>
      <c r="H26" s="1081" t="s">
        <v>218</v>
      </c>
      <c r="I26" s="1081"/>
      <c r="J26" s="1081"/>
      <c r="K26" s="1081"/>
      <c r="M26" s="1000">
        <f>RAW_DATA_INPUTS!A9</f>
        <v>0</v>
      </c>
    </row>
    <row r="27" spans="3:13">
      <c r="E27" s="741" t="s">
        <v>1466</v>
      </c>
      <c r="F27" s="18"/>
      <c r="G27" s="42"/>
      <c r="H27" s="1081" t="s">
        <v>1367</v>
      </c>
      <c r="I27" s="1081"/>
      <c r="J27" s="1081"/>
      <c r="K27" s="1081"/>
      <c r="M27" s="1001">
        <f>Policy_assumptions_PRIM!A10</f>
        <v>0</v>
      </c>
    </row>
    <row r="28" spans="3:13">
      <c r="E28" s="741" t="s">
        <v>1467</v>
      </c>
      <c r="F28" s="18"/>
      <c r="G28" s="42"/>
      <c r="H28" s="1081" t="s">
        <v>1368</v>
      </c>
      <c r="I28" s="1081"/>
      <c r="J28" s="1081"/>
      <c r="K28" s="1081"/>
      <c r="M28" s="1001">
        <f>Policy_assumptions_SEC!A10</f>
        <v>0</v>
      </c>
    </row>
    <row r="29" spans="3:13">
      <c r="E29" s="741" t="s">
        <v>1364</v>
      </c>
      <c r="G29" s="41"/>
      <c r="H29" s="1081" t="s">
        <v>1365</v>
      </c>
      <c r="I29" s="1081"/>
      <c r="J29" s="1081"/>
      <c r="K29" s="1081"/>
      <c r="M29" s="1001">
        <f>Data_selected_by_user_testing!B10</f>
        <v>0</v>
      </c>
    </row>
    <row r="30" spans="3:13" s="733" customFormat="1">
      <c r="E30" s="741" t="s">
        <v>1560</v>
      </c>
      <c r="G30" s="41"/>
      <c r="H30" s="1082" t="s">
        <v>1562</v>
      </c>
      <c r="I30" s="1083"/>
      <c r="J30" s="1083"/>
      <c r="K30" s="1084"/>
      <c r="M30" s="1001">
        <f>Increased_EBacc_scenario_data!B11</f>
        <v>0</v>
      </c>
    </row>
    <row r="31" spans="3:13">
      <c r="M31" s="998"/>
    </row>
    <row r="32" spans="3:13">
      <c r="C32" s="20">
        <f ca="1">MAX($B$6:OFFSET(C32,-1,))+0.01</f>
        <v>2.0299999999999994</v>
      </c>
      <c r="D32" s="19" t="s">
        <v>11</v>
      </c>
      <c r="M32" s="998"/>
    </row>
    <row r="33" spans="5:13">
      <c r="E33" s="41"/>
      <c r="G33" s="41"/>
      <c r="M33" s="999"/>
    </row>
    <row r="34" spans="5:13">
      <c r="E34" s="741" t="s">
        <v>1391</v>
      </c>
      <c r="G34" s="41"/>
      <c r="H34" s="1081" t="s">
        <v>1370</v>
      </c>
      <c r="I34" s="1081"/>
      <c r="J34" s="1081"/>
      <c r="K34" s="1081"/>
      <c r="M34" s="1001">
        <f>Calc_PRIM_retirement_rates!A10</f>
        <v>0</v>
      </c>
    </row>
    <row r="35" spans="5:13">
      <c r="E35" s="741" t="s">
        <v>1392</v>
      </c>
      <c r="G35" s="41"/>
      <c r="H35" s="1081" t="s">
        <v>1371</v>
      </c>
      <c r="I35" s="1081"/>
      <c r="J35" s="1081"/>
      <c r="K35" s="1081"/>
      <c r="M35" s="1001">
        <f>Calc_SEC_retirement_rates!A10</f>
        <v>0</v>
      </c>
    </row>
    <row r="36" spans="5:13">
      <c r="E36" s="741" t="s">
        <v>1393</v>
      </c>
      <c r="G36" s="41"/>
      <c r="H36" s="1081" t="s">
        <v>1372</v>
      </c>
      <c r="I36" s="1081"/>
      <c r="J36" s="1081"/>
      <c r="K36" s="1081"/>
      <c r="M36" s="1001">
        <f>Calc_PRIM_death_rates!A10</f>
        <v>0</v>
      </c>
    </row>
    <row r="37" spans="5:13" ht="13.15" customHeight="1">
      <c r="E37" s="741" t="s">
        <v>1394</v>
      </c>
      <c r="G37" s="41"/>
      <c r="H37" s="1081" t="s">
        <v>1373</v>
      </c>
      <c r="I37" s="1081"/>
      <c r="J37" s="1081"/>
      <c r="K37" s="1081"/>
      <c r="M37" s="1001">
        <f>Calc_SEC_death_rates!A10</f>
        <v>0</v>
      </c>
    </row>
    <row r="38" spans="5:13">
      <c r="E38" s="741" t="s">
        <v>1395</v>
      </c>
      <c r="G38" s="41"/>
      <c r="H38" s="1081" t="s">
        <v>1374</v>
      </c>
      <c r="I38" s="1081"/>
      <c r="J38" s="1081"/>
      <c r="K38" s="1081"/>
      <c r="M38" s="1001">
        <f>Calculation_PRIM_wastage_rates!A10</f>
        <v>0</v>
      </c>
    </row>
    <row r="39" spans="5:13">
      <c r="E39" s="741" t="s">
        <v>1396</v>
      </c>
      <c r="G39" s="41"/>
      <c r="H39" s="1081" t="s">
        <v>1375</v>
      </c>
      <c r="I39" s="1081"/>
      <c r="J39" s="1081"/>
      <c r="K39" s="1081"/>
      <c r="M39" s="1001">
        <f>Calculation_SEC_wastage_rates!A10</f>
        <v>0</v>
      </c>
    </row>
    <row r="40" spans="5:13">
      <c r="E40" s="741" t="s">
        <v>1397</v>
      </c>
      <c r="G40" s="41"/>
      <c r="H40" s="1081" t="s">
        <v>1376</v>
      </c>
      <c r="I40" s="1081"/>
      <c r="J40" s="1081"/>
      <c r="K40" s="1081"/>
      <c r="M40" s="1001">
        <f>Projected_PRIM_wastage_rates!A10</f>
        <v>0</v>
      </c>
    </row>
    <row r="41" spans="5:13">
      <c r="E41" s="741" t="s">
        <v>1398</v>
      </c>
      <c r="G41" s="41"/>
      <c r="H41" s="1081" t="s">
        <v>1377</v>
      </c>
      <c r="I41" s="1081"/>
      <c r="J41" s="1081"/>
      <c r="K41" s="1081"/>
      <c r="M41" s="1001">
        <f>Projected_SEC_wastage_rates!A10</f>
        <v>0</v>
      </c>
    </row>
    <row r="42" spans="5:13">
      <c r="E42" s="741" t="s">
        <v>436</v>
      </c>
      <c r="G42" s="41"/>
      <c r="H42" s="1081" t="s">
        <v>1378</v>
      </c>
      <c r="I42" s="1081"/>
      <c r="J42" s="1081"/>
      <c r="K42" s="1081"/>
      <c r="M42" s="1001">
        <f>Group_1_rates!A10</f>
        <v>0</v>
      </c>
    </row>
    <row r="43" spans="5:13">
      <c r="E43" s="741" t="s">
        <v>437</v>
      </c>
      <c r="G43" s="41"/>
      <c r="H43" s="1081" t="s">
        <v>1379</v>
      </c>
      <c r="I43" s="1081"/>
      <c r="J43" s="1081"/>
      <c r="K43" s="1081"/>
      <c r="M43" s="1001">
        <f>Group_2_rates!A10</f>
        <v>0</v>
      </c>
    </row>
    <row r="44" spans="5:13">
      <c r="E44" s="741" t="s">
        <v>438</v>
      </c>
      <c r="G44" s="41"/>
      <c r="H44" s="1081" t="s">
        <v>1380</v>
      </c>
      <c r="I44" s="1081"/>
      <c r="J44" s="1081"/>
      <c r="K44" s="1081"/>
      <c r="M44" s="1001">
        <f>Group_3_rates!A10</f>
        <v>0</v>
      </c>
    </row>
    <row r="45" spans="5:13">
      <c r="E45" s="741" t="s">
        <v>225</v>
      </c>
      <c r="G45" s="41"/>
      <c r="H45" s="1082" t="s">
        <v>332</v>
      </c>
      <c r="I45" s="1083"/>
      <c r="J45" s="1083"/>
      <c r="K45" s="1084"/>
      <c r="M45" s="1001">
        <f>Stock_calculations!A10</f>
        <v>0</v>
      </c>
    </row>
    <row r="46" spans="5:13">
      <c r="E46" s="741" t="s">
        <v>220</v>
      </c>
      <c r="G46" s="41"/>
      <c r="H46" s="1082" t="s">
        <v>333</v>
      </c>
      <c r="I46" s="1083"/>
      <c r="J46" s="1083"/>
      <c r="K46" s="1084"/>
      <c r="M46" s="1001">
        <f>Stock_ages_breakdowns!A10</f>
        <v>0</v>
      </c>
    </row>
    <row r="47" spans="5:13">
      <c r="E47" s="741" t="s">
        <v>223</v>
      </c>
      <c r="G47" s="41"/>
      <c r="H47" s="1082" t="s">
        <v>335</v>
      </c>
      <c r="I47" s="1083"/>
      <c r="J47" s="1083"/>
      <c r="K47" s="1084"/>
      <c r="M47" s="1001">
        <f>Pupils_data_scenarios!A11</f>
        <v>0</v>
      </c>
    </row>
    <row r="48" spans="5:13">
      <c r="E48" s="741" t="s">
        <v>1399</v>
      </c>
      <c r="G48" s="41"/>
      <c r="H48" s="204" t="s">
        <v>1381</v>
      </c>
      <c r="I48" s="206"/>
      <c r="J48" s="206"/>
      <c r="K48" s="207"/>
      <c r="M48" s="1001">
        <f>Calc_Primary_teacher_need!A10</f>
        <v>0</v>
      </c>
    </row>
    <row r="49" spans="5:13">
      <c r="E49" s="741" t="s">
        <v>1400</v>
      </c>
      <c r="G49" s="41"/>
      <c r="H49" s="1088" t="s">
        <v>1382</v>
      </c>
      <c r="I49" s="1089"/>
      <c r="J49" s="1089"/>
      <c r="K49" s="1090"/>
      <c r="M49" s="1001">
        <f>Calc_overall_Sec_teacher_need!A10</f>
        <v>0</v>
      </c>
    </row>
    <row r="50" spans="5:13">
      <c r="E50" s="741" t="s">
        <v>256</v>
      </c>
      <c r="G50" s="41"/>
      <c r="H50" s="1082" t="s">
        <v>1383</v>
      </c>
      <c r="I50" s="1083"/>
      <c r="J50" s="1083"/>
      <c r="K50" s="1084"/>
      <c r="M50" s="1001">
        <f>Teacher_need_by_subject!A10</f>
        <v>0</v>
      </c>
    </row>
    <row r="51" spans="5:13">
      <c r="E51" s="741" t="s">
        <v>221</v>
      </c>
      <c r="G51" s="41"/>
      <c r="H51" s="1082" t="s">
        <v>334</v>
      </c>
      <c r="I51" s="1083"/>
      <c r="J51" s="1083"/>
      <c r="K51" s="1084"/>
      <c r="M51" s="1001">
        <f>Forecast_stock_figures!A10</f>
        <v>0</v>
      </c>
    </row>
    <row r="52" spans="5:13">
      <c r="E52" s="741" t="s">
        <v>222</v>
      </c>
      <c r="G52" s="41"/>
      <c r="H52" s="1082" t="s">
        <v>1586</v>
      </c>
      <c r="I52" s="1083"/>
      <c r="J52" s="1083"/>
      <c r="K52" s="1084"/>
      <c r="M52" s="1001">
        <f>Entrant_age_breakdowns!A10</f>
        <v>0</v>
      </c>
    </row>
    <row r="53" spans="5:13" ht="28.15" customHeight="1">
      <c r="E53" s="43" t="s">
        <v>770</v>
      </c>
      <c r="G53" s="41"/>
      <c r="H53" s="1082" t="s">
        <v>1384</v>
      </c>
      <c r="I53" s="1083"/>
      <c r="J53" s="1083"/>
      <c r="K53" s="1084"/>
      <c r="M53" s="1000">
        <f>Primary_1!A10</f>
        <v>0</v>
      </c>
    </row>
    <row r="54" spans="5:13" ht="28.15" customHeight="1">
      <c r="E54" s="741" t="s">
        <v>771</v>
      </c>
      <c r="G54" s="41"/>
      <c r="H54" s="1082" t="s">
        <v>569</v>
      </c>
      <c r="I54" s="1083"/>
      <c r="J54" s="1083"/>
      <c r="K54" s="1084"/>
      <c r="M54" s="1001">
        <f>'Art_&amp;_Design_1'!A10</f>
        <v>0</v>
      </c>
    </row>
    <row r="55" spans="5:13" ht="26.45" customHeight="1">
      <c r="E55" s="741" t="s">
        <v>772</v>
      </c>
      <c r="G55" s="41"/>
      <c r="H55" s="1082" t="s">
        <v>465</v>
      </c>
      <c r="I55" s="1083"/>
      <c r="J55" s="1083"/>
      <c r="K55" s="1084"/>
      <c r="M55" s="1000">
        <f>Biology_1!A10</f>
        <v>0</v>
      </c>
    </row>
    <row r="56" spans="5:13" ht="25.9" customHeight="1">
      <c r="E56" s="741" t="s">
        <v>773</v>
      </c>
      <c r="G56" s="41"/>
      <c r="H56" s="1082" t="s">
        <v>464</v>
      </c>
      <c r="I56" s="1083"/>
      <c r="J56" s="1083"/>
      <c r="K56" s="1084"/>
      <c r="M56" s="1001">
        <f>Business_Studies_1!A10</f>
        <v>0</v>
      </c>
    </row>
    <row r="57" spans="5:13" ht="26.45" customHeight="1">
      <c r="E57" s="741" t="s">
        <v>774</v>
      </c>
      <c r="G57" s="41"/>
      <c r="H57" s="1082" t="s">
        <v>466</v>
      </c>
      <c r="I57" s="1083"/>
      <c r="J57" s="1083"/>
      <c r="K57" s="1084"/>
      <c r="M57" s="1000">
        <f>Chemistry_1!A10</f>
        <v>0</v>
      </c>
    </row>
    <row r="58" spans="5:13" ht="26.45" customHeight="1">
      <c r="E58" s="741" t="s">
        <v>775</v>
      </c>
      <c r="G58" s="41"/>
      <c r="H58" s="1082" t="s">
        <v>467</v>
      </c>
      <c r="I58" s="1083"/>
      <c r="J58" s="1083"/>
      <c r="K58" s="1084"/>
      <c r="M58" s="1000">
        <f>Classics_1!A10</f>
        <v>0</v>
      </c>
    </row>
    <row r="59" spans="5:13" ht="27" customHeight="1">
      <c r="E59" s="741" t="s">
        <v>776</v>
      </c>
      <c r="G59" s="41"/>
      <c r="H59" s="1082" t="s">
        <v>468</v>
      </c>
      <c r="I59" s="1083"/>
      <c r="J59" s="1083"/>
      <c r="K59" s="1084"/>
      <c r="M59" s="1000">
        <f>Computing_1!A10</f>
        <v>0</v>
      </c>
    </row>
    <row r="60" spans="5:13" ht="28.15" customHeight="1">
      <c r="E60" s="741" t="s">
        <v>777</v>
      </c>
      <c r="G60" s="41"/>
      <c r="H60" s="1082" t="s">
        <v>568</v>
      </c>
      <c r="I60" s="1083"/>
      <c r="J60" s="1083"/>
      <c r="K60" s="1084"/>
      <c r="M60" s="1001">
        <f>'Design_&amp;_Technology_1'!A10</f>
        <v>0</v>
      </c>
    </row>
    <row r="61" spans="5:13" ht="27.6" customHeight="1">
      <c r="E61" s="741" t="s">
        <v>778</v>
      </c>
      <c r="G61" s="41"/>
      <c r="H61" s="1082" t="s">
        <v>469</v>
      </c>
      <c r="I61" s="1083"/>
      <c r="J61" s="1083"/>
      <c r="K61" s="1084"/>
      <c r="M61" s="1000">
        <f>Drama_1!A10</f>
        <v>0</v>
      </c>
    </row>
    <row r="62" spans="5:13" ht="27.75" customHeight="1">
      <c r="E62" s="741" t="s">
        <v>779</v>
      </c>
      <c r="G62" s="41"/>
      <c r="H62" s="1082" t="s">
        <v>470</v>
      </c>
      <c r="I62" s="1083"/>
      <c r="J62" s="1083"/>
      <c r="K62" s="1084"/>
      <c r="M62" s="1000">
        <f>English_1!A10</f>
        <v>0</v>
      </c>
    </row>
    <row r="63" spans="5:13" ht="27.75" customHeight="1">
      <c r="E63" s="741" t="s">
        <v>780</v>
      </c>
      <c r="G63" s="41"/>
      <c r="H63" s="1082" t="s">
        <v>471</v>
      </c>
      <c r="I63" s="1083"/>
      <c r="J63" s="1083"/>
      <c r="K63" s="1084"/>
      <c r="M63" s="1000">
        <f>Food_1!A10</f>
        <v>0</v>
      </c>
    </row>
    <row r="64" spans="5:13" ht="27" customHeight="1">
      <c r="E64" s="741" t="s">
        <v>781</v>
      </c>
      <c r="G64" s="41"/>
      <c r="H64" s="1082" t="s">
        <v>472</v>
      </c>
      <c r="I64" s="1083"/>
      <c r="J64" s="1083"/>
      <c r="K64" s="1084"/>
      <c r="M64" s="1000">
        <f>Geography_1!A10</f>
        <v>0</v>
      </c>
    </row>
    <row r="65" spans="5:13" ht="26.45" customHeight="1">
      <c r="E65" s="741" t="s">
        <v>782</v>
      </c>
      <c r="G65" s="41"/>
      <c r="H65" s="1082" t="s">
        <v>473</v>
      </c>
      <c r="I65" s="1083"/>
      <c r="J65" s="1083"/>
      <c r="K65" s="1084"/>
      <c r="M65" s="1000">
        <f>History_1!A10</f>
        <v>0</v>
      </c>
    </row>
    <row r="66" spans="5:13" ht="27.6" customHeight="1">
      <c r="E66" s="741" t="s">
        <v>783</v>
      </c>
      <c r="G66" s="41"/>
      <c r="H66" s="1082" t="s">
        <v>566</v>
      </c>
      <c r="I66" s="1083"/>
      <c r="J66" s="1083"/>
      <c r="K66" s="1084"/>
      <c r="M66" s="1001">
        <f>Mathematics_1!A10</f>
        <v>0</v>
      </c>
    </row>
    <row r="67" spans="5:13" ht="27.6" customHeight="1">
      <c r="E67" s="741" t="s">
        <v>784</v>
      </c>
      <c r="G67" s="41"/>
      <c r="H67" s="1082" t="s">
        <v>567</v>
      </c>
      <c r="I67" s="1083"/>
      <c r="J67" s="1083"/>
      <c r="K67" s="1084"/>
      <c r="M67" s="1000">
        <f>Modern_Foreign_Languages_1!A10</f>
        <v>0</v>
      </c>
    </row>
    <row r="68" spans="5:13" ht="27.6" customHeight="1">
      <c r="E68" s="741" t="s">
        <v>785</v>
      </c>
      <c r="G68" s="41"/>
      <c r="H68" s="1082" t="s">
        <v>474</v>
      </c>
      <c r="I68" s="1083"/>
      <c r="J68" s="1083"/>
      <c r="K68" s="1084"/>
      <c r="M68" s="1000">
        <f>Music_1!A10</f>
        <v>0</v>
      </c>
    </row>
    <row r="69" spans="5:13" ht="27" customHeight="1">
      <c r="E69" s="741" t="s">
        <v>786</v>
      </c>
      <c r="G69" s="41"/>
      <c r="H69" s="1082" t="s">
        <v>475</v>
      </c>
      <c r="I69" s="1083"/>
      <c r="J69" s="1083"/>
      <c r="K69" s="1084"/>
      <c r="M69" s="1000">
        <f>Others_1!A10</f>
        <v>0</v>
      </c>
    </row>
    <row r="70" spans="5:13" ht="26.25" customHeight="1">
      <c r="E70" s="741" t="s">
        <v>787</v>
      </c>
      <c r="G70" s="41"/>
      <c r="H70" s="1082" t="s">
        <v>565</v>
      </c>
      <c r="I70" s="1083"/>
      <c r="J70" s="1083"/>
      <c r="K70" s="1084"/>
      <c r="M70" s="1000">
        <f>Physical_Education_1!A10</f>
        <v>0</v>
      </c>
    </row>
    <row r="71" spans="5:13" ht="26.45" customHeight="1">
      <c r="E71" s="741" t="s">
        <v>788</v>
      </c>
      <c r="G71" s="41"/>
      <c r="H71" s="1082" t="s">
        <v>476</v>
      </c>
      <c r="I71" s="1083"/>
      <c r="J71" s="1083"/>
      <c r="K71" s="1084"/>
      <c r="M71" s="1000">
        <f>Physics_1!A10</f>
        <v>0</v>
      </c>
    </row>
    <row r="72" spans="5:13" ht="26.45" customHeight="1">
      <c r="E72" s="741" t="s">
        <v>789</v>
      </c>
      <c r="G72" s="41"/>
      <c r="H72" s="1082" t="s">
        <v>564</v>
      </c>
      <c r="I72" s="1083"/>
      <c r="J72" s="1083"/>
      <c r="K72" s="1084"/>
      <c r="M72" s="1000">
        <f>Religious_Education_1!A10</f>
        <v>0</v>
      </c>
    </row>
    <row r="73" spans="5:13">
      <c r="E73" s="741" t="s">
        <v>1401</v>
      </c>
      <c r="G73" s="41"/>
      <c r="H73" s="1081" t="s">
        <v>1385</v>
      </c>
      <c r="I73" s="1081"/>
      <c r="J73" s="1081"/>
      <c r="K73" s="1081"/>
      <c r="M73" s="1001">
        <f>Calc_PRIM_entrant_rates!A10</f>
        <v>0</v>
      </c>
    </row>
    <row r="74" spans="5:13">
      <c r="E74" s="741" t="s">
        <v>1402</v>
      </c>
      <c r="G74" s="41"/>
      <c r="H74" s="1081" t="s">
        <v>1386</v>
      </c>
      <c r="I74" s="1081"/>
      <c r="J74" s="1081"/>
      <c r="K74" s="1081"/>
      <c r="M74" s="1001">
        <f>Calc_SEC_entrant_rates!A10</f>
        <v>0</v>
      </c>
    </row>
    <row r="75" spans="5:13">
      <c r="E75" s="741" t="s">
        <v>1403</v>
      </c>
      <c r="G75" s="41"/>
      <c r="H75" s="1081" t="s">
        <v>1387</v>
      </c>
      <c r="I75" s="1081"/>
      <c r="J75" s="1081"/>
      <c r="K75" s="1081"/>
      <c r="M75" s="1001">
        <f>'Calc_PRIM_part-time_entrants'!A10</f>
        <v>0</v>
      </c>
    </row>
    <row r="76" spans="5:13">
      <c r="E76" s="741" t="s">
        <v>1404</v>
      </c>
      <c r="G76" s="41"/>
      <c r="H76" s="1081" t="s">
        <v>1388</v>
      </c>
      <c r="I76" s="1081"/>
      <c r="J76" s="1081"/>
      <c r="K76" s="1081"/>
      <c r="M76" s="1001">
        <f>'Calc_SEC_part-time_entrants'!A10</f>
        <v>0</v>
      </c>
    </row>
    <row r="77" spans="5:13">
      <c r="E77" s="741" t="s">
        <v>814</v>
      </c>
      <c r="G77" s="41"/>
      <c r="H77" s="1081" t="s">
        <v>1389</v>
      </c>
      <c r="I77" s="1081"/>
      <c r="J77" s="1081"/>
      <c r="K77" s="1081"/>
      <c r="M77" s="1001">
        <f>Primary_2!A10</f>
        <v>0</v>
      </c>
    </row>
    <row r="78" spans="5:13">
      <c r="E78" s="741" t="s">
        <v>815</v>
      </c>
      <c r="G78" s="41"/>
      <c r="H78" s="1081" t="s">
        <v>664</v>
      </c>
      <c r="I78" s="1081"/>
      <c r="J78" s="1081"/>
      <c r="K78" s="1081"/>
      <c r="M78" s="1001">
        <f>'Art_&amp;_Design_2'!A10</f>
        <v>0</v>
      </c>
    </row>
    <row r="79" spans="5:13">
      <c r="E79" s="741" t="s">
        <v>823</v>
      </c>
      <c r="G79" s="41"/>
      <c r="H79" s="1081" t="s">
        <v>663</v>
      </c>
      <c r="I79" s="1081"/>
      <c r="J79" s="1081"/>
      <c r="K79" s="1081"/>
      <c r="M79" s="1001">
        <f>Biology_2!A10</f>
        <v>0</v>
      </c>
    </row>
    <row r="80" spans="5:13">
      <c r="E80" s="741" t="s">
        <v>822</v>
      </c>
      <c r="G80" s="41"/>
      <c r="H80" s="1081" t="s">
        <v>662</v>
      </c>
      <c r="I80" s="1081"/>
      <c r="J80" s="1081"/>
      <c r="K80" s="1081"/>
      <c r="M80" s="1001">
        <f>Business_Studies_2!A10</f>
        <v>0</v>
      </c>
    </row>
    <row r="81" spans="5:13">
      <c r="E81" s="741" t="s">
        <v>824</v>
      </c>
      <c r="G81" s="41"/>
      <c r="H81" s="1081" t="s">
        <v>661</v>
      </c>
      <c r="I81" s="1081"/>
      <c r="J81" s="1081"/>
      <c r="K81" s="1081"/>
      <c r="M81" s="1001">
        <f>Chemistry_2!A10</f>
        <v>0</v>
      </c>
    </row>
    <row r="82" spans="5:13">
      <c r="E82" s="741" t="s">
        <v>825</v>
      </c>
      <c r="G82" s="41"/>
      <c r="H82" s="1081" t="s">
        <v>660</v>
      </c>
      <c r="I82" s="1081"/>
      <c r="J82" s="1081"/>
      <c r="K82" s="1081"/>
      <c r="M82" s="1001">
        <f>Classics_2!A10</f>
        <v>0</v>
      </c>
    </row>
    <row r="83" spans="5:13">
      <c r="E83" s="741" t="s">
        <v>826</v>
      </c>
      <c r="G83" s="41"/>
      <c r="H83" s="1081" t="s">
        <v>659</v>
      </c>
      <c r="I83" s="1081"/>
      <c r="J83" s="1081"/>
      <c r="K83" s="1081"/>
      <c r="M83" s="1001">
        <f>Computing_2!A10</f>
        <v>0</v>
      </c>
    </row>
    <row r="84" spans="5:13">
      <c r="E84" s="741" t="s">
        <v>827</v>
      </c>
      <c r="G84" s="41"/>
      <c r="H84" s="1081" t="s">
        <v>658</v>
      </c>
      <c r="I84" s="1081"/>
      <c r="J84" s="1081"/>
      <c r="K84" s="1081"/>
      <c r="M84" s="1001">
        <f>'Design_&amp;_Technology_2'!A10</f>
        <v>0</v>
      </c>
    </row>
    <row r="85" spans="5:13">
      <c r="E85" s="741" t="s">
        <v>828</v>
      </c>
      <c r="G85" s="41"/>
      <c r="H85" s="1081" t="s">
        <v>657</v>
      </c>
      <c r="I85" s="1081"/>
      <c r="J85" s="1081"/>
      <c r="K85" s="1081"/>
      <c r="M85" s="1001">
        <f>Drama_2!A10</f>
        <v>0</v>
      </c>
    </row>
    <row r="86" spans="5:13" s="733" customFormat="1" ht="12.75" customHeight="1">
      <c r="E86" s="741" t="s">
        <v>830</v>
      </c>
      <c r="G86" s="41"/>
      <c r="H86" s="1085" t="s">
        <v>656</v>
      </c>
      <c r="I86" s="1086"/>
      <c r="J86" s="1086"/>
      <c r="K86" s="1087"/>
      <c r="M86" s="1001">
        <f>English_2!A10</f>
        <v>0</v>
      </c>
    </row>
    <row r="87" spans="5:13">
      <c r="E87" s="741" t="s">
        <v>829</v>
      </c>
      <c r="G87" s="41"/>
      <c r="H87" s="1081" t="s">
        <v>655</v>
      </c>
      <c r="I87" s="1081"/>
      <c r="J87" s="1081"/>
      <c r="K87" s="1081"/>
      <c r="M87" s="1001">
        <f>Food_2!A10</f>
        <v>0</v>
      </c>
    </row>
    <row r="88" spans="5:13">
      <c r="E88" s="741" t="s">
        <v>831</v>
      </c>
      <c r="G88" s="41"/>
      <c r="H88" s="1081" t="s">
        <v>654</v>
      </c>
      <c r="I88" s="1081"/>
      <c r="J88" s="1081"/>
      <c r="K88" s="1081"/>
      <c r="M88" s="1001">
        <f>Geography_2!A10</f>
        <v>0</v>
      </c>
    </row>
    <row r="89" spans="5:13">
      <c r="E89" s="741" t="s">
        <v>832</v>
      </c>
      <c r="G89" s="41"/>
      <c r="H89" s="1081" t="s">
        <v>653</v>
      </c>
      <c r="I89" s="1081"/>
      <c r="J89" s="1081"/>
      <c r="K89" s="1081"/>
      <c r="M89" s="1000">
        <f>History_2!A10</f>
        <v>0</v>
      </c>
    </row>
    <row r="90" spans="5:13">
      <c r="E90" s="741" t="s">
        <v>833</v>
      </c>
      <c r="G90" s="41"/>
      <c r="H90" s="1081" t="s">
        <v>652</v>
      </c>
      <c r="I90" s="1081"/>
      <c r="J90" s="1081"/>
      <c r="K90" s="1081"/>
      <c r="M90" s="1001">
        <f>Mathematics_2!A10</f>
        <v>0</v>
      </c>
    </row>
    <row r="91" spans="5:13">
      <c r="E91" s="741" t="s">
        <v>834</v>
      </c>
      <c r="G91" s="41"/>
      <c r="H91" s="1081" t="s">
        <v>651</v>
      </c>
      <c r="I91" s="1081"/>
      <c r="J91" s="1081"/>
      <c r="K91" s="1081"/>
      <c r="M91" s="1000">
        <f>Modern_Foreign_Languages_2!A10</f>
        <v>0</v>
      </c>
    </row>
    <row r="92" spans="5:13">
      <c r="E92" s="741" t="s">
        <v>835</v>
      </c>
      <c r="G92" s="41"/>
      <c r="H92" s="1081" t="s">
        <v>650</v>
      </c>
      <c r="I92" s="1081"/>
      <c r="J92" s="1081"/>
      <c r="K92" s="1081"/>
      <c r="M92" s="1001">
        <f>Music_2!A10</f>
        <v>0</v>
      </c>
    </row>
    <row r="93" spans="5:13">
      <c r="E93" s="741" t="s">
        <v>836</v>
      </c>
      <c r="G93" s="41"/>
      <c r="H93" s="1081" t="s">
        <v>649</v>
      </c>
      <c r="I93" s="1081"/>
      <c r="J93" s="1081"/>
      <c r="K93" s="1081"/>
      <c r="M93" s="1000">
        <f>Others_2!A10</f>
        <v>0</v>
      </c>
    </row>
    <row r="94" spans="5:13">
      <c r="E94" s="745" t="s">
        <v>837</v>
      </c>
      <c r="G94" s="41"/>
      <c r="H94" s="1081" t="s">
        <v>648</v>
      </c>
      <c r="I94" s="1081"/>
      <c r="J94" s="1081"/>
      <c r="K94" s="1081"/>
      <c r="M94" s="1000">
        <f>Physical_Education_2!A10</f>
        <v>0</v>
      </c>
    </row>
    <row r="95" spans="5:13">
      <c r="E95" s="741" t="s">
        <v>838</v>
      </c>
      <c r="G95" s="41"/>
      <c r="H95" s="1081" t="s">
        <v>647</v>
      </c>
      <c r="I95" s="1081"/>
      <c r="J95" s="1081"/>
      <c r="K95" s="1081"/>
      <c r="M95" s="1000">
        <f>Physics_2!A10</f>
        <v>0</v>
      </c>
    </row>
    <row r="96" spans="5:13">
      <c r="E96" s="741" t="s">
        <v>839</v>
      </c>
      <c r="G96" s="41"/>
      <c r="H96" s="1081" t="s">
        <v>646</v>
      </c>
      <c r="I96" s="1081"/>
      <c r="J96" s="1081"/>
      <c r="K96" s="1081"/>
      <c r="M96" s="1001">
        <f>Religious_Education_2!A10</f>
        <v>0</v>
      </c>
    </row>
    <row r="97" spans="3:13" ht="26.45" customHeight="1">
      <c r="E97" s="741" t="s">
        <v>1405</v>
      </c>
      <c r="G97" s="41"/>
      <c r="H97" s="1082" t="s">
        <v>1043</v>
      </c>
      <c r="I97" s="1083"/>
      <c r="J97" s="1083"/>
      <c r="K97" s="1084"/>
      <c r="M97" s="1001">
        <f>Calc_long_term_NQT_entrants!A10</f>
        <v>0</v>
      </c>
    </row>
    <row r="98" spans="3:13" s="733" customFormat="1" ht="27.6" customHeight="1">
      <c r="E98" s="741" t="s">
        <v>638</v>
      </c>
      <c r="F98" s="576"/>
      <c r="G98" s="576"/>
      <c r="H98" s="1088" t="s">
        <v>637</v>
      </c>
      <c r="I98" s="1089"/>
      <c r="J98" s="1089"/>
      <c r="K98" s="1090"/>
      <c r="L98" s="576"/>
      <c r="M98" s="1000">
        <f>Conversion_rates_table!A10</f>
        <v>0</v>
      </c>
    </row>
    <row r="99" spans="3:13">
      <c r="M99" s="998"/>
    </row>
    <row r="100" spans="3:13">
      <c r="C100" s="20">
        <f ca="1">MAX($B$6:OFFSET(C100,-1,))+0.01</f>
        <v>2.0399999999999991</v>
      </c>
      <c r="D100" s="19" t="s">
        <v>25</v>
      </c>
      <c r="M100" s="998"/>
    </row>
    <row r="101" spans="3:13">
      <c r="E101" s="41"/>
      <c r="G101" s="41"/>
      <c r="M101" s="999"/>
    </row>
    <row r="102" spans="3:13">
      <c r="E102" s="468" t="s">
        <v>1411</v>
      </c>
      <c r="G102" s="41"/>
      <c r="H102" s="1081" t="s">
        <v>1410</v>
      </c>
      <c r="I102" s="1081"/>
      <c r="J102" s="1081"/>
      <c r="K102" s="1081"/>
      <c r="M102" s="1001">
        <f>OUTPUTS_FOR_SECTION_2_OF_MODEL!A10</f>
        <v>0</v>
      </c>
    </row>
    <row r="103" spans="3:13">
      <c r="E103" s="741" t="s">
        <v>645</v>
      </c>
      <c r="G103" s="41"/>
      <c r="H103" s="1081" t="s">
        <v>1637</v>
      </c>
      <c r="I103" s="1081"/>
      <c r="J103" s="1081"/>
      <c r="K103" s="1081"/>
      <c r="M103" s="1001">
        <f>'Re-entrants_expected'!A10</f>
        <v>0</v>
      </c>
    </row>
    <row r="104" spans="3:13">
      <c r="E104" s="741" t="s">
        <v>644</v>
      </c>
      <c r="G104" s="41"/>
      <c r="H104" s="1081" t="s">
        <v>1638</v>
      </c>
      <c r="I104" s="1081"/>
      <c r="J104" s="1081"/>
      <c r="K104" s="1081"/>
      <c r="M104" s="1001">
        <f>New_to_SF_sector_expected!A10</f>
        <v>0</v>
      </c>
    </row>
    <row r="105" spans="3:13" ht="25.9" customHeight="1">
      <c r="E105" s="741" t="s">
        <v>643</v>
      </c>
      <c r="G105" s="41"/>
      <c r="H105" s="1082" t="s">
        <v>1639</v>
      </c>
      <c r="I105" s="1083"/>
      <c r="J105" s="1083"/>
      <c r="K105" s="1084"/>
      <c r="M105" s="1001">
        <f>NQT_entrants_required_inc_UGs!A10</f>
        <v>0</v>
      </c>
    </row>
    <row r="106" spans="3:13">
      <c r="E106" s="741" t="s">
        <v>642</v>
      </c>
      <c r="G106" s="41"/>
      <c r="H106" s="1082" t="s">
        <v>641</v>
      </c>
      <c r="I106" s="1083"/>
      <c r="J106" s="1083"/>
      <c r="K106" s="1084"/>
      <c r="M106" s="1001">
        <f>Check_of_all_entrant_numbers!A9</f>
        <v>0</v>
      </c>
    </row>
    <row r="107" spans="3:13">
      <c r="E107" s="745" t="s">
        <v>640</v>
      </c>
      <c r="G107" s="41"/>
      <c r="H107" s="1081" t="s">
        <v>639</v>
      </c>
      <c r="I107" s="1081"/>
      <c r="J107" s="1081"/>
      <c r="K107" s="1081"/>
      <c r="M107" s="1001">
        <f>Outputs_for_conversion_rates!A10</f>
        <v>0</v>
      </c>
    </row>
    <row r="108" spans="3:13">
      <c r="E108" s="745" t="s">
        <v>1408</v>
      </c>
      <c r="H108" s="1081" t="s">
        <v>1094</v>
      </c>
      <c r="I108" s="1081"/>
      <c r="J108" s="1081"/>
      <c r="K108" s="1081"/>
      <c r="M108" s="1000">
        <f>FINAL_OUTPUTS_OF_ITT_PLACES!A10</f>
        <v>0</v>
      </c>
    </row>
    <row r="109" spans="3:13" s="733" customFormat="1">
      <c r="E109" s="745" t="s">
        <v>1537</v>
      </c>
      <c r="H109" s="1081" t="s">
        <v>1540</v>
      </c>
      <c r="I109" s="1081"/>
      <c r="J109" s="1081"/>
      <c r="K109" s="1081"/>
      <c r="M109" s="1000">
        <f>SUMMARY_OUTPUTS!A10</f>
        <v>0</v>
      </c>
    </row>
    <row r="110" spans="3:13">
      <c r="E110" s="741" t="s">
        <v>340</v>
      </c>
      <c r="G110" s="41"/>
      <c r="H110" s="1081" t="s">
        <v>338</v>
      </c>
      <c r="I110" s="1081"/>
      <c r="J110" s="1081"/>
      <c r="K110" s="1081"/>
      <c r="M110" s="1000">
        <f>Assumptions_data!A10</f>
        <v>0</v>
      </c>
    </row>
    <row r="111" spans="3:13">
      <c r="E111" s="468" t="s">
        <v>454</v>
      </c>
      <c r="G111" s="41"/>
      <c r="H111" s="1081" t="s">
        <v>1640</v>
      </c>
      <c r="I111" s="1081"/>
      <c r="J111" s="1081"/>
      <c r="K111" s="1081"/>
      <c r="M111" s="1000">
        <f>Teacher_need_figures!A10</f>
        <v>0</v>
      </c>
    </row>
    <row r="112" spans="3:13">
      <c r="E112" s="468" t="s">
        <v>614</v>
      </c>
      <c r="G112" s="41"/>
      <c r="H112" s="1081" t="s">
        <v>1641</v>
      </c>
      <c r="I112" s="1081"/>
      <c r="J112" s="1081"/>
      <c r="K112" s="1081"/>
      <c r="M112" s="1000">
        <f>Entrant_need_figures!A10</f>
        <v>0</v>
      </c>
    </row>
    <row r="113" spans="4:13" ht="13.15" customHeight="1">
      <c r="E113" s="741" t="s">
        <v>551</v>
      </c>
      <c r="G113" s="41"/>
      <c r="H113" s="1081" t="s">
        <v>1642</v>
      </c>
      <c r="I113" s="1081"/>
      <c r="J113" s="1081"/>
      <c r="K113" s="1081"/>
      <c r="M113" s="1001">
        <f>Wastage_over_time!A10</f>
        <v>0</v>
      </c>
    </row>
    <row r="114" spans="4:13">
      <c r="D114" s="44"/>
      <c r="E114" s="741" t="s">
        <v>552</v>
      </c>
      <c r="G114" s="41"/>
      <c r="H114" s="1081" t="s">
        <v>1643</v>
      </c>
      <c r="I114" s="1081"/>
      <c r="J114" s="1081"/>
      <c r="K114" s="1081"/>
      <c r="M114" s="1001">
        <f>Retirements_over_time!A10</f>
        <v>0</v>
      </c>
    </row>
    <row r="115" spans="4:13">
      <c r="D115" s="44"/>
      <c r="E115" s="741" t="s">
        <v>483</v>
      </c>
      <c r="G115" s="41"/>
      <c r="H115" s="1081" t="s">
        <v>1644</v>
      </c>
      <c r="I115" s="1081"/>
      <c r="J115" s="1081"/>
      <c r="K115" s="1081"/>
      <c r="M115" s="1001">
        <f>Deaths_over_time!A10</f>
        <v>0</v>
      </c>
    </row>
    <row r="116" spans="4:13">
      <c r="D116" s="44"/>
      <c r="E116" s="741" t="s">
        <v>553</v>
      </c>
      <c r="G116" s="41"/>
      <c r="H116" s="1081" t="s">
        <v>1645</v>
      </c>
      <c r="I116" s="1081"/>
      <c r="J116" s="1081"/>
      <c r="K116" s="1081"/>
      <c r="M116" s="1001">
        <f>Leavers_over_time!A10</f>
        <v>0</v>
      </c>
    </row>
    <row r="117" spans="4:13">
      <c r="D117" s="44"/>
      <c r="E117" s="741" t="s">
        <v>339</v>
      </c>
      <c r="G117" s="41"/>
      <c r="H117" s="1082" t="s">
        <v>384</v>
      </c>
      <c r="I117" s="1083"/>
      <c r="J117" s="1083"/>
      <c r="K117" s="1084"/>
      <c r="M117" s="1001">
        <f>Entrant_need_charts_over_time!A10</f>
        <v>0</v>
      </c>
    </row>
    <row r="118" spans="4:13">
      <c r="D118" s="44"/>
      <c r="E118" s="741" t="s">
        <v>257</v>
      </c>
      <c r="G118" s="41"/>
      <c r="H118" s="1082" t="s">
        <v>336</v>
      </c>
      <c r="I118" s="1083"/>
      <c r="J118" s="1083"/>
      <c r="K118" s="1084"/>
      <c r="M118" s="1001">
        <f>Teacher_need_charts_over_time!A10</f>
        <v>0</v>
      </c>
    </row>
    <row r="119" spans="4:13">
      <c r="D119" s="44"/>
      <c r="E119" s="741" t="s">
        <v>1406</v>
      </c>
      <c r="G119" s="41"/>
      <c r="H119" s="1082" t="s">
        <v>337</v>
      </c>
      <c r="I119" s="1083"/>
      <c r="J119" s="1083"/>
      <c r="K119" s="1084"/>
      <c r="M119" s="1001">
        <f>Pupil_Projections_scenarios!A10</f>
        <v>0</v>
      </c>
    </row>
    <row r="120" spans="4:13">
      <c r="D120" s="44"/>
      <c r="E120" s="745" t="s">
        <v>1045</v>
      </c>
      <c r="H120" s="1082" t="s">
        <v>1044</v>
      </c>
      <c r="I120" s="1083"/>
      <c r="J120" s="1083"/>
      <c r="K120" s="1084"/>
      <c r="M120" s="1001">
        <f>Outputs_with_historical_data!A10</f>
        <v>0</v>
      </c>
    </row>
    <row r="121" spans="4:13" s="733" customFormat="1">
      <c r="D121" s="44"/>
      <c r="E121" s="745" t="s">
        <v>1409</v>
      </c>
      <c r="H121" s="1082" t="s">
        <v>1439</v>
      </c>
      <c r="I121" s="1083"/>
      <c r="J121" s="1083"/>
      <c r="K121" s="1084"/>
      <c r="M121" s="1001">
        <f>Comparison_of_pupil_projns!A10</f>
        <v>0</v>
      </c>
    </row>
    <row r="122" spans="4:13">
      <c r="D122" s="44"/>
      <c r="E122" s="741" t="s">
        <v>1046</v>
      </c>
      <c r="G122" s="41"/>
      <c r="H122" s="1082" t="s">
        <v>1047</v>
      </c>
      <c r="I122" s="1083"/>
      <c r="J122" s="1083"/>
      <c r="K122" s="1084"/>
      <c r="M122" s="1001">
        <f>OUTPUTS_FOR_SECTION_2_OF_MODEL!A10</f>
        <v>0</v>
      </c>
    </row>
    <row r="123" spans="4:13" s="861" customFormat="1" ht="27" customHeight="1">
      <c r="E123" s="862" t="s">
        <v>1407</v>
      </c>
      <c r="H123" s="1082" t="s">
        <v>1390</v>
      </c>
      <c r="I123" s="1083"/>
      <c r="J123" s="1083"/>
      <c r="K123" s="1084"/>
      <c r="M123" s="1001">
        <f>Changes_in_subject_teaching_hrs!A9</f>
        <v>0</v>
      </c>
    </row>
    <row r="124" spans="4:13">
      <c r="M124" s="16"/>
    </row>
  </sheetData>
  <mergeCells count="96">
    <mergeCell ref="H121:K121"/>
    <mergeCell ref="H123:K123"/>
    <mergeCell ref="H84:K84"/>
    <mergeCell ref="H109:K109"/>
    <mergeCell ref="H122:K122"/>
    <mergeCell ref="H89:K89"/>
    <mergeCell ref="H88:K88"/>
    <mergeCell ref="H91:K91"/>
    <mergeCell ref="H97:K97"/>
    <mergeCell ref="H96:K96"/>
    <mergeCell ref="H120:K120"/>
    <mergeCell ref="H94:K94"/>
    <mergeCell ref="H95:K95"/>
    <mergeCell ref="H98:K98"/>
    <mergeCell ref="H104:K104"/>
    <mergeCell ref="H107:K107"/>
    <mergeCell ref="H92:K92"/>
    <mergeCell ref="H93:K93"/>
    <mergeCell ref="H114:K114"/>
    <mergeCell ref="H115:K115"/>
    <mergeCell ref="H117:K117"/>
    <mergeCell ref="H111:K111"/>
    <mergeCell ref="H119:K119"/>
    <mergeCell ref="H116:K116"/>
    <mergeCell ref="H80:K80"/>
    <mergeCell ref="H112:K112"/>
    <mergeCell ref="H110:K110"/>
    <mergeCell ref="H118:K118"/>
    <mergeCell ref="H113:K113"/>
    <mergeCell ref="H105:K105"/>
    <mergeCell ref="H108:K108"/>
    <mergeCell ref="H81:K81"/>
    <mergeCell ref="H85:K85"/>
    <mergeCell ref="H103:K103"/>
    <mergeCell ref="H106:K106"/>
    <mergeCell ref="H82:K82"/>
    <mergeCell ref="H90:K90"/>
    <mergeCell ref="H102:K102"/>
    <mergeCell ref="H73:K73"/>
    <mergeCell ref="H67:K67"/>
    <mergeCell ref="H77:K77"/>
    <mergeCell ref="H69:K69"/>
    <mergeCell ref="H79:K79"/>
    <mergeCell ref="H78:K78"/>
    <mergeCell ref="H76:K76"/>
    <mergeCell ref="H87:K87"/>
    <mergeCell ref="H74:K74"/>
    <mergeCell ref="H83:K83"/>
    <mergeCell ref="H86:K86"/>
    <mergeCell ref="H53:K53"/>
    <mergeCell ref="H75:K75"/>
    <mergeCell ref="H57:K57"/>
    <mergeCell ref="H71:K71"/>
    <mergeCell ref="H66:K66"/>
    <mergeCell ref="H68:K68"/>
    <mergeCell ref="H58:K58"/>
    <mergeCell ref="H72:K72"/>
    <mergeCell ref="H70:K70"/>
    <mergeCell ref="H63:K63"/>
    <mergeCell ref="H62:K62"/>
    <mergeCell ref="H59:K59"/>
    <mergeCell ref="H64:K64"/>
    <mergeCell ref="H60:K60"/>
    <mergeCell ref="H61:K61"/>
    <mergeCell ref="H65:K65"/>
    <mergeCell ref="H43:K43"/>
    <mergeCell ref="H44:K44"/>
    <mergeCell ref="H56:K56"/>
    <mergeCell ref="H54:K54"/>
    <mergeCell ref="H50:K50"/>
    <mergeCell ref="H55:K55"/>
    <mergeCell ref="H49:K49"/>
    <mergeCell ref="H51:K51"/>
    <mergeCell ref="H52:K52"/>
    <mergeCell ref="H35:K35"/>
    <mergeCell ref="H37:K37"/>
    <mergeCell ref="H47:K47"/>
    <mergeCell ref="H42:K42"/>
    <mergeCell ref="H46:K46"/>
    <mergeCell ref="H45:K45"/>
    <mergeCell ref="H18:K18"/>
    <mergeCell ref="H20:K20"/>
    <mergeCell ref="H36:K36"/>
    <mergeCell ref="H21:K21"/>
    <mergeCell ref="H41:K41"/>
    <mergeCell ref="H27:K27"/>
    <mergeCell ref="H34:K34"/>
    <mergeCell ref="H22:K22"/>
    <mergeCell ref="H26:K26"/>
    <mergeCell ref="H19:K19"/>
    <mergeCell ref="H28:K28"/>
    <mergeCell ref="H39:K39"/>
    <mergeCell ref="H40:K40"/>
    <mergeCell ref="H38:K38"/>
    <mergeCell ref="H29:K29"/>
    <mergeCell ref="H30:K30"/>
  </mergeCells>
  <hyperlinks>
    <hyperlink ref="E18" location="Details!A1" display="Details"/>
    <hyperlink ref="E21" location="Subject_groupings_defined!A1" display="Subject groupings defined"/>
    <hyperlink ref="E20" location="Map_of_sheets!A1" display="Map of Sheets"/>
    <hyperlink ref="E26" location="RAW_DATA_INPUTS!A1" display="RAW DATA INPUTS"/>
    <hyperlink ref="E34" location="Calc_PRIM_retirement_rates!A1" display="Calculation of primary retirement rates"/>
    <hyperlink ref="E35" location="Calc_SEC_retirement_rates!A1" display="Calculation of secondary retirement rates"/>
    <hyperlink ref="E38" location="Calculation_PRIM_wastage_rates!A1" display="Calculation of primary wastage rates"/>
    <hyperlink ref="E41" location="Projected_SEC_wastage_rates!A1" display="Projected secondary wastage rates"/>
    <hyperlink ref="E45" location="Stock_calculations!A1" display="Stock calculations"/>
    <hyperlink ref="E46" location="Stock_ages_breakdowns!A1" display="Stock ages breakdowns"/>
    <hyperlink ref="E50" location="Teacher_need_by_subject!A1" display="Teacher need by subject"/>
    <hyperlink ref="E51" location="Forecast_stock_figures!A1" display="Forecast stock figures"/>
    <hyperlink ref="E52" location="Entrant_age_breakdowns!A1" display="Entrant age breakdowns"/>
    <hyperlink ref="E47" location="Pupils_data_scenarios!A1" display="Pupils data scenarios"/>
    <hyperlink ref="E53" location="Primary_1!A1" display="Primary 1"/>
    <hyperlink ref="E27" location="Policy_assumptions_PRIM!A1" display="Policy assumptions Primary"/>
    <hyperlink ref="E28" location="Policy_assumptions_SEC!A1" display="Policy assumptions Secondary"/>
    <hyperlink ref="E29" location="Data_selected_by_user_testing!A1" display="Data selected by user testing"/>
    <hyperlink ref="E115" location="Deaths_over_time!A1" display="Deaths over time"/>
    <hyperlink ref="E117" location="Entrant_need_charts_over_time!A1" display="Entrant need charts over time"/>
    <hyperlink ref="E118" location="Teacher_need_charts_over_time!A1" display="Teacher need charts over time"/>
    <hyperlink ref="E119" location="Pupil_Projections_scenarios!A1" display="Pupil projections scenarios"/>
    <hyperlink ref="E110" location="Assumptions_data!A1" display="Assumptions data"/>
    <hyperlink ref="E39" location="Calculation_SEC_wastage_rates!A1" display="Calculation of secondary wastage rates"/>
    <hyperlink ref="E40" location="Projected_PRIM_wastage_rates!A1" display="Projected primary wastage rates"/>
    <hyperlink ref="E42" location="Group_1_rates!A1" display="Group 1 rates"/>
    <hyperlink ref="E43" location="Group_2_rates!A1" display="Group 2 rates"/>
    <hyperlink ref="E44" location="Group_3_rates!A1" display="Group 3 rates"/>
    <hyperlink ref="E111" location="Teacher_need_figures!A1" display="Teacher need figures"/>
    <hyperlink ref="E36" location="Calc_PRIM_death_rates!A1" display="Calculation of primary death rates"/>
    <hyperlink ref="E37" location="Calc_SEC_death_rates!A1" display="Calculation of secondary death rates"/>
    <hyperlink ref="E113" location="Wastage_over_time!A1" display="Wastage over time"/>
    <hyperlink ref="E114" location="Retirements_over_time!A1" display="Retirements over time"/>
    <hyperlink ref="E116" location="Leavers_over_time!A1" display="Leavers over time"/>
    <hyperlink ref="E112" location="Entrant_need_figures!A1" display="Entrant need figures"/>
    <hyperlink ref="E48" location="Calc_Primary_teacher_need!A1" display="Calculation of primary teacher need"/>
    <hyperlink ref="E49" location="Calc_overall_Sec_teacher_need!A1" display="Calculation of overall secondary teacher need"/>
    <hyperlink ref="E73" location="Calc_PRIM_entrant_rates!A1" display="Calculation of primary entrant rates"/>
    <hyperlink ref="E74" location="Calc_SEC_entrant_rates!A1" display="Calculation of secondary entrant rates"/>
    <hyperlink ref="E105" location="NQT_entrants_required_inc_UGs!A1" display="NQT entrants required inc UGs"/>
    <hyperlink ref="E97" location="Calc_long_term_NQT_entrants!A1" display="Calculation of long term NQT entrants"/>
    <hyperlink ref="E107" location="Outputs_for_conversion_rates!A1" display="Outputs for conversion rates"/>
    <hyperlink ref="E98" location="Conversion_rates_table!A1" display="Conversion rates table"/>
    <hyperlink ref="E108" location="FINAL_OUTPUTS_OF_ITT_PLACES!A1" display="FINAL OUTPUTS OF ITT PLACES"/>
    <hyperlink ref="E103" location="'Re-entrants_expected'!A1" display="Re-entrants expected"/>
    <hyperlink ref="E104" location="New_to_SF_sector_expected!A1" display="New to SF sector expected"/>
    <hyperlink ref="E106" location="Check_of_all_entrant_numbers!A1" display="Check of all entrant numbers"/>
    <hyperlink ref="E75" location="'Calc_PRIM_part-time_entrants'!A1" display="Calculation of primary part-time entrants"/>
    <hyperlink ref="E76" location="'Calc_SEC_part-time_entrants'!A1" display="Calculation of secondary part-time entrants"/>
    <hyperlink ref="E54" location="'Art_&amp;_Design_1'!A1" display="Art &amp; Design 1"/>
    <hyperlink ref="E55" location="Biology_1!A1" display="Biology 1"/>
    <hyperlink ref="E56" location="Business_Studies_1!A1" display="Business Studies 1"/>
    <hyperlink ref="E57" location="Chemistry_1!A1" display="Chemistry 1"/>
    <hyperlink ref="E58" location="Classics_1!A1" display="Classics 1"/>
    <hyperlink ref="E59" location="Computing_1!A1" display="Computing 1"/>
    <hyperlink ref="E60" location="'Design_&amp;_Technology_1'!A1" display="Design &amp; Technology 1"/>
    <hyperlink ref="E61" location="Drama_1!A1" display="Drama 1"/>
    <hyperlink ref="E62" location="English_1!A1" display="English 1"/>
    <hyperlink ref="E63" location="Food_1!A1" display="Food 1"/>
    <hyperlink ref="E64" location="Geography_1!A1" display="Geography 1"/>
    <hyperlink ref="E65" location="History_1!A1" display="History 1"/>
    <hyperlink ref="E66" location="Mathematics_1!A1" display="Mathematics 1"/>
    <hyperlink ref="E67" location="Modern_Foreign_Languages_1!A1" display="Modern Foreign Languages 1"/>
    <hyperlink ref="E68" location="Music_1!A1" display="Music 1"/>
    <hyperlink ref="E69" location="Others_1!A1" display="Others 1"/>
    <hyperlink ref="E70" location="Physical_Education_1!A1" display="Physical Education 1"/>
    <hyperlink ref="E71" location="Physics_1!A1" display="Physics 1"/>
    <hyperlink ref="E72" location="Religious_Education_1!A1" display="Religious Education 1"/>
    <hyperlink ref="E77" location="Primary_2!A1" display="Primary 2"/>
    <hyperlink ref="E78" location="'Art_&amp;_Design_2'!A1" display="Art &amp; Design 2"/>
    <hyperlink ref="E79" location="Biology_2!A1" display="Biology 2"/>
    <hyperlink ref="E80" location="Business_Studies_2!A1" display="Business Studies 2"/>
    <hyperlink ref="E81" location="Chemistry_2!A1" display="Chemistry 2"/>
    <hyperlink ref="E82" location="Classics_2!A1" display="Classics 2"/>
    <hyperlink ref="E83" location="Computing_2!A1" display="Computing 2"/>
    <hyperlink ref="E84" location="'Design_&amp;_Technology_2'!A1" display="Design &amp; Technology 2"/>
    <hyperlink ref="E85" location="Drama_2!A1" display="Drama 2"/>
    <hyperlink ref="E96" location="Religious_Education_2!A1" display="Religious Education 2"/>
    <hyperlink ref="E95" location="Physics_2!A1" display="Physics 2"/>
    <hyperlink ref="E93" location="Others_2!A1" display="Others 2"/>
    <hyperlink ref="E94" location="Physical_Education_2!A1" display="Physical Education 2"/>
    <hyperlink ref="E92" location="Music_2!A1" display="Music 2"/>
    <hyperlink ref="E91" location="Modern_Foreign_Languages_2!A1" display="Modern Foreign Languages 2"/>
    <hyperlink ref="E90" location="Mathematics_2!A1" display="Mathematics 2"/>
    <hyperlink ref="E89" location="History_2!A1" display="History 2"/>
    <hyperlink ref="E88" location="Geography_2!A1" display="Geography 2"/>
    <hyperlink ref="E86" location="English_2!A1" display="English 2"/>
    <hyperlink ref="E120" location="Outputs_with_historical_data!A1" display="Outputs with historical data"/>
    <hyperlink ref="E122" location="Historical_and_projected_ITT!A1" display="Historical and projected ITT"/>
    <hyperlink ref="E30" location="Increased_EBacc_scenario_data!A1" display="Increased EBacc take up scenario data"/>
    <hyperlink ref="E123" location="Changes_in_subject_teaching_hrs!A1" display="Changes in subject teaching hours"/>
    <hyperlink ref="E22" location="USER_TESTING_TAB!A1" display="USER TESTING TAB"/>
    <hyperlink ref="E102" location="OUTPUTS_FOR_SECTION_2_OF_MODEL!A1" display="OUTPUTS FOR SECTION 2 OF MODEL"/>
    <hyperlink ref="E19" location="New_features!A1" display="New features"/>
    <hyperlink ref="E87" location="Food_2!A1" display="Food 2"/>
    <hyperlink ref="E121" location="Comparison_of_pupil_projns!A1" display="Comparison of pupil projections"/>
    <hyperlink ref="E109" location="SUMMARY_OUTPUTS!A1" display="SUMMARY_OUTPUTS"/>
  </hyperlinks>
  <pageMargins left="0.7" right="0.7" top="0.75" bottom="0.75" header="0.3" footer="0.3"/>
  <pageSetup paperSize="9" orientation="portrait" r:id="rId1"/>
  <ignoredErrors>
    <ignoredError sqref="E3 C16 C24 C32 C100 M17 M26:M30 M122 M34:M41 M88:M98 M103:M108 M45:M85 M113:M116"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FF00"/>
  </sheetPr>
  <dimension ref="A1:Q9"/>
  <sheetViews>
    <sheetView showGridLines="0" zoomScaleNormal="100" workbookViewId="0"/>
  </sheetViews>
  <sheetFormatPr defaultRowHeight="12.75"/>
  <cols>
    <col min="1" max="1" width="8.7109375" customWidth="1"/>
    <col min="2" max="19" width="10.7109375" customWidth="1"/>
    <col min="20" max="25" width="8.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c r="A4" s="58" t="s">
        <v>26</v>
      </c>
      <c r="B4" s="58"/>
      <c r="C4" s="58"/>
      <c r="D4" s="58"/>
      <c r="E4" s="292"/>
      <c r="F4" s="58"/>
      <c r="G4" s="58"/>
      <c r="H4" s="58"/>
      <c r="I4" s="58"/>
      <c r="J4" s="58"/>
      <c r="K4" s="58"/>
      <c r="L4" s="58"/>
      <c r="M4" s="58"/>
      <c r="N4" s="58"/>
      <c r="O4" s="58"/>
      <c r="P4" s="58"/>
      <c r="Q4" s="58"/>
    </row>
    <row r="5" spans="1:17" s="47" customFormat="1" ht="13.15" customHeight="1">
      <c r="A5" s="60" t="s">
        <v>1326</v>
      </c>
      <c r="B5" s="60"/>
      <c r="C5" s="60"/>
      <c r="D5" s="60"/>
      <c r="E5" s="60"/>
      <c r="F5" s="60"/>
      <c r="G5" s="60"/>
      <c r="H5" s="60"/>
      <c r="I5" s="60"/>
      <c r="J5" s="60"/>
      <c r="K5" s="60"/>
      <c r="L5" s="60"/>
      <c r="M5" s="60"/>
      <c r="N5" s="60"/>
      <c r="O5" s="60"/>
      <c r="P5" s="60"/>
      <c r="Q5" s="60"/>
    </row>
    <row r="6" spans="1:17" s="46" customFormat="1">
      <c r="A6" s="56" t="s">
        <v>1420</v>
      </c>
      <c r="B6" s="61"/>
      <c r="C6" s="61"/>
      <c r="D6" s="61"/>
      <c r="E6" s="292"/>
      <c r="F6" s="61"/>
      <c r="G6" s="61"/>
      <c r="H6" s="61"/>
      <c r="I6" s="61"/>
      <c r="J6" s="61"/>
      <c r="K6" s="61"/>
      <c r="L6" s="61"/>
      <c r="M6" s="61"/>
      <c r="N6" s="61"/>
      <c r="O6" s="61"/>
      <c r="P6" s="61"/>
      <c r="Q6" s="61"/>
    </row>
    <row r="7" spans="1:17" s="46" customFormat="1">
      <c r="A7" s="54" t="s">
        <v>342</v>
      </c>
      <c r="B7" s="56"/>
      <c r="C7" s="61"/>
      <c r="D7" s="61"/>
      <c r="E7" s="292"/>
      <c r="F7" s="61"/>
      <c r="G7" s="61"/>
      <c r="H7" s="61"/>
      <c r="I7" s="61"/>
      <c r="J7" s="61"/>
      <c r="K7" s="61"/>
      <c r="L7" s="61"/>
      <c r="M7" s="61"/>
      <c r="N7" s="61"/>
      <c r="O7" s="61"/>
      <c r="P7" s="61"/>
      <c r="Q7" s="61"/>
    </row>
    <row r="8" spans="1:17" s="46" customFormat="1">
      <c r="A8" s="56" t="s">
        <v>24</v>
      </c>
      <c r="B8" s="61"/>
      <c r="C8" s="61"/>
      <c r="D8" s="61"/>
      <c r="E8" s="292"/>
      <c r="F8" s="61"/>
      <c r="G8" s="61"/>
      <c r="H8" s="61"/>
      <c r="I8" s="61"/>
      <c r="J8" s="61"/>
      <c r="K8" s="61"/>
      <c r="L8" s="61"/>
      <c r="M8" s="61"/>
      <c r="N8" s="61"/>
      <c r="O8" s="61"/>
      <c r="P8" s="61"/>
      <c r="Q8" s="61"/>
    </row>
    <row r="9" spans="1:17" s="50" customFormat="1" ht="13.5" customHeight="1">
      <c r="A9" s="55" t="s">
        <v>119</v>
      </c>
      <c r="B9" s="73"/>
      <c r="C9" s="71"/>
      <c r="D9" s="293"/>
      <c r="E9" s="293"/>
      <c r="F9" s="293"/>
      <c r="G9" s="72"/>
      <c r="H9" s="293"/>
      <c r="I9" s="293"/>
      <c r="J9" s="72"/>
      <c r="K9" s="294"/>
      <c r="L9" s="294"/>
      <c r="M9" s="294"/>
      <c r="N9" s="294"/>
      <c r="O9" s="294"/>
      <c r="P9" s="294"/>
      <c r="Q9" s="294"/>
    </row>
  </sheetData>
  <hyperlinks>
    <hyperlink ref="A2" location="'Title_&amp;_Contents'!A1" display="Contents"/>
    <hyperlink ref="B2" location="Map_of_sheets!A1" display="Map of sheets"/>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29"/>
  <sheetViews>
    <sheetView showGridLines="0" zoomScaleNormal="100" workbookViewId="0"/>
  </sheetViews>
  <sheetFormatPr defaultRowHeight="12.75"/>
  <cols>
    <col min="2" max="2" width="22.140625" customWidth="1"/>
    <col min="3" max="23" width="12.85546875" bestFit="1" customWidth="1"/>
    <col min="24" max="24" width="12.85546875" customWidth="1"/>
    <col min="25" max="25" width="12.85546875" bestFit="1" customWidth="1"/>
    <col min="26" max="39" width="12.855468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c r="A4" s="58" t="s">
        <v>26</v>
      </c>
      <c r="B4" s="58"/>
      <c r="C4" s="58"/>
      <c r="D4" s="58"/>
      <c r="E4" s="292"/>
      <c r="F4" s="58"/>
      <c r="G4" s="58"/>
      <c r="H4" s="58"/>
      <c r="I4" s="58"/>
      <c r="J4" s="58"/>
      <c r="K4" s="58"/>
      <c r="L4" s="58"/>
      <c r="M4" s="58"/>
      <c r="N4" s="58"/>
      <c r="O4" s="58"/>
      <c r="P4" s="58"/>
      <c r="Q4" s="58"/>
    </row>
    <row r="5" spans="1:17" s="47" customFormat="1" ht="13.15" customHeight="1">
      <c r="A5" s="60" t="s">
        <v>1327</v>
      </c>
      <c r="B5" s="60"/>
      <c r="C5" s="60"/>
      <c r="D5" s="60"/>
      <c r="E5" s="60"/>
      <c r="F5" s="60"/>
      <c r="G5" s="60"/>
      <c r="H5" s="60"/>
      <c r="I5" s="60"/>
      <c r="J5" s="60"/>
      <c r="K5" s="60"/>
      <c r="L5" s="60"/>
      <c r="M5" s="60"/>
      <c r="N5" s="60"/>
      <c r="O5" s="60"/>
      <c r="P5" s="60"/>
      <c r="Q5" s="60"/>
    </row>
    <row r="6" spans="1:17" s="46" customFormat="1">
      <c r="A6" s="56" t="s">
        <v>1420</v>
      </c>
      <c r="B6" s="61"/>
      <c r="C6" s="61"/>
      <c r="D6" s="61"/>
      <c r="E6" s="292"/>
      <c r="F6" s="61"/>
      <c r="G6" s="61"/>
      <c r="H6" s="61"/>
      <c r="I6" s="61"/>
      <c r="J6" s="61"/>
      <c r="K6" s="61"/>
      <c r="L6" s="61"/>
      <c r="M6" s="61"/>
      <c r="N6" s="61"/>
      <c r="O6" s="61"/>
      <c r="P6" s="61"/>
      <c r="Q6" s="61"/>
    </row>
    <row r="7" spans="1:17" s="46" customFormat="1">
      <c r="A7" s="54" t="s">
        <v>166</v>
      </c>
      <c r="B7" s="56"/>
      <c r="C7" s="61"/>
      <c r="D7" s="61"/>
      <c r="E7" s="292"/>
      <c r="F7" s="61"/>
      <c r="G7" s="61"/>
      <c r="H7" s="61"/>
      <c r="I7" s="61"/>
      <c r="J7" s="61"/>
      <c r="K7" s="61"/>
      <c r="L7" s="61"/>
      <c r="M7" s="61"/>
      <c r="N7" s="61"/>
      <c r="O7" s="61"/>
      <c r="P7" s="61"/>
      <c r="Q7" s="61"/>
    </row>
    <row r="8" spans="1:17" s="46" customFormat="1">
      <c r="A8" s="56" t="s">
        <v>24</v>
      </c>
      <c r="B8" s="61"/>
      <c r="C8" s="61"/>
      <c r="D8" s="61"/>
      <c r="E8" s="292"/>
      <c r="F8" s="61"/>
      <c r="G8" s="61"/>
      <c r="H8" s="61"/>
      <c r="I8" s="61"/>
      <c r="J8" s="61"/>
      <c r="K8" s="61"/>
      <c r="L8" s="61"/>
      <c r="M8" s="61"/>
      <c r="N8" s="61"/>
      <c r="O8" s="61"/>
      <c r="P8" s="61"/>
      <c r="Q8" s="61"/>
    </row>
    <row r="9" spans="1:17" s="50" customFormat="1" ht="13.5" customHeight="1">
      <c r="A9" s="55" t="s">
        <v>119</v>
      </c>
      <c r="B9" s="73"/>
      <c r="C9" s="71"/>
      <c r="D9" s="48"/>
      <c r="E9" s="48"/>
      <c r="F9" s="48"/>
      <c r="G9" s="72"/>
      <c r="H9" s="48"/>
      <c r="I9" s="48"/>
      <c r="J9" s="72"/>
      <c r="K9" s="49"/>
      <c r="L9" s="49"/>
      <c r="M9" s="49"/>
      <c r="N9" s="49"/>
      <c r="O9" s="49"/>
      <c r="P9" s="49"/>
      <c r="Q9" s="49"/>
    </row>
    <row r="37" spans="2:26">
      <c r="B37" s="149" t="s">
        <v>320</v>
      </c>
    </row>
    <row r="38" spans="2:26" s="5" customFormat="1">
      <c r="C38" s="305" t="str">
        <f>RAW_DATA_INPUTS!C355</f>
        <v>2004/05</v>
      </c>
      <c r="D38" s="305" t="str">
        <f>RAW_DATA_INPUTS!D355</f>
        <v>2005/06</v>
      </c>
      <c r="E38" s="305" t="str">
        <f>RAW_DATA_INPUTS!E355</f>
        <v>2006/07</v>
      </c>
      <c r="F38" s="305" t="str">
        <f>RAW_DATA_INPUTS!F355</f>
        <v>2007/08</v>
      </c>
      <c r="G38" s="305" t="str">
        <f>RAW_DATA_INPUTS!G355</f>
        <v>2008/09</v>
      </c>
      <c r="H38" s="305" t="str">
        <f>RAW_DATA_INPUTS!H355</f>
        <v>2009/10</v>
      </c>
      <c r="I38" s="305" t="str">
        <f>RAW_DATA_INPUTS!I355</f>
        <v>2010/11</v>
      </c>
      <c r="J38" s="305" t="str">
        <f>RAW_DATA_INPUTS!J355</f>
        <v>2011/12</v>
      </c>
      <c r="K38" s="305" t="str">
        <f>RAW_DATA_INPUTS!K355</f>
        <v>2012/13</v>
      </c>
      <c r="L38" s="305" t="str">
        <f>RAW_DATA_INPUTS!L355</f>
        <v>2013/14</v>
      </c>
      <c r="M38" s="305" t="str">
        <f>RAW_DATA_INPUTS!M355</f>
        <v>2014/15</v>
      </c>
      <c r="N38" s="305" t="str">
        <f>RAW_DATA_INPUTS!N355</f>
        <v>2015/16</v>
      </c>
      <c r="O38" s="305" t="str">
        <f>RAW_DATA_INPUTS!O355</f>
        <v>2016/17</v>
      </c>
      <c r="P38" s="305" t="str">
        <f>RAW_DATA_INPUTS!P355</f>
        <v>2017/18</v>
      </c>
      <c r="Q38" s="305" t="str">
        <f>RAW_DATA_INPUTS!Q355</f>
        <v>2018/19</v>
      </c>
      <c r="R38" s="305" t="str">
        <f>RAW_DATA_INPUTS!R355</f>
        <v>2019/20</v>
      </c>
      <c r="S38" s="305" t="str">
        <f>RAW_DATA_INPUTS!S355</f>
        <v>2020/21</v>
      </c>
      <c r="T38" s="305" t="str">
        <f>RAW_DATA_INPUTS!T355</f>
        <v>2021/22</v>
      </c>
      <c r="U38" s="305" t="str">
        <f>RAW_DATA_INPUTS!U355</f>
        <v>2022/23</v>
      </c>
      <c r="V38" s="305" t="str">
        <f>RAW_DATA_INPUTS!V355</f>
        <v>2023/24</v>
      </c>
      <c r="W38" s="305" t="str">
        <f>RAW_DATA_INPUTS!W355</f>
        <v>2024/25</v>
      </c>
      <c r="X38" s="305" t="str">
        <f>RAW_DATA_INPUTS!X355</f>
        <v>2025/26</v>
      </c>
      <c r="Y38" s="305" t="str">
        <f>RAW_DATA_INPUTS!Y355</f>
        <v>2026/27</v>
      </c>
      <c r="Z38" s="305" t="str">
        <f>RAW_DATA_INPUTS!Z355</f>
        <v>2027/28</v>
      </c>
    </row>
    <row r="39" spans="2:26">
      <c r="B39" s="12" t="s">
        <v>324</v>
      </c>
      <c r="C39" s="303">
        <f>RAW_DATA_INPUTS!C374</f>
        <v>4133670.5</v>
      </c>
      <c r="D39" s="303">
        <f>RAW_DATA_INPUTS!D374</f>
        <v>4085271.436729731</v>
      </c>
      <c r="E39" s="303">
        <f>RAW_DATA_INPUTS!E374</f>
        <v>4047195.5</v>
      </c>
      <c r="F39" s="303">
        <f>RAW_DATA_INPUTS!F374</f>
        <v>4028055.5</v>
      </c>
      <c r="G39" s="303">
        <f>RAW_DATA_INPUTS!G374</f>
        <v>4016161.5</v>
      </c>
      <c r="H39" s="303">
        <f>RAW_DATA_INPUTS!H374</f>
        <v>4036364.5</v>
      </c>
      <c r="I39" s="303">
        <f>RAW_DATA_INPUTS!I374</f>
        <v>4074368</v>
      </c>
      <c r="J39" s="303">
        <f>RAW_DATA_INPUTS!J374</f>
        <v>4150277.5</v>
      </c>
      <c r="K39" s="303">
        <f>RAW_DATA_INPUTS!K374</f>
        <v>4247394.5</v>
      </c>
      <c r="L39" s="303">
        <f>RAW_DATA_INPUTS!L374</f>
        <v>4359000</v>
      </c>
      <c r="M39" s="303">
        <f>RAW_DATA_INPUTS!M374</f>
        <v>4463434</v>
      </c>
      <c r="N39" s="303">
        <f>RAW_DATA_INPUTS!N374</f>
        <v>4574041.5</v>
      </c>
      <c r="O39" s="303">
        <f>RAW_DATA_INPUTS!O374</f>
        <v>4667419.9398695249</v>
      </c>
      <c r="P39" s="303">
        <f>RAW_DATA_INPUTS!P374</f>
        <v>4724098.4138873443</v>
      </c>
      <c r="Q39" s="303">
        <f>RAW_DATA_INPUTS!Q374</f>
        <v>4745204.8245316185</v>
      </c>
      <c r="R39" s="303">
        <f>RAW_DATA_INPUTS!R374</f>
        <v>4735436.692694962</v>
      </c>
      <c r="S39" s="303">
        <f>RAW_DATA_INPUTS!S374</f>
        <v>4720384.9428184703</v>
      </c>
      <c r="T39" s="303">
        <f>RAW_DATA_INPUTS!T374</f>
        <v>4686410.057521658</v>
      </c>
      <c r="U39" s="303">
        <f>RAW_DATA_INPUTS!U374</f>
        <v>4631287.970524773</v>
      </c>
      <c r="V39" s="303">
        <f>RAW_DATA_INPUTS!V374</f>
        <v>4560789.4130896209</v>
      </c>
      <c r="W39" s="303">
        <f>RAW_DATA_INPUTS!W374</f>
        <v>4507494.961918328</v>
      </c>
      <c r="X39" s="303">
        <f>RAW_DATA_INPUTS!X374</f>
        <v>4465382.6294872109</v>
      </c>
      <c r="Y39" s="303">
        <f>RAW_DATA_INPUTS!Y374</f>
        <v>4423052.6921859132</v>
      </c>
      <c r="Z39" s="303">
        <f>RAW_DATA_INPUTS!Z374</f>
        <v>4385148.6217694012</v>
      </c>
    </row>
    <row r="40" spans="2:26">
      <c r="B40" s="12" t="s">
        <v>366</v>
      </c>
      <c r="C40" s="303">
        <f>RAW_DATA_INPUTS!C356</f>
        <v>4133670.5</v>
      </c>
      <c r="D40" s="303">
        <f>RAW_DATA_INPUTS!D356</f>
        <v>4085271.436729731</v>
      </c>
      <c r="E40" s="303">
        <f>RAW_DATA_INPUTS!E356</f>
        <v>4047195.5</v>
      </c>
      <c r="F40" s="303">
        <f>RAW_DATA_INPUTS!F356</f>
        <v>4028055.5</v>
      </c>
      <c r="G40" s="303">
        <f>RAW_DATA_INPUTS!G356</f>
        <v>4016161.5</v>
      </c>
      <c r="H40" s="303">
        <f>RAW_DATA_INPUTS!H356</f>
        <v>4036364.5</v>
      </c>
      <c r="I40" s="303">
        <f>RAW_DATA_INPUTS!I356</f>
        <v>4074368</v>
      </c>
      <c r="J40" s="303">
        <f>RAW_DATA_INPUTS!J356</f>
        <v>4150277.5</v>
      </c>
      <c r="K40" s="303">
        <f>RAW_DATA_INPUTS!K356</f>
        <v>4247394.5</v>
      </c>
      <c r="L40" s="303">
        <f>RAW_DATA_INPUTS!L356</f>
        <v>4359000</v>
      </c>
      <c r="M40" s="303">
        <f>RAW_DATA_INPUTS!M356</f>
        <v>4463434</v>
      </c>
      <c r="N40" s="303">
        <f>RAW_DATA_INPUTS!N356</f>
        <v>4574041.5</v>
      </c>
      <c r="O40" s="303">
        <f>RAW_DATA_INPUTS!O356</f>
        <v>4669403.6051013358</v>
      </c>
      <c r="P40" s="303">
        <f>RAW_DATA_INPUTS!P356</f>
        <v>4728615.0056829667</v>
      </c>
      <c r="Q40" s="303">
        <f>RAW_DATA_INPUTS!Q356</f>
        <v>4754148.1072515734</v>
      </c>
      <c r="R40" s="303">
        <f>RAW_DATA_INPUTS!R356</f>
        <v>4754929.3367273957</v>
      </c>
      <c r="S40" s="303">
        <f>RAW_DATA_INPUTS!S356</f>
        <v>4765188.6443500407</v>
      </c>
      <c r="T40" s="303">
        <f>RAW_DATA_INPUTS!T356</f>
        <v>4768353.1674103234</v>
      </c>
      <c r="U40" s="303">
        <f>RAW_DATA_INPUTS!U356</f>
        <v>4760117.7392643597</v>
      </c>
      <c r="V40" s="303">
        <f>RAW_DATA_INPUTS!V356</f>
        <v>4744856.0009206505</v>
      </c>
      <c r="W40" s="303">
        <f>RAW_DATA_INPUTS!W356</f>
        <v>4754081.3268117374</v>
      </c>
      <c r="X40" s="303">
        <f>RAW_DATA_INPUTS!X356</f>
        <v>4780859.047119638</v>
      </c>
      <c r="Y40" s="303">
        <f>RAW_DATA_INPUTS!Y356</f>
        <v>4809841.7847702289</v>
      </c>
      <c r="Z40" s="303">
        <f>RAW_DATA_INPUTS!Z356</f>
        <v>4831636.05383253</v>
      </c>
    </row>
    <row r="41" spans="2:26">
      <c r="B41" s="12" t="s">
        <v>325</v>
      </c>
      <c r="C41" s="303">
        <f>RAW_DATA_INPUTS!C365</f>
        <v>4133670.5</v>
      </c>
      <c r="D41" s="303">
        <f>RAW_DATA_INPUTS!D365</f>
        <v>4085271.436729731</v>
      </c>
      <c r="E41" s="303">
        <f>RAW_DATA_INPUTS!E365</f>
        <v>4047195.5</v>
      </c>
      <c r="F41" s="303">
        <f>RAW_DATA_INPUTS!F365</f>
        <v>4028055.5</v>
      </c>
      <c r="G41" s="303">
        <f>RAW_DATA_INPUTS!G365</f>
        <v>4016161.5</v>
      </c>
      <c r="H41" s="303">
        <f>RAW_DATA_INPUTS!H365</f>
        <v>4036364.5</v>
      </c>
      <c r="I41" s="303">
        <f>RAW_DATA_INPUTS!I365</f>
        <v>4074368</v>
      </c>
      <c r="J41" s="303">
        <f>RAW_DATA_INPUTS!J365</f>
        <v>4150277.5</v>
      </c>
      <c r="K41" s="303">
        <f>RAW_DATA_INPUTS!K365</f>
        <v>4247394.5</v>
      </c>
      <c r="L41" s="303">
        <f>RAW_DATA_INPUTS!L365</f>
        <v>4359000</v>
      </c>
      <c r="M41" s="303">
        <f>RAW_DATA_INPUTS!M365</f>
        <v>4463434</v>
      </c>
      <c r="N41" s="303">
        <f>RAW_DATA_INPUTS!N365</f>
        <v>4574041.5</v>
      </c>
      <c r="O41" s="303">
        <f>RAW_DATA_INPUTS!O365</f>
        <v>4671388.1460606074</v>
      </c>
      <c r="P41" s="303">
        <f>RAW_DATA_INPUTS!P365</f>
        <v>4733115.2348120278</v>
      </c>
      <c r="Q41" s="303">
        <f>RAW_DATA_INPUTS!Q365</f>
        <v>4762904.3248919779</v>
      </c>
      <c r="R41" s="303">
        <f>RAW_DATA_INPUTS!R365</f>
        <v>4773005.3617659593</v>
      </c>
      <c r="S41" s="303">
        <f>RAW_DATA_INPUTS!S365</f>
        <v>4803798.3480132939</v>
      </c>
      <c r="T41" s="303">
        <f>RAW_DATA_INPUTS!T365</f>
        <v>4831794.2220384879</v>
      </c>
      <c r="U41" s="303">
        <f>RAW_DATA_INPUTS!U365</f>
        <v>4852968.2305780109</v>
      </c>
      <c r="V41" s="303">
        <f>RAW_DATA_INPUTS!V365</f>
        <v>4872602.9333871268</v>
      </c>
      <c r="W41" s="303">
        <f>RAW_DATA_INPUTS!W365</f>
        <v>4923032.2432402028</v>
      </c>
      <c r="X41" s="303">
        <f>RAW_DATA_INPUTS!X365</f>
        <v>4997823.4105701968</v>
      </c>
      <c r="Y41" s="303">
        <f>RAW_DATA_INPUTS!Y365</f>
        <v>5078763.4492232995</v>
      </c>
      <c r="Z41" s="303">
        <f>RAW_DATA_INPUTS!Z365</f>
        <v>5146137.8783389097</v>
      </c>
    </row>
    <row r="42" spans="2:26">
      <c r="B42" s="12"/>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row>
    <row r="43" spans="2:26">
      <c r="B43" s="149" t="s">
        <v>321</v>
      </c>
      <c r="C43" s="302"/>
      <c r="D43" s="302"/>
      <c r="E43" s="302"/>
      <c r="F43" s="302"/>
      <c r="G43" s="302"/>
      <c r="H43" s="302"/>
      <c r="I43" s="302"/>
      <c r="J43" s="302"/>
      <c r="K43" s="302"/>
      <c r="L43" s="302"/>
      <c r="M43" s="302"/>
      <c r="N43" s="302"/>
      <c r="O43" s="302"/>
      <c r="P43" s="302"/>
      <c r="Q43" s="302"/>
      <c r="R43" s="302"/>
      <c r="S43" s="302"/>
      <c r="T43" s="302"/>
      <c r="U43" s="302"/>
      <c r="V43" s="302"/>
      <c r="W43" s="302"/>
      <c r="X43" s="302"/>
      <c r="Y43" s="302"/>
    </row>
    <row r="44" spans="2:26" s="5" customFormat="1">
      <c r="C44" s="305" t="str">
        <f>C38</f>
        <v>2004/05</v>
      </c>
      <c r="D44" s="305" t="str">
        <f t="shared" ref="D44:Z44" si="0">D38</f>
        <v>2005/06</v>
      </c>
      <c r="E44" s="305" t="str">
        <f t="shared" si="0"/>
        <v>2006/07</v>
      </c>
      <c r="F44" s="305" t="str">
        <f t="shared" si="0"/>
        <v>2007/08</v>
      </c>
      <c r="G44" s="305" t="str">
        <f t="shared" si="0"/>
        <v>2008/09</v>
      </c>
      <c r="H44" s="305" t="str">
        <f t="shared" si="0"/>
        <v>2009/10</v>
      </c>
      <c r="I44" s="305" t="str">
        <f t="shared" si="0"/>
        <v>2010/11</v>
      </c>
      <c r="J44" s="305" t="str">
        <f t="shared" si="0"/>
        <v>2011/12</v>
      </c>
      <c r="K44" s="305" t="str">
        <f t="shared" si="0"/>
        <v>2012/13</v>
      </c>
      <c r="L44" s="305" t="str">
        <f t="shared" si="0"/>
        <v>2013/14</v>
      </c>
      <c r="M44" s="305" t="str">
        <f t="shared" si="0"/>
        <v>2014/15</v>
      </c>
      <c r="N44" s="305" t="str">
        <f t="shared" si="0"/>
        <v>2015/16</v>
      </c>
      <c r="O44" s="305" t="str">
        <f t="shared" si="0"/>
        <v>2016/17</v>
      </c>
      <c r="P44" s="305" t="str">
        <f t="shared" si="0"/>
        <v>2017/18</v>
      </c>
      <c r="Q44" s="305" t="str">
        <f t="shared" si="0"/>
        <v>2018/19</v>
      </c>
      <c r="R44" s="305" t="str">
        <f t="shared" si="0"/>
        <v>2019/20</v>
      </c>
      <c r="S44" s="305" t="str">
        <f t="shared" si="0"/>
        <v>2020/21</v>
      </c>
      <c r="T44" s="305" t="str">
        <f t="shared" si="0"/>
        <v>2021/22</v>
      </c>
      <c r="U44" s="305" t="str">
        <f t="shared" si="0"/>
        <v>2022/23</v>
      </c>
      <c r="V44" s="305" t="str">
        <f t="shared" si="0"/>
        <v>2023/24</v>
      </c>
      <c r="W44" s="305" t="str">
        <f t="shared" si="0"/>
        <v>2024/25</v>
      </c>
      <c r="X44" s="305" t="str">
        <f t="shared" si="0"/>
        <v>2025/26</v>
      </c>
      <c r="Y44" s="305" t="str">
        <f t="shared" si="0"/>
        <v>2026/27</v>
      </c>
      <c r="Z44" s="305" t="str">
        <f t="shared" si="0"/>
        <v>2027/28</v>
      </c>
    </row>
    <row r="45" spans="2:26">
      <c r="B45" s="12" t="s">
        <v>326</v>
      </c>
      <c r="C45" s="304">
        <f>RAW_DATA_INPUTS!C375</f>
        <v>1783139.5</v>
      </c>
      <c r="D45" s="304">
        <f>RAW_DATA_INPUTS!D375</f>
        <v>1758000.0007601124</v>
      </c>
      <c r="E45" s="304">
        <f>RAW_DATA_INPUTS!E375</f>
        <v>1722930</v>
      </c>
      <c r="F45" s="304">
        <f>RAW_DATA_INPUTS!F375</f>
        <v>1701531</v>
      </c>
      <c r="G45" s="304">
        <f>RAW_DATA_INPUTS!G375</f>
        <v>1691158</v>
      </c>
      <c r="H45" s="304">
        <f>RAW_DATA_INPUTS!H375</f>
        <v>1680949</v>
      </c>
      <c r="I45" s="304">
        <f>RAW_DATA_INPUTS!I375</f>
        <v>1672689.5</v>
      </c>
      <c r="J45" s="304">
        <f>RAW_DATA_INPUTS!J375</f>
        <v>1641887</v>
      </c>
      <c r="K45" s="304">
        <f>RAW_DATA_INPUTS!K375</f>
        <v>1612821</v>
      </c>
      <c r="L45" s="304">
        <f>RAW_DATA_INPUTS!L375</f>
        <v>1587472</v>
      </c>
      <c r="M45" s="304">
        <f>RAW_DATA_INPUTS!M375</f>
        <v>1595949</v>
      </c>
      <c r="N45" s="304">
        <f>RAW_DATA_INPUTS!N375</f>
        <v>1630717</v>
      </c>
      <c r="O45" s="304">
        <f>RAW_DATA_INPUTS!O375</f>
        <v>1683828.6238711553</v>
      </c>
      <c r="P45" s="304">
        <f>RAW_DATA_INPUTS!P375</f>
        <v>1727890.7818067675</v>
      </c>
      <c r="Q45" s="304">
        <f>RAW_DATA_INPUTS!Q375</f>
        <v>1775584.5153139823</v>
      </c>
      <c r="R45" s="304">
        <f>RAW_DATA_INPUTS!R375</f>
        <v>1835920.5632854216</v>
      </c>
      <c r="S45" s="304">
        <f>RAW_DATA_INPUTS!S375</f>
        <v>1878830.7214345573</v>
      </c>
      <c r="T45" s="304">
        <f>RAW_DATA_INPUTS!T375</f>
        <v>1912449.2663182598</v>
      </c>
      <c r="U45" s="304">
        <f>RAW_DATA_INPUTS!U375</f>
        <v>1936687.2722497336</v>
      </c>
      <c r="V45" s="304">
        <f>RAW_DATA_INPUTS!V375</f>
        <v>1974307.7242090211</v>
      </c>
      <c r="W45" s="304">
        <f>RAW_DATA_INPUTS!W375</f>
        <v>1977243.1093400954</v>
      </c>
      <c r="X45" s="304">
        <f>RAW_DATA_INPUTS!X375</f>
        <v>1948835.5390007489</v>
      </c>
      <c r="Y45" s="304">
        <f>RAW_DATA_INPUTS!Y375</f>
        <v>1906414.5498010265</v>
      </c>
      <c r="Z45" s="304">
        <f>RAW_DATA_INPUTS!Z375</f>
        <v>1877875.0233929039</v>
      </c>
    </row>
    <row r="46" spans="2:26">
      <c r="B46" s="12" t="s">
        <v>367</v>
      </c>
      <c r="C46" s="304">
        <f>RAW_DATA_INPUTS!C357</f>
        <v>1783139.5</v>
      </c>
      <c r="D46" s="304">
        <f>RAW_DATA_INPUTS!D357</f>
        <v>1758000.0007601124</v>
      </c>
      <c r="E46" s="304">
        <f>RAW_DATA_INPUTS!E357</f>
        <v>1722930</v>
      </c>
      <c r="F46" s="304">
        <f>RAW_DATA_INPUTS!F357</f>
        <v>1701531</v>
      </c>
      <c r="G46" s="304">
        <f>RAW_DATA_INPUTS!G357</f>
        <v>1691158</v>
      </c>
      <c r="H46" s="304">
        <f>RAW_DATA_INPUTS!H357</f>
        <v>1680949</v>
      </c>
      <c r="I46" s="304">
        <f>RAW_DATA_INPUTS!I357</f>
        <v>1672689.5</v>
      </c>
      <c r="J46" s="304">
        <f>RAW_DATA_INPUTS!J357</f>
        <v>1641887</v>
      </c>
      <c r="K46" s="304">
        <f>RAW_DATA_INPUTS!K357</f>
        <v>1612821</v>
      </c>
      <c r="L46" s="304">
        <f>RAW_DATA_INPUTS!L357</f>
        <v>1587472</v>
      </c>
      <c r="M46" s="304">
        <f>RAW_DATA_INPUTS!M357</f>
        <v>1595949</v>
      </c>
      <c r="N46" s="304">
        <f>RAW_DATA_INPUTS!N357</f>
        <v>1630717</v>
      </c>
      <c r="O46" s="304">
        <f>RAW_DATA_INPUTS!O357</f>
        <v>1684263.7099882406</v>
      </c>
      <c r="P46" s="304">
        <f>RAW_DATA_INPUTS!P357</f>
        <v>1728753.1396461697</v>
      </c>
      <c r="Q46" s="304">
        <f>RAW_DATA_INPUTS!Q357</f>
        <v>1776887.7109150444</v>
      </c>
      <c r="R46" s="304">
        <f>RAW_DATA_INPUTS!R357</f>
        <v>1837687.6258995868</v>
      </c>
      <c r="S46" s="304">
        <f>RAW_DATA_INPUTS!S357</f>
        <v>1881127.9885499382</v>
      </c>
      <c r="T46" s="304">
        <f>RAW_DATA_INPUTS!T357</f>
        <v>1915313.121305503</v>
      </c>
      <c r="U46" s="304">
        <f>RAW_DATA_INPUTS!U357</f>
        <v>1940527.0547370678</v>
      </c>
      <c r="V46" s="304">
        <f>RAW_DATA_INPUTS!V357</f>
        <v>1979340.1487121659</v>
      </c>
      <c r="W46" s="304">
        <f>RAW_DATA_INPUTS!W357</f>
        <v>1983726.1049581233</v>
      </c>
      <c r="X46" s="304">
        <f>RAW_DATA_INPUTS!X357</f>
        <v>1956668.4677220159</v>
      </c>
      <c r="Y46" s="304">
        <f>RAW_DATA_INPUTS!Y357</f>
        <v>1918632.3095877871</v>
      </c>
      <c r="Z46" s="304">
        <f>RAW_DATA_INPUTS!Z357</f>
        <v>1909994.1147172714</v>
      </c>
    </row>
    <row r="47" spans="2:26">
      <c r="B47" s="12" t="s">
        <v>327</v>
      </c>
      <c r="C47" s="304">
        <f>RAW_DATA_INPUTS!C366</f>
        <v>1783139.5</v>
      </c>
      <c r="D47" s="304">
        <f>RAW_DATA_INPUTS!D366</f>
        <v>1758000.0007601124</v>
      </c>
      <c r="E47" s="304">
        <f>RAW_DATA_INPUTS!E366</f>
        <v>1722930</v>
      </c>
      <c r="F47" s="304">
        <f>RAW_DATA_INPUTS!F366</f>
        <v>1701531</v>
      </c>
      <c r="G47" s="304">
        <f>RAW_DATA_INPUTS!G366</f>
        <v>1691158</v>
      </c>
      <c r="H47" s="304">
        <f>RAW_DATA_INPUTS!H366</f>
        <v>1680949</v>
      </c>
      <c r="I47" s="304">
        <f>RAW_DATA_INPUTS!I366</f>
        <v>1672689.5</v>
      </c>
      <c r="J47" s="304">
        <f>RAW_DATA_INPUTS!J366</f>
        <v>1641887</v>
      </c>
      <c r="K47" s="304">
        <f>RAW_DATA_INPUTS!K366</f>
        <v>1612821</v>
      </c>
      <c r="L47" s="304">
        <f>RAW_DATA_INPUTS!L366</f>
        <v>1587472</v>
      </c>
      <c r="M47" s="304">
        <f>RAW_DATA_INPUTS!M366</f>
        <v>1595949</v>
      </c>
      <c r="N47" s="304">
        <f>RAW_DATA_INPUTS!N366</f>
        <v>1630717</v>
      </c>
      <c r="O47" s="304">
        <f>RAW_DATA_INPUTS!O366</f>
        <v>1684694.0976149417</v>
      </c>
      <c r="P47" s="304">
        <f>RAW_DATA_INPUTS!P366</f>
        <v>1729604.2710067979</v>
      </c>
      <c r="Q47" s="304">
        <f>RAW_DATA_INPUTS!Q366</f>
        <v>1778171.2770992236</v>
      </c>
      <c r="R47" s="304">
        <f>RAW_DATA_INPUTS!R366</f>
        <v>1839439.0540544526</v>
      </c>
      <c r="S47" s="304">
        <f>RAW_DATA_INPUTS!S366</f>
        <v>1883411.9798854964</v>
      </c>
      <c r="T47" s="304">
        <f>RAW_DATA_INPUTS!T366</f>
        <v>1918161.5737690255</v>
      </c>
      <c r="U47" s="304">
        <f>RAW_DATA_INPUTS!U366</f>
        <v>1944334.2022429933</v>
      </c>
      <c r="V47" s="304">
        <f>RAW_DATA_INPUTS!V366</f>
        <v>1984321.3782253668</v>
      </c>
      <c r="W47" s="304">
        <f>RAW_DATA_INPUTS!W366</f>
        <v>1990135.6120818914</v>
      </c>
      <c r="X47" s="304">
        <f>RAW_DATA_INPUTS!X366</f>
        <v>1964427.3978935303</v>
      </c>
      <c r="Y47" s="304">
        <f>RAW_DATA_INPUTS!Y366</f>
        <v>1930635.0101398407</v>
      </c>
      <c r="Z47" s="304">
        <f>RAW_DATA_INPUTS!Z366</f>
        <v>1939587.2044791293</v>
      </c>
    </row>
    <row r="48" spans="2:26">
      <c r="B48" s="12"/>
      <c r="C48" s="304"/>
      <c r="D48" s="304"/>
      <c r="E48" s="304"/>
      <c r="F48" s="304"/>
      <c r="G48" s="304"/>
      <c r="H48" s="304"/>
      <c r="I48" s="304"/>
      <c r="J48" s="304"/>
      <c r="K48" s="304"/>
      <c r="L48" s="304"/>
      <c r="M48" s="304"/>
      <c r="N48" s="304"/>
      <c r="O48" s="304"/>
      <c r="P48" s="304"/>
      <c r="Q48" s="304"/>
      <c r="R48" s="304"/>
      <c r="S48" s="304"/>
      <c r="T48" s="304"/>
      <c r="U48" s="304"/>
      <c r="V48" s="304"/>
      <c r="W48" s="304"/>
      <c r="X48" s="304"/>
      <c r="Y48" s="304"/>
      <c r="Z48" s="304"/>
    </row>
    <row r="49" spans="2:26">
      <c r="B49" s="149" t="s">
        <v>322</v>
      </c>
      <c r="C49" s="302"/>
      <c r="D49" s="302"/>
      <c r="E49" s="302"/>
      <c r="F49" s="302"/>
      <c r="G49" s="302"/>
      <c r="H49" s="302"/>
      <c r="I49" s="302"/>
      <c r="J49" s="302"/>
      <c r="K49" s="302"/>
      <c r="L49" s="302"/>
      <c r="M49" s="302"/>
      <c r="N49" s="302"/>
      <c r="O49" s="302"/>
      <c r="P49" s="302"/>
      <c r="Q49" s="302"/>
      <c r="R49" s="302"/>
      <c r="S49" s="302"/>
      <c r="T49" s="302"/>
      <c r="U49" s="302"/>
      <c r="V49" s="302"/>
      <c r="W49" s="302"/>
      <c r="X49" s="302"/>
      <c r="Y49" s="302"/>
    </row>
    <row r="50" spans="2:26" s="5" customFormat="1">
      <c r="B50" s="76"/>
      <c r="C50" s="305" t="str">
        <f>C44</f>
        <v>2004/05</v>
      </c>
      <c r="D50" s="305" t="str">
        <f t="shared" ref="D50:Z50" si="1">D44</f>
        <v>2005/06</v>
      </c>
      <c r="E50" s="305" t="str">
        <f t="shared" si="1"/>
        <v>2006/07</v>
      </c>
      <c r="F50" s="305" t="str">
        <f t="shared" si="1"/>
        <v>2007/08</v>
      </c>
      <c r="G50" s="305" t="str">
        <f t="shared" si="1"/>
        <v>2008/09</v>
      </c>
      <c r="H50" s="305" t="str">
        <f t="shared" si="1"/>
        <v>2009/10</v>
      </c>
      <c r="I50" s="305" t="str">
        <f t="shared" si="1"/>
        <v>2010/11</v>
      </c>
      <c r="J50" s="305" t="str">
        <f t="shared" si="1"/>
        <v>2011/12</v>
      </c>
      <c r="K50" s="305" t="str">
        <f t="shared" si="1"/>
        <v>2012/13</v>
      </c>
      <c r="L50" s="305" t="str">
        <f t="shared" si="1"/>
        <v>2013/14</v>
      </c>
      <c r="M50" s="305" t="str">
        <f t="shared" si="1"/>
        <v>2014/15</v>
      </c>
      <c r="N50" s="305" t="str">
        <f t="shared" si="1"/>
        <v>2015/16</v>
      </c>
      <c r="O50" s="305" t="str">
        <f t="shared" si="1"/>
        <v>2016/17</v>
      </c>
      <c r="P50" s="305" t="str">
        <f t="shared" si="1"/>
        <v>2017/18</v>
      </c>
      <c r="Q50" s="305" t="str">
        <f t="shared" si="1"/>
        <v>2018/19</v>
      </c>
      <c r="R50" s="305" t="str">
        <f t="shared" si="1"/>
        <v>2019/20</v>
      </c>
      <c r="S50" s="305" t="str">
        <f t="shared" si="1"/>
        <v>2020/21</v>
      </c>
      <c r="T50" s="305" t="str">
        <f t="shared" si="1"/>
        <v>2021/22</v>
      </c>
      <c r="U50" s="305" t="str">
        <f t="shared" si="1"/>
        <v>2022/23</v>
      </c>
      <c r="V50" s="305" t="str">
        <f t="shared" si="1"/>
        <v>2023/24</v>
      </c>
      <c r="W50" s="305" t="str">
        <f t="shared" si="1"/>
        <v>2024/25</v>
      </c>
      <c r="X50" s="305" t="str">
        <f t="shared" si="1"/>
        <v>2025/26</v>
      </c>
      <c r="Y50" s="305" t="str">
        <f t="shared" si="1"/>
        <v>2026/27</v>
      </c>
      <c r="Z50" s="305" t="str">
        <f t="shared" si="1"/>
        <v>2027/28</v>
      </c>
    </row>
    <row r="51" spans="2:26">
      <c r="B51" s="12" t="s">
        <v>328</v>
      </c>
      <c r="C51" s="304">
        <f>RAW_DATA_INPUTS!C376</f>
        <v>1170159</v>
      </c>
      <c r="D51" s="304">
        <f>RAW_DATA_INPUTS!D376</f>
        <v>1185802.5625101563</v>
      </c>
      <c r="E51" s="304">
        <f>RAW_DATA_INPUTS!E376</f>
        <v>1189358</v>
      </c>
      <c r="F51" s="304">
        <f>RAW_DATA_INPUTS!F376</f>
        <v>1166918.5</v>
      </c>
      <c r="G51" s="304">
        <f>RAW_DATA_INPUTS!G376</f>
        <v>1146150</v>
      </c>
      <c r="H51" s="304">
        <f>RAW_DATA_INPUTS!H376</f>
        <v>1133977</v>
      </c>
      <c r="I51" s="304">
        <f>RAW_DATA_INPUTS!I376</f>
        <v>1116342.5</v>
      </c>
      <c r="J51" s="304">
        <f>RAW_DATA_INPUTS!J376</f>
        <v>1120567</v>
      </c>
      <c r="K51" s="304">
        <f>RAW_DATA_INPUTS!K376</f>
        <v>1117099</v>
      </c>
      <c r="L51" s="304">
        <f>RAW_DATA_INPUTS!L376</f>
        <v>1099417.5</v>
      </c>
      <c r="M51" s="304">
        <f>RAW_DATA_INPUTS!M376</f>
        <v>1081078</v>
      </c>
      <c r="N51" s="304">
        <f>RAW_DATA_INPUTS!N376</f>
        <v>1057483</v>
      </c>
      <c r="O51" s="304">
        <f>RAW_DATA_INPUTS!O376</f>
        <v>1040258.3702945485</v>
      </c>
      <c r="P51" s="304">
        <f>RAW_DATA_INPUTS!P376</f>
        <v>1057681.2916650109</v>
      </c>
      <c r="Q51" s="304">
        <f>RAW_DATA_INPUTS!Q376</f>
        <v>1096688.9526346519</v>
      </c>
      <c r="R51" s="304">
        <f>RAW_DATA_INPUTS!R376</f>
        <v>1126286.6917977219</v>
      </c>
      <c r="S51" s="304">
        <f>RAW_DATA_INPUTS!S376</f>
        <v>1151225.4512523098</v>
      </c>
      <c r="T51" s="304">
        <f>RAW_DATA_INPUTS!T376</f>
        <v>1185850.5882003792</v>
      </c>
      <c r="U51" s="304">
        <f>RAW_DATA_INPUTS!U376</f>
        <v>1231843.8786875182</v>
      </c>
      <c r="V51" s="304">
        <f>RAW_DATA_INPUTS!V376</f>
        <v>1252778.9940264528</v>
      </c>
      <c r="W51" s="304">
        <f>RAW_DATA_INPUTS!W376</f>
        <v>1261682.0120782063</v>
      </c>
      <c r="X51" s="304">
        <f>RAW_DATA_INPUTS!X376</f>
        <v>1289170.4471787717</v>
      </c>
      <c r="Y51" s="304">
        <f>RAW_DATA_INPUTS!Y376</f>
        <v>1314138.8230858098</v>
      </c>
      <c r="Z51" s="304">
        <f>RAW_DATA_INPUTS!Z376</f>
        <v>1301649.3716012938</v>
      </c>
    </row>
    <row r="52" spans="2:26">
      <c r="B52" s="12" t="s">
        <v>368</v>
      </c>
      <c r="C52" s="304">
        <f>RAW_DATA_INPUTS!C358</f>
        <v>1170159</v>
      </c>
      <c r="D52" s="304">
        <f>RAW_DATA_INPUTS!D358</f>
        <v>1185802.5625101563</v>
      </c>
      <c r="E52" s="304">
        <f>RAW_DATA_INPUTS!E358</f>
        <v>1189358</v>
      </c>
      <c r="F52" s="304">
        <f>RAW_DATA_INPUTS!F358</f>
        <v>1166918.5</v>
      </c>
      <c r="G52" s="304">
        <f>RAW_DATA_INPUTS!G358</f>
        <v>1146150</v>
      </c>
      <c r="H52" s="304">
        <f>RAW_DATA_INPUTS!H358</f>
        <v>1133977</v>
      </c>
      <c r="I52" s="304">
        <f>RAW_DATA_INPUTS!I358</f>
        <v>1116342.5</v>
      </c>
      <c r="J52" s="304">
        <f>RAW_DATA_INPUTS!J358</f>
        <v>1120567</v>
      </c>
      <c r="K52" s="304">
        <f>RAW_DATA_INPUTS!K358</f>
        <v>1117099</v>
      </c>
      <c r="L52" s="304">
        <f>RAW_DATA_INPUTS!L358</f>
        <v>1099417.5</v>
      </c>
      <c r="M52" s="304">
        <f>RAW_DATA_INPUTS!M358</f>
        <v>1081078</v>
      </c>
      <c r="N52" s="304">
        <f>RAW_DATA_INPUTS!N358</f>
        <v>1057483</v>
      </c>
      <c r="O52" s="304">
        <f>RAW_DATA_INPUTS!O358</f>
        <v>1040625.6043942383</v>
      </c>
      <c r="P52" s="304">
        <f>RAW_DATA_INPUTS!P358</f>
        <v>1058358.5821559713</v>
      </c>
      <c r="Q52" s="304">
        <f>RAW_DATA_INPUTS!Q358</f>
        <v>1097644.5657882683</v>
      </c>
      <c r="R52" s="304">
        <f>RAW_DATA_INPUTS!R358</f>
        <v>1127512.3599218801</v>
      </c>
      <c r="S52" s="304">
        <f>RAW_DATA_INPUTS!S358</f>
        <v>1152699.2067537962</v>
      </c>
      <c r="T52" s="304">
        <f>RAW_DATA_INPUTS!T358</f>
        <v>1187590.8202413935</v>
      </c>
      <c r="U52" s="304">
        <f>RAW_DATA_INPUTS!U358</f>
        <v>1233917.8070985656</v>
      </c>
      <c r="V52" s="304">
        <f>RAW_DATA_INPUTS!V358</f>
        <v>1255218.8994874852</v>
      </c>
      <c r="W52" s="304">
        <f>RAW_DATA_INPUTS!W358</f>
        <v>1264502.0497479856</v>
      </c>
      <c r="X52" s="304">
        <f>RAW_DATA_INPUTS!X358</f>
        <v>1292760.7570925467</v>
      </c>
      <c r="Y52" s="304">
        <f>RAW_DATA_INPUTS!Y358</f>
        <v>1318712.4272962825</v>
      </c>
      <c r="Z52" s="304">
        <f>RAW_DATA_INPUTS!Z358</f>
        <v>1307078.5028154906</v>
      </c>
    </row>
    <row r="53" spans="2:26">
      <c r="B53" s="12" t="s">
        <v>329</v>
      </c>
      <c r="C53" s="304">
        <f>RAW_DATA_INPUTS!C367</f>
        <v>1170159</v>
      </c>
      <c r="D53" s="304">
        <f>RAW_DATA_INPUTS!D367</f>
        <v>1185802.5625101563</v>
      </c>
      <c r="E53" s="304">
        <f>RAW_DATA_INPUTS!E367</f>
        <v>1189358</v>
      </c>
      <c r="F53" s="304">
        <f>RAW_DATA_INPUTS!F367</f>
        <v>1166918.5</v>
      </c>
      <c r="G53" s="304">
        <f>RAW_DATA_INPUTS!G367</f>
        <v>1146150</v>
      </c>
      <c r="H53" s="304">
        <f>RAW_DATA_INPUTS!H367</f>
        <v>1133977</v>
      </c>
      <c r="I53" s="304">
        <f>RAW_DATA_INPUTS!I367</f>
        <v>1116342.5</v>
      </c>
      <c r="J53" s="304">
        <f>RAW_DATA_INPUTS!J367</f>
        <v>1120567</v>
      </c>
      <c r="K53" s="304">
        <f>RAW_DATA_INPUTS!K367</f>
        <v>1117099</v>
      </c>
      <c r="L53" s="304">
        <f>RAW_DATA_INPUTS!L367</f>
        <v>1099417.5</v>
      </c>
      <c r="M53" s="304">
        <f>RAW_DATA_INPUTS!M367</f>
        <v>1081078</v>
      </c>
      <c r="N53" s="304">
        <f>RAW_DATA_INPUTS!N367</f>
        <v>1057483</v>
      </c>
      <c r="O53" s="304">
        <f>RAW_DATA_INPUTS!O367</f>
        <v>1040991.230668921</v>
      </c>
      <c r="P53" s="304">
        <f>RAW_DATA_INPUTS!P367</f>
        <v>1059027.9348431393</v>
      </c>
      <c r="Q53" s="304">
        <f>RAW_DATA_INPUTS!Q367</f>
        <v>1098595.4831508426</v>
      </c>
      <c r="R53" s="304">
        <f>RAW_DATA_INPUTS!R367</f>
        <v>1128725.9347578203</v>
      </c>
      <c r="S53" s="304">
        <f>RAW_DATA_INPUTS!S367</f>
        <v>1154152.4145374876</v>
      </c>
      <c r="T53" s="304">
        <f>RAW_DATA_INPUTS!T367</f>
        <v>1189310.4719968319</v>
      </c>
      <c r="U53" s="304">
        <f>RAW_DATA_INPUTS!U367</f>
        <v>1235971.3985704568</v>
      </c>
      <c r="V53" s="304">
        <f>RAW_DATA_INPUTS!V367</f>
        <v>1257630.5766059568</v>
      </c>
      <c r="W53" s="304">
        <f>RAW_DATA_INPUTS!W367</f>
        <v>1267294.8686386226</v>
      </c>
      <c r="X53" s="304">
        <f>RAW_DATA_INPUTS!X367</f>
        <v>1296308.3439918964</v>
      </c>
      <c r="Y53" s="304">
        <f>RAW_DATA_INPUTS!Y367</f>
        <v>1323221.4384614143</v>
      </c>
      <c r="Z53" s="304">
        <f>RAW_DATA_INPUTS!Z367</f>
        <v>1312445.2698794992</v>
      </c>
    </row>
    <row r="54" spans="2:26">
      <c r="B54" s="12"/>
      <c r="C54" s="304"/>
      <c r="D54" s="304"/>
      <c r="E54" s="304"/>
      <c r="F54" s="304"/>
      <c r="G54" s="304"/>
      <c r="H54" s="304"/>
      <c r="I54" s="304"/>
      <c r="J54" s="304"/>
      <c r="K54" s="304"/>
      <c r="L54" s="304"/>
      <c r="M54" s="304"/>
      <c r="N54" s="304"/>
      <c r="O54" s="304"/>
      <c r="P54" s="304"/>
      <c r="Q54" s="304"/>
      <c r="R54" s="304"/>
      <c r="S54" s="304"/>
      <c r="T54" s="304"/>
      <c r="U54" s="304"/>
      <c r="V54" s="304"/>
      <c r="W54" s="304"/>
      <c r="X54" s="304"/>
      <c r="Y54" s="304"/>
      <c r="Z54" s="304"/>
    </row>
    <row r="55" spans="2:26">
      <c r="B55" s="149" t="s">
        <v>323</v>
      </c>
      <c r="C55" s="302"/>
      <c r="D55" s="302"/>
      <c r="E55" s="302"/>
      <c r="F55" s="302"/>
      <c r="G55" s="302"/>
      <c r="H55" s="302"/>
      <c r="I55" s="302"/>
      <c r="J55" s="302"/>
      <c r="K55" s="302"/>
      <c r="L55" s="302"/>
      <c r="M55" s="302"/>
      <c r="N55" s="302"/>
      <c r="O55" s="302"/>
      <c r="P55" s="302"/>
      <c r="Q55" s="302"/>
      <c r="R55" s="302"/>
      <c r="S55" s="302"/>
      <c r="T55" s="302"/>
      <c r="U55" s="302"/>
      <c r="V55" s="302"/>
      <c r="W55" s="302"/>
      <c r="X55" s="302"/>
      <c r="Y55" s="302"/>
    </row>
    <row r="56" spans="2:26" s="5" customFormat="1">
      <c r="B56" s="76"/>
      <c r="C56" s="305" t="str">
        <f>C50</f>
        <v>2004/05</v>
      </c>
      <c r="D56" s="305" t="str">
        <f t="shared" ref="D56:Z56" si="2">D50</f>
        <v>2005/06</v>
      </c>
      <c r="E56" s="305" t="str">
        <f t="shared" si="2"/>
        <v>2006/07</v>
      </c>
      <c r="F56" s="305" t="str">
        <f t="shared" si="2"/>
        <v>2007/08</v>
      </c>
      <c r="G56" s="305" t="str">
        <f t="shared" si="2"/>
        <v>2008/09</v>
      </c>
      <c r="H56" s="305" t="str">
        <f t="shared" si="2"/>
        <v>2009/10</v>
      </c>
      <c r="I56" s="305" t="str">
        <f t="shared" si="2"/>
        <v>2010/11</v>
      </c>
      <c r="J56" s="305" t="str">
        <f t="shared" si="2"/>
        <v>2011/12</v>
      </c>
      <c r="K56" s="305" t="str">
        <f t="shared" si="2"/>
        <v>2012/13</v>
      </c>
      <c r="L56" s="305" t="str">
        <f t="shared" si="2"/>
        <v>2013/14</v>
      </c>
      <c r="M56" s="305" t="str">
        <f t="shared" si="2"/>
        <v>2014/15</v>
      </c>
      <c r="N56" s="305" t="str">
        <f t="shared" si="2"/>
        <v>2015/16</v>
      </c>
      <c r="O56" s="305" t="str">
        <f t="shared" si="2"/>
        <v>2016/17</v>
      </c>
      <c r="P56" s="305" t="str">
        <f t="shared" si="2"/>
        <v>2017/18</v>
      </c>
      <c r="Q56" s="305" t="str">
        <f t="shared" si="2"/>
        <v>2018/19</v>
      </c>
      <c r="R56" s="305" t="str">
        <f t="shared" si="2"/>
        <v>2019/20</v>
      </c>
      <c r="S56" s="305" t="str">
        <f t="shared" si="2"/>
        <v>2020/21</v>
      </c>
      <c r="T56" s="305" t="str">
        <f t="shared" si="2"/>
        <v>2021/22</v>
      </c>
      <c r="U56" s="305" t="str">
        <f t="shared" si="2"/>
        <v>2022/23</v>
      </c>
      <c r="V56" s="305" t="str">
        <f t="shared" si="2"/>
        <v>2023/24</v>
      </c>
      <c r="W56" s="305" t="str">
        <f t="shared" si="2"/>
        <v>2024/25</v>
      </c>
      <c r="X56" s="305" t="str">
        <f t="shared" si="2"/>
        <v>2025/26</v>
      </c>
      <c r="Y56" s="305" t="str">
        <f t="shared" si="2"/>
        <v>2026/27</v>
      </c>
      <c r="Z56" s="305" t="str">
        <f t="shared" si="2"/>
        <v>2027/28</v>
      </c>
    </row>
    <row r="57" spans="2:26">
      <c r="B57" s="12" t="s">
        <v>330</v>
      </c>
      <c r="C57" s="304">
        <f>Pupils_data_scenarios!C42</f>
        <v>355184.5</v>
      </c>
      <c r="D57" s="304">
        <f>Pupils_data_scenarios!D42</f>
        <v>361355</v>
      </c>
      <c r="E57" s="304">
        <f>Pupils_data_scenarios!E42</f>
        <v>370116</v>
      </c>
      <c r="F57" s="304">
        <f>Pupils_data_scenarios!F42</f>
        <v>380453</v>
      </c>
      <c r="G57" s="304">
        <f>Pupils_data_scenarios!G42</f>
        <v>394342</v>
      </c>
      <c r="H57" s="304">
        <f>Pupils_data_scenarios!H42</f>
        <v>412859.5</v>
      </c>
      <c r="I57" s="304">
        <f>Pupils_data_scenarios!I42</f>
        <v>423222</v>
      </c>
      <c r="J57" s="304">
        <f>Pupils_data_scenarios!J42</f>
        <v>423232.5</v>
      </c>
      <c r="K57" s="304">
        <f>Pupils_data_scenarios!K42</f>
        <v>428860</v>
      </c>
      <c r="L57" s="304">
        <f>Pupils_data_scenarios!L42</f>
        <v>439034.5</v>
      </c>
      <c r="M57" s="304">
        <f>Pupils_data_scenarios!M42</f>
        <v>442772</v>
      </c>
      <c r="N57" s="304">
        <f>Pupils_data_scenarios!N42</f>
        <v>433788</v>
      </c>
      <c r="O57" s="304">
        <f>Pupils_data_scenarios!O42</f>
        <v>427506.57554242498</v>
      </c>
      <c r="P57" s="304">
        <f>Pupils_data_scenarios!P42</f>
        <v>418040.7088398693</v>
      </c>
      <c r="Q57" s="304">
        <f>Pupils_data_scenarios!Q42</f>
        <v>408719.2861263958</v>
      </c>
      <c r="R57" s="304">
        <f>Pupils_data_scenarios!R42</f>
        <v>404624.86167162831</v>
      </c>
      <c r="S57" s="304">
        <f>Pupils_data_scenarios!S42</f>
        <v>406057.69469927071</v>
      </c>
      <c r="T57" s="304">
        <f>Pupils_data_scenarios!T42</f>
        <v>412594.70099183789</v>
      </c>
      <c r="U57" s="304">
        <f>Pupils_data_scenarios!U42</f>
        <v>424886.36510405509</v>
      </c>
      <c r="V57" s="304">
        <f>Pupils_data_scenarios!V42</f>
        <v>437362.37389861711</v>
      </c>
      <c r="W57" s="304">
        <f>Pupils_data_scenarios!W42</f>
        <v>450552.21668468311</v>
      </c>
      <c r="X57" s="304">
        <f>Pupils_data_scenarios!X42</f>
        <v>459967.87195822911</v>
      </c>
      <c r="Y57" s="304">
        <f>Pupils_data_scenarios!Y42</f>
        <v>467670.69891888578</v>
      </c>
      <c r="Z57" s="304">
        <f>Pupils_data_scenarios!Z42</f>
        <v>475050.94268619857</v>
      </c>
    </row>
    <row r="58" spans="2:26">
      <c r="B58" s="12" t="s">
        <v>379</v>
      </c>
      <c r="C58" s="304">
        <f>Pupils_data_scenarios!C20</f>
        <v>355184.5</v>
      </c>
      <c r="D58" s="304">
        <f>Pupils_data_scenarios!D20</f>
        <v>361355</v>
      </c>
      <c r="E58" s="304">
        <f>Pupils_data_scenarios!E20</f>
        <v>370116</v>
      </c>
      <c r="F58" s="304">
        <f>Pupils_data_scenarios!F20</f>
        <v>380453</v>
      </c>
      <c r="G58" s="304">
        <f>Pupils_data_scenarios!G20</f>
        <v>394342</v>
      </c>
      <c r="H58" s="304">
        <f>Pupils_data_scenarios!H20</f>
        <v>412859.5</v>
      </c>
      <c r="I58" s="304">
        <f>Pupils_data_scenarios!I20</f>
        <v>423222</v>
      </c>
      <c r="J58" s="304">
        <f>Pupils_data_scenarios!J20</f>
        <v>423232.5</v>
      </c>
      <c r="K58" s="304">
        <f>Pupils_data_scenarios!K20</f>
        <v>428860</v>
      </c>
      <c r="L58" s="304">
        <f>Pupils_data_scenarios!L20</f>
        <v>439034.5</v>
      </c>
      <c r="M58" s="304">
        <f>Pupils_data_scenarios!M20</f>
        <v>442772</v>
      </c>
      <c r="N58" s="304">
        <f>Pupils_data_scenarios!N20</f>
        <v>433788</v>
      </c>
      <c r="O58" s="304">
        <f>Pupils_data_scenarios!O20</f>
        <v>428545.20451393852</v>
      </c>
      <c r="P58" s="304">
        <f>Pupils_data_scenarios!P20</f>
        <v>419361.78857838438</v>
      </c>
      <c r="Q58" s="304">
        <f>Pupils_data_scenarios!Q20</f>
        <v>410245.50884306151</v>
      </c>
      <c r="R58" s="304">
        <f>Pupils_data_scenarios!R20</f>
        <v>406321.98384626833</v>
      </c>
      <c r="S58" s="304">
        <f>Pupils_data_scenarios!S20</f>
        <v>407908.7817738661</v>
      </c>
      <c r="T58" s="304">
        <f>Pupils_data_scenarios!T20</f>
        <v>414599.54691593052</v>
      </c>
      <c r="U58" s="304">
        <f>Pupils_data_scenarios!U20</f>
        <v>427051.82731021068</v>
      </c>
      <c r="V58" s="304">
        <f>Pupils_data_scenarios!V20</f>
        <v>439692.43116813409</v>
      </c>
      <c r="W58" s="304">
        <f>Pupils_data_scenarios!W20</f>
        <v>453063.3820700291</v>
      </c>
      <c r="X58" s="304">
        <f>Pupils_data_scenarios!X20</f>
        <v>462667.53121151531</v>
      </c>
      <c r="Y58" s="304">
        <f>Pupils_data_scenarios!Y20</f>
        <v>470577.77984100528</v>
      </c>
      <c r="Z58" s="304">
        <f>Pupils_data_scenarios!Z20</f>
        <v>478187.03901394637</v>
      </c>
    </row>
    <row r="59" spans="2:26">
      <c r="B59" s="12" t="s">
        <v>331</v>
      </c>
      <c r="C59" s="304">
        <f>Pupils_data_scenarios!C31</f>
        <v>355184.5</v>
      </c>
      <c r="D59" s="304">
        <f>Pupils_data_scenarios!D31</f>
        <v>361355</v>
      </c>
      <c r="E59" s="304">
        <f>Pupils_data_scenarios!E31</f>
        <v>370116</v>
      </c>
      <c r="F59" s="304">
        <f>Pupils_data_scenarios!F31</f>
        <v>380453</v>
      </c>
      <c r="G59" s="304">
        <f>Pupils_data_scenarios!G31</f>
        <v>394342</v>
      </c>
      <c r="H59" s="304">
        <f>Pupils_data_scenarios!H31</f>
        <v>412859.5</v>
      </c>
      <c r="I59" s="304">
        <f>Pupils_data_scenarios!I31</f>
        <v>423222</v>
      </c>
      <c r="J59" s="304">
        <f>Pupils_data_scenarios!J31</f>
        <v>423232.5</v>
      </c>
      <c r="K59" s="304">
        <f>Pupils_data_scenarios!K31</f>
        <v>428860</v>
      </c>
      <c r="L59" s="304">
        <f>Pupils_data_scenarios!L31</f>
        <v>439034.5</v>
      </c>
      <c r="M59" s="304">
        <f>Pupils_data_scenarios!M31</f>
        <v>442772</v>
      </c>
      <c r="N59" s="304">
        <f>Pupils_data_scenarios!N31</f>
        <v>433788</v>
      </c>
      <c r="O59" s="304">
        <f>Pupils_data_scenarios!O31</f>
        <v>429585.80476680811</v>
      </c>
      <c r="P59" s="304">
        <f>Pupils_data_scenarios!P31</f>
        <v>420682.98320257937</v>
      </c>
      <c r="Q59" s="304">
        <f>Pupils_data_scenarios!Q31</f>
        <v>411772.9129877091</v>
      </c>
      <c r="R59" s="304">
        <f>Pupils_data_scenarios!R31</f>
        <v>408021.94717836031</v>
      </c>
      <c r="S59" s="304">
        <f>Pupils_data_scenarios!S31</f>
        <v>409761.66526543599</v>
      </c>
      <c r="T59" s="304">
        <f>Pupils_data_scenarios!T31</f>
        <v>416603.37819283642</v>
      </c>
      <c r="U59" s="304">
        <f>Pupils_data_scenarios!U31</f>
        <v>429213.66771248693</v>
      </c>
      <c r="V59" s="304">
        <f>Pupils_data_scenarios!V31</f>
        <v>442018.47401236498</v>
      </c>
      <c r="W59" s="304">
        <f>Pupils_data_scenarios!W31</f>
        <v>455567.87907074025</v>
      </c>
      <c r="X59" s="304">
        <f>Pupils_data_scenarios!X31</f>
        <v>465360.2874827921</v>
      </c>
      <c r="Y59" s="304">
        <f>Pupils_data_scenarios!Y31</f>
        <v>473481.62102393521</v>
      </c>
      <c r="Z59" s="304">
        <f>Pupils_data_scenarios!Z31</f>
        <v>481317.612936171</v>
      </c>
    </row>
    <row r="60" spans="2:26">
      <c r="B60" s="12"/>
      <c r="C60" s="304"/>
      <c r="D60" s="304"/>
      <c r="E60" s="304"/>
      <c r="F60" s="304"/>
      <c r="G60" s="304"/>
      <c r="H60" s="304"/>
      <c r="I60" s="304"/>
      <c r="J60" s="304"/>
      <c r="K60" s="304"/>
      <c r="L60" s="304"/>
      <c r="M60" s="304"/>
      <c r="N60" s="304"/>
      <c r="O60" s="304"/>
      <c r="P60" s="304"/>
      <c r="Q60" s="304"/>
      <c r="R60" s="304"/>
      <c r="S60" s="304"/>
      <c r="T60" s="304"/>
      <c r="U60" s="304"/>
      <c r="V60" s="304"/>
      <c r="W60" s="304"/>
      <c r="X60" s="304"/>
      <c r="Y60" s="304"/>
      <c r="Z60" s="304"/>
    </row>
    <row r="61" spans="2:26">
      <c r="B61" s="149" t="s">
        <v>455</v>
      </c>
      <c r="C61" s="470"/>
      <c r="D61" s="470"/>
      <c r="E61" s="470"/>
      <c r="F61" s="470"/>
      <c r="G61" s="470"/>
      <c r="H61" s="470"/>
      <c r="I61" s="470"/>
      <c r="J61" s="470"/>
      <c r="K61" s="470"/>
      <c r="L61" s="470"/>
      <c r="M61" s="470"/>
      <c r="N61" s="470"/>
      <c r="O61" s="470"/>
      <c r="P61" s="470"/>
      <c r="Q61" s="470"/>
      <c r="R61" s="470"/>
      <c r="S61" s="470"/>
      <c r="T61" s="470"/>
      <c r="U61" s="470"/>
      <c r="V61" s="470"/>
      <c r="W61" s="470"/>
      <c r="X61" s="470"/>
      <c r="Y61" s="470"/>
    </row>
    <row r="62" spans="2:26">
      <c r="B62" s="149"/>
      <c r="C62" s="495" t="str">
        <f>C56</f>
        <v>2004/05</v>
      </c>
      <c r="D62" s="495" t="str">
        <f t="shared" ref="D62:Z62" si="3">D56</f>
        <v>2005/06</v>
      </c>
      <c r="E62" s="495" t="str">
        <f t="shared" si="3"/>
        <v>2006/07</v>
      </c>
      <c r="F62" s="495" t="str">
        <f t="shared" si="3"/>
        <v>2007/08</v>
      </c>
      <c r="G62" s="495" t="str">
        <f t="shared" si="3"/>
        <v>2008/09</v>
      </c>
      <c r="H62" s="495" t="str">
        <f t="shared" si="3"/>
        <v>2009/10</v>
      </c>
      <c r="I62" s="495" t="str">
        <f t="shared" si="3"/>
        <v>2010/11</v>
      </c>
      <c r="J62" s="495" t="str">
        <f t="shared" si="3"/>
        <v>2011/12</v>
      </c>
      <c r="K62" s="495" t="str">
        <f t="shared" si="3"/>
        <v>2012/13</v>
      </c>
      <c r="L62" s="495" t="str">
        <f t="shared" si="3"/>
        <v>2013/14</v>
      </c>
      <c r="M62" s="495" t="str">
        <f t="shared" si="3"/>
        <v>2014/15</v>
      </c>
      <c r="N62" s="495" t="str">
        <f t="shared" si="3"/>
        <v>2015/16</v>
      </c>
      <c r="O62" s="495" t="str">
        <f t="shared" si="3"/>
        <v>2016/17</v>
      </c>
      <c r="P62" s="495" t="str">
        <f t="shared" si="3"/>
        <v>2017/18</v>
      </c>
      <c r="Q62" s="495" t="str">
        <f t="shared" si="3"/>
        <v>2018/19</v>
      </c>
      <c r="R62" s="495" t="str">
        <f t="shared" si="3"/>
        <v>2019/20</v>
      </c>
      <c r="S62" s="495" t="str">
        <f t="shared" si="3"/>
        <v>2020/21</v>
      </c>
      <c r="T62" s="495" t="str">
        <f t="shared" si="3"/>
        <v>2021/22</v>
      </c>
      <c r="U62" s="495" t="str">
        <f t="shared" si="3"/>
        <v>2022/23</v>
      </c>
      <c r="V62" s="495" t="str">
        <f t="shared" si="3"/>
        <v>2023/24</v>
      </c>
      <c r="W62" s="495" t="str">
        <f t="shared" si="3"/>
        <v>2024/25</v>
      </c>
      <c r="X62" s="495" t="str">
        <f t="shared" si="3"/>
        <v>2025/26</v>
      </c>
      <c r="Y62" s="495" t="str">
        <f t="shared" si="3"/>
        <v>2026/27</v>
      </c>
      <c r="Z62" s="495" t="str">
        <f t="shared" si="3"/>
        <v>2027/28</v>
      </c>
    </row>
    <row r="63" spans="2:26">
      <c r="B63" s="12" t="s">
        <v>456</v>
      </c>
      <c r="C63" s="470">
        <f t="shared" ref="C63:Z63" si="4">C45+C51+C57</f>
        <v>3308483</v>
      </c>
      <c r="D63" s="470">
        <f t="shared" si="4"/>
        <v>3305157.563270269</v>
      </c>
      <c r="E63" s="470">
        <f t="shared" si="4"/>
        <v>3282404</v>
      </c>
      <c r="F63" s="470">
        <f t="shared" si="4"/>
        <v>3248902.5</v>
      </c>
      <c r="G63" s="470">
        <f t="shared" si="4"/>
        <v>3231650</v>
      </c>
      <c r="H63" s="470">
        <f t="shared" si="4"/>
        <v>3227785.5</v>
      </c>
      <c r="I63" s="470">
        <f t="shared" si="4"/>
        <v>3212254</v>
      </c>
      <c r="J63" s="470">
        <f t="shared" si="4"/>
        <v>3185686.5</v>
      </c>
      <c r="K63" s="470">
        <f t="shared" si="4"/>
        <v>3158780</v>
      </c>
      <c r="L63" s="470">
        <f t="shared" si="4"/>
        <v>3125924</v>
      </c>
      <c r="M63" s="470">
        <f t="shared" si="4"/>
        <v>3119799</v>
      </c>
      <c r="N63" s="470">
        <f t="shared" si="4"/>
        <v>3121988</v>
      </c>
      <c r="O63" s="470">
        <f t="shared" si="4"/>
        <v>3151593.5697081285</v>
      </c>
      <c r="P63" s="470">
        <f t="shared" si="4"/>
        <v>3203612.7823116472</v>
      </c>
      <c r="Q63" s="470">
        <f t="shared" si="4"/>
        <v>3280992.7540750299</v>
      </c>
      <c r="R63" s="470">
        <f t="shared" si="4"/>
        <v>3366832.1167547721</v>
      </c>
      <c r="S63" s="470">
        <f t="shared" si="4"/>
        <v>3436113.8673861381</v>
      </c>
      <c r="T63" s="470">
        <f t="shared" si="4"/>
        <v>3510894.5555104767</v>
      </c>
      <c r="U63" s="470">
        <f t="shared" si="4"/>
        <v>3593417.5160413068</v>
      </c>
      <c r="V63" s="470">
        <f t="shared" si="4"/>
        <v>3664449.0921340911</v>
      </c>
      <c r="W63" s="470">
        <f t="shared" si="4"/>
        <v>3689477.3381029852</v>
      </c>
      <c r="X63" s="470">
        <f t="shared" si="4"/>
        <v>3697973.8581377496</v>
      </c>
      <c r="Y63" s="470">
        <f t="shared" si="4"/>
        <v>3688224.0718057221</v>
      </c>
      <c r="Z63" s="470">
        <f t="shared" si="4"/>
        <v>3654575.3376803962</v>
      </c>
    </row>
    <row r="64" spans="2:26">
      <c r="B64" s="12" t="s">
        <v>457</v>
      </c>
      <c r="C64" s="470">
        <f t="shared" ref="C64:Z64" si="5">C46+C52+C58</f>
        <v>3308483</v>
      </c>
      <c r="D64" s="470">
        <f t="shared" si="5"/>
        <v>3305157.563270269</v>
      </c>
      <c r="E64" s="470">
        <f t="shared" si="5"/>
        <v>3282404</v>
      </c>
      <c r="F64" s="470">
        <f t="shared" si="5"/>
        <v>3248902.5</v>
      </c>
      <c r="G64" s="470">
        <f t="shared" si="5"/>
        <v>3231650</v>
      </c>
      <c r="H64" s="470">
        <f t="shared" si="5"/>
        <v>3227785.5</v>
      </c>
      <c r="I64" s="470">
        <f t="shared" si="5"/>
        <v>3212254</v>
      </c>
      <c r="J64" s="470">
        <f t="shared" si="5"/>
        <v>3185686.5</v>
      </c>
      <c r="K64" s="470">
        <f t="shared" si="5"/>
        <v>3158780</v>
      </c>
      <c r="L64" s="470">
        <f t="shared" si="5"/>
        <v>3125924</v>
      </c>
      <c r="M64" s="470">
        <f t="shared" si="5"/>
        <v>3119799</v>
      </c>
      <c r="N64" s="470">
        <f t="shared" si="5"/>
        <v>3121988</v>
      </c>
      <c r="O64" s="470">
        <f t="shared" si="5"/>
        <v>3153434.5188964177</v>
      </c>
      <c r="P64" s="470">
        <f t="shared" si="5"/>
        <v>3206473.5103805256</v>
      </c>
      <c r="Q64" s="470">
        <f t="shared" si="5"/>
        <v>3284777.7855463745</v>
      </c>
      <c r="R64" s="470">
        <f t="shared" si="5"/>
        <v>3371521.969667735</v>
      </c>
      <c r="S64" s="470">
        <f t="shared" si="5"/>
        <v>3441735.9770776005</v>
      </c>
      <c r="T64" s="470">
        <f t="shared" si="5"/>
        <v>3517503.4884628272</v>
      </c>
      <c r="U64" s="470">
        <f t="shared" si="5"/>
        <v>3601496.689145844</v>
      </c>
      <c r="V64" s="470">
        <f t="shared" si="5"/>
        <v>3674251.4793677852</v>
      </c>
      <c r="W64" s="470">
        <f t="shared" si="5"/>
        <v>3701291.536776138</v>
      </c>
      <c r="X64" s="470">
        <f t="shared" si="5"/>
        <v>3712096.756026078</v>
      </c>
      <c r="Y64" s="470">
        <f t="shared" si="5"/>
        <v>3707922.516725075</v>
      </c>
      <c r="Z64" s="470">
        <f t="shared" si="5"/>
        <v>3695259.6565467082</v>
      </c>
    </row>
    <row r="65" spans="2:27">
      <c r="B65" s="12" t="s">
        <v>458</v>
      </c>
      <c r="C65" s="470">
        <f t="shared" ref="C65:Z65" si="6">C47+C53+C59</f>
        <v>3308483</v>
      </c>
      <c r="D65" s="470">
        <f t="shared" si="6"/>
        <v>3305157.563270269</v>
      </c>
      <c r="E65" s="470">
        <f t="shared" si="6"/>
        <v>3282404</v>
      </c>
      <c r="F65" s="470">
        <f t="shared" si="6"/>
        <v>3248902.5</v>
      </c>
      <c r="G65" s="470">
        <f t="shared" si="6"/>
        <v>3231650</v>
      </c>
      <c r="H65" s="470">
        <f t="shared" si="6"/>
        <v>3227785.5</v>
      </c>
      <c r="I65" s="470">
        <f t="shared" si="6"/>
        <v>3212254</v>
      </c>
      <c r="J65" s="470">
        <f t="shared" si="6"/>
        <v>3185686.5</v>
      </c>
      <c r="K65" s="470">
        <f t="shared" si="6"/>
        <v>3158780</v>
      </c>
      <c r="L65" s="470">
        <f t="shared" si="6"/>
        <v>3125924</v>
      </c>
      <c r="M65" s="470">
        <f t="shared" si="6"/>
        <v>3119799</v>
      </c>
      <c r="N65" s="470">
        <f t="shared" si="6"/>
        <v>3121988</v>
      </c>
      <c r="O65" s="470">
        <f t="shared" si="6"/>
        <v>3155271.1330506708</v>
      </c>
      <c r="P65" s="470">
        <f t="shared" si="6"/>
        <v>3209315.1890525166</v>
      </c>
      <c r="Q65" s="470">
        <f t="shared" si="6"/>
        <v>3288539.6732377755</v>
      </c>
      <c r="R65" s="470">
        <f t="shared" si="6"/>
        <v>3376186.9359906334</v>
      </c>
      <c r="S65" s="470">
        <f t="shared" si="6"/>
        <v>3447326.0596884196</v>
      </c>
      <c r="T65" s="470">
        <f t="shared" si="6"/>
        <v>3524075.4239586936</v>
      </c>
      <c r="U65" s="470">
        <f t="shared" si="6"/>
        <v>3609519.2685259371</v>
      </c>
      <c r="V65" s="470">
        <f t="shared" si="6"/>
        <v>3683970.4288436887</v>
      </c>
      <c r="W65" s="470">
        <f t="shared" si="6"/>
        <v>3712998.3597912542</v>
      </c>
      <c r="X65" s="470">
        <f t="shared" si="6"/>
        <v>3726096.0293682185</v>
      </c>
      <c r="Y65" s="470">
        <f t="shared" si="6"/>
        <v>3727338.0696251905</v>
      </c>
      <c r="Z65" s="470">
        <f t="shared" si="6"/>
        <v>3733350.0872947993</v>
      </c>
    </row>
    <row r="66" spans="2:27">
      <c r="C66" s="470"/>
      <c r="D66" s="470"/>
      <c r="E66" s="470"/>
      <c r="F66" s="470"/>
      <c r="G66" s="470"/>
      <c r="H66" s="470"/>
      <c r="I66" s="470"/>
      <c r="J66" s="470"/>
      <c r="K66" s="470"/>
      <c r="L66" s="470"/>
      <c r="M66" s="470"/>
      <c r="N66" s="470"/>
      <c r="O66" s="470"/>
      <c r="P66" s="470"/>
      <c r="Q66" s="470"/>
      <c r="R66" s="470"/>
      <c r="S66" s="470"/>
      <c r="T66" s="470"/>
      <c r="U66" s="470"/>
      <c r="V66" s="470"/>
      <c r="W66" s="470"/>
      <c r="X66" s="470"/>
      <c r="Y66" s="470"/>
    </row>
    <row r="67" spans="2:27" s="5" customFormat="1">
      <c r="C67" s="305" t="str">
        <f>C56</f>
        <v>2004/05</v>
      </c>
      <c r="D67" s="305" t="str">
        <f t="shared" ref="D67:Z67" si="7">D56</f>
        <v>2005/06</v>
      </c>
      <c r="E67" s="305" t="str">
        <f t="shared" si="7"/>
        <v>2006/07</v>
      </c>
      <c r="F67" s="305" t="str">
        <f t="shared" si="7"/>
        <v>2007/08</v>
      </c>
      <c r="G67" s="305" t="str">
        <f t="shared" si="7"/>
        <v>2008/09</v>
      </c>
      <c r="H67" s="305" t="str">
        <f t="shared" si="7"/>
        <v>2009/10</v>
      </c>
      <c r="I67" s="305" t="str">
        <f t="shared" si="7"/>
        <v>2010/11</v>
      </c>
      <c r="J67" s="305" t="str">
        <f t="shared" si="7"/>
        <v>2011/12</v>
      </c>
      <c r="K67" s="305" t="str">
        <f t="shared" si="7"/>
        <v>2012/13</v>
      </c>
      <c r="L67" s="305" t="str">
        <f t="shared" si="7"/>
        <v>2013/14</v>
      </c>
      <c r="M67" s="305" t="str">
        <f t="shared" si="7"/>
        <v>2014/15</v>
      </c>
      <c r="N67" s="305" t="str">
        <f t="shared" si="7"/>
        <v>2015/16</v>
      </c>
      <c r="O67" s="305" t="str">
        <f t="shared" si="7"/>
        <v>2016/17</v>
      </c>
      <c r="P67" s="305" t="str">
        <f t="shared" si="7"/>
        <v>2017/18</v>
      </c>
      <c r="Q67" s="305" t="str">
        <f t="shared" si="7"/>
        <v>2018/19</v>
      </c>
      <c r="R67" s="305" t="str">
        <f t="shared" si="7"/>
        <v>2019/20</v>
      </c>
      <c r="S67" s="305" t="str">
        <f t="shared" si="7"/>
        <v>2020/21</v>
      </c>
      <c r="T67" s="305" t="str">
        <f t="shared" si="7"/>
        <v>2021/22</v>
      </c>
      <c r="U67" s="305" t="str">
        <f t="shared" si="7"/>
        <v>2022/23</v>
      </c>
      <c r="V67" s="305" t="str">
        <f t="shared" si="7"/>
        <v>2023/24</v>
      </c>
      <c r="W67" s="305" t="str">
        <f t="shared" si="7"/>
        <v>2024/25</v>
      </c>
      <c r="X67" s="305" t="str">
        <f t="shared" si="7"/>
        <v>2025/26</v>
      </c>
      <c r="Y67" s="305" t="str">
        <f t="shared" si="7"/>
        <v>2026/27</v>
      </c>
      <c r="Z67" s="305" t="str">
        <f t="shared" si="7"/>
        <v>2027/28</v>
      </c>
    </row>
    <row r="68" spans="2:27">
      <c r="B68" s="12" t="s">
        <v>378</v>
      </c>
      <c r="C68" s="304">
        <f>C40</f>
        <v>4133670.5</v>
      </c>
      <c r="D68" s="304">
        <f t="shared" ref="D68:Z68" si="8">D40</f>
        <v>4085271.436729731</v>
      </c>
      <c r="E68" s="304">
        <f t="shared" si="8"/>
        <v>4047195.5</v>
      </c>
      <c r="F68" s="304">
        <f t="shared" si="8"/>
        <v>4028055.5</v>
      </c>
      <c r="G68" s="304">
        <f t="shared" si="8"/>
        <v>4016161.5</v>
      </c>
      <c r="H68" s="304">
        <f t="shared" si="8"/>
        <v>4036364.5</v>
      </c>
      <c r="I68" s="304">
        <f t="shared" si="8"/>
        <v>4074368</v>
      </c>
      <c r="J68" s="304">
        <f t="shared" si="8"/>
        <v>4150277.5</v>
      </c>
      <c r="K68" s="304">
        <f t="shared" si="8"/>
        <v>4247394.5</v>
      </c>
      <c r="L68" s="304">
        <f t="shared" si="8"/>
        <v>4359000</v>
      </c>
      <c r="M68" s="304">
        <f t="shared" si="8"/>
        <v>4463434</v>
      </c>
      <c r="N68" s="304">
        <f t="shared" si="8"/>
        <v>4574041.5</v>
      </c>
      <c r="O68" s="304">
        <f t="shared" si="8"/>
        <v>4669403.6051013358</v>
      </c>
      <c r="P68" s="304">
        <f t="shared" si="8"/>
        <v>4728615.0056829667</v>
      </c>
      <c r="Q68" s="304">
        <f t="shared" si="8"/>
        <v>4754148.1072515734</v>
      </c>
      <c r="R68" s="304">
        <f t="shared" si="8"/>
        <v>4754929.3367273957</v>
      </c>
      <c r="S68" s="304">
        <f t="shared" si="8"/>
        <v>4765188.6443500407</v>
      </c>
      <c r="T68" s="304">
        <f t="shared" si="8"/>
        <v>4768353.1674103234</v>
      </c>
      <c r="U68" s="304">
        <f t="shared" si="8"/>
        <v>4760117.7392643597</v>
      </c>
      <c r="V68" s="304">
        <f t="shared" si="8"/>
        <v>4744856.0009206505</v>
      </c>
      <c r="W68" s="304">
        <f t="shared" si="8"/>
        <v>4754081.3268117374</v>
      </c>
      <c r="X68" s="304">
        <f t="shared" si="8"/>
        <v>4780859.047119638</v>
      </c>
      <c r="Y68" s="304">
        <f t="shared" si="8"/>
        <v>4809841.7847702289</v>
      </c>
      <c r="Z68" s="304">
        <f t="shared" si="8"/>
        <v>4831636.05383253</v>
      </c>
      <c r="AA68" s="389"/>
    </row>
    <row r="69" spans="2:27">
      <c r="B69" s="12" t="s">
        <v>45</v>
      </c>
      <c r="C69" s="304">
        <f>C46+C52+C58</f>
        <v>3308483</v>
      </c>
      <c r="D69" s="304">
        <f t="shared" ref="D69:Z69" si="9">D46+D52+D58</f>
        <v>3305157.563270269</v>
      </c>
      <c r="E69" s="304">
        <f t="shared" si="9"/>
        <v>3282404</v>
      </c>
      <c r="F69" s="304">
        <f t="shared" si="9"/>
        <v>3248902.5</v>
      </c>
      <c r="G69" s="304">
        <f t="shared" si="9"/>
        <v>3231650</v>
      </c>
      <c r="H69" s="304">
        <f t="shared" si="9"/>
        <v>3227785.5</v>
      </c>
      <c r="I69" s="304">
        <f t="shared" si="9"/>
        <v>3212254</v>
      </c>
      <c r="J69" s="304">
        <f t="shared" si="9"/>
        <v>3185686.5</v>
      </c>
      <c r="K69" s="304">
        <f t="shared" si="9"/>
        <v>3158780</v>
      </c>
      <c r="L69" s="304">
        <f t="shared" si="9"/>
        <v>3125924</v>
      </c>
      <c r="M69" s="304">
        <f t="shared" si="9"/>
        <v>3119799</v>
      </c>
      <c r="N69" s="304">
        <f t="shared" si="9"/>
        <v>3121988</v>
      </c>
      <c r="O69" s="304">
        <f t="shared" si="9"/>
        <v>3153434.5188964177</v>
      </c>
      <c r="P69" s="304">
        <f t="shared" si="9"/>
        <v>3206473.5103805256</v>
      </c>
      <c r="Q69" s="304">
        <f t="shared" si="9"/>
        <v>3284777.7855463745</v>
      </c>
      <c r="R69" s="304">
        <f t="shared" si="9"/>
        <v>3371521.969667735</v>
      </c>
      <c r="S69" s="304">
        <f t="shared" si="9"/>
        <v>3441735.9770776005</v>
      </c>
      <c r="T69" s="304">
        <f t="shared" si="9"/>
        <v>3517503.4884628272</v>
      </c>
      <c r="U69" s="304">
        <f t="shared" si="9"/>
        <v>3601496.689145844</v>
      </c>
      <c r="V69" s="304">
        <f t="shared" si="9"/>
        <v>3674251.4793677852</v>
      </c>
      <c r="W69" s="304">
        <f t="shared" si="9"/>
        <v>3701291.536776138</v>
      </c>
      <c r="X69" s="304">
        <f t="shared" si="9"/>
        <v>3712096.756026078</v>
      </c>
      <c r="Y69" s="304">
        <f t="shared" si="9"/>
        <v>3707922.516725075</v>
      </c>
      <c r="Z69" s="304">
        <f t="shared" si="9"/>
        <v>3695259.6565467082</v>
      </c>
      <c r="AA69" s="755"/>
    </row>
    <row r="70" spans="2:27">
      <c r="B70" s="12"/>
      <c r="C70" s="389"/>
      <c r="D70" s="389"/>
      <c r="E70" s="389"/>
      <c r="F70" s="389"/>
      <c r="G70" s="389"/>
      <c r="H70" s="389"/>
      <c r="I70" s="389"/>
      <c r="J70" s="389"/>
      <c r="K70" s="389"/>
      <c r="L70" s="389"/>
      <c r="M70" s="389"/>
      <c r="N70" s="389"/>
      <c r="O70" s="389"/>
      <c r="P70" s="389"/>
      <c r="Q70" s="10"/>
      <c r="R70" s="10"/>
      <c r="S70" s="10"/>
      <c r="T70" s="10"/>
      <c r="U70" s="10"/>
      <c r="V70" s="10"/>
      <c r="W70" s="10"/>
      <c r="X70" s="10"/>
      <c r="Y70" s="10"/>
    </row>
    <row r="71" spans="2:27">
      <c r="B71" s="12"/>
      <c r="C71" s="495" t="str">
        <f>C67</f>
        <v>2004/05</v>
      </c>
      <c r="D71" s="495" t="str">
        <f t="shared" ref="D71:Z71" si="10">D67</f>
        <v>2005/06</v>
      </c>
      <c r="E71" s="495" t="str">
        <f t="shared" si="10"/>
        <v>2006/07</v>
      </c>
      <c r="F71" s="495" t="str">
        <f t="shared" si="10"/>
        <v>2007/08</v>
      </c>
      <c r="G71" s="495" t="str">
        <f t="shared" si="10"/>
        <v>2008/09</v>
      </c>
      <c r="H71" s="495" t="str">
        <f t="shared" si="10"/>
        <v>2009/10</v>
      </c>
      <c r="I71" s="495" t="str">
        <f t="shared" si="10"/>
        <v>2010/11</v>
      </c>
      <c r="J71" s="495" t="str">
        <f t="shared" si="10"/>
        <v>2011/12</v>
      </c>
      <c r="K71" s="495" t="str">
        <f t="shared" si="10"/>
        <v>2012/13</v>
      </c>
      <c r="L71" s="495" t="str">
        <f t="shared" si="10"/>
        <v>2013/14</v>
      </c>
      <c r="M71" s="495" t="str">
        <f t="shared" si="10"/>
        <v>2014/15</v>
      </c>
      <c r="N71" s="495" t="str">
        <f t="shared" si="10"/>
        <v>2015/16</v>
      </c>
      <c r="O71" s="495" t="str">
        <f t="shared" si="10"/>
        <v>2016/17</v>
      </c>
      <c r="P71" s="495" t="str">
        <f t="shared" si="10"/>
        <v>2017/18</v>
      </c>
      <c r="Q71" s="495" t="str">
        <f t="shared" si="10"/>
        <v>2018/19</v>
      </c>
      <c r="R71" s="495" t="str">
        <f t="shared" si="10"/>
        <v>2019/20</v>
      </c>
      <c r="S71" s="495" t="str">
        <f t="shared" si="10"/>
        <v>2020/21</v>
      </c>
      <c r="T71" s="495" t="str">
        <f t="shared" si="10"/>
        <v>2021/22</v>
      </c>
      <c r="U71" s="495" t="str">
        <f t="shared" si="10"/>
        <v>2022/23</v>
      </c>
      <c r="V71" s="495" t="str">
        <f t="shared" si="10"/>
        <v>2023/24</v>
      </c>
      <c r="W71" s="495" t="str">
        <f t="shared" si="10"/>
        <v>2024/25</v>
      </c>
      <c r="X71" s="495" t="str">
        <f t="shared" si="10"/>
        <v>2025/26</v>
      </c>
      <c r="Y71" s="495" t="str">
        <f t="shared" si="10"/>
        <v>2026/27</v>
      </c>
      <c r="Z71" s="495" t="str">
        <f t="shared" si="10"/>
        <v>2027/28</v>
      </c>
    </row>
    <row r="72" spans="2:27">
      <c r="B72" s="12" t="s">
        <v>556</v>
      </c>
      <c r="C72" s="389">
        <f>C68</f>
        <v>4133670.5</v>
      </c>
      <c r="D72" s="389">
        <f t="shared" ref="D72:N72" si="11">D68</f>
        <v>4085271.436729731</v>
      </c>
      <c r="E72" s="389">
        <f t="shared" si="11"/>
        <v>4047195.5</v>
      </c>
      <c r="F72" s="389">
        <f t="shared" si="11"/>
        <v>4028055.5</v>
      </c>
      <c r="G72" s="389">
        <f t="shared" si="11"/>
        <v>4016161.5</v>
      </c>
      <c r="H72" s="389">
        <f t="shared" si="11"/>
        <v>4036364.5</v>
      </c>
      <c r="I72" s="389">
        <f t="shared" si="11"/>
        <v>4074368</v>
      </c>
      <c r="J72" s="389">
        <f t="shared" si="11"/>
        <v>4150277.5</v>
      </c>
      <c r="K72" s="389">
        <f t="shared" si="11"/>
        <v>4247394.5</v>
      </c>
      <c r="L72" s="389">
        <f t="shared" si="11"/>
        <v>4359000</v>
      </c>
      <c r="M72" s="389">
        <f t="shared" si="11"/>
        <v>4463434</v>
      </c>
      <c r="N72" s="389">
        <f t="shared" si="11"/>
        <v>4574041.5</v>
      </c>
      <c r="O72" s="389"/>
      <c r="P72" s="389"/>
      <c r="Q72" s="10"/>
      <c r="R72" s="10"/>
      <c r="S72" s="10"/>
      <c r="T72" s="10"/>
      <c r="U72" s="10"/>
      <c r="V72" s="10"/>
      <c r="W72" s="10"/>
      <c r="X72" s="10"/>
      <c r="Y72" s="10"/>
    </row>
    <row r="73" spans="2:27">
      <c r="B73" s="12" t="s">
        <v>557</v>
      </c>
      <c r="C73" s="389"/>
      <c r="D73" s="389"/>
      <c r="E73" s="389"/>
      <c r="F73" s="389"/>
      <c r="G73" s="389"/>
      <c r="H73" s="389"/>
      <c r="I73" s="389"/>
      <c r="J73" s="389"/>
      <c r="K73" s="389"/>
      <c r="L73" s="389"/>
      <c r="M73" s="389"/>
      <c r="N73" s="389">
        <f t="shared" ref="N73:Z73" si="12">N68</f>
        <v>4574041.5</v>
      </c>
      <c r="O73" s="389">
        <f t="shared" si="12"/>
        <v>4669403.6051013358</v>
      </c>
      <c r="P73" s="389">
        <f t="shared" si="12"/>
        <v>4728615.0056829667</v>
      </c>
      <c r="Q73" s="389">
        <f t="shared" si="12"/>
        <v>4754148.1072515734</v>
      </c>
      <c r="R73" s="389">
        <f t="shared" si="12"/>
        <v>4754929.3367273957</v>
      </c>
      <c r="S73" s="389">
        <f t="shared" si="12"/>
        <v>4765188.6443500407</v>
      </c>
      <c r="T73" s="389">
        <f t="shared" si="12"/>
        <v>4768353.1674103234</v>
      </c>
      <c r="U73" s="389">
        <f t="shared" si="12"/>
        <v>4760117.7392643597</v>
      </c>
      <c r="V73" s="389">
        <f t="shared" si="12"/>
        <v>4744856.0009206505</v>
      </c>
      <c r="W73" s="389">
        <f t="shared" si="12"/>
        <v>4754081.3268117374</v>
      </c>
      <c r="X73" s="389">
        <f t="shared" si="12"/>
        <v>4780859.047119638</v>
      </c>
      <c r="Y73" s="389">
        <f t="shared" si="12"/>
        <v>4809841.7847702289</v>
      </c>
      <c r="Z73" s="389">
        <f t="shared" si="12"/>
        <v>4831636.05383253</v>
      </c>
      <c r="AA73" s="389"/>
    </row>
    <row r="74" spans="2:27">
      <c r="B74" s="12" t="s">
        <v>1058</v>
      </c>
      <c r="C74" s="389">
        <f t="shared" ref="C74:N74" si="13">C69</f>
        <v>3308483</v>
      </c>
      <c r="D74" s="389">
        <f t="shared" si="13"/>
        <v>3305157.563270269</v>
      </c>
      <c r="E74" s="389">
        <f t="shared" si="13"/>
        <v>3282404</v>
      </c>
      <c r="F74" s="389">
        <f t="shared" si="13"/>
        <v>3248902.5</v>
      </c>
      <c r="G74" s="389">
        <f t="shared" si="13"/>
        <v>3231650</v>
      </c>
      <c r="H74" s="389">
        <f t="shared" si="13"/>
        <v>3227785.5</v>
      </c>
      <c r="I74" s="389">
        <f t="shared" si="13"/>
        <v>3212254</v>
      </c>
      <c r="J74" s="389">
        <f t="shared" si="13"/>
        <v>3185686.5</v>
      </c>
      <c r="K74" s="389">
        <f t="shared" si="13"/>
        <v>3158780</v>
      </c>
      <c r="L74" s="389">
        <f t="shared" si="13"/>
        <v>3125924</v>
      </c>
      <c r="M74" s="389">
        <f t="shared" si="13"/>
        <v>3119799</v>
      </c>
      <c r="N74" s="389">
        <f t="shared" si="13"/>
        <v>3121988</v>
      </c>
      <c r="O74" s="389"/>
      <c r="P74" s="389"/>
      <c r="Q74" s="389"/>
      <c r="R74" s="389"/>
      <c r="S74" s="389"/>
      <c r="T74" s="389"/>
      <c r="U74" s="389"/>
      <c r="V74" s="389"/>
      <c r="W74" s="389"/>
      <c r="X74" s="389"/>
      <c r="Y74" s="389"/>
    </row>
    <row r="75" spans="2:27">
      <c r="B75" s="12" t="s">
        <v>1059</v>
      </c>
      <c r="C75" s="389"/>
      <c r="D75" s="389"/>
      <c r="E75" s="389"/>
      <c r="F75" s="389"/>
      <c r="G75" s="389"/>
      <c r="H75" s="389"/>
      <c r="I75" s="389"/>
      <c r="J75" s="389"/>
      <c r="K75" s="389"/>
      <c r="L75" s="389"/>
      <c r="M75" s="389"/>
      <c r="N75" s="389">
        <f t="shared" ref="N75:Z75" si="14">N69</f>
        <v>3121988</v>
      </c>
      <c r="O75" s="389">
        <f t="shared" si="14"/>
        <v>3153434.5188964177</v>
      </c>
      <c r="P75" s="389">
        <f t="shared" si="14"/>
        <v>3206473.5103805256</v>
      </c>
      <c r="Q75" s="389">
        <f t="shared" si="14"/>
        <v>3284777.7855463745</v>
      </c>
      <c r="R75" s="389">
        <f t="shared" si="14"/>
        <v>3371521.969667735</v>
      </c>
      <c r="S75" s="389">
        <f t="shared" si="14"/>
        <v>3441735.9770776005</v>
      </c>
      <c r="T75" s="389">
        <f t="shared" si="14"/>
        <v>3517503.4884628272</v>
      </c>
      <c r="U75" s="389">
        <f t="shared" si="14"/>
        <v>3601496.689145844</v>
      </c>
      <c r="V75" s="389">
        <f t="shared" si="14"/>
        <v>3674251.4793677852</v>
      </c>
      <c r="W75" s="389">
        <f t="shared" si="14"/>
        <v>3701291.536776138</v>
      </c>
      <c r="X75" s="389">
        <f t="shared" si="14"/>
        <v>3712096.756026078</v>
      </c>
      <c r="Y75" s="389">
        <f t="shared" si="14"/>
        <v>3707922.516725075</v>
      </c>
      <c r="Z75" s="389">
        <f t="shared" si="14"/>
        <v>3695259.6565467082</v>
      </c>
    </row>
    <row r="76" spans="2:27">
      <c r="B76" s="1078" t="s">
        <v>1737</v>
      </c>
      <c r="C76" s="389">
        <f>C46</f>
        <v>1783139.5</v>
      </c>
      <c r="D76" s="389">
        <f t="shared" ref="D76:K76" si="15">D46</f>
        <v>1758000.0007601124</v>
      </c>
      <c r="E76" s="389">
        <f t="shared" si="15"/>
        <v>1722930</v>
      </c>
      <c r="F76" s="389">
        <f t="shared" si="15"/>
        <v>1701531</v>
      </c>
      <c r="G76" s="389">
        <f t="shared" si="15"/>
        <v>1691158</v>
      </c>
      <c r="H76" s="389">
        <f t="shared" si="15"/>
        <v>1680949</v>
      </c>
      <c r="I76" s="389">
        <f t="shared" si="15"/>
        <v>1672689.5</v>
      </c>
      <c r="J76" s="389">
        <f t="shared" si="15"/>
        <v>1641887</v>
      </c>
      <c r="K76" s="389">
        <f t="shared" si="15"/>
        <v>1612821</v>
      </c>
      <c r="L76" s="389">
        <f>L46</f>
        <v>1587472</v>
      </c>
      <c r="M76" s="389">
        <f>M46</f>
        <v>1595949</v>
      </c>
      <c r="N76" s="389">
        <f>N46</f>
        <v>1630717</v>
      </c>
      <c r="O76" s="389"/>
      <c r="P76" s="389"/>
      <c r="Q76" s="10"/>
      <c r="R76" s="10"/>
      <c r="S76" s="10"/>
      <c r="T76" s="10"/>
      <c r="U76" s="10"/>
      <c r="V76" s="10"/>
      <c r="W76" s="10"/>
      <c r="X76" s="10"/>
      <c r="Y76" s="10"/>
    </row>
    <row r="77" spans="2:27">
      <c r="B77" s="1078" t="s">
        <v>1738</v>
      </c>
      <c r="L77" s="389"/>
      <c r="M77" s="389"/>
      <c r="N77" s="389">
        <f t="shared" ref="N77:Z77" si="16">N46</f>
        <v>1630717</v>
      </c>
      <c r="O77" s="389">
        <f t="shared" si="16"/>
        <v>1684263.7099882406</v>
      </c>
      <c r="P77" s="389">
        <f t="shared" si="16"/>
        <v>1728753.1396461697</v>
      </c>
      <c r="Q77" s="389">
        <f t="shared" si="16"/>
        <v>1776887.7109150444</v>
      </c>
      <c r="R77" s="389">
        <f t="shared" si="16"/>
        <v>1837687.6258995868</v>
      </c>
      <c r="S77" s="389">
        <f t="shared" si="16"/>
        <v>1881127.9885499382</v>
      </c>
      <c r="T77" s="389">
        <f t="shared" si="16"/>
        <v>1915313.121305503</v>
      </c>
      <c r="U77" s="389">
        <f t="shared" si="16"/>
        <v>1940527.0547370678</v>
      </c>
      <c r="V77" s="389">
        <f t="shared" si="16"/>
        <v>1979340.1487121659</v>
      </c>
      <c r="W77" s="389">
        <f t="shared" si="16"/>
        <v>1983726.1049581233</v>
      </c>
      <c r="X77" s="389">
        <f t="shared" si="16"/>
        <v>1956668.4677220159</v>
      </c>
      <c r="Y77" s="389">
        <f t="shared" si="16"/>
        <v>1918632.3095877871</v>
      </c>
      <c r="Z77" s="389">
        <f t="shared" si="16"/>
        <v>1909994.1147172714</v>
      </c>
    </row>
    <row r="78" spans="2:27">
      <c r="B78" s="1078" t="s">
        <v>1739</v>
      </c>
      <c r="C78" s="389">
        <f>C52</f>
        <v>1170159</v>
      </c>
      <c r="D78" s="389">
        <f t="shared" ref="D78:K78" si="17">D52</f>
        <v>1185802.5625101563</v>
      </c>
      <c r="E78" s="389">
        <f t="shared" si="17"/>
        <v>1189358</v>
      </c>
      <c r="F78" s="389">
        <f t="shared" si="17"/>
        <v>1166918.5</v>
      </c>
      <c r="G78" s="389">
        <f t="shared" si="17"/>
        <v>1146150</v>
      </c>
      <c r="H78" s="389">
        <f t="shared" si="17"/>
        <v>1133977</v>
      </c>
      <c r="I78" s="389">
        <f t="shared" si="17"/>
        <v>1116342.5</v>
      </c>
      <c r="J78" s="389">
        <f t="shared" si="17"/>
        <v>1120567</v>
      </c>
      <c r="K78" s="389">
        <f t="shared" si="17"/>
        <v>1117099</v>
      </c>
      <c r="L78" s="389">
        <f>L52</f>
        <v>1099417.5</v>
      </c>
      <c r="M78" s="389">
        <f>M52</f>
        <v>1081078</v>
      </c>
      <c r="N78" s="389">
        <f>N52</f>
        <v>1057483</v>
      </c>
    </row>
    <row r="79" spans="2:27">
      <c r="B79" s="1078" t="s">
        <v>1740</v>
      </c>
      <c r="L79" s="389"/>
      <c r="M79" s="389"/>
      <c r="N79" s="389">
        <f t="shared" ref="N79:Z79" si="18">N52</f>
        <v>1057483</v>
      </c>
      <c r="O79" s="389">
        <f t="shared" si="18"/>
        <v>1040625.6043942383</v>
      </c>
      <c r="P79" s="389">
        <f t="shared" si="18"/>
        <v>1058358.5821559713</v>
      </c>
      <c r="Q79" s="389">
        <f t="shared" si="18"/>
        <v>1097644.5657882683</v>
      </c>
      <c r="R79" s="389">
        <f t="shared" si="18"/>
        <v>1127512.3599218801</v>
      </c>
      <c r="S79" s="389">
        <f t="shared" si="18"/>
        <v>1152699.2067537962</v>
      </c>
      <c r="T79" s="389">
        <f t="shared" si="18"/>
        <v>1187590.8202413935</v>
      </c>
      <c r="U79" s="389">
        <f t="shared" si="18"/>
        <v>1233917.8070985656</v>
      </c>
      <c r="V79" s="389">
        <f t="shared" si="18"/>
        <v>1255218.8994874852</v>
      </c>
      <c r="W79" s="389">
        <f t="shared" si="18"/>
        <v>1264502.0497479856</v>
      </c>
      <c r="X79" s="389">
        <f t="shared" si="18"/>
        <v>1292760.7570925467</v>
      </c>
      <c r="Y79" s="389">
        <f t="shared" si="18"/>
        <v>1318712.4272962825</v>
      </c>
      <c r="Z79" s="389">
        <f t="shared" si="18"/>
        <v>1307078.5028154906</v>
      </c>
      <c r="AA79" s="389"/>
    </row>
    <row r="80" spans="2:27">
      <c r="B80" s="1078" t="s">
        <v>1742</v>
      </c>
      <c r="C80" s="389">
        <f>C58</f>
        <v>355184.5</v>
      </c>
      <c r="D80" s="389">
        <f t="shared" ref="D80:K80" si="19">D58</f>
        <v>361355</v>
      </c>
      <c r="E80" s="389">
        <f t="shared" si="19"/>
        <v>370116</v>
      </c>
      <c r="F80" s="389">
        <f t="shared" si="19"/>
        <v>380453</v>
      </c>
      <c r="G80" s="389">
        <f t="shared" si="19"/>
        <v>394342</v>
      </c>
      <c r="H80" s="389">
        <f t="shared" si="19"/>
        <v>412859.5</v>
      </c>
      <c r="I80" s="389">
        <f t="shared" si="19"/>
        <v>423222</v>
      </c>
      <c r="J80" s="389">
        <f t="shared" si="19"/>
        <v>423232.5</v>
      </c>
      <c r="K80" s="389">
        <f t="shared" si="19"/>
        <v>428860</v>
      </c>
      <c r="L80" s="389">
        <f>L58</f>
        <v>439034.5</v>
      </c>
      <c r="M80" s="389">
        <f>M58</f>
        <v>442772</v>
      </c>
      <c r="N80" s="389">
        <f>N58</f>
        <v>433788</v>
      </c>
      <c r="Z80" s="389"/>
      <c r="AA80" s="389"/>
    </row>
    <row r="81" spans="2:26">
      <c r="B81" s="1078" t="s">
        <v>1741</v>
      </c>
      <c r="L81" s="389"/>
      <c r="M81" s="389"/>
      <c r="N81" s="389">
        <f t="shared" ref="N81:Z81" si="20">N58</f>
        <v>433788</v>
      </c>
      <c r="O81" s="389">
        <f t="shared" si="20"/>
        <v>428545.20451393852</v>
      </c>
      <c r="P81" s="389">
        <f t="shared" si="20"/>
        <v>419361.78857838438</v>
      </c>
      <c r="Q81" s="389">
        <f t="shared" si="20"/>
        <v>410245.50884306151</v>
      </c>
      <c r="R81" s="389">
        <f t="shared" si="20"/>
        <v>406321.98384626833</v>
      </c>
      <c r="S81" s="389">
        <f t="shared" si="20"/>
        <v>407908.7817738661</v>
      </c>
      <c r="T81" s="389">
        <f t="shared" si="20"/>
        <v>414599.54691593052</v>
      </c>
      <c r="U81" s="389">
        <f t="shared" si="20"/>
        <v>427051.82731021068</v>
      </c>
      <c r="V81" s="389">
        <f t="shared" si="20"/>
        <v>439692.43116813409</v>
      </c>
      <c r="W81" s="389">
        <f t="shared" si="20"/>
        <v>453063.3820700291</v>
      </c>
      <c r="X81" s="389">
        <f t="shared" si="20"/>
        <v>462667.53121151531</v>
      </c>
      <c r="Y81" s="389">
        <f t="shared" si="20"/>
        <v>470577.77984100528</v>
      </c>
      <c r="Z81" s="389">
        <f t="shared" si="20"/>
        <v>478187.03901394637</v>
      </c>
    </row>
    <row r="83" spans="2:26">
      <c r="W83" s="389"/>
      <c r="X83" s="6"/>
    </row>
    <row r="85" spans="2:26">
      <c r="W85" s="389"/>
      <c r="X85" s="6"/>
    </row>
    <row r="119" spans="2:25">
      <c r="B119" s="76" t="s">
        <v>1111</v>
      </c>
    </row>
    <row r="120" spans="2:25">
      <c r="B120" s="76"/>
    </row>
    <row r="121" spans="2:25">
      <c r="C121" s="905" t="str">
        <f>D71</f>
        <v>2005/06</v>
      </c>
      <c r="D121" s="905" t="str">
        <f t="shared" ref="D121:Y121" si="21">E71</f>
        <v>2006/07</v>
      </c>
      <c r="E121" s="905" t="str">
        <f t="shared" si="21"/>
        <v>2007/08</v>
      </c>
      <c r="F121" s="905" t="str">
        <f t="shared" si="21"/>
        <v>2008/09</v>
      </c>
      <c r="G121" s="905" t="str">
        <f t="shared" si="21"/>
        <v>2009/10</v>
      </c>
      <c r="H121" s="905" t="str">
        <f t="shared" si="21"/>
        <v>2010/11</v>
      </c>
      <c r="I121" s="905" t="str">
        <f t="shared" si="21"/>
        <v>2011/12</v>
      </c>
      <c r="J121" s="905" t="str">
        <f t="shared" si="21"/>
        <v>2012/13</v>
      </c>
      <c r="K121" s="905" t="str">
        <f t="shared" si="21"/>
        <v>2013/14</v>
      </c>
      <c r="L121" s="905" t="str">
        <f t="shared" si="21"/>
        <v>2014/15</v>
      </c>
      <c r="M121" s="905" t="str">
        <f t="shared" si="21"/>
        <v>2015/16</v>
      </c>
      <c r="N121" s="905" t="str">
        <f t="shared" si="21"/>
        <v>2016/17</v>
      </c>
      <c r="O121" s="905" t="str">
        <f t="shared" si="21"/>
        <v>2017/18</v>
      </c>
      <c r="P121" s="905" t="str">
        <f t="shared" si="21"/>
        <v>2018/19</v>
      </c>
      <c r="Q121" s="905" t="str">
        <f t="shared" si="21"/>
        <v>2019/20</v>
      </c>
      <c r="R121" s="905" t="str">
        <f t="shared" si="21"/>
        <v>2020/21</v>
      </c>
      <c r="S121" s="905" t="str">
        <f t="shared" si="21"/>
        <v>2021/22</v>
      </c>
      <c r="T121" s="905" t="str">
        <f>U71</f>
        <v>2022/23</v>
      </c>
      <c r="U121" s="905" t="str">
        <f t="shared" si="21"/>
        <v>2023/24</v>
      </c>
      <c r="V121" s="905" t="str">
        <f t="shared" si="21"/>
        <v>2024/25</v>
      </c>
      <c r="W121" s="905" t="str">
        <f t="shared" si="21"/>
        <v>2025/26</v>
      </c>
      <c r="X121" s="905" t="str">
        <f>Y71</f>
        <v>2026/27</v>
      </c>
      <c r="Y121" s="905" t="str">
        <f t="shared" si="21"/>
        <v>2027/28</v>
      </c>
    </row>
    <row r="122" spans="2:25">
      <c r="B122" s="12" t="s">
        <v>43</v>
      </c>
      <c r="C122" s="902">
        <f>D68-C68</f>
        <v>-48399.063270268962</v>
      </c>
      <c r="D122" s="902">
        <f t="shared" ref="D122:Y122" si="22">E68-D68</f>
        <v>-38075.936729731038</v>
      </c>
      <c r="E122" s="902">
        <f t="shared" si="22"/>
        <v>-19140</v>
      </c>
      <c r="F122" s="902">
        <f t="shared" si="22"/>
        <v>-11894</v>
      </c>
      <c r="G122" s="902">
        <f t="shared" si="22"/>
        <v>20203</v>
      </c>
      <c r="H122" s="902">
        <f t="shared" si="22"/>
        <v>38003.5</v>
      </c>
      <c r="I122" s="902">
        <f t="shared" si="22"/>
        <v>75909.5</v>
      </c>
      <c r="J122" s="902">
        <f t="shared" si="22"/>
        <v>97117</v>
      </c>
      <c r="K122" s="902">
        <f t="shared" si="22"/>
        <v>111605.5</v>
      </c>
      <c r="L122" s="902">
        <f t="shared" si="22"/>
        <v>104434</v>
      </c>
      <c r="M122" s="902">
        <f t="shared" si="22"/>
        <v>110607.5</v>
      </c>
      <c r="N122" s="902">
        <f t="shared" si="22"/>
        <v>95362.105101335794</v>
      </c>
      <c r="O122" s="902">
        <f t="shared" si="22"/>
        <v>59211.400581630878</v>
      </c>
      <c r="P122" s="902">
        <f t="shared" si="22"/>
        <v>25533.101568606682</v>
      </c>
      <c r="Q122" s="902">
        <f t="shared" si="22"/>
        <v>781.22947582229972</v>
      </c>
      <c r="R122" s="902">
        <f t="shared" si="22"/>
        <v>10259.30762264505</v>
      </c>
      <c r="S122" s="902">
        <f t="shared" si="22"/>
        <v>3164.5230602826923</v>
      </c>
      <c r="T122" s="902">
        <f t="shared" si="22"/>
        <v>-8235.4281459636986</v>
      </c>
      <c r="U122" s="902">
        <f t="shared" si="22"/>
        <v>-15261.738343709148</v>
      </c>
      <c r="V122" s="902">
        <f t="shared" si="22"/>
        <v>9225.3258910868317</v>
      </c>
      <c r="W122" s="902">
        <f t="shared" si="22"/>
        <v>26777.72030790057</v>
      </c>
      <c r="X122" s="902">
        <f t="shared" si="22"/>
        <v>28982.737650590949</v>
      </c>
      <c r="Y122" s="902">
        <f t="shared" si="22"/>
        <v>21794.269062301144</v>
      </c>
    </row>
    <row r="123" spans="2:25">
      <c r="B123" s="12" t="s">
        <v>245</v>
      </c>
      <c r="C123" s="902">
        <f>D69-C69</f>
        <v>-3325.4367297310382</v>
      </c>
      <c r="D123" s="902">
        <f t="shared" ref="D123:Y123" si="23">E69-D69</f>
        <v>-22753.563270268962</v>
      </c>
      <c r="E123" s="902">
        <f t="shared" si="23"/>
        <v>-33501.5</v>
      </c>
      <c r="F123" s="902">
        <f t="shared" si="23"/>
        <v>-17252.5</v>
      </c>
      <c r="G123" s="902">
        <f t="shared" si="23"/>
        <v>-3864.5</v>
      </c>
      <c r="H123" s="902">
        <f t="shared" si="23"/>
        <v>-15531.5</v>
      </c>
      <c r="I123" s="902">
        <f t="shared" si="23"/>
        <v>-26567.5</v>
      </c>
      <c r="J123" s="902">
        <f t="shared" si="23"/>
        <v>-26906.5</v>
      </c>
      <c r="K123" s="902">
        <f t="shared" si="23"/>
        <v>-32856</v>
      </c>
      <c r="L123" s="902">
        <f t="shared" si="23"/>
        <v>-6125</v>
      </c>
      <c r="M123" s="902">
        <f t="shared" si="23"/>
        <v>2189</v>
      </c>
      <c r="N123" s="902">
        <f t="shared" si="23"/>
        <v>31446.518896417692</v>
      </c>
      <c r="O123" s="902">
        <f t="shared" si="23"/>
        <v>53038.991484107915</v>
      </c>
      <c r="P123" s="902">
        <f t="shared" si="23"/>
        <v>78304.2751658489</v>
      </c>
      <c r="Q123" s="902">
        <f t="shared" si="23"/>
        <v>86744.184121360537</v>
      </c>
      <c r="R123" s="902">
        <f t="shared" si="23"/>
        <v>70214.007409865502</v>
      </c>
      <c r="S123" s="902">
        <f t="shared" si="23"/>
        <v>75767.511385226622</v>
      </c>
      <c r="T123" s="902">
        <f t="shared" si="23"/>
        <v>83993.200683016796</v>
      </c>
      <c r="U123" s="902">
        <f t="shared" si="23"/>
        <v>72754.790221941192</v>
      </c>
      <c r="V123" s="902">
        <f t="shared" si="23"/>
        <v>27040.057408352848</v>
      </c>
      <c r="W123" s="902">
        <f t="shared" si="23"/>
        <v>10805.219249940012</v>
      </c>
      <c r="X123" s="902">
        <f t="shared" si="23"/>
        <v>-4174.2393010030501</v>
      </c>
      <c r="Y123" s="902">
        <f t="shared" si="23"/>
        <v>-12662.860178366769</v>
      </c>
    </row>
    <row r="124" spans="2:25">
      <c r="B124" s="12" t="s">
        <v>43</v>
      </c>
      <c r="C124" s="903">
        <f>C122/C68</f>
        <v>-1.1708495698984465E-2</v>
      </c>
      <c r="D124" s="903">
        <f t="shared" ref="D124:Y124" si="24">D122/D68</f>
        <v>-9.3202954367729626E-3</v>
      </c>
      <c r="E124" s="903">
        <f t="shared" si="24"/>
        <v>-4.7292007514833419E-3</v>
      </c>
      <c r="F124" s="903">
        <f t="shared" si="24"/>
        <v>-2.9527895035209918E-3</v>
      </c>
      <c r="G124" s="903">
        <f t="shared" si="24"/>
        <v>5.0304251957995214E-3</v>
      </c>
      <c r="H124" s="903">
        <f t="shared" si="24"/>
        <v>9.4152795170010049E-3</v>
      </c>
      <c r="I124" s="903">
        <f t="shared" si="24"/>
        <v>1.8630987677107223E-2</v>
      </c>
      <c r="J124" s="903">
        <f t="shared" si="24"/>
        <v>2.3400122040032265E-2</v>
      </c>
      <c r="K124" s="903">
        <f t="shared" si="24"/>
        <v>2.6276226519575709E-2</v>
      </c>
      <c r="L124" s="903">
        <f t="shared" si="24"/>
        <v>2.395824730442762E-2</v>
      </c>
      <c r="M124" s="903">
        <f t="shared" si="24"/>
        <v>2.478080778163181E-2</v>
      </c>
      <c r="N124" s="903">
        <f t="shared" si="24"/>
        <v>2.0848543919274844E-2</v>
      </c>
      <c r="O124" s="903">
        <f t="shared" si="24"/>
        <v>1.2680720192390794E-2</v>
      </c>
      <c r="P124" s="903">
        <f t="shared" si="24"/>
        <v>5.3996998144108512E-3</v>
      </c>
      <c r="Q124" s="903">
        <f t="shared" si="24"/>
        <v>1.643258599013099E-4</v>
      </c>
      <c r="R124" s="903">
        <f t="shared" si="24"/>
        <v>2.1576151602088942E-3</v>
      </c>
      <c r="S124" s="903">
        <f t="shared" si="24"/>
        <v>6.6409187473297291E-4</v>
      </c>
      <c r="T124" s="903">
        <f t="shared" si="24"/>
        <v>-1.7271011304803021E-3</v>
      </c>
      <c r="U124" s="903">
        <f t="shared" si="24"/>
        <v>-3.2061682461803423E-3</v>
      </c>
      <c r="V124" s="903">
        <f t="shared" si="24"/>
        <v>1.9442794237163003E-3</v>
      </c>
      <c r="W124" s="903">
        <f t="shared" si="24"/>
        <v>5.6325751427266178E-3</v>
      </c>
      <c r="X124" s="903">
        <f t="shared" si="24"/>
        <v>6.062244748263894E-3</v>
      </c>
      <c r="Y124" s="903">
        <f t="shared" si="24"/>
        <v>4.531182113164306E-3</v>
      </c>
    </row>
    <row r="125" spans="2:25">
      <c r="B125" s="12" t="s">
        <v>245</v>
      </c>
      <c r="C125" s="903">
        <f>C123/C69</f>
        <v>-1.0051243212466372E-3</v>
      </c>
      <c r="D125" s="903">
        <f t="shared" ref="D125:Y125" si="25">D123/D69</f>
        <v>-6.8842597772420808E-3</v>
      </c>
      <c r="E125" s="903">
        <f t="shared" si="25"/>
        <v>-1.0206391413122821E-2</v>
      </c>
      <c r="F125" s="903">
        <f t="shared" si="25"/>
        <v>-5.3102547706494734E-3</v>
      </c>
      <c r="G125" s="903">
        <f t="shared" si="25"/>
        <v>-1.195828756208129E-3</v>
      </c>
      <c r="H125" s="903">
        <f t="shared" si="25"/>
        <v>-4.8118129287091724E-3</v>
      </c>
      <c r="I125" s="903">
        <f t="shared" si="25"/>
        <v>-8.2706722444738177E-3</v>
      </c>
      <c r="J125" s="903">
        <f t="shared" si="25"/>
        <v>-8.4460602133951349E-3</v>
      </c>
      <c r="K125" s="903">
        <f t="shared" si="25"/>
        <v>-1.0401484117285788E-2</v>
      </c>
      <c r="L125" s="903">
        <f t="shared" si="25"/>
        <v>-1.9594206385056068E-3</v>
      </c>
      <c r="M125" s="903">
        <f t="shared" si="25"/>
        <v>7.0164776641059245E-4</v>
      </c>
      <c r="N125" s="903">
        <f t="shared" si="25"/>
        <v>1.0072594416255826E-2</v>
      </c>
      <c r="O125" s="903">
        <f t="shared" si="25"/>
        <v>1.6819436448190322E-2</v>
      </c>
      <c r="P125" s="903">
        <f t="shared" si="25"/>
        <v>2.44206836302715E-2</v>
      </c>
      <c r="Q125" s="903">
        <f t="shared" si="25"/>
        <v>2.6407930698706887E-2</v>
      </c>
      <c r="R125" s="903">
        <f t="shared" si="25"/>
        <v>2.0825611709356626E-2</v>
      </c>
      <c r="S125" s="903">
        <f t="shared" si="25"/>
        <v>2.2014329945657624E-2</v>
      </c>
      <c r="T125" s="903">
        <f t="shared" si="25"/>
        <v>2.3878640336394492E-2</v>
      </c>
      <c r="U125" s="903">
        <f t="shared" si="25"/>
        <v>2.0201265335383724E-2</v>
      </c>
      <c r="V125" s="903">
        <f t="shared" si="25"/>
        <v>7.3593376937295353E-3</v>
      </c>
      <c r="W125" s="903">
        <f t="shared" si="25"/>
        <v>2.9193105008289799E-3</v>
      </c>
      <c r="X125" s="903">
        <f t="shared" si="25"/>
        <v>-1.1244963629320134E-3</v>
      </c>
      <c r="Y125" s="903">
        <f t="shared" si="25"/>
        <v>-3.415082197982634E-3</v>
      </c>
    </row>
    <row r="126" spans="2:25">
      <c r="B126" s="12" t="s">
        <v>890</v>
      </c>
      <c r="C126" s="904">
        <f>C124</f>
        <v>-1.1708495698984465E-2</v>
      </c>
      <c r="D126" s="904">
        <f t="shared" ref="D126:M126" si="26">D124</f>
        <v>-9.3202954367729626E-3</v>
      </c>
      <c r="E126" s="904">
        <f t="shared" si="26"/>
        <v>-4.7292007514833419E-3</v>
      </c>
      <c r="F126" s="904">
        <f t="shared" si="26"/>
        <v>-2.9527895035209918E-3</v>
      </c>
      <c r="G126" s="904">
        <f t="shared" si="26"/>
        <v>5.0304251957995214E-3</v>
      </c>
      <c r="H126" s="904">
        <f t="shared" si="26"/>
        <v>9.4152795170010049E-3</v>
      </c>
      <c r="I126" s="904">
        <f t="shared" si="26"/>
        <v>1.8630987677107223E-2</v>
      </c>
      <c r="J126" s="904">
        <f t="shared" si="26"/>
        <v>2.3400122040032265E-2</v>
      </c>
      <c r="K126" s="904">
        <f t="shared" si="26"/>
        <v>2.6276226519575709E-2</v>
      </c>
      <c r="L126" s="904">
        <f t="shared" si="26"/>
        <v>2.395824730442762E-2</v>
      </c>
      <c r="M126" s="904">
        <f t="shared" si="26"/>
        <v>2.478080778163181E-2</v>
      </c>
      <c r="N126" s="319"/>
      <c r="O126" s="319"/>
      <c r="P126" s="319"/>
      <c r="Q126" s="319"/>
      <c r="R126" s="319"/>
      <c r="S126" s="319"/>
      <c r="T126" s="319"/>
      <c r="U126" s="319"/>
      <c r="V126" s="319"/>
      <c r="W126" s="319"/>
      <c r="X126" s="319"/>
      <c r="Y126" s="319"/>
    </row>
    <row r="127" spans="2:25">
      <c r="B127" s="12" t="s">
        <v>892</v>
      </c>
      <c r="C127" s="904">
        <f>C125</f>
        <v>-1.0051243212466372E-3</v>
      </c>
      <c r="D127" s="904">
        <f t="shared" ref="D127:M127" si="27">D125</f>
        <v>-6.8842597772420808E-3</v>
      </c>
      <c r="E127" s="904">
        <f t="shared" si="27"/>
        <v>-1.0206391413122821E-2</v>
      </c>
      <c r="F127" s="904">
        <f t="shared" si="27"/>
        <v>-5.3102547706494734E-3</v>
      </c>
      <c r="G127" s="904">
        <f t="shared" si="27"/>
        <v>-1.195828756208129E-3</v>
      </c>
      <c r="H127" s="904">
        <f t="shared" si="27"/>
        <v>-4.8118129287091724E-3</v>
      </c>
      <c r="I127" s="904">
        <f t="shared" si="27"/>
        <v>-8.2706722444738177E-3</v>
      </c>
      <c r="J127" s="904">
        <f t="shared" si="27"/>
        <v>-8.4460602133951349E-3</v>
      </c>
      <c r="K127" s="904">
        <f t="shared" si="27"/>
        <v>-1.0401484117285788E-2</v>
      </c>
      <c r="L127" s="904">
        <f t="shared" si="27"/>
        <v>-1.9594206385056068E-3</v>
      </c>
      <c r="M127" s="904">
        <f t="shared" si="27"/>
        <v>7.0164776641059245E-4</v>
      </c>
      <c r="N127" s="904"/>
      <c r="O127" s="319"/>
      <c r="P127" s="319"/>
      <c r="Q127" s="319"/>
      <c r="R127" s="319"/>
      <c r="S127" s="319"/>
      <c r="T127" s="319"/>
      <c r="U127" s="319"/>
      <c r="V127" s="319"/>
      <c r="W127" s="319"/>
      <c r="X127" s="319"/>
      <c r="Y127" s="319"/>
    </row>
    <row r="128" spans="2:25">
      <c r="B128" s="12" t="s">
        <v>1112</v>
      </c>
      <c r="C128" s="319"/>
      <c r="D128" s="319"/>
      <c r="E128" s="319"/>
      <c r="F128" s="319"/>
      <c r="G128" s="319"/>
      <c r="H128" s="319"/>
      <c r="I128" s="319"/>
      <c r="J128" s="319"/>
      <c r="K128" s="319"/>
      <c r="L128" s="904"/>
      <c r="M128" s="904">
        <f>M124</f>
        <v>2.478080778163181E-2</v>
      </c>
      <c r="N128" s="904">
        <f t="shared" ref="N128:X128" si="28">N124</f>
        <v>2.0848543919274844E-2</v>
      </c>
      <c r="O128" s="904">
        <f t="shared" si="28"/>
        <v>1.2680720192390794E-2</v>
      </c>
      <c r="P128" s="904">
        <f t="shared" si="28"/>
        <v>5.3996998144108512E-3</v>
      </c>
      <c r="Q128" s="904">
        <f t="shared" si="28"/>
        <v>1.643258599013099E-4</v>
      </c>
      <c r="R128" s="904">
        <f t="shared" si="28"/>
        <v>2.1576151602088942E-3</v>
      </c>
      <c r="S128" s="904">
        <f t="shared" si="28"/>
        <v>6.6409187473297291E-4</v>
      </c>
      <c r="T128" s="904">
        <f t="shared" si="28"/>
        <v>-1.7271011304803021E-3</v>
      </c>
      <c r="U128" s="904">
        <f t="shared" si="28"/>
        <v>-3.2061682461803423E-3</v>
      </c>
      <c r="V128" s="904">
        <f t="shared" si="28"/>
        <v>1.9442794237163003E-3</v>
      </c>
      <c r="W128" s="904">
        <f t="shared" si="28"/>
        <v>5.6325751427266178E-3</v>
      </c>
      <c r="X128" s="904">
        <f t="shared" si="28"/>
        <v>6.062244748263894E-3</v>
      </c>
      <c r="Y128" s="904">
        <f>Y124</f>
        <v>4.531182113164306E-3</v>
      </c>
    </row>
    <row r="129" spans="2:25">
      <c r="B129" s="12" t="s">
        <v>1113</v>
      </c>
      <c r="C129" s="319"/>
      <c r="D129" s="319"/>
      <c r="E129" s="319"/>
      <c r="F129" s="319"/>
      <c r="G129" s="319"/>
      <c r="H129" s="319"/>
      <c r="I129" s="319"/>
      <c r="J129" s="319"/>
      <c r="K129" s="319"/>
      <c r="L129" s="904"/>
      <c r="M129" s="904">
        <f t="shared" ref="M129:Y129" si="29">M125</f>
        <v>7.0164776641059245E-4</v>
      </c>
      <c r="N129" s="904">
        <f t="shared" si="29"/>
        <v>1.0072594416255826E-2</v>
      </c>
      <c r="O129" s="904">
        <f t="shared" si="29"/>
        <v>1.6819436448190322E-2</v>
      </c>
      <c r="P129" s="904">
        <f t="shared" si="29"/>
        <v>2.44206836302715E-2</v>
      </c>
      <c r="Q129" s="904">
        <f t="shared" si="29"/>
        <v>2.6407930698706887E-2</v>
      </c>
      <c r="R129" s="904">
        <f t="shared" si="29"/>
        <v>2.0825611709356626E-2</v>
      </c>
      <c r="S129" s="904">
        <f t="shared" si="29"/>
        <v>2.2014329945657624E-2</v>
      </c>
      <c r="T129" s="904">
        <f t="shared" si="29"/>
        <v>2.3878640336394492E-2</v>
      </c>
      <c r="U129" s="904">
        <f t="shared" si="29"/>
        <v>2.0201265335383724E-2</v>
      </c>
      <c r="V129" s="904">
        <f t="shared" si="29"/>
        <v>7.3593376937295353E-3</v>
      </c>
      <c r="W129" s="904">
        <f t="shared" si="29"/>
        <v>2.9193105008289799E-3</v>
      </c>
      <c r="X129" s="904">
        <f t="shared" si="29"/>
        <v>-1.1244963629320134E-3</v>
      </c>
      <c r="Y129" s="904">
        <f t="shared" si="29"/>
        <v>-3.415082197982634E-3</v>
      </c>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50"/>
  </sheetPr>
  <dimension ref="A1:AW623"/>
  <sheetViews>
    <sheetView showGridLines="0" zoomScaleNormal="100" workbookViewId="0"/>
  </sheetViews>
  <sheetFormatPr defaultRowHeight="12.75"/>
  <cols>
    <col min="1" max="1" width="9.5703125" style="174" customWidth="1"/>
    <col min="2" max="2" width="32.140625" customWidth="1"/>
    <col min="3" max="44" width="15.7109375" customWidth="1"/>
    <col min="47" max="47" width="10.7109375" customWidth="1"/>
    <col min="48" max="48" width="9.7109375" bestFit="1" customWidth="1"/>
  </cols>
  <sheetData>
    <row r="1" spans="1:15" s="68" customFormat="1" ht="15.75">
      <c r="A1" s="171" t="str">
        <f>ModelBanner</f>
        <v>TSM_201718 for publication</v>
      </c>
    </row>
    <row r="2" spans="1:15" s="66" customFormat="1" ht="15">
      <c r="A2" s="1003" t="s">
        <v>13</v>
      </c>
      <c r="B2" s="1003" t="s">
        <v>30</v>
      </c>
    </row>
    <row r="3" spans="1:15" s="66" customFormat="1" ht="10.15" customHeight="1">
      <c r="A3" s="172"/>
    </row>
    <row r="4" spans="1:15" s="57" customFormat="1">
      <c r="A4" s="173" t="s">
        <v>26</v>
      </c>
      <c r="B4" s="58"/>
      <c r="C4" s="58"/>
      <c r="D4" s="58"/>
    </row>
    <row r="5" spans="1:15" s="69" customFormat="1" ht="12.75" customHeight="1">
      <c r="A5" s="295"/>
      <c r="B5" s="60" t="s">
        <v>1429</v>
      </c>
      <c r="C5" s="70"/>
      <c r="D5" s="70"/>
      <c r="E5" s="70"/>
      <c r="F5" s="70"/>
      <c r="G5" s="70"/>
      <c r="H5" s="70"/>
      <c r="I5" s="70"/>
      <c r="J5" s="70"/>
      <c r="K5" s="70"/>
      <c r="L5" s="70"/>
      <c r="M5" s="70"/>
      <c r="N5" s="70"/>
      <c r="O5" s="70"/>
    </row>
    <row r="6" spans="1:15" s="46" customFormat="1" ht="13.5" customHeight="1">
      <c r="A6" s="296" t="s">
        <v>1420</v>
      </c>
      <c r="B6" s="61"/>
      <c r="C6" s="61"/>
      <c r="D6" s="61"/>
      <c r="E6" s="45"/>
      <c r="F6" s="45"/>
      <c r="G6" s="45"/>
      <c r="H6" s="45"/>
      <c r="I6" s="45"/>
      <c r="J6" s="45"/>
      <c r="K6" s="45"/>
      <c r="L6" s="45"/>
      <c r="M6" s="45"/>
      <c r="N6" s="45"/>
      <c r="O6" s="45"/>
    </row>
    <row r="7" spans="1:15" s="46" customFormat="1" ht="12" customHeight="1">
      <c r="A7" s="297"/>
      <c r="B7" s="180" t="s">
        <v>505</v>
      </c>
      <c r="C7" s="61"/>
      <c r="D7" s="61"/>
      <c r="E7" s="45"/>
      <c r="F7" s="45"/>
      <c r="G7" s="45"/>
      <c r="H7" s="45"/>
      <c r="I7" s="45"/>
      <c r="J7" s="45"/>
      <c r="K7" s="45"/>
      <c r="L7" s="45"/>
      <c r="M7" s="45"/>
      <c r="N7" s="45"/>
      <c r="O7" s="45"/>
    </row>
    <row r="8" spans="1:15" s="46" customFormat="1" ht="15.75" customHeight="1">
      <c r="A8" s="296" t="s">
        <v>24</v>
      </c>
      <c r="B8" s="61"/>
      <c r="C8" s="61"/>
      <c r="D8" s="61"/>
      <c r="E8" s="45"/>
      <c r="F8" s="45"/>
      <c r="G8" s="45"/>
      <c r="H8" s="45"/>
      <c r="I8" s="45"/>
      <c r="J8" s="45"/>
      <c r="K8" s="45"/>
      <c r="L8" s="45"/>
      <c r="M8" s="45"/>
      <c r="N8" s="45"/>
      <c r="O8" s="45"/>
    </row>
    <row r="9" spans="1:15" s="50" customFormat="1" ht="13.5" customHeight="1">
      <c r="A9" s="298">
        <f>SUM(A10:A2010)</f>
        <v>0</v>
      </c>
      <c r="B9" s="181" t="s">
        <v>1427</v>
      </c>
      <c r="C9" s="294"/>
      <c r="D9" s="294"/>
      <c r="E9" s="49"/>
      <c r="F9" s="49"/>
      <c r="G9" s="49"/>
      <c r="H9" s="49"/>
      <c r="I9" s="49"/>
      <c r="J9" s="49"/>
      <c r="K9" s="49"/>
      <c r="L9" s="49"/>
      <c r="M9" s="49"/>
      <c r="N9" s="49"/>
      <c r="O9" s="49"/>
    </row>
    <row r="11" spans="1:15">
      <c r="B11" s="76" t="s">
        <v>1125</v>
      </c>
    </row>
    <row r="12" spans="1:15">
      <c r="B12" s="12"/>
    </row>
    <row r="13" spans="1:15">
      <c r="B13" s="1095" t="s">
        <v>1126</v>
      </c>
      <c r="C13" s="1095"/>
      <c r="D13" s="1095"/>
      <c r="E13" s="1095"/>
      <c r="F13" s="1095"/>
      <c r="G13" s="1095"/>
      <c r="H13" s="1095"/>
      <c r="I13" s="1095"/>
      <c r="J13" s="1095"/>
    </row>
    <row r="14" spans="1:15">
      <c r="B14" s="1095"/>
      <c r="C14" s="1095"/>
      <c r="D14" s="1095"/>
      <c r="E14" s="1095"/>
      <c r="F14" s="1095"/>
      <c r="G14" s="1095"/>
      <c r="H14" s="1095"/>
      <c r="I14" s="1095"/>
      <c r="J14" s="1095"/>
    </row>
    <row r="15" spans="1:15">
      <c r="B15" s="493"/>
      <c r="C15" s="493"/>
      <c r="D15" s="493"/>
      <c r="E15" s="493"/>
      <c r="F15" s="493"/>
      <c r="G15" s="493"/>
      <c r="H15" s="493"/>
      <c r="I15" s="493"/>
      <c r="J15" s="493"/>
    </row>
    <row r="16" spans="1:15">
      <c r="B16" s="1095" t="s">
        <v>504</v>
      </c>
      <c r="C16" s="1095"/>
      <c r="D16" s="1095"/>
      <c r="E16" s="1095"/>
      <c r="F16" s="1095"/>
      <c r="G16" s="1095"/>
      <c r="H16" s="1095"/>
      <c r="I16" s="1095"/>
      <c r="J16" s="1095"/>
    </row>
    <row r="17" spans="2:13">
      <c r="B17" s="493"/>
      <c r="C17" s="493"/>
      <c r="D17" s="493"/>
      <c r="E17" s="493"/>
      <c r="F17" s="493"/>
      <c r="G17" s="493"/>
      <c r="H17" s="493"/>
      <c r="I17" s="493"/>
      <c r="J17" s="493"/>
    </row>
    <row r="18" spans="2:13">
      <c r="B18" s="12" t="s">
        <v>1127</v>
      </c>
    </row>
    <row r="20" spans="2:13" ht="12.75" customHeight="1">
      <c r="B20" s="1182" t="s">
        <v>1350</v>
      </c>
      <c r="C20" s="1182"/>
      <c r="D20" s="1182"/>
      <c r="E20" s="1182"/>
      <c r="F20" s="1182"/>
      <c r="G20" s="1182"/>
      <c r="H20" s="1182"/>
      <c r="I20" s="1182"/>
      <c r="J20" s="1182"/>
      <c r="K20" s="306"/>
    </row>
    <row r="21" spans="2:13" ht="12.75" customHeight="1">
      <c r="B21" s="1182"/>
      <c r="C21" s="1182"/>
      <c r="D21" s="1182"/>
      <c r="E21" s="1182"/>
      <c r="F21" s="1182"/>
      <c r="G21" s="1182"/>
      <c r="H21" s="1182"/>
      <c r="I21" s="1182"/>
      <c r="J21" s="1182"/>
      <c r="K21" s="306"/>
    </row>
    <row r="22" spans="2:13" ht="12.75" customHeight="1">
      <c r="B22" s="1182"/>
      <c r="C22" s="1182"/>
      <c r="D22" s="1182"/>
      <c r="E22" s="1182"/>
      <c r="F22" s="1182"/>
      <c r="G22" s="1182"/>
      <c r="H22" s="1182"/>
      <c r="I22" s="1182"/>
      <c r="J22" s="1182"/>
      <c r="K22" s="306"/>
    </row>
    <row r="23" spans="2:13" ht="17.45" customHeight="1">
      <c r="B23" s="1182"/>
      <c r="C23" s="1182"/>
      <c r="D23" s="1182"/>
      <c r="E23" s="1182"/>
      <c r="F23" s="1182"/>
      <c r="G23" s="1182"/>
      <c r="H23" s="1182"/>
      <c r="I23" s="1182"/>
      <c r="J23" s="1182"/>
      <c r="K23" s="306"/>
    </row>
    <row r="24" spans="2:13" ht="12" customHeight="1">
      <c r="B24" s="1182"/>
      <c r="C24" s="1182"/>
      <c r="D24" s="1182"/>
      <c r="E24" s="1182"/>
      <c r="F24" s="1182"/>
      <c r="G24" s="1182"/>
      <c r="H24" s="1182"/>
      <c r="I24" s="1182"/>
      <c r="J24" s="1182"/>
      <c r="K24" s="306"/>
    </row>
    <row r="26" spans="2:13" ht="18">
      <c r="B26" s="39" t="s">
        <v>46</v>
      </c>
      <c r="F26" s="12"/>
      <c r="J26" s="12" t="s">
        <v>1430</v>
      </c>
      <c r="L26" s="922" t="s">
        <v>133</v>
      </c>
      <c r="M26" s="5" t="s">
        <v>67</v>
      </c>
    </row>
    <row r="28" spans="2:13">
      <c r="B28" s="12" t="s">
        <v>1428</v>
      </c>
      <c r="C28" s="115" t="s">
        <v>1100</v>
      </c>
    </row>
    <row r="30" spans="2:13">
      <c r="B30" s="12" t="s">
        <v>64</v>
      </c>
      <c r="C30" s="115" t="s">
        <v>1425</v>
      </c>
    </row>
    <row r="32" spans="2:13">
      <c r="B32" s="12" t="s">
        <v>65</v>
      </c>
      <c r="C32" s="1169" t="s">
        <v>500</v>
      </c>
      <c r="D32" s="1169"/>
      <c r="E32" s="1169"/>
      <c r="F32" s="1169"/>
      <c r="G32" s="1169"/>
      <c r="H32" s="1169"/>
      <c r="I32" s="1169"/>
      <c r="J32" s="1169"/>
      <c r="K32" s="1169"/>
      <c r="L32" s="1169"/>
    </row>
    <row r="33" spans="1:49">
      <c r="C33" s="1169"/>
      <c r="D33" s="1169"/>
      <c r="E33" s="1169"/>
      <c r="F33" s="1169"/>
      <c r="G33" s="1169"/>
      <c r="H33" s="1169"/>
      <c r="I33" s="1169"/>
      <c r="J33" s="1169"/>
      <c r="K33" s="1169"/>
      <c r="L33" s="1169"/>
    </row>
    <row r="34" spans="1:49" ht="12.75" customHeight="1">
      <c r="C34" s="1169"/>
      <c r="D34" s="1169"/>
      <c r="E34" s="1169"/>
      <c r="F34" s="1169"/>
      <c r="G34" s="1169"/>
      <c r="H34" s="1169"/>
      <c r="I34" s="1169"/>
      <c r="J34" s="1169"/>
      <c r="K34" s="1169"/>
      <c r="L34" s="1169"/>
    </row>
    <row r="36" spans="1:49" s="12" customFormat="1">
      <c r="A36" s="175"/>
      <c r="B36" s="118" t="s">
        <v>47</v>
      </c>
      <c r="C36" s="277"/>
    </row>
    <row r="37" spans="1:49" s="12" customFormat="1">
      <c r="A37" s="175"/>
    </row>
    <row r="38" spans="1:49" s="264" customFormat="1" ht="45" customHeight="1">
      <c r="B38" s="152"/>
      <c r="C38" s="1104" t="s">
        <v>558</v>
      </c>
      <c r="D38" s="1104"/>
      <c r="E38" s="1104" t="s">
        <v>7</v>
      </c>
      <c r="F38" s="1104"/>
      <c r="G38" s="1104" t="s">
        <v>427</v>
      </c>
      <c r="H38" s="1104"/>
      <c r="I38" s="1104" t="s">
        <v>3</v>
      </c>
      <c r="J38" s="1104"/>
      <c r="K38" s="1104" t="s">
        <v>85</v>
      </c>
      <c r="L38" s="1104"/>
      <c r="M38" s="1104" t="s">
        <v>103</v>
      </c>
      <c r="N38" s="1104"/>
      <c r="O38" s="1108" t="s">
        <v>559</v>
      </c>
      <c r="P38" s="1109"/>
      <c r="Q38" s="1108" t="s">
        <v>6</v>
      </c>
      <c r="R38" s="1109"/>
      <c r="S38" s="1108" t="s">
        <v>1</v>
      </c>
      <c r="T38" s="1109"/>
      <c r="U38" s="1108" t="s">
        <v>396</v>
      </c>
      <c r="V38" s="1109"/>
      <c r="W38" s="1108" t="s">
        <v>4</v>
      </c>
      <c r="X38" s="1109"/>
      <c r="Y38" s="1108" t="s">
        <v>0</v>
      </c>
      <c r="Z38" s="1109"/>
      <c r="AA38" s="1108" t="s">
        <v>560</v>
      </c>
      <c r="AB38" s="1109"/>
      <c r="AC38" s="1108" t="s">
        <v>561</v>
      </c>
      <c r="AD38" s="1109"/>
      <c r="AE38" s="1108" t="s">
        <v>5</v>
      </c>
      <c r="AF38" s="1109"/>
      <c r="AG38" s="1108" t="s">
        <v>44</v>
      </c>
      <c r="AH38" s="1109"/>
      <c r="AI38" s="1108" t="s">
        <v>562</v>
      </c>
      <c r="AJ38" s="1109"/>
      <c r="AK38" s="1108" t="s">
        <v>2</v>
      </c>
      <c r="AL38" s="1109"/>
      <c r="AM38" s="1108" t="s">
        <v>563</v>
      </c>
      <c r="AN38" s="1109"/>
      <c r="AO38" s="1108" t="s">
        <v>45</v>
      </c>
      <c r="AP38" s="1109"/>
      <c r="AQ38" s="1104" t="s">
        <v>43</v>
      </c>
      <c r="AR38" s="1104"/>
    </row>
    <row r="39" spans="1:49" s="193" customFormat="1" ht="12.75" customHeight="1">
      <c r="A39" s="240"/>
      <c r="B39" s="8" t="s">
        <v>48</v>
      </c>
      <c r="C39" s="182" t="s">
        <v>49</v>
      </c>
      <c r="D39" s="182" t="s">
        <v>50</v>
      </c>
      <c r="E39" s="182" t="s">
        <v>49</v>
      </c>
      <c r="F39" s="182" t="s">
        <v>50</v>
      </c>
      <c r="G39" s="182" t="s">
        <v>49</v>
      </c>
      <c r="H39" s="182" t="s">
        <v>50</v>
      </c>
      <c r="I39" s="182" t="s">
        <v>49</v>
      </c>
      <c r="J39" s="182" t="s">
        <v>50</v>
      </c>
      <c r="K39" s="182" t="s">
        <v>49</v>
      </c>
      <c r="L39" s="182" t="s">
        <v>50</v>
      </c>
      <c r="M39" s="182" t="s">
        <v>49</v>
      </c>
      <c r="N39" s="182" t="s">
        <v>50</v>
      </c>
      <c r="O39" s="182" t="s">
        <v>49</v>
      </c>
      <c r="P39" s="182" t="s">
        <v>50</v>
      </c>
      <c r="Q39" s="182" t="s">
        <v>49</v>
      </c>
      <c r="R39" s="182" t="s">
        <v>50</v>
      </c>
      <c r="S39" s="182" t="s">
        <v>49</v>
      </c>
      <c r="T39" s="182" t="s">
        <v>50</v>
      </c>
      <c r="U39" s="182" t="s">
        <v>49</v>
      </c>
      <c r="V39" s="182" t="s">
        <v>50</v>
      </c>
      <c r="W39" s="182" t="s">
        <v>49</v>
      </c>
      <c r="X39" s="182" t="s">
        <v>50</v>
      </c>
      <c r="Y39" s="182" t="s">
        <v>49</v>
      </c>
      <c r="Z39" s="182" t="s">
        <v>50</v>
      </c>
      <c r="AA39" s="182" t="s">
        <v>49</v>
      </c>
      <c r="AB39" s="182" t="s">
        <v>50</v>
      </c>
      <c r="AC39" s="182" t="s">
        <v>49</v>
      </c>
      <c r="AD39" s="182" t="s">
        <v>50</v>
      </c>
      <c r="AE39" s="182" t="s">
        <v>49</v>
      </c>
      <c r="AF39" s="182" t="s">
        <v>50</v>
      </c>
      <c r="AG39" s="182" t="s">
        <v>49</v>
      </c>
      <c r="AH39" s="182" t="s">
        <v>50</v>
      </c>
      <c r="AI39" s="182" t="s">
        <v>49</v>
      </c>
      <c r="AJ39" s="182" t="s">
        <v>50</v>
      </c>
      <c r="AK39" s="182" t="s">
        <v>49</v>
      </c>
      <c r="AL39" s="182" t="s">
        <v>50</v>
      </c>
      <c r="AM39" s="182" t="s">
        <v>49</v>
      </c>
      <c r="AN39" s="182" t="s">
        <v>50</v>
      </c>
      <c r="AO39" s="182" t="s">
        <v>49</v>
      </c>
      <c r="AP39" s="182" t="s">
        <v>50</v>
      </c>
      <c r="AQ39" s="182" t="s">
        <v>49</v>
      </c>
      <c r="AR39" s="182" t="s">
        <v>50</v>
      </c>
    </row>
    <row r="40" spans="1:49" s="193" customFormat="1" ht="12.75" customHeight="1">
      <c r="A40" s="240"/>
      <c r="B40" s="8" t="s">
        <v>51</v>
      </c>
      <c r="C40" s="307">
        <v>18.986759241049899</v>
      </c>
      <c r="D40" s="307">
        <v>117.50343426928922</v>
      </c>
      <c r="E40" s="307">
        <v>165.88194546640213</v>
      </c>
      <c r="F40" s="307">
        <v>413.32321242793694</v>
      </c>
      <c r="G40" s="307">
        <v>33.141928512604039</v>
      </c>
      <c r="H40" s="307">
        <v>67.335503892353429</v>
      </c>
      <c r="I40" s="307">
        <v>146.75673666364327</v>
      </c>
      <c r="J40" s="307">
        <v>392.05408784527634</v>
      </c>
      <c r="K40" s="307">
        <v>5.7033033199250696</v>
      </c>
      <c r="L40" s="307">
        <v>5.9424309566605302</v>
      </c>
      <c r="M40" s="307">
        <v>121.14408373249928</v>
      </c>
      <c r="N40" s="307">
        <v>101.68122161593789</v>
      </c>
      <c r="O40" s="307">
        <v>77.198316567433054</v>
      </c>
      <c r="P40" s="307">
        <v>175.18375941079947</v>
      </c>
      <c r="Q40" s="307">
        <v>27.710359407600947</v>
      </c>
      <c r="R40" s="307">
        <v>127.34696425482707</v>
      </c>
      <c r="S40" s="307">
        <v>256.06953473505121</v>
      </c>
      <c r="T40" s="307">
        <v>1314.6591635214154</v>
      </c>
      <c r="U40" s="307">
        <v>5.2592428911729998</v>
      </c>
      <c r="V40" s="307">
        <v>41.034139017909588</v>
      </c>
      <c r="W40" s="307">
        <v>191.99308224724848</v>
      </c>
      <c r="X40" s="307">
        <v>478.13009528320919</v>
      </c>
      <c r="Y40" s="307">
        <v>208.77432160819072</v>
      </c>
      <c r="Z40" s="307">
        <v>470.18679586773101</v>
      </c>
      <c r="AA40" s="307">
        <v>717.84774500450499</v>
      </c>
      <c r="AB40" s="307">
        <v>1336.3009715467845</v>
      </c>
      <c r="AC40" s="307">
        <v>61.918451316735023</v>
      </c>
      <c r="AD40" s="307">
        <v>323.38027874388354</v>
      </c>
      <c r="AE40" s="307">
        <v>92.373931435929123</v>
      </c>
      <c r="AF40" s="307">
        <v>144.02582623268145</v>
      </c>
      <c r="AG40" s="307">
        <v>121.30990631798113</v>
      </c>
      <c r="AH40" s="307">
        <v>380.19044506460386</v>
      </c>
      <c r="AI40" s="307">
        <v>359.84435732044318</v>
      </c>
      <c r="AJ40" s="307">
        <v>630.61470640176026</v>
      </c>
      <c r="AK40" s="307">
        <v>264.79881578836859</v>
      </c>
      <c r="AL40" s="307">
        <v>234.4094365777849</v>
      </c>
      <c r="AM40" s="307">
        <v>85.483383341991811</v>
      </c>
      <c r="AN40" s="307">
        <v>303.08226254803066</v>
      </c>
      <c r="AO40" s="307">
        <f>C40+E40+G40+I40+K40+M40+O40+Q40+S40+U40+W40+Y40+AA40+AC40+AE40+AG40+AI40+AK40+AM40</f>
        <v>2962.196204918775</v>
      </c>
      <c r="AP40" s="307">
        <f>D40+F40+H40+J40+L40+N40+P40+R40+T40+V40+X40+Z40+AB40+AD40+AF40+AH40+AJ40+AL40+AN40</f>
        <v>7056.384735478875</v>
      </c>
      <c r="AQ40" s="307">
        <v>2201.1010000000001</v>
      </c>
      <c r="AR40" s="307">
        <v>15881.828</v>
      </c>
      <c r="AU40" s="420"/>
    </row>
    <row r="41" spans="1:49" s="193" customFormat="1">
      <c r="A41" s="240"/>
      <c r="B41" s="8" t="s">
        <v>52</v>
      </c>
      <c r="C41" s="307">
        <v>132.00384956713071</v>
      </c>
      <c r="D41" s="307">
        <v>806.01881149961878</v>
      </c>
      <c r="E41" s="307">
        <v>538.6694059754426</v>
      </c>
      <c r="F41" s="307">
        <v>1580.7177528014845</v>
      </c>
      <c r="G41" s="307">
        <v>198.28861888815428</v>
      </c>
      <c r="H41" s="307">
        <v>295.41041472466327</v>
      </c>
      <c r="I41" s="307">
        <v>703.77458035206166</v>
      </c>
      <c r="J41" s="307">
        <v>1195.0956876017569</v>
      </c>
      <c r="K41" s="307">
        <v>18.479143475464983</v>
      </c>
      <c r="L41" s="307">
        <v>38.932770191791001</v>
      </c>
      <c r="M41" s="307">
        <v>513.1694663298689</v>
      </c>
      <c r="N41" s="307">
        <v>380.10100925032708</v>
      </c>
      <c r="O41" s="307">
        <v>335.37644667749333</v>
      </c>
      <c r="P41" s="307">
        <v>827.10122836466951</v>
      </c>
      <c r="Q41" s="307">
        <v>141.71036101186348</v>
      </c>
      <c r="R41" s="307">
        <v>712.28374211887808</v>
      </c>
      <c r="S41" s="307">
        <v>1019.4741295265808</v>
      </c>
      <c r="T41" s="307">
        <v>4514.7517295836569</v>
      </c>
      <c r="U41" s="307">
        <v>16.124080579926002</v>
      </c>
      <c r="V41" s="307">
        <v>211.45730988086808</v>
      </c>
      <c r="W41" s="307">
        <v>638.34647080583932</v>
      </c>
      <c r="X41" s="307">
        <v>1256.0458638026651</v>
      </c>
      <c r="Y41" s="307">
        <v>815.70675135715101</v>
      </c>
      <c r="Z41" s="307">
        <v>1250.678036325635</v>
      </c>
      <c r="AA41" s="307">
        <v>2142.1572995284023</v>
      </c>
      <c r="AB41" s="307">
        <v>2868.9498514443026</v>
      </c>
      <c r="AC41" s="307">
        <v>388.42212695095361</v>
      </c>
      <c r="AD41" s="307">
        <v>1707.2634996038846</v>
      </c>
      <c r="AE41" s="307">
        <v>411.73593696020436</v>
      </c>
      <c r="AF41" s="307">
        <v>569.46228995405409</v>
      </c>
      <c r="AG41" s="307">
        <v>595.55313473885315</v>
      </c>
      <c r="AH41" s="307">
        <v>1610.7443309171283</v>
      </c>
      <c r="AI41" s="307">
        <v>1700.402099616952</v>
      </c>
      <c r="AJ41" s="307">
        <v>1884.9378975506008</v>
      </c>
      <c r="AK41" s="307">
        <v>977.71119308287825</v>
      </c>
      <c r="AL41" s="307">
        <v>559.26561301859203</v>
      </c>
      <c r="AM41" s="307">
        <v>296.18238392438042</v>
      </c>
      <c r="AN41" s="307">
        <v>1012.0368005332734</v>
      </c>
      <c r="AO41" s="307">
        <f t="shared" ref="AO41:AP49" si="0">C41+E41+G41+I41+K41+M41+O41+Q41+S41+U41+W41+Y41+AA41+AC41+AE41+AG41+AI41+AK41+AM41</f>
        <v>11583.287479349599</v>
      </c>
      <c r="AP41" s="307">
        <f t="shared" si="0"/>
        <v>23281.254639167855</v>
      </c>
      <c r="AQ41" s="307">
        <v>6376.2039999999997</v>
      </c>
      <c r="AR41" s="307">
        <v>36112.19</v>
      </c>
      <c r="AU41" s="420"/>
    </row>
    <row r="42" spans="1:49" s="193" customFormat="1">
      <c r="A42" s="240"/>
      <c r="B42" s="8" t="s">
        <v>53</v>
      </c>
      <c r="C42" s="307">
        <v>296.82527009953958</v>
      </c>
      <c r="D42" s="307">
        <v>1194.8536090635239</v>
      </c>
      <c r="E42" s="307">
        <v>685.588312897121</v>
      </c>
      <c r="F42" s="307">
        <v>1661.7523461007875</v>
      </c>
      <c r="G42" s="307">
        <v>347.01336176290926</v>
      </c>
      <c r="H42" s="307">
        <v>459.67103240585345</v>
      </c>
      <c r="I42" s="307">
        <v>640.85175268294495</v>
      </c>
      <c r="J42" s="307">
        <v>1079.4745801635797</v>
      </c>
      <c r="K42" s="307">
        <v>17.317248173197143</v>
      </c>
      <c r="L42" s="307">
        <v>32.861604376554567</v>
      </c>
      <c r="M42" s="307">
        <v>958.27483727735171</v>
      </c>
      <c r="N42" s="307">
        <v>561.85458263406179</v>
      </c>
      <c r="O42" s="307">
        <v>632.34139871307934</v>
      </c>
      <c r="P42" s="307">
        <v>1029.456681363944</v>
      </c>
      <c r="Q42" s="307">
        <v>227.83861672810889</v>
      </c>
      <c r="R42" s="307">
        <v>1006.6496751964177</v>
      </c>
      <c r="S42" s="307">
        <v>1120.5116466620566</v>
      </c>
      <c r="T42" s="307">
        <v>4313.8581569519747</v>
      </c>
      <c r="U42" s="307">
        <v>44.032401572863009</v>
      </c>
      <c r="V42" s="307">
        <v>210.88014182961322</v>
      </c>
      <c r="W42" s="307">
        <v>834.17147351426013</v>
      </c>
      <c r="X42" s="307">
        <v>1113.141468431746</v>
      </c>
      <c r="Y42" s="307">
        <v>913.02266870770382</v>
      </c>
      <c r="Z42" s="307">
        <v>1205.0412729023485</v>
      </c>
      <c r="AA42" s="307">
        <v>2162.8319191687092</v>
      </c>
      <c r="AB42" s="307">
        <v>2278.8914885942636</v>
      </c>
      <c r="AC42" s="307">
        <v>416.54666050817889</v>
      </c>
      <c r="AD42" s="307">
        <v>1705.054583859283</v>
      </c>
      <c r="AE42" s="307">
        <v>428.13122359609969</v>
      </c>
      <c r="AF42" s="307">
        <v>593.78804115827143</v>
      </c>
      <c r="AG42" s="307">
        <v>877.08716020922418</v>
      </c>
      <c r="AH42" s="307">
        <v>1906.8287563733245</v>
      </c>
      <c r="AI42" s="307">
        <v>2385.3054708867126</v>
      </c>
      <c r="AJ42" s="307">
        <v>1919.5497628550436</v>
      </c>
      <c r="AK42" s="307">
        <v>1042.5552869963301</v>
      </c>
      <c r="AL42" s="307">
        <v>733.09357951527636</v>
      </c>
      <c r="AM42" s="307">
        <v>393.01041425644451</v>
      </c>
      <c r="AN42" s="307">
        <v>914.49560961387795</v>
      </c>
      <c r="AO42" s="307">
        <f t="shared" si="0"/>
        <v>14423.257124412836</v>
      </c>
      <c r="AP42" s="307">
        <f t="shared" si="0"/>
        <v>23921.196973389742</v>
      </c>
      <c r="AQ42" s="307">
        <v>5885.4409999999998</v>
      </c>
      <c r="AR42" s="307">
        <v>33344.974000000002</v>
      </c>
      <c r="AU42" s="420"/>
    </row>
    <row r="43" spans="1:49" s="193" customFormat="1" ht="13.5" customHeight="1">
      <c r="A43" s="240"/>
      <c r="B43" s="8" t="s">
        <v>54</v>
      </c>
      <c r="C43" s="307">
        <v>307.03922311793787</v>
      </c>
      <c r="D43" s="307">
        <v>1210.0356208348044</v>
      </c>
      <c r="E43" s="307">
        <v>688.51920916964445</v>
      </c>
      <c r="F43" s="307">
        <v>1569.9737933545555</v>
      </c>
      <c r="G43" s="307">
        <v>333.83867500837573</v>
      </c>
      <c r="H43" s="307">
        <v>429.54656775728188</v>
      </c>
      <c r="I43" s="307">
        <v>646.80667625740921</v>
      </c>
      <c r="J43" s="307">
        <v>934.2774188261576</v>
      </c>
      <c r="K43" s="307">
        <v>16.090246668647055</v>
      </c>
      <c r="L43" s="307">
        <v>26.193727628970933</v>
      </c>
      <c r="M43" s="307">
        <v>849.61634436288045</v>
      </c>
      <c r="N43" s="307">
        <v>566.15858138841668</v>
      </c>
      <c r="O43" s="307">
        <v>637.37078431356895</v>
      </c>
      <c r="P43" s="307">
        <v>864.02742783620329</v>
      </c>
      <c r="Q43" s="307">
        <v>221.662827250818</v>
      </c>
      <c r="R43" s="307">
        <v>783.59952565432047</v>
      </c>
      <c r="S43" s="307">
        <v>1035.7680788518887</v>
      </c>
      <c r="T43" s="307">
        <v>3714.7609054030127</v>
      </c>
      <c r="U43" s="307">
        <v>32.206981030544199</v>
      </c>
      <c r="V43" s="307">
        <v>218.20766665423994</v>
      </c>
      <c r="W43" s="307">
        <v>854.46838103379923</v>
      </c>
      <c r="X43" s="307">
        <v>1066.2655385413264</v>
      </c>
      <c r="Y43" s="307">
        <v>827.38737577483596</v>
      </c>
      <c r="Z43" s="307">
        <v>1110.6951580521827</v>
      </c>
      <c r="AA43" s="307">
        <v>1964.1558419202743</v>
      </c>
      <c r="AB43" s="307">
        <v>2162.9168888365089</v>
      </c>
      <c r="AC43" s="307">
        <v>465.45993339360496</v>
      </c>
      <c r="AD43" s="307">
        <v>2052.9094496027205</v>
      </c>
      <c r="AE43" s="307">
        <v>387.67386870888822</v>
      </c>
      <c r="AF43" s="307">
        <v>617.91503134874893</v>
      </c>
      <c r="AG43" s="307">
        <v>797.68580023658603</v>
      </c>
      <c r="AH43" s="307">
        <v>1518.2786251403734</v>
      </c>
      <c r="AI43" s="307">
        <v>1940.8167780298638</v>
      </c>
      <c r="AJ43" s="307">
        <v>1551.399395341856</v>
      </c>
      <c r="AK43" s="307">
        <v>920.56134443202939</v>
      </c>
      <c r="AL43" s="307">
        <v>597.1947945993021</v>
      </c>
      <c r="AM43" s="307">
        <v>409.66381267742304</v>
      </c>
      <c r="AN43" s="307">
        <v>831.40341177058588</v>
      </c>
      <c r="AO43" s="307">
        <f t="shared" si="0"/>
        <v>13336.792182239022</v>
      </c>
      <c r="AP43" s="307">
        <f t="shared" si="0"/>
        <v>21825.759528571565</v>
      </c>
      <c r="AQ43" s="307">
        <v>5055.6980000000003</v>
      </c>
      <c r="AR43" s="307">
        <v>30412.830999999998</v>
      </c>
      <c r="AU43" s="420"/>
    </row>
    <row r="44" spans="1:49" s="193" customFormat="1">
      <c r="A44" s="240"/>
      <c r="B44" s="8" t="s">
        <v>55</v>
      </c>
      <c r="C44" s="307">
        <v>380.25987418838093</v>
      </c>
      <c r="D44" s="307">
        <v>1157.5137154555598</v>
      </c>
      <c r="E44" s="307">
        <v>574.04167283423646</v>
      </c>
      <c r="F44" s="307">
        <v>1234.8550337476543</v>
      </c>
      <c r="G44" s="307">
        <v>295.84090757390499</v>
      </c>
      <c r="H44" s="307">
        <v>404.46458927989858</v>
      </c>
      <c r="I44" s="307">
        <v>703.69575344817713</v>
      </c>
      <c r="J44" s="307">
        <v>947.33374841259604</v>
      </c>
      <c r="K44" s="307">
        <v>12.785856494352569</v>
      </c>
      <c r="L44" s="307">
        <v>16.836463910189764</v>
      </c>
      <c r="M44" s="307">
        <v>697.76208111931851</v>
      </c>
      <c r="N44" s="307">
        <v>494.03414750598239</v>
      </c>
      <c r="O44" s="307">
        <v>700.44078105284098</v>
      </c>
      <c r="P44" s="307">
        <v>828.29627043571111</v>
      </c>
      <c r="Q44" s="307">
        <v>164.43478033505522</v>
      </c>
      <c r="R44" s="307">
        <v>495.92361351030468</v>
      </c>
      <c r="S44" s="307">
        <v>912.29481562512603</v>
      </c>
      <c r="T44" s="307">
        <v>3087.8166330790818</v>
      </c>
      <c r="U44" s="307">
        <v>37.832111046600104</v>
      </c>
      <c r="V44" s="307">
        <v>263.00694890737896</v>
      </c>
      <c r="W44" s="307">
        <v>766.08579902490203</v>
      </c>
      <c r="X44" s="307">
        <v>806.13390708864551</v>
      </c>
      <c r="Y44" s="307">
        <v>760.4031610450038</v>
      </c>
      <c r="Z44" s="307">
        <v>871.6829380689154</v>
      </c>
      <c r="AA44" s="307">
        <v>2056.1789917901187</v>
      </c>
      <c r="AB44" s="307">
        <v>2129.3758622050791</v>
      </c>
      <c r="AC44" s="307">
        <v>473.37712621364648</v>
      </c>
      <c r="AD44" s="307">
        <v>2181.3536618253825</v>
      </c>
      <c r="AE44" s="307">
        <v>305.18704920769733</v>
      </c>
      <c r="AF44" s="307">
        <v>414.85418763807616</v>
      </c>
      <c r="AG44" s="307">
        <v>748.04492302326366</v>
      </c>
      <c r="AH44" s="307">
        <v>1282.4778918562354</v>
      </c>
      <c r="AI44" s="307">
        <v>1197.9896784948221</v>
      </c>
      <c r="AJ44" s="307">
        <v>903.75193439288125</v>
      </c>
      <c r="AK44" s="307">
        <v>890.03047560382208</v>
      </c>
      <c r="AL44" s="307">
        <v>554.03747200682324</v>
      </c>
      <c r="AM44" s="307">
        <v>363.08363902167213</v>
      </c>
      <c r="AN44" s="307">
        <v>710.91822666128462</v>
      </c>
      <c r="AO44" s="307">
        <f t="shared" si="0"/>
        <v>12039.769477142943</v>
      </c>
      <c r="AP44" s="307">
        <f t="shared" si="0"/>
        <v>18784.667245987683</v>
      </c>
      <c r="AQ44" s="307">
        <v>4719.7929999999997</v>
      </c>
      <c r="AR44" s="307">
        <v>28764.807000000001</v>
      </c>
    </row>
    <row r="45" spans="1:49" s="193" customFormat="1">
      <c r="A45" s="240"/>
      <c r="B45" s="8" t="s">
        <v>56</v>
      </c>
      <c r="C45" s="307">
        <v>296.70334228464287</v>
      </c>
      <c r="D45" s="307">
        <v>850.19765623330716</v>
      </c>
      <c r="E45" s="307">
        <v>395.30588173425213</v>
      </c>
      <c r="F45" s="307">
        <v>848.37675620521986</v>
      </c>
      <c r="G45" s="307">
        <v>266.39880921317587</v>
      </c>
      <c r="H45" s="307">
        <v>294.06575174567968</v>
      </c>
      <c r="I45" s="307">
        <v>581.07302088901884</v>
      </c>
      <c r="J45" s="307">
        <v>695.39198769973689</v>
      </c>
      <c r="K45" s="307">
        <v>12.613575466774922</v>
      </c>
      <c r="L45" s="307">
        <v>18.001364114101399</v>
      </c>
      <c r="M45" s="307">
        <v>592.10739986449926</v>
      </c>
      <c r="N45" s="307">
        <v>397.23911287497702</v>
      </c>
      <c r="O45" s="307">
        <v>737.58717253076429</v>
      </c>
      <c r="P45" s="307">
        <v>799.55420749257576</v>
      </c>
      <c r="Q45" s="307">
        <v>140.75306853486089</v>
      </c>
      <c r="R45" s="307">
        <v>301.11208843903404</v>
      </c>
      <c r="S45" s="307">
        <v>718.53009634524278</v>
      </c>
      <c r="T45" s="307">
        <v>2369.6743447528365</v>
      </c>
      <c r="U45" s="307">
        <v>30.402201628533405</v>
      </c>
      <c r="V45" s="307">
        <v>300.43253289179086</v>
      </c>
      <c r="W45" s="307">
        <v>519.76045428457803</v>
      </c>
      <c r="X45" s="307">
        <v>458.75600120459285</v>
      </c>
      <c r="Y45" s="307">
        <v>628.09127464671121</v>
      </c>
      <c r="Z45" s="307">
        <v>555.98474935421541</v>
      </c>
      <c r="AA45" s="307">
        <v>1861.9473279891647</v>
      </c>
      <c r="AB45" s="307">
        <v>2127.8983896285213</v>
      </c>
      <c r="AC45" s="307">
        <v>397.16105637305009</v>
      </c>
      <c r="AD45" s="307">
        <v>1736.0801268526466</v>
      </c>
      <c r="AE45" s="307">
        <v>218.60415474495863</v>
      </c>
      <c r="AF45" s="307">
        <v>241.22994994221338</v>
      </c>
      <c r="AG45" s="307">
        <v>669.67501194221256</v>
      </c>
      <c r="AH45" s="307">
        <v>1016.1428365855965</v>
      </c>
      <c r="AI45" s="307">
        <v>560.71999453495721</v>
      </c>
      <c r="AJ45" s="307">
        <v>507.78725018815862</v>
      </c>
      <c r="AK45" s="307">
        <v>926.52981492192725</v>
      </c>
      <c r="AL45" s="307">
        <v>429.75777463387072</v>
      </c>
      <c r="AM45" s="307">
        <v>266.5882171988257</v>
      </c>
      <c r="AN45" s="307">
        <v>437.30627661916014</v>
      </c>
      <c r="AO45" s="307">
        <f t="shared" si="0"/>
        <v>9820.5518751281488</v>
      </c>
      <c r="AP45" s="307">
        <f t="shared" si="0"/>
        <v>14384.989157458236</v>
      </c>
      <c r="AQ45" s="307">
        <v>3577.8429999999998</v>
      </c>
      <c r="AR45" s="307">
        <v>24094.242999999999</v>
      </c>
    </row>
    <row r="46" spans="1:49" s="193" customFormat="1">
      <c r="A46" s="240"/>
      <c r="B46" s="8" t="s">
        <v>57</v>
      </c>
      <c r="C46" s="307">
        <v>264.71727904062766</v>
      </c>
      <c r="D46" s="307">
        <v>684.00804571242588</v>
      </c>
      <c r="E46" s="307">
        <v>316.04598702882896</v>
      </c>
      <c r="F46" s="307">
        <v>631.05748139781895</v>
      </c>
      <c r="G46" s="307">
        <v>194.23255339483228</v>
      </c>
      <c r="H46" s="307">
        <v>222.96117759283212</v>
      </c>
      <c r="I46" s="307">
        <v>465.4569024953912</v>
      </c>
      <c r="J46" s="307">
        <v>600.53827710393966</v>
      </c>
      <c r="K46" s="307">
        <v>21.378873561728259</v>
      </c>
      <c r="L46" s="307">
        <v>20.127832844027797</v>
      </c>
      <c r="M46" s="307">
        <v>442.37817359292507</v>
      </c>
      <c r="N46" s="307">
        <v>334.61343448011223</v>
      </c>
      <c r="O46" s="307">
        <v>741.14427430671253</v>
      </c>
      <c r="P46" s="307">
        <v>674.47313739021433</v>
      </c>
      <c r="Q46" s="307">
        <v>105.59387101563055</v>
      </c>
      <c r="R46" s="307">
        <v>218.02812303970668</v>
      </c>
      <c r="S46" s="307">
        <v>527.50809165966268</v>
      </c>
      <c r="T46" s="307">
        <v>2028.5365657265961</v>
      </c>
      <c r="U46" s="307">
        <v>27.281479069661561</v>
      </c>
      <c r="V46" s="307">
        <v>314.38695071534715</v>
      </c>
      <c r="W46" s="307">
        <v>396.22217190305668</v>
      </c>
      <c r="X46" s="307">
        <v>344.16252456503207</v>
      </c>
      <c r="Y46" s="307">
        <v>431.15225466976727</v>
      </c>
      <c r="Z46" s="307">
        <v>388.07215589903166</v>
      </c>
      <c r="AA46" s="307">
        <v>1567.6173969479762</v>
      </c>
      <c r="AB46" s="307">
        <v>1777.5174674911302</v>
      </c>
      <c r="AC46" s="307">
        <v>309.93032540418073</v>
      </c>
      <c r="AD46" s="307">
        <v>1328.2145550834098</v>
      </c>
      <c r="AE46" s="307">
        <v>206.18308958480063</v>
      </c>
      <c r="AF46" s="307">
        <v>213.39142242983604</v>
      </c>
      <c r="AG46" s="307">
        <v>561.38096019740169</v>
      </c>
      <c r="AH46" s="307">
        <v>837.82138595045467</v>
      </c>
      <c r="AI46" s="307">
        <v>408.66547208677395</v>
      </c>
      <c r="AJ46" s="307">
        <v>400.87192009101329</v>
      </c>
      <c r="AK46" s="307">
        <v>831.80351232866951</v>
      </c>
      <c r="AL46" s="307">
        <v>426.87616918198677</v>
      </c>
      <c r="AM46" s="307">
        <v>255.68005645057963</v>
      </c>
      <c r="AN46" s="307">
        <v>445.19099605388715</v>
      </c>
      <c r="AO46" s="307">
        <f t="shared" si="0"/>
        <v>8074.3727247392071</v>
      </c>
      <c r="AP46" s="307">
        <f t="shared" si="0"/>
        <v>11890.849622748803</v>
      </c>
      <c r="AQ46" s="307">
        <v>2816.739</v>
      </c>
      <c r="AR46" s="307">
        <v>19230.936000000002</v>
      </c>
    </row>
    <row r="47" spans="1:49" s="193" customFormat="1">
      <c r="A47" s="240"/>
      <c r="B47" s="8" t="s">
        <v>58</v>
      </c>
      <c r="C47" s="307">
        <v>177.10115054581973</v>
      </c>
      <c r="D47" s="307">
        <v>314.67270385712823</v>
      </c>
      <c r="E47" s="307">
        <v>252.42917756827995</v>
      </c>
      <c r="F47" s="307">
        <v>450.00630219418349</v>
      </c>
      <c r="G47" s="307">
        <v>132.6520063565614</v>
      </c>
      <c r="H47" s="307">
        <v>144.69175741763939</v>
      </c>
      <c r="I47" s="307">
        <v>370.22602013164038</v>
      </c>
      <c r="J47" s="307">
        <v>322.44394486180659</v>
      </c>
      <c r="K47" s="307">
        <v>14.452575272778159</v>
      </c>
      <c r="L47" s="307">
        <v>21.952809775693321</v>
      </c>
      <c r="M47" s="307">
        <v>287.68986198164623</v>
      </c>
      <c r="N47" s="307">
        <v>189.49278228077671</v>
      </c>
      <c r="O47" s="307">
        <v>572.55226286901222</v>
      </c>
      <c r="P47" s="307">
        <v>508.02499539654355</v>
      </c>
      <c r="Q47" s="307">
        <v>82.318131417725269</v>
      </c>
      <c r="R47" s="307">
        <v>156.810522136017</v>
      </c>
      <c r="S47" s="307">
        <v>374.89110590965657</v>
      </c>
      <c r="T47" s="307">
        <v>1592.4699974300142</v>
      </c>
      <c r="U47" s="307">
        <v>7.9862939221474996</v>
      </c>
      <c r="V47" s="307">
        <v>273.16309906841639</v>
      </c>
      <c r="W47" s="307">
        <v>306.80603884032604</v>
      </c>
      <c r="X47" s="307">
        <v>316.46814497582551</v>
      </c>
      <c r="Y47" s="307">
        <v>307.02229391014185</v>
      </c>
      <c r="Z47" s="307">
        <v>347.44793211265517</v>
      </c>
      <c r="AA47" s="307">
        <v>987.46049950443819</v>
      </c>
      <c r="AB47" s="307">
        <v>1151.2030472126851</v>
      </c>
      <c r="AC47" s="307">
        <v>200.37309073773108</v>
      </c>
      <c r="AD47" s="307">
        <v>971.15703719948306</v>
      </c>
      <c r="AE47" s="307">
        <v>138.56738934780984</v>
      </c>
      <c r="AF47" s="307">
        <v>118.44857980124637</v>
      </c>
      <c r="AG47" s="307">
        <v>448.8944374436918</v>
      </c>
      <c r="AH47" s="307">
        <v>649.74006485339146</v>
      </c>
      <c r="AI47" s="307">
        <v>343.23034293418812</v>
      </c>
      <c r="AJ47" s="307">
        <v>315.37814022808999</v>
      </c>
      <c r="AK47" s="307">
        <v>416.15484322684466</v>
      </c>
      <c r="AL47" s="307">
        <v>182.69298852483485</v>
      </c>
      <c r="AM47" s="307">
        <v>158.20578676276835</v>
      </c>
      <c r="AN47" s="307">
        <v>352.1914594630581</v>
      </c>
      <c r="AO47" s="307">
        <f t="shared" si="0"/>
        <v>5579.0133086832075</v>
      </c>
      <c r="AP47" s="307">
        <f t="shared" si="0"/>
        <v>8378.4563087894894</v>
      </c>
      <c r="AQ47" s="307">
        <v>1551.135</v>
      </c>
      <c r="AR47" s="307">
        <v>13056.163</v>
      </c>
      <c r="AU47" s="280"/>
      <c r="AW47" s="280"/>
    </row>
    <row r="48" spans="1:49" s="193" customFormat="1">
      <c r="A48" s="240"/>
      <c r="B48" s="8" t="s">
        <v>59</v>
      </c>
      <c r="C48" s="307">
        <v>53.409379966362053</v>
      </c>
      <c r="D48" s="307">
        <v>114.82801819979294</v>
      </c>
      <c r="E48" s="307">
        <v>61.703446951801567</v>
      </c>
      <c r="F48" s="307">
        <v>102.9684314014042</v>
      </c>
      <c r="G48" s="307">
        <v>28.317666861181401</v>
      </c>
      <c r="H48" s="307">
        <v>29.897678205847484</v>
      </c>
      <c r="I48" s="307">
        <v>91.46614934658372</v>
      </c>
      <c r="J48" s="307">
        <v>61.054929389727072</v>
      </c>
      <c r="K48" s="307">
        <v>6.2360660191480601</v>
      </c>
      <c r="L48" s="307">
        <v>7.1345316106430996</v>
      </c>
      <c r="M48" s="307">
        <v>75.651515924286343</v>
      </c>
      <c r="N48" s="307">
        <v>54.732501156734898</v>
      </c>
      <c r="O48" s="307">
        <v>148.6015798757947</v>
      </c>
      <c r="P48" s="307">
        <v>123.98811705246406</v>
      </c>
      <c r="Q48" s="307">
        <v>28.042153972928539</v>
      </c>
      <c r="R48" s="307">
        <v>58.090902742275098</v>
      </c>
      <c r="S48" s="307">
        <v>149.6277575312242</v>
      </c>
      <c r="T48" s="307">
        <v>446.08143481301073</v>
      </c>
      <c r="U48" s="307">
        <v>5.8956334033392102</v>
      </c>
      <c r="V48" s="307">
        <v>73.788174983990984</v>
      </c>
      <c r="W48" s="307">
        <v>93.552332550369343</v>
      </c>
      <c r="X48" s="307">
        <v>89.308388358276957</v>
      </c>
      <c r="Y48" s="307">
        <v>98.214043106718222</v>
      </c>
      <c r="Z48" s="307">
        <v>109.3847316784026</v>
      </c>
      <c r="AA48" s="307">
        <v>386.07617975832176</v>
      </c>
      <c r="AB48" s="307">
        <v>333.63989829461832</v>
      </c>
      <c r="AC48" s="307">
        <v>55.064330362944176</v>
      </c>
      <c r="AD48" s="307">
        <v>236.87654532707489</v>
      </c>
      <c r="AE48" s="307">
        <v>38.087204708290919</v>
      </c>
      <c r="AF48" s="307">
        <v>37.5338700268236</v>
      </c>
      <c r="AG48" s="307">
        <v>167.22706108821851</v>
      </c>
      <c r="AH48" s="307">
        <v>218.13679217796911</v>
      </c>
      <c r="AI48" s="307">
        <v>73.925584416228816</v>
      </c>
      <c r="AJ48" s="307">
        <v>63.093158021135601</v>
      </c>
      <c r="AK48" s="307">
        <v>157.89045639886845</v>
      </c>
      <c r="AL48" s="307">
        <v>62.408450953374903</v>
      </c>
      <c r="AM48" s="307">
        <v>66.33691933840889</v>
      </c>
      <c r="AN48" s="307">
        <v>93.528913497391699</v>
      </c>
      <c r="AO48" s="307">
        <f t="shared" si="0"/>
        <v>1785.325461581019</v>
      </c>
      <c r="AP48" s="307">
        <f t="shared" si="0"/>
        <v>2316.4754678909585</v>
      </c>
      <c r="AQ48" s="307">
        <v>578.90700000000004</v>
      </c>
      <c r="AR48" s="307">
        <v>4723.0529999999999</v>
      </c>
      <c r="AU48" s="280"/>
      <c r="AW48" s="280"/>
    </row>
    <row r="49" spans="1:49" s="193" customFormat="1">
      <c r="A49" s="240"/>
      <c r="B49" s="8" t="s">
        <v>60</v>
      </c>
      <c r="C49" s="307">
        <v>10.057045912342609</v>
      </c>
      <c r="D49" s="307">
        <v>16.737091115373314</v>
      </c>
      <c r="E49" s="307">
        <v>9.9548719889419726</v>
      </c>
      <c r="F49" s="307">
        <v>14.295351798931604</v>
      </c>
      <c r="G49" s="307">
        <v>5.79061273258763</v>
      </c>
      <c r="H49" s="307">
        <v>7.2059886955826933</v>
      </c>
      <c r="I49" s="307">
        <v>23.230987040997984</v>
      </c>
      <c r="J49" s="307">
        <v>14.772560911518562</v>
      </c>
      <c r="K49" s="307">
        <v>5.2566811344908997</v>
      </c>
      <c r="L49" s="307">
        <v>5.3979115117493199</v>
      </c>
      <c r="M49" s="307">
        <v>8.9135714341932726</v>
      </c>
      <c r="N49" s="307">
        <v>5.7032307721668403</v>
      </c>
      <c r="O49" s="307">
        <v>24.535394748337943</v>
      </c>
      <c r="P49" s="307">
        <v>15.125189093452027</v>
      </c>
      <c r="Q49" s="307">
        <v>6.1888206837841215</v>
      </c>
      <c r="R49" s="307">
        <v>5.0793743343998701</v>
      </c>
      <c r="S49" s="307">
        <v>24.215454209475425</v>
      </c>
      <c r="T49" s="307">
        <v>63.126527536764094</v>
      </c>
      <c r="U49" s="307">
        <v>5.33827066656153</v>
      </c>
      <c r="V49" s="307">
        <v>13.475619283645701</v>
      </c>
      <c r="W49" s="307">
        <v>8.3063186044572603</v>
      </c>
      <c r="X49" s="307">
        <v>8.656488893931737</v>
      </c>
      <c r="Y49" s="307">
        <v>8.4493675305030873</v>
      </c>
      <c r="Z49" s="307">
        <v>11.786403673411121</v>
      </c>
      <c r="AA49" s="307">
        <v>80.914115537442555</v>
      </c>
      <c r="AB49" s="307">
        <v>56.113968614689355</v>
      </c>
      <c r="AC49" s="307">
        <v>9.3322950510075273</v>
      </c>
      <c r="AD49" s="307">
        <v>34.626624146300848</v>
      </c>
      <c r="AE49" s="307">
        <v>5.0249580910867646</v>
      </c>
      <c r="AF49" s="307">
        <v>7.7017395826615074</v>
      </c>
      <c r="AG49" s="307">
        <v>26.228704772060059</v>
      </c>
      <c r="AH49" s="307">
        <v>23.124255757518576</v>
      </c>
      <c r="AI49" s="307">
        <v>12.762601905811961</v>
      </c>
      <c r="AJ49" s="307">
        <v>5.4855133397952196</v>
      </c>
      <c r="AK49" s="307">
        <v>52.50659781897496</v>
      </c>
      <c r="AL49" s="307">
        <v>5.0432368285347398</v>
      </c>
      <c r="AM49" s="307">
        <v>12.629135106750613</v>
      </c>
      <c r="AN49" s="307">
        <v>15.374903250412228</v>
      </c>
      <c r="AO49" s="307">
        <f t="shared" si="0"/>
        <v>339.63580496980813</v>
      </c>
      <c r="AP49" s="307">
        <f t="shared" si="0"/>
        <v>328.83197914083934</v>
      </c>
      <c r="AQ49" s="307">
        <v>129.684</v>
      </c>
      <c r="AR49" s="307">
        <v>718.08</v>
      </c>
      <c r="AT49" s="240" t="s">
        <v>498</v>
      </c>
      <c r="AU49" s="281"/>
      <c r="AW49" s="281"/>
    </row>
    <row r="50" spans="1:49" s="193" customFormat="1">
      <c r="A50" s="240"/>
      <c r="B50" s="8" t="s">
        <v>8</v>
      </c>
      <c r="C50" s="307">
        <f>SUM(C40:C49)</f>
        <v>1937.103173963834</v>
      </c>
      <c r="D50" s="307">
        <f t="shared" ref="D50:AR50" si="1">SUM(D40:D49)</f>
        <v>6466.3687062408226</v>
      </c>
      <c r="E50" s="307">
        <f t="shared" si="1"/>
        <v>3688.1399116149519</v>
      </c>
      <c r="F50" s="307">
        <f t="shared" si="1"/>
        <v>8507.3264614299787</v>
      </c>
      <c r="G50" s="307">
        <f t="shared" si="1"/>
        <v>1835.5151403042867</v>
      </c>
      <c r="H50" s="307">
        <f t="shared" si="1"/>
        <v>2355.2504617176319</v>
      </c>
      <c r="I50" s="307">
        <f t="shared" si="1"/>
        <v>4373.3385793078687</v>
      </c>
      <c r="J50" s="307">
        <f t="shared" si="1"/>
        <v>6242.4372228160955</v>
      </c>
      <c r="K50" s="307">
        <f t="shared" si="1"/>
        <v>130.3135695865071</v>
      </c>
      <c r="L50" s="307">
        <f t="shared" si="1"/>
        <v>193.38144692038176</v>
      </c>
      <c r="M50" s="307">
        <f t="shared" si="1"/>
        <v>4546.7073356194687</v>
      </c>
      <c r="N50" s="307">
        <f t="shared" si="1"/>
        <v>3085.6106039594933</v>
      </c>
      <c r="O50" s="307">
        <f t="shared" si="1"/>
        <v>4607.1484116550373</v>
      </c>
      <c r="P50" s="307">
        <f t="shared" si="1"/>
        <v>5845.2310138365765</v>
      </c>
      <c r="Q50" s="307">
        <f t="shared" si="1"/>
        <v>1146.2529903583759</v>
      </c>
      <c r="R50" s="307">
        <f t="shared" si="1"/>
        <v>3864.9245314261802</v>
      </c>
      <c r="S50" s="307">
        <f t="shared" si="1"/>
        <v>6138.8907110559649</v>
      </c>
      <c r="T50" s="307">
        <f t="shared" si="1"/>
        <v>23445.735458798361</v>
      </c>
      <c r="U50" s="307">
        <f t="shared" si="1"/>
        <v>212.35869581134955</v>
      </c>
      <c r="V50" s="307">
        <f t="shared" si="1"/>
        <v>1919.8325832332009</v>
      </c>
      <c r="W50" s="307">
        <f t="shared" si="1"/>
        <v>4609.7125228088362</v>
      </c>
      <c r="X50" s="307">
        <f t="shared" si="1"/>
        <v>5937.0684211452508</v>
      </c>
      <c r="Y50" s="307">
        <f t="shared" si="1"/>
        <v>4998.223512356727</v>
      </c>
      <c r="Z50" s="307">
        <f t="shared" si="1"/>
        <v>6320.960173934528</v>
      </c>
      <c r="AA50" s="307">
        <f t="shared" si="1"/>
        <v>13927.187317149352</v>
      </c>
      <c r="AB50" s="307">
        <f t="shared" si="1"/>
        <v>16222.807833868581</v>
      </c>
      <c r="AC50" s="307">
        <f t="shared" si="1"/>
        <v>2777.5853963120321</v>
      </c>
      <c r="AD50" s="307">
        <f t="shared" si="1"/>
        <v>12276.91636224407</v>
      </c>
      <c r="AE50" s="307">
        <f t="shared" si="1"/>
        <v>2231.5688063857651</v>
      </c>
      <c r="AF50" s="307">
        <f t="shared" si="1"/>
        <v>2958.3509381146127</v>
      </c>
      <c r="AG50" s="307">
        <f t="shared" si="1"/>
        <v>5013.0870999694935</v>
      </c>
      <c r="AH50" s="307">
        <f t="shared" si="1"/>
        <v>9443.4853846765945</v>
      </c>
      <c r="AI50" s="307">
        <f t="shared" si="1"/>
        <v>8983.662380226755</v>
      </c>
      <c r="AJ50" s="307">
        <f t="shared" si="1"/>
        <v>8182.8696784103349</v>
      </c>
      <c r="AK50" s="307">
        <f t="shared" si="1"/>
        <v>6480.5423405987131</v>
      </c>
      <c r="AL50" s="307">
        <f t="shared" si="1"/>
        <v>3784.7795158403806</v>
      </c>
      <c r="AM50" s="307">
        <f t="shared" si="1"/>
        <v>2306.8637480792449</v>
      </c>
      <c r="AN50" s="307">
        <f t="shared" si="1"/>
        <v>5115.5288600109616</v>
      </c>
      <c r="AO50" s="307">
        <f t="shared" si="1"/>
        <v>79944.201643164561</v>
      </c>
      <c r="AP50" s="307">
        <f t="shared" si="1"/>
        <v>132168.86565862407</v>
      </c>
      <c r="AQ50" s="307">
        <f t="shared" si="1"/>
        <v>32892.544999999998</v>
      </c>
      <c r="AR50" s="307">
        <f t="shared" si="1"/>
        <v>206339.10500000001</v>
      </c>
      <c r="AT50" s="240" t="s">
        <v>499</v>
      </c>
      <c r="AU50" s="240"/>
      <c r="AV50" s="240" t="s">
        <v>43</v>
      </c>
    </row>
    <row r="51" spans="1:49" s="12" customFormat="1">
      <c r="A51" s="175">
        <f>AP51</f>
        <v>0</v>
      </c>
      <c r="K51" s="497"/>
      <c r="AN51" s="263">
        <f>SUM(C50:AN50)</f>
        <v>212113.06730178857</v>
      </c>
      <c r="AO51" s="263">
        <f>AO50+AP50</f>
        <v>212113.06730178863</v>
      </c>
      <c r="AP51" s="263">
        <f>AN51-AO51</f>
        <v>0</v>
      </c>
      <c r="AQ51" s="325"/>
      <c r="AT51" s="496">
        <f>(AO66+AP66)/(AO50+AP50+AO66+AP66)</f>
        <v>6.3506310825500872E-2</v>
      </c>
      <c r="AU51" s="119"/>
      <c r="AV51" s="496">
        <f>(AQ66+AR66)/(AQ50+AR50+AQ66+AR66)</f>
        <v>3.2317821606506855E-2</v>
      </c>
    </row>
    <row r="52" spans="1:49" s="12" customFormat="1">
      <c r="A52" s="419">
        <f>AP52</f>
        <v>0</v>
      </c>
      <c r="B52" s="120" t="s">
        <v>61</v>
      </c>
      <c r="AN52" s="263">
        <f>SUM(C40:AN49)</f>
        <v>212113.06730178866</v>
      </c>
      <c r="AO52" s="263">
        <f>SUM(AO40:AP49)</f>
        <v>212113.06730178863</v>
      </c>
      <c r="AP52" s="263">
        <f>((AN52+AO52)/2)-AO51</f>
        <v>0</v>
      </c>
      <c r="AQ52" s="325"/>
    </row>
    <row r="53" spans="1:49" s="12" customFormat="1">
      <c r="A53" s="419">
        <f>AP53</f>
        <v>0</v>
      </c>
      <c r="AN53" s="263">
        <f>((AN51+AN52)/2)-AO51</f>
        <v>0</v>
      </c>
      <c r="AO53" s="263">
        <f>AO51-AO52</f>
        <v>0</v>
      </c>
      <c r="AP53" s="263">
        <f>AN53+AO53</f>
        <v>0</v>
      </c>
    </row>
    <row r="54" spans="1:49" s="264" customFormat="1" ht="45" customHeight="1">
      <c r="B54" s="152"/>
      <c r="C54" s="1104" t="str">
        <f>C38</f>
        <v>Art &amp; Design</v>
      </c>
      <c r="D54" s="1104"/>
      <c r="E54" s="1104" t="str">
        <f>E38</f>
        <v>Biology</v>
      </c>
      <c r="F54" s="1104"/>
      <c r="G54" s="1104" t="str">
        <f>G38</f>
        <v>Business Studies</v>
      </c>
      <c r="H54" s="1104"/>
      <c r="I54" s="1104" t="str">
        <f>I38</f>
        <v>Chemistry</v>
      </c>
      <c r="J54" s="1104"/>
      <c r="K54" s="1104" t="str">
        <f>K38</f>
        <v>Classics</v>
      </c>
      <c r="L54" s="1104"/>
      <c r="M54" s="1104" t="str">
        <f>M38</f>
        <v>Computing</v>
      </c>
      <c r="N54" s="1104"/>
      <c r="O54" s="1104" t="str">
        <f>O38</f>
        <v>Design &amp; Technology</v>
      </c>
      <c r="P54" s="1104"/>
      <c r="Q54" s="1104" t="str">
        <f>Q38</f>
        <v>Drama</v>
      </c>
      <c r="R54" s="1104"/>
      <c r="S54" s="1104" t="str">
        <f>S38</f>
        <v>English</v>
      </c>
      <c r="T54" s="1104"/>
      <c r="U54" s="1108" t="s">
        <v>396</v>
      </c>
      <c r="V54" s="1109"/>
      <c r="W54" s="1104" t="str">
        <f>W38</f>
        <v>Geography</v>
      </c>
      <c r="X54" s="1104"/>
      <c r="Y54" s="1104" t="str">
        <f>Y38</f>
        <v>History</v>
      </c>
      <c r="Z54" s="1104"/>
      <c r="AA54" s="1104" t="str">
        <f>AA38</f>
        <v>Mathematics</v>
      </c>
      <c r="AB54" s="1104"/>
      <c r="AC54" s="1104" t="str">
        <f>AC38</f>
        <v>Modern Foreign Languages</v>
      </c>
      <c r="AD54" s="1104"/>
      <c r="AE54" s="1104" t="str">
        <f>AE38</f>
        <v>Music</v>
      </c>
      <c r="AF54" s="1104"/>
      <c r="AG54" s="1104" t="str">
        <f>AG38</f>
        <v>Others</v>
      </c>
      <c r="AH54" s="1104"/>
      <c r="AI54" s="1104" t="str">
        <f>AI38</f>
        <v>Physical Education</v>
      </c>
      <c r="AJ54" s="1104"/>
      <c r="AK54" s="1104" t="str">
        <f>AK38</f>
        <v>Physics</v>
      </c>
      <c r="AL54" s="1104"/>
      <c r="AM54" s="1104" t="str">
        <f>AM38</f>
        <v>Religious Education</v>
      </c>
      <c r="AN54" s="1104"/>
      <c r="AO54" s="1104" t="str">
        <f>AO38</f>
        <v>Secondary total</v>
      </c>
      <c r="AP54" s="1104"/>
      <c r="AQ54" s="1104" t="str">
        <f>AQ38</f>
        <v>Primary</v>
      </c>
      <c r="AR54" s="1104"/>
    </row>
    <row r="55" spans="1:49" s="193" customFormat="1">
      <c r="A55" s="240"/>
      <c r="B55" s="8" t="s">
        <v>48</v>
      </c>
      <c r="C55" s="182" t="s">
        <v>49</v>
      </c>
      <c r="D55" s="182" t="s">
        <v>50</v>
      </c>
      <c r="E55" s="182" t="s">
        <v>49</v>
      </c>
      <c r="F55" s="182" t="s">
        <v>50</v>
      </c>
      <c r="G55" s="182" t="s">
        <v>49</v>
      </c>
      <c r="H55" s="182" t="s">
        <v>50</v>
      </c>
      <c r="I55" s="182" t="s">
        <v>49</v>
      </c>
      <c r="J55" s="182" t="s">
        <v>50</v>
      </c>
      <c r="K55" s="182" t="s">
        <v>49</v>
      </c>
      <c r="L55" s="182" t="s">
        <v>50</v>
      </c>
      <c r="M55" s="182" t="s">
        <v>49</v>
      </c>
      <c r="N55" s="182" t="s">
        <v>50</v>
      </c>
      <c r="O55" s="182" t="s">
        <v>49</v>
      </c>
      <c r="P55" s="182" t="s">
        <v>50</v>
      </c>
      <c r="Q55" s="182" t="s">
        <v>49</v>
      </c>
      <c r="R55" s="182" t="s">
        <v>50</v>
      </c>
      <c r="S55" s="182" t="s">
        <v>49</v>
      </c>
      <c r="T55" s="182" t="s">
        <v>50</v>
      </c>
      <c r="U55" s="182" t="s">
        <v>49</v>
      </c>
      <c r="V55" s="182" t="s">
        <v>50</v>
      </c>
      <c r="W55" s="182" t="s">
        <v>49</v>
      </c>
      <c r="X55" s="182" t="s">
        <v>50</v>
      </c>
      <c r="Y55" s="182" t="s">
        <v>49</v>
      </c>
      <c r="Z55" s="182" t="s">
        <v>50</v>
      </c>
      <c r="AA55" s="182" t="s">
        <v>49</v>
      </c>
      <c r="AB55" s="182" t="s">
        <v>50</v>
      </c>
      <c r="AC55" s="182" t="s">
        <v>49</v>
      </c>
      <c r="AD55" s="182" t="s">
        <v>50</v>
      </c>
      <c r="AE55" s="182" t="s">
        <v>49</v>
      </c>
      <c r="AF55" s="182" t="s">
        <v>50</v>
      </c>
      <c r="AG55" s="182" t="s">
        <v>49</v>
      </c>
      <c r="AH55" s="182" t="s">
        <v>50</v>
      </c>
      <c r="AI55" s="182" t="s">
        <v>49</v>
      </c>
      <c r="AJ55" s="182" t="s">
        <v>50</v>
      </c>
      <c r="AK55" s="182" t="s">
        <v>49</v>
      </c>
      <c r="AL55" s="182" t="s">
        <v>50</v>
      </c>
      <c r="AM55" s="182" t="s">
        <v>49</v>
      </c>
      <c r="AN55" s="182" t="s">
        <v>50</v>
      </c>
      <c r="AO55" s="182" t="s">
        <v>49</v>
      </c>
      <c r="AP55" s="182" t="s">
        <v>50</v>
      </c>
      <c r="AQ55" s="182" t="s">
        <v>49</v>
      </c>
      <c r="AR55" s="182" t="s">
        <v>50</v>
      </c>
      <c r="AS55" s="192"/>
      <c r="AT55" s="448"/>
    </row>
    <row r="56" spans="1:49" s="193" customFormat="1" ht="12.75" customHeight="1">
      <c r="A56" s="240"/>
      <c r="B56" s="183" t="s">
        <v>51</v>
      </c>
      <c r="C56" s="307">
        <v>6.5321327718445081</v>
      </c>
      <c r="D56" s="307">
        <v>30.278074427142169</v>
      </c>
      <c r="E56" s="307">
        <v>55.111424293927172</v>
      </c>
      <c r="F56" s="307">
        <v>132.87295065308408</v>
      </c>
      <c r="G56" s="307">
        <v>23.568730886109275</v>
      </c>
      <c r="H56" s="307">
        <v>29.158113567406534</v>
      </c>
      <c r="I56" s="307">
        <v>73.38984313428584</v>
      </c>
      <c r="J56" s="307">
        <v>95.605060704974733</v>
      </c>
      <c r="K56" s="307">
        <v>0</v>
      </c>
      <c r="L56" s="307">
        <v>0</v>
      </c>
      <c r="M56" s="307">
        <v>17.82514565318731</v>
      </c>
      <c r="N56" s="307">
        <v>33.070887876560455</v>
      </c>
      <c r="O56" s="307">
        <v>26.998542601632373</v>
      </c>
      <c r="P56" s="307">
        <v>29.793980210023818</v>
      </c>
      <c r="Q56" s="307">
        <v>17.740484039781563</v>
      </c>
      <c r="R56" s="307">
        <v>54.83130732150817</v>
      </c>
      <c r="S56" s="307">
        <v>130.53597877687179</v>
      </c>
      <c r="T56" s="307">
        <v>523.93765245633722</v>
      </c>
      <c r="U56" s="307">
        <v>6</v>
      </c>
      <c r="V56" s="307">
        <v>5.6050546055774735</v>
      </c>
      <c r="W56" s="307">
        <v>53.457335587465515</v>
      </c>
      <c r="X56" s="307">
        <v>94.045164809629725</v>
      </c>
      <c r="Y56" s="307">
        <v>61.245191147935031</v>
      </c>
      <c r="Z56" s="307">
        <v>91.199680951066142</v>
      </c>
      <c r="AA56" s="307">
        <v>234.67422674399194</v>
      </c>
      <c r="AB56" s="307">
        <v>284.65138605726719</v>
      </c>
      <c r="AC56" s="307">
        <v>21.928599687604674</v>
      </c>
      <c r="AD56" s="307">
        <v>91.999595569629989</v>
      </c>
      <c r="AE56" s="307">
        <v>30.940797405224767</v>
      </c>
      <c r="AF56" s="307">
        <v>22.369103837801468</v>
      </c>
      <c r="AG56" s="307">
        <v>54.156623095196842</v>
      </c>
      <c r="AH56" s="307">
        <v>161.83847304931055</v>
      </c>
      <c r="AI56" s="307">
        <v>64.48399078697804</v>
      </c>
      <c r="AJ56" s="307">
        <v>76.445004384667754</v>
      </c>
      <c r="AK56" s="307">
        <v>39.747622088901053</v>
      </c>
      <c r="AL56" s="307">
        <v>22.483895927303212</v>
      </c>
      <c r="AM56" s="307">
        <v>26.86437977152519</v>
      </c>
      <c r="AN56" s="307">
        <v>55.348852642002413</v>
      </c>
      <c r="AO56" s="307">
        <f>C56+E56+G56+I56+K56+M56+O56+Q56+S56+U56+W56+Y56+AA56+AC56+AE56+AG56+AI56+AK56+AM56</f>
        <v>945.20104847246296</v>
      </c>
      <c r="AP56" s="307">
        <f>D56+F56+H56+J56+L56+N56+P56+R56+T56+V56+X56+Z56+AB56+AD56+AF56+AH56+AJ56+AL56+AN56</f>
        <v>1835.5342390512928</v>
      </c>
      <c r="AQ56" s="418">
        <v>293.37700000000001</v>
      </c>
      <c r="AR56" s="307">
        <v>1013.58</v>
      </c>
      <c r="AS56" s="192"/>
      <c r="AT56" s="342"/>
    </row>
    <row r="57" spans="1:49" s="193" customFormat="1">
      <c r="A57" s="240"/>
      <c r="B57" s="183" t="s">
        <v>52</v>
      </c>
      <c r="C57" s="307">
        <v>28.165325241144725</v>
      </c>
      <c r="D57" s="307">
        <v>103.62465094575731</v>
      </c>
      <c r="E57" s="307">
        <v>43.517524879608743</v>
      </c>
      <c r="F57" s="307">
        <v>98.034390229211908</v>
      </c>
      <c r="G57" s="307">
        <v>28.711565040803791</v>
      </c>
      <c r="H57" s="307">
        <v>50.573376727472024</v>
      </c>
      <c r="I57" s="307">
        <v>66.568821426002089</v>
      </c>
      <c r="J57" s="307">
        <v>110.6570081112738</v>
      </c>
      <c r="K57" s="307">
        <v>0</v>
      </c>
      <c r="L57" s="307">
        <v>7</v>
      </c>
      <c r="M57" s="307">
        <v>48.350582758320627</v>
      </c>
      <c r="N57" s="307">
        <v>34.835427505086059</v>
      </c>
      <c r="O57" s="307">
        <v>62.660639781938698</v>
      </c>
      <c r="P57" s="307">
        <v>75.885171511146055</v>
      </c>
      <c r="Q57" s="307">
        <v>34.34625071415276</v>
      </c>
      <c r="R57" s="307">
        <v>117.69685464634154</v>
      </c>
      <c r="S57" s="307">
        <v>207.37708137305572</v>
      </c>
      <c r="T57" s="307">
        <v>596.92071662063699</v>
      </c>
      <c r="U57" s="307">
        <v>0</v>
      </c>
      <c r="V57" s="307">
        <v>22.01469513064562</v>
      </c>
      <c r="W57" s="307">
        <v>62.458008953957631</v>
      </c>
      <c r="X57" s="307">
        <v>89.743357720701098</v>
      </c>
      <c r="Y57" s="307">
        <v>98.089303418361922</v>
      </c>
      <c r="Z57" s="307">
        <v>100.63499097833751</v>
      </c>
      <c r="AA57" s="307">
        <v>209.40124861101413</v>
      </c>
      <c r="AB57" s="307">
        <v>229.44109485070268</v>
      </c>
      <c r="AC57" s="307">
        <v>30.673512628648162</v>
      </c>
      <c r="AD57" s="307">
        <v>89.795666090817576</v>
      </c>
      <c r="AE57" s="307">
        <v>41.672893348124248</v>
      </c>
      <c r="AF57" s="307">
        <v>35.10578950218995</v>
      </c>
      <c r="AG57" s="307">
        <v>115.8617144743683</v>
      </c>
      <c r="AH57" s="307">
        <v>353.10405164518107</v>
      </c>
      <c r="AI57" s="307">
        <v>154.79826750285042</v>
      </c>
      <c r="AJ57" s="307">
        <v>90.598421825094803</v>
      </c>
      <c r="AK57" s="307">
        <v>77.366921478900295</v>
      </c>
      <c r="AL57" s="307">
        <v>37.91024987130978</v>
      </c>
      <c r="AM57" s="307">
        <v>30.978537277433588</v>
      </c>
      <c r="AN57" s="307">
        <v>85.861937771401685</v>
      </c>
      <c r="AO57" s="307">
        <f t="shared" ref="AO57:AO65" si="2">C57+E57+G57+I57+K57+M57+O57+Q57+S57+U57+W57+Y57+AA57+AC57+AE57+AG57+AI57+AK57+AM57</f>
        <v>1340.9981989086859</v>
      </c>
      <c r="AP57" s="307">
        <f t="shared" ref="AP57:AP65" si="3">D57+F57+H57+J57+L57+N57+P57+R57+T57+V57+X57+Z57+AB57+AD57+AF57+AH57+AJ57+AL57+AN57</f>
        <v>2329.4378516833071</v>
      </c>
      <c r="AQ57" s="418">
        <v>580.82500000000005</v>
      </c>
      <c r="AR57" s="307">
        <v>1530.5219999999999</v>
      </c>
      <c r="AS57" s="192"/>
    </row>
    <row r="58" spans="1:49" s="193" customFormat="1">
      <c r="A58" s="240"/>
      <c r="B58" s="183" t="s">
        <v>53</v>
      </c>
      <c r="C58" s="307">
        <v>20.751714332095986</v>
      </c>
      <c r="D58" s="307">
        <v>71.445701896208718</v>
      </c>
      <c r="E58" s="307">
        <v>18.823377047734851</v>
      </c>
      <c r="F58" s="307">
        <v>60.823579520771716</v>
      </c>
      <c r="G58" s="307">
        <v>22.85023932420464</v>
      </c>
      <c r="H58" s="307">
        <v>36.720337604436367</v>
      </c>
      <c r="I58" s="307">
        <v>20.519940232717275</v>
      </c>
      <c r="J58" s="307">
        <v>40.541973819379308</v>
      </c>
      <c r="K58" s="307">
        <v>0</v>
      </c>
      <c r="L58" s="307">
        <v>0</v>
      </c>
      <c r="M58" s="307">
        <v>40.7192234820373</v>
      </c>
      <c r="N58" s="307">
        <v>26.977384303689366</v>
      </c>
      <c r="O58" s="307">
        <v>55.248176148660129</v>
      </c>
      <c r="P58" s="307">
        <v>46.273350142771804</v>
      </c>
      <c r="Q58" s="307">
        <v>16.355166549501412</v>
      </c>
      <c r="R58" s="307">
        <v>58.590309194554891</v>
      </c>
      <c r="S58" s="307">
        <v>95.346659926470835</v>
      </c>
      <c r="T58" s="307">
        <v>251.39679883690164</v>
      </c>
      <c r="U58" s="307">
        <v>6</v>
      </c>
      <c r="V58" s="307">
        <v>11.002328712703203</v>
      </c>
      <c r="W58" s="307">
        <v>25.879679428083808</v>
      </c>
      <c r="X58" s="307">
        <v>36.536428807475168</v>
      </c>
      <c r="Y58" s="307">
        <v>36.655505861632143</v>
      </c>
      <c r="Z58" s="307">
        <v>33.632813733382015</v>
      </c>
      <c r="AA58" s="307">
        <v>93.150747343699223</v>
      </c>
      <c r="AB58" s="307">
        <v>106.00415897386412</v>
      </c>
      <c r="AC58" s="307">
        <v>16.040817043754657</v>
      </c>
      <c r="AD58" s="307">
        <v>53.785851814601408</v>
      </c>
      <c r="AE58" s="307">
        <v>38.74141809522429</v>
      </c>
      <c r="AF58" s="307">
        <v>23.781405714326347</v>
      </c>
      <c r="AG58" s="307">
        <v>95.652993977496223</v>
      </c>
      <c r="AH58" s="307">
        <v>249.95815225250286</v>
      </c>
      <c r="AI58" s="307">
        <v>90.792836899825943</v>
      </c>
      <c r="AJ58" s="307">
        <v>41.70053802925483</v>
      </c>
      <c r="AK58" s="307">
        <v>46.743386915207097</v>
      </c>
      <c r="AL58" s="307">
        <v>13.56506798822539</v>
      </c>
      <c r="AM58" s="307">
        <v>15.236066665483538</v>
      </c>
      <c r="AN58" s="307">
        <v>39.349684171587093</v>
      </c>
      <c r="AO58" s="307">
        <f t="shared" si="2"/>
        <v>755.50794927382935</v>
      </c>
      <c r="AP58" s="307">
        <f t="shared" si="3"/>
        <v>1202.0858655166362</v>
      </c>
      <c r="AQ58" s="418">
        <v>311.971</v>
      </c>
      <c r="AR58" s="307">
        <v>755.78</v>
      </c>
      <c r="AS58" s="192"/>
    </row>
    <row r="59" spans="1:49" s="193" customFormat="1">
      <c r="A59" s="240"/>
      <c r="B59" s="183" t="s">
        <v>54</v>
      </c>
      <c r="C59" s="307">
        <v>14.174608185904324</v>
      </c>
      <c r="D59" s="307">
        <v>30.390008158850645</v>
      </c>
      <c r="E59" s="307">
        <v>15.661041723058425</v>
      </c>
      <c r="F59" s="307">
        <v>29.087499494295024</v>
      </c>
      <c r="G59" s="307">
        <v>19.652149089860949</v>
      </c>
      <c r="H59" s="307">
        <v>28.866100935403392</v>
      </c>
      <c r="I59" s="307">
        <v>5.2487112338050999</v>
      </c>
      <c r="J59" s="307">
        <v>9.3444804414975575</v>
      </c>
      <c r="K59" s="307">
        <v>5</v>
      </c>
      <c r="L59" s="307">
        <v>5</v>
      </c>
      <c r="M59" s="307">
        <v>25.646240373398122</v>
      </c>
      <c r="N59" s="307">
        <v>21.115557693929727</v>
      </c>
      <c r="O59" s="307">
        <v>34.974497596717022</v>
      </c>
      <c r="P59" s="307">
        <v>38.777814070718989</v>
      </c>
      <c r="Q59" s="307">
        <v>12.245324501636997</v>
      </c>
      <c r="R59" s="307">
        <v>30.836846565476343</v>
      </c>
      <c r="S59" s="307">
        <v>69.426654191635677</v>
      </c>
      <c r="T59" s="307">
        <v>156.8377800032778</v>
      </c>
      <c r="U59" s="307">
        <v>0</v>
      </c>
      <c r="V59" s="307">
        <v>11.563436435575303</v>
      </c>
      <c r="W59" s="307">
        <v>15.151100245723326</v>
      </c>
      <c r="X59" s="307">
        <v>23.102260379944365</v>
      </c>
      <c r="Y59" s="307">
        <v>23.36723634041104</v>
      </c>
      <c r="Z59" s="307">
        <v>19.775731233256131</v>
      </c>
      <c r="AA59" s="307">
        <v>76.347745625590534</v>
      </c>
      <c r="AB59" s="307">
        <v>76.953529374842361</v>
      </c>
      <c r="AC59" s="307">
        <v>15.799481779558906</v>
      </c>
      <c r="AD59" s="307">
        <v>49.699108373799007</v>
      </c>
      <c r="AE59" s="307">
        <v>11.826779717065866</v>
      </c>
      <c r="AF59" s="307">
        <v>5.7790513844221865</v>
      </c>
      <c r="AG59" s="307">
        <v>50.603630194402051</v>
      </c>
      <c r="AH59" s="307">
        <v>182.41390848021402</v>
      </c>
      <c r="AI59" s="307">
        <v>28.036647776996961</v>
      </c>
      <c r="AJ59" s="307">
        <v>26.268966097518437</v>
      </c>
      <c r="AK59" s="307">
        <v>16.96580083998191</v>
      </c>
      <c r="AL59" s="307">
        <v>23.860928684738752</v>
      </c>
      <c r="AM59" s="307">
        <v>13.583012362915342</v>
      </c>
      <c r="AN59" s="307">
        <v>16.519555957809903</v>
      </c>
      <c r="AO59" s="307">
        <f t="shared" si="2"/>
        <v>453.71066177866248</v>
      </c>
      <c r="AP59" s="307">
        <f t="shared" si="3"/>
        <v>786.19256376556973</v>
      </c>
      <c r="AQ59" s="418">
        <v>188.255</v>
      </c>
      <c r="AR59" s="307">
        <v>572.601</v>
      </c>
    </row>
    <row r="60" spans="1:49" s="193" customFormat="1">
      <c r="A60" s="240"/>
      <c r="B60" s="183" t="s">
        <v>55</v>
      </c>
      <c r="C60" s="307">
        <v>15.986535467935244</v>
      </c>
      <c r="D60" s="307">
        <v>36.346481739051576</v>
      </c>
      <c r="E60" s="307">
        <v>13.5708366177287</v>
      </c>
      <c r="F60" s="307">
        <v>17.01476066172906</v>
      </c>
      <c r="G60" s="307">
        <v>8.3961157799666353</v>
      </c>
      <c r="H60" s="307">
        <v>32.784689691321844</v>
      </c>
      <c r="I60" s="307">
        <v>7.1902110049579715</v>
      </c>
      <c r="J60" s="307">
        <v>27.861818191984653</v>
      </c>
      <c r="K60" s="307">
        <v>0</v>
      </c>
      <c r="L60" s="307">
        <v>0</v>
      </c>
      <c r="M60" s="307">
        <v>26.661824302209972</v>
      </c>
      <c r="N60" s="307">
        <v>28.490274817111146</v>
      </c>
      <c r="O60" s="307">
        <v>36.967235254542793</v>
      </c>
      <c r="P60" s="307">
        <v>41.300013416636084</v>
      </c>
      <c r="Q60" s="307">
        <v>9.912738539349073</v>
      </c>
      <c r="R60" s="307">
        <v>23.348914834367271</v>
      </c>
      <c r="S60" s="307">
        <v>33.235247436849242</v>
      </c>
      <c r="T60" s="307">
        <v>150.40838400874048</v>
      </c>
      <c r="U60" s="307">
        <v>12.047253828105452</v>
      </c>
      <c r="V60" s="307">
        <v>22.420218422309894</v>
      </c>
      <c r="W60" s="307">
        <v>13.966906132885136</v>
      </c>
      <c r="X60" s="307">
        <v>19.573621309086171</v>
      </c>
      <c r="Y60" s="307">
        <v>17.947546360706035</v>
      </c>
      <c r="Z60" s="307">
        <v>24.178543273480486</v>
      </c>
      <c r="AA60" s="307">
        <v>40.362591490991413</v>
      </c>
      <c r="AB60" s="307">
        <v>144.09556122673649</v>
      </c>
      <c r="AC60" s="307">
        <v>14.818184672250572</v>
      </c>
      <c r="AD60" s="307">
        <v>63.438265129273546</v>
      </c>
      <c r="AE60" s="307">
        <v>10.12382731291104</v>
      </c>
      <c r="AF60" s="307">
        <v>11.438246881161922</v>
      </c>
      <c r="AG60" s="307">
        <v>76.960634681674208</v>
      </c>
      <c r="AH60" s="307">
        <v>217.50236523975499</v>
      </c>
      <c r="AI60" s="307">
        <v>21.210186152975833</v>
      </c>
      <c r="AJ60" s="307">
        <v>16.000859150564498</v>
      </c>
      <c r="AK60" s="307">
        <v>21.929894325903671</v>
      </c>
      <c r="AL60" s="307">
        <v>7.3006649882273704</v>
      </c>
      <c r="AM60" s="307">
        <v>12.974728332544327</v>
      </c>
      <c r="AN60" s="307">
        <v>21.670493141099442</v>
      </c>
      <c r="AO60" s="307">
        <f t="shared" si="2"/>
        <v>394.26249769448731</v>
      </c>
      <c r="AP60" s="307">
        <f t="shared" si="3"/>
        <v>905.17417612263694</v>
      </c>
      <c r="AQ60" s="418">
        <v>119.755</v>
      </c>
      <c r="AR60" s="307">
        <v>660.32799999999997</v>
      </c>
    </row>
    <row r="61" spans="1:49" s="193" customFormat="1">
      <c r="A61" s="240"/>
      <c r="B61" s="183" t="s">
        <v>56</v>
      </c>
      <c r="C61" s="307">
        <v>8.5589328424229461</v>
      </c>
      <c r="D61" s="307">
        <v>48.965011172544344</v>
      </c>
      <c r="E61" s="307">
        <v>5.4690157503388503</v>
      </c>
      <c r="F61" s="307">
        <v>41.001622769566488</v>
      </c>
      <c r="G61" s="307">
        <v>14.191211827451671</v>
      </c>
      <c r="H61" s="307">
        <v>33.782148647373816</v>
      </c>
      <c r="I61" s="307">
        <v>5.4280804700210057</v>
      </c>
      <c r="J61" s="307">
        <v>19.506166380228056</v>
      </c>
      <c r="K61" s="307">
        <v>0</v>
      </c>
      <c r="L61" s="307">
        <v>5</v>
      </c>
      <c r="M61" s="307">
        <v>24.421947456266039</v>
      </c>
      <c r="N61" s="307">
        <v>22.955991500026322</v>
      </c>
      <c r="O61" s="307">
        <v>52.907134771636287</v>
      </c>
      <c r="P61" s="307">
        <v>64.318085066398496</v>
      </c>
      <c r="Q61" s="307">
        <v>7.5611069675710443</v>
      </c>
      <c r="R61" s="307">
        <v>18.353953145462789</v>
      </c>
      <c r="S61" s="307">
        <v>17.962425686109952</v>
      </c>
      <c r="T61" s="307">
        <v>133.03318183460044</v>
      </c>
      <c r="U61" s="307">
        <v>5</v>
      </c>
      <c r="V61" s="307">
        <v>29.189646835636271</v>
      </c>
      <c r="W61" s="307">
        <v>5</v>
      </c>
      <c r="X61" s="307">
        <v>18.291658853317784</v>
      </c>
      <c r="Y61" s="307">
        <v>16.858818360732151</v>
      </c>
      <c r="Z61" s="307">
        <v>17.867712960157998</v>
      </c>
      <c r="AA61" s="307">
        <v>55.334246957236509</v>
      </c>
      <c r="AB61" s="307">
        <v>124.99637919174424</v>
      </c>
      <c r="AC61" s="307">
        <v>5</v>
      </c>
      <c r="AD61" s="307">
        <v>82.935561618079717</v>
      </c>
      <c r="AE61" s="307">
        <v>17.652774657497012</v>
      </c>
      <c r="AF61" s="307">
        <v>6.9676222706064941</v>
      </c>
      <c r="AG61" s="307">
        <v>70.452707395089035</v>
      </c>
      <c r="AH61" s="307">
        <v>245.22318559739193</v>
      </c>
      <c r="AI61" s="307">
        <v>26.068569020487875</v>
      </c>
      <c r="AJ61" s="307">
        <v>21.08755510583773</v>
      </c>
      <c r="AK61" s="307">
        <v>22.39920143788062</v>
      </c>
      <c r="AL61" s="307">
        <v>11.221094357876501</v>
      </c>
      <c r="AM61" s="307">
        <v>15.28700670743579</v>
      </c>
      <c r="AN61" s="307">
        <v>18.337416278458917</v>
      </c>
      <c r="AO61" s="307">
        <f t="shared" si="2"/>
        <v>375.55318030817682</v>
      </c>
      <c r="AP61" s="307">
        <f t="shared" si="3"/>
        <v>963.03399358530839</v>
      </c>
      <c r="AQ61" s="418">
        <v>91.415999999999997</v>
      </c>
      <c r="AR61" s="307">
        <v>624.79700000000003</v>
      </c>
    </row>
    <row r="62" spans="1:49" s="193" customFormat="1">
      <c r="A62" s="240"/>
      <c r="B62" s="183" t="s">
        <v>57</v>
      </c>
      <c r="C62" s="307">
        <v>17.664542035243528</v>
      </c>
      <c r="D62" s="307">
        <v>43.668147082768357</v>
      </c>
      <c r="E62" s="307">
        <v>5.1455285819182981</v>
      </c>
      <c r="F62" s="307">
        <v>28.854065277899352</v>
      </c>
      <c r="G62" s="307">
        <v>19.856858976213665</v>
      </c>
      <c r="H62" s="307">
        <v>28.35131578001641</v>
      </c>
      <c r="I62" s="307">
        <v>5.04012827630791</v>
      </c>
      <c r="J62" s="307">
        <v>13.684949199694501</v>
      </c>
      <c r="K62" s="307">
        <v>0</v>
      </c>
      <c r="L62" s="307">
        <v>0</v>
      </c>
      <c r="M62" s="307">
        <v>7.4116656043672942</v>
      </c>
      <c r="N62" s="307">
        <v>20.419528196995749</v>
      </c>
      <c r="O62" s="307">
        <v>55.072022543548456</v>
      </c>
      <c r="P62" s="307">
        <v>51.684068263417764</v>
      </c>
      <c r="Q62" s="307">
        <v>7.6894142315043723</v>
      </c>
      <c r="R62" s="307">
        <v>13.774987663842145</v>
      </c>
      <c r="S62" s="307">
        <v>22.747395429550679</v>
      </c>
      <c r="T62" s="307">
        <v>70.807531323878891</v>
      </c>
      <c r="U62" s="307">
        <v>14.339865704742083</v>
      </c>
      <c r="V62" s="307">
        <v>34.445389298889076</v>
      </c>
      <c r="W62" s="307">
        <v>13.576830397316701</v>
      </c>
      <c r="X62" s="307">
        <v>12.331780479185227</v>
      </c>
      <c r="Y62" s="307">
        <v>0</v>
      </c>
      <c r="Z62" s="307">
        <v>11.4426867603755</v>
      </c>
      <c r="AA62" s="307">
        <v>38.959092507576301</v>
      </c>
      <c r="AB62" s="307">
        <v>90.32375651385739</v>
      </c>
      <c r="AC62" s="307">
        <v>6.2</v>
      </c>
      <c r="AD62" s="307">
        <v>61.842660076739662</v>
      </c>
      <c r="AE62" s="307">
        <v>15.159570056786499</v>
      </c>
      <c r="AF62" s="307">
        <v>5</v>
      </c>
      <c r="AG62" s="307">
        <v>82.911923046354943</v>
      </c>
      <c r="AH62" s="307">
        <v>188.82788400684072</v>
      </c>
      <c r="AI62" s="307">
        <v>19.142407358143085</v>
      </c>
      <c r="AJ62" s="307">
        <v>11.244170322142589</v>
      </c>
      <c r="AK62" s="307">
        <v>14.313368712417931</v>
      </c>
      <c r="AL62" s="307">
        <v>5.3919788438042398</v>
      </c>
      <c r="AM62" s="307">
        <v>8.4430622474978581</v>
      </c>
      <c r="AN62" s="307">
        <v>24.689585509924299</v>
      </c>
      <c r="AO62" s="307">
        <f t="shared" si="2"/>
        <v>353.6736757094896</v>
      </c>
      <c r="AP62" s="307">
        <f t="shared" si="3"/>
        <v>716.78448460027198</v>
      </c>
      <c r="AQ62" s="418">
        <v>73.358000000000004</v>
      </c>
      <c r="AR62" s="307">
        <v>474.62900000000002</v>
      </c>
    </row>
    <row r="63" spans="1:49" s="193" customFormat="1">
      <c r="A63" s="240"/>
      <c r="B63" s="183" t="s">
        <v>58</v>
      </c>
      <c r="C63" s="307">
        <v>7.8230004117074996</v>
      </c>
      <c r="D63" s="307">
        <v>18.750898877807018</v>
      </c>
      <c r="E63" s="307">
        <v>0</v>
      </c>
      <c r="F63" s="307">
        <v>9.4999745416068144</v>
      </c>
      <c r="G63" s="307">
        <v>6.5527233229571076</v>
      </c>
      <c r="H63" s="307">
        <v>10.3401962385981</v>
      </c>
      <c r="I63" s="307">
        <v>8.6813080132326093</v>
      </c>
      <c r="J63" s="307">
        <v>0</v>
      </c>
      <c r="K63" s="307">
        <v>0</v>
      </c>
      <c r="L63" s="307">
        <v>0</v>
      </c>
      <c r="M63" s="307">
        <v>15.1105364046426</v>
      </c>
      <c r="N63" s="307">
        <v>15.757029314377734</v>
      </c>
      <c r="O63" s="307">
        <v>44.825087264382113</v>
      </c>
      <c r="P63" s="307">
        <v>34.030674587510738</v>
      </c>
      <c r="Q63" s="307">
        <v>5.4826215858462204</v>
      </c>
      <c r="R63" s="307">
        <v>12.121013685402501</v>
      </c>
      <c r="S63" s="307">
        <v>5</v>
      </c>
      <c r="T63" s="307">
        <v>50.208612361330715</v>
      </c>
      <c r="U63" s="307">
        <v>5</v>
      </c>
      <c r="V63" s="307">
        <v>15.357689015998451</v>
      </c>
      <c r="W63" s="307">
        <v>8.9058979320189717</v>
      </c>
      <c r="X63" s="307">
        <v>10.125009310189375</v>
      </c>
      <c r="Y63" s="307">
        <v>6.2</v>
      </c>
      <c r="Z63" s="307">
        <v>5.9450278789874096</v>
      </c>
      <c r="AA63" s="307">
        <v>26.307608793828692</v>
      </c>
      <c r="AB63" s="307">
        <v>54.499544926501741</v>
      </c>
      <c r="AC63" s="307">
        <v>5</v>
      </c>
      <c r="AD63" s="307">
        <v>38.275573450814264</v>
      </c>
      <c r="AE63" s="307">
        <v>5</v>
      </c>
      <c r="AF63" s="307">
        <v>5.6022639500905713</v>
      </c>
      <c r="AG63" s="307">
        <v>34.980361723889828</v>
      </c>
      <c r="AH63" s="307">
        <v>107.58890842813327</v>
      </c>
      <c r="AI63" s="307">
        <v>7.907210039449625</v>
      </c>
      <c r="AJ63" s="307">
        <v>14.149429438894098</v>
      </c>
      <c r="AK63" s="307">
        <v>10.149353143306801</v>
      </c>
      <c r="AL63" s="307">
        <v>0</v>
      </c>
      <c r="AM63" s="307">
        <v>12.409393749309523</v>
      </c>
      <c r="AN63" s="307">
        <v>7.6709710233980308</v>
      </c>
      <c r="AO63" s="307">
        <f t="shared" si="2"/>
        <v>215.33510238457157</v>
      </c>
      <c r="AP63" s="307">
        <f t="shared" si="3"/>
        <v>409.92281702964078</v>
      </c>
      <c r="AQ63" s="418">
        <v>51.322000000000003</v>
      </c>
      <c r="AR63" s="307">
        <v>317.72300000000001</v>
      </c>
    </row>
    <row r="64" spans="1:49" s="193" customFormat="1">
      <c r="A64" s="240"/>
      <c r="B64" s="183" t="s">
        <v>59</v>
      </c>
      <c r="C64" s="307">
        <v>5.2410811779516102</v>
      </c>
      <c r="D64" s="307">
        <v>6.2449346762818001</v>
      </c>
      <c r="E64" s="307">
        <v>0</v>
      </c>
      <c r="F64" s="307">
        <v>0</v>
      </c>
      <c r="G64" s="307">
        <v>7.8702923463939651</v>
      </c>
      <c r="H64" s="307">
        <v>6.3560412752848876</v>
      </c>
      <c r="I64" s="307">
        <v>0</v>
      </c>
      <c r="J64" s="307">
        <v>5</v>
      </c>
      <c r="K64" s="307">
        <v>0</v>
      </c>
      <c r="L64" s="307">
        <v>5</v>
      </c>
      <c r="M64" s="307">
        <v>5</v>
      </c>
      <c r="N64" s="307">
        <v>5.4949438279176599</v>
      </c>
      <c r="O64" s="307">
        <v>18.176850127460447</v>
      </c>
      <c r="P64" s="307">
        <v>10.3259169512837</v>
      </c>
      <c r="Q64" s="307">
        <v>0</v>
      </c>
      <c r="R64" s="307">
        <v>5</v>
      </c>
      <c r="S64" s="307">
        <v>0</v>
      </c>
      <c r="T64" s="307">
        <v>12.374783531256446</v>
      </c>
      <c r="U64" s="307">
        <v>5.3119536125924052</v>
      </c>
      <c r="V64" s="307">
        <v>5</v>
      </c>
      <c r="W64" s="307">
        <v>0</v>
      </c>
      <c r="X64" s="307">
        <v>0</v>
      </c>
      <c r="Y64" s="307">
        <v>0</v>
      </c>
      <c r="Z64" s="307">
        <v>0</v>
      </c>
      <c r="AA64" s="307">
        <v>17.989578137847818</v>
      </c>
      <c r="AB64" s="307">
        <v>22.330028697668627</v>
      </c>
      <c r="AC64" s="307">
        <v>0</v>
      </c>
      <c r="AD64" s="307">
        <v>15.407561288530273</v>
      </c>
      <c r="AE64" s="307">
        <v>5</v>
      </c>
      <c r="AF64" s="307">
        <v>5.3</v>
      </c>
      <c r="AG64" s="307">
        <v>19.472259926875076</v>
      </c>
      <c r="AH64" s="307">
        <v>42.075234951720887</v>
      </c>
      <c r="AI64" s="307">
        <v>7.6275643553722601</v>
      </c>
      <c r="AJ64" s="307">
        <v>8.0437990919530424</v>
      </c>
      <c r="AK64" s="307">
        <v>5.6825379441702903</v>
      </c>
      <c r="AL64" s="307">
        <v>0</v>
      </c>
      <c r="AM64" s="307">
        <v>5.6645097238631301</v>
      </c>
      <c r="AN64" s="307">
        <v>5.2499976177810703</v>
      </c>
      <c r="AO64" s="307">
        <f t="shared" si="2"/>
        <v>103.03662735252701</v>
      </c>
      <c r="AP64" s="307">
        <f t="shared" si="3"/>
        <v>159.20324190967841</v>
      </c>
      <c r="AQ64" s="418">
        <v>22.123999999999999</v>
      </c>
      <c r="AR64" s="307">
        <v>114.467</v>
      </c>
    </row>
    <row r="65" spans="1:44" s="193" customFormat="1" ht="12.75" customHeight="1">
      <c r="A65" s="240"/>
      <c r="B65" s="183" t="s">
        <v>60</v>
      </c>
      <c r="C65" s="307">
        <v>5.8037480614504604</v>
      </c>
      <c r="D65" s="307">
        <v>5.6210402931352199</v>
      </c>
      <c r="E65" s="307">
        <v>0</v>
      </c>
      <c r="F65" s="307">
        <v>0</v>
      </c>
      <c r="G65" s="307">
        <v>0</v>
      </c>
      <c r="H65" s="307">
        <v>5.5729869858205898</v>
      </c>
      <c r="I65" s="307">
        <v>5.8301974607229283</v>
      </c>
      <c r="J65" s="307">
        <v>0</v>
      </c>
      <c r="K65" s="307">
        <v>0</v>
      </c>
      <c r="L65" s="307">
        <v>0</v>
      </c>
      <c r="M65" s="307">
        <v>0</v>
      </c>
      <c r="N65" s="307">
        <v>5.6615002750184003</v>
      </c>
      <c r="O65" s="307">
        <v>7.3494086496306403</v>
      </c>
      <c r="P65" s="307">
        <v>0</v>
      </c>
      <c r="Q65" s="307">
        <v>0</v>
      </c>
      <c r="R65" s="307">
        <v>0</v>
      </c>
      <c r="S65" s="307">
        <v>5.1187487441778199</v>
      </c>
      <c r="T65" s="307">
        <v>16.339043281005456</v>
      </c>
      <c r="U65" s="307">
        <v>0</v>
      </c>
      <c r="V65" s="307">
        <v>5</v>
      </c>
      <c r="W65" s="307">
        <v>0</v>
      </c>
      <c r="X65" s="307">
        <v>0</v>
      </c>
      <c r="Y65" s="307">
        <v>0</v>
      </c>
      <c r="Z65" s="307">
        <v>0</v>
      </c>
      <c r="AA65" s="307">
        <v>16.673048108533216</v>
      </c>
      <c r="AB65" s="307">
        <v>5.8089263480236548</v>
      </c>
      <c r="AC65" s="307">
        <v>0</v>
      </c>
      <c r="AD65" s="307">
        <v>5.3223401033583215</v>
      </c>
      <c r="AE65" s="307">
        <v>0</v>
      </c>
      <c r="AF65" s="307">
        <v>0</v>
      </c>
      <c r="AG65" s="307">
        <v>15.578818175478109</v>
      </c>
      <c r="AH65" s="307">
        <v>15.692974614997533</v>
      </c>
      <c r="AI65" s="307">
        <v>0</v>
      </c>
      <c r="AJ65" s="307">
        <v>0</v>
      </c>
      <c r="AK65" s="307">
        <v>6.6290875073941171</v>
      </c>
      <c r="AL65" s="307">
        <v>0</v>
      </c>
      <c r="AM65" s="307">
        <v>6.0976458453471896</v>
      </c>
      <c r="AN65" s="307">
        <v>5.2450034960210496</v>
      </c>
      <c r="AO65" s="307">
        <f t="shared" si="2"/>
        <v>69.080702552734479</v>
      </c>
      <c r="AP65" s="307">
        <f t="shared" si="3"/>
        <v>70.263815397380228</v>
      </c>
      <c r="AQ65" s="418">
        <v>42.121000000000002</v>
      </c>
      <c r="AR65" s="307">
        <v>150.703</v>
      </c>
    </row>
    <row r="66" spans="1:44" s="193" customFormat="1">
      <c r="A66" s="240"/>
      <c r="B66" s="183" t="s">
        <v>8</v>
      </c>
      <c r="C66" s="307">
        <f>SUM(C56:C65)</f>
        <v>130.70162052770081</v>
      </c>
      <c r="D66" s="307">
        <f t="shared" ref="D66:AM66" si="4">SUM(D56:D65)</f>
        <v>395.33494926954711</v>
      </c>
      <c r="E66" s="307">
        <f t="shared" si="4"/>
        <v>157.29874889431503</v>
      </c>
      <c r="F66" s="307">
        <f t="shared" si="4"/>
        <v>417.18884314816438</v>
      </c>
      <c r="G66" s="307">
        <f t="shared" si="4"/>
        <v>151.6498865939617</v>
      </c>
      <c r="H66" s="307">
        <f t="shared" si="4"/>
        <v>262.50530745313398</v>
      </c>
      <c r="I66" s="307">
        <f t="shared" si="4"/>
        <v>197.89724125205274</v>
      </c>
      <c r="J66" s="307">
        <f t="shared" si="4"/>
        <v>322.20145684903264</v>
      </c>
      <c r="K66" s="307">
        <f t="shared" si="4"/>
        <v>5</v>
      </c>
      <c r="L66" s="307">
        <f>SUM(L56:L65)</f>
        <v>22</v>
      </c>
      <c r="M66" s="307">
        <f t="shared" si="4"/>
        <v>211.14716603442923</v>
      </c>
      <c r="N66" s="307">
        <f t="shared" si="4"/>
        <v>214.77852531071264</v>
      </c>
      <c r="O66" s="307">
        <f t="shared" si="4"/>
        <v>395.17959474014896</v>
      </c>
      <c r="P66" s="307">
        <f t="shared" si="4"/>
        <v>392.38907421990751</v>
      </c>
      <c r="Q66" s="307">
        <f t="shared" si="4"/>
        <v>111.33310712934346</v>
      </c>
      <c r="R66" s="307">
        <f t="shared" si="4"/>
        <v>334.55418705695564</v>
      </c>
      <c r="S66" s="307">
        <f t="shared" si="4"/>
        <v>586.7501915647216</v>
      </c>
      <c r="T66" s="307">
        <f t="shared" si="4"/>
        <v>1962.2644842579662</v>
      </c>
      <c r="U66" s="307">
        <f t="shared" si="4"/>
        <v>53.699073145439939</v>
      </c>
      <c r="V66" s="307">
        <f t="shared" si="4"/>
        <v>161.59845845733528</v>
      </c>
      <c r="W66" s="307">
        <f t="shared" si="4"/>
        <v>198.39575867745108</v>
      </c>
      <c r="X66" s="307">
        <f t="shared" si="4"/>
        <v>303.74928166952895</v>
      </c>
      <c r="Y66" s="307">
        <f t="shared" si="4"/>
        <v>260.36360148977832</v>
      </c>
      <c r="Z66" s="307">
        <f t="shared" si="4"/>
        <v>304.6771877690432</v>
      </c>
      <c r="AA66" s="307">
        <f t="shared" si="4"/>
        <v>809.20013432030976</v>
      </c>
      <c r="AB66" s="307">
        <f t="shared" si="4"/>
        <v>1139.1043661612086</v>
      </c>
      <c r="AC66" s="307">
        <f t="shared" si="4"/>
        <v>115.46059581181696</v>
      </c>
      <c r="AD66" s="307">
        <f t="shared" si="4"/>
        <v>552.50218351564376</v>
      </c>
      <c r="AE66" s="307">
        <f t="shared" si="4"/>
        <v>176.11806059283373</v>
      </c>
      <c r="AF66" s="307">
        <f t="shared" si="4"/>
        <v>121.34348354059894</v>
      </c>
      <c r="AG66" s="307">
        <f t="shared" si="4"/>
        <v>616.63166669082455</v>
      </c>
      <c r="AH66" s="307">
        <f t="shared" si="4"/>
        <v>1764.2251382660477</v>
      </c>
      <c r="AI66" s="307">
        <f t="shared" si="4"/>
        <v>420.06767989308008</v>
      </c>
      <c r="AJ66" s="307">
        <f t="shared" si="4"/>
        <v>305.53874344592776</v>
      </c>
      <c r="AK66" s="307">
        <f t="shared" si="4"/>
        <v>261.92717439406374</v>
      </c>
      <c r="AL66" s="307">
        <f t="shared" si="4"/>
        <v>121.73388066148524</v>
      </c>
      <c r="AM66" s="307">
        <f t="shared" si="4"/>
        <v>147.53834268335547</v>
      </c>
      <c r="AN66" s="307">
        <f>SUM(AN56:AN65)</f>
        <v>279.94349760948387</v>
      </c>
      <c r="AO66" s="307">
        <f>SUM(AO56:AO65)</f>
        <v>5006.3596444356281</v>
      </c>
      <c r="AP66" s="307">
        <f>SUM(AP56:AP65)</f>
        <v>9377.6330486617207</v>
      </c>
      <c r="AQ66" s="307">
        <f>SUM(AQ56:AQ65)</f>
        <v>1774.5240000000001</v>
      </c>
      <c r="AR66" s="307">
        <f>SUM(AR56:AR65)</f>
        <v>6215.13</v>
      </c>
    </row>
    <row r="67" spans="1:44">
      <c r="A67" s="174">
        <f>AP67</f>
        <v>0</v>
      </c>
      <c r="D67" s="375"/>
      <c r="E67" s="290"/>
      <c r="AN67" s="263">
        <f>SUM(C66:AN66)</f>
        <v>14383.992693097349</v>
      </c>
      <c r="AO67" s="263">
        <f>AO66+AP66</f>
        <v>14383.992693097349</v>
      </c>
      <c r="AP67" s="263">
        <f>AN67-AO67</f>
        <v>0</v>
      </c>
      <c r="AR67" s="309"/>
    </row>
    <row r="68" spans="1:44">
      <c r="A68" s="174">
        <f>AP68</f>
        <v>0</v>
      </c>
      <c r="B68" s="290"/>
      <c r="C68" s="290"/>
      <c r="D68" s="290"/>
      <c r="E68" s="290"/>
      <c r="F68" s="290"/>
      <c r="G68" s="290"/>
      <c r="H68" s="290"/>
      <c r="I68" s="290"/>
      <c r="J68" s="290"/>
      <c r="K68" s="290"/>
      <c r="L68" s="508"/>
      <c r="M68" s="508"/>
      <c r="N68" s="290"/>
      <c r="O68" s="290"/>
      <c r="P68" s="290"/>
      <c r="Q68" s="290"/>
      <c r="R68" s="290"/>
      <c r="S68" s="290"/>
      <c r="T68" s="290"/>
      <c r="U68" s="290"/>
      <c r="V68" s="290"/>
      <c r="W68" s="290"/>
      <c r="X68" s="290"/>
      <c r="Y68" s="290"/>
      <c r="Z68" s="290"/>
      <c r="AA68" s="290"/>
      <c r="AB68" s="290"/>
      <c r="AC68" s="290"/>
      <c r="AD68" s="290"/>
      <c r="AE68" s="290"/>
      <c r="AF68" s="290"/>
      <c r="AG68" s="290"/>
      <c r="AH68" s="290"/>
      <c r="AI68" s="290"/>
      <c r="AJ68" s="290"/>
      <c r="AK68" s="290"/>
      <c r="AL68" s="290"/>
      <c r="AM68" s="290"/>
      <c r="AN68" s="263">
        <f>SUM(C56:AN65)</f>
        <v>14383.992693097354</v>
      </c>
      <c r="AO68" s="263">
        <f>SUM(AO56:AP65)</f>
        <v>14383.992693097351</v>
      </c>
      <c r="AP68" s="263">
        <f>((AN68+AO68)/2)-AO67</f>
        <v>0</v>
      </c>
      <c r="AR68" s="309"/>
    </row>
    <row r="69" spans="1:44" s="40" customFormat="1" ht="18">
      <c r="A69" s="174">
        <f>AP69</f>
        <v>0</v>
      </c>
      <c r="B69" s="125" t="s">
        <v>63</v>
      </c>
      <c r="F69" s="12"/>
      <c r="J69" s="12" t="s">
        <v>1430</v>
      </c>
      <c r="K69"/>
      <c r="L69" s="922" t="s">
        <v>133</v>
      </c>
      <c r="M69" s="5" t="s">
        <v>67</v>
      </c>
      <c r="T69" s="289"/>
      <c r="U69" s="289"/>
      <c r="V69" s="289"/>
      <c r="W69" s="289"/>
      <c r="AN69" s="263">
        <f>((AN67+AN68)/2)-AO67</f>
        <v>0</v>
      </c>
      <c r="AO69" s="263">
        <f>AO67-AO68</f>
        <v>0</v>
      </c>
      <c r="AP69" s="263">
        <f>AN69+AO69</f>
        <v>0</v>
      </c>
    </row>
    <row r="70" spans="1:44">
      <c r="M70" s="508"/>
    </row>
    <row r="71" spans="1:44">
      <c r="B71" s="12" t="s">
        <v>1428</v>
      </c>
      <c r="C71" s="115" t="s">
        <v>1101</v>
      </c>
      <c r="M71" s="508"/>
    </row>
    <row r="72" spans="1:44">
      <c r="M72" s="508"/>
    </row>
    <row r="73" spans="1:44">
      <c r="B73" s="12" t="s">
        <v>64</v>
      </c>
      <c r="C73" s="1169" t="s">
        <v>1587</v>
      </c>
      <c r="D73" s="1169"/>
      <c r="E73" s="1169"/>
      <c r="F73" s="1169"/>
      <c r="G73" s="1169"/>
      <c r="H73" s="1169"/>
      <c r="I73" s="1169"/>
      <c r="J73" s="1169"/>
      <c r="K73" s="1169"/>
      <c r="M73" s="508"/>
      <c r="Q73" s="509"/>
    </row>
    <row r="74" spans="1:44" ht="26.45" customHeight="1">
      <c r="B74" s="12"/>
      <c r="C74" s="1169"/>
      <c r="D74" s="1169"/>
      <c r="E74" s="1169"/>
      <c r="F74" s="1169"/>
      <c r="G74" s="1169"/>
      <c r="H74" s="1169"/>
      <c r="I74" s="1169"/>
      <c r="J74" s="1169"/>
      <c r="K74" s="1169"/>
      <c r="M74" s="508"/>
      <c r="Q74" s="12"/>
    </row>
    <row r="75" spans="1:44">
      <c r="M75" s="508"/>
      <c r="Q75" s="510"/>
    </row>
    <row r="76" spans="1:44">
      <c r="B76" s="12" t="s">
        <v>65</v>
      </c>
      <c r="C76" s="401"/>
      <c r="M76" s="508"/>
    </row>
    <row r="77" spans="1:44">
      <c r="D77" s="1"/>
      <c r="E77" s="1"/>
      <c r="F77" s="1"/>
      <c r="M77" s="508"/>
    </row>
    <row r="78" spans="1:44" ht="15" customHeight="1">
      <c r="B78" s="1183" t="s">
        <v>62</v>
      </c>
      <c r="C78" s="1140" t="s">
        <v>369</v>
      </c>
      <c r="D78" s="1140"/>
      <c r="E78" s="1140"/>
      <c r="F78" s="122"/>
    </row>
    <row r="79" spans="1:44" ht="15">
      <c r="B79" s="1184"/>
      <c r="C79" s="141" t="s">
        <v>78</v>
      </c>
      <c r="D79" s="8" t="s">
        <v>79</v>
      </c>
      <c r="E79" s="8" t="s">
        <v>80</v>
      </c>
      <c r="F79" s="123"/>
    </row>
    <row r="80" spans="1:44">
      <c r="B80" s="141" t="s">
        <v>558</v>
      </c>
      <c r="C80" s="421">
        <v>70648.808999999994</v>
      </c>
      <c r="D80" s="421">
        <v>41536.894</v>
      </c>
      <c r="E80" s="421">
        <v>29387.418000000001</v>
      </c>
      <c r="F80" s="1"/>
      <c r="G80" s="161"/>
      <c r="H80" s="1"/>
      <c r="I80" s="489"/>
      <c r="J80" s="489"/>
      <c r="K80" s="489"/>
      <c r="L80" s="146"/>
      <c r="M80" s="146"/>
      <c r="N80" s="147"/>
      <c r="O80" s="147"/>
      <c r="P80" s="147"/>
    </row>
    <row r="81" spans="2:16">
      <c r="B81" s="141" t="s">
        <v>7</v>
      </c>
      <c r="C81" s="421">
        <v>79751.357000000004</v>
      </c>
      <c r="D81" s="421">
        <v>83363.073000000004</v>
      </c>
      <c r="E81" s="421">
        <v>39348.082000000002</v>
      </c>
      <c r="F81" s="1"/>
      <c r="G81" s="161"/>
      <c r="H81" s="488"/>
      <c r="I81" s="235"/>
      <c r="J81" s="235"/>
      <c r="K81" s="235"/>
      <c r="L81" s="146"/>
      <c r="M81" s="146"/>
      <c r="N81" s="147"/>
      <c r="O81" s="147"/>
      <c r="P81" s="147"/>
    </row>
    <row r="82" spans="2:16">
      <c r="B82" s="141" t="s">
        <v>427</v>
      </c>
      <c r="C82" s="421">
        <v>4718.3419999999996</v>
      </c>
      <c r="D82" s="421">
        <v>30396.507000000001</v>
      </c>
      <c r="E82" s="421">
        <v>37893.985999999997</v>
      </c>
      <c r="F82" s="1"/>
      <c r="G82" s="161"/>
      <c r="H82" s="488"/>
      <c r="I82" s="235"/>
      <c r="J82" s="235"/>
      <c r="K82" s="235"/>
      <c r="L82" s="146"/>
      <c r="M82" s="146"/>
      <c r="N82" s="147"/>
      <c r="O82" s="147"/>
      <c r="P82" s="147"/>
    </row>
    <row r="83" spans="2:16">
      <c r="B83" s="141" t="s">
        <v>3</v>
      </c>
      <c r="C83" s="421">
        <v>66687.88</v>
      </c>
      <c r="D83" s="421">
        <v>77069.387000000002</v>
      </c>
      <c r="E83" s="421">
        <v>32799.608</v>
      </c>
      <c r="F83" s="1"/>
      <c r="G83" s="161"/>
      <c r="H83" s="488"/>
      <c r="I83" s="235"/>
      <c r="J83" s="235"/>
      <c r="K83" s="235"/>
      <c r="L83" s="146"/>
      <c r="M83" s="146"/>
      <c r="N83" s="147"/>
      <c r="O83" s="147"/>
      <c r="P83" s="147"/>
    </row>
    <row r="84" spans="2:16">
      <c r="B84" s="141" t="s">
        <v>85</v>
      </c>
      <c r="C84" s="421">
        <v>1867.3869999999999</v>
      </c>
      <c r="D84" s="421">
        <v>1533.5419999999999</v>
      </c>
      <c r="E84" s="421">
        <v>2152.3780000000002</v>
      </c>
      <c r="F84" s="1"/>
      <c r="G84" s="161"/>
      <c r="H84" s="285"/>
      <c r="I84" s="490"/>
      <c r="J84" s="490"/>
      <c r="K84" s="490"/>
      <c r="L84" s="74"/>
      <c r="M84" s="146"/>
      <c r="N84" s="147"/>
      <c r="O84" s="147"/>
      <c r="P84" s="147"/>
    </row>
    <row r="85" spans="2:16">
      <c r="B85" s="141" t="s">
        <v>103</v>
      </c>
      <c r="C85" s="421">
        <v>57033.567999999999</v>
      </c>
      <c r="D85" s="421">
        <v>45213.525000000001</v>
      </c>
      <c r="E85" s="421">
        <v>25505.008000000002</v>
      </c>
      <c r="F85" s="1"/>
      <c r="G85" s="161"/>
      <c r="H85" s="285"/>
      <c r="I85" s="490"/>
      <c r="J85" s="490"/>
      <c r="K85" s="490"/>
      <c r="L85" s="74"/>
      <c r="M85" s="146"/>
      <c r="N85" s="147"/>
      <c r="O85" s="147"/>
      <c r="P85" s="147"/>
    </row>
    <row r="86" spans="2:16">
      <c r="B86" s="141" t="s">
        <v>559</v>
      </c>
      <c r="C86" s="421">
        <v>107155.857</v>
      </c>
      <c r="D86" s="421">
        <v>49497</v>
      </c>
      <c r="E86" s="421">
        <v>21550.714</v>
      </c>
      <c r="F86" s="1"/>
      <c r="G86" s="482"/>
      <c r="H86" s="285"/>
      <c r="I86" s="490"/>
      <c r="J86" s="490"/>
      <c r="K86" s="490"/>
      <c r="L86" s="74"/>
      <c r="M86" s="146"/>
      <c r="N86" s="147"/>
      <c r="O86" s="147"/>
      <c r="P86" s="147"/>
    </row>
    <row r="87" spans="2:16">
      <c r="B87" s="141" t="s">
        <v>6</v>
      </c>
      <c r="C87" s="421">
        <v>47869.883000000002</v>
      </c>
      <c r="D87" s="421">
        <v>23481.306</v>
      </c>
      <c r="E87" s="421">
        <v>15168.009</v>
      </c>
      <c r="F87" s="1"/>
      <c r="G87" s="482"/>
      <c r="H87" s="483"/>
      <c r="I87" s="235"/>
      <c r="J87" s="235"/>
      <c r="K87" s="235"/>
      <c r="L87" s="146"/>
      <c r="M87" s="146"/>
      <c r="N87" s="147"/>
      <c r="O87" s="147"/>
      <c r="P87" s="147"/>
    </row>
    <row r="88" spans="2:16">
      <c r="B88" s="141" t="s">
        <v>1</v>
      </c>
      <c r="C88" s="421">
        <v>249638.397</v>
      </c>
      <c r="D88" s="421">
        <v>207402.302</v>
      </c>
      <c r="E88" s="421">
        <v>52423.813999999998</v>
      </c>
      <c r="F88" s="1"/>
      <c r="G88" s="484"/>
      <c r="H88" s="485"/>
      <c r="I88" s="235"/>
      <c r="J88" s="235"/>
      <c r="K88" s="235"/>
      <c r="L88" s="146"/>
      <c r="M88" s="146"/>
      <c r="N88" s="147"/>
      <c r="O88" s="147"/>
      <c r="P88" s="147"/>
    </row>
    <row r="89" spans="2:16">
      <c r="B89" s="141" t="s">
        <v>396</v>
      </c>
      <c r="C89" s="421">
        <v>14155.37</v>
      </c>
      <c r="D89" s="421">
        <v>19737.098000000002</v>
      </c>
      <c r="E89" s="421">
        <v>3344.0309999999999</v>
      </c>
      <c r="F89" s="1"/>
      <c r="G89" s="482"/>
      <c r="H89" s="483"/>
      <c r="I89" s="235"/>
      <c r="J89" s="235"/>
      <c r="K89" s="235"/>
      <c r="L89" s="146"/>
      <c r="M89" s="146"/>
      <c r="N89" s="147"/>
      <c r="O89" s="147"/>
      <c r="P89" s="147"/>
    </row>
    <row r="90" spans="2:16">
      <c r="B90" s="141" t="s">
        <v>4</v>
      </c>
      <c r="C90" s="421">
        <v>96085.642000000007</v>
      </c>
      <c r="D90" s="421">
        <v>55348.328000000001</v>
      </c>
      <c r="E90" s="421">
        <v>23733.224999999999</v>
      </c>
      <c r="F90" s="1"/>
      <c r="G90" s="486"/>
      <c r="H90" s="483"/>
      <c r="I90" s="235"/>
      <c r="J90" s="235"/>
      <c r="K90" s="235"/>
      <c r="L90" s="146"/>
      <c r="M90" s="146"/>
      <c r="N90" s="147"/>
      <c r="O90" s="147"/>
      <c r="P90" s="147"/>
    </row>
    <row r="91" spans="2:16">
      <c r="B91" s="141" t="s">
        <v>0</v>
      </c>
      <c r="C91" s="421">
        <v>98393.145999999993</v>
      </c>
      <c r="D91" s="421">
        <v>59577.038999999997</v>
      </c>
      <c r="E91" s="421">
        <v>30449.096000000001</v>
      </c>
      <c r="F91" s="1"/>
      <c r="G91" s="482"/>
      <c r="H91" s="483"/>
      <c r="I91" s="235"/>
      <c r="J91" s="235"/>
      <c r="K91" s="235"/>
      <c r="L91" s="146"/>
      <c r="M91" s="146"/>
      <c r="N91" s="147"/>
      <c r="O91" s="147"/>
      <c r="P91" s="147"/>
    </row>
    <row r="92" spans="2:16">
      <c r="B92" s="141" t="s">
        <v>560</v>
      </c>
      <c r="C92" s="421">
        <v>243965.386</v>
      </c>
      <c r="D92" s="421">
        <v>199336.14</v>
      </c>
      <c r="E92" s="421">
        <v>65601.789999999994</v>
      </c>
      <c r="F92" s="1"/>
      <c r="G92" s="482"/>
      <c r="H92" s="483"/>
      <c r="I92" s="235"/>
      <c r="J92" s="235"/>
      <c r="K92" s="235"/>
      <c r="L92" s="146"/>
      <c r="M92" s="146"/>
      <c r="N92" s="147"/>
      <c r="O92" s="147"/>
      <c r="P92" s="147"/>
    </row>
    <row r="93" spans="2:16">
      <c r="B93" s="141" t="s">
        <v>561</v>
      </c>
      <c r="C93" s="421">
        <v>147900.122</v>
      </c>
      <c r="D93" s="421">
        <v>75153.792000000001</v>
      </c>
      <c r="E93" s="421">
        <v>26218.452000000001</v>
      </c>
      <c r="F93" s="1"/>
      <c r="G93" s="482"/>
      <c r="H93" s="483"/>
      <c r="I93" s="235"/>
      <c r="J93" s="235"/>
      <c r="K93" s="235"/>
      <c r="L93" s="146"/>
      <c r="M93" s="146"/>
      <c r="N93" s="147"/>
      <c r="O93" s="147"/>
      <c r="P93" s="147"/>
    </row>
    <row r="94" spans="2:16">
      <c r="B94" s="141" t="s">
        <v>5</v>
      </c>
      <c r="C94" s="421">
        <v>55850.633000000002</v>
      </c>
      <c r="D94" s="421">
        <v>18579.723000000002</v>
      </c>
      <c r="E94" s="421">
        <v>12574.789000000001</v>
      </c>
      <c r="F94" s="1"/>
      <c r="G94" s="161"/>
      <c r="H94" s="1"/>
      <c r="I94" s="235"/>
      <c r="J94" s="235"/>
      <c r="K94" s="235"/>
      <c r="L94" s="146"/>
      <c r="M94" s="146"/>
      <c r="N94" s="147"/>
      <c r="O94" s="147"/>
      <c r="P94" s="147"/>
    </row>
    <row r="95" spans="2:16">
      <c r="B95" s="141" t="s">
        <v>44</v>
      </c>
      <c r="C95" s="421">
        <v>58971.631999999998</v>
      </c>
      <c r="D95" s="421">
        <v>74598.426000000007</v>
      </c>
      <c r="E95" s="421">
        <v>133379.397</v>
      </c>
      <c r="F95" s="1"/>
      <c r="G95" s="161"/>
      <c r="H95" s="1"/>
      <c r="I95" s="235"/>
      <c r="J95" s="235"/>
      <c r="K95" s="235"/>
      <c r="L95" s="146"/>
      <c r="M95" s="146"/>
      <c r="N95" s="147"/>
      <c r="O95" s="147"/>
      <c r="P95" s="147"/>
    </row>
    <row r="96" spans="2:16">
      <c r="B96" s="141" t="s">
        <v>562</v>
      </c>
      <c r="C96" s="421">
        <v>141578.06400000001</v>
      </c>
      <c r="D96" s="421">
        <v>110276.962</v>
      </c>
      <c r="E96" s="421">
        <v>31817.552</v>
      </c>
      <c r="F96" s="1"/>
      <c r="G96" s="161"/>
      <c r="H96" s="1"/>
      <c r="I96" s="235"/>
      <c r="J96" s="235"/>
      <c r="K96" s="235"/>
      <c r="L96" s="146"/>
      <c r="M96" s="146"/>
      <c r="N96" s="147"/>
      <c r="O96" s="147"/>
      <c r="P96" s="147"/>
    </row>
    <row r="97" spans="1:23">
      <c r="B97" s="141" t="s">
        <v>2</v>
      </c>
      <c r="C97" s="421">
        <v>64655.423999999999</v>
      </c>
      <c r="D97" s="421">
        <v>77173.383000000002</v>
      </c>
      <c r="E97" s="421">
        <v>27005.766</v>
      </c>
      <c r="F97" s="1"/>
      <c r="G97" s="161"/>
      <c r="H97" s="1"/>
      <c r="I97" s="235"/>
      <c r="J97" s="235"/>
      <c r="K97" s="235"/>
      <c r="L97" s="146"/>
      <c r="M97" s="146"/>
      <c r="N97" s="147"/>
      <c r="O97" s="147"/>
      <c r="P97" s="147"/>
    </row>
    <row r="98" spans="1:23">
      <c r="B98" s="141" t="s">
        <v>563</v>
      </c>
      <c r="C98" s="421">
        <v>61605.822999999997</v>
      </c>
      <c r="D98" s="421">
        <v>45806.561999999998</v>
      </c>
      <c r="E98" s="421">
        <v>17043.651000000002</v>
      </c>
      <c r="F98" s="1"/>
      <c r="G98" s="161"/>
      <c r="H98" s="1"/>
      <c r="I98" s="235"/>
      <c r="J98" s="235"/>
      <c r="K98" s="235"/>
      <c r="L98" s="146"/>
      <c r="M98" s="146"/>
      <c r="N98" s="147"/>
      <c r="O98" s="147"/>
      <c r="P98" s="147"/>
    </row>
    <row r="99" spans="1:23">
      <c r="B99" s="141" t="s">
        <v>8</v>
      </c>
      <c r="C99" s="421">
        <v>1668532.7219999998</v>
      </c>
      <c r="D99" s="421">
        <v>1295080.9889999998</v>
      </c>
      <c r="E99" s="421">
        <v>627396.76599999995</v>
      </c>
      <c r="F99" s="1"/>
      <c r="G99" s="161"/>
      <c r="H99" s="1"/>
      <c r="I99" s="235"/>
      <c r="J99" s="235"/>
      <c r="K99" s="235"/>
      <c r="L99" s="74"/>
      <c r="M99" s="74"/>
      <c r="N99" s="2"/>
      <c r="O99" s="2"/>
      <c r="P99" s="2"/>
    </row>
    <row r="100" spans="1:23">
      <c r="A100" s="178">
        <f>F100</f>
        <v>0</v>
      </c>
      <c r="C100" s="10">
        <f>SUM(C80:C98)-C99</f>
        <v>0</v>
      </c>
      <c r="D100" s="10">
        <f>SUM(D80:D98)-D99</f>
        <v>0</v>
      </c>
      <c r="E100" s="10">
        <f>SUM(E80:E98)-E99</f>
        <v>0</v>
      </c>
      <c r="F100" s="10">
        <f>SUM(C100:E100)</f>
        <v>0</v>
      </c>
    </row>
    <row r="102" spans="1:23" s="40" customFormat="1" ht="18">
      <c r="A102" s="176"/>
      <c r="B102" s="39" t="s">
        <v>121</v>
      </c>
      <c r="F102" s="12"/>
      <c r="J102" s="12" t="s">
        <v>1430</v>
      </c>
      <c r="K102"/>
      <c r="L102" s="922" t="s">
        <v>133</v>
      </c>
      <c r="M102" s="5" t="s">
        <v>67</v>
      </c>
    </row>
    <row r="104" spans="1:23">
      <c r="B104" s="12" t="s">
        <v>1428</v>
      </c>
      <c r="C104" s="115" t="s">
        <v>1100</v>
      </c>
    </row>
    <row r="106" spans="1:23" ht="26.25" customHeight="1">
      <c r="B106" s="616" t="s">
        <v>64</v>
      </c>
      <c r="C106" s="1170" t="s">
        <v>394</v>
      </c>
      <c r="D106" s="1170"/>
      <c r="E106" s="1170"/>
      <c r="F106" s="1170"/>
      <c r="G106" s="1170"/>
      <c r="H106" s="1170"/>
      <c r="I106" s="1170"/>
      <c r="J106" s="1170"/>
      <c r="K106" s="1170"/>
      <c r="L106" s="1170"/>
      <c r="M106" s="1170"/>
    </row>
    <row r="108" spans="1:23">
      <c r="B108" s="12" t="s">
        <v>65</v>
      </c>
      <c r="C108" s="115"/>
    </row>
    <row r="109" spans="1:23">
      <c r="F109" s="150" t="s">
        <v>501</v>
      </c>
      <c r="G109" s="150"/>
    </row>
    <row r="110" spans="1:23" ht="25.5">
      <c r="B110" s="284"/>
      <c r="C110" s="467" t="s">
        <v>571</v>
      </c>
      <c r="D110" s="284" t="s">
        <v>572</v>
      </c>
      <c r="E110" s="283"/>
      <c r="H110" s="168"/>
      <c r="R110" s="75"/>
      <c r="S110" s="7"/>
      <c r="T110" s="7"/>
      <c r="U110" s="7"/>
      <c r="V110" s="7"/>
      <c r="W110" s="7"/>
    </row>
    <row r="111" spans="1:23">
      <c r="B111" s="284" t="s">
        <v>43</v>
      </c>
      <c r="C111" s="766">
        <f>G111</f>
        <v>3463.2065561209192</v>
      </c>
      <c r="D111" s="417">
        <v>7998</v>
      </c>
      <c r="F111" s="763" t="s">
        <v>43</v>
      </c>
      <c r="G111" s="765">
        <f>$C$113*(N356/(SUM($N$356:$N$359)))</f>
        <v>3463.2065561209192</v>
      </c>
      <c r="R111" s="75"/>
      <c r="S111" s="7"/>
      <c r="T111" s="7"/>
      <c r="U111" s="7"/>
      <c r="V111" s="7"/>
      <c r="W111" s="7"/>
    </row>
    <row r="112" spans="1:23">
      <c r="B112" s="284" t="s">
        <v>245</v>
      </c>
      <c r="C112" s="766">
        <f>G112</f>
        <v>2363.7934438790808</v>
      </c>
      <c r="D112" s="417">
        <v>4399</v>
      </c>
      <c r="F112" s="764" t="s">
        <v>245</v>
      </c>
      <c r="G112" s="765">
        <f>$C$113*((SUM(N357:N359)/(SUM($N$356:$N$359))))</f>
        <v>2363.7934438790808</v>
      </c>
      <c r="R112" s="75"/>
      <c r="S112" s="7"/>
      <c r="T112" s="7"/>
      <c r="U112" s="7"/>
      <c r="V112" s="7"/>
      <c r="W112" s="7"/>
    </row>
    <row r="113" spans="1:23" ht="25.5">
      <c r="A113" s="481">
        <f>D113</f>
        <v>0</v>
      </c>
      <c r="B113" s="460" t="s">
        <v>1064</v>
      </c>
      <c r="C113" s="414">
        <v>5827</v>
      </c>
      <c r="D113" s="246">
        <f>C113-C112-C111</f>
        <v>0</v>
      </c>
      <c r="R113" s="75"/>
      <c r="S113" s="7"/>
      <c r="T113" s="7"/>
      <c r="U113" s="7"/>
      <c r="V113" s="7"/>
      <c r="W113" s="7"/>
    </row>
    <row r="114" spans="1:23">
      <c r="A114" s="481"/>
      <c r="B114" s="75"/>
      <c r="C114" s="374"/>
      <c r="D114" s="246"/>
      <c r="R114" s="75"/>
      <c r="S114" s="7"/>
      <c r="T114" s="7"/>
      <c r="U114" s="7"/>
      <c r="V114" s="7"/>
      <c r="W114" s="7"/>
    </row>
    <row r="115" spans="1:23" s="39" customFormat="1" ht="18">
      <c r="A115" s="177"/>
      <c r="B115" s="39" t="s">
        <v>66</v>
      </c>
      <c r="D115" s="129"/>
      <c r="E115" s="130"/>
      <c r="F115" s="12"/>
      <c r="J115" s="12" t="s">
        <v>1430</v>
      </c>
      <c r="K115"/>
      <c r="L115" s="922" t="s">
        <v>132</v>
      </c>
      <c r="M115" s="5" t="s">
        <v>67</v>
      </c>
      <c r="O115" s="129"/>
      <c r="P115" s="129"/>
      <c r="Q115" s="129"/>
      <c r="R115" s="75"/>
      <c r="S115" s="129"/>
      <c r="T115" s="129"/>
      <c r="U115" s="129"/>
      <c r="V115" s="129"/>
      <c r="W115" s="129"/>
    </row>
    <row r="116" spans="1:23">
      <c r="D116" s="7"/>
      <c r="E116" s="127"/>
      <c r="F116" s="128"/>
      <c r="G116" s="126"/>
      <c r="H116" s="126"/>
      <c r="I116" s="126"/>
      <c r="J116" s="126"/>
      <c r="K116" s="126"/>
      <c r="L116" s="126"/>
      <c r="M116" s="126"/>
      <c r="N116" s="126"/>
      <c r="O116" s="7"/>
      <c r="P116" s="7"/>
      <c r="Q116" s="7"/>
      <c r="R116" s="244"/>
      <c r="S116" s="7"/>
      <c r="T116" s="7"/>
      <c r="U116" s="7"/>
      <c r="V116" s="7"/>
      <c r="W116" s="126"/>
    </row>
    <row r="117" spans="1:23">
      <c r="B117" s="12" t="s">
        <v>1428</v>
      </c>
      <c r="C117" s="115" t="s">
        <v>1102</v>
      </c>
      <c r="D117" s="426"/>
      <c r="E117" s="426"/>
      <c r="F117" s="426"/>
      <c r="G117" s="426"/>
      <c r="H117" s="426"/>
      <c r="I117" s="426"/>
      <c r="J117" s="426"/>
      <c r="K117" s="426"/>
      <c r="L117" s="426"/>
      <c r="R117" s="244"/>
      <c r="S117" s="7"/>
      <c r="T117" s="7"/>
      <c r="U117" s="7"/>
      <c r="V117" s="7"/>
      <c r="W117" s="126"/>
    </row>
    <row r="118" spans="1:23">
      <c r="C118" s="426"/>
      <c r="D118" s="426"/>
      <c r="E118" s="426"/>
      <c r="F118" s="435"/>
      <c r="G118" s="436"/>
      <c r="H118" s="436"/>
      <c r="I118" s="436"/>
      <c r="J118" s="436"/>
      <c r="K118" s="436"/>
      <c r="L118" s="436"/>
      <c r="M118" s="2"/>
      <c r="N118" s="2"/>
      <c r="O118" s="2"/>
      <c r="P118" s="2"/>
      <c r="R118" s="7"/>
      <c r="S118" s="7"/>
      <c r="T118" s="7"/>
      <c r="U118" s="7"/>
      <c r="V118" s="7"/>
      <c r="W118" s="126"/>
    </row>
    <row r="119" spans="1:23">
      <c r="B119" s="12" t="s">
        <v>64</v>
      </c>
      <c r="C119" s="115" t="s">
        <v>1661</v>
      </c>
      <c r="D119" s="426"/>
      <c r="E119" s="426"/>
      <c r="F119" s="426"/>
      <c r="G119" s="426"/>
      <c r="H119" s="426"/>
      <c r="I119" s="426"/>
      <c r="J119" s="426"/>
      <c r="K119" s="426"/>
      <c r="L119" s="426"/>
      <c r="R119" s="245"/>
      <c r="S119" s="167"/>
      <c r="T119" s="167"/>
      <c r="U119" s="167"/>
      <c r="V119" s="167"/>
      <c r="W119" s="167"/>
    </row>
    <row r="120" spans="1:23">
      <c r="C120" s="426"/>
      <c r="D120" s="426"/>
      <c r="E120" s="426"/>
      <c r="F120" s="426"/>
      <c r="G120" s="426"/>
      <c r="H120" s="426"/>
      <c r="I120" s="426"/>
      <c r="J120" s="426"/>
      <c r="K120" s="426"/>
      <c r="L120" s="426"/>
      <c r="R120" s="75"/>
      <c r="S120" s="7"/>
      <c r="T120" s="148"/>
      <c r="U120" s="148"/>
      <c r="V120" s="148"/>
      <c r="W120" s="246"/>
    </row>
    <row r="121" spans="1:23">
      <c r="B121" s="12" t="s">
        <v>65</v>
      </c>
      <c r="C121" s="798" t="s">
        <v>1103</v>
      </c>
      <c r="D121" s="798"/>
      <c r="E121" s="798"/>
      <c r="F121" s="798"/>
      <c r="G121" s="798"/>
      <c r="H121" s="798"/>
      <c r="I121" s="798"/>
      <c r="J121" s="798"/>
      <c r="K121" s="798"/>
      <c r="L121" s="798"/>
      <c r="R121" s="75"/>
      <c r="S121" s="7"/>
      <c r="T121" s="148"/>
      <c r="U121" s="148"/>
      <c r="V121" s="148"/>
      <c r="W121" s="246"/>
    </row>
    <row r="122" spans="1:23">
      <c r="C122" s="798"/>
      <c r="D122" s="798"/>
      <c r="E122" s="798"/>
      <c r="F122" s="798"/>
      <c r="G122" s="798"/>
      <c r="H122" s="798"/>
      <c r="I122" s="798"/>
      <c r="J122" s="798"/>
      <c r="K122" s="798"/>
      <c r="L122" s="798"/>
      <c r="R122" s="75"/>
      <c r="S122" s="7"/>
      <c r="T122" s="148"/>
      <c r="U122" s="148"/>
      <c r="V122" s="148"/>
      <c r="W122" s="246"/>
    </row>
    <row r="123" spans="1:23" ht="26.25" customHeight="1">
      <c r="C123" s="1169" t="s">
        <v>1471</v>
      </c>
      <c r="D123" s="1169"/>
      <c r="E123" s="1169"/>
      <c r="F123" s="1169"/>
      <c r="G123" s="1169"/>
      <c r="H123" s="1169"/>
      <c r="I123" s="1169"/>
      <c r="J123" s="1169"/>
      <c r="K123" s="1169"/>
      <c r="L123" s="1169"/>
      <c r="R123" s="75"/>
      <c r="S123" s="7"/>
      <c r="T123" s="148"/>
      <c r="U123" s="148"/>
      <c r="V123" s="148"/>
      <c r="W123" s="246"/>
    </row>
    <row r="124" spans="1:23">
      <c r="C124" s="430"/>
      <c r="D124" s="430"/>
      <c r="E124" s="430"/>
      <c r="F124" s="430"/>
      <c r="G124" s="430"/>
      <c r="H124" s="430"/>
      <c r="I124" s="430"/>
      <c r="J124" s="430"/>
      <c r="K124" s="430"/>
      <c r="L124" s="430"/>
      <c r="R124" s="75"/>
      <c r="S124" s="246"/>
      <c r="T124" s="148"/>
      <c r="U124" s="148"/>
      <c r="V124" s="148"/>
      <c r="W124" s="246"/>
    </row>
    <row r="125" spans="1:23" ht="28.9" customHeight="1">
      <c r="C125" s="1169" t="s">
        <v>1104</v>
      </c>
      <c r="D125" s="1169"/>
      <c r="E125" s="1169"/>
      <c r="F125" s="1169"/>
      <c r="G125" s="1169"/>
      <c r="H125" s="1169"/>
      <c r="I125" s="1169"/>
      <c r="J125" s="1169"/>
      <c r="K125" s="1169"/>
      <c r="L125" s="1169"/>
      <c r="M125" s="1169"/>
      <c r="R125" s="75"/>
      <c r="S125" s="238"/>
      <c r="T125" s="238"/>
      <c r="U125" s="238"/>
      <c r="V125" s="238"/>
      <c r="W125" s="238"/>
    </row>
    <row r="126" spans="1:23" ht="28.9" customHeight="1">
      <c r="C126" s="1169"/>
      <c r="D126" s="1169"/>
      <c r="E126" s="1169"/>
      <c r="F126" s="1169"/>
      <c r="G126" s="1169"/>
      <c r="H126" s="1169"/>
      <c r="I126" s="1169"/>
      <c r="J126" s="1169"/>
      <c r="K126" s="1169"/>
      <c r="L126" s="1169"/>
      <c r="M126" s="1169"/>
      <c r="R126" s="75"/>
      <c r="S126" s="238"/>
      <c r="T126" s="238"/>
      <c r="U126" s="238"/>
      <c r="V126" s="238"/>
      <c r="W126" s="238"/>
    </row>
    <row r="127" spans="1:23">
      <c r="D127" s="7"/>
      <c r="E127" s="126"/>
      <c r="F127" s="112"/>
      <c r="G127" s="110"/>
      <c r="H127" s="110"/>
      <c r="I127" s="110"/>
      <c r="J127" s="113"/>
      <c r="K127" s="114"/>
      <c r="L127" s="114"/>
      <c r="M127" s="114"/>
      <c r="N127" s="114"/>
      <c r="O127" s="7"/>
      <c r="P127" s="7"/>
      <c r="Q127" s="7"/>
      <c r="R127" s="7"/>
      <c r="S127" s="7"/>
      <c r="T127" s="7"/>
      <c r="U127" s="7"/>
      <c r="V127" s="7"/>
      <c r="W127" s="7"/>
    </row>
    <row r="128" spans="1:23">
      <c r="B128" s="156" t="s">
        <v>311</v>
      </c>
      <c r="C128" s="325"/>
      <c r="D128" s="325"/>
      <c r="E128" s="325"/>
      <c r="F128" s="325"/>
      <c r="G128" s="110"/>
      <c r="H128" s="156" t="s">
        <v>314</v>
      </c>
      <c r="I128" s="12"/>
      <c r="J128" s="7"/>
      <c r="K128" s="126"/>
      <c r="L128" s="112"/>
      <c r="M128" s="114"/>
      <c r="N128" s="114"/>
      <c r="O128" s="7"/>
      <c r="P128" s="7"/>
      <c r="Q128" s="7"/>
      <c r="R128" s="7"/>
      <c r="S128" s="7"/>
      <c r="T128" s="7"/>
      <c r="U128" s="7"/>
      <c r="V128" s="7"/>
      <c r="W128" s="7"/>
    </row>
    <row r="129" spans="1:23">
      <c r="B129" s="156"/>
      <c r="C129" s="12"/>
      <c r="D129" s="7"/>
      <c r="E129" s="126"/>
      <c r="F129" s="112"/>
      <c r="G129" s="110"/>
      <c r="H129" s="156"/>
      <c r="I129" s="12"/>
      <c r="J129" s="7"/>
      <c r="K129" s="126"/>
      <c r="L129" s="112"/>
      <c r="M129" s="114"/>
      <c r="N129" s="114"/>
      <c r="O129" s="7"/>
      <c r="P129" s="7"/>
      <c r="Q129" s="7"/>
      <c r="R129" s="7"/>
      <c r="S129" s="7"/>
      <c r="T129" s="7"/>
      <c r="U129" s="7"/>
      <c r="V129" s="7"/>
      <c r="W129" s="7"/>
    </row>
    <row r="130" spans="1:23">
      <c r="C130" s="1160" t="s">
        <v>74</v>
      </c>
      <c r="D130" s="1160"/>
      <c r="E130" s="1160"/>
      <c r="F130" s="1160"/>
      <c r="G130" s="158"/>
      <c r="I130" s="1160" t="s">
        <v>74</v>
      </c>
      <c r="J130" s="1160"/>
      <c r="K130" s="1160"/>
      <c r="L130" s="1160"/>
      <c r="M130" s="114"/>
      <c r="N130" s="114"/>
      <c r="O130" s="7"/>
      <c r="P130" s="7"/>
      <c r="Q130" s="7"/>
    </row>
    <row r="131" spans="1:23">
      <c r="B131" s="8" t="s">
        <v>48</v>
      </c>
      <c r="C131" s="8" t="s">
        <v>129</v>
      </c>
      <c r="D131" s="14" t="s">
        <v>130</v>
      </c>
      <c r="E131" s="14" t="s">
        <v>131</v>
      </c>
      <c r="F131" s="14" t="s">
        <v>132</v>
      </c>
      <c r="G131" s="7"/>
      <c r="H131" s="8" t="s">
        <v>48</v>
      </c>
      <c r="I131" s="8" t="str">
        <f>C131</f>
        <v>2011/12</v>
      </c>
      <c r="J131" s="8" t="str">
        <f>D131</f>
        <v>2012/13</v>
      </c>
      <c r="K131" s="8" t="str">
        <f>E131</f>
        <v>2013/14</v>
      </c>
      <c r="L131" s="8" t="str">
        <f>F131</f>
        <v>2014/15</v>
      </c>
      <c r="M131" s="114"/>
      <c r="N131" s="114"/>
      <c r="O131" s="7"/>
      <c r="P131" s="7" t="str">
        <f>C131</f>
        <v>2011/12</v>
      </c>
      <c r="Q131" s="7" t="str">
        <f>D131</f>
        <v>2012/13</v>
      </c>
      <c r="R131" s="7" t="str">
        <f>E131</f>
        <v>2013/14</v>
      </c>
      <c r="S131" s="7" t="str">
        <f>F131</f>
        <v>2014/15</v>
      </c>
    </row>
    <row r="132" spans="1:23">
      <c r="B132" s="8" t="s">
        <v>51</v>
      </c>
      <c r="C132" s="438">
        <v>3046.4540000000002</v>
      </c>
      <c r="D132" s="438">
        <v>2847.4160000000002</v>
      </c>
      <c r="E132" s="438">
        <v>2849.462</v>
      </c>
      <c r="F132" s="439">
        <v>2951.1770000000001</v>
      </c>
      <c r="G132" s="7"/>
      <c r="H132" s="8" t="s">
        <v>51</v>
      </c>
      <c r="I132" s="427">
        <v>1346.5930000000001</v>
      </c>
      <c r="J132" s="427">
        <v>1514.463</v>
      </c>
      <c r="K132" s="427">
        <v>1745.605</v>
      </c>
      <c r="L132" s="440">
        <v>1982.0170000000001</v>
      </c>
      <c r="M132" s="114"/>
      <c r="N132" s="114"/>
      <c r="O132" s="7" t="s">
        <v>1056</v>
      </c>
      <c r="P132" s="513">
        <f>(C149+C150+I149+I150+C183+C184+I183+I184)/(C166+C167+I166+I167+I132+I133+C132+C133)</f>
        <v>8.2393465811776506E-2</v>
      </c>
      <c r="Q132" s="513">
        <f>(D149+D150+J149+J150+D183+D184+J183+J184)/(D166+D167+J166+J167+J132+J133+D132+D133)</f>
        <v>8.711755175062276E-2</v>
      </c>
      <c r="R132" s="513">
        <f>(E149+E150+K149+K150+E183+E184+K183+K184)/(E166+E167+K166+K167+K132+K133+E132+E133)</f>
        <v>9.6418651905979605E-2</v>
      </c>
      <c r="S132" s="513">
        <f>(F149+F150+L149+L150+F183+F184+L183+L184)/(F166+F167+L166+L167+L132+L133+F132+F133)</f>
        <v>0.10556893105989204</v>
      </c>
    </row>
    <row r="133" spans="1:23">
      <c r="B133" s="8" t="s">
        <v>52</v>
      </c>
      <c r="C133" s="438">
        <v>12693.795</v>
      </c>
      <c r="D133" s="438">
        <v>12966.096</v>
      </c>
      <c r="E133" s="438">
        <v>12529.004999999999</v>
      </c>
      <c r="F133" s="439">
        <v>11900.496999999999</v>
      </c>
      <c r="G133" s="7"/>
      <c r="H133" s="8" t="s">
        <v>52</v>
      </c>
      <c r="I133" s="427">
        <v>4289.7870000000003</v>
      </c>
      <c r="J133" s="427">
        <v>4837.1180000000004</v>
      </c>
      <c r="K133" s="427">
        <v>5400.1670000000004</v>
      </c>
      <c r="L133" s="440">
        <v>6023.643</v>
      </c>
      <c r="M133" s="114"/>
      <c r="N133" s="114"/>
      <c r="O133" s="7" t="s">
        <v>1057</v>
      </c>
      <c r="P133" s="513">
        <f>(C151+C152+I151+I152+C185+C186+I185+I186)/(C168+C169+I168+I169+I134+I135+C134+C135)</f>
        <v>6.6632651278139235E-2</v>
      </c>
      <c r="Q133" s="513">
        <f>(D151+D152+J151+J152+D185+D186+J185+J186)/(D168+D169+J168+J169+J134+J135+D134+D135)</f>
        <v>7.2300820203756874E-2</v>
      </c>
      <c r="R133" s="513">
        <f>(E151+E152+K151+K152+E185+E186+K185+K186)/(E168+E169+K168+K169+K134+K135+E134+E135)</f>
        <v>7.8403614514385281E-2</v>
      </c>
      <c r="S133" s="513">
        <f>(F151+F152+L151+L152+F185+F186+L185+L186)/(F168+F169+L168+L169+L134+L135+F134+F135)</f>
        <v>8.4575840382075884E-2</v>
      </c>
    </row>
    <row r="134" spans="1:23">
      <c r="B134" s="8" t="s">
        <v>53</v>
      </c>
      <c r="C134" s="438">
        <v>14688.977000000001</v>
      </c>
      <c r="D134" s="438">
        <v>15165.879000000001</v>
      </c>
      <c r="E134" s="438">
        <v>15137.415999999999</v>
      </c>
      <c r="F134" s="439">
        <v>14990.661</v>
      </c>
      <c r="G134" s="7"/>
      <c r="H134" s="8" t="s">
        <v>53</v>
      </c>
      <c r="I134" s="427">
        <v>4826.4629999999997</v>
      </c>
      <c r="J134" s="427">
        <v>5132.835</v>
      </c>
      <c r="K134" s="427">
        <v>5453.1239999999998</v>
      </c>
      <c r="L134" s="440">
        <v>5627.8090000000002</v>
      </c>
      <c r="M134" s="114"/>
      <c r="N134" s="114"/>
      <c r="O134" s="7" t="s">
        <v>478</v>
      </c>
      <c r="P134" s="513">
        <f>(C153+C154+I153+I154+C187+C188+I187+I188)/(C170+C171+I170+I171+I136+I137+C136+C137)</f>
        <v>6.2693140080116616E-2</v>
      </c>
      <c r="Q134" s="513">
        <f>(D153+D154+J153+J154+D187+D188+J187+J188)/(D170+D171+J170+J171+J136+J137+D136+D137)</f>
        <v>6.8159342840138595E-2</v>
      </c>
      <c r="R134" s="513">
        <f>(E153+E154+K153+K154+E187+E188+K187+K188)/(E170+E171+K170+K171+K136+K137+E136+E137)</f>
        <v>7.6765644983882581E-2</v>
      </c>
      <c r="S134" s="513">
        <f>(F153+F154+L153+L154+F187+F188+L187+L188)/(F170+F171+L170+L171+L136+L137+F136+F137)</f>
        <v>8.0246021248262495E-2</v>
      </c>
    </row>
    <row r="135" spans="1:23">
      <c r="B135" s="8" t="s">
        <v>54</v>
      </c>
      <c r="C135" s="438">
        <v>13231.441000000001</v>
      </c>
      <c r="D135" s="438">
        <v>12941.513000000001</v>
      </c>
      <c r="E135" s="438">
        <v>12907.572</v>
      </c>
      <c r="F135" s="439">
        <v>13075.121999999999</v>
      </c>
      <c r="G135" s="7"/>
      <c r="H135" s="8" t="s">
        <v>54</v>
      </c>
      <c r="I135" s="427">
        <v>4610.6850000000004</v>
      </c>
      <c r="J135" s="427">
        <v>4665.8019999999997</v>
      </c>
      <c r="K135" s="427">
        <v>4700.8710000000001</v>
      </c>
      <c r="L135" s="440">
        <v>4915.6009999999997</v>
      </c>
      <c r="M135" s="114"/>
      <c r="N135" s="114"/>
      <c r="O135" s="7" t="s">
        <v>479</v>
      </c>
      <c r="P135" s="513">
        <f>(C155+C156+I155+I156+C189+C190+I189+I190)/(C172+C173+I172+I173+I138+I139+C138+C139)</f>
        <v>3.8640627071855706E-2</v>
      </c>
      <c r="Q135" s="513">
        <f>(D155+D156+J155+J156+D189+D190+J189+J190)/(D172+D173+J172+J173+J138+J139+D138+D139)</f>
        <v>5.2538375697571721E-2</v>
      </c>
      <c r="R135" s="513">
        <f>(E155+E156+K155+K156+E189+E190+K189+K190)/(E172+E173+K172+K173+K138+K139+E138+E139)</f>
        <v>6.8650009744859214E-2</v>
      </c>
      <c r="S135" s="513">
        <f>(F155+F156+L155+L156+F189+F190+L189+L190)/(F172+F173+L172+L173+L138+L139+F138+F139)</f>
        <v>7.980301409185947E-2</v>
      </c>
    </row>
    <row r="136" spans="1:23">
      <c r="B136" s="8" t="s">
        <v>55</v>
      </c>
      <c r="C136" s="438">
        <v>11885.812</v>
      </c>
      <c r="D136" s="438">
        <v>12417.732</v>
      </c>
      <c r="E136" s="438">
        <v>12479.237999999999</v>
      </c>
      <c r="F136" s="439">
        <v>12168.439</v>
      </c>
      <c r="G136" s="7"/>
      <c r="H136" s="8" t="s">
        <v>55</v>
      </c>
      <c r="I136" s="427">
        <v>3941.797</v>
      </c>
      <c r="J136" s="427">
        <v>4196.4319999999998</v>
      </c>
      <c r="K136" s="427">
        <v>4407.5060000000003</v>
      </c>
      <c r="L136" s="440">
        <v>4574.38</v>
      </c>
      <c r="M136" s="114"/>
      <c r="N136" s="114"/>
      <c r="O136" s="7" t="s">
        <v>480</v>
      </c>
      <c r="P136" s="513">
        <f>(C157+C158+I157+I158+C191+C192+I191+I192)/(C174+C175+I174+I175+I140+I141+C140+C141)</f>
        <v>1.2664576947184938E-2</v>
      </c>
      <c r="Q136" s="513">
        <f>(D157+D158+J157+J158+D191+D192+J191+J192)/(D174+D175+J174+J175+J140+J141+D140+D141)</f>
        <v>1.4077554262851392E-2</v>
      </c>
      <c r="R136" s="513">
        <f>(E157+E158+K157+K158+E191+E192+K191+K192)/(E174+E175+K174+K175+K140+K141+E140+E141)</f>
        <v>2.0150037643752457E-2</v>
      </c>
      <c r="S136" s="513">
        <f>(F157+F158+L157+L158+F191+F192+L191+L192)/(F174+F175+L174+L175+L140+L141+F140+F141)</f>
        <v>2.4922372601920432E-2</v>
      </c>
    </row>
    <row r="137" spans="1:23">
      <c r="B137" s="8" t="s">
        <v>56</v>
      </c>
      <c r="C137" s="438">
        <v>9776.2890000000007</v>
      </c>
      <c r="D137" s="438">
        <v>9685.9500000000007</v>
      </c>
      <c r="E137" s="438">
        <v>9668.9339999999993</v>
      </c>
      <c r="F137" s="439">
        <v>9735.4269999999997</v>
      </c>
      <c r="G137" s="7"/>
      <c r="H137" s="8" t="s">
        <v>56</v>
      </c>
      <c r="I137" s="427">
        <v>3336.1190000000001</v>
      </c>
      <c r="J137" s="427">
        <v>3447.72</v>
      </c>
      <c r="K137" s="427">
        <v>3505.8310000000001</v>
      </c>
      <c r="L137" s="440">
        <v>3568.99</v>
      </c>
      <c r="M137" s="114"/>
      <c r="N137" s="114"/>
      <c r="O137" s="7"/>
      <c r="P137" s="7"/>
      <c r="Q137" s="7"/>
    </row>
    <row r="138" spans="1:23">
      <c r="B138" s="8" t="s">
        <v>57</v>
      </c>
      <c r="C138" s="438">
        <v>9477.0570000000007</v>
      </c>
      <c r="D138" s="438">
        <v>8960.25</v>
      </c>
      <c r="E138" s="438">
        <v>8700.4279999999999</v>
      </c>
      <c r="F138" s="439">
        <v>8323.4709999999995</v>
      </c>
      <c r="G138" s="7"/>
      <c r="H138" s="8" t="s">
        <v>57</v>
      </c>
      <c r="I138" s="427">
        <v>2482.8429999999998</v>
      </c>
      <c r="J138" s="427">
        <v>2466.201</v>
      </c>
      <c r="K138" s="427">
        <v>2514.817</v>
      </c>
      <c r="L138" s="440">
        <v>2613.924</v>
      </c>
      <c r="M138" s="114"/>
      <c r="N138" s="114"/>
      <c r="O138" s="7"/>
      <c r="P138" s="7" t="str">
        <f>P131</f>
        <v>2011/12</v>
      </c>
      <c r="Q138" s="7" t="str">
        <f>Q131</f>
        <v>2012/13</v>
      </c>
      <c r="R138" s="7" t="str">
        <f>R131</f>
        <v>2013/14</v>
      </c>
      <c r="S138" s="7" t="str">
        <f>S131</f>
        <v>2014/15</v>
      </c>
    </row>
    <row r="139" spans="1:23">
      <c r="B139" s="8" t="s">
        <v>58</v>
      </c>
      <c r="C139" s="438">
        <v>7856.07</v>
      </c>
      <c r="D139" s="438">
        <v>7091.9709999999995</v>
      </c>
      <c r="E139" s="438">
        <v>6334.81</v>
      </c>
      <c r="F139" s="439">
        <v>5894.2539999999999</v>
      </c>
      <c r="G139" s="7"/>
      <c r="H139" s="8" t="s">
        <v>58</v>
      </c>
      <c r="I139" s="427">
        <v>2444.1129999999998</v>
      </c>
      <c r="J139" s="427">
        <v>2178.13</v>
      </c>
      <c r="K139" s="427">
        <v>1972.1220000000001</v>
      </c>
      <c r="L139" s="440">
        <v>1696.258</v>
      </c>
      <c r="M139" s="114"/>
      <c r="N139" s="114"/>
      <c r="O139" s="7" t="s">
        <v>1056</v>
      </c>
      <c r="P139" s="513">
        <f>(C225+C226+C242+C243+I225+I226+I242+I243)/(C166+C167+I166+I167+I132+I133+C132+C133)</f>
        <v>0</v>
      </c>
      <c r="Q139" s="513">
        <f>(D225+D226+D242+D243+J225+J226+J242+J243)/(D166+D167+J166+J167+J132+J133+D132+D133)</f>
        <v>0</v>
      </c>
      <c r="R139" s="513">
        <f>(E225+E226+E242+E243+K225+K226+K242+K243)/(E166+E167+K166+K167+K132+K133+E132+E133)</f>
        <v>0</v>
      </c>
      <c r="S139" s="513">
        <f>(F225+F226+F242+F243+L225+L226+L242+L243)/(F166+F167+L166+L167+L132+L133+F132+F133)</f>
        <v>0</v>
      </c>
    </row>
    <row r="140" spans="1:23">
      <c r="B140" s="8" t="s">
        <v>59</v>
      </c>
      <c r="C140" s="438">
        <v>2324.6170000000002</v>
      </c>
      <c r="D140" s="438">
        <v>2180.3069999999998</v>
      </c>
      <c r="E140" s="438">
        <v>2043.1769999999999</v>
      </c>
      <c r="F140" s="439">
        <v>1931.3789999999999</v>
      </c>
      <c r="G140" s="7"/>
      <c r="H140" s="8" t="s">
        <v>59</v>
      </c>
      <c r="I140" s="427">
        <v>725.55399999999997</v>
      </c>
      <c r="J140" s="427">
        <v>748.60900000000004</v>
      </c>
      <c r="K140" s="427">
        <v>704.23199999999997</v>
      </c>
      <c r="L140" s="440">
        <v>639.24099999999999</v>
      </c>
      <c r="M140" s="114"/>
      <c r="N140" s="114"/>
      <c r="O140" s="7" t="s">
        <v>1057</v>
      </c>
      <c r="P140" s="513">
        <f>(C227+C228+C244+C245+I227+I228+I244+I245)/(C168+C169+I168+I169+I134+I135+C134+C135)</f>
        <v>1.7210121865206292E-4</v>
      </c>
      <c r="Q140" s="513">
        <f>(D227+D228+D244+D245+J227+J228+J244+J245)/(D168+D169+J168+J169+J134+J135+D134+D135)</f>
        <v>1.6127969840519106E-4</v>
      </c>
      <c r="R140" s="513">
        <f>(E227+E228+E244+E245+K227+K228+K244+K245)/(E168+E169+K168+K169+K134+K135+E134+E135)</f>
        <v>2.0242301834103133E-4</v>
      </c>
      <c r="S140" s="513">
        <f>(F227+F228+F244+F245+L227+L228+L244+L245)/(F168+F169+L168+L169+L134+L135+F134+F135)</f>
        <v>1.9447184153979636E-4</v>
      </c>
    </row>
    <row r="141" spans="1:23">
      <c r="B141" s="8" t="s">
        <v>60</v>
      </c>
      <c r="C141" s="438">
        <v>244.374</v>
      </c>
      <c r="D141" s="438">
        <v>334.64499999999998</v>
      </c>
      <c r="E141" s="438">
        <v>371.55399999999997</v>
      </c>
      <c r="F141" s="439">
        <v>369.15699999999998</v>
      </c>
      <c r="G141" s="7"/>
      <c r="H141" s="8" t="s">
        <v>60</v>
      </c>
      <c r="I141" s="427">
        <v>103.547</v>
      </c>
      <c r="J141" s="427">
        <v>143.124</v>
      </c>
      <c r="K141" s="427">
        <v>143.75899999999999</v>
      </c>
      <c r="L141" s="440">
        <v>146.489</v>
      </c>
      <c r="M141" s="114"/>
      <c r="N141" s="114"/>
      <c r="O141" s="7" t="s">
        <v>478</v>
      </c>
      <c r="P141" s="513">
        <f>(C229+C230+C246+C247+I229+I230+I246+I247)/(C170+C171+I170+I171+I136+I137+C136+C137)</f>
        <v>8.929462605450129E-4</v>
      </c>
      <c r="Q141" s="513">
        <f>(D229+D230+D246+D247+J229+J230+J246+J247)/(D170+D171+J170+J171+J136+J137+D136+D137)</f>
        <v>8.7382070007745833E-4</v>
      </c>
      <c r="R141" s="513">
        <f>(E229+E230+E246+E247+K229+K230+K246+K247)/(E170+E171+K170+K171+K136+K137+E136+E137)</f>
        <v>8.6438272003026395E-4</v>
      </c>
      <c r="S141" s="513">
        <f>(F229+F230+F246+F247+L229+L230+L246+L247)/(F170+F171+L170+L171+L136+L137+F136+F137)</f>
        <v>6.256746156683634E-4</v>
      </c>
    </row>
    <row r="142" spans="1:23">
      <c r="B142" s="8" t="s">
        <v>8</v>
      </c>
      <c r="C142" s="428">
        <f>SUM(C132:C141)</f>
        <v>85224.885999999984</v>
      </c>
      <c r="D142" s="428">
        <f>SUM(D132:D141)</f>
        <v>84591.759000000005</v>
      </c>
      <c r="E142" s="428">
        <f>SUM(E132:E141)</f>
        <v>83021.59599999999</v>
      </c>
      <c r="F142" s="428">
        <f>SUM(F132:F141)</f>
        <v>81339.584000000003</v>
      </c>
      <c r="G142" s="7"/>
      <c r="H142" s="8" t="s">
        <v>8</v>
      </c>
      <c r="I142" s="428">
        <f>SUM(I132:I141)</f>
        <v>28107.501</v>
      </c>
      <c r="J142" s="428">
        <f>SUM(J132:J141)</f>
        <v>29330.434000000005</v>
      </c>
      <c r="K142" s="428">
        <f>SUM(K132:K141)</f>
        <v>30548.033999999996</v>
      </c>
      <c r="L142" s="428">
        <f>SUM(L132:L141)</f>
        <v>31788.352000000006</v>
      </c>
      <c r="M142" s="114"/>
      <c r="N142" s="114"/>
      <c r="O142" s="7" t="s">
        <v>479</v>
      </c>
      <c r="P142" s="513">
        <f>(C231+C232+C248+C249+I231+I232+I248+I249)/(C172+C173+I172+I173+I138+I139+C138+C139)</f>
        <v>0.10998735636053598</v>
      </c>
      <c r="Q142" s="513">
        <f>(D231+D232+D248+D249+J231+J232+J248+J249)/(D172+D173+J172+J173+J138+J139+D138+D139)</f>
        <v>0.1016148039742112</v>
      </c>
      <c r="R142" s="513">
        <f>(E231+E232+E248+E249+K231+K232+K248+K249)/(E172+E173+K172+K173+K138+K139+E138+E139)</f>
        <v>9.6733408824907205E-2</v>
      </c>
      <c r="S142" s="513">
        <f>(F231+F232+F248+F249+L231+L232+L248+L249)/(F172+F173+L172+L173+L138+L139+F138+F139)</f>
        <v>8.5275727826731651E-2</v>
      </c>
    </row>
    <row r="143" spans="1:23">
      <c r="A143" s="178">
        <f>G143+M143</f>
        <v>0</v>
      </c>
      <c r="C143">
        <f>SUM(C132:C141)-C142</f>
        <v>0</v>
      </c>
      <c r="D143">
        <f t="shared" ref="D143:L143" si="5">SUM(D132:D141)-D142</f>
        <v>0</v>
      </c>
      <c r="E143">
        <f t="shared" si="5"/>
        <v>0</v>
      </c>
      <c r="F143">
        <f t="shared" si="5"/>
        <v>0</v>
      </c>
      <c r="G143">
        <f>SUM(C143:F143)</f>
        <v>0</v>
      </c>
      <c r="I143">
        <f t="shared" si="5"/>
        <v>0</v>
      </c>
      <c r="J143">
        <f t="shared" si="5"/>
        <v>0</v>
      </c>
      <c r="K143">
        <f t="shared" si="5"/>
        <v>0</v>
      </c>
      <c r="L143">
        <f t="shared" si="5"/>
        <v>0</v>
      </c>
      <c r="M143" s="114">
        <f>SUM(I143:L143)</f>
        <v>0</v>
      </c>
      <c r="N143" s="114"/>
      <c r="O143" s="7" t="s">
        <v>480</v>
      </c>
      <c r="P143" s="513">
        <f>(C233+C234+C250+C251+I233+I234+I250+I251)/(C174+C175+I174+I175+I140+I141+C140+C141)</f>
        <v>0.36168322250267992</v>
      </c>
      <c r="Q143" s="513">
        <f>(D233+D234+D250+D251+J233+J234+J250+J251)/(D174+D175+J174+J175+J140+J141+D140+D141)</f>
        <v>0.36753270808887917</v>
      </c>
      <c r="R143" s="513">
        <f>(E233+E234+E250+E251+K233+K234+K250+K251)/(E174+E175+K174+K175+K140+K141+E140+E141)</f>
        <v>0.37396570356854675</v>
      </c>
      <c r="S143" s="513">
        <f>(F233+F234+F250+F251+L233+L234+L250+L251)/(F174+F175+L174+L175+L140+L141+F140+F141)</f>
        <v>0.33977543744014199</v>
      </c>
    </row>
    <row r="144" spans="1:23">
      <c r="A144" s="178"/>
      <c r="M144" s="114"/>
      <c r="N144" s="114"/>
      <c r="O144" s="7"/>
      <c r="P144" s="7"/>
      <c r="Q144" s="7"/>
    </row>
    <row r="145" spans="1:19">
      <c r="B145" s="156" t="s">
        <v>1593</v>
      </c>
      <c r="D145" s="7"/>
      <c r="E145" s="126"/>
      <c r="F145" s="112"/>
      <c r="G145" s="110"/>
      <c r="H145" s="156" t="s">
        <v>1594</v>
      </c>
      <c r="J145" s="7"/>
      <c r="K145" s="126"/>
      <c r="L145" s="112"/>
      <c r="M145" s="114"/>
      <c r="N145" s="114"/>
      <c r="O145" s="7"/>
      <c r="P145" s="7" t="str">
        <f>P131</f>
        <v>2011/12</v>
      </c>
      <c r="Q145" s="7" t="str">
        <f>Q131</f>
        <v>2012/13</v>
      </c>
      <c r="R145" s="7" t="str">
        <f>R131</f>
        <v>2013/14</v>
      </c>
      <c r="S145" s="7" t="str">
        <f>S131</f>
        <v>2014/15</v>
      </c>
    </row>
    <row r="146" spans="1:19">
      <c r="D146" s="7"/>
      <c r="E146" s="126"/>
      <c r="F146" s="112"/>
      <c r="G146" s="110"/>
      <c r="J146" s="7"/>
      <c r="K146" s="126"/>
      <c r="L146" s="112"/>
      <c r="M146" s="114"/>
      <c r="N146" s="114"/>
      <c r="O146" s="7" t="s">
        <v>1056</v>
      </c>
      <c r="P146" s="758">
        <f>(C268+C269+I268+I269+C285+C286+I285+I286)/(C166+C167+I166+I167+I132+I133+C132+C133)</f>
        <v>5.1626437745955454E-5</v>
      </c>
      <c r="Q146" s="758">
        <f>(D268+D269+J268+J269+D285+D286+J285+J286)/(D166+D167+J166+J167+J132+J133+D132+D133)</f>
        <v>4.9963622485740582E-5</v>
      </c>
      <c r="R146" s="758">
        <f>(E268+E269+K268+K269+E285+E286+K285+K286)/(E166+E167+K166+K167+K132+K133+E132+E133)</f>
        <v>4.8928355500748837E-5</v>
      </c>
      <c r="S146" s="758">
        <f>(F268+F269+L268+L269+F285+F286+L285+L286)/(F166+F167+L166+L167+L132+L133+F132+F133)</f>
        <v>4.8025795922871185E-5</v>
      </c>
    </row>
    <row r="147" spans="1:19">
      <c r="C147" s="1160" t="s">
        <v>74</v>
      </c>
      <c r="D147" s="1160"/>
      <c r="E147" s="1160"/>
      <c r="F147" s="1160"/>
      <c r="G147" s="158"/>
      <c r="I147" s="1160" t="s">
        <v>74</v>
      </c>
      <c r="J147" s="1160"/>
      <c r="K147" s="1160"/>
      <c r="L147" s="1160"/>
      <c r="M147" s="114"/>
      <c r="N147" s="114"/>
      <c r="O147" s="7" t="s">
        <v>1057</v>
      </c>
      <c r="P147" s="759">
        <f>(C270+C271+I270+I271+C287+C288+I287+I288)/(C168+C169+I168+I169+I134+I135+C134+C135)</f>
        <v>2.8755221666578671E-4</v>
      </c>
      <c r="Q147" s="759">
        <f>(D270+D271+J270+J271+D287+D288+J287+J288)/(D168+D169+J168+J169+J134+J135+D134+D135)</f>
        <v>1.9217794584585354E-4</v>
      </c>
      <c r="R147" s="759">
        <f>(E270+E271+K270+K271+E287+E288+K287+K288)/(E168+E169+K168+K169+K134+K135+E134+E135)</f>
        <v>1.8423766560028587E-4</v>
      </c>
      <c r="S147" s="759">
        <f>(F270+F271+L270+L271+F287+F288+L287+L288)/(F168+F169+L168+L169+L134+L135+F134+F135)</f>
        <v>1.8188976783866536E-4</v>
      </c>
    </row>
    <row r="148" spans="1:19">
      <c r="B148" s="8" t="s">
        <v>48</v>
      </c>
      <c r="C148" s="8" t="str">
        <f>C131</f>
        <v>2011/12</v>
      </c>
      <c r="D148" s="8" t="str">
        <f>D131</f>
        <v>2012/13</v>
      </c>
      <c r="E148" s="8" t="str">
        <f>E131</f>
        <v>2013/14</v>
      </c>
      <c r="F148" s="8" t="str">
        <f>F131</f>
        <v>2014/15</v>
      </c>
      <c r="G148" s="7"/>
      <c r="H148" s="8" t="s">
        <v>48</v>
      </c>
      <c r="I148" s="8" t="str">
        <f>C148</f>
        <v>2011/12</v>
      </c>
      <c r="J148" s="8" t="str">
        <f>D148</f>
        <v>2012/13</v>
      </c>
      <c r="K148" s="8" t="str">
        <f>E148</f>
        <v>2013/14</v>
      </c>
      <c r="L148" s="8" t="str">
        <f>F148</f>
        <v>2014/15</v>
      </c>
      <c r="M148" s="114"/>
      <c r="N148" s="114"/>
      <c r="O148" s="7" t="s">
        <v>478</v>
      </c>
      <c r="P148" s="759">
        <f>(C272+C273+I272+I273+C289+C290+I289+I290)/(C170+C171+I170+I171+I136+I137+C136+C137)</f>
        <v>6.773593315777995E-4</v>
      </c>
      <c r="Q148" s="759">
        <f>(D272+D273+J272+J273+D289+D290+J289+J290)/(D170+D171+J170+J171+J136+J137+D136+D137)</f>
        <v>5.357834007859273E-4</v>
      </c>
      <c r="R148" s="759">
        <f>(E272+E273+K272+K273+E289+E290+K289+K290)/(E170+E171+K170+K171+K136+K137+E136+E137)</f>
        <v>5.8860238936192966E-4</v>
      </c>
      <c r="S148" s="759">
        <f>(F272+F273+L272+L273+F289+F290+L289+L290)/(F170+F171+L170+L171+L136+L137+F136+F137)</f>
        <v>5.7522141413006683E-4</v>
      </c>
    </row>
    <row r="149" spans="1:19">
      <c r="B149" s="8" t="s">
        <v>51</v>
      </c>
      <c r="C149" s="427">
        <v>321.05023066797236</v>
      </c>
      <c r="D149" s="427">
        <v>304.28882757196914</v>
      </c>
      <c r="E149" s="442">
        <v>386.32170463090353</v>
      </c>
      <c r="F149" s="443">
        <v>409.69400000000002</v>
      </c>
      <c r="G149" s="7"/>
      <c r="H149" s="8" t="s">
        <v>51</v>
      </c>
      <c r="I149" s="427">
        <v>139.98817930796747</v>
      </c>
      <c r="J149" s="427">
        <v>146.80881740297022</v>
      </c>
      <c r="K149" s="442">
        <v>205.36256546719886</v>
      </c>
      <c r="L149" s="443">
        <v>237.28200000000001</v>
      </c>
      <c r="M149" s="114"/>
      <c r="N149" s="114"/>
      <c r="O149" s="7" t="s">
        <v>479</v>
      </c>
      <c r="P149" s="759">
        <f>(C274+C275+I274+I275+C291+C292+I291+I292)/(C172+C173+I172+I173+I138+I139+C138+C139)</f>
        <v>1.3003318916062902E-3</v>
      </c>
      <c r="Q149" s="759">
        <f>(D274+D275+J274+J275+D291+D292+J291+J292)/(D172+D173+J172+J173+J138+J139+D138+D139)</f>
        <v>8.9019322808780044E-4</v>
      </c>
      <c r="R149" s="759">
        <f>(E274+E275+K274+K275+E291+E292+K291+K292)/(E172+E173+K172+K173+K138+K139+E138+E139)</f>
        <v>1.0935636872977702E-3</v>
      </c>
      <c r="S149" s="759">
        <f>(F274+F275+L274+L275+F291+F292+L291+L292)/(F172+F173+L172+L173+L138+L139+F138+F139)</f>
        <v>1.1445077656254553E-3</v>
      </c>
    </row>
    <row r="150" spans="1:19">
      <c r="B150" s="8" t="s">
        <v>52</v>
      </c>
      <c r="C150" s="427">
        <v>1007.9901520191529</v>
      </c>
      <c r="D150" s="427">
        <v>1093.7234481026185</v>
      </c>
      <c r="E150" s="442">
        <v>1192.6222712089859</v>
      </c>
      <c r="F150" s="443">
        <v>1336.36</v>
      </c>
      <c r="G150" s="7"/>
      <c r="H150" s="8" t="s">
        <v>52</v>
      </c>
      <c r="I150" s="427">
        <v>400.37472155401309</v>
      </c>
      <c r="J150" s="427">
        <v>509.92941885539716</v>
      </c>
      <c r="K150" s="442">
        <v>562.04143533083277</v>
      </c>
      <c r="L150" s="443">
        <v>663.399</v>
      </c>
      <c r="M150" s="114"/>
      <c r="N150" s="114"/>
      <c r="O150" s="7" t="s">
        <v>480</v>
      </c>
      <c r="P150" s="759">
        <f>(C276+C277+I276+I277+C293+C294+I293+I294)/(C174+C175+I174+I175+I140+I141+C140+C141)</f>
        <v>1.9264465205311037E-3</v>
      </c>
      <c r="Q150" s="759">
        <f>(D276+D277+J276+J277+D293+D294+J293+J294)/(D174+D175+J174+J175+J140+J141+D140+D141)</f>
        <v>2.0693212396409397E-3</v>
      </c>
      <c r="R150" s="759">
        <f>(E276+E277+K276+K277+E293+E294+K293+K294)/(E174+E175+K174+K175+K140+K141+E140+E141)</f>
        <v>2.1730211674473427E-3</v>
      </c>
      <c r="S150" s="759">
        <f>(F276+F277+L276+L277+F293+F294+L293+L294)/(F174+F175+L174+L175+L140+L141+F140+F141)</f>
        <v>2.2101185368403327E-3</v>
      </c>
    </row>
    <row r="151" spans="1:19">
      <c r="B151" s="8" t="s">
        <v>53</v>
      </c>
      <c r="C151" s="427">
        <v>838.32614754479994</v>
      </c>
      <c r="D151" s="427">
        <v>954.24885446498297</v>
      </c>
      <c r="E151" s="442">
        <v>1028.0186273458346</v>
      </c>
      <c r="F151" s="443">
        <v>1110.662</v>
      </c>
      <c r="G151" s="7"/>
      <c r="H151" s="8" t="s">
        <v>53</v>
      </c>
      <c r="I151" s="427">
        <v>345.91760674603944</v>
      </c>
      <c r="J151" s="427">
        <v>402.88611126190528</v>
      </c>
      <c r="K151" s="442">
        <v>469.12085496948146</v>
      </c>
      <c r="L151" s="443">
        <v>559.99800000000005</v>
      </c>
      <c r="M151" s="114"/>
      <c r="N151" s="114"/>
      <c r="O151" s="7"/>
      <c r="P151" s="7"/>
      <c r="Q151" s="7"/>
    </row>
    <row r="152" spans="1:19">
      <c r="B152" s="8" t="s">
        <v>54</v>
      </c>
      <c r="C152" s="427">
        <v>655.53303942762625</v>
      </c>
      <c r="D152" s="427">
        <v>752.40965941390675</v>
      </c>
      <c r="E152" s="442">
        <v>916.44946269878619</v>
      </c>
      <c r="F152" s="443">
        <v>919.23400000000004</v>
      </c>
      <c r="G152" s="7"/>
      <c r="H152" s="8" t="s">
        <v>54</v>
      </c>
      <c r="I152" s="427">
        <v>288.57763485969269</v>
      </c>
      <c r="J152" s="427">
        <v>315.19934477148263</v>
      </c>
      <c r="K152" s="442">
        <v>368.52667580943682</v>
      </c>
      <c r="L152" s="443">
        <v>369.89600000000002</v>
      </c>
      <c r="M152" s="114"/>
      <c r="N152" s="114"/>
      <c r="O152" s="7"/>
      <c r="P152" s="7"/>
      <c r="Q152" s="7"/>
    </row>
    <row r="153" spans="1:19">
      <c r="B153" s="8" t="s">
        <v>55</v>
      </c>
      <c r="C153" s="427">
        <v>633.18046677098664</v>
      </c>
      <c r="D153" s="427">
        <v>747.04471496309725</v>
      </c>
      <c r="E153" s="442">
        <v>891.5273077246801</v>
      </c>
      <c r="F153" s="443">
        <v>920.59</v>
      </c>
      <c r="G153" s="7"/>
      <c r="H153" s="8" t="s">
        <v>55</v>
      </c>
      <c r="I153" s="427">
        <v>253.0848995729219</v>
      </c>
      <c r="J153" s="427">
        <v>294.07051357293415</v>
      </c>
      <c r="K153" s="442">
        <v>344.8457453205188</v>
      </c>
      <c r="L153" s="443">
        <v>371.53899999999999</v>
      </c>
      <c r="M153" s="114"/>
      <c r="N153" s="114"/>
      <c r="O153" s="7"/>
      <c r="P153" s="7"/>
      <c r="Q153" s="7"/>
    </row>
    <row r="154" spans="1:19">
      <c r="B154" s="8" t="s">
        <v>56</v>
      </c>
      <c r="C154" s="427">
        <v>608.46202083010769</v>
      </c>
      <c r="D154" s="427">
        <v>670.33886737548596</v>
      </c>
      <c r="E154" s="442">
        <v>847.45701067005984</v>
      </c>
      <c r="F154" s="443">
        <v>814.78599999999994</v>
      </c>
      <c r="G154" s="7"/>
      <c r="H154" s="8" t="s">
        <v>56</v>
      </c>
      <c r="I154" s="427">
        <v>272.53059023845913</v>
      </c>
      <c r="J154" s="427">
        <v>261.40690841662052</v>
      </c>
      <c r="K154" s="442">
        <v>318.59444806835324</v>
      </c>
      <c r="L154" s="443">
        <v>306.54500000000002</v>
      </c>
      <c r="M154" s="114"/>
      <c r="N154" s="114"/>
      <c r="O154" s="7"/>
      <c r="P154" s="7"/>
      <c r="Q154" s="7"/>
    </row>
    <row r="155" spans="1:19">
      <c r="B155" s="8" t="s">
        <v>57</v>
      </c>
      <c r="C155" s="427">
        <v>492.92786605664111</v>
      </c>
      <c r="D155" s="427">
        <v>614.7307422937929</v>
      </c>
      <c r="E155" s="442">
        <v>699.93400837241677</v>
      </c>
      <c r="F155" s="443">
        <v>751.13699999999994</v>
      </c>
      <c r="G155" s="7"/>
      <c r="H155" s="8" t="s">
        <v>57</v>
      </c>
      <c r="I155" s="427">
        <v>122.69538132392398</v>
      </c>
      <c r="J155" s="427">
        <v>179.47666715525537</v>
      </c>
      <c r="K155" s="442">
        <v>227.98038223137755</v>
      </c>
      <c r="L155" s="443">
        <v>236.822</v>
      </c>
      <c r="M155" s="114"/>
      <c r="N155" s="114"/>
      <c r="O155" s="7"/>
      <c r="P155" s="7"/>
      <c r="Q155" s="7"/>
    </row>
    <row r="156" spans="1:19">
      <c r="B156" s="8" t="s">
        <v>58</v>
      </c>
      <c r="C156" s="427">
        <v>175.01796707824747</v>
      </c>
      <c r="D156" s="427">
        <v>222.04993962193771</v>
      </c>
      <c r="E156" s="442">
        <v>314.16842740083246</v>
      </c>
      <c r="F156" s="443">
        <v>370.68400000000003</v>
      </c>
      <c r="G156" s="7"/>
      <c r="H156" s="8" t="s">
        <v>58</v>
      </c>
      <c r="I156" s="427">
        <v>32.092494830313903</v>
      </c>
      <c r="J156" s="427">
        <v>65.36422880985225</v>
      </c>
      <c r="K156" s="442">
        <v>107.68812381154729</v>
      </c>
      <c r="L156" s="443">
        <v>94.126999999999995</v>
      </c>
      <c r="M156" s="114"/>
      <c r="N156" s="114"/>
      <c r="O156" s="7"/>
      <c r="P156" s="7"/>
      <c r="Q156" s="7"/>
    </row>
    <row r="157" spans="1:19">
      <c r="B157" s="8" t="s">
        <v>59</v>
      </c>
      <c r="C157" s="427">
        <v>15.414314123493501</v>
      </c>
      <c r="D157" s="427">
        <v>31.939724081899918</v>
      </c>
      <c r="E157" s="442">
        <v>35.061188112868599</v>
      </c>
      <c r="F157" s="443">
        <v>47.604999999999997</v>
      </c>
      <c r="G157" s="7"/>
      <c r="H157" s="8" t="s">
        <v>59</v>
      </c>
      <c r="I157" s="427">
        <v>6.7161447418434737</v>
      </c>
      <c r="J157" s="427">
        <v>12.514838447459075</v>
      </c>
      <c r="K157" s="442">
        <v>10.075938716072534</v>
      </c>
      <c r="L157" s="443">
        <v>12.114000000000001</v>
      </c>
      <c r="M157" s="114"/>
      <c r="N157" s="114"/>
      <c r="O157" s="7"/>
      <c r="P157" s="7"/>
      <c r="Q157" s="7"/>
    </row>
    <row r="158" spans="1:19">
      <c r="B158" s="8" t="s">
        <v>60</v>
      </c>
      <c r="C158" s="427">
        <v>5.3970735332917501</v>
      </c>
      <c r="D158" s="427">
        <v>7.3880538706397889</v>
      </c>
      <c r="E158" s="442">
        <v>5.8041923466106402</v>
      </c>
      <c r="F158" s="443">
        <v>8.641</v>
      </c>
      <c r="G158" s="7"/>
      <c r="H158" s="8" t="s">
        <v>60</v>
      </c>
      <c r="I158" s="427">
        <v>5.36385770318845</v>
      </c>
      <c r="J158" s="427">
        <v>0</v>
      </c>
      <c r="K158" s="442">
        <v>5.0829801709904956</v>
      </c>
      <c r="L158" s="443">
        <v>5.0469999999999997</v>
      </c>
      <c r="M158" s="114"/>
      <c r="N158" s="114"/>
      <c r="O158" s="7"/>
      <c r="P158" s="7"/>
      <c r="Q158" s="7"/>
    </row>
    <row r="159" spans="1:19">
      <c r="B159" s="8" t="s">
        <v>8</v>
      </c>
      <c r="C159" s="427">
        <f>SUM(C149:C158)</f>
        <v>4753.2992780523191</v>
      </c>
      <c r="D159" s="427">
        <f>SUM(D149:D158)</f>
        <v>5398.1628317603308</v>
      </c>
      <c r="E159" s="442">
        <f>SUM(E149:E158)</f>
        <v>6317.3642005119791</v>
      </c>
      <c r="F159" s="442">
        <f>SUM(F149:F158)</f>
        <v>6689.3929999999991</v>
      </c>
      <c r="G159" s="7"/>
      <c r="H159" s="8" t="s">
        <v>8</v>
      </c>
      <c r="I159" s="427">
        <f>SUM(I149:I158)</f>
        <v>1867.3415108783634</v>
      </c>
      <c r="J159" s="427">
        <f>SUM(J149:J158)</f>
        <v>2187.6568486938768</v>
      </c>
      <c r="K159" s="442">
        <f>SUM(K149:K158)</f>
        <v>2619.3191498958099</v>
      </c>
      <c r="L159" s="442">
        <f>SUM(L149:L158)</f>
        <v>2856.7690000000002</v>
      </c>
      <c r="M159" s="114"/>
      <c r="N159" s="114"/>
      <c r="O159" s="238"/>
      <c r="P159" s="238"/>
      <c r="Q159" s="238"/>
      <c r="R159" s="238"/>
    </row>
    <row r="160" spans="1:19">
      <c r="A160" s="178">
        <f>G160+M160</f>
        <v>0</v>
      </c>
      <c r="C160">
        <f>SUM(C149:C158)-C159</f>
        <v>0</v>
      </c>
      <c r="D160">
        <f>SUM(D149:D158)-D159</f>
        <v>0</v>
      </c>
      <c r="E160">
        <f>SUM(E149:E158)-E159</f>
        <v>0</v>
      </c>
      <c r="F160">
        <f>SUM(F149:F158)-F159</f>
        <v>0</v>
      </c>
      <c r="G160">
        <f>SUM(C160:F160)</f>
        <v>0</v>
      </c>
      <c r="I160">
        <f>SUM(I149:I158)-I159</f>
        <v>0</v>
      </c>
      <c r="J160">
        <f>SUM(J149:J158)-J159</f>
        <v>0</v>
      </c>
      <c r="K160">
        <f>SUM(K149:K158)-K159</f>
        <v>0</v>
      </c>
      <c r="L160">
        <f>SUM(L149:L158)-L159</f>
        <v>0</v>
      </c>
      <c r="M160" s="114">
        <f>SUM(I160:L160)</f>
        <v>0</v>
      </c>
      <c r="N160" s="114"/>
      <c r="O160" s="7"/>
      <c r="P160" s="7"/>
      <c r="Q160" s="7"/>
    </row>
    <row r="161" spans="1:17">
      <c r="D161" s="7"/>
      <c r="E161" s="126"/>
      <c r="F161" s="112"/>
      <c r="G161" s="110"/>
      <c r="J161" s="7"/>
      <c r="K161" s="126"/>
      <c r="L161" s="112"/>
      <c r="M161" s="114"/>
      <c r="N161" s="114"/>
      <c r="O161" s="7"/>
      <c r="P161" s="7"/>
      <c r="Q161" s="7"/>
    </row>
    <row r="162" spans="1:17">
      <c r="A162" s="175"/>
      <c r="B162" s="156" t="s">
        <v>312</v>
      </c>
      <c r="C162" s="309"/>
      <c r="D162" s="7"/>
      <c r="E162" s="126"/>
      <c r="F162" s="112"/>
      <c r="G162" s="110"/>
      <c r="H162" s="156" t="s">
        <v>313</v>
      </c>
      <c r="J162" s="7"/>
      <c r="K162" s="126"/>
      <c r="L162" s="112"/>
      <c r="M162" s="114"/>
      <c r="N162" s="114"/>
      <c r="O162" s="7"/>
      <c r="P162" s="7"/>
      <c r="Q162" s="7"/>
    </row>
    <row r="163" spans="1:17">
      <c r="B163" s="156"/>
      <c r="D163" s="7"/>
      <c r="E163" s="126"/>
      <c r="F163" s="112"/>
      <c r="G163" s="110"/>
      <c r="H163" s="156"/>
      <c r="J163" s="7"/>
      <c r="K163" s="126"/>
      <c r="L163" s="112"/>
      <c r="M163" s="114"/>
      <c r="N163" s="114"/>
      <c r="O163" s="464"/>
      <c r="P163" s="464"/>
      <c r="Q163" s="464"/>
    </row>
    <row r="164" spans="1:17">
      <c r="C164" s="1160" t="s">
        <v>74</v>
      </c>
      <c r="D164" s="1160"/>
      <c r="E164" s="1160"/>
      <c r="F164" s="1160"/>
      <c r="G164" s="158"/>
      <c r="I164" s="1160" t="s">
        <v>74</v>
      </c>
      <c r="J164" s="1160"/>
      <c r="K164" s="1160"/>
      <c r="L164" s="1160"/>
      <c r="M164" s="114"/>
      <c r="N164" s="114"/>
      <c r="O164" s="114"/>
      <c r="P164" s="114"/>
      <c r="Q164" s="114"/>
    </row>
    <row r="165" spans="1:17">
      <c r="B165" s="8" t="s">
        <v>48</v>
      </c>
      <c r="C165" s="8" t="str">
        <f>C148</f>
        <v>2011/12</v>
      </c>
      <c r="D165" s="8" t="str">
        <f>D148</f>
        <v>2012/13</v>
      </c>
      <c r="E165" s="8" t="str">
        <f>E148</f>
        <v>2013/14</v>
      </c>
      <c r="F165" s="8" t="str">
        <f>F148</f>
        <v>2014/15</v>
      </c>
      <c r="G165" s="7"/>
      <c r="H165" s="8" t="s">
        <v>48</v>
      </c>
      <c r="I165" s="8" t="str">
        <f>C165</f>
        <v>2011/12</v>
      </c>
      <c r="J165" s="8" t="str">
        <f>D165</f>
        <v>2012/13</v>
      </c>
      <c r="K165" s="8" t="str">
        <f>E165</f>
        <v>2013/14</v>
      </c>
      <c r="L165" s="8" t="str">
        <f>F165</f>
        <v>2014/15</v>
      </c>
      <c r="M165" s="114"/>
      <c r="N165" s="114"/>
      <c r="O165" s="7"/>
      <c r="P165" s="7"/>
      <c r="Q165" s="7"/>
    </row>
    <row r="166" spans="1:17">
      <c r="B166" s="8" t="s">
        <v>51</v>
      </c>
      <c r="C166" s="427">
        <v>7436.009</v>
      </c>
      <c r="D166" s="427">
        <v>7261.9359999999997</v>
      </c>
      <c r="E166" s="427">
        <v>6785.817</v>
      </c>
      <c r="F166" s="441">
        <v>7031.68</v>
      </c>
      <c r="G166" s="7"/>
      <c r="H166" s="8" t="s">
        <v>51</v>
      </c>
      <c r="I166" s="427">
        <v>11645.14</v>
      </c>
      <c r="J166" s="427">
        <v>12590.892</v>
      </c>
      <c r="K166" s="441">
        <v>13741.936</v>
      </c>
      <c r="L166" s="441">
        <v>14942.416999999999</v>
      </c>
      <c r="M166" s="114"/>
      <c r="N166" s="114"/>
      <c r="O166" s="7"/>
      <c r="P166" s="7"/>
      <c r="Q166" s="7"/>
    </row>
    <row r="167" spans="1:17">
      <c r="B167" s="8" t="s">
        <v>52</v>
      </c>
      <c r="C167" s="427">
        <v>25499.097000000002</v>
      </c>
      <c r="D167" s="427">
        <v>25717.121999999999</v>
      </c>
      <c r="E167" s="427">
        <v>25266.185000000001</v>
      </c>
      <c r="F167" s="441">
        <v>24314.041000000001</v>
      </c>
      <c r="G167" s="7"/>
      <c r="H167" s="8" t="s">
        <v>52</v>
      </c>
      <c r="I167" s="427">
        <v>30892.727999999999</v>
      </c>
      <c r="J167" s="427">
        <v>32337.764999999999</v>
      </c>
      <c r="K167" s="441">
        <v>33872.055</v>
      </c>
      <c r="L167" s="441">
        <v>34965.243999999999</v>
      </c>
      <c r="M167" s="114"/>
      <c r="N167" s="114"/>
      <c r="O167" s="7"/>
      <c r="P167" s="7"/>
      <c r="Q167" s="7"/>
    </row>
    <row r="168" spans="1:17">
      <c r="B168" s="8" t="s">
        <v>53</v>
      </c>
      <c r="C168" s="427">
        <v>24676.074000000001</v>
      </c>
      <c r="D168" s="427">
        <v>25438.483</v>
      </c>
      <c r="E168" s="427">
        <v>25433.401000000002</v>
      </c>
      <c r="F168" s="441">
        <v>25085.696</v>
      </c>
      <c r="G168" s="7"/>
      <c r="H168" s="8" t="s">
        <v>53</v>
      </c>
      <c r="I168" s="427">
        <v>31531.079000000002</v>
      </c>
      <c r="J168" s="427">
        <v>32598.183000000001</v>
      </c>
      <c r="K168" s="441">
        <v>33026.067999999999</v>
      </c>
      <c r="L168" s="441">
        <v>33290.182000000001</v>
      </c>
      <c r="M168" s="114"/>
      <c r="N168" s="114"/>
      <c r="O168" s="7"/>
      <c r="P168" s="7"/>
      <c r="Q168" s="7"/>
    </row>
    <row r="169" spans="1:17">
      <c r="B169" s="8" t="s">
        <v>54</v>
      </c>
      <c r="C169" s="427">
        <v>19314.273000000001</v>
      </c>
      <c r="D169" s="427">
        <v>19924.441999999999</v>
      </c>
      <c r="E169" s="427">
        <v>20565.948</v>
      </c>
      <c r="F169" s="441">
        <v>21242.754000000001</v>
      </c>
      <c r="G169" s="7"/>
      <c r="H169" s="8" t="s">
        <v>54</v>
      </c>
      <c r="I169" s="427">
        <v>27639.316999999999</v>
      </c>
      <c r="J169" s="427">
        <v>28351.003000000001</v>
      </c>
      <c r="K169" s="441">
        <v>28849.746999999999</v>
      </c>
      <c r="L169" s="441">
        <v>29731.899000000001</v>
      </c>
      <c r="M169" s="114"/>
      <c r="N169" s="114"/>
      <c r="O169" s="7"/>
      <c r="P169" s="7"/>
      <c r="Q169" s="7"/>
    </row>
    <row r="170" spans="1:17">
      <c r="B170" s="8" t="s">
        <v>55</v>
      </c>
      <c r="C170" s="427">
        <v>15692.370999999999</v>
      </c>
      <c r="D170" s="427">
        <v>16790.264999999999</v>
      </c>
      <c r="E170" s="427">
        <v>17890.313999999998</v>
      </c>
      <c r="F170" s="441">
        <v>18518.737000000001</v>
      </c>
      <c r="G170" s="7"/>
      <c r="H170" s="8" t="s">
        <v>55</v>
      </c>
      <c r="I170" s="427">
        <v>24095.727999999999</v>
      </c>
      <c r="J170" s="427">
        <v>25394.679</v>
      </c>
      <c r="K170" s="441">
        <v>26801.800999999999</v>
      </c>
      <c r="L170" s="441">
        <v>28052.525000000001</v>
      </c>
      <c r="M170" s="114"/>
      <c r="N170" s="114"/>
      <c r="O170" s="7"/>
      <c r="P170" s="7"/>
      <c r="Q170" s="7"/>
    </row>
    <row r="171" spans="1:17">
      <c r="B171" s="8" t="s">
        <v>56</v>
      </c>
      <c r="C171" s="427">
        <v>14060.19</v>
      </c>
      <c r="D171" s="427">
        <v>14073.81</v>
      </c>
      <c r="E171" s="427">
        <v>13867.227999999999</v>
      </c>
      <c r="F171" s="441">
        <v>14219.995000000001</v>
      </c>
      <c r="G171" s="7"/>
      <c r="H171" s="8" t="s">
        <v>56</v>
      </c>
      <c r="I171" s="427">
        <v>22270.969000000001</v>
      </c>
      <c r="J171" s="427">
        <v>23196.210999999999</v>
      </c>
      <c r="K171" s="441">
        <v>23702.975999999999</v>
      </c>
      <c r="L171" s="441">
        <v>24098.245999999999</v>
      </c>
      <c r="M171" s="114"/>
      <c r="N171" s="114"/>
      <c r="O171" s="7"/>
      <c r="P171" s="7"/>
      <c r="Q171" s="7"/>
    </row>
    <row r="172" spans="1:17">
      <c r="B172" s="8" t="s">
        <v>57</v>
      </c>
      <c r="C172" s="427">
        <v>13937.48</v>
      </c>
      <c r="D172" s="427">
        <v>12985.324000000001</v>
      </c>
      <c r="E172" s="427">
        <v>12412.347</v>
      </c>
      <c r="F172" s="441">
        <v>12169.743</v>
      </c>
      <c r="G172" s="7"/>
      <c r="H172" s="8" t="s">
        <v>57</v>
      </c>
      <c r="I172" s="427">
        <v>19337.964</v>
      </c>
      <c r="J172" s="427">
        <v>18348.882000000001</v>
      </c>
      <c r="K172" s="441">
        <v>18105.984</v>
      </c>
      <c r="L172" s="441">
        <v>18539.277999999998</v>
      </c>
      <c r="M172" s="114"/>
      <c r="N172" s="114"/>
      <c r="O172" s="7"/>
      <c r="P172" s="7"/>
      <c r="Q172" s="7"/>
    </row>
    <row r="173" spans="1:17">
      <c r="B173" s="8" t="s">
        <v>58</v>
      </c>
      <c r="C173" s="427">
        <v>10670.638999999999</v>
      </c>
      <c r="D173" s="427">
        <v>10436.875</v>
      </c>
      <c r="E173" s="427">
        <v>9836.0300000000007</v>
      </c>
      <c r="F173" s="441">
        <v>9013.4740000000002</v>
      </c>
      <c r="G173" s="7"/>
      <c r="H173" s="8" t="s">
        <v>58</v>
      </c>
      <c r="I173" s="427">
        <v>18889.525000000001</v>
      </c>
      <c r="J173" s="427">
        <v>17550.594000000001</v>
      </c>
      <c r="K173" s="441">
        <v>16115.884</v>
      </c>
      <c r="L173" s="441">
        <v>14359.462</v>
      </c>
      <c r="M173" s="114"/>
      <c r="N173" s="114"/>
      <c r="O173" s="7"/>
      <c r="P173" s="7"/>
      <c r="Q173" s="7"/>
    </row>
    <row r="174" spans="1:17">
      <c r="B174" s="8" t="s">
        <v>59</v>
      </c>
      <c r="C174" s="427">
        <v>2463.6509999999998</v>
      </c>
      <c r="D174" s="427">
        <v>2439.056</v>
      </c>
      <c r="E174" s="427">
        <v>2418.21</v>
      </c>
      <c r="F174" s="441">
        <v>2420.5250000000001</v>
      </c>
      <c r="G174" s="7"/>
      <c r="H174" s="8" t="s">
        <v>59</v>
      </c>
      <c r="I174" s="427">
        <v>4758.4489999999996</v>
      </c>
      <c r="J174" s="427">
        <v>4891.2910000000002</v>
      </c>
      <c r="K174" s="441">
        <v>4911.7430000000004</v>
      </c>
      <c r="L174" s="441">
        <v>4868.223</v>
      </c>
      <c r="M174" s="114"/>
      <c r="N174" s="114"/>
      <c r="O174" s="7"/>
      <c r="P174" s="7"/>
      <c r="Q174" s="7"/>
    </row>
    <row r="175" spans="1:17">
      <c r="B175" s="8" t="s">
        <v>60</v>
      </c>
      <c r="C175" s="427">
        <v>208.93100000000001</v>
      </c>
      <c r="D175" s="427">
        <v>285.01900000000001</v>
      </c>
      <c r="E175" s="427">
        <v>327.072</v>
      </c>
      <c r="F175" s="441">
        <v>307.44400000000002</v>
      </c>
      <c r="G175" s="7"/>
      <c r="H175" s="8" t="s">
        <v>60</v>
      </c>
      <c r="I175" s="427">
        <v>590.86699999999996</v>
      </c>
      <c r="J175" s="427">
        <v>720.93</v>
      </c>
      <c r="K175" s="441">
        <v>745.91899999999998</v>
      </c>
      <c r="L175" s="441">
        <v>787.39700000000005</v>
      </c>
      <c r="M175" s="114"/>
      <c r="N175" s="114"/>
      <c r="O175" s="7"/>
      <c r="P175" s="7"/>
      <c r="Q175" s="7"/>
    </row>
    <row r="176" spans="1:17">
      <c r="B176" s="8" t="s">
        <v>8</v>
      </c>
      <c r="C176" s="427">
        <f>SUM(C166:C175)</f>
        <v>133958.71500000003</v>
      </c>
      <c r="D176" s="427">
        <f>SUM(D166:D175)</f>
        <v>135352.33199999999</v>
      </c>
      <c r="E176" s="427">
        <f>SUM(E166:E175)</f>
        <v>134802.552</v>
      </c>
      <c r="F176" s="427">
        <f>SUM(F166:F175)</f>
        <v>134324.08899999998</v>
      </c>
      <c r="G176" s="7"/>
      <c r="H176" s="8" t="s">
        <v>8</v>
      </c>
      <c r="I176" s="427">
        <f>SUM(I166:I175)</f>
        <v>191651.766</v>
      </c>
      <c r="J176" s="427">
        <f>SUM(J166:J175)</f>
        <v>195980.43000000002</v>
      </c>
      <c r="K176" s="427">
        <f>SUM(K166:K175)</f>
        <v>199874.11299999998</v>
      </c>
      <c r="L176" s="427">
        <f>SUM(L166:L175)</f>
        <v>203634.87299999996</v>
      </c>
      <c r="M176" s="114"/>
      <c r="N176" s="114"/>
      <c r="O176" s="7"/>
      <c r="P176" s="7"/>
      <c r="Q176" s="7"/>
    </row>
    <row r="177" spans="1:22">
      <c r="A177" s="178">
        <f>G177+M177</f>
        <v>0</v>
      </c>
      <c r="C177">
        <f>SUM(C166:C175)-C176</f>
        <v>0</v>
      </c>
      <c r="D177">
        <f>SUM(D166:D175)-D176</f>
        <v>0</v>
      </c>
      <c r="E177">
        <f>SUM(E166:E175)-E176</f>
        <v>0</v>
      </c>
      <c r="F177">
        <f>SUM(F166:F175)-F176</f>
        <v>0</v>
      </c>
      <c r="G177">
        <f>SUM(C177:F177)</f>
        <v>0</v>
      </c>
      <c r="I177">
        <f>SUM(I166:I175)-I176</f>
        <v>0</v>
      </c>
      <c r="J177">
        <f>SUM(J166:J175)-J176</f>
        <v>0</v>
      </c>
      <c r="K177">
        <f>SUM(K166:K175)-K176</f>
        <v>0</v>
      </c>
      <c r="L177">
        <f>SUM(L166:L175)-L176</f>
        <v>0</v>
      </c>
      <c r="M177" s="114">
        <f>SUM(I177:L177)</f>
        <v>0</v>
      </c>
      <c r="N177" s="114"/>
      <c r="O177" s="7"/>
      <c r="P177" s="7"/>
      <c r="Q177" s="7"/>
    </row>
    <row r="178" spans="1:22">
      <c r="A178" s="178"/>
      <c r="M178" s="114"/>
      <c r="N178" s="114"/>
      <c r="O178" s="7"/>
      <c r="P178" s="7"/>
      <c r="Q178" s="7"/>
    </row>
    <row r="179" spans="1:22">
      <c r="B179" s="156" t="s">
        <v>1595</v>
      </c>
      <c r="C179" s="117"/>
      <c r="D179" s="148"/>
      <c r="E179" s="157"/>
      <c r="F179" s="157"/>
      <c r="G179" s="110"/>
      <c r="H179" s="156" t="s">
        <v>1596</v>
      </c>
      <c r="I179" s="117"/>
      <c r="J179" s="148"/>
      <c r="K179" s="157"/>
      <c r="L179" s="157"/>
      <c r="M179" s="114"/>
      <c r="N179" s="114"/>
      <c r="O179" s="7"/>
      <c r="P179" s="7"/>
      <c r="Q179" s="7"/>
    </row>
    <row r="180" spans="1:22">
      <c r="C180" s="117"/>
      <c r="D180" s="148"/>
      <c r="E180" s="157"/>
      <c r="F180" s="157"/>
      <c r="G180" s="110"/>
      <c r="I180" s="117"/>
      <c r="J180" s="148"/>
      <c r="K180" s="157"/>
      <c r="L180" s="157"/>
      <c r="M180" s="114"/>
      <c r="N180" s="114"/>
      <c r="O180" s="7"/>
      <c r="P180" s="7"/>
      <c r="Q180" s="7"/>
    </row>
    <row r="181" spans="1:22">
      <c r="C181" s="1160" t="s">
        <v>74</v>
      </c>
      <c r="D181" s="1160"/>
      <c r="E181" s="1160"/>
      <c r="F181" s="1160"/>
      <c r="G181" s="158"/>
      <c r="I181" s="1160" t="s">
        <v>74</v>
      </c>
      <c r="J181" s="1160"/>
      <c r="K181" s="1160"/>
      <c r="L181" s="1160"/>
      <c r="M181" s="114"/>
      <c r="N181" s="114"/>
      <c r="O181" s="7"/>
      <c r="P181" s="7"/>
      <c r="Q181" s="7"/>
    </row>
    <row r="182" spans="1:22">
      <c r="B182" s="8" t="s">
        <v>48</v>
      </c>
      <c r="C182" s="8" t="str">
        <f>C148</f>
        <v>2011/12</v>
      </c>
      <c r="D182" s="8" t="str">
        <f>D148</f>
        <v>2012/13</v>
      </c>
      <c r="E182" s="8" t="str">
        <f>E148</f>
        <v>2013/14</v>
      </c>
      <c r="F182" s="8" t="str">
        <f>F148</f>
        <v>2014/15</v>
      </c>
      <c r="G182" s="7"/>
      <c r="H182" s="8" t="s">
        <v>48</v>
      </c>
      <c r="I182" s="8" t="str">
        <f>C182</f>
        <v>2011/12</v>
      </c>
      <c r="J182" s="8" t="str">
        <f>D182</f>
        <v>2012/13</v>
      </c>
      <c r="K182" s="8" t="str">
        <f>E182</f>
        <v>2013/14</v>
      </c>
      <c r="L182" s="8" t="str">
        <f>F182</f>
        <v>2014/15</v>
      </c>
      <c r="M182" s="114"/>
      <c r="N182" s="114"/>
      <c r="O182" s="7"/>
      <c r="P182" s="7"/>
      <c r="Q182" s="7"/>
    </row>
    <row r="183" spans="1:22">
      <c r="B183" s="8" t="s">
        <v>51</v>
      </c>
      <c r="C183" s="427">
        <v>703.83296583139224</v>
      </c>
      <c r="D183" s="427">
        <v>716.31552772520888</v>
      </c>
      <c r="E183" s="442">
        <v>741.6728074149969</v>
      </c>
      <c r="F183" s="442">
        <v>892.77700000000004</v>
      </c>
      <c r="G183" s="7"/>
      <c r="H183" s="8" t="s">
        <v>51</v>
      </c>
      <c r="I183" s="427">
        <v>904.189706606301</v>
      </c>
      <c r="J183" s="427">
        <v>1016.6782497257994</v>
      </c>
      <c r="K183" s="442">
        <v>1309.242795905026</v>
      </c>
      <c r="L183" s="442">
        <v>1561.931</v>
      </c>
      <c r="M183" s="114"/>
      <c r="N183" s="114"/>
      <c r="O183" s="7"/>
      <c r="P183" s="7"/>
      <c r="Q183" s="7"/>
    </row>
    <row r="184" spans="1:22">
      <c r="B184" s="8" t="s">
        <v>52</v>
      </c>
      <c r="C184" s="427">
        <v>2199.3409691506358</v>
      </c>
      <c r="D184" s="427">
        <v>2362.9624872424242</v>
      </c>
      <c r="E184" s="442">
        <v>2465.8752674012221</v>
      </c>
      <c r="F184" s="442">
        <v>2527.451</v>
      </c>
      <c r="G184" s="7"/>
      <c r="H184" s="8" t="s">
        <v>52</v>
      </c>
      <c r="I184" s="427">
        <v>2303.0075285271901</v>
      </c>
      <c r="J184" s="427">
        <v>2567.3912531437481</v>
      </c>
      <c r="K184" s="442">
        <v>2989.9055600401325</v>
      </c>
      <c r="L184" s="442">
        <v>3361.9630000000002</v>
      </c>
      <c r="M184" s="114"/>
      <c r="N184" s="114"/>
      <c r="O184" s="7"/>
      <c r="P184" s="7"/>
      <c r="Q184" s="7"/>
    </row>
    <row r="185" spans="1:22">
      <c r="B185" s="8" t="s">
        <v>53</v>
      </c>
      <c r="C185" s="427">
        <v>1922.8237933877367</v>
      </c>
      <c r="D185" s="427">
        <v>2151.1090630617505</v>
      </c>
      <c r="E185" s="442">
        <v>2217.5248302501286</v>
      </c>
      <c r="F185" s="442">
        <v>2473.8119999999999</v>
      </c>
      <c r="G185" s="7"/>
      <c r="H185" s="8" t="s">
        <v>53</v>
      </c>
      <c r="I185" s="427">
        <v>2142.2234039471632</v>
      </c>
      <c r="J185" s="427">
        <v>2388.2011788106602</v>
      </c>
      <c r="K185" s="442">
        <v>2689.2843642980574</v>
      </c>
      <c r="L185" s="442">
        <v>2821.3910000000001</v>
      </c>
      <c r="M185" s="114"/>
      <c r="N185" s="114"/>
      <c r="O185" s="7"/>
      <c r="P185" s="7"/>
      <c r="Q185" s="7"/>
    </row>
    <row r="186" spans="1:22">
      <c r="B186" s="8" t="s">
        <v>54</v>
      </c>
      <c r="C186" s="427">
        <v>1359.4836970573695</v>
      </c>
      <c r="D186" s="427">
        <v>1471.8978308775158</v>
      </c>
      <c r="E186" s="442">
        <v>1669.9734557552224</v>
      </c>
      <c r="F186" s="442">
        <v>1781.8869999999999</v>
      </c>
      <c r="G186" s="7"/>
      <c r="H186" s="8" t="s">
        <v>54</v>
      </c>
      <c r="I186" s="427">
        <v>1810.2221588203868</v>
      </c>
      <c r="J186" s="427">
        <v>1991.1377675980341</v>
      </c>
      <c r="K186" s="442">
        <v>2093.8428407787019</v>
      </c>
      <c r="L186" s="442">
        <v>2476.9380000000001</v>
      </c>
      <c r="M186" s="114"/>
      <c r="N186" s="114"/>
      <c r="O186" s="7"/>
      <c r="P186" s="7"/>
      <c r="Q186" s="7"/>
    </row>
    <row r="187" spans="1:22">
      <c r="B187" s="8" t="s">
        <v>55</v>
      </c>
      <c r="C187" s="427">
        <v>1041.5707456576533</v>
      </c>
      <c r="D187" s="427">
        <v>1193.2774641034214</v>
      </c>
      <c r="E187" s="442">
        <v>1325.0987522792677</v>
      </c>
      <c r="F187" s="442">
        <v>1527.3489999999999</v>
      </c>
      <c r="G187" s="7"/>
      <c r="H187" s="8" t="s">
        <v>55</v>
      </c>
      <c r="I187" s="427">
        <v>1465.0632887940467</v>
      </c>
      <c r="J187" s="427">
        <v>1699.6726178513691</v>
      </c>
      <c r="K187" s="442">
        <v>1965.6352935969571</v>
      </c>
      <c r="L187" s="442">
        <v>2050.35</v>
      </c>
      <c r="M187" s="114"/>
      <c r="N187" s="114"/>
      <c r="O187" s="7"/>
      <c r="P187" s="7"/>
      <c r="Q187" s="7"/>
    </row>
    <row r="188" spans="1:22">
      <c r="B188" s="8" t="s">
        <v>56</v>
      </c>
      <c r="C188" s="427">
        <v>973.83557757033668</v>
      </c>
      <c r="D188" s="427">
        <v>1040.615739995585</v>
      </c>
      <c r="E188" s="442">
        <v>1133.3595535268371</v>
      </c>
      <c r="F188" s="442">
        <v>1279.761</v>
      </c>
      <c r="G188" s="7"/>
      <c r="H188" s="8" t="s">
        <v>56</v>
      </c>
      <c r="I188" s="427">
        <v>1338.7682548559826</v>
      </c>
      <c r="J188" s="427">
        <v>1536.7641898652307</v>
      </c>
      <c r="K188" s="442">
        <v>1796.092992292015</v>
      </c>
      <c r="L188" s="442">
        <v>1952.296</v>
      </c>
      <c r="M188" s="114"/>
      <c r="N188" s="114"/>
      <c r="O188" s="7"/>
      <c r="P188" s="7"/>
      <c r="Q188" s="7"/>
    </row>
    <row r="189" spans="1:22" ht="15">
      <c r="B189" s="8" t="s">
        <v>57</v>
      </c>
      <c r="C189" s="427">
        <v>790.81736396199915</v>
      </c>
      <c r="D189" s="427">
        <v>948.53807778979399</v>
      </c>
      <c r="E189" s="442">
        <v>964.80348056563003</v>
      </c>
      <c r="F189" s="442">
        <v>1206.1669999999999</v>
      </c>
      <c r="G189" s="7"/>
      <c r="H189" s="8" t="s">
        <v>57</v>
      </c>
      <c r="I189" s="427">
        <v>1063.9727854537855</v>
      </c>
      <c r="J189" s="427">
        <v>1259.7191910110728</v>
      </c>
      <c r="K189" s="442">
        <v>1546.3816307365655</v>
      </c>
      <c r="L189" s="442">
        <v>1629.9839999999999</v>
      </c>
      <c r="M189" s="114"/>
      <c r="N189" s="252"/>
      <c r="O189" s="1"/>
      <c r="P189" s="1"/>
      <c r="Q189" s="1"/>
      <c r="R189" s="1"/>
      <c r="S189" s="1"/>
      <c r="T189" s="1"/>
      <c r="U189" s="1"/>
      <c r="V189" s="1"/>
    </row>
    <row r="190" spans="1:22" ht="15">
      <c r="B190" s="8" t="s">
        <v>58</v>
      </c>
      <c r="C190" s="427">
        <v>214.32752697624963</v>
      </c>
      <c r="D190" s="427">
        <v>361.82299663192845</v>
      </c>
      <c r="E190" s="442">
        <v>511.75457635715401</v>
      </c>
      <c r="F190" s="442">
        <v>601.91</v>
      </c>
      <c r="G190" s="7"/>
      <c r="H190" s="8" t="s">
        <v>58</v>
      </c>
      <c r="I190" s="427">
        <v>396.29947567170694</v>
      </c>
      <c r="J190" s="427">
        <v>552.3258294659438</v>
      </c>
      <c r="K190" s="442">
        <v>844.16988135993063</v>
      </c>
      <c r="L190" s="442">
        <v>903.65499999999997</v>
      </c>
      <c r="M190" s="114"/>
      <c r="N190" s="252"/>
      <c r="O190" s="1"/>
      <c r="P190" s="1"/>
      <c r="Q190" s="1"/>
      <c r="R190" s="1"/>
      <c r="S190" s="1"/>
      <c r="T190" s="1"/>
      <c r="U190" s="1"/>
      <c r="V190" s="1"/>
    </row>
    <row r="191" spans="1:22">
      <c r="B191" s="8" t="s">
        <v>59</v>
      </c>
      <c r="C191" s="427">
        <v>37.142478710778931</v>
      </c>
      <c r="D191" s="427">
        <v>33.155234421959797</v>
      </c>
      <c r="E191" s="442">
        <v>61.024414776198583</v>
      </c>
      <c r="F191" s="442">
        <v>63.764000000000003</v>
      </c>
      <c r="G191" s="7"/>
      <c r="H191" s="8" t="s">
        <v>59</v>
      </c>
      <c r="I191" s="427">
        <v>57.316857960911797</v>
      </c>
      <c r="J191" s="427">
        <v>59.712824089451772</v>
      </c>
      <c r="K191" s="442">
        <v>85.001363090097172</v>
      </c>
      <c r="L191" s="442">
        <v>124.572</v>
      </c>
      <c r="M191" s="114"/>
      <c r="N191" s="253"/>
      <c r="O191" s="253"/>
      <c r="P191" s="253"/>
      <c r="Q191" s="253"/>
      <c r="R191" s="253"/>
      <c r="S191" s="253"/>
      <c r="T191" s="253"/>
      <c r="U191" s="253"/>
      <c r="V191" s="253"/>
    </row>
    <row r="192" spans="1:22">
      <c r="B192" s="8" t="s">
        <v>60</v>
      </c>
      <c r="C192" s="427">
        <v>6.8413264096340614</v>
      </c>
      <c r="D192" s="427">
        <v>5.1647238205799502</v>
      </c>
      <c r="E192" s="442">
        <v>14.913581263552176</v>
      </c>
      <c r="F192" s="442">
        <v>10.525</v>
      </c>
      <c r="G192" s="7"/>
      <c r="H192" s="8" t="s">
        <v>60</v>
      </c>
      <c r="I192" s="427">
        <v>10.43728890794058</v>
      </c>
      <c r="J192" s="427">
        <v>15.437053503142595</v>
      </c>
      <c r="K192" s="442">
        <v>18.099950563052968</v>
      </c>
      <c r="L192" s="442">
        <v>13.587999999999999</v>
      </c>
      <c r="M192" s="114"/>
      <c r="N192" s="254"/>
      <c r="O192" s="255"/>
      <c r="P192" s="253"/>
      <c r="Q192" s="255"/>
      <c r="R192" s="1"/>
      <c r="S192" s="255"/>
      <c r="T192" s="253"/>
      <c r="U192" s="253"/>
      <c r="V192" s="253"/>
    </row>
    <row r="193" spans="1:22">
      <c r="B193" s="8" t="s">
        <v>8</v>
      </c>
      <c r="C193" s="427">
        <f>SUM(C183:C192)</f>
        <v>9250.0164447137868</v>
      </c>
      <c r="D193" s="427">
        <f>SUM(D183:D192)</f>
        <v>10284.859145670169</v>
      </c>
      <c r="E193" s="442">
        <f>SUM(E183:E192)</f>
        <v>11106.000719590211</v>
      </c>
      <c r="F193" s="442">
        <f>SUM(F183:F192)</f>
        <v>12365.402999999998</v>
      </c>
      <c r="G193" s="7"/>
      <c r="H193" s="8" t="s">
        <v>8</v>
      </c>
      <c r="I193" s="427">
        <f>SUM(I183:I192)</f>
        <v>11491.500749545414</v>
      </c>
      <c r="J193" s="427">
        <f>SUM(J183:J192)</f>
        <v>13087.040155064453</v>
      </c>
      <c r="K193" s="442">
        <f>SUM(K183:K192)</f>
        <v>15337.656672660536</v>
      </c>
      <c r="L193" s="442">
        <f>SUM(L183:L192)</f>
        <v>16896.668000000001</v>
      </c>
      <c r="M193" s="114"/>
      <c r="N193" s="254"/>
      <c r="O193" s="255"/>
      <c r="P193" s="1"/>
      <c r="Q193" s="255"/>
      <c r="R193" s="1"/>
      <c r="S193" s="255"/>
      <c r="T193" s="1"/>
      <c r="U193" s="1"/>
      <c r="V193" s="1"/>
    </row>
    <row r="194" spans="1:22">
      <c r="A194" s="178">
        <f>G194+M194</f>
        <v>0</v>
      </c>
      <c r="C194">
        <f>SUM(C183:C192)-C193</f>
        <v>0</v>
      </c>
      <c r="D194">
        <f>SUM(D183:D192)-D193</f>
        <v>0</v>
      </c>
      <c r="E194">
        <f>SUM(E183:E192)-E193</f>
        <v>0</v>
      </c>
      <c r="F194">
        <f>SUM(F183:F192)-F193</f>
        <v>0</v>
      </c>
      <c r="G194">
        <f>SUM(C194:F194)</f>
        <v>0</v>
      </c>
      <c r="I194">
        <f>SUM(I183:I192)-I193</f>
        <v>0</v>
      </c>
      <c r="J194">
        <f>SUM(J183:J192)-J193</f>
        <v>0</v>
      </c>
      <c r="K194">
        <f>SUM(K183:K192)-K193</f>
        <v>0</v>
      </c>
      <c r="L194">
        <f>SUM(L183:L192)-L193</f>
        <v>0</v>
      </c>
      <c r="M194" s="114">
        <f>SUM(I194:L194)</f>
        <v>0</v>
      </c>
      <c r="N194" s="254"/>
      <c r="O194" s="255"/>
      <c r="P194" s="1"/>
      <c r="Q194" s="255"/>
      <c r="R194" s="1"/>
      <c r="S194" s="255"/>
      <c r="T194" s="1"/>
      <c r="U194" s="1"/>
      <c r="V194" s="1"/>
    </row>
    <row r="195" spans="1:22">
      <c r="C195" s="309"/>
      <c r="D195" s="309"/>
      <c r="E195" s="309"/>
      <c r="F195" s="309"/>
      <c r="G195" s="110"/>
      <c r="H195" s="110"/>
      <c r="I195" s="110"/>
      <c r="J195" s="113"/>
      <c r="K195" s="114"/>
      <c r="L195" s="114"/>
      <c r="M195" s="114"/>
      <c r="N195" s="254"/>
      <c r="O195" s="255"/>
      <c r="P195" s="1"/>
      <c r="Q195" s="255"/>
      <c r="R195" s="1"/>
      <c r="S195" s="255"/>
      <c r="T195" s="1"/>
      <c r="U195" s="1"/>
      <c r="V195" s="1"/>
    </row>
    <row r="196" spans="1:22" ht="18">
      <c r="B196" s="39" t="s">
        <v>630</v>
      </c>
      <c r="C196" s="39"/>
      <c r="D196" s="129"/>
      <c r="E196" s="130"/>
      <c r="F196" s="12"/>
      <c r="H196" s="12"/>
      <c r="J196" s="12" t="s">
        <v>1430</v>
      </c>
      <c r="L196" s="922" t="s">
        <v>1414</v>
      </c>
      <c r="M196" s="5" t="s">
        <v>67</v>
      </c>
      <c r="N196" s="2"/>
      <c r="O196" s="255"/>
      <c r="P196" s="1"/>
      <c r="Q196" s="255"/>
      <c r="R196" s="1"/>
      <c r="S196" s="255"/>
      <c r="T196" s="1"/>
      <c r="U196" s="1"/>
      <c r="V196" s="1"/>
    </row>
    <row r="197" spans="1:22">
      <c r="D197" s="7"/>
      <c r="E197" s="127"/>
      <c r="F197" s="128"/>
      <c r="G197" s="126"/>
      <c r="H197" s="126"/>
      <c r="I197" s="126"/>
      <c r="J197" s="126"/>
      <c r="K197" s="126"/>
      <c r="L197" s="126"/>
      <c r="M197" s="114"/>
      <c r="N197" s="254"/>
      <c r="O197" s="255"/>
      <c r="P197" s="1"/>
      <c r="Q197" s="255"/>
      <c r="R197" s="1"/>
      <c r="S197" s="255"/>
      <c r="T197" s="1"/>
      <c r="U197" s="1"/>
      <c r="V197" s="1"/>
    </row>
    <row r="198" spans="1:22">
      <c r="B198" s="12" t="s">
        <v>1428</v>
      </c>
      <c r="C198" s="115" t="s">
        <v>1415</v>
      </c>
      <c r="F198" s="12"/>
      <c r="G198" s="7"/>
      <c r="H198" s="7"/>
      <c r="I198" s="273"/>
      <c r="J198" s="275"/>
      <c r="M198" s="114"/>
      <c r="N198" s="254"/>
      <c r="O198" s="255"/>
      <c r="P198" s="1"/>
      <c r="Q198" s="255"/>
      <c r="R198" s="1"/>
      <c r="S198" s="255"/>
      <c r="T198" s="1"/>
      <c r="U198" s="1"/>
      <c r="V198" s="1"/>
    </row>
    <row r="199" spans="1:22" ht="15">
      <c r="G199" s="7"/>
      <c r="H199" s="7"/>
      <c r="I199" s="273"/>
      <c r="M199" s="114"/>
      <c r="N199" s="256"/>
      <c r="O199" s="1"/>
      <c r="P199" s="1"/>
      <c r="Q199" s="1"/>
      <c r="R199" s="1"/>
      <c r="S199" s="1"/>
      <c r="T199" s="1"/>
      <c r="U199" s="1"/>
      <c r="V199" s="1"/>
    </row>
    <row r="200" spans="1:22" ht="15">
      <c r="B200" s="12" t="s">
        <v>64</v>
      </c>
      <c r="C200" s="115" t="s">
        <v>1431</v>
      </c>
      <c r="G200" s="7"/>
      <c r="H200" s="7"/>
      <c r="M200" s="114"/>
      <c r="N200" s="257"/>
      <c r="O200" s="1"/>
      <c r="P200" s="1"/>
      <c r="Q200" s="1"/>
      <c r="R200" s="1"/>
      <c r="S200" s="1"/>
      <c r="T200" s="1"/>
      <c r="U200" s="1"/>
      <c r="V200" s="1"/>
    </row>
    <row r="201" spans="1:22">
      <c r="G201" s="7"/>
      <c r="H201" s="7"/>
      <c r="M201" s="114"/>
      <c r="N201" s="254"/>
      <c r="O201" s="254"/>
      <c r="P201" s="254"/>
      <c r="Q201" s="254"/>
      <c r="R201" s="254"/>
      <c r="S201" s="254"/>
      <c r="T201" s="254"/>
      <c r="U201" s="254"/>
      <c r="V201" s="254"/>
    </row>
    <row r="202" spans="1:22">
      <c r="B202" s="12" t="s">
        <v>65</v>
      </c>
      <c r="C202" s="1177" t="s">
        <v>1769</v>
      </c>
      <c r="D202" s="1177"/>
      <c r="E202" s="1177"/>
      <c r="F202" s="1177"/>
      <c r="G202" s="1177"/>
      <c r="H202" s="1177"/>
      <c r="I202" s="1177"/>
      <c r="J202" s="1177"/>
      <c r="K202" s="1177"/>
      <c r="L202" s="1177"/>
      <c r="M202" s="1177"/>
      <c r="N202" s="254"/>
      <c r="O202" s="255"/>
      <c r="P202" s="1"/>
      <c r="Q202" s="255"/>
      <c r="R202" s="253"/>
      <c r="S202" s="255"/>
      <c r="T202" s="253"/>
      <c r="U202" s="253"/>
      <c r="V202" s="253"/>
    </row>
    <row r="203" spans="1:22">
      <c r="B203" s="12"/>
      <c r="C203" s="1177"/>
      <c r="D203" s="1177"/>
      <c r="E203" s="1177"/>
      <c r="F203" s="1177"/>
      <c r="G203" s="1177"/>
      <c r="H203" s="1177"/>
      <c r="I203" s="1177"/>
      <c r="J203" s="1177"/>
      <c r="K203" s="1177"/>
      <c r="L203" s="1177"/>
      <c r="M203" s="1177"/>
      <c r="N203" s="254"/>
      <c r="O203" s="255"/>
      <c r="P203" s="1"/>
      <c r="Q203" s="255"/>
      <c r="R203" s="253"/>
      <c r="S203" s="255"/>
      <c r="T203" s="253"/>
      <c r="U203" s="253"/>
      <c r="V203" s="253"/>
    </row>
    <row r="204" spans="1:22">
      <c r="G204" s="7"/>
      <c r="H204" s="7"/>
      <c r="M204" s="114"/>
      <c r="N204" s="254"/>
      <c r="O204" s="255"/>
      <c r="P204" s="1"/>
      <c r="Q204" s="255"/>
      <c r="R204" s="1"/>
      <c r="S204" s="255"/>
      <c r="T204" s="1"/>
      <c r="U204" s="1"/>
      <c r="V204" s="1"/>
    </row>
    <row r="205" spans="1:22">
      <c r="B205" s="162"/>
      <c r="C205" s="475" t="s">
        <v>132</v>
      </c>
      <c r="D205" s="182" t="s">
        <v>133</v>
      </c>
      <c r="E205" s="476" t="s">
        <v>134</v>
      </c>
      <c r="F205" s="476" t="s">
        <v>135</v>
      </c>
      <c r="G205" s="476" t="s">
        <v>136</v>
      </c>
      <c r="H205" s="476" t="s">
        <v>137</v>
      </c>
      <c r="I205" s="476" t="s">
        <v>138</v>
      </c>
      <c r="J205" s="250"/>
      <c r="K205" s="250"/>
      <c r="L205" s="114"/>
      <c r="M205" s="114"/>
      <c r="N205" s="254"/>
      <c r="O205" s="255"/>
      <c r="P205" s="1"/>
      <c r="Q205" s="255"/>
      <c r="R205" s="1"/>
      <c r="S205" s="255"/>
      <c r="T205" s="1"/>
      <c r="U205" s="1"/>
      <c r="V205" s="1"/>
    </row>
    <row r="206" spans="1:22">
      <c r="B206" s="183" t="s">
        <v>226</v>
      </c>
      <c r="C206" s="480">
        <v>1</v>
      </c>
      <c r="D206" s="480">
        <v>1</v>
      </c>
      <c r="E206" s="480">
        <v>1</v>
      </c>
      <c r="F206" s="480">
        <v>1</v>
      </c>
      <c r="G206" s="480">
        <v>1</v>
      </c>
      <c r="H206" s="480">
        <v>1</v>
      </c>
      <c r="I206" s="480">
        <v>1</v>
      </c>
      <c r="J206" s="251"/>
      <c r="K206" s="251"/>
      <c r="L206" s="114"/>
      <c r="M206" s="114"/>
      <c r="N206" s="254"/>
      <c r="O206" s="255"/>
      <c r="P206" s="1"/>
      <c r="Q206" s="255"/>
      <c r="R206" s="1"/>
      <c r="S206" s="255"/>
      <c r="T206" s="1"/>
      <c r="U206" s="1"/>
      <c r="V206" s="1"/>
    </row>
    <row r="207" spans="1:22">
      <c r="B207" s="183" t="s">
        <v>250</v>
      </c>
      <c r="C207" s="480">
        <v>1</v>
      </c>
      <c r="D207" s="480">
        <v>1</v>
      </c>
      <c r="E207" s="480">
        <v>1</v>
      </c>
      <c r="F207" s="480">
        <v>1</v>
      </c>
      <c r="G207" s="480">
        <v>1</v>
      </c>
      <c r="H207" s="480">
        <v>1</v>
      </c>
      <c r="I207" s="480">
        <v>1</v>
      </c>
      <c r="J207" s="251"/>
      <c r="K207" s="251"/>
      <c r="L207" s="114"/>
      <c r="M207" s="114"/>
      <c r="N207" s="254"/>
      <c r="O207" s="255"/>
      <c r="P207" s="1"/>
      <c r="Q207" s="255"/>
      <c r="R207" s="1"/>
      <c r="S207" s="255"/>
      <c r="T207" s="1"/>
      <c r="U207" s="1"/>
      <c r="V207" s="1"/>
    </row>
    <row r="208" spans="1:22">
      <c r="B208" s="183" t="s">
        <v>227</v>
      </c>
      <c r="C208" s="480">
        <v>1</v>
      </c>
      <c r="D208" s="480">
        <v>1</v>
      </c>
      <c r="E208" s="480">
        <v>1</v>
      </c>
      <c r="F208" s="480">
        <v>1</v>
      </c>
      <c r="G208" s="480">
        <v>1</v>
      </c>
      <c r="H208" s="480">
        <v>1</v>
      </c>
      <c r="I208" s="480">
        <v>1</v>
      </c>
      <c r="J208" s="251"/>
      <c r="K208" s="251"/>
      <c r="L208" s="114"/>
      <c r="M208" s="114"/>
      <c r="N208" s="114"/>
      <c r="O208" s="7"/>
      <c r="P208" s="7"/>
      <c r="Q208" s="7"/>
    </row>
    <row r="209" spans="1:17">
      <c r="B209" s="183" t="s">
        <v>228</v>
      </c>
      <c r="C209" s="480">
        <v>1</v>
      </c>
      <c r="D209" s="480">
        <v>1</v>
      </c>
      <c r="E209" s="480">
        <v>1</v>
      </c>
      <c r="F209" s="480">
        <v>1</v>
      </c>
      <c r="G209" s="480">
        <v>1</v>
      </c>
      <c r="H209" s="480">
        <v>1</v>
      </c>
      <c r="I209" s="480">
        <v>1</v>
      </c>
      <c r="J209" s="251"/>
      <c r="K209" s="251"/>
      <c r="L209" s="114"/>
      <c r="M209" s="114"/>
      <c r="N209" s="114"/>
      <c r="O209" s="7"/>
      <c r="P209" s="7"/>
      <c r="Q209" s="7"/>
    </row>
    <row r="210" spans="1:17">
      <c r="B210" s="183" t="s">
        <v>251</v>
      </c>
      <c r="C210" s="480">
        <v>1</v>
      </c>
      <c r="D210" s="480">
        <v>1</v>
      </c>
      <c r="E210" s="480">
        <v>1</v>
      </c>
      <c r="F210" s="480">
        <v>1</v>
      </c>
      <c r="G210" s="480">
        <v>1</v>
      </c>
      <c r="H210" s="480">
        <v>1</v>
      </c>
      <c r="I210" s="480">
        <v>1</v>
      </c>
      <c r="J210" s="251"/>
      <c r="K210" s="251"/>
      <c r="L210" s="114"/>
      <c r="M210" s="114"/>
      <c r="N210" s="114"/>
      <c r="O210" s="7"/>
      <c r="P210" s="7"/>
      <c r="Q210" s="7"/>
    </row>
    <row r="211" spans="1:17">
      <c r="B211" s="183" t="s">
        <v>229</v>
      </c>
      <c r="C211" s="480">
        <v>1</v>
      </c>
      <c r="D211" s="480">
        <v>1</v>
      </c>
      <c r="E211" s="480">
        <v>1</v>
      </c>
      <c r="F211" s="480">
        <v>1</v>
      </c>
      <c r="G211" s="480">
        <v>1</v>
      </c>
      <c r="H211" s="480">
        <v>1</v>
      </c>
      <c r="I211" s="480">
        <v>1</v>
      </c>
      <c r="J211" s="251"/>
      <c r="K211" s="251"/>
      <c r="L211" s="114"/>
      <c r="M211" s="114"/>
      <c r="N211" s="114"/>
      <c r="O211" s="7"/>
      <c r="P211" s="7"/>
      <c r="Q211" s="7"/>
    </row>
    <row r="212" spans="1:17">
      <c r="D212" s="7"/>
      <c r="E212" s="126"/>
      <c r="F212" s="112"/>
      <c r="G212" s="110"/>
      <c r="H212" s="110"/>
      <c r="I212" s="110"/>
      <c r="J212" s="113"/>
      <c r="K212" s="114"/>
      <c r="L212" s="114"/>
      <c r="M212" s="114"/>
      <c r="N212" s="114"/>
      <c r="O212" s="7"/>
      <c r="P212" s="7"/>
      <c r="Q212" s="7"/>
    </row>
    <row r="213" spans="1:17" s="39" customFormat="1" ht="18">
      <c r="A213" s="177"/>
      <c r="B213" s="39" t="s">
        <v>142</v>
      </c>
      <c r="D213" s="129"/>
      <c r="E213" s="130"/>
      <c r="J213" s="12" t="s">
        <v>1430</v>
      </c>
      <c r="K213"/>
      <c r="L213" s="922" t="s">
        <v>132</v>
      </c>
      <c r="M213" s="5" t="s">
        <v>67</v>
      </c>
      <c r="O213" s="129"/>
      <c r="P213" s="129"/>
      <c r="Q213" s="129"/>
    </row>
    <row r="214" spans="1:17">
      <c r="D214" s="7"/>
      <c r="E214" s="127"/>
      <c r="F214" s="128"/>
      <c r="G214" s="126"/>
      <c r="H214" s="126"/>
      <c r="I214" s="126"/>
      <c r="J214" s="126"/>
      <c r="K214" s="126"/>
      <c r="L214" s="126"/>
      <c r="M214" s="126"/>
      <c r="N214" s="126"/>
      <c r="O214" s="7"/>
      <c r="P214" s="7"/>
      <c r="Q214" s="7"/>
    </row>
    <row r="215" spans="1:17">
      <c r="B215" s="12" t="s">
        <v>1428</v>
      </c>
      <c r="C215" s="115" t="s">
        <v>1102</v>
      </c>
      <c r="F215" s="12"/>
      <c r="G215" s="7"/>
      <c r="H215" s="7"/>
    </row>
    <row r="216" spans="1:17">
      <c r="C216" s="426"/>
      <c r="G216" s="7"/>
      <c r="H216" s="7"/>
    </row>
    <row r="217" spans="1:17">
      <c r="B217" s="12" t="s">
        <v>64</v>
      </c>
      <c r="C217" s="115" t="s">
        <v>1662</v>
      </c>
      <c r="G217" s="7"/>
      <c r="H217" s="7"/>
    </row>
    <row r="218" spans="1:17">
      <c r="C218" s="426"/>
      <c r="G218" s="7"/>
      <c r="H218" s="7"/>
    </row>
    <row r="219" spans="1:17" ht="13.15" customHeight="1">
      <c r="B219" s="12" t="s">
        <v>65</v>
      </c>
      <c r="C219" s="798" t="s">
        <v>1105</v>
      </c>
      <c r="D219" s="798"/>
      <c r="E219" s="798"/>
      <c r="F219" s="798"/>
      <c r="G219" s="798"/>
      <c r="H219" s="798"/>
      <c r="I219" s="798"/>
      <c r="J219" s="798"/>
      <c r="K219" s="798"/>
      <c r="L219" s="798"/>
    </row>
    <row r="220" spans="1:17">
      <c r="C220" s="798"/>
      <c r="D220" s="798"/>
      <c r="E220" s="798"/>
      <c r="F220" s="798"/>
      <c r="G220" s="798"/>
      <c r="H220" s="798"/>
      <c r="I220" s="798"/>
      <c r="J220" s="798"/>
      <c r="K220" s="798"/>
      <c r="L220" s="798"/>
    </row>
    <row r="221" spans="1:17">
      <c r="B221" s="156" t="s">
        <v>1597</v>
      </c>
      <c r="C221" s="309"/>
      <c r="D221" s="309"/>
      <c r="E221" s="309"/>
      <c r="F221" s="309"/>
      <c r="G221" s="110"/>
      <c r="H221" s="156" t="s">
        <v>1598</v>
      </c>
      <c r="J221" s="7"/>
      <c r="K221" s="126"/>
      <c r="L221" s="112"/>
      <c r="M221" s="114"/>
      <c r="N221" s="114"/>
      <c r="O221" s="7"/>
      <c r="P221" s="7"/>
      <c r="Q221" s="7"/>
    </row>
    <row r="222" spans="1:17">
      <c r="D222" s="7"/>
      <c r="E222" s="126"/>
      <c r="F222" s="112"/>
      <c r="G222" s="110"/>
      <c r="J222" s="7"/>
      <c r="K222" s="126"/>
      <c r="L222" s="112"/>
      <c r="M222" s="114"/>
      <c r="N222" s="114"/>
      <c r="O222" s="7"/>
      <c r="P222" s="7"/>
      <c r="Q222" s="7"/>
    </row>
    <row r="223" spans="1:17">
      <c r="C223" s="1160" t="s">
        <v>74</v>
      </c>
      <c r="D223" s="1160"/>
      <c r="E223" s="1160"/>
      <c r="F223" s="1160"/>
      <c r="G223" s="158"/>
      <c r="I223" s="1160" t="s">
        <v>74</v>
      </c>
      <c r="J223" s="1160"/>
      <c r="K223" s="1160"/>
      <c r="L223" s="1160"/>
      <c r="M223" s="114"/>
      <c r="N223" s="114"/>
      <c r="O223" s="7"/>
      <c r="P223" s="7"/>
      <c r="Q223" s="7"/>
    </row>
    <row r="224" spans="1:17">
      <c r="B224" s="8" t="s">
        <v>48</v>
      </c>
      <c r="C224" s="8" t="str">
        <f>C182</f>
        <v>2011/12</v>
      </c>
      <c r="D224" s="8" t="str">
        <f>D182</f>
        <v>2012/13</v>
      </c>
      <c r="E224" s="8" t="str">
        <f>E182</f>
        <v>2013/14</v>
      </c>
      <c r="F224" s="8" t="str">
        <f>F182</f>
        <v>2014/15</v>
      </c>
      <c r="G224" s="7"/>
      <c r="H224" s="8" t="s">
        <v>48</v>
      </c>
      <c r="I224" s="8" t="str">
        <f>C224</f>
        <v>2011/12</v>
      </c>
      <c r="J224" s="8" t="str">
        <f>D224</f>
        <v>2012/13</v>
      </c>
      <c r="K224" s="8" t="str">
        <f>E224</f>
        <v>2013/14</v>
      </c>
      <c r="L224" s="8" t="str">
        <f>F224</f>
        <v>2014/15</v>
      </c>
      <c r="M224" s="114"/>
      <c r="N224" s="114"/>
      <c r="O224" s="7"/>
      <c r="P224" s="7"/>
      <c r="Q224" s="7"/>
    </row>
    <row r="225" spans="1:17">
      <c r="B225" s="8" t="s">
        <v>51</v>
      </c>
      <c r="C225" s="427">
        <v>0</v>
      </c>
      <c r="D225" s="427">
        <v>0</v>
      </c>
      <c r="E225" s="444">
        <v>0</v>
      </c>
      <c r="F225" s="444">
        <v>0</v>
      </c>
      <c r="G225" s="7"/>
      <c r="H225" s="8" t="s">
        <v>51</v>
      </c>
      <c r="I225" s="434">
        <v>0</v>
      </c>
      <c r="J225" s="434">
        <v>0</v>
      </c>
      <c r="K225" s="445">
        <v>0</v>
      </c>
      <c r="L225" s="446">
        <v>0</v>
      </c>
      <c r="M225" s="114"/>
      <c r="N225" s="114"/>
      <c r="O225" s="7"/>
      <c r="P225" s="7"/>
      <c r="Q225" s="7"/>
    </row>
    <row r="226" spans="1:17">
      <c r="B226" s="8" t="s">
        <v>52</v>
      </c>
      <c r="C226" s="427">
        <v>0</v>
      </c>
      <c r="D226" s="427">
        <v>0</v>
      </c>
      <c r="E226" s="444">
        <v>0</v>
      </c>
      <c r="F226" s="444">
        <v>0</v>
      </c>
      <c r="G226" s="7"/>
      <c r="H226" s="8" t="s">
        <v>52</v>
      </c>
      <c r="I226" s="434">
        <v>0</v>
      </c>
      <c r="J226" s="434">
        <v>0</v>
      </c>
      <c r="K226" s="445">
        <v>0</v>
      </c>
      <c r="L226" s="446">
        <v>0</v>
      </c>
      <c r="M226" s="114"/>
      <c r="N226" s="114"/>
      <c r="O226" s="7"/>
      <c r="P226" s="7"/>
      <c r="Q226" s="7"/>
    </row>
    <row r="227" spans="1:17">
      <c r="B227" s="8" t="s">
        <v>53</v>
      </c>
      <c r="C227" s="427">
        <v>0</v>
      </c>
      <c r="D227" s="427">
        <v>0</v>
      </c>
      <c r="E227" s="444">
        <v>0</v>
      </c>
      <c r="F227" s="444">
        <v>0</v>
      </c>
      <c r="G227" s="7"/>
      <c r="H227" s="8" t="s">
        <v>53</v>
      </c>
      <c r="I227" s="434">
        <v>0</v>
      </c>
      <c r="J227" s="434">
        <v>0</v>
      </c>
      <c r="K227" s="445">
        <v>0</v>
      </c>
      <c r="L227" s="446">
        <v>0</v>
      </c>
      <c r="M227" s="114"/>
      <c r="N227" s="114"/>
      <c r="O227" s="7"/>
      <c r="P227" s="7"/>
      <c r="Q227" s="7"/>
    </row>
    <row r="228" spans="1:17">
      <c r="B228" s="8" t="s">
        <v>54</v>
      </c>
      <c r="C228" s="427">
        <v>5</v>
      </c>
      <c r="D228" s="427">
        <v>6</v>
      </c>
      <c r="E228" s="444">
        <v>5</v>
      </c>
      <c r="F228" s="444">
        <v>5</v>
      </c>
      <c r="G228" s="7"/>
      <c r="H228" s="8" t="s">
        <v>54</v>
      </c>
      <c r="I228" s="434">
        <v>0</v>
      </c>
      <c r="J228" s="434">
        <v>0</v>
      </c>
      <c r="K228" s="445">
        <v>0</v>
      </c>
      <c r="L228" s="446">
        <v>0</v>
      </c>
      <c r="M228" s="114"/>
      <c r="N228" s="114"/>
      <c r="O228" s="7"/>
      <c r="P228" s="7"/>
      <c r="Q228" s="7"/>
    </row>
    <row r="229" spans="1:17">
      <c r="B229" s="8" t="s">
        <v>55</v>
      </c>
      <c r="C229" s="427">
        <v>10</v>
      </c>
      <c r="D229" s="427">
        <v>6.2404883747575592</v>
      </c>
      <c r="E229" s="444">
        <v>6.2903833039403345</v>
      </c>
      <c r="F229" s="444">
        <v>5.3129999999999997</v>
      </c>
      <c r="G229" s="7"/>
      <c r="H229" s="8" t="s">
        <v>55</v>
      </c>
      <c r="I229" s="434">
        <v>0</v>
      </c>
      <c r="J229" s="434">
        <v>0</v>
      </c>
      <c r="K229" s="445">
        <v>0</v>
      </c>
      <c r="L229" s="446">
        <v>0</v>
      </c>
      <c r="M229" s="114"/>
      <c r="N229" s="114"/>
      <c r="O229" s="7"/>
      <c r="P229" s="7"/>
      <c r="Q229" s="7"/>
    </row>
    <row r="230" spans="1:17">
      <c r="B230" s="8" t="s">
        <v>56</v>
      </c>
      <c r="C230" s="427">
        <v>13.261417944136868</v>
      </c>
      <c r="D230" s="427">
        <v>14.533460096936452</v>
      </c>
      <c r="E230" s="444">
        <v>9.4653713609210186</v>
      </c>
      <c r="F230" s="444">
        <v>12.776</v>
      </c>
      <c r="G230" s="7"/>
      <c r="H230" s="8" t="s">
        <v>56</v>
      </c>
      <c r="I230" s="434">
        <v>5</v>
      </c>
      <c r="J230" s="434">
        <v>8</v>
      </c>
      <c r="K230" s="445">
        <v>9</v>
      </c>
      <c r="L230" s="446">
        <v>5</v>
      </c>
      <c r="M230" s="114"/>
      <c r="N230" s="114"/>
      <c r="O230" s="7"/>
      <c r="P230" s="7"/>
      <c r="Q230" s="7"/>
    </row>
    <row r="231" spans="1:17">
      <c r="B231" s="8" t="s">
        <v>57</v>
      </c>
      <c r="C231" s="427">
        <v>369.52168829552835</v>
      </c>
      <c r="D231" s="427">
        <v>284.16769824634542</v>
      </c>
      <c r="E231" s="444">
        <v>246.4104823779723</v>
      </c>
      <c r="F231" s="444">
        <v>195.47399999999999</v>
      </c>
      <c r="G231" s="7"/>
      <c r="H231" s="8" t="s">
        <v>57</v>
      </c>
      <c r="I231" s="434">
        <v>83.673688033361344</v>
      </c>
      <c r="J231" s="434">
        <v>63.733648519642998</v>
      </c>
      <c r="K231" s="445">
        <v>50.870628664832935</v>
      </c>
      <c r="L231" s="446">
        <v>48.165999999999997</v>
      </c>
      <c r="M231" s="114"/>
      <c r="N231" s="114"/>
      <c r="O231" s="7"/>
      <c r="P231" s="7"/>
      <c r="Q231" s="7"/>
    </row>
    <row r="232" spans="1:17">
      <c r="B232" s="8" t="s">
        <v>58</v>
      </c>
      <c r="C232" s="427">
        <v>1787.8326946090772</v>
      </c>
      <c r="D232" s="427">
        <v>1582.6726400113669</v>
      </c>
      <c r="E232" s="444">
        <v>1326.0335411643637</v>
      </c>
      <c r="F232" s="444">
        <v>1165.2339999999999</v>
      </c>
      <c r="G232" s="7"/>
      <c r="H232" s="8" t="s">
        <v>58</v>
      </c>
      <c r="I232" s="434">
        <v>546.11352046019942</v>
      </c>
      <c r="J232" s="434">
        <v>443.52747580791174</v>
      </c>
      <c r="K232" s="445">
        <v>431.58139061025577</v>
      </c>
      <c r="L232" s="446">
        <v>312.798</v>
      </c>
      <c r="M232" s="114"/>
      <c r="N232" s="114"/>
      <c r="O232" s="7"/>
      <c r="P232" s="7"/>
      <c r="Q232" s="7"/>
    </row>
    <row r="233" spans="1:17">
      <c r="B233" s="8" t="s">
        <v>59</v>
      </c>
      <c r="C233" s="427">
        <v>877.2636336311823</v>
      </c>
      <c r="D233" s="427">
        <v>811.33364730892572</v>
      </c>
      <c r="E233" s="444">
        <v>796.95249270474028</v>
      </c>
      <c r="F233" s="444">
        <v>704.94399999999996</v>
      </c>
      <c r="G233" s="7"/>
      <c r="H233" s="8" t="s">
        <v>59</v>
      </c>
      <c r="I233" s="434">
        <v>227.08130887229143</v>
      </c>
      <c r="J233" s="434">
        <v>256.31271561402752</v>
      </c>
      <c r="K233" s="445">
        <v>257.90398154337004</v>
      </c>
      <c r="L233" s="446">
        <v>224.73</v>
      </c>
      <c r="M233" s="114"/>
      <c r="N233" s="114"/>
      <c r="O233" s="7"/>
      <c r="P233" s="7"/>
      <c r="Q233" s="7"/>
    </row>
    <row r="234" spans="1:17">
      <c r="B234" s="8" t="s">
        <v>60</v>
      </c>
      <c r="C234" s="427">
        <v>92.518907767117398</v>
      </c>
      <c r="D234" s="427">
        <v>154.8409620687512</v>
      </c>
      <c r="E234" s="444">
        <v>181.06313106533054</v>
      </c>
      <c r="F234" s="444">
        <v>141.85599999999999</v>
      </c>
      <c r="G234" s="7"/>
      <c r="H234" s="8" t="s">
        <v>60</v>
      </c>
      <c r="I234" s="434">
        <v>23.677443395293821</v>
      </c>
      <c r="J234" s="434">
        <v>59.122258458557809</v>
      </c>
      <c r="K234" s="445">
        <v>52.114732167224105</v>
      </c>
      <c r="L234" s="446">
        <v>22.268999999999998</v>
      </c>
      <c r="M234" s="114"/>
      <c r="N234" s="114"/>
      <c r="O234" s="7"/>
      <c r="P234" s="7"/>
      <c r="Q234" s="7"/>
    </row>
    <row r="235" spans="1:17">
      <c r="B235" s="8" t="s">
        <v>8</v>
      </c>
      <c r="C235" s="427">
        <f>SUM(C225:C234)</f>
        <v>3155.3983422470419</v>
      </c>
      <c r="D235" s="427">
        <f>SUM(D225:D234)</f>
        <v>2859.7888961070835</v>
      </c>
      <c r="E235" s="442">
        <f>SUM(E225:E234)</f>
        <v>2571.2154019772684</v>
      </c>
      <c r="F235" s="442">
        <f>SUM(F225:F234)</f>
        <v>2230.5969999999998</v>
      </c>
      <c r="G235" s="7"/>
      <c r="H235" s="8" t="s">
        <v>8</v>
      </c>
      <c r="I235" s="434">
        <f>SUM(I225:I234)</f>
        <v>885.54596076114603</v>
      </c>
      <c r="J235" s="434">
        <f>SUM(J225:J234)</f>
        <v>830.69609840014004</v>
      </c>
      <c r="K235" s="445">
        <f>SUM(K225:K234)</f>
        <v>801.47073298568284</v>
      </c>
      <c r="L235" s="445">
        <f>SUM(L225:L234)</f>
        <v>612.96299999999997</v>
      </c>
      <c r="M235" s="114"/>
      <c r="N235" s="114"/>
      <c r="O235" s="7"/>
      <c r="P235" s="7"/>
      <c r="Q235" s="7"/>
    </row>
    <row r="236" spans="1:17">
      <c r="A236" s="174">
        <f>G236+M236</f>
        <v>0</v>
      </c>
      <c r="C236">
        <f>SUM(C225:C234)-C235</f>
        <v>0</v>
      </c>
      <c r="D236">
        <f t="shared" ref="D236:L236" si="6">SUM(D225:D234)-D235</f>
        <v>0</v>
      </c>
      <c r="E236">
        <f t="shared" si="6"/>
        <v>0</v>
      </c>
      <c r="F236">
        <f t="shared" si="6"/>
        <v>0</v>
      </c>
      <c r="G236">
        <f>SUM(C236:F236)</f>
        <v>0</v>
      </c>
      <c r="I236">
        <f t="shared" si="6"/>
        <v>0</v>
      </c>
      <c r="J236">
        <f t="shared" si="6"/>
        <v>0</v>
      </c>
      <c r="K236">
        <f t="shared" si="6"/>
        <v>0</v>
      </c>
      <c r="L236">
        <f t="shared" si="6"/>
        <v>0</v>
      </c>
      <c r="M236">
        <f>SUM(I236:L236)</f>
        <v>0</v>
      </c>
      <c r="N236" s="114"/>
      <c r="O236" s="7"/>
      <c r="P236" s="7"/>
      <c r="Q236" s="7"/>
    </row>
    <row r="237" spans="1:17">
      <c r="N237" s="114"/>
      <c r="O237" s="7"/>
      <c r="P237" s="7"/>
      <c r="Q237" s="7"/>
    </row>
    <row r="238" spans="1:17">
      <c r="B238" s="156" t="s">
        <v>1599</v>
      </c>
      <c r="D238" s="7"/>
      <c r="E238" s="126"/>
      <c r="F238" s="112"/>
      <c r="G238" s="110"/>
      <c r="H238" s="156" t="s">
        <v>1600</v>
      </c>
      <c r="J238" s="7"/>
      <c r="K238" s="126"/>
      <c r="L238" s="112"/>
      <c r="M238" s="114"/>
      <c r="N238" s="114"/>
      <c r="O238" s="7"/>
      <c r="P238" s="7"/>
      <c r="Q238" s="7"/>
    </row>
    <row r="239" spans="1:17">
      <c r="D239" s="7"/>
      <c r="E239" s="126"/>
      <c r="F239" s="112"/>
      <c r="G239" s="110"/>
      <c r="J239" s="7"/>
      <c r="K239" s="126"/>
      <c r="L239" s="112"/>
      <c r="M239" s="114"/>
      <c r="N239" s="114"/>
      <c r="O239" s="7"/>
      <c r="P239" s="7"/>
      <c r="Q239" s="7"/>
    </row>
    <row r="240" spans="1:17">
      <c r="C240" s="1160" t="s">
        <v>74</v>
      </c>
      <c r="D240" s="1160"/>
      <c r="E240" s="1160"/>
      <c r="F240" s="1160"/>
      <c r="G240" s="158"/>
      <c r="I240" s="1160" t="s">
        <v>74</v>
      </c>
      <c r="J240" s="1160"/>
      <c r="K240" s="1160"/>
      <c r="L240" s="1160"/>
      <c r="M240" s="114"/>
      <c r="N240" s="114"/>
      <c r="O240" s="7"/>
      <c r="P240" s="7"/>
      <c r="Q240" s="7"/>
    </row>
    <row r="241" spans="1:17">
      <c r="B241" s="8" t="s">
        <v>48</v>
      </c>
      <c r="C241" s="8" t="str">
        <f>C224</f>
        <v>2011/12</v>
      </c>
      <c r="D241" s="8" t="str">
        <f>D224</f>
        <v>2012/13</v>
      </c>
      <c r="E241" s="8" t="str">
        <f>E224</f>
        <v>2013/14</v>
      </c>
      <c r="F241" s="8" t="str">
        <f>F224</f>
        <v>2014/15</v>
      </c>
      <c r="G241" s="7"/>
      <c r="H241" s="8" t="s">
        <v>48</v>
      </c>
      <c r="I241" s="8" t="str">
        <f>C241</f>
        <v>2011/12</v>
      </c>
      <c r="J241" s="8" t="str">
        <f>D241</f>
        <v>2012/13</v>
      </c>
      <c r="K241" s="8" t="str">
        <f>E241</f>
        <v>2013/14</v>
      </c>
      <c r="L241" s="8" t="str">
        <f>F241</f>
        <v>2014/15</v>
      </c>
      <c r="M241" s="114"/>
      <c r="N241" s="114"/>
      <c r="O241" s="7"/>
      <c r="P241" s="7"/>
      <c r="Q241" s="7"/>
    </row>
    <row r="242" spans="1:17">
      <c r="B242" s="8" t="s">
        <v>51</v>
      </c>
      <c r="C242" s="427">
        <v>0</v>
      </c>
      <c r="D242" s="427">
        <v>0</v>
      </c>
      <c r="E242" s="444">
        <v>0</v>
      </c>
      <c r="F242" s="444">
        <v>0</v>
      </c>
      <c r="G242" s="7"/>
      <c r="H242" s="8" t="s">
        <v>51</v>
      </c>
      <c r="I242" s="427">
        <v>0</v>
      </c>
      <c r="J242" s="427">
        <v>0</v>
      </c>
      <c r="K242" s="442">
        <v>0</v>
      </c>
      <c r="L242" s="443">
        <v>0</v>
      </c>
      <c r="M242" s="114"/>
      <c r="N242" s="114"/>
      <c r="O242" s="7"/>
      <c r="P242" s="7"/>
      <c r="Q242" s="7"/>
    </row>
    <row r="243" spans="1:17">
      <c r="B243" s="8" t="s">
        <v>52</v>
      </c>
      <c r="C243" s="427">
        <v>0</v>
      </c>
      <c r="D243" s="427">
        <v>0</v>
      </c>
      <c r="E243" s="444">
        <v>0</v>
      </c>
      <c r="F243" s="444">
        <v>0</v>
      </c>
      <c r="G243" s="7"/>
      <c r="H243" s="8" t="s">
        <v>52</v>
      </c>
      <c r="I243" s="427">
        <v>0</v>
      </c>
      <c r="J243" s="427">
        <v>0</v>
      </c>
      <c r="K243" s="442">
        <v>0</v>
      </c>
      <c r="L243" s="443">
        <v>0</v>
      </c>
      <c r="M243" s="114"/>
      <c r="N243" s="114"/>
      <c r="O243" s="7"/>
      <c r="P243" s="7"/>
      <c r="Q243" s="7"/>
    </row>
    <row r="244" spans="1:17">
      <c r="B244" s="8" t="s">
        <v>53</v>
      </c>
      <c r="C244" s="427">
        <v>0</v>
      </c>
      <c r="D244" s="427">
        <v>5.2198980137575228</v>
      </c>
      <c r="E244" s="444">
        <v>0</v>
      </c>
      <c r="F244" s="444">
        <v>5</v>
      </c>
      <c r="G244" s="7"/>
      <c r="H244" s="8" t="s">
        <v>53</v>
      </c>
      <c r="I244" s="427">
        <v>6</v>
      </c>
      <c r="J244" s="427">
        <v>0</v>
      </c>
      <c r="K244" s="442">
        <v>6</v>
      </c>
      <c r="L244" s="443">
        <v>5.8</v>
      </c>
      <c r="M244" s="114"/>
      <c r="N244" s="114"/>
      <c r="O244" s="7"/>
      <c r="P244" s="7"/>
      <c r="Q244" s="7"/>
    </row>
    <row r="245" spans="1:17">
      <c r="B245" s="8" t="s">
        <v>54</v>
      </c>
      <c r="C245" s="427">
        <v>5.1833722218271419</v>
      </c>
      <c r="D245" s="427">
        <v>5.1650819345768202</v>
      </c>
      <c r="E245" s="444">
        <v>11.568769737331507</v>
      </c>
      <c r="F245" s="444">
        <v>5</v>
      </c>
      <c r="G245" s="7"/>
      <c r="H245" s="8" t="s">
        <v>54</v>
      </c>
      <c r="I245" s="427">
        <v>8</v>
      </c>
      <c r="J245" s="427">
        <v>6.8744781754232855</v>
      </c>
      <c r="K245" s="442">
        <v>7</v>
      </c>
      <c r="L245" s="443">
        <v>7.9740000000000002</v>
      </c>
      <c r="M245" s="114"/>
      <c r="N245" s="114"/>
      <c r="O245" s="7"/>
      <c r="P245" s="7"/>
      <c r="Q245" s="7"/>
    </row>
    <row r="246" spans="1:17">
      <c r="B246" s="8" t="s">
        <v>55</v>
      </c>
      <c r="C246" s="427">
        <v>11.304897696008338</v>
      </c>
      <c r="D246" s="427">
        <v>14.489383405986436</v>
      </c>
      <c r="E246" s="444">
        <v>10</v>
      </c>
      <c r="F246" s="444">
        <v>6.3559999999999999</v>
      </c>
      <c r="G246" s="7"/>
      <c r="H246" s="8" t="s">
        <v>55</v>
      </c>
      <c r="I246" s="427">
        <v>18.254336204522581</v>
      </c>
      <c r="J246" s="427">
        <v>13.729707287802816</v>
      </c>
      <c r="K246" s="442">
        <v>18.382096525982238</v>
      </c>
      <c r="L246" s="443">
        <v>14.909000000000001</v>
      </c>
      <c r="M246" s="114"/>
      <c r="N246" s="114"/>
      <c r="O246" s="7"/>
      <c r="P246" s="7"/>
      <c r="Q246" s="7"/>
    </row>
    <row r="247" spans="1:17">
      <c r="B247" s="8" t="s">
        <v>56</v>
      </c>
      <c r="C247" s="427">
        <v>15.479362199489589</v>
      </c>
      <c r="D247" s="427">
        <v>17.6524700663137</v>
      </c>
      <c r="E247" s="444">
        <v>21.094845669305265</v>
      </c>
      <c r="F247" s="444">
        <v>10.555999999999999</v>
      </c>
      <c r="G247" s="7"/>
      <c r="H247" s="8" t="s">
        <v>56</v>
      </c>
      <c r="I247" s="427">
        <v>20.51227270266282</v>
      </c>
      <c r="J247" s="427">
        <v>20.778157040801002</v>
      </c>
      <c r="K247" s="442">
        <v>22.858079110702665</v>
      </c>
      <c r="L247" s="443">
        <v>17.003</v>
      </c>
      <c r="M247" s="114"/>
      <c r="N247" s="114"/>
      <c r="O247" s="7"/>
      <c r="P247" s="7"/>
      <c r="Q247" s="7"/>
    </row>
    <row r="248" spans="1:17">
      <c r="B248" s="8" t="s">
        <v>57</v>
      </c>
      <c r="C248" s="427">
        <v>465.45386940150826</v>
      </c>
      <c r="D248" s="427">
        <v>351.05884377606833</v>
      </c>
      <c r="E248" s="444">
        <v>280.61072192229182</v>
      </c>
      <c r="F248" s="444">
        <v>256.12599999999998</v>
      </c>
      <c r="G248" s="7"/>
      <c r="H248" s="8" t="s">
        <v>57</v>
      </c>
      <c r="I248" s="427">
        <v>456.0195439032583</v>
      </c>
      <c r="J248" s="427">
        <v>378.89749412430808</v>
      </c>
      <c r="K248" s="442">
        <v>332.3354552716209</v>
      </c>
      <c r="L248" s="443">
        <v>242.84700000000001</v>
      </c>
      <c r="M248" s="114"/>
      <c r="N248" s="114"/>
      <c r="O248" s="7"/>
      <c r="P248" s="7"/>
      <c r="Q248" s="7"/>
    </row>
    <row r="249" spans="1:17">
      <c r="B249" s="8" t="s">
        <v>58</v>
      </c>
      <c r="C249" s="427">
        <v>2162.6411778738161</v>
      </c>
      <c r="D249" s="427">
        <v>2021.0792304478903</v>
      </c>
      <c r="E249" s="444">
        <v>1923.5046637361959</v>
      </c>
      <c r="F249" s="444">
        <v>1732.048</v>
      </c>
      <c r="G249" s="7"/>
      <c r="H249" s="8" t="s">
        <v>58</v>
      </c>
      <c r="I249" s="427">
        <v>3488.1939081863043</v>
      </c>
      <c r="J249" s="427">
        <v>3005.8994200354009</v>
      </c>
      <c r="K249" s="442">
        <v>2759.6591411733389</v>
      </c>
      <c r="L249" s="443">
        <v>2239.1660000000002</v>
      </c>
      <c r="M249" s="114"/>
      <c r="N249" s="114"/>
      <c r="O249" s="7"/>
      <c r="P249" s="7"/>
      <c r="Q249" s="7"/>
    </row>
    <row r="250" spans="1:17">
      <c r="B250" s="8" t="s">
        <v>59</v>
      </c>
      <c r="C250" s="427">
        <v>1052.6667458015218</v>
      </c>
      <c r="D250" s="427">
        <v>1019.4551683976413</v>
      </c>
      <c r="E250" s="444">
        <v>920.1049607336106</v>
      </c>
      <c r="F250" s="444">
        <v>967.90499999999997</v>
      </c>
      <c r="G250" s="7"/>
      <c r="H250" s="8" t="s">
        <v>59</v>
      </c>
      <c r="I250" s="427">
        <v>1566.1906302463099</v>
      </c>
      <c r="J250" s="427">
        <v>1664.1885295382667</v>
      </c>
      <c r="K250" s="442">
        <v>1713.0421289358178</v>
      </c>
      <c r="L250" s="443">
        <v>1517.259</v>
      </c>
      <c r="M250" s="114"/>
      <c r="N250" s="114"/>
      <c r="O250" s="7"/>
      <c r="P250" s="7"/>
      <c r="Q250" s="7"/>
    </row>
    <row r="251" spans="1:17">
      <c r="B251" s="8" t="s">
        <v>60</v>
      </c>
      <c r="C251" s="427">
        <v>110.87995725839521</v>
      </c>
      <c r="D251" s="427">
        <v>117.21101924487898</v>
      </c>
      <c r="E251" s="444">
        <v>182.45236636243072</v>
      </c>
      <c r="F251" s="444">
        <v>115.874</v>
      </c>
      <c r="G251" s="7"/>
      <c r="H251" s="8" t="s">
        <v>60</v>
      </c>
      <c r="I251" s="427">
        <v>180.14015717626822</v>
      </c>
      <c r="J251" s="427">
        <v>233.46530733520493</v>
      </c>
      <c r="K251" s="442">
        <v>258.92519977314953</v>
      </c>
      <c r="L251" s="443">
        <v>202.33799999999999</v>
      </c>
      <c r="M251" s="114"/>
      <c r="N251" s="114"/>
      <c r="O251" s="7"/>
      <c r="P251" s="7"/>
      <c r="Q251" s="7"/>
    </row>
    <row r="252" spans="1:17">
      <c r="B252" s="8" t="s">
        <v>8</v>
      </c>
      <c r="C252" s="427">
        <f>SUM(C242:C251)</f>
        <v>3823.6093824525665</v>
      </c>
      <c r="D252" s="427">
        <f>SUM(D242:D251)</f>
        <v>3551.3310952871134</v>
      </c>
      <c r="E252" s="442">
        <f>SUM(E242:E251)</f>
        <v>3349.336328161166</v>
      </c>
      <c r="F252" s="442">
        <f>SUM(F242:F251)</f>
        <v>3098.8649999999998</v>
      </c>
      <c r="G252" s="7"/>
      <c r="H252" s="8" t="s">
        <v>8</v>
      </c>
      <c r="I252" s="427">
        <f>SUM(I242:I251)</f>
        <v>5743.3108484193262</v>
      </c>
      <c r="J252" s="427">
        <f>SUM(J242:J251)</f>
        <v>5323.8330935372078</v>
      </c>
      <c r="K252" s="442">
        <f>SUM(K242:K251)</f>
        <v>5118.2021007906123</v>
      </c>
      <c r="L252" s="442">
        <f>SUM(L242:L251)</f>
        <v>4247.2960000000003</v>
      </c>
      <c r="M252" s="114"/>
      <c r="N252" s="114"/>
      <c r="O252" s="7"/>
      <c r="P252" s="7"/>
      <c r="Q252" s="7"/>
    </row>
    <row r="253" spans="1:17">
      <c r="A253" s="174">
        <f>G253+M253</f>
        <v>0</v>
      </c>
      <c r="C253">
        <f>SUM(C242:C251)-C252</f>
        <v>0</v>
      </c>
      <c r="D253">
        <f>SUM(D242:D251)-D252</f>
        <v>0</v>
      </c>
      <c r="E253">
        <f>SUM(E242:E251)-E252</f>
        <v>0</v>
      </c>
      <c r="F253">
        <f>SUM(F242:F251)-F252</f>
        <v>0</v>
      </c>
      <c r="G253">
        <f>SUM(C253:F253)</f>
        <v>0</v>
      </c>
      <c r="I253">
        <f>SUM(I242:I251)-I252</f>
        <v>0</v>
      </c>
      <c r="J253">
        <f>SUM(J242:J251)-J252</f>
        <v>0</v>
      </c>
      <c r="K253">
        <f>SUM(K242:K251)-K252</f>
        <v>0</v>
      </c>
      <c r="L253">
        <f>SUM(L242:L251)-L252</f>
        <v>0</v>
      </c>
      <c r="M253">
        <f>SUM(I253:L253)</f>
        <v>0</v>
      </c>
      <c r="N253" s="114"/>
      <c r="O253" s="7"/>
      <c r="P253" s="7"/>
      <c r="Q253" s="7"/>
    </row>
    <row r="254" spans="1:17">
      <c r="D254" s="7"/>
      <c r="E254" s="126"/>
      <c r="F254" s="112"/>
      <c r="G254" s="110"/>
      <c r="H254" s="110"/>
      <c r="I254" s="110"/>
      <c r="J254" s="113"/>
      <c r="K254" s="114"/>
      <c r="L254" s="114"/>
      <c r="M254" s="114"/>
      <c r="N254" s="114"/>
      <c r="O254" s="7"/>
      <c r="P254" s="7"/>
      <c r="Q254" s="7"/>
    </row>
    <row r="255" spans="1:17" s="39" customFormat="1" ht="18">
      <c r="A255" s="177"/>
      <c r="B255" s="39" t="s">
        <v>502</v>
      </c>
      <c r="D255" s="129"/>
      <c r="E255" s="130"/>
      <c r="F255" s="12"/>
      <c r="J255" s="12" t="s">
        <v>1430</v>
      </c>
      <c r="K255"/>
      <c r="L255" s="922" t="s">
        <v>132</v>
      </c>
      <c r="M255" s="5" t="s">
        <v>67</v>
      </c>
      <c r="O255" s="129"/>
      <c r="P255" s="129"/>
      <c r="Q255" s="129"/>
    </row>
    <row r="256" spans="1:17">
      <c r="D256" s="7"/>
      <c r="E256" s="127"/>
      <c r="F256" s="128"/>
      <c r="G256" s="126"/>
      <c r="H256" s="126"/>
      <c r="I256" s="126"/>
      <c r="J256" s="126"/>
      <c r="K256" s="126"/>
      <c r="L256" s="126"/>
      <c r="M256" s="126"/>
      <c r="N256" s="126"/>
      <c r="O256" s="7"/>
      <c r="P256" s="7"/>
      <c r="Q256" s="7"/>
    </row>
    <row r="257" spans="2:17">
      <c r="B257" s="12" t="s">
        <v>1428</v>
      </c>
      <c r="C257" s="115" t="s">
        <v>1102</v>
      </c>
      <c r="F257" s="12"/>
      <c r="G257" s="7"/>
      <c r="H257" s="7"/>
    </row>
    <row r="258" spans="2:17">
      <c r="C258" s="426"/>
      <c r="G258" s="7"/>
      <c r="H258" s="7"/>
    </row>
    <row r="259" spans="2:17">
      <c r="B259" s="12" t="s">
        <v>64</v>
      </c>
      <c r="C259" s="115" t="s">
        <v>1663</v>
      </c>
      <c r="G259" s="7"/>
      <c r="H259" s="7"/>
    </row>
    <row r="260" spans="2:17">
      <c r="C260" s="409"/>
      <c r="G260" s="7"/>
      <c r="H260" s="7"/>
    </row>
    <row r="261" spans="2:17" ht="12.75" customHeight="1">
      <c r="B261" s="12" t="s">
        <v>65</v>
      </c>
      <c r="C261" s="1169" t="s">
        <v>1528</v>
      </c>
      <c r="D261" s="1169"/>
      <c r="E261" s="1169"/>
      <c r="F261" s="1169"/>
      <c r="G261" s="1169"/>
      <c r="H261" s="1169"/>
      <c r="I261" s="1169"/>
      <c r="J261" s="1169"/>
      <c r="K261" s="1169"/>
      <c r="L261" s="1169"/>
      <c r="M261" s="1169"/>
    </row>
    <row r="262" spans="2:17">
      <c r="C262" s="1169"/>
      <c r="D262" s="1169"/>
      <c r="E262" s="1169"/>
      <c r="F262" s="1169"/>
      <c r="G262" s="1169"/>
      <c r="H262" s="1169"/>
      <c r="I262" s="1169"/>
      <c r="J262" s="1169"/>
      <c r="K262" s="1169"/>
      <c r="L262" s="1169"/>
      <c r="M262" s="1169"/>
    </row>
    <row r="263" spans="2:17">
      <c r="C263" s="798"/>
      <c r="D263" s="798"/>
      <c r="E263" s="798"/>
      <c r="F263" s="798"/>
      <c r="G263" s="798"/>
      <c r="H263" s="798"/>
      <c r="I263" s="798"/>
      <c r="J263" s="798"/>
      <c r="K263" s="798"/>
      <c r="L263" s="798"/>
    </row>
    <row r="264" spans="2:17">
      <c r="B264" s="156" t="s">
        <v>1601</v>
      </c>
      <c r="D264" s="7"/>
      <c r="E264" s="126"/>
      <c r="F264" s="112"/>
      <c r="G264" s="110"/>
      <c r="H264" s="156" t="s">
        <v>1602</v>
      </c>
      <c r="J264" s="7"/>
      <c r="K264" s="126"/>
      <c r="L264" s="112"/>
      <c r="M264" s="114"/>
      <c r="N264" s="114"/>
      <c r="O264" s="7"/>
      <c r="P264" s="7"/>
      <c r="Q264" s="7"/>
    </row>
    <row r="265" spans="2:17">
      <c r="D265" s="7"/>
      <c r="E265" s="126"/>
      <c r="F265" s="112"/>
      <c r="G265" s="110"/>
      <c r="J265" s="7"/>
      <c r="K265" s="126"/>
      <c r="L265" s="112"/>
      <c r="M265" s="114"/>
      <c r="N265" s="114"/>
      <c r="O265" s="7"/>
      <c r="P265" s="7"/>
      <c r="Q265" s="7"/>
    </row>
    <row r="266" spans="2:17">
      <c r="C266" s="1160" t="s">
        <v>74</v>
      </c>
      <c r="D266" s="1160"/>
      <c r="E266" s="1160"/>
      <c r="F266" s="1160"/>
      <c r="G266" s="158"/>
      <c r="I266" s="1160" t="s">
        <v>74</v>
      </c>
      <c r="J266" s="1160"/>
      <c r="K266" s="1160"/>
      <c r="L266" s="1160"/>
      <c r="M266" s="114"/>
      <c r="N266" s="114"/>
      <c r="O266" s="7"/>
      <c r="P266" s="7"/>
      <c r="Q266" s="7"/>
    </row>
    <row r="267" spans="2:17">
      <c r="B267" s="8" t="s">
        <v>48</v>
      </c>
      <c r="C267" s="8" t="str">
        <f>C241</f>
        <v>2011/12</v>
      </c>
      <c r="D267" s="8" t="str">
        <f>D241</f>
        <v>2012/13</v>
      </c>
      <c r="E267" s="8" t="str">
        <f>E241</f>
        <v>2013/14</v>
      </c>
      <c r="F267" s="8" t="str">
        <f>F241</f>
        <v>2014/15</v>
      </c>
      <c r="G267" s="7"/>
      <c r="H267" s="8" t="s">
        <v>48</v>
      </c>
      <c r="I267" s="8" t="str">
        <f>I241</f>
        <v>2011/12</v>
      </c>
      <c r="J267" s="8" t="str">
        <f>J241</f>
        <v>2012/13</v>
      </c>
      <c r="K267" s="8" t="str">
        <f>K241</f>
        <v>2013/14</v>
      </c>
      <c r="L267" s="8" t="str">
        <f>L241</f>
        <v>2014/15</v>
      </c>
      <c r="M267" s="114"/>
      <c r="N267" s="114"/>
      <c r="O267" s="7"/>
      <c r="P267" s="7"/>
      <c r="Q267" s="7"/>
    </row>
    <row r="268" spans="2:17">
      <c r="B268" s="8" t="s">
        <v>51</v>
      </c>
      <c r="C268" s="427">
        <v>0</v>
      </c>
      <c r="D268" s="427">
        <v>0</v>
      </c>
      <c r="E268" s="442">
        <v>0</v>
      </c>
      <c r="F268" s="442">
        <v>0</v>
      </c>
      <c r="G268" s="372"/>
      <c r="H268" s="326" t="s">
        <v>51</v>
      </c>
      <c r="I268" s="427">
        <v>0</v>
      </c>
      <c r="J268" s="427">
        <v>0</v>
      </c>
      <c r="K268" s="442">
        <v>0</v>
      </c>
      <c r="L268" s="442">
        <v>0</v>
      </c>
      <c r="M268" s="114"/>
      <c r="N268" s="114"/>
      <c r="O268" s="7"/>
      <c r="P268" s="7"/>
      <c r="Q268" s="7"/>
    </row>
    <row r="269" spans="2:17">
      <c r="B269" s="8" t="s">
        <v>52</v>
      </c>
      <c r="C269" s="427">
        <v>0</v>
      </c>
      <c r="D269" s="427">
        <v>0</v>
      </c>
      <c r="E269" s="442">
        <v>0</v>
      </c>
      <c r="F269" s="442">
        <v>0</v>
      </c>
      <c r="G269" s="372"/>
      <c r="H269" s="326" t="s">
        <v>52</v>
      </c>
      <c r="I269" s="427">
        <v>0</v>
      </c>
      <c r="J269" s="427">
        <v>0</v>
      </c>
      <c r="K269" s="442">
        <v>0</v>
      </c>
      <c r="L269" s="442">
        <v>0</v>
      </c>
      <c r="M269" s="114"/>
      <c r="N269" s="114"/>
      <c r="O269" s="7"/>
      <c r="P269" s="7"/>
      <c r="Q269" s="7"/>
    </row>
    <row r="270" spans="2:17">
      <c r="B270" s="8" t="s">
        <v>53</v>
      </c>
      <c r="C270" s="427">
        <v>0</v>
      </c>
      <c r="D270" s="427">
        <v>0</v>
      </c>
      <c r="E270" s="442">
        <v>5</v>
      </c>
      <c r="F270" s="442">
        <v>5</v>
      </c>
      <c r="G270" s="372"/>
      <c r="H270" s="326" t="s">
        <v>53</v>
      </c>
      <c r="I270" s="427">
        <v>0</v>
      </c>
      <c r="J270" s="427">
        <v>0</v>
      </c>
      <c r="K270" s="442">
        <v>0</v>
      </c>
      <c r="L270" s="442">
        <v>0</v>
      </c>
      <c r="M270" s="114"/>
      <c r="N270" s="114"/>
      <c r="O270" s="7"/>
      <c r="P270" s="7"/>
      <c r="Q270" s="7"/>
    </row>
    <row r="271" spans="2:17">
      <c r="B271" s="8" t="s">
        <v>54</v>
      </c>
      <c r="C271" s="427">
        <v>8</v>
      </c>
      <c r="D271" s="427">
        <v>6</v>
      </c>
      <c r="E271" s="442">
        <v>5</v>
      </c>
      <c r="F271" s="442">
        <v>5</v>
      </c>
      <c r="G271" s="372"/>
      <c r="H271" s="326" t="s">
        <v>54</v>
      </c>
      <c r="I271" s="427">
        <v>0</v>
      </c>
      <c r="J271" s="427">
        <v>0</v>
      </c>
      <c r="K271" s="442">
        <v>0</v>
      </c>
      <c r="L271" s="442">
        <v>0</v>
      </c>
      <c r="M271" s="114"/>
      <c r="N271" s="114"/>
      <c r="O271" s="7"/>
      <c r="P271" s="7"/>
      <c r="Q271" s="7"/>
    </row>
    <row r="272" spans="2:17">
      <c r="B272" s="8" t="s">
        <v>55</v>
      </c>
      <c r="C272" s="427">
        <v>7.2327144433183017</v>
      </c>
      <c r="D272" s="427">
        <v>6.2727614430953551</v>
      </c>
      <c r="E272" s="442">
        <v>10.499515268564977</v>
      </c>
      <c r="F272" s="442">
        <v>10.499515268564977</v>
      </c>
      <c r="G272" s="372"/>
      <c r="H272" s="326" t="s">
        <v>55</v>
      </c>
      <c r="I272" s="427">
        <v>0</v>
      </c>
      <c r="J272" s="427">
        <v>0</v>
      </c>
      <c r="K272" s="442">
        <v>5.8389912717263632</v>
      </c>
      <c r="L272" s="442">
        <v>5.8389912717263632</v>
      </c>
      <c r="M272" s="114"/>
      <c r="N272" s="114"/>
      <c r="O272" s="7"/>
      <c r="P272" s="7"/>
      <c r="Q272" s="7"/>
    </row>
    <row r="273" spans="1:17">
      <c r="B273" s="8" t="s">
        <v>56</v>
      </c>
      <c r="C273" s="427">
        <v>8.2284208498437259</v>
      </c>
      <c r="D273" s="427">
        <v>9.3219421874936117</v>
      </c>
      <c r="E273" s="442">
        <v>7.3979789481219687</v>
      </c>
      <c r="F273" s="442">
        <v>7.3979789481219687</v>
      </c>
      <c r="G273" s="372"/>
      <c r="H273" s="326" t="s">
        <v>56</v>
      </c>
      <c r="I273" s="427">
        <v>6</v>
      </c>
      <c r="J273" s="427">
        <v>5.6502042535262884</v>
      </c>
      <c r="K273" s="442">
        <v>5.8372032605548529</v>
      </c>
      <c r="L273" s="442">
        <v>5.8372032605548529</v>
      </c>
      <c r="M273" s="114"/>
      <c r="N273" s="114"/>
      <c r="O273" s="7"/>
      <c r="P273" s="7"/>
      <c r="Q273" s="7"/>
    </row>
    <row r="274" spans="1:17">
      <c r="B274" s="8" t="s">
        <v>57</v>
      </c>
      <c r="C274" s="427">
        <v>10.2490907357759</v>
      </c>
      <c r="D274" s="427">
        <v>8.2860174023712041</v>
      </c>
      <c r="E274" s="442">
        <v>15.758658652230292</v>
      </c>
      <c r="F274" s="442">
        <v>15.758658652230292</v>
      </c>
      <c r="G274" s="372"/>
      <c r="H274" s="326" t="s">
        <v>57</v>
      </c>
      <c r="I274" s="427">
        <v>6</v>
      </c>
      <c r="J274" s="427">
        <v>5</v>
      </c>
      <c r="K274" s="442">
        <v>6</v>
      </c>
      <c r="L274" s="442">
        <v>6</v>
      </c>
      <c r="M274" s="114"/>
      <c r="N274" s="114"/>
      <c r="O274" s="7"/>
      <c r="P274" s="7"/>
      <c r="Q274" s="7"/>
    </row>
    <row r="275" spans="1:17">
      <c r="B275" s="8" t="s">
        <v>58</v>
      </c>
      <c r="C275" s="427">
        <v>18.36033907659052</v>
      </c>
      <c r="D275" s="427">
        <v>12.447810097253521</v>
      </c>
      <c r="E275" s="442">
        <v>7.3865637698661661</v>
      </c>
      <c r="F275" s="442">
        <v>7.3865637698661661</v>
      </c>
      <c r="G275" s="372"/>
      <c r="H275" s="326" t="s">
        <v>58</v>
      </c>
      <c r="I275" s="427">
        <v>6</v>
      </c>
      <c r="J275" s="427">
        <v>0</v>
      </c>
      <c r="K275" s="442">
        <v>6</v>
      </c>
      <c r="L275" s="442">
        <v>6</v>
      </c>
      <c r="M275" s="114"/>
      <c r="N275" s="114"/>
      <c r="O275" s="7"/>
      <c r="P275" s="7"/>
      <c r="Q275" s="7"/>
    </row>
    <row r="276" spans="1:17">
      <c r="B276" s="8" t="s">
        <v>59</v>
      </c>
      <c r="C276" s="427">
        <v>10</v>
      </c>
      <c r="D276" s="427">
        <v>6.3</v>
      </c>
      <c r="E276" s="442">
        <v>5.349739150370775</v>
      </c>
      <c r="F276" s="442">
        <v>5.349739150370775</v>
      </c>
      <c r="G276" s="372"/>
      <c r="H276" s="326" t="s">
        <v>59</v>
      </c>
      <c r="I276" s="427">
        <v>0</v>
      </c>
      <c r="J276" s="427">
        <v>0</v>
      </c>
      <c r="K276" s="442">
        <v>0</v>
      </c>
      <c r="L276" s="442">
        <v>0</v>
      </c>
      <c r="M276" s="114"/>
      <c r="N276" s="114"/>
      <c r="O276" s="7"/>
      <c r="P276" s="7"/>
      <c r="Q276" s="7"/>
    </row>
    <row r="277" spans="1:17">
      <c r="B277" s="8" t="s">
        <v>60</v>
      </c>
      <c r="C277" s="427">
        <v>0</v>
      </c>
      <c r="D277" s="427">
        <v>0</v>
      </c>
      <c r="E277" s="442">
        <v>5</v>
      </c>
      <c r="F277" s="442">
        <v>5</v>
      </c>
      <c r="G277" s="372"/>
      <c r="H277" s="326" t="s">
        <v>60</v>
      </c>
      <c r="I277" s="427">
        <v>0</v>
      </c>
      <c r="J277" s="427">
        <v>0</v>
      </c>
      <c r="K277" s="442">
        <v>0</v>
      </c>
      <c r="L277" s="442">
        <v>0</v>
      </c>
      <c r="M277" s="114"/>
      <c r="N277" s="114"/>
      <c r="O277" s="7"/>
      <c r="P277" s="7"/>
      <c r="Q277" s="7"/>
    </row>
    <row r="278" spans="1:17">
      <c r="B278" s="8" t="s">
        <v>8</v>
      </c>
      <c r="C278" s="427">
        <f>SUM(C268:C277)</f>
        <v>62.070565105528445</v>
      </c>
      <c r="D278" s="427">
        <f>SUM(D268:D277)</f>
        <v>48.628531130213688</v>
      </c>
      <c r="E278" s="442">
        <f>SUM(E268:E277)</f>
        <v>61.39245578915417</v>
      </c>
      <c r="F278" s="442">
        <f>SUM(F268:F277)</f>
        <v>61.39245578915417</v>
      </c>
      <c r="G278" s="7"/>
      <c r="H278" s="8" t="s">
        <v>8</v>
      </c>
      <c r="I278" s="427">
        <f>SUM(I268:I277)</f>
        <v>18</v>
      </c>
      <c r="J278" s="427">
        <f>SUM(J268:J277)</f>
        <v>10.650204253526288</v>
      </c>
      <c r="K278" s="442">
        <f>SUM(K268:K277)</f>
        <v>23.676194532281215</v>
      </c>
      <c r="L278" s="442">
        <f>SUM(L268:L277)</f>
        <v>23.676194532281215</v>
      </c>
      <c r="M278" s="114"/>
      <c r="N278" s="114"/>
      <c r="O278" s="7"/>
      <c r="P278" s="7"/>
      <c r="Q278" s="7"/>
    </row>
    <row r="279" spans="1:17">
      <c r="A279" s="174">
        <f>G279+M279</f>
        <v>0</v>
      </c>
      <c r="C279">
        <f>SUM(C268:C277)-C278</f>
        <v>0</v>
      </c>
      <c r="D279">
        <f>SUM(D268:D277)-D278</f>
        <v>0</v>
      </c>
      <c r="E279">
        <f>SUM(E268:E277)-E278</f>
        <v>0</v>
      </c>
      <c r="F279">
        <f>SUM(F268:F277)-F278</f>
        <v>0</v>
      </c>
      <c r="G279">
        <f>SUM(C279:F279)</f>
        <v>0</v>
      </c>
      <c r="I279">
        <f>SUM(I268:I277)-I278</f>
        <v>0</v>
      </c>
      <c r="J279">
        <f>SUM(J268:J277)-J278</f>
        <v>0</v>
      </c>
      <c r="K279">
        <f>SUM(K268:K277)-K278</f>
        <v>0</v>
      </c>
      <c r="L279">
        <f>SUM(L268:L277)-L278</f>
        <v>0</v>
      </c>
      <c r="M279">
        <f>SUM(I279:L279)</f>
        <v>0</v>
      </c>
      <c r="N279" s="114"/>
      <c r="O279" s="7"/>
      <c r="P279" s="7"/>
      <c r="Q279" s="7"/>
    </row>
    <row r="280" spans="1:17">
      <c r="N280" s="114"/>
      <c r="O280" s="7"/>
      <c r="P280" s="7"/>
      <c r="Q280" s="7"/>
    </row>
    <row r="281" spans="1:17">
      <c r="B281" s="156" t="s">
        <v>1603</v>
      </c>
      <c r="D281" s="7"/>
      <c r="E281" s="126"/>
      <c r="F281" s="112"/>
      <c r="G281" s="110"/>
      <c r="H281" s="156" t="s">
        <v>1604</v>
      </c>
      <c r="J281" s="7"/>
      <c r="K281" s="126"/>
      <c r="L281" s="112"/>
      <c r="M281" s="114"/>
      <c r="N281" s="114"/>
      <c r="O281" s="7"/>
      <c r="P281" s="7"/>
      <c r="Q281" s="7"/>
    </row>
    <row r="282" spans="1:17">
      <c r="D282" s="7"/>
      <c r="E282" s="126"/>
      <c r="F282" s="112"/>
      <c r="G282" s="110"/>
      <c r="J282" s="7"/>
      <c r="K282" s="126"/>
      <c r="L282" s="112"/>
      <c r="M282" s="114"/>
      <c r="N282" s="114"/>
      <c r="O282" s="7"/>
      <c r="P282" s="7"/>
      <c r="Q282" s="7"/>
    </row>
    <row r="283" spans="1:17">
      <c r="C283" s="1160" t="s">
        <v>74</v>
      </c>
      <c r="D283" s="1160"/>
      <c r="E283" s="1160"/>
      <c r="F283" s="1160"/>
      <c r="G283" s="158"/>
      <c r="I283" s="1160" t="s">
        <v>74</v>
      </c>
      <c r="J283" s="1160"/>
      <c r="K283" s="1160"/>
      <c r="L283" s="1160"/>
      <c r="M283" s="114"/>
      <c r="N283" s="114"/>
      <c r="O283" s="7"/>
      <c r="P283" s="7"/>
      <c r="Q283" s="7"/>
    </row>
    <row r="284" spans="1:17">
      <c r="B284" s="8" t="s">
        <v>48</v>
      </c>
      <c r="C284" s="8" t="str">
        <f>C267</f>
        <v>2011/12</v>
      </c>
      <c r="D284" s="8" t="str">
        <f>D267</f>
        <v>2012/13</v>
      </c>
      <c r="E284" s="8" t="str">
        <f>E267</f>
        <v>2013/14</v>
      </c>
      <c r="F284" s="8" t="str">
        <f>F267</f>
        <v>2014/15</v>
      </c>
      <c r="G284" s="7"/>
      <c r="H284" s="8" t="s">
        <v>48</v>
      </c>
      <c r="I284" s="8" t="str">
        <f>I267</f>
        <v>2011/12</v>
      </c>
      <c r="J284" s="8" t="str">
        <f>J267</f>
        <v>2012/13</v>
      </c>
      <c r="K284" s="8" t="str">
        <f>K267</f>
        <v>2013/14</v>
      </c>
      <c r="L284" s="8" t="str">
        <f>L267</f>
        <v>2014/15</v>
      </c>
      <c r="M284" s="114"/>
      <c r="N284" s="114"/>
      <c r="O284" s="7"/>
      <c r="P284" s="7"/>
      <c r="Q284" s="7"/>
    </row>
    <row r="285" spans="1:17">
      <c r="B285" s="8" t="s">
        <v>51</v>
      </c>
      <c r="C285" s="437">
        <v>0</v>
      </c>
      <c r="D285" s="437">
        <v>0</v>
      </c>
      <c r="E285" s="447">
        <v>0</v>
      </c>
      <c r="F285" s="447">
        <v>0</v>
      </c>
      <c r="G285" s="7"/>
      <c r="H285" s="8" t="s">
        <v>51</v>
      </c>
      <c r="I285" s="437">
        <v>0</v>
      </c>
      <c r="J285" s="437">
        <v>0</v>
      </c>
      <c r="K285" s="447">
        <v>0</v>
      </c>
      <c r="L285" s="447">
        <v>0</v>
      </c>
      <c r="M285" s="114"/>
      <c r="N285" s="114"/>
      <c r="O285" s="7"/>
      <c r="P285" s="7"/>
      <c r="Q285" s="7"/>
    </row>
    <row r="286" spans="1:17">
      <c r="B286" s="8" t="s">
        <v>52</v>
      </c>
      <c r="C286" s="437">
        <v>0</v>
      </c>
      <c r="D286" s="437">
        <v>0</v>
      </c>
      <c r="E286" s="447">
        <v>0</v>
      </c>
      <c r="F286" s="447">
        <v>0</v>
      </c>
      <c r="G286" s="7"/>
      <c r="H286" s="8" t="s">
        <v>52</v>
      </c>
      <c r="I286" s="437">
        <v>5</v>
      </c>
      <c r="J286" s="437">
        <v>5</v>
      </c>
      <c r="K286" s="447">
        <v>5</v>
      </c>
      <c r="L286" s="447">
        <v>5</v>
      </c>
      <c r="M286" s="114"/>
      <c r="N286" s="114"/>
      <c r="O286" s="7"/>
      <c r="P286" s="7"/>
      <c r="Q286" s="7"/>
    </row>
    <row r="287" spans="1:17">
      <c r="B287" s="8" t="s">
        <v>53</v>
      </c>
      <c r="C287" s="437">
        <v>7</v>
      </c>
      <c r="D287" s="437">
        <v>5</v>
      </c>
      <c r="E287" s="447">
        <v>0</v>
      </c>
      <c r="F287" s="447">
        <v>0</v>
      </c>
      <c r="G287" s="7"/>
      <c r="H287" s="8" t="s">
        <v>53</v>
      </c>
      <c r="I287" s="437">
        <v>5.7025235479576173</v>
      </c>
      <c r="J287" s="437">
        <v>5</v>
      </c>
      <c r="K287" s="447">
        <v>5</v>
      </c>
      <c r="L287" s="447">
        <v>5</v>
      </c>
      <c r="M287" s="114"/>
      <c r="N287" s="114"/>
      <c r="O287" s="7"/>
      <c r="P287" s="7"/>
      <c r="Q287" s="7"/>
    </row>
    <row r="288" spans="1:17">
      <c r="B288" s="8" t="s">
        <v>54</v>
      </c>
      <c r="C288" s="437">
        <v>6.1082325657801313</v>
      </c>
      <c r="D288" s="437">
        <v>6</v>
      </c>
      <c r="E288" s="447">
        <v>5</v>
      </c>
      <c r="F288" s="447">
        <v>5</v>
      </c>
      <c r="G288" s="7"/>
      <c r="H288" s="8" t="s">
        <v>54</v>
      </c>
      <c r="I288" s="437">
        <v>13.595595121340223</v>
      </c>
      <c r="J288" s="437">
        <v>5.7155458989097276</v>
      </c>
      <c r="K288" s="447">
        <v>6.9123598478330042</v>
      </c>
      <c r="L288" s="447">
        <v>6.9123598478330042</v>
      </c>
      <c r="M288" s="114"/>
      <c r="N288" s="114"/>
      <c r="O288" s="7"/>
      <c r="P288" s="7"/>
      <c r="Q288" s="7"/>
    </row>
    <row r="289" spans="1:17">
      <c r="B289" s="8" t="s">
        <v>55</v>
      </c>
      <c r="C289" s="437">
        <v>6.1958057686078831</v>
      </c>
      <c r="D289" s="437">
        <v>5</v>
      </c>
      <c r="E289" s="447">
        <v>5</v>
      </c>
      <c r="F289" s="447">
        <v>5</v>
      </c>
      <c r="G289" s="7"/>
      <c r="H289" s="8" t="s">
        <v>55</v>
      </c>
      <c r="I289" s="437">
        <v>12.552757060678232</v>
      </c>
      <c r="J289" s="437">
        <v>11.432679861014359</v>
      </c>
      <c r="K289" s="447">
        <v>10.259290626663125</v>
      </c>
      <c r="L289" s="447">
        <v>10.259290626663125</v>
      </c>
      <c r="M289" s="114"/>
      <c r="N289" s="114"/>
      <c r="O289" s="7"/>
      <c r="P289" s="7"/>
      <c r="Q289" s="7"/>
    </row>
    <row r="290" spans="1:17">
      <c r="B290" s="8" t="s">
        <v>56</v>
      </c>
      <c r="C290" s="437">
        <v>9.2960810662243727</v>
      </c>
      <c r="D290" s="437">
        <v>7.2040218891732986</v>
      </c>
      <c r="E290" s="447">
        <v>5.2169483907906198</v>
      </c>
      <c r="F290" s="447">
        <v>5.2169483907906198</v>
      </c>
      <c r="G290" s="7"/>
      <c r="H290" s="8" t="s">
        <v>56</v>
      </c>
      <c r="I290" s="437">
        <v>21.657101101375716</v>
      </c>
      <c r="J290" s="437">
        <v>13.627437389259152</v>
      </c>
      <c r="K290" s="447">
        <v>16.064145776656506</v>
      </c>
      <c r="L290" s="447">
        <v>16.064145776656506</v>
      </c>
      <c r="M290" s="114"/>
      <c r="N290" s="114"/>
      <c r="O290" s="7"/>
      <c r="P290" s="7"/>
      <c r="Q290" s="7"/>
    </row>
    <row r="291" spans="1:17">
      <c r="B291" s="8" t="s">
        <v>57</v>
      </c>
      <c r="C291" s="437">
        <v>13.374083457771565</v>
      </c>
      <c r="D291" s="437">
        <v>11.388891269696234</v>
      </c>
      <c r="E291" s="447">
        <v>5.2891654162038906</v>
      </c>
      <c r="F291" s="447">
        <v>5.2891654162038906</v>
      </c>
      <c r="G291" s="7"/>
      <c r="H291" s="8" t="s">
        <v>57</v>
      </c>
      <c r="I291" s="437">
        <v>15.399189573332878</v>
      </c>
      <c r="J291" s="437">
        <v>14.762601969363557</v>
      </c>
      <c r="K291" s="447">
        <v>11.388067906555701</v>
      </c>
      <c r="L291" s="447">
        <v>11.388067906555701</v>
      </c>
      <c r="M291" s="114"/>
      <c r="N291" s="114"/>
      <c r="O291" s="7"/>
      <c r="P291" s="7"/>
      <c r="Q291" s="7"/>
    </row>
    <row r="292" spans="1:17">
      <c r="B292" s="8" t="s">
        <v>58</v>
      </c>
      <c r="C292" s="437">
        <v>14.387111843396568</v>
      </c>
      <c r="D292" s="437">
        <v>9.3463630603078798</v>
      </c>
      <c r="E292" s="447">
        <v>16.879953480177065</v>
      </c>
      <c r="F292" s="447">
        <v>16.879953480177065</v>
      </c>
      <c r="G292" s="7"/>
      <c r="H292" s="8" t="s">
        <v>58</v>
      </c>
      <c r="I292" s="437">
        <v>26.882826158706916</v>
      </c>
      <c r="J292" s="437">
        <v>10</v>
      </c>
      <c r="K292" s="447">
        <v>14.40014398397507</v>
      </c>
      <c r="L292" s="447">
        <v>14.40014398397507</v>
      </c>
      <c r="M292" s="114"/>
      <c r="N292" s="114"/>
      <c r="O292" s="7"/>
      <c r="P292" s="7"/>
      <c r="Q292" s="7"/>
    </row>
    <row r="293" spans="1:17">
      <c r="B293" s="8" t="s">
        <v>59</v>
      </c>
      <c r="C293" s="437">
        <v>7</v>
      </c>
      <c r="D293" s="437">
        <v>8</v>
      </c>
      <c r="E293" s="447">
        <v>5</v>
      </c>
      <c r="F293" s="447">
        <v>5</v>
      </c>
      <c r="G293" s="7"/>
      <c r="H293" s="8" t="s">
        <v>59</v>
      </c>
      <c r="I293" s="437">
        <v>5</v>
      </c>
      <c r="J293" s="437">
        <v>5</v>
      </c>
      <c r="K293" s="447">
        <v>5</v>
      </c>
      <c r="L293" s="447">
        <v>5</v>
      </c>
      <c r="M293" s="114"/>
      <c r="N293" s="114"/>
      <c r="O293" s="7"/>
      <c r="P293" s="7"/>
      <c r="Q293" s="7"/>
    </row>
    <row r="294" spans="1:17">
      <c r="B294" s="8" t="s">
        <v>60</v>
      </c>
      <c r="C294" s="437">
        <v>0</v>
      </c>
      <c r="D294" s="437">
        <v>5</v>
      </c>
      <c r="E294" s="447">
        <v>5</v>
      </c>
      <c r="F294" s="447">
        <v>5</v>
      </c>
      <c r="G294" s="7"/>
      <c r="H294" s="8" t="s">
        <v>60</v>
      </c>
      <c r="I294" s="437">
        <v>0</v>
      </c>
      <c r="J294" s="437">
        <v>0</v>
      </c>
      <c r="K294" s="447">
        <v>0</v>
      </c>
      <c r="L294" s="447">
        <v>0</v>
      </c>
      <c r="M294" s="114"/>
      <c r="N294" s="114"/>
      <c r="O294" s="7"/>
      <c r="P294" s="7"/>
      <c r="Q294" s="7"/>
    </row>
    <row r="295" spans="1:17">
      <c r="B295" s="8" t="s">
        <v>8</v>
      </c>
      <c r="C295" s="427">
        <f>SUM(C285:C294)</f>
        <v>63.361314701780515</v>
      </c>
      <c r="D295" s="427">
        <f>SUM(D285:D294)</f>
        <v>56.939276219177415</v>
      </c>
      <c r="E295" s="442">
        <f>SUM(E285:E294)</f>
        <v>47.386067287171571</v>
      </c>
      <c r="F295" s="442">
        <f>SUM(F285:F294)</f>
        <v>47.386067287171571</v>
      </c>
      <c r="G295" s="7"/>
      <c r="H295" s="8" t="s">
        <v>8</v>
      </c>
      <c r="I295" s="427">
        <f>SUM(I285:I294)</f>
        <v>105.78999256339159</v>
      </c>
      <c r="J295" s="427">
        <f>SUM(J285:J294)</f>
        <v>70.538265118546803</v>
      </c>
      <c r="K295" s="442">
        <f>SUM(K285:K294)</f>
        <v>74.02400814168341</v>
      </c>
      <c r="L295" s="442">
        <f>SUM(L285:L294)</f>
        <v>74.02400814168341</v>
      </c>
      <c r="M295" s="114"/>
      <c r="N295" s="114"/>
      <c r="O295" s="7"/>
      <c r="P295" s="7"/>
      <c r="Q295" s="7"/>
    </row>
    <row r="296" spans="1:17">
      <c r="A296" s="174">
        <f>G296+M296</f>
        <v>0</v>
      </c>
      <c r="C296">
        <f>SUM(C285:C294)-C295</f>
        <v>0</v>
      </c>
      <c r="D296">
        <f>SUM(D285:D294)-D295</f>
        <v>0</v>
      </c>
      <c r="E296">
        <f>SUM(E285:E294)-E295</f>
        <v>0</v>
      </c>
      <c r="F296">
        <f>SUM(F285:F294)-F295</f>
        <v>0</v>
      </c>
      <c r="G296">
        <f>SUM(C296:F296)</f>
        <v>0</v>
      </c>
      <c r="I296">
        <f>SUM(I285:I294)-I295</f>
        <v>0</v>
      </c>
      <c r="J296">
        <f>SUM(J285:J294)-J295</f>
        <v>0</v>
      </c>
      <c r="K296">
        <f>SUM(K285:K294)-K295</f>
        <v>0</v>
      </c>
      <c r="L296">
        <f>SUM(L285:L294)-L295</f>
        <v>0</v>
      </c>
      <c r="M296">
        <f>SUM(I296:L296)</f>
        <v>0</v>
      </c>
      <c r="N296" s="114"/>
      <c r="O296" s="7"/>
      <c r="P296" s="7"/>
      <c r="Q296" s="7"/>
    </row>
    <row r="297" spans="1:17">
      <c r="D297" s="7"/>
      <c r="E297" s="126"/>
      <c r="F297" s="112"/>
      <c r="G297" s="110"/>
      <c r="H297" s="110"/>
      <c r="I297" s="110"/>
      <c r="J297" s="113"/>
      <c r="K297" s="114"/>
      <c r="L297" s="114"/>
      <c r="M297" s="114"/>
      <c r="N297" s="114"/>
      <c r="O297" s="7"/>
      <c r="P297" s="7"/>
      <c r="Q297" s="7"/>
    </row>
    <row r="298" spans="1:17" ht="18">
      <c r="B298" s="39" t="s">
        <v>146</v>
      </c>
      <c r="C298" s="39"/>
      <c r="D298" s="129"/>
      <c r="E298" s="130"/>
      <c r="F298" s="12"/>
      <c r="J298" s="12" t="s">
        <v>1430</v>
      </c>
      <c r="L298" s="922" t="s">
        <v>132</v>
      </c>
      <c r="M298" s="5" t="s">
        <v>67</v>
      </c>
      <c r="N298" s="126"/>
      <c r="O298" s="7"/>
      <c r="P298" s="7"/>
      <c r="Q298" s="7"/>
    </row>
    <row r="299" spans="1:17">
      <c r="D299" s="7"/>
      <c r="E299" s="127"/>
      <c r="F299" s="128"/>
      <c r="G299" s="126"/>
      <c r="H299" s="126"/>
      <c r="I299" s="126"/>
      <c r="J299" s="126"/>
      <c r="K299" s="126"/>
      <c r="L299" s="126"/>
      <c r="M299" s="126"/>
      <c r="N299" s="126"/>
      <c r="O299" s="7"/>
      <c r="P299" s="7"/>
      <c r="Q299" s="7"/>
    </row>
    <row r="300" spans="1:17">
      <c r="B300" s="12" t="s">
        <v>1428</v>
      </c>
      <c r="C300" s="115" t="s">
        <v>1100</v>
      </c>
      <c r="D300" s="426"/>
      <c r="E300" s="426"/>
      <c r="F300" s="426"/>
      <c r="G300" s="429"/>
      <c r="H300" s="429"/>
      <c r="I300" s="426"/>
      <c r="J300" s="426"/>
      <c r="K300" s="426"/>
      <c r="L300" s="426"/>
      <c r="M300" s="126"/>
      <c r="N300" s="126"/>
      <c r="O300" s="7"/>
      <c r="P300" s="7"/>
      <c r="Q300" s="7"/>
    </row>
    <row r="301" spans="1:17">
      <c r="C301" s="426"/>
      <c r="D301" s="426"/>
      <c r="E301" s="426"/>
      <c r="F301" s="426"/>
      <c r="G301" s="429"/>
      <c r="H301" s="429"/>
      <c r="I301" s="426"/>
      <c r="J301" s="426"/>
      <c r="K301" s="426"/>
      <c r="L301" s="426"/>
      <c r="M301" s="126"/>
      <c r="N301" s="126"/>
      <c r="O301" s="7"/>
      <c r="P301" s="7"/>
      <c r="Q301" s="7"/>
    </row>
    <row r="302" spans="1:17" ht="13.15" customHeight="1">
      <c r="B302" s="12" t="s">
        <v>64</v>
      </c>
      <c r="C302" s="798" t="s">
        <v>1432</v>
      </c>
      <c r="D302" s="798"/>
      <c r="E302" s="798"/>
      <c r="F302" s="798"/>
      <c r="G302" s="798"/>
      <c r="H302" s="798"/>
      <c r="I302" s="798"/>
      <c r="J302" s="798"/>
      <c r="K302" s="798"/>
      <c r="L302" s="798"/>
      <c r="M302" s="126"/>
      <c r="N302" s="126"/>
      <c r="O302" s="7"/>
      <c r="P302" s="7"/>
      <c r="Q302" s="7"/>
    </row>
    <row r="303" spans="1:17">
      <c r="C303" s="422"/>
      <c r="D303" s="422"/>
      <c r="E303" s="422"/>
      <c r="F303" s="422"/>
      <c r="G303" s="422"/>
      <c r="H303" s="422"/>
      <c r="I303" s="422"/>
      <c r="J303" s="422"/>
      <c r="K303" s="422"/>
      <c r="L303" s="422"/>
      <c r="M303" s="126"/>
      <c r="N303" s="126"/>
      <c r="O303" s="7"/>
      <c r="P303" s="7"/>
      <c r="Q303" s="7"/>
    </row>
    <row r="304" spans="1:17" ht="13.15" customHeight="1">
      <c r="B304" s="12" t="s">
        <v>65</v>
      </c>
      <c r="C304" s="798" t="s">
        <v>1106</v>
      </c>
      <c r="D304" s="798"/>
      <c r="E304" s="798"/>
      <c r="F304" s="798"/>
      <c r="G304" s="798"/>
      <c r="H304" s="798"/>
      <c r="I304" s="798"/>
      <c r="J304" s="798"/>
      <c r="K304" s="798"/>
      <c r="L304" s="798"/>
      <c r="M304" s="126"/>
      <c r="N304" s="126"/>
      <c r="O304" s="7"/>
      <c r="P304" s="7"/>
      <c r="Q304" s="7"/>
    </row>
    <row r="305" spans="2:17" ht="13.15" customHeight="1">
      <c r="B305" s="12"/>
      <c r="C305" s="798"/>
      <c r="D305" s="798"/>
      <c r="E305" s="798"/>
      <c r="F305" s="798"/>
      <c r="G305" s="798"/>
      <c r="H305" s="798"/>
      <c r="I305" s="798"/>
      <c r="J305" s="798"/>
      <c r="K305" s="798"/>
      <c r="L305" s="798"/>
      <c r="M305" s="126"/>
      <c r="N305" s="126"/>
      <c r="O305" s="7"/>
      <c r="P305" s="7"/>
      <c r="Q305" s="7"/>
    </row>
    <row r="306" spans="2:17">
      <c r="C306" s="1169" t="s">
        <v>1416</v>
      </c>
      <c r="D306" s="1169"/>
      <c r="E306" s="1169"/>
      <c r="F306" s="1169"/>
      <c r="G306" s="1169"/>
      <c r="H306" s="1169"/>
      <c r="I306" s="1169"/>
      <c r="J306" s="1169"/>
      <c r="K306" s="1169"/>
      <c r="L306" s="1169"/>
      <c r="M306" s="1169"/>
      <c r="N306" s="126"/>
      <c r="O306" s="7"/>
      <c r="P306" s="7"/>
      <c r="Q306" s="7"/>
    </row>
    <row r="307" spans="2:17">
      <c r="C307" s="1169"/>
      <c r="D307" s="1169"/>
      <c r="E307" s="1169"/>
      <c r="F307" s="1169"/>
      <c r="G307" s="1169"/>
      <c r="H307" s="1169"/>
      <c r="I307" s="1169"/>
      <c r="J307" s="1169"/>
      <c r="K307" s="1169"/>
      <c r="L307" s="1169"/>
      <c r="M307" s="1169"/>
      <c r="N307" s="126"/>
      <c r="O307" s="7"/>
      <c r="P307" s="7"/>
      <c r="Q307" s="7"/>
    </row>
    <row r="308" spans="2:17">
      <c r="C308" s="1169"/>
      <c r="D308" s="1169"/>
      <c r="E308" s="1169"/>
      <c r="F308" s="1169"/>
      <c r="G308" s="1169"/>
      <c r="H308" s="1169"/>
      <c r="I308" s="1169"/>
      <c r="J308" s="1169"/>
      <c r="K308" s="1169"/>
      <c r="L308" s="1169"/>
      <c r="M308" s="1169"/>
      <c r="N308" s="126"/>
      <c r="O308" s="7"/>
      <c r="P308" s="7"/>
      <c r="Q308" s="7"/>
    </row>
    <row r="309" spans="2:17">
      <c r="C309" s="1169"/>
      <c r="D309" s="1169"/>
      <c r="E309" s="1169"/>
      <c r="F309" s="1169"/>
      <c r="G309" s="1169"/>
      <c r="H309" s="1169"/>
      <c r="I309" s="1169"/>
      <c r="J309" s="1169"/>
      <c r="K309" s="1169"/>
      <c r="L309" s="1169"/>
      <c r="M309" s="1169"/>
      <c r="N309" s="126"/>
      <c r="O309" s="7"/>
      <c r="P309" s="7"/>
      <c r="Q309" s="7"/>
    </row>
    <row r="310" spans="2:17">
      <c r="C310" s="798"/>
      <c r="D310" s="798"/>
      <c r="E310" s="798"/>
      <c r="F310" s="798"/>
      <c r="G310" s="798"/>
      <c r="H310" s="798"/>
      <c r="I310" s="798"/>
      <c r="J310" s="798"/>
      <c r="K310" s="798"/>
      <c r="L310" s="798"/>
      <c r="M310" s="126"/>
      <c r="N310" s="126"/>
      <c r="O310" s="7"/>
      <c r="P310" s="7"/>
      <c r="Q310" s="7"/>
    </row>
    <row r="311" spans="2:17">
      <c r="B311" s="156" t="s">
        <v>147</v>
      </c>
      <c r="D311" s="7"/>
      <c r="E311" s="126"/>
      <c r="F311" s="112"/>
      <c r="G311" s="110"/>
      <c r="H311" s="156"/>
      <c r="I311" s="7"/>
      <c r="J311" s="7"/>
      <c r="K311" s="126"/>
      <c r="L311" s="112"/>
      <c r="M311" s="126"/>
      <c r="N311" s="126"/>
      <c r="O311" s="7"/>
      <c r="P311" s="7"/>
      <c r="Q311" s="7"/>
    </row>
    <row r="312" spans="2:17">
      <c r="D312" s="7"/>
      <c r="E312" s="126"/>
      <c r="F312" s="112"/>
      <c r="G312" s="110"/>
      <c r="H312" s="7"/>
      <c r="I312" s="7"/>
      <c r="J312" s="7"/>
      <c r="K312" s="126"/>
      <c r="L312" s="112"/>
      <c r="M312" s="126"/>
      <c r="N312" s="126"/>
      <c r="O312" s="7"/>
      <c r="P312" s="7"/>
      <c r="Q312" s="7"/>
    </row>
    <row r="313" spans="2:17">
      <c r="C313" s="1160" t="s">
        <v>74</v>
      </c>
      <c r="D313" s="1160"/>
      <c r="E313" s="1160"/>
      <c r="F313" s="1160"/>
      <c r="G313" s="158"/>
      <c r="H313" s="7"/>
      <c r="I313" s="1159"/>
      <c r="J313" s="1159"/>
      <c r="K313" s="1159"/>
      <c r="L313" s="1159"/>
      <c r="M313" s="126"/>
      <c r="N313" s="126"/>
      <c r="O313" s="7"/>
      <c r="P313" s="7"/>
      <c r="Q313" s="7"/>
    </row>
    <row r="314" spans="2:17">
      <c r="B314" s="8" t="s">
        <v>48</v>
      </c>
      <c r="C314" s="8" t="str">
        <f>C267</f>
        <v>2011/12</v>
      </c>
      <c r="D314" s="8" t="str">
        <f>D267</f>
        <v>2012/13</v>
      </c>
      <c r="E314" s="8" t="str">
        <f>E267</f>
        <v>2013/14</v>
      </c>
      <c r="F314" s="8" t="str">
        <f>F267</f>
        <v>2014/15</v>
      </c>
      <c r="G314" s="7"/>
      <c r="H314" s="124"/>
      <c r="I314" s="167"/>
      <c r="J314" s="167"/>
      <c r="K314" s="167"/>
      <c r="L314" s="167"/>
      <c r="M314" s="167"/>
      <c r="N314" s="126"/>
      <c r="O314" s="7"/>
      <c r="P314" s="7"/>
      <c r="Q314" s="7"/>
    </row>
    <row r="315" spans="2:17">
      <c r="B315" s="8" t="s">
        <v>51</v>
      </c>
      <c r="C315" s="427">
        <v>7080.8630000000003</v>
      </c>
      <c r="D315" s="427">
        <v>7796.5879999999997</v>
      </c>
      <c r="E315" s="442">
        <v>8377.4660000000003</v>
      </c>
      <c r="F315" s="443">
        <v>9014.5609999999997</v>
      </c>
      <c r="G315" s="7"/>
      <c r="H315" s="124"/>
      <c r="I315" s="124"/>
      <c r="J315" s="756"/>
      <c r="K315" s="756"/>
      <c r="L315" s="756"/>
      <c r="M315" s="756"/>
      <c r="N315" s="126"/>
      <c r="O315" s="7"/>
      <c r="P315" s="7"/>
      <c r="Q315" s="7"/>
    </row>
    <row r="316" spans="2:17">
      <c r="B316" s="8" t="s">
        <v>52</v>
      </c>
      <c r="C316" s="427">
        <v>5902.777</v>
      </c>
      <c r="D316" s="427">
        <v>6295.8</v>
      </c>
      <c r="E316" s="442">
        <v>6331.2280000000001</v>
      </c>
      <c r="F316" s="443">
        <v>6397.4290000000001</v>
      </c>
      <c r="G316" s="7"/>
      <c r="H316" s="124"/>
      <c r="I316" s="124"/>
      <c r="J316" s="756"/>
      <c r="K316" s="756"/>
      <c r="L316" s="756"/>
      <c r="M316" s="756"/>
      <c r="N316" s="126"/>
      <c r="O316" s="7"/>
      <c r="P316" s="7"/>
      <c r="Q316" s="7"/>
    </row>
    <row r="317" spans="2:17">
      <c r="B317" s="8" t="s">
        <v>53</v>
      </c>
      <c r="C317" s="427">
        <v>2953.5239999999999</v>
      </c>
      <c r="D317" s="427">
        <v>2962.81</v>
      </c>
      <c r="E317" s="442">
        <v>3023.2440000000001</v>
      </c>
      <c r="F317" s="443">
        <v>2947.4549999999999</v>
      </c>
      <c r="G317" s="7"/>
      <c r="H317" s="124"/>
      <c r="I317" s="124"/>
      <c r="J317" s="756"/>
      <c r="K317" s="756"/>
      <c r="L317" s="756"/>
      <c r="M317" s="756"/>
      <c r="N317" s="126"/>
      <c r="O317" s="7"/>
      <c r="P317" s="7"/>
      <c r="Q317" s="7"/>
    </row>
    <row r="318" spans="2:17">
      <c r="B318" s="8" t="s">
        <v>54</v>
      </c>
      <c r="C318" s="427">
        <v>2323.5360000000001</v>
      </c>
      <c r="D318" s="427">
        <v>2278.5720000000001</v>
      </c>
      <c r="E318" s="442">
        <v>2436.3000000000002</v>
      </c>
      <c r="F318" s="443">
        <v>2410.8040000000001</v>
      </c>
      <c r="G318" s="7"/>
      <c r="H318" s="124"/>
      <c r="I318" s="124"/>
      <c r="J318" s="756"/>
      <c r="K318" s="756"/>
      <c r="L318" s="756"/>
      <c r="M318" s="756"/>
      <c r="N318" s="126"/>
      <c r="O318" s="7"/>
      <c r="P318" s="7"/>
      <c r="Q318" s="7"/>
    </row>
    <row r="319" spans="2:17">
      <c r="B319" s="8" t="s">
        <v>55</v>
      </c>
      <c r="C319" s="427">
        <v>2273.547</v>
      </c>
      <c r="D319" s="427">
        <v>2323.7689999999998</v>
      </c>
      <c r="E319" s="442">
        <v>2418.538</v>
      </c>
      <c r="F319" s="443">
        <v>2310.0729999999999</v>
      </c>
      <c r="G319" s="7"/>
      <c r="H319" s="124"/>
      <c r="I319" s="124"/>
      <c r="J319" s="756"/>
      <c r="K319" s="756"/>
      <c r="L319" s="756"/>
      <c r="M319" s="756"/>
      <c r="N319" s="126"/>
      <c r="O319" s="7"/>
      <c r="P319" s="7"/>
      <c r="Q319" s="7"/>
    </row>
    <row r="320" spans="2:17">
      <c r="B320" s="8" t="s">
        <v>56</v>
      </c>
      <c r="C320" s="427">
        <v>1569.0170000000001</v>
      </c>
      <c r="D320" s="427">
        <v>1668.329</v>
      </c>
      <c r="E320" s="442">
        <v>1808.1020000000001</v>
      </c>
      <c r="F320" s="443">
        <v>1734.14</v>
      </c>
      <c r="G320" s="7"/>
      <c r="H320" s="124"/>
      <c r="I320" s="148"/>
      <c r="J320" s="757"/>
      <c r="K320" s="757"/>
      <c r="L320" s="757"/>
      <c r="M320" s="757"/>
      <c r="N320" s="126"/>
      <c r="O320" s="7"/>
      <c r="P320" s="7"/>
      <c r="Q320" s="7"/>
    </row>
    <row r="321" spans="1:17">
      <c r="B321" s="8" t="s">
        <v>57</v>
      </c>
      <c r="C321" s="427">
        <v>953.79</v>
      </c>
      <c r="D321" s="427">
        <v>969.89099999999996</v>
      </c>
      <c r="E321" s="442">
        <v>1080.498</v>
      </c>
      <c r="F321" s="443">
        <v>1131.0219999999999</v>
      </c>
      <c r="G321" s="7"/>
      <c r="H321" s="124"/>
      <c r="I321" s="148"/>
      <c r="J321" s="148"/>
      <c r="K321" s="148"/>
      <c r="L321" s="148"/>
      <c r="M321" s="126"/>
      <c r="N321" s="126"/>
      <c r="O321" s="7"/>
      <c r="P321" s="7"/>
      <c r="Q321" s="7"/>
    </row>
    <row r="322" spans="1:17">
      <c r="B322" s="8" t="s">
        <v>58</v>
      </c>
      <c r="C322" s="427">
        <v>584.29899999999998</v>
      </c>
      <c r="D322" s="427">
        <v>724.20600000000002</v>
      </c>
      <c r="E322" s="442">
        <v>700.11800000000005</v>
      </c>
      <c r="F322" s="443">
        <v>678.31100000000004</v>
      </c>
      <c r="G322" s="7"/>
      <c r="H322" s="124"/>
      <c r="I322" s="148"/>
      <c r="J322" s="148"/>
      <c r="K322" s="148"/>
      <c r="L322" s="148"/>
      <c r="M322" s="126"/>
      <c r="N322" s="126"/>
      <c r="O322" s="7"/>
      <c r="P322" s="7"/>
      <c r="Q322" s="7"/>
    </row>
    <row r="323" spans="1:17">
      <c r="B323" s="8" t="s">
        <v>59</v>
      </c>
      <c r="C323" s="427">
        <v>300.12099999999998</v>
      </c>
      <c r="D323" s="427">
        <v>267.71800000000002</v>
      </c>
      <c r="E323" s="442">
        <v>366.346</v>
      </c>
      <c r="F323" s="443">
        <v>318.20299999999997</v>
      </c>
      <c r="G323" s="7"/>
      <c r="H323" s="124"/>
      <c r="I323" s="148"/>
      <c r="J323" s="148"/>
      <c r="K323" s="148"/>
      <c r="L323" s="148"/>
      <c r="M323" s="126"/>
      <c r="N323" s="126"/>
      <c r="O323" s="7"/>
      <c r="P323" s="7"/>
      <c r="Q323" s="7"/>
    </row>
    <row r="324" spans="1:17">
      <c r="B324" s="8" t="s">
        <v>60</v>
      </c>
      <c r="C324" s="427">
        <v>47.567</v>
      </c>
      <c r="D324" s="427">
        <v>60.412999999999997</v>
      </c>
      <c r="E324" s="442">
        <v>77.352999999999994</v>
      </c>
      <c r="F324" s="443">
        <v>99.998000000000005</v>
      </c>
      <c r="G324" s="7"/>
      <c r="H324" s="124"/>
      <c r="I324" s="148"/>
      <c r="J324" s="148"/>
      <c r="K324" s="148"/>
      <c r="L324" s="148"/>
      <c r="M324" s="126"/>
      <c r="N324" s="126"/>
      <c r="O324" s="7"/>
      <c r="P324" s="7"/>
      <c r="Q324" s="7"/>
    </row>
    <row r="325" spans="1:17">
      <c r="B325" s="8" t="s">
        <v>8</v>
      </c>
      <c r="C325" s="427">
        <f>SUM(C315:C324)</f>
        <v>23989.040999999994</v>
      </c>
      <c r="D325" s="427">
        <f>SUM(D315:D324)</f>
        <v>25348.096000000001</v>
      </c>
      <c r="E325" s="442">
        <f>SUM(E315:E324)</f>
        <v>26619.192999999996</v>
      </c>
      <c r="F325" s="442">
        <f>SUM(F315:F324)</f>
        <v>27041.996000000003</v>
      </c>
      <c r="G325" s="7"/>
      <c r="H325" s="124"/>
      <c r="I325" s="148"/>
      <c r="J325" s="148"/>
      <c r="K325" s="148"/>
      <c r="L325" s="148"/>
      <c r="M325" s="126"/>
      <c r="N325" s="126"/>
      <c r="O325" s="7"/>
      <c r="P325" s="7"/>
      <c r="Q325" s="7"/>
    </row>
    <row r="326" spans="1:17">
      <c r="A326" s="174">
        <f>G326</f>
        <v>0</v>
      </c>
      <c r="C326">
        <f>SUM(C315:C324)-C325</f>
        <v>0</v>
      </c>
      <c r="D326">
        <f>SUM(D315:D324)-D325</f>
        <v>0</v>
      </c>
      <c r="E326">
        <f>SUM(E315:E324)-E325</f>
        <v>0</v>
      </c>
      <c r="F326">
        <f>SUM(F315:F324)-F325</f>
        <v>0</v>
      </c>
      <c r="G326">
        <f>SUM(C326:F326)</f>
        <v>0</v>
      </c>
      <c r="H326" s="7"/>
      <c r="I326" s="7"/>
      <c r="J326" s="7"/>
      <c r="K326" s="126"/>
      <c r="L326" s="112"/>
      <c r="M326" s="126"/>
      <c r="N326" s="126"/>
      <c r="O326" s="7"/>
      <c r="P326" s="7"/>
      <c r="Q326" s="7"/>
    </row>
    <row r="327" spans="1:17">
      <c r="B327" s="156" t="s">
        <v>148</v>
      </c>
      <c r="C327" s="309"/>
      <c r="D327" s="7"/>
      <c r="E327" s="126"/>
      <c r="F327" s="112"/>
      <c r="G327" s="110"/>
      <c r="H327" s="156"/>
      <c r="I327" s="7"/>
      <c r="J327" s="7"/>
      <c r="K327" s="126"/>
      <c r="L327" s="112"/>
      <c r="M327" s="126"/>
      <c r="N327" s="126"/>
      <c r="O327" s="7"/>
      <c r="P327" s="7"/>
      <c r="Q327" s="7"/>
    </row>
    <row r="328" spans="1:17">
      <c r="D328" s="7"/>
      <c r="E328" s="126"/>
      <c r="F328" s="112"/>
      <c r="G328" s="110"/>
      <c r="H328" s="7"/>
      <c r="I328" s="7"/>
      <c r="J328" s="7"/>
      <c r="K328" s="126"/>
      <c r="L328" s="112"/>
      <c r="M328" s="126"/>
      <c r="N328" s="126"/>
      <c r="O328" s="7"/>
      <c r="P328" s="7"/>
      <c r="Q328" s="7"/>
    </row>
    <row r="329" spans="1:17">
      <c r="C329" s="1160" t="s">
        <v>74</v>
      </c>
      <c r="D329" s="1160"/>
      <c r="E329" s="1160"/>
      <c r="F329" s="1160"/>
      <c r="G329" s="158"/>
      <c r="H329" s="7"/>
      <c r="I329" s="1159"/>
      <c r="J329" s="1159"/>
      <c r="K329" s="1159"/>
      <c r="L329" s="1159"/>
      <c r="M329" s="126"/>
      <c r="N329" s="126"/>
      <c r="O329" s="7"/>
      <c r="P329" s="7"/>
      <c r="Q329" s="7"/>
    </row>
    <row r="330" spans="1:17">
      <c r="B330" s="8" t="s">
        <v>48</v>
      </c>
      <c r="C330" s="8" t="str">
        <f>C314</f>
        <v>2011/12</v>
      </c>
      <c r="D330" s="8" t="str">
        <f>D314</f>
        <v>2012/13</v>
      </c>
      <c r="E330" s="8" t="str">
        <f>E314</f>
        <v>2013/14</v>
      </c>
      <c r="F330" s="8" t="str">
        <f>F314</f>
        <v>2014/15</v>
      </c>
      <c r="G330" s="7"/>
      <c r="H330" s="124"/>
      <c r="I330" s="167"/>
      <c r="J330" s="167"/>
      <c r="K330" s="167"/>
      <c r="L330" s="167"/>
      <c r="M330" s="126"/>
      <c r="N330" s="126"/>
      <c r="O330" s="7"/>
      <c r="P330" s="7"/>
      <c r="Q330" s="7"/>
    </row>
    <row r="331" spans="1:17">
      <c r="B331" s="8" t="s">
        <v>51</v>
      </c>
      <c r="C331" s="427">
        <v>5366.5529999999999</v>
      </c>
      <c r="D331" s="427">
        <v>5179.7219999999998</v>
      </c>
      <c r="E331" s="442">
        <v>5460.3109999999997</v>
      </c>
      <c r="F331" s="442">
        <v>5493.3320000000003</v>
      </c>
      <c r="G331" s="7"/>
      <c r="H331" s="124"/>
      <c r="I331" s="148"/>
      <c r="J331" s="148"/>
      <c r="K331" s="148"/>
      <c r="L331" s="148"/>
      <c r="M331" s="126"/>
      <c r="N331" s="126"/>
      <c r="O331" s="7"/>
      <c r="P331" s="7"/>
      <c r="Q331" s="7"/>
    </row>
    <row r="332" spans="1:17">
      <c r="B332" s="8" t="s">
        <v>52</v>
      </c>
      <c r="C332" s="427">
        <v>6255.37</v>
      </c>
      <c r="D332" s="427">
        <v>5672.0010000000002</v>
      </c>
      <c r="E332" s="442">
        <v>5533.1469999999999</v>
      </c>
      <c r="F332" s="442">
        <v>5428.7579999999998</v>
      </c>
      <c r="G332" s="7"/>
      <c r="H332" s="124"/>
      <c r="I332" s="148"/>
      <c r="J332" s="148"/>
      <c r="K332" s="148"/>
      <c r="L332" s="148"/>
      <c r="M332" s="126"/>
      <c r="N332" s="126"/>
      <c r="O332" s="7"/>
      <c r="P332" s="7"/>
      <c r="Q332" s="7"/>
    </row>
    <row r="333" spans="1:17">
      <c r="B333" s="8" t="s">
        <v>53</v>
      </c>
      <c r="C333" s="427">
        <v>2963.08</v>
      </c>
      <c r="D333" s="427">
        <v>2829.7359999999999</v>
      </c>
      <c r="E333" s="442">
        <v>2751.3519999999999</v>
      </c>
      <c r="F333" s="442">
        <v>2719.346</v>
      </c>
      <c r="G333" s="7"/>
      <c r="H333" s="124"/>
      <c r="I333" s="148"/>
      <c r="J333" s="148"/>
      <c r="K333" s="148"/>
      <c r="L333" s="148"/>
      <c r="M333" s="126"/>
      <c r="N333" s="126"/>
      <c r="O333" s="7"/>
      <c r="P333" s="7"/>
      <c r="Q333" s="7"/>
    </row>
    <row r="334" spans="1:17">
      <c r="B334" s="8" t="s">
        <v>54</v>
      </c>
      <c r="C334" s="427">
        <v>1893.7339999999999</v>
      </c>
      <c r="D334" s="427">
        <v>1919.721</v>
      </c>
      <c r="E334" s="442">
        <v>2040.0070000000001</v>
      </c>
      <c r="F334" s="442">
        <v>1995.098</v>
      </c>
      <c r="G334" s="7"/>
      <c r="H334" s="124"/>
      <c r="I334" s="148"/>
      <c r="J334" s="148"/>
      <c r="K334" s="148"/>
      <c r="L334" s="148"/>
      <c r="M334" s="126"/>
      <c r="N334" s="126"/>
      <c r="O334" s="7"/>
      <c r="P334" s="7"/>
      <c r="Q334" s="7"/>
    </row>
    <row r="335" spans="1:17">
      <c r="B335" s="8" t="s">
        <v>55</v>
      </c>
      <c r="C335" s="427">
        <v>1670.44</v>
      </c>
      <c r="D335" s="427">
        <v>1731.74</v>
      </c>
      <c r="E335" s="442">
        <v>1821.454</v>
      </c>
      <c r="F335" s="442">
        <v>1658.1679999999999</v>
      </c>
      <c r="G335" s="7"/>
      <c r="H335" s="124"/>
      <c r="I335" s="148"/>
      <c r="J335" s="148"/>
      <c r="K335" s="148"/>
      <c r="L335" s="148"/>
      <c r="M335" s="126"/>
      <c r="N335" s="126"/>
      <c r="O335" s="7"/>
      <c r="P335" s="7"/>
      <c r="Q335" s="7"/>
    </row>
    <row r="336" spans="1:17">
      <c r="B336" s="8" t="s">
        <v>56</v>
      </c>
      <c r="C336" s="427">
        <v>1274.511</v>
      </c>
      <c r="D336" s="427">
        <v>1319.577</v>
      </c>
      <c r="E336" s="442">
        <v>1379.615</v>
      </c>
      <c r="F336" s="442">
        <v>1414.729</v>
      </c>
      <c r="G336" s="7"/>
      <c r="H336" s="124"/>
      <c r="I336" s="148"/>
      <c r="J336" s="148"/>
      <c r="K336" s="148"/>
      <c r="L336" s="148"/>
      <c r="M336" s="126"/>
      <c r="N336" s="126"/>
      <c r="O336" s="7"/>
      <c r="P336" s="7"/>
      <c r="Q336" s="7"/>
    </row>
    <row r="337" spans="1:17">
      <c r="B337" s="8" t="s">
        <v>57</v>
      </c>
      <c r="C337" s="427">
        <v>906.07</v>
      </c>
      <c r="D337" s="427">
        <v>900.76599999999996</v>
      </c>
      <c r="E337" s="442">
        <v>1027.066</v>
      </c>
      <c r="F337" s="442">
        <v>1060.989</v>
      </c>
      <c r="G337" s="7"/>
      <c r="H337" s="124"/>
      <c r="I337" s="148"/>
      <c r="J337" s="148"/>
      <c r="K337" s="148"/>
      <c r="L337" s="148"/>
      <c r="M337" s="126"/>
      <c r="N337" s="126"/>
      <c r="O337" s="7"/>
      <c r="P337" s="7"/>
      <c r="Q337" s="7"/>
    </row>
    <row r="338" spans="1:17">
      <c r="B338" s="8" t="s">
        <v>58</v>
      </c>
      <c r="C338" s="427">
        <v>584.64400000000001</v>
      </c>
      <c r="D338" s="427">
        <v>675.62300000000005</v>
      </c>
      <c r="E338" s="442">
        <v>671.70699999999999</v>
      </c>
      <c r="F338" s="442">
        <v>719.03800000000001</v>
      </c>
      <c r="G338" s="7"/>
      <c r="H338" s="124"/>
      <c r="I338" s="148"/>
      <c r="J338" s="148"/>
      <c r="K338" s="148"/>
      <c r="L338" s="148"/>
      <c r="M338" s="126"/>
      <c r="N338" s="126"/>
      <c r="O338" s="7"/>
      <c r="P338" s="7"/>
      <c r="Q338" s="7"/>
    </row>
    <row r="339" spans="1:17">
      <c r="B339" s="8" t="s">
        <v>59</v>
      </c>
      <c r="C339" s="427">
        <v>306.13499999999999</v>
      </c>
      <c r="D339" s="427">
        <v>287.83199999999999</v>
      </c>
      <c r="E339" s="442">
        <v>334.45100000000002</v>
      </c>
      <c r="F339" s="442">
        <v>364.75</v>
      </c>
      <c r="G339" s="7"/>
      <c r="H339" s="124"/>
      <c r="I339" s="148"/>
      <c r="J339" s="148"/>
      <c r="K339" s="148"/>
      <c r="L339" s="148"/>
      <c r="M339" s="126"/>
      <c r="N339" s="126"/>
      <c r="O339" s="7"/>
      <c r="P339" s="7"/>
      <c r="Q339" s="7"/>
    </row>
    <row r="340" spans="1:17">
      <c r="B340" s="8" t="s">
        <v>60</v>
      </c>
      <c r="C340" s="427">
        <v>45.055999999999997</v>
      </c>
      <c r="D340" s="427">
        <v>58.271999999999998</v>
      </c>
      <c r="E340" s="442">
        <v>85.725999999999999</v>
      </c>
      <c r="F340" s="442">
        <v>105.015</v>
      </c>
      <c r="G340" s="7"/>
      <c r="H340" s="124"/>
      <c r="I340" s="148"/>
      <c r="J340" s="148"/>
      <c r="K340" s="148"/>
      <c r="L340" s="148"/>
      <c r="M340" s="126"/>
      <c r="N340" s="126"/>
      <c r="O340" s="7"/>
      <c r="P340" s="7"/>
      <c r="Q340" s="7"/>
    </row>
    <row r="341" spans="1:17">
      <c r="B341" s="8" t="s">
        <v>8</v>
      </c>
      <c r="C341" s="427">
        <f>SUM(C331:C340)</f>
        <v>21265.592999999993</v>
      </c>
      <c r="D341" s="427">
        <f>SUM(D331:D340)</f>
        <v>20574.989999999998</v>
      </c>
      <c r="E341" s="442">
        <f>SUM(E331:E340)</f>
        <v>21104.835999999996</v>
      </c>
      <c r="F341" s="442">
        <f>SUM(F331:F340)</f>
        <v>20959.223000000002</v>
      </c>
      <c r="G341" s="7"/>
      <c r="H341" s="124"/>
      <c r="I341" s="148"/>
      <c r="J341" s="148"/>
      <c r="K341" s="148"/>
      <c r="L341" s="148"/>
      <c r="M341" s="126"/>
      <c r="N341" s="126"/>
      <c r="O341" s="7"/>
      <c r="P341" s="7"/>
      <c r="Q341" s="7"/>
    </row>
    <row r="342" spans="1:17">
      <c r="A342" s="174">
        <f>G342</f>
        <v>0</v>
      </c>
      <c r="B342" s="121"/>
      <c r="C342">
        <f>SUM(C331:C340)-C341</f>
        <v>0</v>
      </c>
      <c r="D342">
        <f>SUM(D331:D340)-D341</f>
        <v>0</v>
      </c>
      <c r="E342">
        <f>SUM(E331:E340)-E341</f>
        <v>0</v>
      </c>
      <c r="F342">
        <f>SUM(F331:F340)-F341</f>
        <v>0</v>
      </c>
      <c r="G342">
        <f>SUM(C342:F342)</f>
        <v>0</v>
      </c>
      <c r="H342" s="110"/>
      <c r="I342" s="110"/>
      <c r="J342" s="110"/>
      <c r="K342" s="110"/>
      <c r="L342" s="110"/>
      <c r="M342" s="126"/>
      <c r="N342" s="126"/>
      <c r="O342" s="7"/>
      <c r="P342" s="7"/>
      <c r="Q342" s="7"/>
    </row>
    <row r="343" spans="1:17">
      <c r="B343" s="121"/>
      <c r="H343" s="110"/>
      <c r="I343" s="110"/>
      <c r="J343" s="110"/>
      <c r="K343" s="110"/>
      <c r="L343" s="110"/>
      <c r="M343" s="126"/>
      <c r="N343" s="126"/>
      <c r="O343" s="7"/>
      <c r="P343" s="7"/>
      <c r="Q343" s="7"/>
    </row>
    <row r="344" spans="1:17" ht="18">
      <c r="B344" s="39" t="s">
        <v>385</v>
      </c>
      <c r="D344" s="7"/>
      <c r="E344" s="126"/>
      <c r="F344" s="112"/>
      <c r="G344" s="110"/>
      <c r="H344" s="110"/>
      <c r="I344" s="110"/>
      <c r="J344" s="110"/>
      <c r="K344" s="110"/>
      <c r="L344" s="110"/>
      <c r="M344" s="126"/>
      <c r="N344" s="126"/>
      <c r="O344" s="7"/>
      <c r="P344" s="7"/>
      <c r="Q344" s="7"/>
    </row>
    <row r="345" spans="1:17">
      <c r="D345" s="7"/>
      <c r="E345" s="126"/>
      <c r="F345" s="112"/>
      <c r="G345" s="110"/>
      <c r="H345" s="110"/>
      <c r="I345" s="110"/>
      <c r="J345" s="110"/>
      <c r="K345" s="110"/>
      <c r="L345" s="110"/>
      <c r="M345" s="126"/>
      <c r="N345" s="126"/>
      <c r="O345" s="7"/>
      <c r="P345" s="7"/>
      <c r="Q345" s="7"/>
    </row>
    <row r="346" spans="1:17" ht="15.75">
      <c r="B346" s="12" t="s">
        <v>1428</v>
      </c>
      <c r="C346" s="115" t="s">
        <v>503</v>
      </c>
      <c r="J346" s="5" t="s">
        <v>68</v>
      </c>
      <c r="L346" s="930" t="s">
        <v>1255</v>
      </c>
      <c r="M346" s="5" t="s">
        <v>67</v>
      </c>
    </row>
    <row r="348" spans="1:17">
      <c r="B348" s="12" t="s">
        <v>64</v>
      </c>
      <c r="C348" s="115" t="s">
        <v>1588</v>
      </c>
    </row>
    <row r="350" spans="1:17">
      <c r="B350" s="12" t="s">
        <v>65</v>
      </c>
      <c r="C350" s="115" t="s">
        <v>627</v>
      </c>
    </row>
    <row r="351" spans="1:17">
      <c r="C351" s="115" t="s">
        <v>1441</v>
      </c>
    </row>
    <row r="352" spans="1:17">
      <c r="B352" s="131"/>
      <c r="C352" s="131"/>
      <c r="D352" s="131"/>
      <c r="E352" s="131"/>
      <c r="F352" s="131"/>
      <c r="G352" s="131"/>
      <c r="H352" s="131"/>
      <c r="I352" s="131"/>
      <c r="J352" s="131"/>
      <c r="K352" s="131"/>
      <c r="L352" s="131"/>
      <c r="M352" s="126"/>
      <c r="N352" s="126"/>
      <c r="O352" s="7"/>
      <c r="P352" s="7"/>
      <c r="Q352" s="7"/>
    </row>
    <row r="353" spans="1:26">
      <c r="B353" s="247" t="s">
        <v>356</v>
      </c>
      <c r="C353" s="131"/>
      <c r="D353" s="131"/>
      <c r="E353" s="131"/>
      <c r="F353" s="131"/>
      <c r="G353" s="131"/>
      <c r="H353" s="131"/>
      <c r="I353" s="131"/>
      <c r="J353" s="131"/>
      <c r="K353" s="131"/>
      <c r="L353" s="131"/>
      <c r="M353" s="126"/>
      <c r="N353" s="126"/>
      <c r="O353" s="7"/>
      <c r="P353" s="7"/>
      <c r="Q353" s="7"/>
    </row>
    <row r="354" spans="1:26">
      <c r="B354" s="131"/>
      <c r="C354" s="131"/>
      <c r="D354" s="131"/>
      <c r="E354" s="131"/>
      <c r="F354" s="131"/>
      <c r="G354" s="131"/>
      <c r="H354" s="131"/>
      <c r="I354" s="131"/>
      <c r="J354" s="131"/>
      <c r="K354" s="131"/>
      <c r="L354" s="131"/>
      <c r="M354" s="126"/>
      <c r="N354" s="126"/>
      <c r="O354" s="7"/>
      <c r="P354" s="7"/>
      <c r="Q354" s="7"/>
    </row>
    <row r="355" spans="1:26">
      <c r="B355" s="8" t="s">
        <v>89</v>
      </c>
      <c r="C355" s="182" t="str">
        <f>Pupils_data_scenarios!C16</f>
        <v>2004/05</v>
      </c>
      <c r="D355" s="182" t="str">
        <f>Pupils_data_scenarios!D16</f>
        <v>2005/06</v>
      </c>
      <c r="E355" s="182" t="str">
        <f>Pupils_data_scenarios!E16</f>
        <v>2006/07</v>
      </c>
      <c r="F355" s="182" t="str">
        <f>Pupils_data_scenarios!F16</f>
        <v>2007/08</v>
      </c>
      <c r="G355" s="182" t="str">
        <f>Pupils_data_scenarios!G16</f>
        <v>2008/09</v>
      </c>
      <c r="H355" s="182" t="str">
        <f>Pupils_data_scenarios!H16</f>
        <v>2009/10</v>
      </c>
      <c r="I355" s="182" t="str">
        <f>Pupils_data_scenarios!I16</f>
        <v>2010/11</v>
      </c>
      <c r="J355" s="182" t="str">
        <f>Pupils_data_scenarios!J16</f>
        <v>2011/12</v>
      </c>
      <c r="K355" s="182" t="str">
        <f>Pupils_data_scenarios!K16</f>
        <v>2012/13</v>
      </c>
      <c r="L355" s="182" t="str">
        <f>Pupils_data_scenarios!L16</f>
        <v>2013/14</v>
      </c>
      <c r="M355" s="182" t="str">
        <f>Pupils_data_scenarios!M16</f>
        <v>2014/15</v>
      </c>
      <c r="N355" s="182" t="str">
        <f>Pupils_data_scenarios!N16</f>
        <v>2015/16</v>
      </c>
      <c r="O355" s="182" t="str">
        <f>Pupils_data_scenarios!O16</f>
        <v>2016/17</v>
      </c>
      <c r="P355" s="182" t="str">
        <f>Pupils_data_scenarios!P16</f>
        <v>2017/18</v>
      </c>
      <c r="Q355" s="182" t="str">
        <f>Pupils_data_scenarios!Q16</f>
        <v>2018/19</v>
      </c>
      <c r="R355" s="182" t="str">
        <f>Pupils_data_scenarios!R16</f>
        <v>2019/20</v>
      </c>
      <c r="S355" s="182" t="str">
        <f>Pupils_data_scenarios!S16</f>
        <v>2020/21</v>
      </c>
      <c r="T355" s="182" t="str">
        <f>Pupils_data_scenarios!T16</f>
        <v>2021/22</v>
      </c>
      <c r="U355" s="182" t="str">
        <f>Pupils_data_scenarios!U16</f>
        <v>2022/23</v>
      </c>
      <c r="V355" s="182" t="str">
        <f>Pupils_data_scenarios!V16</f>
        <v>2023/24</v>
      </c>
      <c r="W355" s="182" t="str">
        <f>Pupils_data_scenarios!W16</f>
        <v>2024/25</v>
      </c>
      <c r="X355" s="182" t="str">
        <f>Pupils_data_scenarios!X16</f>
        <v>2025/26</v>
      </c>
      <c r="Y355" s="8" t="str">
        <f>Pupils_data_scenarios!Y16</f>
        <v>2026/27</v>
      </c>
      <c r="Z355" s="8" t="str">
        <f>Pupils_data_scenarios!Z16</f>
        <v>2027/28</v>
      </c>
    </row>
    <row r="356" spans="1:26">
      <c r="B356" s="8" t="s">
        <v>252</v>
      </c>
      <c r="C356" s="433">
        <v>4133670.5</v>
      </c>
      <c r="D356" s="433">
        <v>4085271.436729731</v>
      </c>
      <c r="E356" s="433">
        <v>4047195.5</v>
      </c>
      <c r="F356" s="433">
        <v>4028055.5</v>
      </c>
      <c r="G356" s="433">
        <v>4016161.5</v>
      </c>
      <c r="H356" s="433">
        <v>4036364.5</v>
      </c>
      <c r="I356" s="433">
        <v>4074368</v>
      </c>
      <c r="J356" s="433">
        <v>4150277.5</v>
      </c>
      <c r="K356" s="433">
        <v>4247394.5</v>
      </c>
      <c r="L356" s="433">
        <v>4359000</v>
      </c>
      <c r="M356" s="433">
        <v>4463434</v>
      </c>
      <c r="N356" s="433">
        <v>4574041.5</v>
      </c>
      <c r="O356" s="433">
        <v>4669403.6051013358</v>
      </c>
      <c r="P356" s="433">
        <v>4728615.0056829667</v>
      </c>
      <c r="Q356" s="433">
        <v>4754148.1072515734</v>
      </c>
      <c r="R356" s="433">
        <v>4754929.3367273957</v>
      </c>
      <c r="S356" s="433">
        <v>4765188.6443500407</v>
      </c>
      <c r="T356" s="433">
        <v>4768353.1674103234</v>
      </c>
      <c r="U356" s="433">
        <v>4760117.7392643597</v>
      </c>
      <c r="V356" s="433">
        <v>4744856.0009206505</v>
      </c>
      <c r="W356" s="433">
        <v>4754081.3268117374</v>
      </c>
      <c r="X356" s="433">
        <v>4780859.047119638</v>
      </c>
      <c r="Y356" s="433">
        <v>4809841.7847702289</v>
      </c>
      <c r="Z356" s="433">
        <v>4831636.05383253</v>
      </c>
    </row>
    <row r="357" spans="1:26">
      <c r="B357" s="8" t="s">
        <v>253</v>
      </c>
      <c r="C357" s="433">
        <v>1783139.5</v>
      </c>
      <c r="D357" s="433">
        <v>1758000.0007601124</v>
      </c>
      <c r="E357" s="433">
        <v>1722930</v>
      </c>
      <c r="F357" s="433">
        <v>1701531</v>
      </c>
      <c r="G357" s="433">
        <v>1691158</v>
      </c>
      <c r="H357" s="433">
        <v>1680949</v>
      </c>
      <c r="I357" s="433">
        <v>1672689.5</v>
      </c>
      <c r="J357" s="433">
        <v>1641887</v>
      </c>
      <c r="K357" s="433">
        <v>1612821</v>
      </c>
      <c r="L357" s="433">
        <v>1587472</v>
      </c>
      <c r="M357" s="433">
        <v>1595949</v>
      </c>
      <c r="N357" s="433">
        <v>1630717</v>
      </c>
      <c r="O357" s="433">
        <v>1684263.7099882406</v>
      </c>
      <c r="P357" s="433">
        <v>1728753.1396461697</v>
      </c>
      <c r="Q357" s="433">
        <v>1776887.7109150444</v>
      </c>
      <c r="R357" s="433">
        <v>1837687.6258995868</v>
      </c>
      <c r="S357" s="433">
        <v>1881127.9885499382</v>
      </c>
      <c r="T357" s="433">
        <v>1915313.121305503</v>
      </c>
      <c r="U357" s="433">
        <v>1940527.0547370678</v>
      </c>
      <c r="V357" s="433">
        <v>1979340.1487121659</v>
      </c>
      <c r="W357" s="433">
        <v>1983726.1049581233</v>
      </c>
      <c r="X357" s="433">
        <v>1956668.4677220159</v>
      </c>
      <c r="Y357" s="433">
        <v>1918632.3095877871</v>
      </c>
      <c r="Z357" s="433">
        <v>1909994.1147172714</v>
      </c>
    </row>
    <row r="358" spans="1:26">
      <c r="B358" s="8" t="s">
        <v>254</v>
      </c>
      <c r="C358" s="433">
        <v>1170159</v>
      </c>
      <c r="D358" s="433">
        <v>1185802.5625101563</v>
      </c>
      <c r="E358" s="433">
        <v>1189358</v>
      </c>
      <c r="F358" s="433">
        <v>1166918.5</v>
      </c>
      <c r="G358" s="433">
        <v>1146150</v>
      </c>
      <c r="H358" s="433">
        <v>1133977</v>
      </c>
      <c r="I358" s="433">
        <v>1116342.5</v>
      </c>
      <c r="J358" s="433">
        <v>1120567</v>
      </c>
      <c r="K358" s="433">
        <v>1117099</v>
      </c>
      <c r="L358" s="433">
        <v>1099417.5</v>
      </c>
      <c r="M358" s="433">
        <v>1081078</v>
      </c>
      <c r="N358" s="433">
        <v>1057483</v>
      </c>
      <c r="O358" s="433">
        <v>1040625.6043942383</v>
      </c>
      <c r="P358" s="433">
        <v>1058358.5821559713</v>
      </c>
      <c r="Q358" s="433">
        <v>1097644.5657882683</v>
      </c>
      <c r="R358" s="433">
        <v>1127512.3599218801</v>
      </c>
      <c r="S358" s="433">
        <v>1152699.2067537962</v>
      </c>
      <c r="T358" s="433">
        <v>1187590.8202413935</v>
      </c>
      <c r="U358" s="433">
        <v>1233917.8070985656</v>
      </c>
      <c r="V358" s="433">
        <v>1255218.8994874852</v>
      </c>
      <c r="W358" s="433">
        <v>1264502.0497479856</v>
      </c>
      <c r="X358" s="433">
        <v>1292760.7570925467</v>
      </c>
      <c r="Y358" s="433">
        <v>1318712.4272962825</v>
      </c>
      <c r="Z358" s="433">
        <v>1307078.5028154906</v>
      </c>
    </row>
    <row r="359" spans="1:26">
      <c r="B359" s="8" t="s">
        <v>255</v>
      </c>
      <c r="C359" s="433">
        <v>355184.5</v>
      </c>
      <c r="D359" s="433">
        <v>361355</v>
      </c>
      <c r="E359" s="433">
        <v>370116</v>
      </c>
      <c r="F359" s="433">
        <v>380453</v>
      </c>
      <c r="G359" s="433">
        <v>394342</v>
      </c>
      <c r="H359" s="433">
        <v>412859.5</v>
      </c>
      <c r="I359" s="433">
        <v>423222</v>
      </c>
      <c r="J359" s="433">
        <v>423232.5</v>
      </c>
      <c r="K359" s="433">
        <v>428860</v>
      </c>
      <c r="L359" s="433">
        <v>439034.5</v>
      </c>
      <c r="M359" s="433">
        <v>442772</v>
      </c>
      <c r="N359" s="433">
        <v>433788</v>
      </c>
      <c r="O359" s="433"/>
      <c r="P359" s="433"/>
      <c r="Q359" s="433"/>
      <c r="R359" s="433"/>
      <c r="S359" s="433"/>
      <c r="T359" s="433"/>
      <c r="U359" s="433"/>
      <c r="V359" s="433"/>
      <c r="W359" s="433"/>
      <c r="X359" s="433"/>
      <c r="Y359" s="433"/>
      <c r="Z359" s="433"/>
    </row>
    <row r="360" spans="1:26">
      <c r="B360" s="8" t="s">
        <v>386</v>
      </c>
      <c r="C360" s="433">
        <v>2591851.2639240595</v>
      </c>
      <c r="D360" s="433">
        <v>2608521.9199660681</v>
      </c>
      <c r="E360" s="433">
        <v>2644318.2228521295</v>
      </c>
      <c r="F360" s="433">
        <v>2688798.0261939741</v>
      </c>
      <c r="G360" s="433">
        <v>2705903.2746035685</v>
      </c>
      <c r="H360" s="433">
        <v>2717958.6116225235</v>
      </c>
      <c r="I360" s="433">
        <v>2717385.3601785055</v>
      </c>
      <c r="J360" s="433">
        <v>2680455.9336874634</v>
      </c>
      <c r="K360" s="433">
        <v>2641996.0006059059</v>
      </c>
      <c r="L360" s="433">
        <v>2633177.9290057975</v>
      </c>
      <c r="M360" s="433">
        <v>2617244.4924365301</v>
      </c>
      <c r="N360" s="433">
        <v>2602838.9038879378</v>
      </c>
      <c r="O360" s="433">
        <v>2566894.2328166375</v>
      </c>
      <c r="P360" s="433">
        <v>2516192.0716285761</v>
      </c>
      <c r="Q360" s="433">
        <v>2468379.6286457297</v>
      </c>
      <c r="R360" s="433">
        <v>2444772.4252375104</v>
      </c>
      <c r="S360" s="433">
        <v>2454319.9269037819</v>
      </c>
      <c r="T360" s="433">
        <v>2494577.1582950531</v>
      </c>
      <c r="U360" s="433">
        <v>2569500.4776072069</v>
      </c>
      <c r="V360" s="433">
        <v>2645556.908169168</v>
      </c>
      <c r="W360" s="433">
        <v>2726007.7165520228</v>
      </c>
      <c r="X360" s="433">
        <v>2783794.2994159656</v>
      </c>
      <c r="Y360" s="433">
        <v>2831388.9620111026</v>
      </c>
      <c r="Z360" s="433">
        <v>2877172.6206416194</v>
      </c>
    </row>
    <row r="361" spans="1:26">
      <c r="B361" s="138"/>
      <c r="C361" s="432"/>
      <c r="D361" s="131"/>
      <c r="E361" s="131"/>
      <c r="F361" s="131"/>
      <c r="G361" s="131"/>
      <c r="H361" s="131"/>
      <c r="I361" s="131"/>
      <c r="J361" s="131"/>
      <c r="K361" s="131"/>
      <c r="L361" s="131"/>
      <c r="M361" s="131"/>
      <c r="N361" s="131"/>
      <c r="O361" s="131"/>
      <c r="P361" s="131"/>
      <c r="Q361" s="131"/>
      <c r="R361" s="131"/>
      <c r="S361" s="131"/>
      <c r="T361" s="131"/>
      <c r="U361" s="131"/>
      <c r="Y361" s="7"/>
    </row>
    <row r="362" spans="1:26">
      <c r="B362" s="247" t="s">
        <v>168</v>
      </c>
      <c r="C362" s="432"/>
      <c r="D362" s="131"/>
      <c r="E362" s="131"/>
      <c r="F362" s="131"/>
      <c r="G362" s="131"/>
      <c r="H362" s="131"/>
      <c r="I362" s="131"/>
      <c r="J362" s="131"/>
      <c r="K362" s="131"/>
      <c r="L362" s="131"/>
      <c r="M362" s="131"/>
      <c r="N362" s="131"/>
      <c r="O362" s="131"/>
      <c r="P362" s="131"/>
      <c r="Q362" s="131"/>
      <c r="R362" s="131"/>
      <c r="S362" s="131"/>
      <c r="T362" s="131"/>
      <c r="U362" s="131"/>
      <c r="Y362" s="7"/>
    </row>
    <row r="363" spans="1:26">
      <c r="B363" s="131"/>
      <c r="C363" s="131"/>
      <c r="D363" s="131"/>
      <c r="E363" s="131"/>
      <c r="F363" s="131"/>
      <c r="G363" s="131"/>
      <c r="H363" s="131"/>
      <c r="I363" s="131"/>
      <c r="J363" s="131"/>
      <c r="K363" s="131"/>
      <c r="L363" s="131"/>
      <c r="M363" s="131"/>
      <c r="N363" s="131"/>
      <c r="O363" s="131"/>
      <c r="P363" s="131"/>
      <c r="Q363" s="131"/>
      <c r="R363" s="131"/>
      <c r="S363" s="131"/>
      <c r="T363" s="131"/>
      <c r="U363" s="131"/>
      <c r="Y363" s="7"/>
    </row>
    <row r="364" spans="1:26" s="5" customFormat="1">
      <c r="A364" s="240"/>
      <c r="B364" s="8" t="s">
        <v>89</v>
      </c>
      <c r="C364" s="182" t="str">
        <f t="shared" ref="C364:Z364" si="7">C355</f>
        <v>2004/05</v>
      </c>
      <c r="D364" s="182" t="str">
        <f t="shared" si="7"/>
        <v>2005/06</v>
      </c>
      <c r="E364" s="182" t="str">
        <f t="shared" si="7"/>
        <v>2006/07</v>
      </c>
      <c r="F364" s="182" t="str">
        <f t="shared" si="7"/>
        <v>2007/08</v>
      </c>
      <c r="G364" s="182" t="str">
        <f t="shared" si="7"/>
        <v>2008/09</v>
      </c>
      <c r="H364" s="182" t="str">
        <f t="shared" si="7"/>
        <v>2009/10</v>
      </c>
      <c r="I364" s="182" t="str">
        <f t="shared" si="7"/>
        <v>2010/11</v>
      </c>
      <c r="J364" s="182" t="str">
        <f t="shared" si="7"/>
        <v>2011/12</v>
      </c>
      <c r="K364" s="182" t="str">
        <f t="shared" si="7"/>
        <v>2012/13</v>
      </c>
      <c r="L364" s="182" t="str">
        <f t="shared" si="7"/>
        <v>2013/14</v>
      </c>
      <c r="M364" s="182" t="str">
        <f t="shared" si="7"/>
        <v>2014/15</v>
      </c>
      <c r="N364" s="182" t="str">
        <f t="shared" si="7"/>
        <v>2015/16</v>
      </c>
      <c r="O364" s="182" t="str">
        <f t="shared" si="7"/>
        <v>2016/17</v>
      </c>
      <c r="P364" s="182" t="str">
        <f t="shared" si="7"/>
        <v>2017/18</v>
      </c>
      <c r="Q364" s="182" t="str">
        <f t="shared" si="7"/>
        <v>2018/19</v>
      </c>
      <c r="R364" s="182" t="str">
        <f t="shared" si="7"/>
        <v>2019/20</v>
      </c>
      <c r="S364" s="182" t="str">
        <f t="shared" si="7"/>
        <v>2020/21</v>
      </c>
      <c r="T364" s="182" t="str">
        <f t="shared" si="7"/>
        <v>2021/22</v>
      </c>
      <c r="U364" s="182" t="str">
        <f t="shared" si="7"/>
        <v>2022/23</v>
      </c>
      <c r="V364" s="182" t="str">
        <f t="shared" si="7"/>
        <v>2023/24</v>
      </c>
      <c r="W364" s="182" t="str">
        <f t="shared" si="7"/>
        <v>2024/25</v>
      </c>
      <c r="X364" s="8" t="str">
        <f t="shared" si="7"/>
        <v>2025/26</v>
      </c>
      <c r="Y364" s="8" t="str">
        <f t="shared" si="7"/>
        <v>2026/27</v>
      </c>
      <c r="Z364" s="8" t="str">
        <f t="shared" si="7"/>
        <v>2027/28</v>
      </c>
    </row>
    <row r="365" spans="1:26">
      <c r="B365" s="8" t="s">
        <v>243</v>
      </c>
      <c r="C365" s="433">
        <v>4133670.5</v>
      </c>
      <c r="D365" s="433">
        <v>4085271.436729731</v>
      </c>
      <c r="E365" s="433">
        <v>4047195.5</v>
      </c>
      <c r="F365" s="433">
        <v>4028055.5</v>
      </c>
      <c r="G365" s="433">
        <v>4016161.5</v>
      </c>
      <c r="H365" s="433">
        <v>4036364.5</v>
      </c>
      <c r="I365" s="433">
        <v>4074368</v>
      </c>
      <c r="J365" s="433">
        <v>4150277.5</v>
      </c>
      <c r="K365" s="433">
        <v>4247394.5</v>
      </c>
      <c r="L365" s="433">
        <v>4359000</v>
      </c>
      <c r="M365" s="433">
        <v>4463434</v>
      </c>
      <c r="N365" s="433">
        <v>4574041.5</v>
      </c>
      <c r="O365" s="433">
        <v>4671388.1460606074</v>
      </c>
      <c r="P365" s="433">
        <v>4733115.2348120278</v>
      </c>
      <c r="Q365" s="433">
        <v>4762904.3248919779</v>
      </c>
      <c r="R365" s="433">
        <v>4773005.3617659593</v>
      </c>
      <c r="S365" s="433">
        <v>4803798.3480132939</v>
      </c>
      <c r="T365" s="433">
        <v>4831794.2220384879</v>
      </c>
      <c r="U365" s="433">
        <v>4852968.2305780109</v>
      </c>
      <c r="V365" s="433">
        <v>4872602.9333871268</v>
      </c>
      <c r="W365" s="433">
        <v>4923032.2432402028</v>
      </c>
      <c r="X365" s="433">
        <v>4997823.4105701968</v>
      </c>
      <c r="Y365" s="433">
        <v>5078763.4492232995</v>
      </c>
      <c r="Z365" s="433">
        <v>5146137.8783389097</v>
      </c>
    </row>
    <row r="366" spans="1:26">
      <c r="B366" s="8" t="s">
        <v>233</v>
      </c>
      <c r="C366" s="433">
        <v>1783139.5</v>
      </c>
      <c r="D366" s="433">
        <v>1758000.0007601124</v>
      </c>
      <c r="E366" s="433">
        <v>1722930</v>
      </c>
      <c r="F366" s="433">
        <v>1701531</v>
      </c>
      <c r="G366" s="433">
        <v>1691158</v>
      </c>
      <c r="H366" s="433">
        <v>1680949</v>
      </c>
      <c r="I366" s="433">
        <v>1672689.5</v>
      </c>
      <c r="J366" s="433">
        <v>1641887</v>
      </c>
      <c r="K366" s="433">
        <v>1612821</v>
      </c>
      <c r="L366" s="433">
        <v>1587472</v>
      </c>
      <c r="M366" s="433">
        <v>1595949</v>
      </c>
      <c r="N366" s="433">
        <v>1630717</v>
      </c>
      <c r="O366" s="433">
        <v>1684694.0976149417</v>
      </c>
      <c r="P366" s="433">
        <v>1729604.2710067979</v>
      </c>
      <c r="Q366" s="433">
        <v>1778171.2770992236</v>
      </c>
      <c r="R366" s="433">
        <v>1839439.0540544526</v>
      </c>
      <c r="S366" s="433">
        <v>1883411.9798854964</v>
      </c>
      <c r="T366" s="433">
        <v>1918161.5737690255</v>
      </c>
      <c r="U366" s="433">
        <v>1944334.2022429933</v>
      </c>
      <c r="V366" s="433">
        <v>1984321.3782253668</v>
      </c>
      <c r="W366" s="433">
        <v>1990135.6120818914</v>
      </c>
      <c r="X366" s="433">
        <v>1964427.3978935303</v>
      </c>
      <c r="Y366" s="487">
        <v>1930635.0101398407</v>
      </c>
      <c r="Z366" s="487">
        <v>1939587.2044791293</v>
      </c>
    </row>
    <row r="367" spans="1:26">
      <c r="B367" s="8" t="s">
        <v>234</v>
      </c>
      <c r="C367" s="433">
        <v>1170159</v>
      </c>
      <c r="D367" s="433">
        <v>1185802.5625101563</v>
      </c>
      <c r="E367" s="433">
        <v>1189358</v>
      </c>
      <c r="F367" s="433">
        <v>1166918.5</v>
      </c>
      <c r="G367" s="433">
        <v>1146150</v>
      </c>
      <c r="H367" s="433">
        <v>1133977</v>
      </c>
      <c r="I367" s="433">
        <v>1116342.5</v>
      </c>
      <c r="J367" s="433">
        <v>1120567</v>
      </c>
      <c r="K367" s="433">
        <v>1117099</v>
      </c>
      <c r="L367" s="433">
        <v>1099417.5</v>
      </c>
      <c r="M367" s="433">
        <v>1081078</v>
      </c>
      <c r="N367" s="433">
        <v>1057483</v>
      </c>
      <c r="O367" s="433">
        <v>1040991.230668921</v>
      </c>
      <c r="P367" s="433">
        <v>1059027.9348431393</v>
      </c>
      <c r="Q367" s="433">
        <v>1098595.4831508426</v>
      </c>
      <c r="R367" s="433">
        <v>1128725.9347578203</v>
      </c>
      <c r="S367" s="433">
        <v>1154152.4145374876</v>
      </c>
      <c r="T367" s="433">
        <v>1189310.4719968319</v>
      </c>
      <c r="U367" s="433">
        <v>1235971.3985704568</v>
      </c>
      <c r="V367" s="433">
        <v>1257630.5766059568</v>
      </c>
      <c r="W367" s="433">
        <v>1267294.8686386226</v>
      </c>
      <c r="X367" s="433">
        <v>1296308.3439918964</v>
      </c>
      <c r="Y367" s="487">
        <v>1323221.4384614143</v>
      </c>
      <c r="Z367" s="487">
        <v>1312445.2698794992</v>
      </c>
    </row>
    <row r="368" spans="1:26">
      <c r="B368" s="8" t="s">
        <v>235</v>
      </c>
      <c r="C368" s="433">
        <v>355184.5</v>
      </c>
      <c r="D368" s="433">
        <v>361355</v>
      </c>
      <c r="E368" s="433">
        <v>370116</v>
      </c>
      <c r="F368" s="433">
        <v>380453</v>
      </c>
      <c r="G368" s="433">
        <v>394342</v>
      </c>
      <c r="H368" s="433">
        <v>412859.5</v>
      </c>
      <c r="I368" s="433">
        <v>423222</v>
      </c>
      <c r="J368" s="433">
        <v>423232.5</v>
      </c>
      <c r="K368" s="433">
        <v>428860</v>
      </c>
      <c r="L368" s="433">
        <v>439034.5</v>
      </c>
      <c r="M368" s="433">
        <v>442772</v>
      </c>
      <c r="N368" s="433">
        <v>433788</v>
      </c>
      <c r="O368" s="433"/>
      <c r="P368" s="433"/>
      <c r="Q368" s="433"/>
      <c r="R368" s="433"/>
      <c r="S368" s="433"/>
      <c r="T368" s="433"/>
      <c r="U368" s="433"/>
      <c r="V368" s="433"/>
      <c r="W368" s="433"/>
      <c r="X368" s="433"/>
      <c r="Y368" s="487"/>
      <c r="Z368" s="487"/>
    </row>
    <row r="369" spans="1:26">
      <c r="B369" s="8" t="s">
        <v>386</v>
      </c>
      <c r="C369" s="433">
        <v>2591851.2639240595</v>
      </c>
      <c r="D369" s="433">
        <v>2608521.9199660681</v>
      </c>
      <c r="E369" s="433">
        <v>2644318.2228521295</v>
      </c>
      <c r="F369" s="433">
        <v>2688798.0261939741</v>
      </c>
      <c r="G369" s="433">
        <v>2705903.2746035685</v>
      </c>
      <c r="H369" s="433">
        <v>2717958.6116225235</v>
      </c>
      <c r="I369" s="433">
        <v>2717385.3601785055</v>
      </c>
      <c r="J369" s="433">
        <v>2680455.9336874634</v>
      </c>
      <c r="K369" s="433">
        <v>2641996.0006059059</v>
      </c>
      <c r="L369" s="433">
        <v>2633177.9290057975</v>
      </c>
      <c r="M369" s="433">
        <v>2618370.409811642</v>
      </c>
      <c r="N369" s="433">
        <v>2606583.3170974669</v>
      </c>
      <c r="O369" s="433">
        <v>2573127.2060470534</v>
      </c>
      <c r="P369" s="433">
        <v>2524119.3066056762</v>
      </c>
      <c r="Q369" s="433">
        <v>2477569.7677065805</v>
      </c>
      <c r="R369" s="433">
        <v>2455000.8244958329</v>
      </c>
      <c r="S369" s="433">
        <v>2465468.4215643164</v>
      </c>
      <c r="T369" s="433">
        <v>2506633.8809075844</v>
      </c>
      <c r="U369" s="433">
        <v>2582507.9150911923</v>
      </c>
      <c r="V369" s="433">
        <v>2659552.3246899936</v>
      </c>
      <c r="W369" s="433">
        <v>2741076.8623276679</v>
      </c>
      <c r="X369" s="433">
        <v>2799996.1702022473</v>
      </c>
      <c r="Y369" s="487">
        <v>2848860.8959293575</v>
      </c>
      <c r="Z369" s="487">
        <v>2896008.7680924013</v>
      </c>
    </row>
    <row r="370" spans="1:26">
      <c r="B370" s="131"/>
      <c r="C370" s="131"/>
      <c r="D370" s="131"/>
      <c r="E370" s="131"/>
      <c r="F370" s="131"/>
      <c r="G370" s="131"/>
      <c r="H370" s="131"/>
      <c r="I370" s="131"/>
      <c r="J370" s="131"/>
      <c r="K370" s="131"/>
      <c r="L370" s="131"/>
      <c r="M370" s="131"/>
      <c r="N370" s="131"/>
      <c r="O370" s="131"/>
      <c r="P370" s="131"/>
      <c r="Q370" s="131"/>
      <c r="R370" s="131"/>
      <c r="S370" s="131"/>
      <c r="T370" s="131"/>
      <c r="U370" s="131"/>
    </row>
    <row r="371" spans="1:26">
      <c r="B371" s="247" t="s">
        <v>169</v>
      </c>
      <c r="C371" s="131"/>
      <c r="D371" s="131"/>
      <c r="E371" s="131"/>
      <c r="F371" s="131"/>
      <c r="G371" s="131"/>
      <c r="H371" s="131"/>
      <c r="I371" s="131"/>
      <c r="J371" s="131"/>
      <c r="K371" s="131"/>
      <c r="L371" s="131"/>
      <c r="M371" s="131"/>
      <c r="N371" s="131"/>
      <c r="O371" s="131"/>
      <c r="P371" s="131"/>
      <c r="Q371" s="131"/>
      <c r="R371" s="131"/>
      <c r="S371" s="131"/>
      <c r="T371" s="131"/>
      <c r="U371" s="131"/>
    </row>
    <row r="372" spans="1:26">
      <c r="B372" s="131"/>
      <c r="C372" s="131"/>
      <c r="D372" s="131"/>
      <c r="E372" s="131"/>
      <c r="F372" s="131"/>
      <c r="G372" s="131"/>
      <c r="H372" s="131"/>
      <c r="I372" s="131"/>
      <c r="J372" s="131"/>
      <c r="K372" s="131"/>
      <c r="L372" s="131"/>
      <c r="M372" s="131"/>
      <c r="N372" s="131"/>
      <c r="O372" s="131"/>
      <c r="P372" s="131"/>
      <c r="Q372" s="131"/>
      <c r="R372" s="131"/>
      <c r="S372" s="131"/>
      <c r="T372" s="131"/>
      <c r="U372" s="131"/>
    </row>
    <row r="373" spans="1:26" s="5" customFormat="1">
      <c r="A373" s="240"/>
      <c r="B373" s="8" t="s">
        <v>89</v>
      </c>
      <c r="C373" s="182" t="str">
        <f t="shared" ref="C373:Z373" si="8">C364</f>
        <v>2004/05</v>
      </c>
      <c r="D373" s="182" t="str">
        <f t="shared" si="8"/>
        <v>2005/06</v>
      </c>
      <c r="E373" s="182" t="str">
        <f t="shared" si="8"/>
        <v>2006/07</v>
      </c>
      <c r="F373" s="182" t="str">
        <f t="shared" si="8"/>
        <v>2007/08</v>
      </c>
      <c r="G373" s="182" t="str">
        <f t="shared" si="8"/>
        <v>2008/09</v>
      </c>
      <c r="H373" s="182" t="str">
        <f t="shared" si="8"/>
        <v>2009/10</v>
      </c>
      <c r="I373" s="182" t="str">
        <f t="shared" si="8"/>
        <v>2010/11</v>
      </c>
      <c r="J373" s="182" t="str">
        <f t="shared" si="8"/>
        <v>2011/12</v>
      </c>
      <c r="K373" s="182" t="str">
        <f t="shared" si="8"/>
        <v>2012/13</v>
      </c>
      <c r="L373" s="182" t="str">
        <f t="shared" si="8"/>
        <v>2013/14</v>
      </c>
      <c r="M373" s="182" t="str">
        <f t="shared" si="8"/>
        <v>2014/15</v>
      </c>
      <c r="N373" s="182" t="str">
        <f t="shared" si="8"/>
        <v>2015/16</v>
      </c>
      <c r="O373" s="182" t="str">
        <f t="shared" si="8"/>
        <v>2016/17</v>
      </c>
      <c r="P373" s="182" t="str">
        <f t="shared" si="8"/>
        <v>2017/18</v>
      </c>
      <c r="Q373" s="182" t="str">
        <f t="shared" si="8"/>
        <v>2018/19</v>
      </c>
      <c r="R373" s="182" t="str">
        <f t="shared" si="8"/>
        <v>2019/20</v>
      </c>
      <c r="S373" s="182" t="str">
        <f t="shared" si="8"/>
        <v>2020/21</v>
      </c>
      <c r="T373" s="182" t="str">
        <f t="shared" si="8"/>
        <v>2021/22</v>
      </c>
      <c r="U373" s="182" t="str">
        <f t="shared" si="8"/>
        <v>2022/23</v>
      </c>
      <c r="V373" s="182" t="str">
        <f t="shared" si="8"/>
        <v>2023/24</v>
      </c>
      <c r="W373" s="182" t="str">
        <f t="shared" si="8"/>
        <v>2024/25</v>
      </c>
      <c r="X373" s="182" t="str">
        <f t="shared" si="8"/>
        <v>2025/26</v>
      </c>
      <c r="Y373" s="182" t="str">
        <f t="shared" si="8"/>
        <v>2026/27</v>
      </c>
      <c r="Z373" s="182" t="str">
        <f t="shared" si="8"/>
        <v>2027/28</v>
      </c>
    </row>
    <row r="374" spans="1:26">
      <c r="B374" s="8" t="s">
        <v>244</v>
      </c>
      <c r="C374" s="433">
        <v>4133670.5</v>
      </c>
      <c r="D374" s="433">
        <v>4085271.436729731</v>
      </c>
      <c r="E374" s="433">
        <v>4047195.5</v>
      </c>
      <c r="F374" s="433">
        <v>4028055.5</v>
      </c>
      <c r="G374" s="433">
        <v>4016161.5</v>
      </c>
      <c r="H374" s="433">
        <v>4036364.5</v>
      </c>
      <c r="I374" s="433">
        <v>4074368</v>
      </c>
      <c r="J374" s="433">
        <v>4150277.5</v>
      </c>
      <c r="K374" s="433">
        <v>4247394.5</v>
      </c>
      <c r="L374" s="433">
        <v>4359000</v>
      </c>
      <c r="M374" s="433">
        <v>4463434</v>
      </c>
      <c r="N374" s="433">
        <v>4574041.5</v>
      </c>
      <c r="O374" s="433">
        <v>4667419.9398695249</v>
      </c>
      <c r="P374" s="433">
        <v>4724098.4138873443</v>
      </c>
      <c r="Q374" s="433">
        <v>4745204.8245316185</v>
      </c>
      <c r="R374" s="433">
        <v>4735436.692694962</v>
      </c>
      <c r="S374" s="433">
        <v>4720384.9428184703</v>
      </c>
      <c r="T374" s="433">
        <v>4686410.057521658</v>
      </c>
      <c r="U374" s="433">
        <v>4631287.970524773</v>
      </c>
      <c r="V374" s="433">
        <v>4560789.4130896209</v>
      </c>
      <c r="W374" s="433">
        <v>4507494.961918328</v>
      </c>
      <c r="X374" s="433">
        <v>4465382.6294872109</v>
      </c>
      <c r="Y374" s="433">
        <v>4423052.6921859132</v>
      </c>
      <c r="Z374" s="433">
        <v>4385148.6217694012</v>
      </c>
    </row>
    <row r="375" spans="1:26">
      <c r="B375" s="8" t="s">
        <v>236</v>
      </c>
      <c r="C375" s="433">
        <v>1783139.5</v>
      </c>
      <c r="D375" s="433">
        <v>1758000.0007601124</v>
      </c>
      <c r="E375" s="433">
        <v>1722930</v>
      </c>
      <c r="F375" s="433">
        <v>1701531</v>
      </c>
      <c r="G375" s="433">
        <v>1691158</v>
      </c>
      <c r="H375" s="433">
        <v>1680949</v>
      </c>
      <c r="I375" s="433">
        <v>1672689.5</v>
      </c>
      <c r="J375" s="433">
        <v>1641887</v>
      </c>
      <c r="K375" s="433">
        <v>1612821</v>
      </c>
      <c r="L375" s="433">
        <v>1587472</v>
      </c>
      <c r="M375" s="433">
        <v>1595949</v>
      </c>
      <c r="N375" s="433">
        <v>1630717</v>
      </c>
      <c r="O375" s="433">
        <v>1683828.6238711553</v>
      </c>
      <c r="P375" s="433">
        <v>1727890.7818067675</v>
      </c>
      <c r="Q375" s="433">
        <v>1775584.5153139823</v>
      </c>
      <c r="R375" s="433">
        <v>1835920.5632854216</v>
      </c>
      <c r="S375" s="433">
        <v>1878830.7214345573</v>
      </c>
      <c r="T375" s="433">
        <v>1912449.2663182598</v>
      </c>
      <c r="U375" s="433">
        <v>1936687.2722497336</v>
      </c>
      <c r="V375" s="433">
        <v>1974307.7242090211</v>
      </c>
      <c r="W375" s="433">
        <v>1977243.1093400954</v>
      </c>
      <c r="X375" s="433">
        <v>1948835.5390007489</v>
      </c>
      <c r="Y375" s="487">
        <v>1906414.5498010265</v>
      </c>
      <c r="Z375" s="487">
        <v>1877875.0233929039</v>
      </c>
    </row>
    <row r="376" spans="1:26">
      <c r="B376" s="8" t="s">
        <v>237</v>
      </c>
      <c r="C376" s="433">
        <v>1170159</v>
      </c>
      <c r="D376" s="433">
        <v>1185802.5625101563</v>
      </c>
      <c r="E376" s="433">
        <v>1189358</v>
      </c>
      <c r="F376" s="433">
        <v>1166918.5</v>
      </c>
      <c r="G376" s="433">
        <v>1146150</v>
      </c>
      <c r="H376" s="433">
        <v>1133977</v>
      </c>
      <c r="I376" s="433">
        <v>1116342.5</v>
      </c>
      <c r="J376" s="433">
        <v>1120567</v>
      </c>
      <c r="K376" s="433">
        <v>1117099</v>
      </c>
      <c r="L376" s="433">
        <v>1099417.5</v>
      </c>
      <c r="M376" s="433">
        <v>1081078</v>
      </c>
      <c r="N376" s="433">
        <v>1057483</v>
      </c>
      <c r="O376" s="433">
        <v>1040258.3702945485</v>
      </c>
      <c r="P376" s="433">
        <v>1057681.2916650109</v>
      </c>
      <c r="Q376" s="433">
        <v>1096688.9526346519</v>
      </c>
      <c r="R376" s="433">
        <v>1126286.6917977219</v>
      </c>
      <c r="S376" s="433">
        <v>1151225.4512523098</v>
      </c>
      <c r="T376" s="433">
        <v>1185850.5882003792</v>
      </c>
      <c r="U376" s="433">
        <v>1231843.8786875182</v>
      </c>
      <c r="V376" s="433">
        <v>1252778.9940264528</v>
      </c>
      <c r="W376" s="433">
        <v>1261682.0120782063</v>
      </c>
      <c r="X376" s="433">
        <v>1289170.4471787717</v>
      </c>
      <c r="Y376" s="487">
        <v>1314138.8230858098</v>
      </c>
      <c r="Z376" s="487">
        <v>1301649.3716012938</v>
      </c>
    </row>
    <row r="377" spans="1:26">
      <c r="B377" s="8" t="s">
        <v>238</v>
      </c>
      <c r="C377" s="433">
        <v>355184.5</v>
      </c>
      <c r="D377" s="433">
        <v>361355</v>
      </c>
      <c r="E377" s="433">
        <v>370116</v>
      </c>
      <c r="F377" s="433">
        <v>380453</v>
      </c>
      <c r="G377" s="433">
        <v>394342</v>
      </c>
      <c r="H377" s="433">
        <v>412859.5</v>
      </c>
      <c r="I377" s="433">
        <v>423222</v>
      </c>
      <c r="J377" s="433">
        <v>423232.5</v>
      </c>
      <c r="K377" s="433">
        <v>428860</v>
      </c>
      <c r="L377" s="433">
        <v>439034.5</v>
      </c>
      <c r="M377" s="433">
        <v>442772</v>
      </c>
      <c r="N377" s="433">
        <v>433788</v>
      </c>
      <c r="O377" s="433"/>
      <c r="P377" s="433"/>
      <c r="Q377" s="433"/>
      <c r="R377" s="433"/>
      <c r="S377" s="433"/>
      <c r="T377" s="433"/>
      <c r="U377" s="433"/>
      <c r="V377" s="433"/>
      <c r="W377" s="433"/>
      <c r="X377" s="433"/>
      <c r="Y377" s="487"/>
      <c r="Z377" s="487"/>
    </row>
    <row r="378" spans="1:26">
      <c r="B378" s="8" t="s">
        <v>386</v>
      </c>
      <c r="C378" s="433">
        <v>2591851.2639240595</v>
      </c>
      <c r="D378" s="433">
        <v>2608521.9199660681</v>
      </c>
      <c r="E378" s="433">
        <v>2644318.2228521295</v>
      </c>
      <c r="F378" s="433">
        <v>2688798.0261939741</v>
      </c>
      <c r="G378" s="433">
        <v>2705903.2746035685</v>
      </c>
      <c r="H378" s="433">
        <v>2717958.6116225235</v>
      </c>
      <c r="I378" s="433">
        <v>2717385.3601785055</v>
      </c>
      <c r="J378" s="433">
        <v>2680455.9336874634</v>
      </c>
      <c r="K378" s="433">
        <v>2641996.0006059059</v>
      </c>
      <c r="L378" s="433">
        <v>2633177.9290057975</v>
      </c>
      <c r="M378" s="433">
        <v>2616125.9697476616</v>
      </c>
      <c r="N378" s="433">
        <v>2599111.7029906935</v>
      </c>
      <c r="O378" s="433">
        <v>2560673.0671404558</v>
      </c>
      <c r="P378" s="433">
        <v>2508265.5259714019</v>
      </c>
      <c r="Q378" s="433">
        <v>2459196.5980423768</v>
      </c>
      <c r="R378" s="433">
        <v>2434561.1207554257</v>
      </c>
      <c r="S378" s="433">
        <v>2443182.2409881791</v>
      </c>
      <c r="T378" s="433">
        <v>2482514.3307175869</v>
      </c>
      <c r="U378" s="433">
        <v>2556471.2483260608</v>
      </c>
      <c r="V378" s="433">
        <v>2631537.3375128717</v>
      </c>
      <c r="W378" s="433">
        <v>2710898.4482048107</v>
      </c>
      <c r="X378" s="433">
        <v>2767550.8945243699</v>
      </c>
      <c r="Y378" s="487">
        <v>2813897.5351159712</v>
      </c>
      <c r="Z378" s="487">
        <v>2858303.2457867577</v>
      </c>
    </row>
    <row r="379" spans="1:26">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row>
    <row r="380" spans="1:26" ht="18">
      <c r="B380" s="39" t="s">
        <v>387</v>
      </c>
      <c r="D380" s="131"/>
      <c r="E380" s="131"/>
      <c r="F380" s="12"/>
      <c r="J380" s="12" t="s">
        <v>1430</v>
      </c>
      <c r="L380" s="922" t="s">
        <v>133</v>
      </c>
      <c r="M380" s="5" t="s">
        <v>67</v>
      </c>
      <c r="O380" s="7"/>
      <c r="P380" s="7"/>
      <c r="Q380" s="7"/>
    </row>
    <row r="381" spans="1:26">
      <c r="D381" s="131"/>
      <c r="E381" s="131"/>
      <c r="F381" s="131"/>
      <c r="G381" s="131"/>
      <c r="H381" s="131"/>
      <c r="I381" s="131"/>
      <c r="J381" s="131"/>
      <c r="K381" s="131"/>
      <c r="L381" s="131"/>
      <c r="M381" s="126"/>
      <c r="N381" s="126"/>
      <c r="O381" s="7"/>
      <c r="P381" s="7"/>
      <c r="Q381" s="7"/>
    </row>
    <row r="382" spans="1:26">
      <c r="B382" s="12" t="s">
        <v>1428</v>
      </c>
      <c r="C382" s="115" t="s">
        <v>1100</v>
      </c>
      <c r="D382" s="131"/>
      <c r="E382" s="131"/>
      <c r="F382" s="131"/>
      <c r="G382" s="131"/>
      <c r="H382" s="131"/>
      <c r="I382" s="131"/>
      <c r="J382" s="131"/>
      <c r="K382" s="131"/>
      <c r="L382" s="131"/>
      <c r="M382" s="126"/>
      <c r="N382" s="126"/>
      <c r="O382" s="7"/>
      <c r="P382" s="7"/>
      <c r="Q382" s="7"/>
    </row>
    <row r="383" spans="1:26">
      <c r="D383" s="131"/>
      <c r="E383" s="131"/>
      <c r="F383" s="131"/>
      <c r="G383" s="131"/>
      <c r="H383" s="131"/>
      <c r="I383" s="131"/>
      <c r="J383" s="131"/>
      <c r="K383" s="131"/>
      <c r="L383" s="131"/>
      <c r="M383" s="126"/>
      <c r="N383" s="126"/>
      <c r="O383" s="7"/>
      <c r="P383" s="7"/>
      <c r="Q383" s="7"/>
    </row>
    <row r="384" spans="1:26">
      <c r="B384" s="12" t="s">
        <v>64</v>
      </c>
      <c r="C384" s="115" t="s">
        <v>1426</v>
      </c>
      <c r="D384" s="131"/>
      <c r="E384" s="131"/>
      <c r="F384" s="131"/>
      <c r="G384" s="131"/>
      <c r="H384" s="131"/>
      <c r="I384" s="276"/>
      <c r="J384" s="131"/>
      <c r="K384" s="131"/>
      <c r="L384" s="131"/>
      <c r="M384" s="126"/>
      <c r="N384" s="126"/>
      <c r="O384" s="7"/>
      <c r="P384" s="7"/>
      <c r="Q384" s="7"/>
    </row>
    <row r="385" spans="1:46">
      <c r="D385" s="131"/>
      <c r="E385" s="131"/>
      <c r="F385" s="131"/>
      <c r="G385" s="131"/>
      <c r="H385" s="131"/>
      <c r="I385" s="131"/>
      <c r="J385" s="131"/>
      <c r="K385" s="131"/>
      <c r="L385" s="131"/>
      <c r="M385" s="126"/>
      <c r="N385" s="126"/>
      <c r="O385" s="7"/>
      <c r="P385" s="7"/>
      <c r="Q385" s="7"/>
    </row>
    <row r="386" spans="1:46">
      <c r="B386" s="12" t="s">
        <v>65</v>
      </c>
      <c r="C386" s="115"/>
      <c r="D386" s="7"/>
      <c r="E386" s="111"/>
      <c r="F386" s="110"/>
      <c r="G386" s="110"/>
      <c r="H386" s="110"/>
      <c r="I386" s="278"/>
      <c r="J386" s="110"/>
      <c r="K386" s="126"/>
      <c r="L386" s="126"/>
      <c r="M386" s="126"/>
      <c r="N386" s="126"/>
      <c r="O386" s="7"/>
      <c r="P386" s="7"/>
      <c r="Q386" s="7"/>
    </row>
    <row r="387" spans="1:46">
      <c r="D387" s="7"/>
      <c r="E387" s="126"/>
      <c r="F387" s="110"/>
      <c r="G387" s="110"/>
      <c r="H387" s="110"/>
      <c r="I387" s="126"/>
      <c r="J387" s="126"/>
      <c r="K387" s="7"/>
      <c r="L387" s="7"/>
      <c r="M387" s="7"/>
      <c r="N387" s="7"/>
      <c r="O387" s="7"/>
      <c r="P387" s="7"/>
      <c r="Q387" s="7"/>
      <c r="AA387" s="1"/>
      <c r="AB387" s="1"/>
      <c r="AC387" s="1"/>
      <c r="AD387" s="1"/>
      <c r="AE387" s="1"/>
      <c r="AF387" s="1"/>
      <c r="AG387" s="1"/>
      <c r="AH387" s="1"/>
      <c r="AI387" s="1"/>
      <c r="AJ387" s="1"/>
      <c r="AK387" s="1"/>
      <c r="AL387" s="1"/>
      <c r="AM387" s="1"/>
      <c r="AN387" s="1"/>
      <c r="AO387" s="1"/>
      <c r="AP387" s="1"/>
      <c r="AQ387" s="1"/>
      <c r="AR387" s="1"/>
      <c r="AS387" s="1"/>
      <c r="AT387" s="1"/>
    </row>
    <row r="388" spans="1:46">
      <c r="B388" s="1180" t="s">
        <v>395</v>
      </c>
      <c r="C388" s="152" t="s">
        <v>43</v>
      </c>
      <c r="D388" s="152" t="s">
        <v>245</v>
      </c>
      <c r="E388" s="311"/>
      <c r="F388" s="311"/>
      <c r="G388" s="311"/>
      <c r="H388" s="311"/>
      <c r="I388" s="311"/>
      <c r="J388" s="311"/>
      <c r="K388" s="311"/>
      <c r="L388" s="311"/>
      <c r="M388" s="311"/>
      <c r="N388" s="311"/>
      <c r="O388" s="311"/>
      <c r="P388" s="311"/>
      <c r="Q388" s="311"/>
      <c r="R388" s="311"/>
      <c r="S388" s="311"/>
      <c r="T388" s="311"/>
      <c r="U388" s="311"/>
      <c r="V388" s="311"/>
      <c r="W388" s="311"/>
      <c r="X388" s="311"/>
      <c r="AA388" s="236"/>
      <c r="AB388" s="237"/>
      <c r="AC388" s="237"/>
      <c r="AD388" s="237"/>
      <c r="AE388" s="237"/>
      <c r="AF388" s="237"/>
      <c r="AG388" s="237"/>
      <c r="AH388" s="237"/>
      <c r="AI388" s="237"/>
      <c r="AJ388" s="237"/>
      <c r="AK388" s="237"/>
      <c r="AL388" s="237"/>
      <c r="AM388" s="237"/>
      <c r="AN388" s="237"/>
      <c r="AO388" s="237"/>
      <c r="AP388" s="237"/>
      <c r="AQ388" s="237"/>
      <c r="AR388" s="237"/>
      <c r="AS388" s="236"/>
      <c r="AT388" s="236"/>
    </row>
    <row r="389" spans="1:46" s="5" customFormat="1">
      <c r="A389" s="240"/>
      <c r="B389" s="1181"/>
      <c r="C389" s="466">
        <v>0.89</v>
      </c>
      <c r="D389" s="466">
        <v>0.93100000000000005</v>
      </c>
      <c r="E389" s="312"/>
      <c r="F389" s="312"/>
      <c r="G389" s="312"/>
      <c r="H389" s="312"/>
      <c r="I389" s="312"/>
      <c r="J389" s="312"/>
      <c r="K389" s="312"/>
      <c r="L389" s="312"/>
      <c r="M389" s="312"/>
      <c r="N389" s="312"/>
      <c r="O389" s="312"/>
      <c r="P389" s="312"/>
      <c r="Q389" s="312"/>
      <c r="R389" s="312"/>
      <c r="S389" s="312"/>
      <c r="T389" s="312"/>
      <c r="U389" s="312"/>
      <c r="V389" s="312"/>
      <c r="W389" s="312"/>
      <c r="X389" s="245"/>
      <c r="AA389" s="241"/>
      <c r="AB389" s="242"/>
      <c r="AC389" s="242"/>
      <c r="AD389" s="242"/>
      <c r="AE389" s="242"/>
      <c r="AF389" s="242"/>
      <c r="AG389" s="242"/>
      <c r="AH389" s="242"/>
      <c r="AI389" s="242"/>
      <c r="AJ389" s="242"/>
      <c r="AK389" s="242"/>
      <c r="AL389" s="242"/>
      <c r="AM389" s="242"/>
      <c r="AN389" s="242"/>
      <c r="AO389" s="242"/>
      <c r="AP389" s="242"/>
      <c r="AQ389" s="242"/>
      <c r="AR389" s="242"/>
      <c r="AS389" s="242"/>
      <c r="AT389" s="242"/>
    </row>
    <row r="390" spans="1:46">
      <c r="D390" s="7"/>
      <c r="E390" s="110"/>
      <c r="F390" s="1176"/>
      <c r="G390" s="1176"/>
      <c r="H390" s="110"/>
      <c r="I390" s="1176"/>
      <c r="J390" s="1176"/>
      <c r="K390" s="7"/>
      <c r="L390" s="7"/>
      <c r="M390" s="7"/>
      <c r="N390" s="7"/>
      <c r="O390" s="7"/>
      <c r="P390" s="7"/>
      <c r="Q390" s="7"/>
      <c r="W390" s="7"/>
    </row>
    <row r="391" spans="1:46" ht="18">
      <c r="B391" s="39" t="s">
        <v>790</v>
      </c>
      <c r="D391" s="7"/>
      <c r="E391" s="110"/>
      <c r="F391" s="12"/>
      <c r="J391" s="12" t="s">
        <v>1430</v>
      </c>
      <c r="L391" s="922" t="s">
        <v>132</v>
      </c>
      <c r="M391" s="5" t="s">
        <v>67</v>
      </c>
    </row>
    <row r="392" spans="1:46">
      <c r="D392" s="7"/>
      <c r="E392" s="110"/>
      <c r="F392" s="1176"/>
      <c r="G392" s="1176"/>
      <c r="H392" s="110"/>
      <c r="I392" s="1176"/>
      <c r="J392" s="1176"/>
    </row>
    <row r="393" spans="1:46">
      <c r="B393" s="12" t="s">
        <v>1428</v>
      </c>
      <c r="C393" s="115" t="s">
        <v>1434</v>
      </c>
      <c r="D393" s="7"/>
      <c r="E393" s="110"/>
      <c r="F393" s="116"/>
      <c r="G393" s="116"/>
      <c r="H393" s="110"/>
      <c r="I393" s="116"/>
      <c r="J393" s="116"/>
    </row>
    <row r="394" spans="1:46">
      <c r="D394" s="7"/>
      <c r="E394" s="110"/>
      <c r="F394" s="116"/>
      <c r="G394" s="116"/>
      <c r="H394" s="110"/>
      <c r="I394" s="116"/>
      <c r="J394" s="116"/>
    </row>
    <row r="395" spans="1:46">
      <c r="B395" s="12" t="s">
        <v>64</v>
      </c>
      <c r="C395" s="115" t="s">
        <v>426</v>
      </c>
      <c r="D395" s="7"/>
      <c r="E395" s="110"/>
      <c r="F395" s="116"/>
      <c r="G395" s="116"/>
      <c r="H395" s="110"/>
      <c r="I395" s="116"/>
      <c r="J395" s="116"/>
    </row>
    <row r="396" spans="1:46">
      <c r="D396" s="7"/>
      <c r="E396" s="110"/>
      <c r="F396" s="116"/>
      <c r="G396" s="116"/>
      <c r="H396" s="110"/>
      <c r="I396" s="116"/>
      <c r="J396" s="116"/>
    </row>
    <row r="397" spans="1:46">
      <c r="B397" s="12" t="s">
        <v>65</v>
      </c>
      <c r="C397" s="1170" t="s">
        <v>573</v>
      </c>
      <c r="D397" s="1170"/>
      <c r="E397" s="1170"/>
      <c r="F397" s="1170"/>
      <c r="G397" s="1170"/>
      <c r="H397" s="1170"/>
      <c r="I397" s="1170"/>
      <c r="J397" s="1170"/>
      <c r="K397" s="1170"/>
    </row>
    <row r="398" spans="1:46">
      <c r="C398" s="1170"/>
      <c r="D398" s="1170"/>
      <c r="E398" s="1170"/>
      <c r="F398" s="1170"/>
      <c r="G398" s="1170"/>
      <c r="H398" s="1170"/>
      <c r="I398" s="1170"/>
      <c r="J398" s="1170"/>
      <c r="K398" s="1170"/>
    </row>
    <row r="399" spans="1:46">
      <c r="C399" s="408"/>
      <c r="D399" s="408"/>
      <c r="E399" s="408"/>
      <c r="F399" s="408"/>
      <c r="G399" s="408"/>
      <c r="H399" s="408"/>
      <c r="I399" s="408"/>
      <c r="J399" s="408"/>
      <c r="K399" s="408"/>
    </row>
    <row r="400" spans="1:46">
      <c r="B400" s="1178"/>
      <c r="C400" s="1173" t="s">
        <v>422</v>
      </c>
      <c r="D400" s="1174"/>
      <c r="E400" s="1174"/>
      <c r="F400" s="1174"/>
      <c r="G400" s="1174"/>
      <c r="H400" s="1175"/>
    </row>
    <row r="401" spans="1:13">
      <c r="B401" s="1179"/>
      <c r="C401" s="1173" t="s">
        <v>49</v>
      </c>
      <c r="D401" s="1174"/>
      <c r="E401" s="1175"/>
      <c r="F401" s="1173" t="s">
        <v>50</v>
      </c>
      <c r="G401" s="1174"/>
      <c r="H401" s="1175"/>
    </row>
    <row r="402" spans="1:13">
      <c r="B402" s="8" t="s">
        <v>48</v>
      </c>
      <c r="C402" s="8" t="s">
        <v>423</v>
      </c>
      <c r="D402" s="8" t="s">
        <v>424</v>
      </c>
      <c r="E402" s="8" t="s">
        <v>425</v>
      </c>
      <c r="F402" s="8" t="s">
        <v>423</v>
      </c>
      <c r="G402" s="8" t="s">
        <v>424</v>
      </c>
      <c r="H402" s="8" t="s">
        <v>425</v>
      </c>
    </row>
    <row r="403" spans="1:13">
      <c r="B403" s="8" t="s">
        <v>51</v>
      </c>
      <c r="C403" s="261">
        <v>1.1080000000000001</v>
      </c>
      <c r="D403" s="261">
        <v>0.97099999999999997</v>
      </c>
      <c r="E403" s="261">
        <v>0.84899999999999998</v>
      </c>
      <c r="F403" s="261">
        <v>1.0980000000000001</v>
      </c>
      <c r="G403" s="261">
        <v>0.94</v>
      </c>
      <c r="H403" s="261">
        <v>0.96</v>
      </c>
    </row>
    <row r="404" spans="1:13">
      <c r="B404" s="8" t="s">
        <v>52</v>
      </c>
      <c r="C404" s="261">
        <v>1.0720000000000001</v>
      </c>
      <c r="D404" s="261">
        <v>1.1000000000000001</v>
      </c>
      <c r="E404" s="261">
        <v>0.85799999999999998</v>
      </c>
      <c r="F404" s="261">
        <v>1.0649999999999999</v>
      </c>
      <c r="G404" s="261">
        <v>1.0169999999999999</v>
      </c>
      <c r="H404" s="261">
        <v>0.93799999999999994</v>
      </c>
    </row>
    <row r="405" spans="1:13">
      <c r="B405" s="8" t="s">
        <v>53</v>
      </c>
      <c r="C405" s="261">
        <v>1.0720000000000001</v>
      </c>
      <c r="D405" s="261">
        <v>1.04</v>
      </c>
      <c r="E405" s="261">
        <v>0.91200000000000003</v>
      </c>
      <c r="F405" s="261">
        <v>1.0309999999999999</v>
      </c>
      <c r="G405" s="261">
        <v>1.022</v>
      </c>
      <c r="H405" s="261">
        <v>0.96099999999999997</v>
      </c>
    </row>
    <row r="406" spans="1:13">
      <c r="B406" s="8" t="s">
        <v>54</v>
      </c>
      <c r="C406" s="261">
        <v>1.107</v>
      </c>
      <c r="D406" s="261">
        <v>0.92400000000000004</v>
      </c>
      <c r="E406" s="261">
        <v>0.94099999999999995</v>
      </c>
      <c r="F406" s="261">
        <v>0.97899999999999998</v>
      </c>
      <c r="G406" s="261">
        <v>1.018</v>
      </c>
      <c r="H406" s="261">
        <v>0.998</v>
      </c>
    </row>
    <row r="407" spans="1:13">
      <c r="B407" s="8" t="s">
        <v>55</v>
      </c>
      <c r="C407" s="261">
        <v>1.032</v>
      </c>
      <c r="D407" s="261">
        <v>0.93799999999999994</v>
      </c>
      <c r="E407" s="261">
        <v>1.0029999999999999</v>
      </c>
      <c r="F407" s="261">
        <v>1.0169999999999999</v>
      </c>
      <c r="G407" s="261">
        <v>0.98599999999999999</v>
      </c>
      <c r="H407" s="261">
        <v>1.0009999999999999</v>
      </c>
    </row>
    <row r="408" spans="1:13">
      <c r="B408" s="8" t="s">
        <v>56</v>
      </c>
      <c r="C408" s="261">
        <v>1.07</v>
      </c>
      <c r="D408" s="261">
        <v>0.91600000000000004</v>
      </c>
      <c r="E408" s="261">
        <v>0.96299999999999997</v>
      </c>
      <c r="F408" s="261">
        <v>1.0349999999999999</v>
      </c>
      <c r="G408" s="261">
        <v>1.0029999999999999</v>
      </c>
      <c r="H408" s="261">
        <v>0.96599999999999997</v>
      </c>
    </row>
    <row r="409" spans="1:13">
      <c r="B409" s="8" t="s">
        <v>57</v>
      </c>
      <c r="C409" s="261">
        <v>1.0189999999999999</v>
      </c>
      <c r="D409" s="261">
        <v>0.94399999999999995</v>
      </c>
      <c r="E409" s="261">
        <v>1.01</v>
      </c>
      <c r="F409" s="261">
        <v>0.96099999999999997</v>
      </c>
      <c r="G409" s="261">
        <v>0.97699999999999998</v>
      </c>
      <c r="H409" s="261">
        <v>1.056</v>
      </c>
    </row>
    <row r="410" spans="1:13">
      <c r="B410" s="8" t="s">
        <v>58</v>
      </c>
      <c r="C410" s="261">
        <v>0.95</v>
      </c>
      <c r="D410" s="261">
        <v>1.081</v>
      </c>
      <c r="E410" s="261">
        <v>1.006</v>
      </c>
      <c r="F410" s="261">
        <v>0.90700000000000003</v>
      </c>
      <c r="G410" s="261">
        <v>0.98399999999999999</v>
      </c>
      <c r="H410" s="261">
        <v>1.0840000000000001</v>
      </c>
    </row>
    <row r="411" spans="1:13">
      <c r="B411" s="8" t="s">
        <v>59</v>
      </c>
      <c r="C411" s="261">
        <v>0.94099999999999995</v>
      </c>
      <c r="D411" s="261">
        <v>1.006</v>
      </c>
      <c r="E411" s="261">
        <v>1.0649999999999999</v>
      </c>
      <c r="F411" s="261">
        <v>0.93799999999999994</v>
      </c>
      <c r="G411" s="261">
        <v>0.98199999999999998</v>
      </c>
      <c r="H411" s="261">
        <v>1.0649999999999999</v>
      </c>
    </row>
    <row r="412" spans="1:13">
      <c r="B412" s="8" t="s">
        <v>60</v>
      </c>
      <c r="C412" s="261">
        <v>0.89300000000000002</v>
      </c>
      <c r="D412" s="261">
        <v>1.105</v>
      </c>
      <c r="E412" s="261">
        <v>1.107</v>
      </c>
      <c r="F412" s="261">
        <v>0.93799999999999994</v>
      </c>
      <c r="G412" s="261">
        <v>1.0249999999999999</v>
      </c>
      <c r="H412" s="261">
        <v>1.0169999999999999</v>
      </c>
    </row>
    <row r="413" spans="1:13">
      <c r="B413" s="8" t="s">
        <v>8</v>
      </c>
      <c r="C413" s="261">
        <v>1.042</v>
      </c>
      <c r="D413" s="261">
        <v>1.002</v>
      </c>
      <c r="E413" s="261">
        <v>0.95199999999999996</v>
      </c>
      <c r="F413" s="261">
        <v>0.997</v>
      </c>
      <c r="G413" s="261">
        <v>1.008</v>
      </c>
      <c r="H413" s="261">
        <v>0.995</v>
      </c>
    </row>
    <row r="414" spans="1:13">
      <c r="C414" s="465"/>
    </row>
    <row r="415" spans="1:13" s="40" customFormat="1" ht="18">
      <c r="A415" s="176"/>
      <c r="B415" s="39" t="s">
        <v>791</v>
      </c>
      <c r="F415"/>
      <c r="H415" s="12"/>
      <c r="I415"/>
      <c r="J415" s="12" t="s">
        <v>1430</v>
      </c>
      <c r="K415"/>
      <c r="L415" s="922" t="s">
        <v>133</v>
      </c>
      <c r="M415" s="5" t="s">
        <v>67</v>
      </c>
    </row>
    <row r="417" spans="1:17" s="494" customFormat="1">
      <c r="A417" s="800"/>
      <c r="B417" s="213" t="s">
        <v>1428</v>
      </c>
      <c r="C417" s="801" t="s">
        <v>1100</v>
      </c>
      <c r="D417" s="801"/>
      <c r="E417" s="801"/>
      <c r="F417" s="801"/>
      <c r="G417" s="801"/>
      <c r="H417" s="801"/>
      <c r="I417" s="801"/>
      <c r="J417" s="801"/>
      <c r="K417" s="801"/>
    </row>
    <row r="418" spans="1:17">
      <c r="C418" s="426"/>
      <c r="D418" s="426"/>
      <c r="E418" s="426"/>
      <c r="F418" s="426"/>
      <c r="G418" s="426"/>
      <c r="H418" s="426"/>
      <c r="I418" s="426"/>
    </row>
    <row r="419" spans="1:17" ht="13.15" customHeight="1">
      <c r="B419" s="12" t="s">
        <v>64</v>
      </c>
      <c r="C419" s="1170" t="s">
        <v>1472</v>
      </c>
      <c r="D419" s="1170"/>
      <c r="E419" s="1170"/>
      <c r="F419" s="1170"/>
      <c r="G419" s="1170"/>
      <c r="H419" s="1170"/>
      <c r="I419" s="1170"/>
      <c r="J419" s="1170"/>
      <c r="K419" s="1170"/>
      <c r="L419" s="651"/>
      <c r="M419" s="651"/>
    </row>
    <row r="420" spans="1:17">
      <c r="C420" s="426"/>
      <c r="D420" s="426"/>
      <c r="E420" s="426"/>
      <c r="F420" s="426"/>
      <c r="G420" s="426"/>
      <c r="H420" s="426"/>
      <c r="I420" s="426"/>
    </row>
    <row r="421" spans="1:17" ht="13.15" customHeight="1">
      <c r="B421" s="12" t="s">
        <v>65</v>
      </c>
      <c r="C421" s="1169" t="s">
        <v>703</v>
      </c>
      <c r="D421" s="1169"/>
      <c r="E421" s="1169"/>
      <c r="F421" s="1169"/>
      <c r="G421" s="1169"/>
      <c r="H421" s="1169"/>
      <c r="I421" s="1169"/>
      <c r="J421" s="1169"/>
      <c r="K421" s="1169"/>
      <c r="L421" s="1169"/>
      <c r="M421" s="1169"/>
    </row>
    <row r="423" spans="1:17" ht="25.5">
      <c r="B423" s="1008" t="s">
        <v>352</v>
      </c>
      <c r="C423" s="1007" t="s">
        <v>702</v>
      </c>
      <c r="D423" s="167"/>
      <c r="E423" s="167"/>
      <c r="G423" s="650"/>
    </row>
    <row r="424" spans="1:17">
      <c r="B424" s="1008" t="s">
        <v>290</v>
      </c>
      <c r="C424" s="615">
        <v>0.57399999999999995</v>
      </c>
      <c r="D424" s="148"/>
      <c r="E424" s="148"/>
    </row>
    <row r="425" spans="1:17">
      <c r="B425" s="1008" t="s">
        <v>245</v>
      </c>
      <c r="C425" s="615">
        <v>0.61799999999999999</v>
      </c>
      <c r="D425" s="148"/>
      <c r="E425" s="148"/>
    </row>
    <row r="426" spans="1:17">
      <c r="D426" s="7"/>
      <c r="E426" s="126"/>
      <c r="F426" s="112"/>
      <c r="G426" s="649"/>
      <c r="H426" s="649"/>
      <c r="I426" s="649"/>
      <c r="J426" s="649"/>
      <c r="K426" s="649"/>
      <c r="L426" s="648"/>
      <c r="M426" s="126"/>
      <c r="N426" s="126"/>
      <c r="O426" s="7"/>
      <c r="P426" s="7"/>
      <c r="Q426" s="7"/>
    </row>
    <row r="427" spans="1:17" s="39" customFormat="1" ht="18">
      <c r="A427" s="177"/>
      <c r="B427" s="39" t="s">
        <v>1664</v>
      </c>
      <c r="D427" s="129"/>
      <c r="E427" s="130"/>
      <c r="F427"/>
      <c r="J427" s="12" t="s">
        <v>1430</v>
      </c>
      <c r="K427"/>
      <c r="L427" s="922" t="s">
        <v>132</v>
      </c>
      <c r="M427" s="5" t="s">
        <v>67</v>
      </c>
      <c r="N427" s="2"/>
      <c r="O427" s="129"/>
      <c r="P427" s="129"/>
      <c r="Q427" s="129"/>
    </row>
    <row r="428" spans="1:17">
      <c r="D428" s="7"/>
      <c r="E428" s="127"/>
      <c r="F428" s="128"/>
      <c r="G428" s="126"/>
      <c r="H428" s="126"/>
      <c r="I428" s="126"/>
      <c r="J428" s="126"/>
      <c r="K428" s="126"/>
      <c r="L428" s="126"/>
      <c r="M428" s="126"/>
      <c r="N428" s="126"/>
      <c r="O428" s="7"/>
      <c r="P428" s="7"/>
      <c r="Q428" s="7"/>
    </row>
    <row r="429" spans="1:17">
      <c r="B429" s="12" t="s">
        <v>1428</v>
      </c>
      <c r="C429" s="115" t="s">
        <v>1100</v>
      </c>
      <c r="D429" s="426"/>
      <c r="E429" s="426"/>
      <c r="F429" s="426"/>
      <c r="G429" s="426"/>
      <c r="H429" s="426"/>
      <c r="I429" s="426"/>
    </row>
    <row r="430" spans="1:17">
      <c r="C430" s="426"/>
      <c r="D430" s="426"/>
      <c r="E430" s="426"/>
      <c r="F430" s="435"/>
      <c r="G430" s="436"/>
      <c r="H430" s="436"/>
      <c r="I430" s="436"/>
      <c r="J430" s="2"/>
      <c r="K430" s="2"/>
      <c r="L430" s="2"/>
      <c r="M430" s="2"/>
      <c r="N430" s="2"/>
      <c r="O430" s="2"/>
      <c r="P430" s="2"/>
    </row>
    <row r="431" spans="1:17">
      <c r="B431" s="12" t="s">
        <v>64</v>
      </c>
      <c r="C431" s="115" t="s">
        <v>1665</v>
      </c>
      <c r="D431" s="426"/>
      <c r="E431" s="426"/>
      <c r="F431" s="426"/>
      <c r="G431" s="426"/>
      <c r="H431" s="426"/>
      <c r="I431" s="426"/>
    </row>
    <row r="432" spans="1:17">
      <c r="C432" s="426"/>
      <c r="D432" s="426"/>
      <c r="E432" s="426"/>
      <c r="F432" s="426"/>
      <c r="G432" s="426"/>
      <c r="H432" s="426"/>
      <c r="I432" s="426"/>
    </row>
    <row r="433" spans="1:17" ht="13.15" customHeight="1">
      <c r="B433" s="12" t="s">
        <v>65</v>
      </c>
      <c r="C433" s="798" t="s">
        <v>1106</v>
      </c>
      <c r="D433" s="798"/>
      <c r="E433" s="798"/>
      <c r="F433" s="798"/>
      <c r="G433" s="798"/>
      <c r="H433" s="798"/>
      <c r="I433" s="798"/>
      <c r="J433" s="798"/>
      <c r="K433" s="798"/>
      <c r="L433" s="798"/>
    </row>
    <row r="434" spans="1:17">
      <c r="C434" s="798"/>
      <c r="D434" s="798"/>
      <c r="E434" s="798"/>
      <c r="F434" s="798"/>
      <c r="G434" s="798"/>
      <c r="H434" s="798"/>
      <c r="I434" s="798"/>
      <c r="J434" s="798"/>
      <c r="K434" s="798"/>
      <c r="L434" s="798"/>
      <c r="M434" s="114"/>
      <c r="N434" s="114"/>
      <c r="O434" s="7"/>
      <c r="P434" s="7"/>
      <c r="Q434" s="7"/>
    </row>
    <row r="435" spans="1:17">
      <c r="B435" s="156" t="s">
        <v>1666</v>
      </c>
      <c r="C435" s="12"/>
      <c r="D435" s="7"/>
      <c r="E435" s="126"/>
      <c r="F435" s="112"/>
      <c r="G435" s="110"/>
      <c r="H435" s="156"/>
      <c r="I435" s="75"/>
      <c r="J435" s="7"/>
      <c r="K435" s="126"/>
      <c r="L435" s="112"/>
      <c r="M435" s="114"/>
      <c r="N435" s="114"/>
      <c r="O435" s="7"/>
      <c r="P435" s="7"/>
      <c r="Q435" s="7"/>
    </row>
    <row r="436" spans="1:17">
      <c r="B436" s="156"/>
      <c r="C436" s="12"/>
      <c r="D436" s="7"/>
      <c r="E436" s="126"/>
      <c r="F436" s="112"/>
      <c r="G436" s="110"/>
      <c r="H436" s="156"/>
      <c r="I436" s="75"/>
      <c r="J436" s="7"/>
      <c r="K436" s="126"/>
      <c r="L436" s="112"/>
      <c r="M436" s="114"/>
      <c r="N436" s="114"/>
      <c r="O436" s="7"/>
      <c r="P436" s="7"/>
      <c r="Q436" s="7"/>
    </row>
    <row r="437" spans="1:17">
      <c r="C437" s="1160" t="s">
        <v>74</v>
      </c>
      <c r="D437" s="1160"/>
      <c r="E437" s="1160"/>
      <c r="F437" s="1160"/>
      <c r="G437" s="158"/>
      <c r="H437" s="7"/>
      <c r="I437" s="1159"/>
      <c r="J437" s="1159"/>
      <c r="K437" s="1159"/>
      <c r="L437" s="1159"/>
      <c r="M437" s="114"/>
      <c r="N437" s="114"/>
      <c r="O437" s="7"/>
      <c r="P437" s="7"/>
      <c r="Q437" s="7"/>
    </row>
    <row r="438" spans="1:17">
      <c r="B438" s="8" t="s">
        <v>701</v>
      </c>
      <c r="C438" s="8" t="s">
        <v>129</v>
      </c>
      <c r="D438" s="14" t="s">
        <v>130</v>
      </c>
      <c r="E438" s="14" t="s">
        <v>131</v>
      </c>
      <c r="F438" s="14" t="s">
        <v>132</v>
      </c>
      <c r="G438" s="7"/>
      <c r="H438" s="647"/>
      <c r="I438" s="647"/>
      <c r="J438" s="647"/>
      <c r="K438" s="647"/>
      <c r="L438" s="167"/>
      <c r="M438" s="114"/>
      <c r="N438" s="114"/>
      <c r="O438" s="7"/>
      <c r="P438" s="7"/>
      <c r="Q438" s="7"/>
    </row>
    <row r="439" spans="1:17">
      <c r="B439" s="8" t="s">
        <v>700</v>
      </c>
      <c r="C439" s="427">
        <v>4372.5929999999998</v>
      </c>
      <c r="D439" s="427">
        <v>4199.875</v>
      </c>
      <c r="E439" s="646">
        <v>4051.1689999999999</v>
      </c>
      <c r="F439" s="443">
        <v>3693.4470000000001</v>
      </c>
      <c r="G439" s="7"/>
      <c r="H439" s="124"/>
      <c r="I439" s="643"/>
      <c r="J439" s="643"/>
      <c r="K439" s="643"/>
      <c r="L439" s="148"/>
      <c r="M439" s="114"/>
      <c r="N439" s="114"/>
      <c r="O439" s="7"/>
      <c r="P439" s="7"/>
      <c r="Q439" s="7"/>
    </row>
    <row r="440" spans="1:17">
      <c r="B440" s="8" t="s">
        <v>699</v>
      </c>
      <c r="C440" s="427">
        <v>7952.49</v>
      </c>
      <c r="D440" s="427">
        <v>8276.0380000000005</v>
      </c>
      <c r="E440" s="646">
        <v>8982.8410000000003</v>
      </c>
      <c r="F440" s="443">
        <v>8875.7720000000008</v>
      </c>
      <c r="G440" s="7"/>
      <c r="H440" s="124"/>
      <c r="I440" s="643"/>
      <c r="J440" s="643"/>
      <c r="K440" s="643"/>
      <c r="L440" s="148"/>
      <c r="M440" s="114"/>
      <c r="N440" s="114"/>
      <c r="O440" s="7"/>
      <c r="P440" s="7"/>
      <c r="Q440" s="7"/>
    </row>
    <row r="441" spans="1:17">
      <c r="B441" s="8" t="s">
        <v>698</v>
      </c>
      <c r="C441" s="427">
        <v>11663.958000000001</v>
      </c>
      <c r="D441" s="427">
        <v>12872.182000000001</v>
      </c>
      <c r="E441" s="646">
        <v>13585.184999999999</v>
      </c>
      <c r="F441" s="443">
        <v>14472.775</v>
      </c>
      <c r="G441" s="7"/>
      <c r="H441" s="124"/>
      <c r="I441" s="643"/>
      <c r="J441" s="643"/>
      <c r="K441" s="643"/>
      <c r="L441" s="148"/>
      <c r="M441" s="114"/>
      <c r="N441" s="114"/>
      <c r="O441" s="7"/>
      <c r="P441" s="7"/>
      <c r="Q441" s="7"/>
    </row>
    <row r="442" spans="1:17" s="7" customFormat="1">
      <c r="A442" s="644"/>
      <c r="B442" s="167"/>
      <c r="C442" s="645"/>
      <c r="D442" s="645"/>
      <c r="E442" s="645"/>
      <c r="F442" s="645"/>
      <c r="H442" s="124"/>
      <c r="I442" s="643"/>
      <c r="J442" s="643"/>
      <c r="K442" s="643"/>
      <c r="L442" s="148"/>
      <c r="M442" s="114"/>
      <c r="N442" s="114"/>
    </row>
    <row r="443" spans="1:17" s="7" customFormat="1">
      <c r="A443" s="644"/>
      <c r="B443" s="156" t="s">
        <v>1667</v>
      </c>
      <c r="C443" s="12"/>
      <c r="E443" s="126"/>
      <c r="F443" s="112"/>
      <c r="H443" s="124"/>
      <c r="I443" s="643"/>
      <c r="J443" s="643"/>
      <c r="K443" s="643"/>
      <c r="L443" s="148"/>
      <c r="M443" s="114"/>
      <c r="N443" s="114"/>
    </row>
    <row r="444" spans="1:17" s="7" customFormat="1">
      <c r="A444" s="644"/>
      <c r="B444" s="156"/>
      <c r="C444" s="12"/>
      <c r="E444" s="126"/>
      <c r="F444" s="112"/>
      <c r="H444" s="124"/>
      <c r="I444" s="643"/>
      <c r="J444" s="643"/>
      <c r="K444" s="643"/>
      <c r="L444" s="148"/>
      <c r="M444" s="114"/>
      <c r="N444" s="114"/>
    </row>
    <row r="445" spans="1:17" s="7" customFormat="1">
      <c r="A445" s="644"/>
      <c r="B445" s="5"/>
      <c r="C445" s="1160" t="s">
        <v>74</v>
      </c>
      <c r="D445" s="1160"/>
      <c r="E445" s="1160"/>
      <c r="F445" s="1160"/>
      <c r="H445" s="124"/>
      <c r="I445" s="643"/>
      <c r="J445" s="643"/>
      <c r="K445" s="643"/>
      <c r="L445" s="148"/>
      <c r="M445" s="114"/>
      <c r="N445" s="114"/>
    </row>
    <row r="446" spans="1:17" s="7" customFormat="1">
      <c r="A446" s="644"/>
      <c r="B446" s="8" t="s">
        <v>701</v>
      </c>
      <c r="C446" s="8" t="str">
        <f>C438</f>
        <v>2011/12</v>
      </c>
      <c r="D446" s="8" t="str">
        <f>D438</f>
        <v>2012/13</v>
      </c>
      <c r="E446" s="8" t="str">
        <f>E438</f>
        <v>2013/14</v>
      </c>
      <c r="F446" s="8" t="str">
        <f>F438</f>
        <v>2014/15</v>
      </c>
      <c r="H446" s="124"/>
      <c r="I446" s="643"/>
      <c r="J446" s="643"/>
      <c r="K446" s="643"/>
      <c r="L446" s="148"/>
      <c r="M446" s="114"/>
      <c r="N446" s="114"/>
    </row>
    <row r="447" spans="1:17" s="7" customFormat="1">
      <c r="A447" s="644"/>
      <c r="B447" s="8" t="s">
        <v>700</v>
      </c>
      <c r="C447" s="427">
        <v>3541.2289999999998</v>
      </c>
      <c r="D447" s="427">
        <v>3095.8530000000001</v>
      </c>
      <c r="E447" s="442">
        <v>3069.1080000000002</v>
      </c>
      <c r="F447" s="442">
        <v>2998.1010000000001</v>
      </c>
      <c r="H447" s="124"/>
      <c r="I447" s="643"/>
      <c r="J447" s="643"/>
      <c r="K447" s="643"/>
      <c r="L447" s="148"/>
      <c r="M447" s="114"/>
      <c r="N447" s="114"/>
    </row>
    <row r="448" spans="1:17" s="7" customFormat="1">
      <c r="A448" s="644"/>
      <c r="B448" s="8" t="s">
        <v>699</v>
      </c>
      <c r="C448" s="427">
        <v>6637.8329999999996</v>
      </c>
      <c r="D448" s="427">
        <v>7039.57</v>
      </c>
      <c r="E448" s="442">
        <v>7672.5290000000005</v>
      </c>
      <c r="F448" s="442">
        <v>7412</v>
      </c>
      <c r="H448" s="124"/>
      <c r="I448" s="643"/>
      <c r="J448" s="643"/>
      <c r="K448" s="643"/>
      <c r="L448" s="148"/>
      <c r="M448" s="114"/>
      <c r="N448" s="114"/>
    </row>
    <row r="449" spans="1:14" s="7" customFormat="1">
      <c r="A449" s="644"/>
      <c r="B449" s="8" t="s">
        <v>698</v>
      </c>
      <c r="C449" s="427">
        <v>11086.531000000001</v>
      </c>
      <c r="D449" s="427">
        <v>10439.566999999999</v>
      </c>
      <c r="E449" s="442">
        <v>10363.199000000001</v>
      </c>
      <c r="F449" s="442">
        <v>10549.123</v>
      </c>
      <c r="H449" s="124"/>
      <c r="I449" s="643"/>
      <c r="J449" s="643"/>
      <c r="K449" s="643"/>
      <c r="L449" s="148"/>
      <c r="M449" s="114"/>
      <c r="N449" s="114"/>
    </row>
    <row r="450" spans="1:14" s="7" customFormat="1">
      <c r="A450" s="644"/>
      <c r="B450" s="124"/>
      <c r="C450" s="645"/>
      <c r="D450" s="645"/>
      <c r="E450" s="645"/>
      <c r="F450" s="645"/>
      <c r="H450" s="124"/>
      <c r="I450" s="643"/>
      <c r="J450" s="643"/>
      <c r="K450" s="643"/>
      <c r="L450" s="148"/>
      <c r="M450" s="114"/>
      <c r="N450" s="114"/>
    </row>
    <row r="451" spans="1:14" s="7" customFormat="1">
      <c r="A451" s="644"/>
      <c r="B451" s="156" t="s">
        <v>1668</v>
      </c>
      <c r="C451" s="12"/>
      <c r="E451" s="126"/>
      <c r="F451" s="112"/>
      <c r="H451" s="124"/>
      <c r="I451" s="643"/>
      <c r="J451" s="643"/>
      <c r="K451" s="643"/>
      <c r="L451" s="148"/>
      <c r="M451" s="114"/>
      <c r="N451" s="114"/>
    </row>
    <row r="452" spans="1:14" s="7" customFormat="1">
      <c r="A452" s="644"/>
      <c r="B452" s="156"/>
      <c r="C452" s="12"/>
      <c r="E452" s="126"/>
      <c r="F452" s="112"/>
      <c r="H452" s="124"/>
      <c r="I452" s="643"/>
      <c r="J452" s="643"/>
      <c r="K452" s="643"/>
      <c r="L452" s="148"/>
      <c r="M452" s="114"/>
      <c r="N452" s="114"/>
    </row>
    <row r="453" spans="1:14" s="7" customFormat="1">
      <c r="A453" s="644"/>
      <c r="B453"/>
      <c r="C453" s="1160" t="s">
        <v>74</v>
      </c>
      <c r="D453" s="1160"/>
      <c r="E453" s="1160"/>
      <c r="F453" s="1160"/>
      <c r="H453" s="124"/>
      <c r="I453" s="643"/>
      <c r="J453" s="643"/>
      <c r="K453" s="643"/>
      <c r="L453" s="148"/>
      <c r="M453" s="114"/>
      <c r="N453" s="114"/>
    </row>
    <row r="454" spans="1:14" s="7" customFormat="1">
      <c r="A454" s="644"/>
      <c r="B454" s="8" t="s">
        <v>701</v>
      </c>
      <c r="C454" s="8" t="str">
        <f>C446</f>
        <v>2011/12</v>
      </c>
      <c r="D454" s="8" t="str">
        <f>D446</f>
        <v>2012/13</v>
      </c>
      <c r="E454" s="8" t="str">
        <f>E446</f>
        <v>2013/14</v>
      </c>
      <c r="F454" s="8" t="str">
        <f>F446</f>
        <v>2014/15</v>
      </c>
      <c r="H454" s="124"/>
      <c r="I454" s="643"/>
      <c r="J454" s="643"/>
      <c r="K454" s="643"/>
      <c r="L454" s="148"/>
      <c r="M454" s="114"/>
      <c r="N454" s="114"/>
    </row>
    <row r="455" spans="1:14" s="7" customFormat="1">
      <c r="A455" s="644"/>
      <c r="B455" s="8" t="s">
        <v>700</v>
      </c>
      <c r="C455" s="427">
        <v>637.53800000000001</v>
      </c>
      <c r="D455" s="427">
        <v>574.77499999999998</v>
      </c>
      <c r="E455" s="442">
        <v>574.96799999999996</v>
      </c>
      <c r="F455" s="443">
        <v>508.77499999999998</v>
      </c>
      <c r="H455" s="124"/>
      <c r="I455" s="643"/>
      <c r="J455" s="643"/>
      <c r="K455" s="643"/>
      <c r="L455" s="148"/>
      <c r="M455" s="114"/>
      <c r="N455" s="114"/>
    </row>
    <row r="456" spans="1:14" s="7" customFormat="1">
      <c r="A456" s="644"/>
      <c r="B456" s="8" t="s">
        <v>699</v>
      </c>
      <c r="C456" s="427">
        <v>3313.6379999999999</v>
      </c>
      <c r="D456" s="427">
        <v>3516.1579999999999</v>
      </c>
      <c r="E456" s="442">
        <v>3887.3130000000001</v>
      </c>
      <c r="F456" s="443">
        <v>3814.9520000000002</v>
      </c>
      <c r="H456" s="124"/>
      <c r="I456" s="643"/>
      <c r="J456" s="643"/>
      <c r="K456" s="643"/>
      <c r="L456" s="148"/>
      <c r="M456" s="114"/>
      <c r="N456" s="114"/>
    </row>
    <row r="457" spans="1:14" s="7" customFormat="1">
      <c r="A457" s="644"/>
      <c r="B457" s="8" t="s">
        <v>698</v>
      </c>
      <c r="C457" s="427">
        <v>490.15199999999999</v>
      </c>
      <c r="D457" s="427">
        <v>431.29899999999998</v>
      </c>
      <c r="E457" s="442">
        <v>382.72399999999999</v>
      </c>
      <c r="F457" s="443">
        <v>480.67099999999999</v>
      </c>
      <c r="H457" s="124"/>
      <c r="I457" s="643"/>
      <c r="J457" s="643"/>
      <c r="K457" s="643"/>
      <c r="L457" s="148"/>
      <c r="M457" s="114"/>
      <c r="N457" s="114"/>
    </row>
    <row r="458" spans="1:14" s="7" customFormat="1">
      <c r="A458" s="644"/>
      <c r="B458" s="124"/>
      <c r="C458" s="643"/>
      <c r="D458" s="643"/>
      <c r="E458" s="643"/>
      <c r="F458" s="643"/>
      <c r="H458" s="124"/>
      <c r="I458" s="643"/>
      <c r="J458" s="643"/>
      <c r="K458" s="643"/>
      <c r="L458" s="148"/>
      <c r="M458" s="114"/>
      <c r="N458" s="114"/>
    </row>
    <row r="459" spans="1:14" s="7" customFormat="1">
      <c r="A459" s="644"/>
      <c r="B459" s="156" t="s">
        <v>1669</v>
      </c>
      <c r="C459" s="12"/>
      <c r="E459" s="126"/>
      <c r="F459" s="112"/>
      <c r="H459" s="124"/>
      <c r="I459" s="643"/>
      <c r="J459" s="643"/>
      <c r="K459" s="643"/>
      <c r="L459" s="148"/>
      <c r="M459" s="114"/>
      <c r="N459" s="114"/>
    </row>
    <row r="460" spans="1:14" s="7" customFormat="1">
      <c r="A460" s="644"/>
      <c r="B460" s="156"/>
      <c r="C460" s="12"/>
      <c r="E460" s="126"/>
      <c r="F460" s="112"/>
      <c r="H460" s="124"/>
      <c r="I460" s="643"/>
      <c r="J460" s="643"/>
      <c r="K460" s="643"/>
      <c r="L460" s="148"/>
      <c r="M460" s="114"/>
      <c r="N460" s="114"/>
    </row>
    <row r="461" spans="1:14" s="7" customFormat="1">
      <c r="A461" s="644"/>
      <c r="B461"/>
      <c r="C461" s="1160" t="s">
        <v>74</v>
      </c>
      <c r="D461" s="1160"/>
      <c r="E461" s="1160"/>
      <c r="F461" s="1160"/>
      <c r="H461" s="124"/>
      <c r="I461" s="643"/>
      <c r="J461" s="643"/>
      <c r="K461" s="643"/>
      <c r="L461" s="148"/>
      <c r="M461" s="114"/>
      <c r="N461" s="114"/>
    </row>
    <row r="462" spans="1:14" s="7" customFormat="1">
      <c r="A462" s="644"/>
      <c r="B462" s="8" t="s">
        <v>701</v>
      </c>
      <c r="C462" s="8" t="str">
        <f>C454</f>
        <v>2011/12</v>
      </c>
      <c r="D462" s="8" t="str">
        <f>D454</f>
        <v>2012/13</v>
      </c>
      <c r="E462" s="8" t="str">
        <f>E454</f>
        <v>2013/14</v>
      </c>
      <c r="F462" s="8" t="str">
        <f>F454</f>
        <v>2014/15</v>
      </c>
      <c r="H462" s="124"/>
      <c r="I462" s="643"/>
      <c r="J462" s="643"/>
      <c r="K462" s="643"/>
      <c r="L462" s="148"/>
      <c r="M462" s="114"/>
      <c r="N462" s="114"/>
    </row>
    <row r="463" spans="1:14" s="7" customFormat="1">
      <c r="A463" s="644"/>
      <c r="B463" s="8" t="s">
        <v>700</v>
      </c>
      <c r="C463" s="427">
        <v>528.49099999999999</v>
      </c>
      <c r="D463" s="427">
        <v>471.85</v>
      </c>
      <c r="E463" s="442">
        <v>436.30700000000002</v>
      </c>
      <c r="F463" s="442">
        <v>432.65300000000002</v>
      </c>
      <c r="H463" s="124"/>
      <c r="I463" s="643"/>
      <c r="J463" s="643"/>
      <c r="K463" s="643"/>
      <c r="L463" s="148"/>
      <c r="M463" s="114"/>
      <c r="N463" s="114"/>
    </row>
    <row r="464" spans="1:14" s="7" customFormat="1">
      <c r="A464" s="644"/>
      <c r="B464" s="8" t="s">
        <v>699</v>
      </c>
      <c r="C464" s="427">
        <v>1967.913</v>
      </c>
      <c r="D464" s="427">
        <v>2100.8139999999999</v>
      </c>
      <c r="E464" s="442">
        <v>2198.634</v>
      </c>
      <c r="F464" s="442">
        <v>2194.5169999999998</v>
      </c>
      <c r="H464" s="124"/>
      <c r="I464" s="643"/>
      <c r="J464" s="643"/>
      <c r="K464" s="643"/>
      <c r="L464" s="148"/>
      <c r="M464" s="114"/>
      <c r="N464" s="114"/>
    </row>
    <row r="465" spans="1:14" s="7" customFormat="1">
      <c r="A465" s="644"/>
      <c r="B465" s="8" t="s">
        <v>698</v>
      </c>
      <c r="C465" s="427">
        <v>539.56299999999999</v>
      </c>
      <c r="D465" s="427">
        <v>440.42599999999999</v>
      </c>
      <c r="E465" s="442">
        <v>374.964</v>
      </c>
      <c r="F465" s="442">
        <v>382.51299999999998</v>
      </c>
      <c r="H465" s="124"/>
      <c r="I465" s="643"/>
      <c r="J465" s="643"/>
      <c r="K465" s="643"/>
      <c r="L465" s="148"/>
      <c r="M465" s="114"/>
      <c r="N465" s="114"/>
    </row>
    <row r="466" spans="1:14">
      <c r="C466" s="642"/>
      <c r="D466" s="642"/>
      <c r="E466" s="642"/>
    </row>
    <row r="467" spans="1:14" ht="18">
      <c r="B467" s="39" t="s">
        <v>792</v>
      </c>
      <c r="J467" s="12" t="s">
        <v>1430</v>
      </c>
      <c r="L467" s="922" t="s">
        <v>131</v>
      </c>
      <c r="M467" s="5" t="s">
        <v>67</v>
      </c>
    </row>
    <row r="469" spans="1:14">
      <c r="B469" s="12" t="s">
        <v>1428</v>
      </c>
      <c r="C469" s="115" t="s">
        <v>697</v>
      </c>
    </row>
    <row r="471" spans="1:14" ht="13.15" customHeight="1">
      <c r="B471" s="12" t="s">
        <v>64</v>
      </c>
      <c r="C471" s="1170" t="s">
        <v>696</v>
      </c>
      <c r="D471" s="1170"/>
      <c r="E471" s="1170"/>
      <c r="F471" s="1170"/>
      <c r="G471" s="1170"/>
      <c r="H471" s="1170"/>
      <c r="I471" s="1170"/>
      <c r="J471" s="1170"/>
      <c r="K471" s="1170"/>
    </row>
    <row r="472" spans="1:14">
      <c r="C472" s="1170"/>
      <c r="D472" s="1170"/>
      <c r="E472" s="1170"/>
      <c r="F472" s="1170"/>
      <c r="G472" s="1170"/>
      <c r="H472" s="1170"/>
      <c r="I472" s="1170"/>
      <c r="J472" s="1170"/>
      <c r="K472" s="1170"/>
    </row>
    <row r="473" spans="1:14">
      <c r="C473" s="573"/>
      <c r="D473" s="573"/>
      <c r="E473" s="573"/>
      <c r="F473" s="573"/>
      <c r="G473" s="573"/>
      <c r="H473" s="573"/>
      <c r="I473" s="573"/>
    </row>
    <row r="474" spans="1:14" ht="13.15" customHeight="1">
      <c r="B474" s="12" t="s">
        <v>65</v>
      </c>
      <c r="C474" s="1169" t="s">
        <v>1269</v>
      </c>
      <c r="D474" s="1169"/>
      <c r="E474" s="1169"/>
      <c r="F474" s="1169"/>
      <c r="G474" s="1169"/>
      <c r="H474" s="1169"/>
      <c r="I474" s="1169"/>
      <c r="J474" s="1169"/>
      <c r="K474" s="1169"/>
    </row>
    <row r="475" spans="1:14">
      <c r="C475" s="1169"/>
      <c r="D475" s="1169"/>
      <c r="E475" s="1169"/>
      <c r="F475" s="1169"/>
      <c r="G475" s="1169"/>
      <c r="H475" s="1169"/>
      <c r="I475" s="1169"/>
      <c r="J475" s="1169"/>
      <c r="K475" s="1169"/>
    </row>
    <row r="477" spans="1:14" ht="76.5">
      <c r="B477" s="608" t="s">
        <v>62</v>
      </c>
      <c r="C477" s="641" t="s">
        <v>695</v>
      </c>
      <c r="D477" s="640"/>
      <c r="E477" s="639"/>
      <c r="F477" s="639"/>
      <c r="G477" s="639"/>
      <c r="H477" s="639"/>
      <c r="I477" s="639"/>
      <c r="J477" s="638"/>
    </row>
    <row r="478" spans="1:14" ht="15">
      <c r="B478" s="608" t="s">
        <v>558</v>
      </c>
      <c r="C478" s="609">
        <v>0.81967929652140181</v>
      </c>
      <c r="D478" s="633"/>
      <c r="E478" s="632"/>
      <c r="F478" s="623"/>
      <c r="G478" s="623"/>
      <c r="H478" s="631"/>
      <c r="I478" s="630"/>
      <c r="J478" s="638"/>
    </row>
    <row r="479" spans="1:14" ht="15">
      <c r="B479" s="608" t="s">
        <v>7</v>
      </c>
      <c r="C479" s="592">
        <v>0.77418277297578086</v>
      </c>
      <c r="D479" s="634"/>
      <c r="E479" s="632"/>
      <c r="F479" s="623"/>
      <c r="G479" s="623"/>
      <c r="H479" s="631"/>
      <c r="I479" s="630"/>
      <c r="J479" s="638"/>
    </row>
    <row r="480" spans="1:14" ht="15">
      <c r="B480" s="608" t="s">
        <v>427</v>
      </c>
      <c r="C480" s="635">
        <v>0.7018035937417032</v>
      </c>
      <c r="D480" s="633"/>
      <c r="E480" s="632"/>
      <c r="F480" s="623"/>
      <c r="G480" s="623"/>
      <c r="H480" s="631"/>
      <c r="I480" s="630"/>
      <c r="J480" s="638"/>
    </row>
    <row r="481" spans="2:10" ht="15">
      <c r="B481" s="608" t="s">
        <v>3</v>
      </c>
      <c r="C481" s="637">
        <v>0.76362813176174793</v>
      </c>
      <c r="D481" s="634"/>
      <c r="E481" s="632"/>
      <c r="F481" s="623"/>
      <c r="G481" s="623"/>
      <c r="H481" s="631"/>
      <c r="I481" s="630"/>
      <c r="J481" s="638"/>
    </row>
    <row r="482" spans="2:10" ht="15">
      <c r="B482" s="608" t="s">
        <v>85</v>
      </c>
      <c r="C482" s="635">
        <v>0.7018035937417032</v>
      </c>
      <c r="D482" s="633"/>
      <c r="E482" s="626"/>
      <c r="F482" s="623"/>
      <c r="G482" s="623"/>
      <c r="H482" s="631"/>
      <c r="I482" s="630"/>
      <c r="J482" s="638"/>
    </row>
    <row r="483" spans="2:10" ht="15">
      <c r="B483" s="608" t="s">
        <v>103</v>
      </c>
      <c r="C483" s="637">
        <v>0.71621124010954529</v>
      </c>
      <c r="D483" s="634"/>
      <c r="E483" s="632"/>
      <c r="F483" s="623"/>
      <c r="G483" s="623"/>
      <c r="H483" s="631"/>
      <c r="I483" s="630"/>
      <c r="J483" s="638"/>
    </row>
    <row r="484" spans="2:10" ht="15">
      <c r="B484" s="608" t="s">
        <v>559</v>
      </c>
      <c r="C484" s="636">
        <v>0.73987837168102821</v>
      </c>
      <c r="D484" s="633"/>
      <c r="E484" s="632"/>
      <c r="F484" s="623"/>
      <c r="G484" s="623"/>
      <c r="H484" s="631"/>
      <c r="I484" s="630"/>
      <c r="J484" s="638"/>
    </row>
    <row r="485" spans="2:10" ht="15">
      <c r="B485" s="608" t="s">
        <v>6</v>
      </c>
      <c r="C485" s="637">
        <v>0.7018035937417032</v>
      </c>
      <c r="D485" s="634"/>
      <c r="E485" s="632"/>
      <c r="F485" s="623"/>
      <c r="G485" s="623"/>
      <c r="H485" s="631"/>
      <c r="I485" s="630"/>
      <c r="J485" s="629"/>
    </row>
    <row r="486" spans="2:10" ht="15">
      <c r="B486" s="608" t="s">
        <v>1</v>
      </c>
      <c r="C486" s="636">
        <v>0.85247941912230762</v>
      </c>
      <c r="D486" s="633"/>
      <c r="E486" s="632"/>
      <c r="F486" s="623"/>
      <c r="G486" s="623"/>
      <c r="H486" s="631"/>
      <c r="I486" s="630"/>
      <c r="J486" s="629"/>
    </row>
    <row r="487" spans="2:10" ht="15">
      <c r="B487" s="608" t="s">
        <v>396</v>
      </c>
      <c r="C487" s="635">
        <v>0.7018035937417032</v>
      </c>
      <c r="D487" s="633"/>
      <c r="E487" s="632"/>
      <c r="F487" s="623"/>
      <c r="G487" s="623"/>
      <c r="H487" s="631"/>
      <c r="I487" s="630"/>
      <c r="J487" s="629"/>
    </row>
    <row r="488" spans="2:10" ht="15">
      <c r="B488" s="608" t="s">
        <v>4</v>
      </c>
      <c r="C488" s="592">
        <v>0.81143624116313195</v>
      </c>
      <c r="D488" s="634"/>
      <c r="E488" s="632"/>
      <c r="F488" s="623"/>
      <c r="G488" s="623"/>
      <c r="H488" s="631"/>
      <c r="I488" s="630"/>
      <c r="J488" s="629"/>
    </row>
    <row r="489" spans="2:10" ht="15">
      <c r="B489" s="608" t="s">
        <v>0</v>
      </c>
      <c r="C489" s="609">
        <v>0.8803475751301838</v>
      </c>
      <c r="D489" s="633"/>
      <c r="E489" s="632"/>
      <c r="F489" s="623"/>
      <c r="G489" s="623"/>
      <c r="H489" s="631"/>
      <c r="I489" s="630"/>
      <c r="J489" s="629"/>
    </row>
    <row r="490" spans="2:10" ht="15">
      <c r="B490" s="608" t="s">
        <v>560</v>
      </c>
      <c r="C490" s="592">
        <v>0.82632651234210708</v>
      </c>
      <c r="D490" s="634"/>
      <c r="E490" s="632"/>
      <c r="F490" s="623"/>
      <c r="G490" s="623"/>
      <c r="H490" s="631"/>
      <c r="I490" s="630"/>
      <c r="J490" s="629"/>
    </row>
    <row r="491" spans="2:10" ht="15">
      <c r="B491" s="608" t="s">
        <v>561</v>
      </c>
      <c r="C491" s="609">
        <v>0.82621782631181129</v>
      </c>
      <c r="D491" s="633"/>
      <c r="E491" s="632"/>
      <c r="F491" s="623"/>
      <c r="G491" s="623"/>
      <c r="H491" s="631"/>
      <c r="I491" s="630"/>
      <c r="J491" s="629"/>
    </row>
    <row r="492" spans="2:10" ht="15">
      <c r="B492" s="608" t="s">
        <v>5</v>
      </c>
      <c r="C492" s="592">
        <v>0.85666666666666669</v>
      </c>
      <c r="D492" s="634"/>
      <c r="E492" s="632"/>
      <c r="F492" s="623"/>
      <c r="G492" s="623"/>
      <c r="H492" s="631"/>
      <c r="I492" s="630"/>
      <c r="J492" s="629"/>
    </row>
    <row r="493" spans="2:10" ht="15">
      <c r="B493" s="608" t="s">
        <v>44</v>
      </c>
      <c r="C493" s="609">
        <v>0.90180359374170316</v>
      </c>
      <c r="D493" s="633"/>
      <c r="E493" s="632"/>
      <c r="F493" s="623"/>
      <c r="G493" s="623"/>
      <c r="H493" s="631"/>
      <c r="I493" s="630"/>
      <c r="J493" s="629"/>
    </row>
    <row r="494" spans="2:10" ht="15">
      <c r="B494" s="608" t="s">
        <v>562</v>
      </c>
      <c r="C494" s="592">
        <v>0.74404661295893915</v>
      </c>
      <c r="D494" s="634"/>
      <c r="E494" s="632"/>
      <c r="F494" s="623"/>
      <c r="G494" s="623"/>
      <c r="H494" s="631"/>
      <c r="I494" s="630"/>
      <c r="J494" s="629"/>
    </row>
    <row r="495" spans="2:10" ht="15">
      <c r="B495" s="608" t="s">
        <v>2</v>
      </c>
      <c r="C495" s="609">
        <v>0.70571428571428574</v>
      </c>
      <c r="D495" s="633"/>
      <c r="E495" s="626"/>
      <c r="F495" s="623"/>
      <c r="G495" s="623"/>
      <c r="H495" s="631"/>
      <c r="I495" s="630"/>
      <c r="J495" s="629"/>
    </row>
    <row r="496" spans="2:10" ht="15">
      <c r="B496" s="608" t="s">
        <v>43</v>
      </c>
      <c r="C496" s="592">
        <v>0.80550277030709261</v>
      </c>
      <c r="D496" s="634"/>
      <c r="E496" s="632"/>
      <c r="F496" s="623"/>
      <c r="G496" s="623"/>
      <c r="H496" s="631"/>
      <c r="I496" s="630"/>
      <c r="J496" s="629"/>
    </row>
    <row r="497" spans="2:13" ht="15">
      <c r="B497" s="608" t="s">
        <v>563</v>
      </c>
      <c r="C497" s="609">
        <v>0.81897804795677143</v>
      </c>
      <c r="D497" s="633"/>
      <c r="E497" s="632"/>
      <c r="F497" s="623"/>
      <c r="G497" s="623"/>
      <c r="H497" s="631"/>
      <c r="I497" s="630"/>
      <c r="J497" s="629"/>
    </row>
    <row r="498" spans="2:13">
      <c r="B498" s="5"/>
      <c r="C498" s="309"/>
      <c r="D498" s="309"/>
      <c r="E498" s="309"/>
      <c r="F498" s="309"/>
      <c r="G498" s="309"/>
      <c r="H498" s="309"/>
      <c r="I498" s="309"/>
      <c r="J498" s="309"/>
    </row>
    <row r="499" spans="2:13" ht="18">
      <c r="B499" s="39" t="s">
        <v>793</v>
      </c>
      <c r="J499" s="12" t="s">
        <v>1430</v>
      </c>
      <c r="L499" s="922" t="s">
        <v>131</v>
      </c>
      <c r="M499" s="5" t="s">
        <v>67</v>
      </c>
    </row>
    <row r="501" spans="2:13">
      <c r="B501" s="12" t="s">
        <v>1428</v>
      </c>
      <c r="C501" s="115" t="s">
        <v>693</v>
      </c>
    </row>
    <row r="503" spans="2:13" ht="13.15" customHeight="1">
      <c r="B503" s="12" t="s">
        <v>64</v>
      </c>
      <c r="C503" s="799" t="s">
        <v>692</v>
      </c>
      <c r="D503" s="799"/>
      <c r="E503" s="799"/>
      <c r="F503" s="799"/>
      <c r="G503" s="799"/>
      <c r="H503" s="799"/>
      <c r="I503" s="799"/>
    </row>
    <row r="504" spans="2:13">
      <c r="C504" s="799"/>
      <c r="D504" s="799"/>
      <c r="E504" s="799"/>
      <c r="F504" s="799"/>
      <c r="G504" s="799"/>
      <c r="H504" s="799"/>
      <c r="I504" s="799"/>
    </row>
    <row r="505" spans="2:13" ht="13.15" customHeight="1">
      <c r="B505" s="12" t="s">
        <v>65</v>
      </c>
      <c r="C505" s="1169" t="s">
        <v>1269</v>
      </c>
      <c r="D505" s="1169"/>
      <c r="E505" s="1169"/>
      <c r="F505" s="1169"/>
      <c r="G505" s="1169"/>
      <c r="H505" s="1169"/>
      <c r="I505" s="1169"/>
      <c r="J505" s="1169"/>
      <c r="K505" s="1169"/>
    </row>
    <row r="506" spans="2:13">
      <c r="C506" s="1169"/>
      <c r="D506" s="1169"/>
      <c r="E506" s="1169"/>
      <c r="F506" s="1169"/>
      <c r="G506" s="1169"/>
      <c r="H506" s="1169"/>
      <c r="I506" s="1169"/>
      <c r="J506" s="1169"/>
      <c r="K506" s="1169"/>
    </row>
    <row r="507" spans="2:13">
      <c r="C507" s="924"/>
      <c r="D507" s="924"/>
      <c r="E507" s="924"/>
      <c r="F507" s="924"/>
      <c r="G507" s="924"/>
      <c r="H507" s="924"/>
      <c r="I507" s="924"/>
      <c r="J507" s="924"/>
      <c r="K507" s="924"/>
    </row>
    <row r="508" spans="2:13" ht="38.25">
      <c r="B508" s="608" t="s">
        <v>62</v>
      </c>
      <c r="C508" s="628" t="s">
        <v>691</v>
      </c>
      <c r="D508" s="627"/>
      <c r="E508" s="309"/>
      <c r="F508" s="309"/>
      <c r="G508" s="309"/>
      <c r="H508" s="309"/>
      <c r="I508" s="309"/>
      <c r="J508" s="309"/>
    </row>
    <row r="509" spans="2:13" ht="15">
      <c r="B509" s="608" t="str">
        <f t="shared" ref="B509:B528" si="9">B478</f>
        <v>Art &amp; Design</v>
      </c>
      <c r="C509" s="925">
        <v>0.84955112611115624</v>
      </c>
      <c r="D509" s="624"/>
      <c r="E509" s="309"/>
      <c r="F509" s="623"/>
      <c r="G509" s="623"/>
      <c r="H509" s="309"/>
      <c r="I509" s="309"/>
      <c r="J509" s="309"/>
    </row>
    <row r="510" spans="2:13" ht="15">
      <c r="B510" s="608" t="str">
        <f t="shared" si="9"/>
        <v>Biology</v>
      </c>
      <c r="C510" s="926">
        <v>0.81823358574382632</v>
      </c>
      <c r="D510" s="625"/>
      <c r="E510" s="309"/>
      <c r="F510" s="623"/>
      <c r="G510" s="623"/>
      <c r="H510" s="309"/>
      <c r="I510" s="309"/>
      <c r="J510" s="309"/>
    </row>
    <row r="511" spans="2:13" ht="15">
      <c r="B511" s="608" t="str">
        <f t="shared" si="9"/>
        <v>Business Studies</v>
      </c>
      <c r="C511" s="925">
        <v>0.77100312492473477</v>
      </c>
      <c r="D511" s="624"/>
      <c r="E511" s="309"/>
      <c r="F511" s="623"/>
      <c r="G511" s="623"/>
      <c r="H511" s="309"/>
      <c r="I511" s="309"/>
      <c r="J511" s="309"/>
    </row>
    <row r="512" spans="2:13" ht="15">
      <c r="B512" s="608" t="str">
        <f t="shared" si="9"/>
        <v>Chemistry</v>
      </c>
      <c r="C512" s="926">
        <v>0.85280215449592478</v>
      </c>
      <c r="D512" s="625"/>
      <c r="E512" s="309"/>
      <c r="F512" s="623"/>
      <c r="G512" s="623"/>
      <c r="H512" s="309"/>
      <c r="I512" s="309"/>
      <c r="J512" s="309"/>
    </row>
    <row r="513" spans="2:10" ht="15">
      <c r="B513" s="608" t="str">
        <f t="shared" si="9"/>
        <v>Classics</v>
      </c>
      <c r="C513" s="925">
        <v>0.77100312492473477</v>
      </c>
      <c r="D513" s="624"/>
      <c r="E513" s="309"/>
      <c r="F513" s="623"/>
      <c r="G513" s="623"/>
      <c r="H513" s="309"/>
      <c r="I513" s="309"/>
      <c r="J513" s="309"/>
    </row>
    <row r="514" spans="2:10" ht="15">
      <c r="B514" s="608" t="str">
        <f t="shared" si="9"/>
        <v>Computing</v>
      </c>
      <c r="C514" s="926">
        <v>0.82616744366744377</v>
      </c>
      <c r="D514" s="625"/>
      <c r="E514" s="309"/>
      <c r="F514" s="623"/>
      <c r="G514" s="623"/>
      <c r="H514" s="309"/>
      <c r="I514" s="309"/>
      <c r="J514" s="309"/>
    </row>
    <row r="515" spans="2:10" ht="15">
      <c r="B515" s="608" t="str">
        <f t="shared" si="9"/>
        <v>Design &amp; Technology</v>
      </c>
      <c r="C515" s="925">
        <v>0.77100312492473477</v>
      </c>
      <c r="D515" s="624"/>
      <c r="E515" s="309"/>
      <c r="F515" s="623"/>
      <c r="G515" s="623"/>
      <c r="H515" s="309"/>
      <c r="I515" s="309"/>
      <c r="J515" s="309"/>
    </row>
    <row r="516" spans="2:10" ht="15">
      <c r="B516" s="608" t="str">
        <f t="shared" si="9"/>
        <v>Drama</v>
      </c>
      <c r="C516" s="926">
        <v>0.77100312492473477</v>
      </c>
      <c r="D516" s="625"/>
      <c r="E516" s="309"/>
      <c r="F516" s="623"/>
      <c r="G516" s="623"/>
      <c r="H516" s="309"/>
      <c r="I516" s="309"/>
      <c r="J516" s="309"/>
    </row>
    <row r="517" spans="2:10" ht="15">
      <c r="B517" s="608" t="str">
        <f t="shared" si="9"/>
        <v>English</v>
      </c>
      <c r="C517" s="925">
        <v>0.86361339316051755</v>
      </c>
      <c r="D517" s="624"/>
      <c r="E517" s="309"/>
      <c r="F517" s="623"/>
      <c r="G517" s="623"/>
      <c r="H517" s="309"/>
      <c r="I517" s="309"/>
      <c r="J517" s="309"/>
    </row>
    <row r="518" spans="2:10" ht="15">
      <c r="B518" s="608" t="str">
        <f t="shared" si="9"/>
        <v>Food</v>
      </c>
      <c r="C518" s="925">
        <v>0.77100312492473477</v>
      </c>
      <c r="D518" s="624"/>
      <c r="E518" s="309"/>
      <c r="F518" s="623"/>
      <c r="G518" s="623"/>
      <c r="H518" s="309"/>
      <c r="I518" s="309"/>
      <c r="J518" s="309"/>
    </row>
    <row r="519" spans="2:10" ht="15">
      <c r="B519" s="608" t="str">
        <f t="shared" si="9"/>
        <v>Geography</v>
      </c>
      <c r="C519" s="926">
        <v>0.83697915796159184</v>
      </c>
      <c r="D519" s="625"/>
      <c r="E519" s="309"/>
      <c r="F519" s="623"/>
      <c r="G519" s="623"/>
      <c r="H519" s="309"/>
      <c r="I519" s="309"/>
      <c r="J519" s="309"/>
    </row>
    <row r="520" spans="2:10" ht="15">
      <c r="B520" s="608" t="str">
        <f t="shared" si="9"/>
        <v>History</v>
      </c>
      <c r="C520" s="925">
        <v>0.84466209312509122</v>
      </c>
      <c r="D520" s="624"/>
      <c r="E520" s="309"/>
      <c r="F520" s="623"/>
      <c r="G520" s="623"/>
      <c r="H520" s="309"/>
      <c r="I520" s="309"/>
      <c r="J520" s="309"/>
    </row>
    <row r="521" spans="2:10" ht="15">
      <c r="B521" s="608" t="str">
        <f t="shared" si="9"/>
        <v>Mathematics</v>
      </c>
      <c r="C521" s="926">
        <v>0.86691893505666273</v>
      </c>
      <c r="D521" s="625"/>
      <c r="E521" s="309"/>
      <c r="F521" s="623"/>
      <c r="G521" s="623"/>
      <c r="H521" s="309"/>
      <c r="I521" s="309"/>
      <c r="J521" s="309"/>
    </row>
    <row r="522" spans="2:10" ht="15">
      <c r="B522" s="608" t="str">
        <f t="shared" si="9"/>
        <v>Modern Foreign Languages</v>
      </c>
      <c r="C522" s="925">
        <v>0.93442112589390902</v>
      </c>
      <c r="D522" s="624"/>
      <c r="E522" s="309"/>
      <c r="F522" s="623"/>
      <c r="G522" s="623"/>
      <c r="H522" s="309"/>
      <c r="I522" s="309"/>
      <c r="J522" s="309"/>
    </row>
    <row r="523" spans="2:10" ht="15">
      <c r="B523" s="608" t="str">
        <f t="shared" si="9"/>
        <v>Music</v>
      </c>
      <c r="C523" s="926">
        <v>0.97100312492473473</v>
      </c>
      <c r="D523" s="625"/>
      <c r="E523" s="309"/>
      <c r="F523" s="623"/>
      <c r="G523" s="623"/>
      <c r="H523" s="309"/>
      <c r="I523" s="309"/>
      <c r="J523" s="309"/>
    </row>
    <row r="524" spans="2:10" ht="15">
      <c r="B524" s="608" t="str">
        <f t="shared" si="9"/>
        <v>Others</v>
      </c>
      <c r="C524" s="925">
        <v>0.96840909090909089</v>
      </c>
      <c r="D524" s="624"/>
      <c r="E524" s="309"/>
      <c r="F524" s="623"/>
      <c r="G524" s="623"/>
      <c r="H524" s="309"/>
      <c r="I524" s="309"/>
      <c r="J524" s="309"/>
    </row>
    <row r="525" spans="2:10" ht="15">
      <c r="B525" s="608" t="str">
        <f t="shared" si="9"/>
        <v>Physical Education</v>
      </c>
      <c r="C525" s="926">
        <v>0.89730125697841567</v>
      </c>
      <c r="D525" s="625"/>
      <c r="E525" s="309"/>
      <c r="F525" s="623"/>
      <c r="G525" s="623"/>
      <c r="H525" s="309"/>
      <c r="I525" s="309"/>
      <c r="J525" s="309"/>
    </row>
    <row r="526" spans="2:10" ht="15">
      <c r="B526" s="608" t="str">
        <f t="shared" si="9"/>
        <v>Physics</v>
      </c>
      <c r="C526" s="925">
        <v>0.82333333333333336</v>
      </c>
      <c r="D526" s="624"/>
      <c r="E526" s="626"/>
      <c r="F526" s="623"/>
      <c r="G526" s="623"/>
      <c r="H526" s="309"/>
      <c r="I526" s="309"/>
      <c r="J526" s="309"/>
    </row>
    <row r="527" spans="2:10" ht="15">
      <c r="B527" s="608" t="str">
        <f t="shared" si="9"/>
        <v>Primary</v>
      </c>
      <c r="C527" s="926">
        <v>0.8744427531662271</v>
      </c>
      <c r="D527" s="625"/>
      <c r="E527" s="309"/>
      <c r="F527" s="623"/>
      <c r="G527" s="623"/>
      <c r="H527" s="309"/>
      <c r="I527" s="309"/>
      <c r="J527" s="309"/>
    </row>
    <row r="528" spans="2:10" ht="15">
      <c r="B528" s="608" t="str">
        <f t="shared" si="9"/>
        <v>Religious Education</v>
      </c>
      <c r="C528" s="925">
        <v>0.84087359943977591</v>
      </c>
      <c r="D528" s="624"/>
      <c r="E528" s="309"/>
      <c r="F528" s="623"/>
      <c r="G528" s="623"/>
      <c r="H528" s="309"/>
      <c r="I528" s="309"/>
      <c r="J528" s="309"/>
    </row>
    <row r="529" spans="2:13">
      <c r="C529" s="309"/>
      <c r="D529" s="309"/>
      <c r="E529" s="309"/>
      <c r="F529" s="309"/>
      <c r="G529" s="309"/>
      <c r="H529" s="309"/>
      <c r="I529" s="309"/>
      <c r="J529" s="309"/>
    </row>
    <row r="530" spans="2:13" ht="18">
      <c r="B530" s="622" t="s">
        <v>1605</v>
      </c>
      <c r="C530" s="2"/>
      <c r="D530" s="2"/>
      <c r="J530" s="12" t="s">
        <v>1430</v>
      </c>
      <c r="L530" s="922" t="s">
        <v>133</v>
      </c>
      <c r="M530" s="5" t="s">
        <v>67</v>
      </c>
    </row>
    <row r="531" spans="2:13">
      <c r="B531" s="2"/>
      <c r="C531" s="2"/>
      <c r="D531" s="2"/>
    </row>
    <row r="532" spans="2:13">
      <c r="B532" s="9" t="s">
        <v>1428</v>
      </c>
      <c r="C532" s="435" t="s">
        <v>690</v>
      </c>
      <c r="D532" s="2"/>
    </row>
    <row r="533" spans="2:13">
      <c r="B533" s="2"/>
      <c r="C533" s="2"/>
      <c r="D533" s="2"/>
    </row>
    <row r="534" spans="2:13" ht="13.15" customHeight="1">
      <c r="B534" s="9" t="s">
        <v>64</v>
      </c>
      <c r="C534" s="1172" t="s">
        <v>1670</v>
      </c>
      <c r="D534" s="1172"/>
      <c r="E534" s="1172"/>
      <c r="F534" s="1172"/>
      <c r="G534" s="1172"/>
      <c r="H534" s="1172"/>
      <c r="I534" s="1172"/>
    </row>
    <row r="535" spans="2:13">
      <c r="B535" s="2"/>
      <c r="C535" s="1172"/>
      <c r="D535" s="1172"/>
      <c r="E535" s="1172"/>
      <c r="F535" s="1172"/>
      <c r="G535" s="1172"/>
      <c r="H535" s="1172"/>
      <c r="I535" s="1172"/>
    </row>
    <row r="536" spans="2:13">
      <c r="B536" s="2"/>
      <c r="C536" s="621"/>
      <c r="D536" s="621"/>
      <c r="E536" s="621"/>
      <c r="F536" s="621"/>
      <c r="G536" s="621"/>
      <c r="H536" s="621"/>
      <c r="I536" s="621"/>
    </row>
    <row r="537" spans="2:13">
      <c r="B537" s="9" t="s">
        <v>65</v>
      </c>
      <c r="C537" s="2"/>
      <c r="D537" s="2"/>
    </row>
    <row r="539" spans="2:13" ht="54.75" customHeight="1">
      <c r="B539" s="620" t="s">
        <v>62</v>
      </c>
      <c r="C539" s="619" t="s">
        <v>1606</v>
      </c>
      <c r="D539" s="618"/>
    </row>
    <row r="540" spans="2:13">
      <c r="B540" s="608" t="str">
        <f t="shared" ref="B540:B559" si="10">B509</f>
        <v>Art &amp; Design</v>
      </c>
      <c r="C540" s="332">
        <v>0</v>
      </c>
      <c r="D540" s="617"/>
    </row>
    <row r="541" spans="2:13">
      <c r="B541" s="608" t="str">
        <f t="shared" si="10"/>
        <v>Biology</v>
      </c>
      <c r="C541" s="332">
        <v>18</v>
      </c>
      <c r="D541" s="617"/>
    </row>
    <row r="542" spans="2:13">
      <c r="B542" s="608" t="str">
        <f t="shared" si="10"/>
        <v>Business Studies</v>
      </c>
      <c r="C542" s="332">
        <v>0</v>
      </c>
      <c r="D542" s="617"/>
    </row>
    <row r="543" spans="2:13">
      <c r="B543" s="608" t="str">
        <f t="shared" si="10"/>
        <v>Chemistry</v>
      </c>
      <c r="C543" s="332">
        <v>8</v>
      </c>
      <c r="D543" s="617"/>
    </row>
    <row r="544" spans="2:13">
      <c r="B544" s="608" t="str">
        <f t="shared" si="10"/>
        <v>Classics</v>
      </c>
      <c r="C544" s="332">
        <v>0</v>
      </c>
      <c r="D544" s="617"/>
    </row>
    <row r="545" spans="2:5">
      <c r="B545" s="608" t="str">
        <f t="shared" si="10"/>
        <v>Computing</v>
      </c>
      <c r="C545" s="332">
        <v>0</v>
      </c>
      <c r="D545" s="617"/>
      <c r="E545" s="426"/>
    </row>
    <row r="546" spans="2:5">
      <c r="B546" s="608" t="str">
        <f t="shared" si="10"/>
        <v>Design &amp; Technology</v>
      </c>
      <c r="C546" s="332">
        <v>29</v>
      </c>
      <c r="D546" s="617"/>
      <c r="E546" s="426"/>
    </row>
    <row r="547" spans="2:5">
      <c r="B547" s="608" t="str">
        <f t="shared" si="10"/>
        <v>Drama</v>
      </c>
      <c r="C547" s="332">
        <v>0</v>
      </c>
      <c r="D547" s="617"/>
    </row>
    <row r="548" spans="2:5">
      <c r="B548" s="608" t="str">
        <f t="shared" si="10"/>
        <v>English</v>
      </c>
      <c r="C548" s="332">
        <v>35</v>
      </c>
      <c r="D548" s="617"/>
    </row>
    <row r="549" spans="2:5">
      <c r="B549" s="608" t="str">
        <f t="shared" si="10"/>
        <v>Food</v>
      </c>
      <c r="C549" s="332">
        <v>0</v>
      </c>
      <c r="D549" s="617"/>
    </row>
    <row r="550" spans="2:5">
      <c r="B550" s="608" t="str">
        <f t="shared" si="10"/>
        <v>Geography</v>
      </c>
      <c r="C550" s="332">
        <v>0</v>
      </c>
      <c r="D550" s="617"/>
    </row>
    <row r="551" spans="2:5">
      <c r="B551" s="608" t="str">
        <f t="shared" si="10"/>
        <v>History</v>
      </c>
      <c r="C551" s="332">
        <v>0</v>
      </c>
      <c r="D551" s="617"/>
    </row>
    <row r="552" spans="2:5">
      <c r="B552" s="608" t="str">
        <f t="shared" si="10"/>
        <v>Mathematics</v>
      </c>
      <c r="C552" s="332">
        <v>96</v>
      </c>
      <c r="D552" s="617"/>
    </row>
    <row r="553" spans="2:5">
      <c r="B553" s="608" t="str">
        <f t="shared" si="10"/>
        <v>Modern Foreign Languages</v>
      </c>
      <c r="C553" s="332">
        <v>5</v>
      </c>
      <c r="D553" s="617"/>
    </row>
    <row r="554" spans="2:5">
      <c r="B554" s="608" t="str">
        <f t="shared" si="10"/>
        <v>Music</v>
      </c>
      <c r="C554" s="332">
        <v>0</v>
      </c>
      <c r="D554" s="617"/>
      <c r="E554" s="309"/>
    </row>
    <row r="555" spans="2:5">
      <c r="B555" s="608" t="str">
        <f t="shared" si="10"/>
        <v>Others</v>
      </c>
      <c r="C555" s="332">
        <v>0</v>
      </c>
      <c r="D555" s="617"/>
    </row>
    <row r="556" spans="2:5">
      <c r="B556" s="608" t="str">
        <f t="shared" si="10"/>
        <v>Physical Education</v>
      </c>
      <c r="C556" s="332">
        <v>86</v>
      </c>
      <c r="D556" s="617"/>
    </row>
    <row r="557" spans="2:5">
      <c r="B557" s="608" t="str">
        <f t="shared" si="10"/>
        <v>Physics</v>
      </c>
      <c r="C557" s="332">
        <v>27</v>
      </c>
      <c r="D557" s="617"/>
    </row>
    <row r="558" spans="2:5">
      <c r="B558" s="608" t="str">
        <f t="shared" si="10"/>
        <v>Primary</v>
      </c>
      <c r="C558" s="332">
        <v>5120</v>
      </c>
      <c r="D558" s="617"/>
    </row>
    <row r="559" spans="2:5">
      <c r="B559" s="608" t="str">
        <f t="shared" si="10"/>
        <v>Religious Education</v>
      </c>
      <c r="C559" s="332">
        <v>14</v>
      </c>
      <c r="D559" s="617"/>
    </row>
    <row r="560" spans="2:5">
      <c r="B560" s="8" t="s">
        <v>8</v>
      </c>
      <c r="C560" s="307">
        <f>SUM(C540:C559)</f>
        <v>5438</v>
      </c>
    </row>
    <row r="561" spans="2:13">
      <c r="C561" s="329"/>
    </row>
    <row r="562" spans="2:13" ht="18">
      <c r="B562" s="39" t="s">
        <v>794</v>
      </c>
      <c r="J562" s="12" t="s">
        <v>1430</v>
      </c>
      <c r="L562" s="922" t="s">
        <v>133</v>
      </c>
      <c r="M562" s="5" t="s">
        <v>67</v>
      </c>
    </row>
    <row r="563" spans="2:13" ht="21" customHeight="1"/>
    <row r="564" spans="2:13">
      <c r="B564" s="616" t="s">
        <v>1428</v>
      </c>
      <c r="C564" s="798" t="s">
        <v>1100</v>
      </c>
      <c r="D564" s="798"/>
      <c r="E564" s="798"/>
      <c r="F564" s="798"/>
      <c r="G564" s="798"/>
      <c r="H564" s="798"/>
      <c r="I564" s="798"/>
      <c r="J564" s="798"/>
    </row>
    <row r="566" spans="2:13" ht="13.15" customHeight="1">
      <c r="B566" s="12" t="s">
        <v>64</v>
      </c>
      <c r="C566" s="1169" t="s">
        <v>1671</v>
      </c>
      <c r="D566" s="1169"/>
      <c r="E566" s="1169"/>
      <c r="F566" s="1169"/>
      <c r="G566" s="1169"/>
      <c r="H566" s="1169"/>
      <c r="I566" s="1169"/>
      <c r="J566" s="1169"/>
      <c r="K566" s="1169"/>
    </row>
    <row r="567" spans="2:13" ht="13.9" customHeight="1">
      <c r="C567" s="1169"/>
      <c r="D567" s="1169"/>
      <c r="E567" s="1169"/>
      <c r="F567" s="1169"/>
      <c r="G567" s="1169"/>
      <c r="H567" s="1169"/>
      <c r="I567" s="1169"/>
      <c r="J567" s="1169"/>
      <c r="K567" s="1169"/>
    </row>
    <row r="568" spans="2:13">
      <c r="C568" s="612"/>
      <c r="D568" s="612"/>
      <c r="E568" s="612"/>
      <c r="F568" s="612"/>
      <c r="G568" s="612"/>
      <c r="H568" s="612"/>
    </row>
    <row r="569" spans="2:13">
      <c r="B569" s="12" t="s">
        <v>65</v>
      </c>
      <c r="C569" s="115" t="s">
        <v>1470</v>
      </c>
    </row>
    <row r="571" spans="2:13">
      <c r="B571" s="141" t="s">
        <v>352</v>
      </c>
      <c r="C571" s="141" t="s">
        <v>91</v>
      </c>
      <c r="E571" s="614"/>
      <c r="F571" s="613"/>
    </row>
    <row r="572" spans="2:13">
      <c r="B572" s="141" t="s">
        <v>43</v>
      </c>
      <c r="C572" s="615">
        <f>C389</f>
        <v>0.89</v>
      </c>
      <c r="E572" s="614"/>
      <c r="F572" s="613"/>
    </row>
    <row r="573" spans="2:13">
      <c r="B573" s="141" t="s">
        <v>245</v>
      </c>
      <c r="C573" s="615">
        <f>D389</f>
        <v>0.93100000000000005</v>
      </c>
      <c r="E573" s="614"/>
      <c r="F573" s="613"/>
    </row>
    <row r="575" spans="2:13" ht="18">
      <c r="B575" s="39" t="s">
        <v>795</v>
      </c>
      <c r="J575" s="12" t="s">
        <v>1430</v>
      </c>
      <c r="L575" s="922" t="s">
        <v>131</v>
      </c>
      <c r="M575" s="5" t="s">
        <v>67</v>
      </c>
    </row>
    <row r="577" spans="2:11">
      <c r="B577" s="12" t="s">
        <v>1428</v>
      </c>
      <c r="C577" s="435" t="s">
        <v>693</v>
      </c>
    </row>
    <row r="579" spans="2:11" ht="12.75" customHeight="1">
      <c r="B579" s="12" t="s">
        <v>64</v>
      </c>
      <c r="C579" s="1171" t="s">
        <v>689</v>
      </c>
      <c r="D579" s="1171"/>
      <c r="E579" s="1171"/>
      <c r="F579" s="1171"/>
      <c r="G579" s="1171"/>
      <c r="H579" s="1171"/>
      <c r="I579" s="1171"/>
      <c r="J579" s="1171"/>
      <c r="K579" s="1171"/>
    </row>
    <row r="580" spans="2:11" ht="13.15" customHeight="1">
      <c r="C580" s="1171"/>
      <c r="D580" s="1171"/>
      <c r="E580" s="1171"/>
      <c r="F580" s="1171"/>
      <c r="G580" s="1171"/>
      <c r="H580" s="1171"/>
      <c r="I580" s="1171"/>
      <c r="J580" s="1171"/>
      <c r="K580" s="1171"/>
    </row>
    <row r="581" spans="2:11" ht="13.15" customHeight="1">
      <c r="C581" s="1171"/>
      <c r="D581" s="1171"/>
      <c r="E581" s="1171"/>
      <c r="F581" s="1171"/>
      <c r="G581" s="1171"/>
      <c r="H581" s="1171"/>
      <c r="I581" s="1171"/>
      <c r="J581" s="1171"/>
      <c r="K581" s="1171"/>
    </row>
    <row r="582" spans="2:11" ht="13.15" customHeight="1">
      <c r="C582" s="1171"/>
      <c r="D582" s="1171"/>
      <c r="E582" s="1171"/>
      <c r="F582" s="1171"/>
      <c r="G582" s="1171"/>
      <c r="H582" s="1171"/>
      <c r="I582" s="1171"/>
      <c r="J582" s="1171"/>
      <c r="K582" s="1171"/>
    </row>
    <row r="583" spans="2:11" ht="13.15" customHeight="1">
      <c r="C583" s="923"/>
      <c r="D583" s="923"/>
      <c r="E583" s="923"/>
      <c r="F583" s="923"/>
      <c r="G583" s="923"/>
      <c r="H583" s="923"/>
      <c r="I583" s="923"/>
      <c r="J583" s="923"/>
      <c r="K583" s="923"/>
    </row>
    <row r="584" spans="2:11" ht="13.15" customHeight="1">
      <c r="B584" s="12" t="s">
        <v>65</v>
      </c>
      <c r="C584" s="1169" t="s">
        <v>1270</v>
      </c>
      <c r="D584" s="1169"/>
      <c r="E584" s="1169"/>
      <c r="F584" s="1169"/>
      <c r="G584" s="1169"/>
      <c r="H584" s="1169"/>
      <c r="I584" s="1169"/>
      <c r="J584" s="1169"/>
      <c r="K584" s="1169"/>
    </row>
    <row r="585" spans="2:11">
      <c r="C585" s="1169"/>
      <c r="D585" s="1169"/>
      <c r="E585" s="1169"/>
      <c r="F585" s="1169"/>
      <c r="G585" s="1169"/>
      <c r="H585" s="1169"/>
      <c r="I585" s="1169"/>
      <c r="J585" s="1169"/>
      <c r="K585" s="1169"/>
    </row>
    <row r="586" spans="2:11">
      <c r="C586" s="1169"/>
      <c r="D586" s="1169"/>
      <c r="E586" s="1169"/>
      <c r="F586" s="1169"/>
      <c r="G586" s="1169"/>
      <c r="H586" s="1169"/>
      <c r="I586" s="1169"/>
      <c r="J586" s="1169"/>
      <c r="K586" s="1169"/>
    </row>
    <row r="588" spans="2:11">
      <c r="C588" s="1164" t="s">
        <v>688</v>
      </c>
      <c r="D588" s="1165"/>
      <c r="E588" s="1166"/>
      <c r="F588" s="1167" t="s">
        <v>687</v>
      </c>
      <c r="G588" s="1168"/>
      <c r="H588" s="1166"/>
    </row>
    <row r="589" spans="2:11">
      <c r="C589" s="1161" t="s">
        <v>686</v>
      </c>
      <c r="D589" s="1162"/>
      <c r="E589" s="1163"/>
      <c r="F589" s="1161" t="s">
        <v>685</v>
      </c>
      <c r="G589" s="1163"/>
      <c r="H589" s="1163"/>
    </row>
    <row r="590" spans="2:11">
      <c r="B590" s="8" t="s">
        <v>62</v>
      </c>
      <c r="C590" s="611" t="s">
        <v>684</v>
      </c>
      <c r="D590" s="610" t="s">
        <v>683</v>
      </c>
      <c r="E590" s="610" t="s">
        <v>682</v>
      </c>
      <c r="F590" s="611" t="s">
        <v>684</v>
      </c>
      <c r="G590" s="610" t="s">
        <v>683</v>
      </c>
      <c r="H590" s="610" t="s">
        <v>682</v>
      </c>
    </row>
    <row r="591" spans="2:11">
      <c r="B591" s="608" t="str">
        <f t="shared" ref="B591:B610" si="11">B540</f>
        <v>Art &amp; Design</v>
      </c>
      <c r="C591" s="609">
        <v>0.89656936503147322</v>
      </c>
      <c r="D591" s="609">
        <v>0.92295825515150209</v>
      </c>
      <c r="E591" s="609">
        <v>0.9198829039812646</v>
      </c>
      <c r="F591" s="609">
        <v>0.78660236593530231</v>
      </c>
      <c r="G591" s="609">
        <v>0.80585818016158572</v>
      </c>
      <c r="H591" s="609">
        <v>0.7466071428571428</v>
      </c>
    </row>
    <row r="592" spans="2:11">
      <c r="B592" s="608" t="str">
        <f t="shared" si="11"/>
        <v>Biology</v>
      </c>
      <c r="C592" s="592">
        <v>0.89007223715777162</v>
      </c>
      <c r="D592" s="592">
        <v>0.93345721234230128</v>
      </c>
      <c r="E592" s="592">
        <v>0.82330924855491328</v>
      </c>
      <c r="F592" s="592">
        <v>0.77630557603914196</v>
      </c>
      <c r="G592" s="592">
        <v>0.84332016988389991</v>
      </c>
      <c r="H592" s="609">
        <v>0.74606776978353895</v>
      </c>
    </row>
    <row r="593" spans="2:8">
      <c r="B593" s="608" t="str">
        <f t="shared" si="11"/>
        <v>Business Studies</v>
      </c>
      <c r="C593" s="609">
        <v>0.91113769387108645</v>
      </c>
      <c r="D593" s="609">
        <v>0.89903436509185042</v>
      </c>
      <c r="E593" s="609">
        <v>0.99009592526642132</v>
      </c>
      <c r="F593" s="609">
        <v>0.77066613049513188</v>
      </c>
      <c r="G593" s="609">
        <v>0.75397740099470079</v>
      </c>
      <c r="H593" s="609">
        <v>0.78624999999999989</v>
      </c>
    </row>
    <row r="594" spans="2:8">
      <c r="B594" s="608" t="str">
        <f t="shared" si="11"/>
        <v>Chemistry</v>
      </c>
      <c r="C594" s="592">
        <v>0.85386825276324407</v>
      </c>
      <c r="D594" s="592">
        <v>0.88185171865961465</v>
      </c>
      <c r="E594" s="592">
        <v>0.86057692307692302</v>
      </c>
      <c r="F594" s="592">
        <v>0.77463926074233702</v>
      </c>
      <c r="G594" s="592">
        <v>0.82467230669115987</v>
      </c>
      <c r="H594" s="592">
        <v>0.84727272727272718</v>
      </c>
    </row>
    <row r="595" spans="2:8">
      <c r="B595" s="608" t="str">
        <f t="shared" si="11"/>
        <v>Classics</v>
      </c>
      <c r="C595" s="550">
        <v>0.97731182795698934</v>
      </c>
      <c r="D595" s="550">
        <v>0.81221849084909792</v>
      </c>
      <c r="E595" s="592">
        <v>0.79009592526642136</v>
      </c>
      <c r="F595" s="550">
        <v>0.70887633984121257</v>
      </c>
      <c r="G595" s="550">
        <v>0.75397740099470079</v>
      </c>
      <c r="H595" s="592">
        <v>0.74606776978353895</v>
      </c>
    </row>
    <row r="596" spans="2:8">
      <c r="B596" s="608" t="str">
        <f t="shared" si="11"/>
        <v>Computing</v>
      </c>
      <c r="C596" s="592">
        <v>0.82588388485461328</v>
      </c>
      <c r="D596" s="592">
        <v>0.85934535104364329</v>
      </c>
      <c r="E596" s="592">
        <v>0.82399999999999995</v>
      </c>
      <c r="F596" s="592">
        <v>0.75461185604952075</v>
      </c>
      <c r="G596" s="592">
        <v>0.84674696499537272</v>
      </c>
      <c r="H596" s="592">
        <v>0.85203551912568298</v>
      </c>
    </row>
    <row r="597" spans="2:8">
      <c r="B597" s="608" t="str">
        <f t="shared" si="11"/>
        <v>Design &amp; Technology</v>
      </c>
      <c r="C597" s="609">
        <v>0.87062962695262991</v>
      </c>
      <c r="D597" s="609">
        <v>0.91258552375302027</v>
      </c>
      <c r="E597" s="592">
        <v>0.79009592526642136</v>
      </c>
      <c r="F597" s="609">
        <v>0.76878652315207763</v>
      </c>
      <c r="G597" s="609">
        <v>0.85993280574696063</v>
      </c>
      <c r="H597" s="609">
        <v>0.74606776978353895</v>
      </c>
    </row>
    <row r="598" spans="2:8">
      <c r="B598" s="608" t="str">
        <f t="shared" si="11"/>
        <v>Drama</v>
      </c>
      <c r="C598" s="592">
        <v>0.94343157795330468</v>
      </c>
      <c r="D598" s="592">
        <v>0.93265320816294772</v>
      </c>
      <c r="E598" s="592">
        <v>0.88679999999999992</v>
      </c>
      <c r="F598" s="592">
        <v>0.79328432052498199</v>
      </c>
      <c r="G598" s="592">
        <v>0.85010707787694928</v>
      </c>
      <c r="H598" s="609">
        <v>0.84171201814058949</v>
      </c>
    </row>
    <row r="599" spans="2:8">
      <c r="B599" s="608" t="str">
        <f t="shared" si="11"/>
        <v>English</v>
      </c>
      <c r="C599" s="609">
        <v>0.91441398125881368</v>
      </c>
      <c r="D599" s="609">
        <v>0.90891045160166772</v>
      </c>
      <c r="E599" s="609">
        <v>0.93082688995565976</v>
      </c>
      <c r="F599" s="609">
        <v>0.83124840240454523</v>
      </c>
      <c r="G599" s="609">
        <v>0.86746222500815862</v>
      </c>
      <c r="H599" s="609">
        <v>0.85333577382722825</v>
      </c>
    </row>
    <row r="600" spans="2:8">
      <c r="B600" s="608" t="str">
        <f t="shared" si="11"/>
        <v>Food</v>
      </c>
      <c r="C600" s="592">
        <v>0.79153162963911161</v>
      </c>
      <c r="D600" s="592">
        <v>0.81221849084909792</v>
      </c>
      <c r="E600" s="609">
        <v>0.79009592526642136</v>
      </c>
      <c r="F600" s="592">
        <v>0.70887633984121257</v>
      </c>
      <c r="G600" s="592">
        <v>0.75397740099470079</v>
      </c>
      <c r="H600" s="609">
        <v>0.74606776978353895</v>
      </c>
    </row>
    <row r="601" spans="2:8">
      <c r="B601" s="608" t="str">
        <f t="shared" si="11"/>
        <v>Geography</v>
      </c>
      <c r="C601" s="609">
        <v>0.92668048553325288</v>
      </c>
      <c r="D601" s="609">
        <v>0.93042615596963429</v>
      </c>
      <c r="E601" s="609">
        <v>0.79009592526642136</v>
      </c>
      <c r="F601" s="609">
        <v>0.78829949901542928</v>
      </c>
      <c r="G601" s="609">
        <v>0.87675456123417173</v>
      </c>
      <c r="H601" s="609">
        <v>0.74606776978353895</v>
      </c>
    </row>
    <row r="602" spans="2:8">
      <c r="B602" s="608" t="str">
        <f t="shared" si="11"/>
        <v>History</v>
      </c>
      <c r="C602" s="592">
        <v>0.93544459296492899</v>
      </c>
      <c r="D602" s="592">
        <v>0.92527113009375483</v>
      </c>
      <c r="E602" s="609">
        <v>0.97750000000000004</v>
      </c>
      <c r="F602" s="592">
        <v>0.81848076885305765</v>
      </c>
      <c r="G602" s="592">
        <v>0.81360034974441753</v>
      </c>
      <c r="H602" s="592">
        <v>0.89924468378900846</v>
      </c>
    </row>
    <row r="603" spans="2:8">
      <c r="B603" s="608" t="str">
        <f t="shared" si="11"/>
        <v>Mathematics</v>
      </c>
      <c r="C603" s="609">
        <v>0.85604696770853506</v>
      </c>
      <c r="D603" s="609">
        <v>0.88802330988697831</v>
      </c>
      <c r="E603" s="609">
        <v>0.87497383280539864</v>
      </c>
      <c r="F603" s="609">
        <v>0.80027700012184266</v>
      </c>
      <c r="G603" s="609">
        <v>0.86604610223536049</v>
      </c>
      <c r="H603" s="609">
        <v>0.81980810234541579</v>
      </c>
    </row>
    <row r="604" spans="2:8">
      <c r="B604" s="608" t="str">
        <f t="shared" si="11"/>
        <v>Modern Foreign Languages</v>
      </c>
      <c r="C604" s="592">
        <v>0.8849898250020789</v>
      </c>
      <c r="D604" s="592">
        <v>0.8974279891326703</v>
      </c>
      <c r="E604" s="592">
        <v>0.868024193548387</v>
      </c>
      <c r="F604" s="592">
        <v>0.74532971727539366</v>
      </c>
      <c r="G604" s="592">
        <v>0.82740125816212773</v>
      </c>
      <c r="H604" s="592">
        <v>0.82076492537313417</v>
      </c>
    </row>
    <row r="605" spans="2:8">
      <c r="B605" s="608" t="str">
        <f t="shared" si="11"/>
        <v>Music</v>
      </c>
      <c r="C605" s="609">
        <v>0.91022698247932821</v>
      </c>
      <c r="D605" s="609">
        <v>0.9265320910973085</v>
      </c>
      <c r="E605" s="609">
        <v>0.826021505376344</v>
      </c>
      <c r="F605" s="609">
        <v>0.77017704513632146</v>
      </c>
      <c r="G605" s="609">
        <v>0.75397740099470079</v>
      </c>
      <c r="H605" s="609">
        <v>0.90388235294117647</v>
      </c>
    </row>
    <row r="606" spans="2:8">
      <c r="B606" s="608" t="str">
        <f t="shared" si="11"/>
        <v>Others</v>
      </c>
      <c r="C606" s="592">
        <v>0.93052551192152122</v>
      </c>
      <c r="D606" s="592">
        <v>0.88262376956884969</v>
      </c>
      <c r="E606" s="609">
        <v>0.93804347826086953</v>
      </c>
      <c r="F606" s="592">
        <v>0.79755969833255524</v>
      </c>
      <c r="G606" s="592">
        <v>0.8206238835406614</v>
      </c>
      <c r="H606" s="609">
        <v>0.74606776978353895</v>
      </c>
    </row>
    <row r="607" spans="2:8">
      <c r="B607" s="608" t="str">
        <f t="shared" si="11"/>
        <v>Physical Education</v>
      </c>
      <c r="C607" s="609">
        <v>0.95566050189650253</v>
      </c>
      <c r="D607" s="609">
        <v>0.94857884127932124</v>
      </c>
      <c r="E607" s="609">
        <v>0.91079608237066789</v>
      </c>
      <c r="F607" s="609">
        <v>0.76009039562858272</v>
      </c>
      <c r="G607" s="609">
        <v>0.78307799648525545</v>
      </c>
      <c r="H607" s="609">
        <v>0.77451742919389965</v>
      </c>
    </row>
    <row r="608" spans="2:8">
      <c r="B608" s="608" t="str">
        <f t="shared" si="11"/>
        <v>Physics</v>
      </c>
      <c r="C608" s="592">
        <v>0.79387529802514867</v>
      </c>
      <c r="D608" s="592">
        <v>0.8935458623830459</v>
      </c>
      <c r="E608" s="592">
        <v>0.79009592526642136</v>
      </c>
      <c r="F608" s="592">
        <v>0.76356772684046392</v>
      </c>
      <c r="G608" s="592">
        <v>0.83289009661835745</v>
      </c>
      <c r="H608" s="592">
        <v>0.8077104377104376</v>
      </c>
    </row>
    <row r="609" spans="1:8">
      <c r="B609" s="608" t="str">
        <f t="shared" si="11"/>
        <v>Primary</v>
      </c>
      <c r="C609" s="609">
        <v>0.89808924141631397</v>
      </c>
      <c r="D609" s="609">
        <v>0.91345446548949272</v>
      </c>
      <c r="E609" s="609">
        <v>0.8889564402392216</v>
      </c>
      <c r="F609" s="609">
        <v>0.83928297218040937</v>
      </c>
      <c r="G609" s="609">
        <v>0.87746653545124054</v>
      </c>
      <c r="H609" s="609">
        <v>0.86439783053042718</v>
      </c>
    </row>
    <row r="610" spans="1:8">
      <c r="B610" s="608" t="str">
        <f t="shared" si="11"/>
        <v>Religious Education</v>
      </c>
      <c r="C610" s="592">
        <v>0.89709120808106446</v>
      </c>
      <c r="D610" s="592">
        <v>0.89654943358782835</v>
      </c>
      <c r="E610" s="592">
        <v>0.83054347826086949</v>
      </c>
      <c r="F610" s="592">
        <v>0.77156468695812641</v>
      </c>
      <c r="G610" s="592">
        <v>0.79621526992562441</v>
      </c>
      <c r="H610" s="609">
        <v>0.8527499999999999</v>
      </c>
    </row>
    <row r="611" spans="1:8">
      <c r="B611" s="608" t="s">
        <v>8</v>
      </c>
      <c r="C611" s="550">
        <v>0.89153162963911159</v>
      </c>
      <c r="D611" s="550">
        <v>0.9122184908490979</v>
      </c>
      <c r="E611" s="592">
        <v>0.89009592526642134</v>
      </c>
      <c r="F611" s="550">
        <v>0.80887633984121254</v>
      </c>
      <c r="G611" s="550">
        <v>0.85397740099470076</v>
      </c>
      <c r="H611" s="592">
        <v>0.84606776978353893</v>
      </c>
    </row>
    <row r="613" spans="1:8" ht="15">
      <c r="B613" s="607" t="s">
        <v>1107</v>
      </c>
    </row>
    <row r="614" spans="1:8">
      <c r="B614" s="606" t="s">
        <v>681</v>
      </c>
      <c r="C614" s="606" t="s">
        <v>680</v>
      </c>
      <c r="D614" s="606"/>
      <c r="E614" s="606" t="s">
        <v>679</v>
      </c>
    </row>
    <row r="615" spans="1:8" ht="15">
      <c r="B615" s="605" t="s">
        <v>677</v>
      </c>
      <c r="C615" s="604" t="s">
        <v>678</v>
      </c>
      <c r="D615" s="603"/>
      <c r="E615" s="592">
        <v>0.48835031870070944</v>
      </c>
    </row>
    <row r="616" spans="1:8" ht="15">
      <c r="B616" s="605" t="s">
        <v>677</v>
      </c>
      <c r="C616" s="604" t="s">
        <v>676</v>
      </c>
      <c r="D616" s="603"/>
      <c r="E616" s="592">
        <v>8.5418992401598906E-2</v>
      </c>
    </row>
    <row r="617" spans="1:8" ht="15">
      <c r="B617" s="602" t="s">
        <v>675</v>
      </c>
      <c r="C617" s="601"/>
      <c r="D617" s="600"/>
      <c r="E617" s="599">
        <v>0.25517663581691813</v>
      </c>
      <c r="G617" s="598"/>
    </row>
    <row r="618" spans="1:8" ht="15">
      <c r="B618" s="597" t="s">
        <v>674</v>
      </c>
      <c r="C618" s="596"/>
      <c r="D618" s="1"/>
      <c r="E618" s="595">
        <v>0.11401202780078505</v>
      </c>
      <c r="G618" s="453"/>
    </row>
    <row r="619" spans="1:8" ht="15">
      <c r="B619" s="597" t="s">
        <v>1266</v>
      </c>
      <c r="C619" s="596"/>
      <c r="D619" s="1"/>
      <c r="E619" s="927">
        <v>5.7042025279988473E-2</v>
      </c>
      <c r="G619" s="453"/>
    </row>
    <row r="620" spans="1:8" ht="15">
      <c r="B620" s="594" t="s">
        <v>1267</v>
      </c>
      <c r="C620" s="593"/>
      <c r="D620" s="593"/>
      <c r="E620" s="928">
        <f>SUM(E617:E619)</f>
        <v>0.42623068889769167</v>
      </c>
    </row>
    <row r="621" spans="1:8">
      <c r="A621" s="591">
        <f>E621+D621</f>
        <v>0</v>
      </c>
      <c r="D621" s="187">
        <f>1-E615-E616-E620</f>
        <v>0</v>
      </c>
      <c r="E621" s="187">
        <f>E620-E619-E618-E617</f>
        <v>0</v>
      </c>
    </row>
    <row r="622" spans="1:8" ht="15">
      <c r="B622" s="929"/>
    </row>
    <row r="623" spans="1:8" ht="15">
      <c r="B623" s="929" t="s">
        <v>1268</v>
      </c>
    </row>
  </sheetData>
  <mergeCells count="103">
    <mergeCell ref="B13:J14"/>
    <mergeCell ref="C125:M126"/>
    <mergeCell ref="B16:J16"/>
    <mergeCell ref="F392:G392"/>
    <mergeCell ref="I392:J392"/>
    <mergeCell ref="I266:L266"/>
    <mergeCell ref="I240:L240"/>
    <mergeCell ref="I313:L313"/>
    <mergeCell ref="E38:F38"/>
    <mergeCell ref="C266:F266"/>
    <mergeCell ref="B20:J24"/>
    <mergeCell ref="B78:B79"/>
    <mergeCell ref="C164:F164"/>
    <mergeCell ref="C32:L34"/>
    <mergeCell ref="I147:L147"/>
    <mergeCell ref="C123:L123"/>
    <mergeCell ref="C181:F181"/>
    <mergeCell ref="AQ54:AR54"/>
    <mergeCell ref="W54:X54"/>
    <mergeCell ref="Y54:Z54"/>
    <mergeCell ref="AA54:AB54"/>
    <mergeCell ref="AC54:AD54"/>
    <mergeCell ref="AE54:AF54"/>
    <mergeCell ref="AK38:AL38"/>
    <mergeCell ref="AE38:AF38"/>
    <mergeCell ref="AG38:AH38"/>
    <mergeCell ref="AI38:AJ38"/>
    <mergeCell ref="W38:X38"/>
    <mergeCell ref="AM38:AN38"/>
    <mergeCell ref="AO38:AP38"/>
    <mergeCell ref="AQ38:AR38"/>
    <mergeCell ref="AK54:AL54"/>
    <mergeCell ref="AM54:AN54"/>
    <mergeCell ref="AO54:AP54"/>
    <mergeCell ref="AI54:AJ54"/>
    <mergeCell ref="AG54:AH54"/>
    <mergeCell ref="S54:T54"/>
    <mergeCell ref="AA38:AB38"/>
    <mergeCell ref="AC38:AD38"/>
    <mergeCell ref="C38:D38"/>
    <mergeCell ref="Y38:Z38"/>
    <mergeCell ref="S38:T38"/>
    <mergeCell ref="M38:N38"/>
    <mergeCell ref="O38:P38"/>
    <mergeCell ref="Q38:R38"/>
    <mergeCell ref="C54:D54"/>
    <mergeCell ref="E54:F54"/>
    <mergeCell ref="G54:H54"/>
    <mergeCell ref="I54:J54"/>
    <mergeCell ref="I38:J38"/>
    <mergeCell ref="K38:L38"/>
    <mergeCell ref="G38:H38"/>
    <mergeCell ref="U38:V38"/>
    <mergeCell ref="U54:V54"/>
    <mergeCell ref="B400:B401"/>
    <mergeCell ref="C400:H400"/>
    <mergeCell ref="Q54:R54"/>
    <mergeCell ref="O54:P54"/>
    <mergeCell ref="I130:L130"/>
    <mergeCell ref="M54:N54"/>
    <mergeCell ref="K54:L54"/>
    <mergeCell ref="C73:K74"/>
    <mergeCell ref="C106:M106"/>
    <mergeCell ref="C401:E401"/>
    <mergeCell ref="C240:F240"/>
    <mergeCell ref="C329:F329"/>
    <mergeCell ref="I329:L329"/>
    <mergeCell ref="I164:L164"/>
    <mergeCell ref="I223:L223"/>
    <mergeCell ref="C147:F147"/>
    <mergeCell ref="C313:F313"/>
    <mergeCell ref="C223:F223"/>
    <mergeCell ref="I283:L283"/>
    <mergeCell ref="B388:B389"/>
    <mergeCell ref="I181:L181"/>
    <mergeCell ref="C78:E78"/>
    <mergeCell ref="C130:F130"/>
    <mergeCell ref="C283:F283"/>
    <mergeCell ref="C419:K419"/>
    <mergeCell ref="C421:M421"/>
    <mergeCell ref="F401:H401"/>
    <mergeCell ref="C397:K398"/>
    <mergeCell ref="F390:G390"/>
    <mergeCell ref="I390:J390"/>
    <mergeCell ref="C202:M203"/>
    <mergeCell ref="C261:M262"/>
    <mergeCell ref="C306:M309"/>
    <mergeCell ref="I437:L437"/>
    <mergeCell ref="C445:F445"/>
    <mergeCell ref="C453:F453"/>
    <mergeCell ref="C589:E589"/>
    <mergeCell ref="F589:H589"/>
    <mergeCell ref="C588:E588"/>
    <mergeCell ref="F588:H588"/>
    <mergeCell ref="C461:F461"/>
    <mergeCell ref="C437:F437"/>
    <mergeCell ref="C474:K475"/>
    <mergeCell ref="C471:K472"/>
    <mergeCell ref="C505:K506"/>
    <mergeCell ref="C584:K586"/>
    <mergeCell ref="C566:K567"/>
    <mergeCell ref="C579:K582"/>
    <mergeCell ref="C534:I535"/>
  </mergeCells>
  <phoneticPr fontId="4" type="noConversion"/>
  <hyperlinks>
    <hyperlink ref="A2" location="'Title_&amp;_Contents'!A1" display="Contents"/>
    <hyperlink ref="B2" location="Map_of_sheets!A1" display="Map of sheets"/>
  </hyperlinks>
  <pageMargins left="0.75" right="0.75" top="1" bottom="1" header="0.5" footer="0.5"/>
  <pageSetup paperSize="9" orientation="portrait" horizontalDpi="200" verticalDpi="200" r:id="rId1"/>
  <headerFooter alignWithMargins="0"/>
  <ignoredErrors>
    <ignoredError sqref="C143:F143 I143:L143 C236 I236 E620" formulaRange="1"/>
    <ignoredError sqref="M143 M160 M177 M194" unlockedFormula="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0B050"/>
  </sheetPr>
  <dimension ref="A1:U12"/>
  <sheetViews>
    <sheetView showGridLines="0" workbookViewId="0"/>
  </sheetViews>
  <sheetFormatPr defaultRowHeight="12.75"/>
  <sheetData>
    <row r="1" spans="1:21" s="66" customFormat="1" ht="15">
      <c r="A1" s="65" t="str">
        <f>ModelBanner</f>
        <v>TSM_201718 for publication</v>
      </c>
    </row>
    <row r="2" spans="1:21" s="66" customFormat="1" ht="15">
      <c r="A2" s="1003" t="s">
        <v>13</v>
      </c>
      <c r="B2" s="1003" t="s">
        <v>30</v>
      </c>
    </row>
    <row r="3" spans="1:21" s="66" customFormat="1" ht="15">
      <c r="A3" s="67"/>
    </row>
    <row r="4" spans="1:21" s="57" customFormat="1">
      <c r="A4" s="58" t="s">
        <v>26</v>
      </c>
      <c r="B4" s="58"/>
      <c r="C4" s="58"/>
      <c r="D4" s="58"/>
      <c r="E4" s="292"/>
      <c r="F4" s="58"/>
      <c r="G4" s="58"/>
      <c r="H4" s="58"/>
      <c r="I4" s="58"/>
      <c r="J4" s="58"/>
      <c r="K4" s="58"/>
      <c r="L4" s="58"/>
      <c r="M4" s="58"/>
      <c r="N4" s="58"/>
      <c r="O4" s="58"/>
    </row>
    <row r="5" spans="1:21" s="47" customFormat="1" ht="13.15" customHeight="1">
      <c r="A5" s="60" t="s">
        <v>1444</v>
      </c>
      <c r="B5" s="60"/>
      <c r="C5" s="60"/>
      <c r="D5" s="60"/>
      <c r="E5" s="60"/>
      <c r="F5" s="60"/>
      <c r="G5" s="60"/>
      <c r="H5" s="60"/>
      <c r="I5" s="60"/>
      <c r="J5" s="60"/>
      <c r="K5" s="60"/>
      <c r="L5" s="60"/>
      <c r="M5" s="60"/>
      <c r="N5" s="60"/>
      <c r="O5" s="60"/>
      <c r="P5" s="60"/>
      <c r="Q5" s="60"/>
      <c r="R5" s="60"/>
      <c r="S5" s="60"/>
      <c r="T5" s="60"/>
      <c r="U5" s="60"/>
    </row>
    <row r="6" spans="1:21" s="46" customFormat="1">
      <c r="A6" s="56" t="s">
        <v>1420</v>
      </c>
      <c r="B6" s="61"/>
      <c r="C6" s="61"/>
      <c r="D6" s="61"/>
      <c r="E6" s="292"/>
      <c r="F6" s="61"/>
      <c r="G6" s="61"/>
      <c r="H6" s="61"/>
      <c r="I6" s="61"/>
      <c r="J6" s="61"/>
      <c r="K6" s="61"/>
      <c r="L6" s="61"/>
      <c r="M6" s="61"/>
      <c r="N6" s="61"/>
      <c r="O6" s="61"/>
      <c r="P6" s="45"/>
      <c r="Q6" s="45"/>
    </row>
    <row r="7" spans="1:21" s="46" customFormat="1">
      <c r="A7" s="54"/>
      <c r="B7" s="56"/>
      <c r="C7" s="61"/>
      <c r="D7" s="61"/>
      <c r="E7" s="292"/>
      <c r="F7" s="61"/>
      <c r="G7" s="61"/>
      <c r="H7" s="61"/>
      <c r="I7" s="61"/>
      <c r="J7" s="61"/>
      <c r="K7" s="61"/>
      <c r="L7" s="61"/>
      <c r="M7" s="61"/>
      <c r="N7" s="61"/>
      <c r="O7" s="61"/>
      <c r="P7" s="45"/>
      <c r="Q7" s="45"/>
    </row>
    <row r="8" spans="1:21" s="46" customFormat="1">
      <c r="A8" s="56" t="s">
        <v>24</v>
      </c>
      <c r="B8" s="61"/>
      <c r="C8" s="61"/>
      <c r="D8" s="61"/>
      <c r="E8" s="292"/>
      <c r="F8" s="61"/>
      <c r="G8" s="61"/>
      <c r="H8" s="61"/>
      <c r="I8" s="61"/>
      <c r="J8" s="61"/>
      <c r="K8" s="61"/>
      <c r="L8" s="61"/>
      <c r="M8" s="61"/>
      <c r="N8" s="61"/>
      <c r="O8" s="61"/>
      <c r="P8" s="45"/>
      <c r="Q8" s="45"/>
    </row>
    <row r="9" spans="1:21" s="50" customFormat="1" ht="13.5" customHeight="1">
      <c r="A9" s="55" t="s">
        <v>345</v>
      </c>
      <c r="B9" s="73"/>
      <c r="C9" s="71"/>
      <c r="D9" s="293"/>
      <c r="E9" s="293"/>
      <c r="F9" s="293"/>
      <c r="G9" s="72"/>
      <c r="H9" s="293"/>
      <c r="I9" s="293"/>
      <c r="J9" s="72"/>
      <c r="K9" s="294"/>
      <c r="L9" s="294"/>
      <c r="M9" s="294"/>
      <c r="N9" s="294"/>
      <c r="O9" s="294"/>
      <c r="P9" s="49"/>
      <c r="Q9" s="49"/>
    </row>
    <row r="12" spans="1:21">
      <c r="B12" s="150" t="s">
        <v>1445</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sheetPr>
  <dimension ref="A1:P28"/>
  <sheetViews>
    <sheetView showGridLines="0" workbookViewId="0"/>
  </sheetViews>
  <sheetFormatPr defaultRowHeight="12.75"/>
  <cols>
    <col min="2" max="2" width="7.42578125" customWidth="1"/>
    <col min="3" max="3" width="21.85546875" customWidth="1"/>
    <col min="4" max="4" width="19.28515625" customWidth="1"/>
    <col min="5" max="6" width="60.7109375" customWidth="1"/>
    <col min="7" max="7" width="18.85546875" customWidth="1"/>
  </cols>
  <sheetData>
    <row r="1" spans="1:16" s="66" customFormat="1" ht="15">
      <c r="A1" s="65" t="str">
        <f>ModelBanner</f>
        <v>TSM_201718 for publication</v>
      </c>
    </row>
    <row r="2" spans="1:16" s="66" customFormat="1" ht="15">
      <c r="A2" s="1003" t="s">
        <v>13</v>
      </c>
      <c r="B2" s="1003" t="s">
        <v>30</v>
      </c>
    </row>
    <row r="3" spans="1:16" s="66" customFormat="1" ht="15">
      <c r="A3" s="67"/>
    </row>
    <row r="4" spans="1:16" s="57" customFormat="1">
      <c r="A4" s="58" t="s">
        <v>26</v>
      </c>
      <c r="B4" s="58"/>
      <c r="C4" s="58"/>
      <c r="D4" s="58"/>
      <c r="E4" s="292"/>
      <c r="F4" s="58"/>
      <c r="G4" s="58"/>
      <c r="H4" s="58"/>
      <c r="I4" s="58"/>
      <c r="J4" s="58"/>
      <c r="K4" s="58"/>
      <c r="L4" s="58"/>
      <c r="M4" s="58"/>
      <c r="N4" s="58"/>
    </row>
    <row r="5" spans="1:16" s="47" customFormat="1" ht="13.15" customHeight="1">
      <c r="A5" s="60" t="s">
        <v>1473</v>
      </c>
      <c r="B5" s="60"/>
      <c r="C5" s="60"/>
      <c r="D5" s="60"/>
      <c r="E5" s="60"/>
      <c r="F5" s="60"/>
      <c r="G5" s="60"/>
      <c r="H5" s="60"/>
      <c r="I5" s="60"/>
      <c r="J5" s="60"/>
      <c r="K5" s="60"/>
      <c r="L5" s="60"/>
      <c r="M5" s="60"/>
      <c r="N5" s="60"/>
      <c r="O5" s="59"/>
      <c r="P5" s="59"/>
    </row>
    <row r="6" spans="1:16" s="46" customFormat="1">
      <c r="A6" s="56" t="s">
        <v>1420</v>
      </c>
      <c r="B6" s="61"/>
      <c r="C6" s="61"/>
      <c r="D6" s="61"/>
      <c r="E6" s="292"/>
      <c r="F6" s="61"/>
      <c r="G6" s="61"/>
      <c r="H6" s="61"/>
      <c r="I6" s="61"/>
      <c r="J6" s="61"/>
      <c r="K6" s="61"/>
      <c r="L6" s="61"/>
      <c r="M6" s="61"/>
      <c r="N6" s="61"/>
      <c r="O6" s="45"/>
      <c r="P6" s="45"/>
    </row>
    <row r="7" spans="1:16" s="46" customFormat="1">
      <c r="A7" s="54"/>
      <c r="B7" s="56"/>
      <c r="C7" s="61"/>
      <c r="D7" s="61"/>
      <c r="E7" s="292"/>
      <c r="F7" s="61"/>
      <c r="G7" s="61"/>
      <c r="H7" s="61"/>
      <c r="I7" s="61"/>
      <c r="J7" s="61"/>
      <c r="K7" s="61"/>
      <c r="L7" s="61"/>
      <c r="M7" s="61"/>
      <c r="N7" s="61"/>
      <c r="O7" s="45"/>
      <c r="P7" s="45"/>
    </row>
    <row r="8" spans="1:16" s="46" customFormat="1">
      <c r="A8" s="56" t="s">
        <v>24</v>
      </c>
      <c r="B8" s="61"/>
      <c r="C8" s="61"/>
      <c r="D8" s="61"/>
      <c r="E8" s="292"/>
      <c r="F8" s="61"/>
      <c r="G8" s="61"/>
      <c r="H8" s="61"/>
      <c r="I8" s="61"/>
      <c r="J8" s="61"/>
      <c r="K8" s="61"/>
      <c r="L8" s="61"/>
      <c r="M8" s="61"/>
      <c r="N8" s="61"/>
      <c r="O8" s="45"/>
      <c r="P8" s="45"/>
    </row>
    <row r="9" spans="1:16" s="50" customFormat="1">
      <c r="A9" s="55" t="s">
        <v>346</v>
      </c>
      <c r="B9" s="73"/>
      <c r="C9" s="71"/>
      <c r="D9" s="293"/>
      <c r="E9" s="293"/>
      <c r="F9" s="72"/>
      <c r="G9" s="293"/>
      <c r="H9" s="293"/>
      <c r="I9" s="72"/>
      <c r="J9" s="294"/>
      <c r="K9" s="294"/>
      <c r="L9" s="294"/>
      <c r="M9" s="294"/>
      <c r="N9" s="294"/>
      <c r="O9" s="49"/>
      <c r="P9" s="49"/>
    </row>
    <row r="12" spans="1:16" ht="15.75">
      <c r="B12" s="78" t="s">
        <v>363</v>
      </c>
    </row>
    <row r="14" spans="1:16">
      <c r="B14" s="115" t="s">
        <v>1330</v>
      </c>
    </row>
    <row r="16" spans="1:16" ht="33.75">
      <c r="B16" s="249" t="s">
        <v>1607</v>
      </c>
      <c r="C16" s="249" t="s">
        <v>360</v>
      </c>
      <c r="D16" s="249" t="s">
        <v>10</v>
      </c>
      <c r="E16" s="249" t="s">
        <v>361</v>
      </c>
      <c r="F16" s="249" t="s">
        <v>364</v>
      </c>
      <c r="G16" s="249" t="s">
        <v>1548</v>
      </c>
    </row>
    <row r="17" spans="1:7" ht="123.75">
      <c r="A17" s="119"/>
      <c r="B17" s="1186">
        <v>1</v>
      </c>
      <c r="C17" s="1186" t="s">
        <v>362</v>
      </c>
      <c r="D17" s="1189" t="s">
        <v>1351</v>
      </c>
      <c r="E17" s="1073" t="s">
        <v>1770</v>
      </c>
      <c r="F17" s="1185" t="s">
        <v>1771</v>
      </c>
      <c r="G17" s="1192" t="s">
        <v>1418</v>
      </c>
    </row>
    <row r="18" spans="1:7" ht="67.5">
      <c r="A18" s="119"/>
      <c r="B18" s="1187"/>
      <c r="C18" s="1187"/>
      <c r="D18" s="1190"/>
      <c r="E18" s="1074" t="s">
        <v>1772</v>
      </c>
      <c r="F18" s="1185"/>
      <c r="G18" s="1193"/>
    </row>
    <row r="19" spans="1:7" ht="67.5">
      <c r="A19" s="119"/>
      <c r="B19" s="1188"/>
      <c r="C19" s="1188"/>
      <c r="D19" s="1191"/>
      <c r="E19" s="1075" t="s">
        <v>1577</v>
      </c>
      <c r="F19" s="1185"/>
      <c r="G19" s="1194"/>
    </row>
    <row r="20" spans="1:7" ht="168.75">
      <c r="A20" s="119"/>
      <c r="B20" s="906">
        <f>B17+1</f>
        <v>2</v>
      </c>
      <c r="C20" s="906" t="s">
        <v>1258</v>
      </c>
      <c r="D20" s="993" t="s">
        <v>1569</v>
      </c>
      <c r="E20" s="1076" t="s">
        <v>1766</v>
      </c>
      <c r="F20" s="993" t="s">
        <v>1672</v>
      </c>
      <c r="G20" s="1004" t="s">
        <v>1518</v>
      </c>
    </row>
    <row r="21" spans="1:7" ht="112.5">
      <c r="A21" s="119"/>
      <c r="B21" s="906">
        <f t="shared" ref="B21:B28" si="0">B20+1</f>
        <v>3</v>
      </c>
      <c r="C21" s="906" t="s">
        <v>1258</v>
      </c>
      <c r="D21" s="993" t="s">
        <v>1519</v>
      </c>
      <c r="E21" s="993" t="s">
        <v>1584</v>
      </c>
      <c r="F21" s="993" t="s">
        <v>1578</v>
      </c>
      <c r="G21" s="1004" t="s">
        <v>1520</v>
      </c>
    </row>
    <row r="22" spans="1:7" ht="112.5">
      <c r="A22" s="119"/>
      <c r="B22" s="906">
        <f t="shared" si="0"/>
        <v>4</v>
      </c>
      <c r="C22" s="906" t="s">
        <v>362</v>
      </c>
      <c r="D22" s="993" t="s">
        <v>1570</v>
      </c>
      <c r="E22" s="993" t="s">
        <v>1571</v>
      </c>
      <c r="F22" s="993" t="s">
        <v>1579</v>
      </c>
      <c r="G22" s="1005" t="s">
        <v>1417</v>
      </c>
    </row>
    <row r="23" spans="1:7" ht="90">
      <c r="B23" s="906">
        <f t="shared" si="0"/>
        <v>5</v>
      </c>
      <c r="C23" s="906" t="s">
        <v>362</v>
      </c>
      <c r="D23" s="993" t="s">
        <v>460</v>
      </c>
      <c r="E23" s="994" t="s">
        <v>1768</v>
      </c>
      <c r="F23" s="993" t="s">
        <v>1580</v>
      </c>
      <c r="G23" s="1005" t="s">
        <v>1417</v>
      </c>
    </row>
    <row r="24" spans="1:7" ht="90">
      <c r="B24" s="906">
        <f t="shared" si="0"/>
        <v>6</v>
      </c>
      <c r="C24" s="906" t="s">
        <v>362</v>
      </c>
      <c r="D24" s="993" t="s">
        <v>576</v>
      </c>
      <c r="E24" s="993" t="s">
        <v>1581</v>
      </c>
      <c r="F24" s="993" t="s">
        <v>1521</v>
      </c>
      <c r="G24" s="1005" t="s">
        <v>1417</v>
      </c>
    </row>
    <row r="25" spans="1:7" ht="112.5">
      <c r="B25" s="906">
        <f t="shared" si="0"/>
        <v>7</v>
      </c>
      <c r="C25" s="906" t="s">
        <v>362</v>
      </c>
      <c r="D25" s="993" t="s">
        <v>575</v>
      </c>
      <c r="E25" s="993" t="s">
        <v>1767</v>
      </c>
      <c r="F25" s="993" t="s">
        <v>1572</v>
      </c>
      <c r="G25" s="1005" t="s">
        <v>1417</v>
      </c>
    </row>
    <row r="26" spans="1:7" ht="56.25">
      <c r="A26" s="12"/>
      <c r="B26" s="906">
        <f t="shared" si="0"/>
        <v>8</v>
      </c>
      <c r="C26" s="906" t="s">
        <v>362</v>
      </c>
      <c r="D26" s="993" t="s">
        <v>1573</v>
      </c>
      <c r="E26" s="993" t="s">
        <v>1582</v>
      </c>
      <c r="F26" s="993" t="s">
        <v>1574</v>
      </c>
      <c r="G26" s="1005" t="s">
        <v>1417</v>
      </c>
    </row>
    <row r="27" spans="1:7" ht="78.75">
      <c r="A27" s="12"/>
      <c r="B27" s="906">
        <f t="shared" si="0"/>
        <v>9</v>
      </c>
      <c r="C27" s="906" t="s">
        <v>362</v>
      </c>
      <c r="D27" s="993" t="s">
        <v>1575</v>
      </c>
      <c r="E27" s="994" t="s">
        <v>1748</v>
      </c>
      <c r="F27" s="993" t="s">
        <v>1773</v>
      </c>
      <c r="G27" s="1005" t="s">
        <v>1417</v>
      </c>
    </row>
    <row r="28" spans="1:7" ht="67.5">
      <c r="B28" s="906">
        <f t="shared" si="0"/>
        <v>10</v>
      </c>
      <c r="C28" s="906" t="s">
        <v>362</v>
      </c>
      <c r="D28" s="993" t="s">
        <v>1329</v>
      </c>
      <c r="E28" s="993" t="s">
        <v>1576</v>
      </c>
      <c r="F28" s="993" t="s">
        <v>1583</v>
      </c>
      <c r="G28" s="1004" t="s">
        <v>1419</v>
      </c>
    </row>
  </sheetData>
  <mergeCells count="5">
    <mergeCell ref="F17:F19"/>
    <mergeCell ref="B17:B19"/>
    <mergeCell ref="C17:C19"/>
    <mergeCell ref="D17:D19"/>
    <mergeCell ref="G17:G19"/>
  </mergeCells>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AA315"/>
  <sheetViews>
    <sheetView showGridLines="0" workbookViewId="0"/>
  </sheetViews>
  <sheetFormatPr defaultRowHeight="12.75"/>
  <cols>
    <col min="3" max="3" width="39.5703125" customWidth="1"/>
    <col min="4" max="27" width="10.7109375" customWidth="1"/>
  </cols>
  <sheetData>
    <row r="1" spans="1:18" s="66" customFormat="1" ht="15">
      <c r="A1" s="65" t="str">
        <f>ModelBanner</f>
        <v>TSM_201718 for publication</v>
      </c>
    </row>
    <row r="2" spans="1:18" s="66" customFormat="1" ht="15">
      <c r="A2" s="1003" t="s">
        <v>13</v>
      </c>
      <c r="B2" s="1003" t="s">
        <v>30</v>
      </c>
    </row>
    <row r="3" spans="1:18" s="66" customFormat="1" ht="15">
      <c r="A3" s="67"/>
    </row>
    <row r="4" spans="1:18" s="57" customFormat="1" ht="15">
      <c r="A4" s="58" t="s">
        <v>26</v>
      </c>
      <c r="B4" s="58"/>
      <c r="E4" s="66"/>
    </row>
    <row r="5" spans="1:18" s="47" customFormat="1" ht="15">
      <c r="A5" s="60" t="s">
        <v>1298</v>
      </c>
      <c r="C5" s="59"/>
      <c r="D5" s="59"/>
      <c r="E5" s="66"/>
      <c r="F5" s="59"/>
      <c r="H5" s="59"/>
      <c r="I5" s="59"/>
      <c r="J5" s="59"/>
      <c r="K5" s="59"/>
      <c r="L5" s="59"/>
      <c r="M5" s="59"/>
      <c r="N5" s="59"/>
      <c r="O5" s="59"/>
      <c r="P5" s="59"/>
      <c r="Q5" s="59"/>
      <c r="R5" s="59"/>
    </row>
    <row r="6" spans="1:18" s="46" customFormat="1" ht="15">
      <c r="A6" s="56" t="s">
        <v>1420</v>
      </c>
      <c r="B6" s="61"/>
      <c r="C6" s="45"/>
      <c r="D6" s="45"/>
      <c r="E6" s="66"/>
      <c r="F6" s="45"/>
      <c r="H6" s="45"/>
      <c r="I6" s="45"/>
      <c r="J6" s="45"/>
      <c r="K6" s="45"/>
      <c r="L6" s="45"/>
      <c r="M6" s="45"/>
      <c r="N6" s="45"/>
      <c r="O6" s="45"/>
      <c r="P6" s="45"/>
      <c r="Q6" s="45"/>
      <c r="R6" s="45"/>
    </row>
    <row r="7" spans="1:18" s="46" customFormat="1" ht="15">
      <c r="A7" s="54" t="s">
        <v>248</v>
      </c>
      <c r="B7" s="56"/>
      <c r="C7" s="45"/>
      <c r="D7" s="45"/>
      <c r="E7" s="66"/>
      <c r="F7" s="45"/>
      <c r="H7" s="45"/>
      <c r="I7" s="45"/>
      <c r="J7" s="45"/>
      <c r="K7" s="45"/>
      <c r="L7" s="45"/>
      <c r="M7" s="45"/>
      <c r="N7" s="45"/>
      <c r="O7" s="45"/>
      <c r="P7" s="45"/>
      <c r="Q7" s="45"/>
      <c r="R7" s="45"/>
    </row>
    <row r="8" spans="1:18" s="46" customFormat="1" ht="15">
      <c r="A8" s="56" t="s">
        <v>24</v>
      </c>
      <c r="B8" s="61"/>
      <c r="C8" s="45"/>
      <c r="D8" s="45"/>
      <c r="E8" s="66"/>
      <c r="F8" s="45"/>
      <c r="H8" s="45"/>
      <c r="I8" s="45"/>
      <c r="J8" s="45"/>
      <c r="K8" s="45"/>
      <c r="L8" s="45"/>
      <c r="M8" s="45"/>
      <c r="N8" s="45"/>
      <c r="O8" s="45"/>
      <c r="P8" s="45"/>
      <c r="Q8" s="45"/>
      <c r="R8" s="45"/>
    </row>
    <row r="9" spans="1:18" s="50" customFormat="1">
      <c r="A9" s="55" t="s">
        <v>344</v>
      </c>
      <c r="B9" s="73"/>
      <c r="C9" s="71"/>
      <c r="D9" s="48"/>
      <c r="E9" s="48"/>
      <c r="F9" s="48"/>
      <c r="H9" s="72"/>
      <c r="I9" s="48"/>
      <c r="J9" s="48"/>
      <c r="K9" s="72"/>
      <c r="L9" s="49"/>
      <c r="M9" s="49"/>
      <c r="N9" s="49"/>
      <c r="O9" s="49"/>
      <c r="P9" s="49"/>
      <c r="Q9" s="49"/>
      <c r="R9" s="49"/>
    </row>
    <row r="11" spans="1:18" ht="15">
      <c r="C11" s="900" t="s">
        <v>1256</v>
      </c>
    </row>
    <row r="13" spans="1:18" ht="18">
      <c r="C13" s="39" t="s">
        <v>230</v>
      </c>
      <c r="D13" s="219" t="s">
        <v>347</v>
      </c>
    </row>
    <row r="15" spans="1:18">
      <c r="D15" s="305" t="str">
        <f>RAW_DATA_INPUTS!C205</f>
        <v>2014/15</v>
      </c>
      <c r="E15" s="305" t="str">
        <f>RAW_DATA_INPUTS!D205</f>
        <v>2015/16</v>
      </c>
      <c r="F15" s="305" t="str">
        <f>RAW_DATA_INPUTS!E205</f>
        <v>2016/17</v>
      </c>
      <c r="G15" s="305" t="str">
        <f>RAW_DATA_INPUTS!F205</f>
        <v>2017/18</v>
      </c>
      <c r="H15" s="305" t="str">
        <f>RAW_DATA_INPUTS!G205</f>
        <v>2018/19</v>
      </c>
      <c r="I15" s="305" t="str">
        <f>RAW_DATA_INPUTS!H205</f>
        <v>2019/20</v>
      </c>
      <c r="J15" s="305" t="str">
        <f>RAW_DATA_INPUTS!I205</f>
        <v>2020/21</v>
      </c>
      <c r="K15" s="258"/>
      <c r="L15" s="258"/>
    </row>
    <row r="16" spans="1:18">
      <c r="B16">
        <v>2</v>
      </c>
      <c r="C16" s="220" t="s">
        <v>231</v>
      </c>
      <c r="D16" s="217">
        <f t="shared" ref="D16:J16" si="0">INDEX(D20:D24,$B$16)</f>
        <v>1</v>
      </c>
      <c r="E16" s="217">
        <f t="shared" si="0"/>
        <v>1</v>
      </c>
      <c r="F16" s="217">
        <f t="shared" si="0"/>
        <v>1</v>
      </c>
      <c r="G16" s="217">
        <f t="shared" si="0"/>
        <v>1</v>
      </c>
      <c r="H16" s="217">
        <f t="shared" si="0"/>
        <v>1</v>
      </c>
      <c r="I16" s="217">
        <f t="shared" si="0"/>
        <v>1</v>
      </c>
      <c r="J16" s="217">
        <f t="shared" si="0"/>
        <v>1</v>
      </c>
      <c r="K16" s="2"/>
      <c r="L16" s="2"/>
    </row>
    <row r="17" spans="2:12">
      <c r="B17">
        <v>2</v>
      </c>
      <c r="C17" s="220" t="s">
        <v>452</v>
      </c>
      <c r="D17" s="217">
        <f>INDEX(D26:D30,$B$17)</f>
        <v>1</v>
      </c>
      <c r="E17" s="217">
        <f t="shared" ref="E17:J17" si="1">INDEX(E26:E30,$B$17)</f>
        <v>1</v>
      </c>
      <c r="F17" s="217">
        <f t="shared" si="1"/>
        <v>1</v>
      </c>
      <c r="G17" s="217">
        <f t="shared" si="1"/>
        <v>1</v>
      </c>
      <c r="H17" s="217">
        <f t="shared" si="1"/>
        <v>1</v>
      </c>
      <c r="I17" s="217">
        <f t="shared" si="1"/>
        <v>1</v>
      </c>
      <c r="J17" s="217">
        <f t="shared" si="1"/>
        <v>1</v>
      </c>
      <c r="K17" s="2"/>
      <c r="L17" s="2"/>
    </row>
    <row r="18" spans="2:12">
      <c r="K18" s="2"/>
      <c r="L18" s="2"/>
    </row>
    <row r="19" spans="2:12">
      <c r="D19" s="305" t="str">
        <f>RAW_DATA_INPUTS!C205</f>
        <v>2014/15</v>
      </c>
      <c r="E19" s="305" t="str">
        <f>RAW_DATA_INPUTS!D205</f>
        <v>2015/16</v>
      </c>
      <c r="F19" s="305" t="str">
        <f>RAW_DATA_INPUTS!E205</f>
        <v>2016/17</v>
      </c>
      <c r="G19" s="305" t="str">
        <f>RAW_DATA_INPUTS!F205</f>
        <v>2017/18</v>
      </c>
      <c r="H19" s="305" t="str">
        <f>RAW_DATA_INPUTS!G205</f>
        <v>2018/19</v>
      </c>
      <c r="I19" s="305" t="str">
        <f>RAW_DATA_INPUTS!H205</f>
        <v>2019/20</v>
      </c>
      <c r="J19" s="305" t="str">
        <f>RAW_DATA_INPUTS!I205</f>
        <v>2020/21</v>
      </c>
      <c r="K19" s="2"/>
      <c r="L19" s="2"/>
    </row>
    <row r="20" spans="2:12">
      <c r="C20" s="133" t="str">
        <f>RAW_DATA_INPUTS!B206</f>
        <v>Male Low</v>
      </c>
      <c r="D20" s="259">
        <f>RAW_DATA_INPUTS!C206</f>
        <v>1</v>
      </c>
      <c r="E20" s="259">
        <f>RAW_DATA_INPUTS!D206</f>
        <v>1</v>
      </c>
      <c r="F20" s="259">
        <f>RAW_DATA_INPUTS!E206</f>
        <v>1</v>
      </c>
      <c r="G20" s="259">
        <f>RAW_DATA_INPUTS!F206</f>
        <v>1</v>
      </c>
      <c r="H20" s="259">
        <f>RAW_DATA_INPUTS!G206</f>
        <v>1</v>
      </c>
      <c r="I20" s="259">
        <f>RAW_DATA_INPUTS!H206</f>
        <v>1</v>
      </c>
      <c r="J20" s="259">
        <f>RAW_DATA_INPUTS!I206</f>
        <v>1</v>
      </c>
      <c r="K20" s="2"/>
      <c r="L20" s="2"/>
    </row>
    <row r="21" spans="2:12">
      <c r="C21" s="133" t="str">
        <f>RAW_DATA_INPUTS!B207</f>
        <v>Male Central</v>
      </c>
      <c r="D21" s="259">
        <f>RAW_DATA_INPUTS!C207</f>
        <v>1</v>
      </c>
      <c r="E21" s="259">
        <f>RAW_DATA_INPUTS!D207</f>
        <v>1</v>
      </c>
      <c r="F21" s="259">
        <f>RAW_DATA_INPUTS!E207</f>
        <v>1</v>
      </c>
      <c r="G21" s="259">
        <f>RAW_DATA_INPUTS!F207</f>
        <v>1</v>
      </c>
      <c r="H21" s="259">
        <f>RAW_DATA_INPUTS!G207</f>
        <v>1</v>
      </c>
      <c r="I21" s="259">
        <f>RAW_DATA_INPUTS!H207</f>
        <v>1</v>
      </c>
      <c r="J21" s="259">
        <f>RAW_DATA_INPUTS!I207</f>
        <v>1</v>
      </c>
      <c r="K21" s="2"/>
      <c r="L21" s="2"/>
    </row>
    <row r="22" spans="2:12">
      <c r="C22" s="133" t="str">
        <f>RAW_DATA_INPUTS!B208</f>
        <v>Male High</v>
      </c>
      <c r="D22" s="259">
        <f>RAW_DATA_INPUTS!C208</f>
        <v>1</v>
      </c>
      <c r="E22" s="259">
        <f>RAW_DATA_INPUTS!D208</f>
        <v>1</v>
      </c>
      <c r="F22" s="259">
        <f>RAW_DATA_INPUTS!E208</f>
        <v>1</v>
      </c>
      <c r="G22" s="259">
        <f>RAW_DATA_INPUTS!F208</f>
        <v>1</v>
      </c>
      <c r="H22" s="259">
        <f>RAW_DATA_INPUTS!G208</f>
        <v>1</v>
      </c>
      <c r="I22" s="259">
        <f>RAW_DATA_INPUTS!H208</f>
        <v>1</v>
      </c>
      <c r="J22" s="259">
        <f>RAW_DATA_INPUTS!I208</f>
        <v>1</v>
      </c>
      <c r="K22" s="2"/>
      <c r="L22" s="2"/>
    </row>
    <row r="23" spans="2:12">
      <c r="C23" s="221" t="s">
        <v>1287</v>
      </c>
      <c r="D23" s="259">
        <f>USER_TESTING_TAB!F170</f>
        <v>1</v>
      </c>
      <c r="E23" s="259">
        <f>USER_TESTING_TAB!G170</f>
        <v>1</v>
      </c>
      <c r="F23" s="259">
        <f>USER_TESTING_TAB!H170</f>
        <v>1</v>
      </c>
      <c r="G23" s="259">
        <f>USER_TESTING_TAB!I170</f>
        <v>1</v>
      </c>
      <c r="H23" s="259">
        <f>USER_TESTING_TAB!J170</f>
        <v>1</v>
      </c>
      <c r="I23" s="259">
        <f>USER_TESTING_TAB!K170</f>
        <v>1</v>
      </c>
      <c r="J23" s="259">
        <f>USER_TESTING_TAB!L170</f>
        <v>1</v>
      </c>
      <c r="K23" s="2"/>
      <c r="L23" s="2"/>
    </row>
    <row r="24" spans="2:12">
      <c r="C24" s="221" t="s">
        <v>380</v>
      </c>
      <c r="D24" s="259">
        <v>1</v>
      </c>
      <c r="E24" s="259">
        <v>1</v>
      </c>
      <c r="F24" s="259">
        <v>1</v>
      </c>
      <c r="G24" s="259">
        <v>1</v>
      </c>
      <c r="H24" s="259">
        <v>1</v>
      </c>
      <c r="I24" s="259">
        <v>1</v>
      </c>
      <c r="J24" s="259">
        <v>1</v>
      </c>
      <c r="K24" s="2"/>
      <c r="L24" s="2"/>
    </row>
    <row r="25" spans="2:12">
      <c r="K25" s="2"/>
      <c r="L25" s="2"/>
    </row>
    <row r="26" spans="2:12">
      <c r="C26" s="133" t="str">
        <f>RAW_DATA_INPUTS!B209</f>
        <v>Female Low</v>
      </c>
      <c r="D26" s="259">
        <f>RAW_DATA_INPUTS!C209</f>
        <v>1</v>
      </c>
      <c r="E26" s="259">
        <f>RAW_DATA_INPUTS!D209</f>
        <v>1</v>
      </c>
      <c r="F26" s="259">
        <f>RAW_DATA_INPUTS!E209</f>
        <v>1</v>
      </c>
      <c r="G26" s="259">
        <f>RAW_DATA_INPUTS!F209</f>
        <v>1</v>
      </c>
      <c r="H26" s="259">
        <f>RAW_DATA_INPUTS!G209</f>
        <v>1</v>
      </c>
      <c r="I26" s="259">
        <f>RAW_DATA_INPUTS!H209</f>
        <v>1</v>
      </c>
      <c r="J26" s="259">
        <f>RAW_DATA_INPUTS!I209</f>
        <v>1</v>
      </c>
      <c r="K26" s="2"/>
      <c r="L26" s="2"/>
    </row>
    <row r="27" spans="2:12">
      <c r="C27" s="133" t="str">
        <f>RAW_DATA_INPUTS!B210</f>
        <v>Female Central</v>
      </c>
      <c r="D27" s="259">
        <f>RAW_DATA_INPUTS!C210</f>
        <v>1</v>
      </c>
      <c r="E27" s="259">
        <f>RAW_DATA_INPUTS!D210</f>
        <v>1</v>
      </c>
      <c r="F27" s="259">
        <f>RAW_DATA_INPUTS!E210</f>
        <v>1</v>
      </c>
      <c r="G27" s="259">
        <f>RAW_DATA_INPUTS!F210</f>
        <v>1</v>
      </c>
      <c r="H27" s="259">
        <f>RAW_DATA_INPUTS!G210</f>
        <v>1</v>
      </c>
      <c r="I27" s="259">
        <f>RAW_DATA_INPUTS!H210</f>
        <v>1</v>
      </c>
      <c r="J27" s="259">
        <f>RAW_DATA_INPUTS!I210</f>
        <v>1</v>
      </c>
      <c r="K27" s="2"/>
      <c r="L27" s="2"/>
    </row>
    <row r="28" spans="2:12">
      <c r="C28" s="133" t="str">
        <f>RAW_DATA_INPUTS!B211</f>
        <v>Female High</v>
      </c>
      <c r="D28" s="259">
        <f>RAW_DATA_INPUTS!C211</f>
        <v>1</v>
      </c>
      <c r="E28" s="259">
        <f>RAW_DATA_INPUTS!D211</f>
        <v>1</v>
      </c>
      <c r="F28" s="259">
        <f>RAW_DATA_INPUTS!E211</f>
        <v>1</v>
      </c>
      <c r="G28" s="259">
        <f>RAW_DATA_INPUTS!F211</f>
        <v>1</v>
      </c>
      <c r="H28" s="259">
        <f>RAW_DATA_INPUTS!G211</f>
        <v>1</v>
      </c>
      <c r="I28" s="259">
        <f>RAW_DATA_INPUTS!H211</f>
        <v>1</v>
      </c>
      <c r="J28" s="259">
        <f>RAW_DATA_INPUTS!I211</f>
        <v>1</v>
      </c>
      <c r="K28" s="2"/>
      <c r="L28" s="2"/>
    </row>
    <row r="29" spans="2:12">
      <c r="C29" s="221" t="s">
        <v>1288</v>
      </c>
      <c r="D29" s="259">
        <f>USER_TESTING_TAB!F171</f>
        <v>1</v>
      </c>
      <c r="E29" s="259">
        <f>USER_TESTING_TAB!G171</f>
        <v>1</v>
      </c>
      <c r="F29" s="259">
        <f>USER_TESTING_TAB!H171</f>
        <v>1</v>
      </c>
      <c r="G29" s="259">
        <f>USER_TESTING_TAB!I171</f>
        <v>1</v>
      </c>
      <c r="H29" s="259">
        <f>USER_TESTING_TAB!J171</f>
        <v>1</v>
      </c>
      <c r="I29" s="259">
        <f>USER_TESTING_TAB!K171</f>
        <v>1</v>
      </c>
      <c r="J29" s="259">
        <f>USER_TESTING_TAB!L171</f>
        <v>1</v>
      </c>
      <c r="K29" s="2"/>
      <c r="L29" s="2"/>
    </row>
    <row r="30" spans="2:12">
      <c r="C30" s="221" t="s">
        <v>381</v>
      </c>
      <c r="D30" s="259">
        <v>1</v>
      </c>
      <c r="E30" s="259">
        <v>1</v>
      </c>
      <c r="F30" s="259">
        <v>1</v>
      </c>
      <c r="G30" s="259">
        <v>1</v>
      </c>
      <c r="H30" s="259">
        <v>1</v>
      </c>
      <c r="I30" s="259">
        <v>1</v>
      </c>
      <c r="J30" s="259">
        <v>1</v>
      </c>
      <c r="K30" s="2"/>
      <c r="L30" s="2"/>
    </row>
    <row r="32" spans="2:12" ht="18">
      <c r="C32" s="39" t="s">
        <v>232</v>
      </c>
    </row>
    <row r="34" spans="2:27">
      <c r="D34" s="305" t="str">
        <f>RAW_DATA_INPUTS!C355</f>
        <v>2004/05</v>
      </c>
      <c r="E34" s="305" t="str">
        <f>RAW_DATA_INPUTS!D355</f>
        <v>2005/06</v>
      </c>
      <c r="F34" s="305" t="str">
        <f>RAW_DATA_INPUTS!E355</f>
        <v>2006/07</v>
      </c>
      <c r="G34" s="305" t="str">
        <f>RAW_DATA_INPUTS!F355</f>
        <v>2007/08</v>
      </c>
      <c r="H34" s="305" t="str">
        <f>RAW_DATA_INPUTS!G355</f>
        <v>2008/09</v>
      </c>
      <c r="I34" s="305" t="str">
        <f>RAW_DATA_INPUTS!H355</f>
        <v>2009/10</v>
      </c>
      <c r="J34" s="305" t="str">
        <f>RAW_DATA_INPUTS!I355</f>
        <v>2010/11</v>
      </c>
      <c r="K34" s="305" t="str">
        <f>RAW_DATA_INPUTS!J355</f>
        <v>2011/12</v>
      </c>
      <c r="L34" s="305" t="str">
        <f>RAW_DATA_INPUTS!K355</f>
        <v>2012/13</v>
      </c>
      <c r="M34" s="305" t="str">
        <f>RAW_DATA_INPUTS!L355</f>
        <v>2013/14</v>
      </c>
      <c r="N34" s="305" t="str">
        <f>RAW_DATA_INPUTS!M355</f>
        <v>2014/15</v>
      </c>
      <c r="O34" s="305" t="str">
        <f>RAW_DATA_INPUTS!N355</f>
        <v>2015/16</v>
      </c>
      <c r="P34" s="305" t="str">
        <f>RAW_DATA_INPUTS!O355</f>
        <v>2016/17</v>
      </c>
      <c r="Q34" s="305" t="str">
        <f>RAW_DATA_INPUTS!P355</f>
        <v>2017/18</v>
      </c>
      <c r="R34" s="305" t="str">
        <f>RAW_DATA_INPUTS!Q355</f>
        <v>2018/19</v>
      </c>
      <c r="S34" s="305" t="str">
        <f>RAW_DATA_INPUTS!R355</f>
        <v>2019/20</v>
      </c>
      <c r="T34" s="305" t="str">
        <f>RAW_DATA_INPUTS!S355</f>
        <v>2020/21</v>
      </c>
      <c r="U34" s="305" t="str">
        <f>RAW_DATA_INPUTS!T355</f>
        <v>2021/22</v>
      </c>
      <c r="V34" s="305" t="str">
        <f>RAW_DATA_INPUTS!U355</f>
        <v>2022/23</v>
      </c>
      <c r="W34" s="305" t="str">
        <f>RAW_DATA_INPUTS!V355</f>
        <v>2023/24</v>
      </c>
      <c r="X34" s="305" t="str">
        <f>RAW_DATA_INPUTS!W355</f>
        <v>2024/25</v>
      </c>
      <c r="Y34" s="305" t="str">
        <f>RAW_DATA_INPUTS!X355</f>
        <v>2025/26</v>
      </c>
      <c r="Z34" s="305" t="str">
        <f>RAW_DATA_INPUTS!Y355</f>
        <v>2026/27</v>
      </c>
      <c r="AA34" s="305" t="str">
        <f>RAW_DATA_INPUTS!Z355</f>
        <v>2027/28</v>
      </c>
    </row>
    <row r="35" spans="2:27">
      <c r="C35" s="220" t="s">
        <v>76</v>
      </c>
      <c r="D35" s="308">
        <f>INDEX(D41:D43,$B$41)</f>
        <v>4133670.5</v>
      </c>
      <c r="E35" s="308">
        <f t="shared" ref="E35:AA35" si="2">INDEX(E41:E43,$B$41)</f>
        <v>4085271.436729731</v>
      </c>
      <c r="F35" s="308">
        <f t="shared" si="2"/>
        <v>4047195.5</v>
      </c>
      <c r="G35" s="308">
        <f t="shared" si="2"/>
        <v>4028055.5</v>
      </c>
      <c r="H35" s="308">
        <f t="shared" si="2"/>
        <v>4016161.5</v>
      </c>
      <c r="I35" s="308">
        <f t="shared" si="2"/>
        <v>4036364.5</v>
      </c>
      <c r="J35" s="308">
        <f t="shared" si="2"/>
        <v>4074368</v>
      </c>
      <c r="K35" s="308">
        <f t="shared" si="2"/>
        <v>4150277.5</v>
      </c>
      <c r="L35" s="308">
        <f t="shared" si="2"/>
        <v>4247394.5</v>
      </c>
      <c r="M35" s="308">
        <f t="shared" si="2"/>
        <v>4359000</v>
      </c>
      <c r="N35" s="308">
        <f t="shared" si="2"/>
        <v>4463434</v>
      </c>
      <c r="O35" s="308">
        <f t="shared" si="2"/>
        <v>4574041.5</v>
      </c>
      <c r="P35" s="308">
        <f t="shared" si="2"/>
        <v>4669403.6051013358</v>
      </c>
      <c r="Q35" s="308">
        <f t="shared" si="2"/>
        <v>4728615.0056829667</v>
      </c>
      <c r="R35" s="308">
        <f t="shared" si="2"/>
        <v>4754148.1072515734</v>
      </c>
      <c r="S35" s="308">
        <f t="shared" si="2"/>
        <v>4754929.3367273957</v>
      </c>
      <c r="T35" s="308">
        <f t="shared" si="2"/>
        <v>4765188.6443500407</v>
      </c>
      <c r="U35" s="308">
        <f t="shared" si="2"/>
        <v>4768353.1674103234</v>
      </c>
      <c r="V35" s="308">
        <f t="shared" si="2"/>
        <v>4760117.7392643597</v>
      </c>
      <c r="W35" s="308">
        <f t="shared" si="2"/>
        <v>4744856.0009206505</v>
      </c>
      <c r="X35" s="308">
        <f t="shared" si="2"/>
        <v>4754081.3268117374</v>
      </c>
      <c r="Y35" s="308">
        <f t="shared" si="2"/>
        <v>4780859.047119638</v>
      </c>
      <c r="Z35" s="308">
        <f t="shared" si="2"/>
        <v>4809841.7847702289</v>
      </c>
      <c r="AA35" s="308">
        <f t="shared" si="2"/>
        <v>4831636.05383253</v>
      </c>
    </row>
    <row r="36" spans="2:27">
      <c r="C36" s="220" t="s">
        <v>40</v>
      </c>
      <c r="D36" s="308">
        <f>INDEX(D45:D47,$B$45)</f>
        <v>1783139.5</v>
      </c>
      <c r="E36" s="308">
        <f t="shared" ref="E36:AA36" si="3">INDEX(E45:E47,$B$45)</f>
        <v>1758000.0007601124</v>
      </c>
      <c r="F36" s="308">
        <f t="shared" si="3"/>
        <v>1722930</v>
      </c>
      <c r="G36" s="308">
        <f t="shared" si="3"/>
        <v>1701531</v>
      </c>
      <c r="H36" s="308">
        <f t="shared" si="3"/>
        <v>1691158</v>
      </c>
      <c r="I36" s="308">
        <f t="shared" si="3"/>
        <v>1680949</v>
      </c>
      <c r="J36" s="308">
        <f t="shared" si="3"/>
        <v>1672689.5</v>
      </c>
      <c r="K36" s="308">
        <f t="shared" si="3"/>
        <v>1641887</v>
      </c>
      <c r="L36" s="308">
        <f t="shared" si="3"/>
        <v>1612821</v>
      </c>
      <c r="M36" s="308">
        <f t="shared" si="3"/>
        <v>1587472</v>
      </c>
      <c r="N36" s="308">
        <f t="shared" si="3"/>
        <v>1595949</v>
      </c>
      <c r="O36" s="308">
        <f t="shared" si="3"/>
        <v>1630717</v>
      </c>
      <c r="P36" s="308">
        <f t="shared" si="3"/>
        <v>1684263.7099882406</v>
      </c>
      <c r="Q36" s="308">
        <f t="shared" si="3"/>
        <v>1728753.1396461697</v>
      </c>
      <c r="R36" s="308">
        <f t="shared" si="3"/>
        <v>1776887.7109150444</v>
      </c>
      <c r="S36" s="308">
        <f t="shared" si="3"/>
        <v>1837687.6258995868</v>
      </c>
      <c r="T36" s="308">
        <f t="shared" si="3"/>
        <v>1881127.9885499382</v>
      </c>
      <c r="U36" s="308">
        <f t="shared" si="3"/>
        <v>1915313.121305503</v>
      </c>
      <c r="V36" s="308">
        <f t="shared" si="3"/>
        <v>1940527.0547370678</v>
      </c>
      <c r="W36" s="308">
        <f t="shared" si="3"/>
        <v>1979340.1487121659</v>
      </c>
      <c r="X36" s="308">
        <f t="shared" si="3"/>
        <v>1983726.1049581233</v>
      </c>
      <c r="Y36" s="308">
        <f t="shared" si="3"/>
        <v>1956668.4677220159</v>
      </c>
      <c r="Z36" s="308">
        <f t="shared" si="3"/>
        <v>1918632.3095877871</v>
      </c>
      <c r="AA36" s="308">
        <f t="shared" si="3"/>
        <v>1909994.1147172714</v>
      </c>
    </row>
    <row r="37" spans="2:27">
      <c r="C37" s="220" t="s">
        <v>41</v>
      </c>
      <c r="D37" s="308">
        <f>INDEX(D49:D51,$B$49)</f>
        <v>1170159</v>
      </c>
      <c r="E37" s="308">
        <f t="shared" ref="E37:AA37" si="4">INDEX(E49:E51,$B$49)</f>
        <v>1185802.5625101563</v>
      </c>
      <c r="F37" s="308">
        <f t="shared" si="4"/>
        <v>1189358</v>
      </c>
      <c r="G37" s="308">
        <f t="shared" si="4"/>
        <v>1166918.5</v>
      </c>
      <c r="H37" s="308">
        <f t="shared" si="4"/>
        <v>1146150</v>
      </c>
      <c r="I37" s="308">
        <f t="shared" si="4"/>
        <v>1133977</v>
      </c>
      <c r="J37" s="308">
        <f t="shared" si="4"/>
        <v>1116342.5</v>
      </c>
      <c r="K37" s="308">
        <f t="shared" si="4"/>
        <v>1120567</v>
      </c>
      <c r="L37" s="308">
        <f t="shared" si="4"/>
        <v>1117099</v>
      </c>
      <c r="M37" s="308">
        <f t="shared" si="4"/>
        <v>1099417.5</v>
      </c>
      <c r="N37" s="308">
        <f t="shared" si="4"/>
        <v>1081078</v>
      </c>
      <c r="O37" s="308">
        <f t="shared" si="4"/>
        <v>1057483</v>
      </c>
      <c r="P37" s="308">
        <f t="shared" si="4"/>
        <v>1040625.6043942383</v>
      </c>
      <c r="Q37" s="308">
        <f t="shared" si="4"/>
        <v>1058358.5821559713</v>
      </c>
      <c r="R37" s="308">
        <f t="shared" si="4"/>
        <v>1097644.5657882683</v>
      </c>
      <c r="S37" s="308">
        <f t="shared" si="4"/>
        <v>1127512.3599218801</v>
      </c>
      <c r="T37" s="308">
        <f t="shared" si="4"/>
        <v>1152699.2067537962</v>
      </c>
      <c r="U37" s="308">
        <f t="shared" si="4"/>
        <v>1187590.8202413935</v>
      </c>
      <c r="V37" s="308">
        <f t="shared" si="4"/>
        <v>1233917.8070985656</v>
      </c>
      <c r="W37" s="308">
        <f t="shared" si="4"/>
        <v>1255218.8994874852</v>
      </c>
      <c r="X37" s="308">
        <f t="shared" si="4"/>
        <v>1264502.0497479856</v>
      </c>
      <c r="Y37" s="308">
        <f t="shared" si="4"/>
        <v>1292760.7570925467</v>
      </c>
      <c r="Z37" s="308">
        <f t="shared" si="4"/>
        <v>1318712.4272962825</v>
      </c>
      <c r="AA37" s="308">
        <f t="shared" si="4"/>
        <v>1307078.5028154906</v>
      </c>
    </row>
    <row r="38" spans="2:27">
      <c r="C38" s="220" t="s">
        <v>42</v>
      </c>
      <c r="D38" s="308">
        <f>INDEX(D53:D55,$B$53)</f>
        <v>355184.5</v>
      </c>
      <c r="E38" s="308">
        <f t="shared" ref="E38:AA38" si="5">INDEX(E53:E55,$B$53)</f>
        <v>361355</v>
      </c>
      <c r="F38" s="308">
        <f t="shared" si="5"/>
        <v>370116</v>
      </c>
      <c r="G38" s="308">
        <f t="shared" si="5"/>
        <v>380453</v>
      </c>
      <c r="H38" s="308">
        <f t="shared" si="5"/>
        <v>394342</v>
      </c>
      <c r="I38" s="308">
        <f t="shared" si="5"/>
        <v>412859.5</v>
      </c>
      <c r="J38" s="308">
        <f t="shared" si="5"/>
        <v>423222</v>
      </c>
      <c r="K38" s="308">
        <f t="shared" si="5"/>
        <v>423232.5</v>
      </c>
      <c r="L38" s="308">
        <f t="shared" si="5"/>
        <v>428860</v>
      </c>
      <c r="M38" s="308">
        <f t="shared" si="5"/>
        <v>439034.5</v>
      </c>
      <c r="N38" s="308">
        <f t="shared" si="5"/>
        <v>442772</v>
      </c>
      <c r="O38" s="308">
        <f t="shared" si="5"/>
        <v>433788</v>
      </c>
      <c r="P38" s="308">
        <f t="shared" si="5"/>
        <v>428545.20451393852</v>
      </c>
      <c r="Q38" s="308">
        <f t="shared" si="5"/>
        <v>419361.78857838438</v>
      </c>
      <c r="R38" s="308">
        <f t="shared" si="5"/>
        <v>410245.50884306151</v>
      </c>
      <c r="S38" s="308">
        <f t="shared" si="5"/>
        <v>406321.98384626833</v>
      </c>
      <c r="T38" s="308">
        <f t="shared" si="5"/>
        <v>407908.7817738661</v>
      </c>
      <c r="U38" s="308">
        <f t="shared" si="5"/>
        <v>414599.54691593052</v>
      </c>
      <c r="V38" s="308">
        <f t="shared" si="5"/>
        <v>427051.82731021068</v>
      </c>
      <c r="W38" s="308">
        <f t="shared" si="5"/>
        <v>439692.43116813409</v>
      </c>
      <c r="X38" s="308">
        <f t="shared" si="5"/>
        <v>453063.3820700291</v>
      </c>
      <c r="Y38" s="308">
        <f t="shared" si="5"/>
        <v>462667.53121151531</v>
      </c>
      <c r="Z38" s="308">
        <f t="shared" si="5"/>
        <v>470577.77984100528</v>
      </c>
      <c r="AA38" s="308">
        <f t="shared" si="5"/>
        <v>478187.03901394637</v>
      </c>
    </row>
    <row r="39" spans="2:27">
      <c r="D39" s="309"/>
      <c r="E39" s="309"/>
      <c r="F39" s="309"/>
      <c r="G39" s="309"/>
      <c r="H39" s="309"/>
      <c r="I39" s="309"/>
      <c r="J39" s="309"/>
      <c r="K39" s="309"/>
      <c r="L39" s="309"/>
      <c r="M39" s="309"/>
      <c r="N39" s="309"/>
      <c r="O39" s="309"/>
      <c r="P39" s="309"/>
      <c r="Q39" s="309"/>
      <c r="R39" s="309"/>
      <c r="S39" s="309"/>
      <c r="T39" s="309"/>
      <c r="U39" s="309"/>
      <c r="V39" s="309"/>
      <c r="W39" s="309"/>
      <c r="X39" s="309"/>
      <c r="Y39" s="309"/>
    </row>
    <row r="40" spans="2:27">
      <c r="D40" s="309"/>
      <c r="E40" s="309"/>
      <c r="F40" s="309"/>
      <c r="G40" s="309"/>
      <c r="H40" s="309"/>
      <c r="I40" s="309"/>
      <c r="J40" s="309"/>
      <c r="K40" s="309"/>
      <c r="L40" s="309"/>
      <c r="M40" s="309"/>
      <c r="N40" s="309"/>
      <c r="O40" s="309"/>
      <c r="P40" s="309"/>
      <c r="Q40" s="309"/>
      <c r="R40" s="309"/>
      <c r="S40" s="309"/>
      <c r="T40" s="309"/>
      <c r="U40" s="309"/>
      <c r="V40" s="309"/>
      <c r="W40" s="309"/>
      <c r="X40" s="309"/>
      <c r="Y40" s="309"/>
    </row>
    <row r="41" spans="2:27">
      <c r="B41">
        <v>2</v>
      </c>
      <c r="C41" s="133" t="str">
        <f>RAW_DATA_INPUTS!B374</f>
        <v>Primary age Pupils (FTE) Low</v>
      </c>
      <c r="D41" s="310">
        <f>RAW_DATA_INPUTS!C374</f>
        <v>4133670.5</v>
      </c>
      <c r="E41" s="310">
        <f>RAW_DATA_INPUTS!D374</f>
        <v>4085271.436729731</v>
      </c>
      <c r="F41" s="310">
        <f>RAW_DATA_INPUTS!E374</f>
        <v>4047195.5</v>
      </c>
      <c r="G41" s="310">
        <f>RAW_DATA_INPUTS!F374</f>
        <v>4028055.5</v>
      </c>
      <c r="H41" s="310">
        <f>RAW_DATA_INPUTS!G374</f>
        <v>4016161.5</v>
      </c>
      <c r="I41" s="310">
        <f>RAW_DATA_INPUTS!H374</f>
        <v>4036364.5</v>
      </c>
      <c r="J41" s="310">
        <f>RAW_DATA_INPUTS!I374</f>
        <v>4074368</v>
      </c>
      <c r="K41" s="310">
        <f>RAW_DATA_INPUTS!J374</f>
        <v>4150277.5</v>
      </c>
      <c r="L41" s="310">
        <f>RAW_DATA_INPUTS!K374</f>
        <v>4247394.5</v>
      </c>
      <c r="M41" s="310">
        <f>RAW_DATA_INPUTS!L374</f>
        <v>4359000</v>
      </c>
      <c r="N41" s="310">
        <f>RAW_DATA_INPUTS!M374</f>
        <v>4463434</v>
      </c>
      <c r="O41" s="310">
        <f>RAW_DATA_INPUTS!N374</f>
        <v>4574041.5</v>
      </c>
      <c r="P41" s="310">
        <f>RAW_DATA_INPUTS!O374</f>
        <v>4667419.9398695249</v>
      </c>
      <c r="Q41" s="310">
        <f>RAW_DATA_INPUTS!P374</f>
        <v>4724098.4138873443</v>
      </c>
      <c r="R41" s="310">
        <f>RAW_DATA_INPUTS!Q374</f>
        <v>4745204.8245316185</v>
      </c>
      <c r="S41" s="310">
        <f>RAW_DATA_INPUTS!R374</f>
        <v>4735436.692694962</v>
      </c>
      <c r="T41" s="310">
        <f>RAW_DATA_INPUTS!S374</f>
        <v>4720384.9428184703</v>
      </c>
      <c r="U41" s="310">
        <f>RAW_DATA_INPUTS!T374</f>
        <v>4686410.057521658</v>
      </c>
      <c r="V41" s="310">
        <f>RAW_DATA_INPUTS!U374</f>
        <v>4631287.970524773</v>
      </c>
      <c r="W41" s="310">
        <f>RAW_DATA_INPUTS!V374</f>
        <v>4560789.4130896209</v>
      </c>
      <c r="X41" s="310">
        <f>RAW_DATA_INPUTS!W374</f>
        <v>4507494.961918328</v>
      </c>
      <c r="Y41" s="310">
        <f>RAW_DATA_INPUTS!X374</f>
        <v>4465382.6294872109</v>
      </c>
      <c r="Z41" s="310">
        <f>RAW_DATA_INPUTS!Y374</f>
        <v>4423052.6921859132</v>
      </c>
      <c r="AA41" s="310">
        <f>RAW_DATA_INPUTS!Z374</f>
        <v>4385148.6217694012</v>
      </c>
    </row>
    <row r="42" spans="2:27">
      <c r="C42" s="133" t="str">
        <f>RAW_DATA_INPUTS!B356</f>
        <v>Primary age Pupils (FTE) Central</v>
      </c>
      <c r="D42" s="310">
        <f>RAW_DATA_INPUTS!C356</f>
        <v>4133670.5</v>
      </c>
      <c r="E42" s="310">
        <f>RAW_DATA_INPUTS!D356</f>
        <v>4085271.436729731</v>
      </c>
      <c r="F42" s="310">
        <f>RAW_DATA_INPUTS!E356</f>
        <v>4047195.5</v>
      </c>
      <c r="G42" s="310">
        <f>RAW_DATA_INPUTS!F356</f>
        <v>4028055.5</v>
      </c>
      <c r="H42" s="310">
        <f>RAW_DATA_INPUTS!G356</f>
        <v>4016161.5</v>
      </c>
      <c r="I42" s="310">
        <f>RAW_DATA_INPUTS!H356</f>
        <v>4036364.5</v>
      </c>
      <c r="J42" s="310">
        <f>RAW_DATA_INPUTS!I356</f>
        <v>4074368</v>
      </c>
      <c r="K42" s="310">
        <f>RAW_DATA_INPUTS!J356</f>
        <v>4150277.5</v>
      </c>
      <c r="L42" s="310">
        <f>RAW_DATA_INPUTS!K356</f>
        <v>4247394.5</v>
      </c>
      <c r="M42" s="310">
        <f>RAW_DATA_INPUTS!L356</f>
        <v>4359000</v>
      </c>
      <c r="N42" s="310">
        <f>RAW_DATA_INPUTS!M356</f>
        <v>4463434</v>
      </c>
      <c r="O42" s="310">
        <f>RAW_DATA_INPUTS!N356</f>
        <v>4574041.5</v>
      </c>
      <c r="P42" s="310">
        <f>RAW_DATA_INPUTS!O356</f>
        <v>4669403.6051013358</v>
      </c>
      <c r="Q42" s="310">
        <f>RAW_DATA_INPUTS!P356</f>
        <v>4728615.0056829667</v>
      </c>
      <c r="R42" s="310">
        <f>RAW_DATA_INPUTS!Q356</f>
        <v>4754148.1072515734</v>
      </c>
      <c r="S42" s="310">
        <f>RAW_DATA_INPUTS!R356</f>
        <v>4754929.3367273957</v>
      </c>
      <c r="T42" s="310">
        <f>RAW_DATA_INPUTS!S356</f>
        <v>4765188.6443500407</v>
      </c>
      <c r="U42" s="310">
        <f>RAW_DATA_INPUTS!T356</f>
        <v>4768353.1674103234</v>
      </c>
      <c r="V42" s="310">
        <f>RAW_DATA_INPUTS!U356</f>
        <v>4760117.7392643597</v>
      </c>
      <c r="W42" s="310">
        <f>RAW_DATA_INPUTS!V356</f>
        <v>4744856.0009206505</v>
      </c>
      <c r="X42" s="310">
        <f>RAW_DATA_INPUTS!W356</f>
        <v>4754081.3268117374</v>
      </c>
      <c r="Y42" s="310">
        <f>RAW_DATA_INPUTS!X356</f>
        <v>4780859.047119638</v>
      </c>
      <c r="Z42" s="310">
        <f>RAW_DATA_INPUTS!Y356</f>
        <v>4809841.7847702289</v>
      </c>
      <c r="AA42" s="310">
        <f>RAW_DATA_INPUTS!Z356</f>
        <v>4831636.05383253</v>
      </c>
    </row>
    <row r="43" spans="2:27">
      <c r="C43" s="133" t="str">
        <f>RAW_DATA_INPUTS!B365</f>
        <v>Primary age Pupils (FTE) High</v>
      </c>
      <c r="D43" s="310">
        <f>RAW_DATA_INPUTS!C365</f>
        <v>4133670.5</v>
      </c>
      <c r="E43" s="310">
        <f>RAW_DATA_INPUTS!D365</f>
        <v>4085271.436729731</v>
      </c>
      <c r="F43" s="310">
        <f>RAW_DATA_INPUTS!E365</f>
        <v>4047195.5</v>
      </c>
      <c r="G43" s="310">
        <f>RAW_DATA_INPUTS!F365</f>
        <v>4028055.5</v>
      </c>
      <c r="H43" s="310">
        <f>RAW_DATA_INPUTS!G365</f>
        <v>4016161.5</v>
      </c>
      <c r="I43" s="310">
        <f>RAW_DATA_INPUTS!H365</f>
        <v>4036364.5</v>
      </c>
      <c r="J43" s="310">
        <f>RAW_DATA_INPUTS!I365</f>
        <v>4074368</v>
      </c>
      <c r="K43" s="310">
        <f>RAW_DATA_INPUTS!J365</f>
        <v>4150277.5</v>
      </c>
      <c r="L43" s="310">
        <f>RAW_DATA_INPUTS!K365</f>
        <v>4247394.5</v>
      </c>
      <c r="M43" s="310">
        <f>RAW_DATA_INPUTS!L365</f>
        <v>4359000</v>
      </c>
      <c r="N43" s="310">
        <f>RAW_DATA_INPUTS!M365</f>
        <v>4463434</v>
      </c>
      <c r="O43" s="310">
        <f>RAW_DATA_INPUTS!N365</f>
        <v>4574041.5</v>
      </c>
      <c r="P43" s="310">
        <f>RAW_DATA_INPUTS!O365</f>
        <v>4671388.1460606074</v>
      </c>
      <c r="Q43" s="310">
        <f>RAW_DATA_INPUTS!P365</f>
        <v>4733115.2348120278</v>
      </c>
      <c r="R43" s="310">
        <f>RAW_DATA_INPUTS!Q365</f>
        <v>4762904.3248919779</v>
      </c>
      <c r="S43" s="310">
        <f>RAW_DATA_INPUTS!R365</f>
        <v>4773005.3617659593</v>
      </c>
      <c r="T43" s="310">
        <f>RAW_DATA_INPUTS!S365</f>
        <v>4803798.3480132939</v>
      </c>
      <c r="U43" s="310">
        <f>RAW_DATA_INPUTS!T365</f>
        <v>4831794.2220384879</v>
      </c>
      <c r="V43" s="310">
        <f>RAW_DATA_INPUTS!U365</f>
        <v>4852968.2305780109</v>
      </c>
      <c r="W43" s="310">
        <f>RAW_DATA_INPUTS!V365</f>
        <v>4872602.9333871268</v>
      </c>
      <c r="X43" s="310">
        <f>RAW_DATA_INPUTS!W365</f>
        <v>4923032.2432402028</v>
      </c>
      <c r="Y43" s="310">
        <f>RAW_DATA_INPUTS!X365</f>
        <v>4997823.4105701968</v>
      </c>
      <c r="Z43" s="310">
        <f>RAW_DATA_INPUTS!Y365</f>
        <v>5078763.4492232995</v>
      </c>
      <c r="AA43" s="310">
        <f>RAW_DATA_INPUTS!Z365</f>
        <v>5146137.8783389097</v>
      </c>
    </row>
    <row r="44" spans="2:27">
      <c r="D44" s="309"/>
      <c r="E44" s="309"/>
      <c r="F44" s="309"/>
      <c r="G44" s="309"/>
      <c r="H44" s="309"/>
      <c r="I44" s="309"/>
      <c r="J44" s="309"/>
      <c r="K44" s="309"/>
      <c r="L44" s="309"/>
      <c r="M44" s="309"/>
      <c r="N44" s="309"/>
      <c r="O44" s="309"/>
      <c r="P44" s="309"/>
      <c r="Q44" s="309"/>
      <c r="R44" s="309"/>
      <c r="S44" s="309"/>
      <c r="T44" s="309"/>
      <c r="U44" s="309"/>
      <c r="V44" s="309"/>
      <c r="W44" s="309"/>
      <c r="X44" s="309"/>
      <c r="Y44" s="309"/>
    </row>
    <row r="45" spans="2:27">
      <c r="B45">
        <v>2</v>
      </c>
      <c r="C45" s="133" t="str">
        <f>RAW_DATA_INPUTS!B375</f>
        <v>Pupils FTE KS3 Low</v>
      </c>
      <c r="D45" s="310">
        <f>RAW_DATA_INPUTS!C375</f>
        <v>1783139.5</v>
      </c>
      <c r="E45" s="310">
        <f>RAW_DATA_INPUTS!D375</f>
        <v>1758000.0007601124</v>
      </c>
      <c r="F45" s="310">
        <f>RAW_DATA_INPUTS!E375</f>
        <v>1722930</v>
      </c>
      <c r="G45" s="310">
        <f>RAW_DATA_INPUTS!F375</f>
        <v>1701531</v>
      </c>
      <c r="H45" s="310">
        <f>RAW_DATA_INPUTS!G375</f>
        <v>1691158</v>
      </c>
      <c r="I45" s="310">
        <f>RAW_DATA_INPUTS!H375</f>
        <v>1680949</v>
      </c>
      <c r="J45" s="310">
        <f>RAW_DATA_INPUTS!I375</f>
        <v>1672689.5</v>
      </c>
      <c r="K45" s="310">
        <f>RAW_DATA_INPUTS!J375</f>
        <v>1641887</v>
      </c>
      <c r="L45" s="310">
        <f>RAW_DATA_INPUTS!K375</f>
        <v>1612821</v>
      </c>
      <c r="M45" s="310">
        <f>RAW_DATA_INPUTS!L375</f>
        <v>1587472</v>
      </c>
      <c r="N45" s="310">
        <f>RAW_DATA_INPUTS!M375</f>
        <v>1595949</v>
      </c>
      <c r="O45" s="310">
        <f>RAW_DATA_INPUTS!N375</f>
        <v>1630717</v>
      </c>
      <c r="P45" s="310">
        <f>RAW_DATA_INPUTS!O375</f>
        <v>1683828.6238711553</v>
      </c>
      <c r="Q45" s="310">
        <f>RAW_DATA_INPUTS!P375</f>
        <v>1727890.7818067675</v>
      </c>
      <c r="R45" s="310">
        <f>RAW_DATA_INPUTS!Q375</f>
        <v>1775584.5153139823</v>
      </c>
      <c r="S45" s="310">
        <f>RAW_DATA_INPUTS!R375</f>
        <v>1835920.5632854216</v>
      </c>
      <c r="T45" s="310">
        <f>RAW_DATA_INPUTS!S375</f>
        <v>1878830.7214345573</v>
      </c>
      <c r="U45" s="310">
        <f>RAW_DATA_INPUTS!T375</f>
        <v>1912449.2663182598</v>
      </c>
      <c r="V45" s="310">
        <f>RAW_DATA_INPUTS!U375</f>
        <v>1936687.2722497336</v>
      </c>
      <c r="W45" s="310">
        <f>RAW_DATA_INPUTS!V375</f>
        <v>1974307.7242090211</v>
      </c>
      <c r="X45" s="310">
        <f>RAW_DATA_INPUTS!W375</f>
        <v>1977243.1093400954</v>
      </c>
      <c r="Y45" s="310">
        <f>RAW_DATA_INPUTS!X375</f>
        <v>1948835.5390007489</v>
      </c>
      <c r="Z45" s="310">
        <f>RAW_DATA_INPUTS!Y375</f>
        <v>1906414.5498010265</v>
      </c>
      <c r="AA45" s="310">
        <f>RAW_DATA_INPUTS!Z375</f>
        <v>1877875.0233929039</v>
      </c>
    </row>
    <row r="46" spans="2:27">
      <c r="C46" s="133" t="str">
        <f>RAW_DATA_INPUTS!B357</f>
        <v>Pupils FTE KS3 Central</v>
      </c>
      <c r="D46" s="310">
        <f>RAW_DATA_INPUTS!C357</f>
        <v>1783139.5</v>
      </c>
      <c r="E46" s="310">
        <f>RAW_DATA_INPUTS!D357</f>
        <v>1758000.0007601124</v>
      </c>
      <c r="F46" s="310">
        <f>RAW_DATA_INPUTS!E357</f>
        <v>1722930</v>
      </c>
      <c r="G46" s="310">
        <f>RAW_DATA_INPUTS!F357</f>
        <v>1701531</v>
      </c>
      <c r="H46" s="310">
        <f>RAW_DATA_INPUTS!G357</f>
        <v>1691158</v>
      </c>
      <c r="I46" s="310">
        <f>RAW_DATA_INPUTS!H357</f>
        <v>1680949</v>
      </c>
      <c r="J46" s="310">
        <f>RAW_DATA_INPUTS!I357</f>
        <v>1672689.5</v>
      </c>
      <c r="K46" s="310">
        <f>RAW_DATA_INPUTS!J357</f>
        <v>1641887</v>
      </c>
      <c r="L46" s="310">
        <f>RAW_DATA_INPUTS!K357</f>
        <v>1612821</v>
      </c>
      <c r="M46" s="310">
        <f>RAW_DATA_INPUTS!L357</f>
        <v>1587472</v>
      </c>
      <c r="N46" s="310">
        <f>RAW_DATA_INPUTS!M357</f>
        <v>1595949</v>
      </c>
      <c r="O46" s="310">
        <f>RAW_DATA_INPUTS!N357</f>
        <v>1630717</v>
      </c>
      <c r="P46" s="310">
        <f>RAW_DATA_INPUTS!O357</f>
        <v>1684263.7099882406</v>
      </c>
      <c r="Q46" s="310">
        <f>RAW_DATA_INPUTS!P357</f>
        <v>1728753.1396461697</v>
      </c>
      <c r="R46" s="310">
        <f>RAW_DATA_INPUTS!Q357</f>
        <v>1776887.7109150444</v>
      </c>
      <c r="S46" s="310">
        <f>RAW_DATA_INPUTS!R357</f>
        <v>1837687.6258995868</v>
      </c>
      <c r="T46" s="310">
        <f>RAW_DATA_INPUTS!S357</f>
        <v>1881127.9885499382</v>
      </c>
      <c r="U46" s="310">
        <f>RAW_DATA_INPUTS!T357</f>
        <v>1915313.121305503</v>
      </c>
      <c r="V46" s="310">
        <f>RAW_DATA_INPUTS!U357</f>
        <v>1940527.0547370678</v>
      </c>
      <c r="W46" s="310">
        <f>RAW_DATA_INPUTS!V357</f>
        <v>1979340.1487121659</v>
      </c>
      <c r="X46" s="310">
        <f>RAW_DATA_INPUTS!W357</f>
        <v>1983726.1049581233</v>
      </c>
      <c r="Y46" s="310">
        <f>RAW_DATA_INPUTS!X357</f>
        <v>1956668.4677220159</v>
      </c>
      <c r="Z46" s="310">
        <f>RAW_DATA_INPUTS!Y357</f>
        <v>1918632.3095877871</v>
      </c>
      <c r="AA46" s="310">
        <f>RAW_DATA_INPUTS!Z357</f>
        <v>1909994.1147172714</v>
      </c>
    </row>
    <row r="47" spans="2:27">
      <c r="C47" s="133" t="str">
        <f>RAW_DATA_INPUTS!B366</f>
        <v>Pupils FTE KS3 High</v>
      </c>
      <c r="D47" s="310">
        <f>RAW_DATA_INPUTS!C366</f>
        <v>1783139.5</v>
      </c>
      <c r="E47" s="310">
        <f>RAW_DATA_INPUTS!D366</f>
        <v>1758000.0007601124</v>
      </c>
      <c r="F47" s="310">
        <f>RAW_DATA_INPUTS!E366</f>
        <v>1722930</v>
      </c>
      <c r="G47" s="310">
        <f>RAW_DATA_INPUTS!F366</f>
        <v>1701531</v>
      </c>
      <c r="H47" s="310">
        <f>RAW_DATA_INPUTS!G366</f>
        <v>1691158</v>
      </c>
      <c r="I47" s="310">
        <f>RAW_DATA_INPUTS!H366</f>
        <v>1680949</v>
      </c>
      <c r="J47" s="310">
        <f>RAW_DATA_INPUTS!I366</f>
        <v>1672689.5</v>
      </c>
      <c r="K47" s="310">
        <f>RAW_DATA_INPUTS!J366</f>
        <v>1641887</v>
      </c>
      <c r="L47" s="310">
        <f>RAW_DATA_INPUTS!K366</f>
        <v>1612821</v>
      </c>
      <c r="M47" s="310">
        <f>RAW_DATA_INPUTS!L366</f>
        <v>1587472</v>
      </c>
      <c r="N47" s="310">
        <f>RAW_DATA_INPUTS!M366</f>
        <v>1595949</v>
      </c>
      <c r="O47" s="310">
        <f>RAW_DATA_INPUTS!N366</f>
        <v>1630717</v>
      </c>
      <c r="P47" s="310">
        <f>RAW_DATA_INPUTS!O366</f>
        <v>1684694.0976149417</v>
      </c>
      <c r="Q47" s="310">
        <f>RAW_DATA_INPUTS!P366</f>
        <v>1729604.2710067979</v>
      </c>
      <c r="R47" s="310">
        <f>RAW_DATA_INPUTS!Q366</f>
        <v>1778171.2770992236</v>
      </c>
      <c r="S47" s="310">
        <f>RAW_DATA_INPUTS!R366</f>
        <v>1839439.0540544526</v>
      </c>
      <c r="T47" s="310">
        <f>RAW_DATA_INPUTS!S366</f>
        <v>1883411.9798854964</v>
      </c>
      <c r="U47" s="310">
        <f>RAW_DATA_INPUTS!T366</f>
        <v>1918161.5737690255</v>
      </c>
      <c r="V47" s="310">
        <f>RAW_DATA_INPUTS!U366</f>
        <v>1944334.2022429933</v>
      </c>
      <c r="W47" s="310">
        <f>RAW_DATA_INPUTS!V366</f>
        <v>1984321.3782253668</v>
      </c>
      <c r="X47" s="310">
        <f>RAW_DATA_INPUTS!W366</f>
        <v>1990135.6120818914</v>
      </c>
      <c r="Y47" s="310">
        <f>RAW_DATA_INPUTS!X366</f>
        <v>1964427.3978935303</v>
      </c>
      <c r="Z47" s="310">
        <f>RAW_DATA_INPUTS!Y366</f>
        <v>1930635.0101398407</v>
      </c>
      <c r="AA47" s="310">
        <f>RAW_DATA_INPUTS!Z366</f>
        <v>1939587.2044791293</v>
      </c>
    </row>
    <row r="48" spans="2:27">
      <c r="D48" s="309"/>
      <c r="E48" s="309"/>
      <c r="F48" s="309"/>
      <c r="G48" s="309"/>
      <c r="H48" s="309"/>
      <c r="I48" s="309"/>
      <c r="J48" s="309"/>
      <c r="K48" s="309"/>
      <c r="L48" s="309"/>
      <c r="M48" s="309"/>
      <c r="N48" s="309"/>
      <c r="O48" s="309"/>
      <c r="P48" s="309"/>
      <c r="Q48" s="309"/>
      <c r="R48" s="309"/>
      <c r="S48" s="309"/>
      <c r="T48" s="309"/>
      <c r="U48" s="309"/>
      <c r="V48" s="309"/>
      <c r="W48" s="309"/>
      <c r="X48" s="309"/>
      <c r="Y48" s="309"/>
    </row>
    <row r="49" spans="2:27">
      <c r="B49">
        <v>2</v>
      </c>
      <c r="C49" s="133" t="str">
        <f>RAW_DATA_INPUTS!B376</f>
        <v>Pupils FTE KS4 Low</v>
      </c>
      <c r="D49" s="310">
        <f>RAW_DATA_INPUTS!C376</f>
        <v>1170159</v>
      </c>
      <c r="E49" s="310">
        <f>RAW_DATA_INPUTS!D376</f>
        <v>1185802.5625101563</v>
      </c>
      <c r="F49" s="310">
        <f>RAW_DATA_INPUTS!E376</f>
        <v>1189358</v>
      </c>
      <c r="G49" s="310">
        <f>RAW_DATA_INPUTS!F376</f>
        <v>1166918.5</v>
      </c>
      <c r="H49" s="310">
        <f>RAW_DATA_INPUTS!G376</f>
        <v>1146150</v>
      </c>
      <c r="I49" s="310">
        <f>RAW_DATA_INPUTS!H376</f>
        <v>1133977</v>
      </c>
      <c r="J49" s="310">
        <f>RAW_DATA_INPUTS!I376</f>
        <v>1116342.5</v>
      </c>
      <c r="K49" s="310">
        <f>RAW_DATA_INPUTS!J376</f>
        <v>1120567</v>
      </c>
      <c r="L49" s="310">
        <f>RAW_DATA_INPUTS!K376</f>
        <v>1117099</v>
      </c>
      <c r="M49" s="310">
        <f>RAW_DATA_INPUTS!L376</f>
        <v>1099417.5</v>
      </c>
      <c r="N49" s="310">
        <f>RAW_DATA_INPUTS!M376</f>
        <v>1081078</v>
      </c>
      <c r="O49" s="310">
        <f>RAW_DATA_INPUTS!N376</f>
        <v>1057483</v>
      </c>
      <c r="P49" s="310">
        <f>RAW_DATA_INPUTS!O376</f>
        <v>1040258.3702945485</v>
      </c>
      <c r="Q49" s="310">
        <f>RAW_DATA_INPUTS!P376</f>
        <v>1057681.2916650109</v>
      </c>
      <c r="R49" s="310">
        <f>RAW_DATA_INPUTS!Q376</f>
        <v>1096688.9526346519</v>
      </c>
      <c r="S49" s="310">
        <f>RAW_DATA_INPUTS!R376</f>
        <v>1126286.6917977219</v>
      </c>
      <c r="T49" s="310">
        <f>RAW_DATA_INPUTS!S376</f>
        <v>1151225.4512523098</v>
      </c>
      <c r="U49" s="310">
        <f>RAW_DATA_INPUTS!T376</f>
        <v>1185850.5882003792</v>
      </c>
      <c r="V49" s="310">
        <f>RAW_DATA_INPUTS!U376</f>
        <v>1231843.8786875182</v>
      </c>
      <c r="W49" s="310">
        <f>RAW_DATA_INPUTS!V376</f>
        <v>1252778.9940264528</v>
      </c>
      <c r="X49" s="310">
        <f>RAW_DATA_INPUTS!W376</f>
        <v>1261682.0120782063</v>
      </c>
      <c r="Y49" s="310">
        <f>RAW_DATA_INPUTS!X376</f>
        <v>1289170.4471787717</v>
      </c>
      <c r="Z49" s="310">
        <f>RAW_DATA_INPUTS!Y376</f>
        <v>1314138.8230858098</v>
      </c>
      <c r="AA49" s="310">
        <f>RAW_DATA_INPUTS!Z376</f>
        <v>1301649.3716012938</v>
      </c>
    </row>
    <row r="50" spans="2:27">
      <c r="C50" s="133" t="str">
        <f>RAW_DATA_INPUTS!B358</f>
        <v>Pupils FTE KS4 Central</v>
      </c>
      <c r="D50" s="310">
        <f>RAW_DATA_INPUTS!C358</f>
        <v>1170159</v>
      </c>
      <c r="E50" s="310">
        <f>RAW_DATA_INPUTS!D358</f>
        <v>1185802.5625101563</v>
      </c>
      <c r="F50" s="310">
        <f>RAW_DATA_INPUTS!E358</f>
        <v>1189358</v>
      </c>
      <c r="G50" s="310">
        <f>RAW_DATA_INPUTS!F358</f>
        <v>1166918.5</v>
      </c>
      <c r="H50" s="310">
        <f>RAW_DATA_INPUTS!G358</f>
        <v>1146150</v>
      </c>
      <c r="I50" s="310">
        <f>RAW_DATA_INPUTS!H358</f>
        <v>1133977</v>
      </c>
      <c r="J50" s="310">
        <f>RAW_DATA_INPUTS!I358</f>
        <v>1116342.5</v>
      </c>
      <c r="K50" s="310">
        <f>RAW_DATA_INPUTS!J358</f>
        <v>1120567</v>
      </c>
      <c r="L50" s="310">
        <f>RAW_DATA_INPUTS!K358</f>
        <v>1117099</v>
      </c>
      <c r="M50" s="310">
        <f>RAW_DATA_INPUTS!L358</f>
        <v>1099417.5</v>
      </c>
      <c r="N50" s="310">
        <f>RAW_DATA_INPUTS!M358</f>
        <v>1081078</v>
      </c>
      <c r="O50" s="310">
        <f>RAW_DATA_INPUTS!N358</f>
        <v>1057483</v>
      </c>
      <c r="P50" s="310">
        <f>RAW_DATA_INPUTS!O358</f>
        <v>1040625.6043942383</v>
      </c>
      <c r="Q50" s="310">
        <f>RAW_DATA_INPUTS!P358</f>
        <v>1058358.5821559713</v>
      </c>
      <c r="R50" s="310">
        <f>RAW_DATA_INPUTS!Q358</f>
        <v>1097644.5657882683</v>
      </c>
      <c r="S50" s="310">
        <f>RAW_DATA_INPUTS!R358</f>
        <v>1127512.3599218801</v>
      </c>
      <c r="T50" s="310">
        <f>RAW_DATA_INPUTS!S358</f>
        <v>1152699.2067537962</v>
      </c>
      <c r="U50" s="310">
        <f>RAW_DATA_INPUTS!T358</f>
        <v>1187590.8202413935</v>
      </c>
      <c r="V50" s="310">
        <f>RAW_DATA_INPUTS!U358</f>
        <v>1233917.8070985656</v>
      </c>
      <c r="W50" s="310">
        <f>RAW_DATA_INPUTS!V358</f>
        <v>1255218.8994874852</v>
      </c>
      <c r="X50" s="310">
        <f>RAW_DATA_INPUTS!W358</f>
        <v>1264502.0497479856</v>
      </c>
      <c r="Y50" s="310">
        <f>RAW_DATA_INPUTS!X358</f>
        <v>1292760.7570925467</v>
      </c>
      <c r="Z50" s="310">
        <f>RAW_DATA_INPUTS!Y358</f>
        <v>1318712.4272962825</v>
      </c>
      <c r="AA50" s="310">
        <f>RAW_DATA_INPUTS!Z358</f>
        <v>1307078.5028154906</v>
      </c>
    </row>
    <row r="51" spans="2:27">
      <c r="C51" s="133" t="str">
        <f>RAW_DATA_INPUTS!B367</f>
        <v>Pupils FTE KS4 High</v>
      </c>
      <c r="D51" s="310">
        <f>RAW_DATA_INPUTS!C367</f>
        <v>1170159</v>
      </c>
      <c r="E51" s="310">
        <f>RAW_DATA_INPUTS!D367</f>
        <v>1185802.5625101563</v>
      </c>
      <c r="F51" s="310">
        <f>RAW_DATA_INPUTS!E367</f>
        <v>1189358</v>
      </c>
      <c r="G51" s="310">
        <f>RAW_DATA_INPUTS!F367</f>
        <v>1166918.5</v>
      </c>
      <c r="H51" s="310">
        <f>RAW_DATA_INPUTS!G367</f>
        <v>1146150</v>
      </c>
      <c r="I51" s="310">
        <f>RAW_DATA_INPUTS!H367</f>
        <v>1133977</v>
      </c>
      <c r="J51" s="310">
        <f>RAW_DATA_INPUTS!I367</f>
        <v>1116342.5</v>
      </c>
      <c r="K51" s="310">
        <f>RAW_DATA_INPUTS!J367</f>
        <v>1120567</v>
      </c>
      <c r="L51" s="310">
        <f>RAW_DATA_INPUTS!K367</f>
        <v>1117099</v>
      </c>
      <c r="M51" s="310">
        <f>RAW_DATA_INPUTS!L367</f>
        <v>1099417.5</v>
      </c>
      <c r="N51" s="310">
        <f>RAW_DATA_INPUTS!M367</f>
        <v>1081078</v>
      </c>
      <c r="O51" s="310">
        <f>RAW_DATA_INPUTS!N367</f>
        <v>1057483</v>
      </c>
      <c r="P51" s="310">
        <f>RAW_DATA_INPUTS!O367</f>
        <v>1040991.230668921</v>
      </c>
      <c r="Q51" s="310">
        <f>RAW_DATA_INPUTS!P367</f>
        <v>1059027.9348431393</v>
      </c>
      <c r="R51" s="310">
        <f>RAW_DATA_INPUTS!Q367</f>
        <v>1098595.4831508426</v>
      </c>
      <c r="S51" s="310">
        <f>RAW_DATA_INPUTS!R367</f>
        <v>1128725.9347578203</v>
      </c>
      <c r="T51" s="310">
        <f>RAW_DATA_INPUTS!S367</f>
        <v>1154152.4145374876</v>
      </c>
      <c r="U51" s="310">
        <f>RAW_DATA_INPUTS!T367</f>
        <v>1189310.4719968319</v>
      </c>
      <c r="V51" s="310">
        <f>RAW_DATA_INPUTS!U367</f>
        <v>1235971.3985704568</v>
      </c>
      <c r="W51" s="310">
        <f>RAW_DATA_INPUTS!V367</f>
        <v>1257630.5766059568</v>
      </c>
      <c r="X51" s="310">
        <f>RAW_DATA_INPUTS!W367</f>
        <v>1267294.8686386226</v>
      </c>
      <c r="Y51" s="310">
        <f>RAW_DATA_INPUTS!X367</f>
        <v>1296308.3439918964</v>
      </c>
      <c r="Z51" s="310">
        <f>RAW_DATA_INPUTS!Y367</f>
        <v>1323221.4384614143</v>
      </c>
      <c r="AA51" s="310">
        <f>RAW_DATA_INPUTS!Z367</f>
        <v>1312445.2698794992</v>
      </c>
    </row>
    <row r="53" spans="2:27">
      <c r="B53">
        <v>2</v>
      </c>
      <c r="C53" s="133" t="str">
        <f>RAW_DATA_INPUTS!B377</f>
        <v>Pupils FTE KS5 Low</v>
      </c>
      <c r="D53" s="310">
        <f>Pupils_data_scenarios!C42</f>
        <v>355184.5</v>
      </c>
      <c r="E53" s="310">
        <f>Pupils_data_scenarios!D42</f>
        <v>361355</v>
      </c>
      <c r="F53" s="310">
        <f>Pupils_data_scenarios!E42</f>
        <v>370116</v>
      </c>
      <c r="G53" s="310">
        <f>Pupils_data_scenarios!F42</f>
        <v>380453</v>
      </c>
      <c r="H53" s="310">
        <f>Pupils_data_scenarios!G42</f>
        <v>394342</v>
      </c>
      <c r="I53" s="310">
        <f>Pupils_data_scenarios!H42</f>
        <v>412859.5</v>
      </c>
      <c r="J53" s="310">
        <f>Pupils_data_scenarios!I42</f>
        <v>423222</v>
      </c>
      <c r="K53" s="310">
        <f>Pupils_data_scenarios!J42</f>
        <v>423232.5</v>
      </c>
      <c r="L53" s="310">
        <f>Pupils_data_scenarios!K42</f>
        <v>428860</v>
      </c>
      <c r="M53" s="310">
        <f>Pupils_data_scenarios!L42</f>
        <v>439034.5</v>
      </c>
      <c r="N53" s="310">
        <f>Pupils_data_scenarios!M42</f>
        <v>442772</v>
      </c>
      <c r="O53" s="310">
        <f>Pupils_data_scenarios!N42</f>
        <v>433788</v>
      </c>
      <c r="P53" s="310">
        <f>Pupils_data_scenarios!O42</f>
        <v>427506.57554242498</v>
      </c>
      <c r="Q53" s="310">
        <f>Pupils_data_scenarios!P42</f>
        <v>418040.7088398693</v>
      </c>
      <c r="R53" s="310">
        <f>Pupils_data_scenarios!Q42</f>
        <v>408719.2861263958</v>
      </c>
      <c r="S53" s="310">
        <f>Pupils_data_scenarios!R42</f>
        <v>404624.86167162831</v>
      </c>
      <c r="T53" s="310">
        <f>Pupils_data_scenarios!S42</f>
        <v>406057.69469927071</v>
      </c>
      <c r="U53" s="310">
        <f>Pupils_data_scenarios!T42</f>
        <v>412594.70099183789</v>
      </c>
      <c r="V53" s="310">
        <f>Pupils_data_scenarios!U42</f>
        <v>424886.36510405509</v>
      </c>
      <c r="W53" s="310">
        <f>Pupils_data_scenarios!V42</f>
        <v>437362.37389861711</v>
      </c>
      <c r="X53" s="310">
        <f>Pupils_data_scenarios!W42</f>
        <v>450552.21668468311</v>
      </c>
      <c r="Y53" s="310">
        <f>Pupils_data_scenarios!X42</f>
        <v>459967.87195822911</v>
      </c>
      <c r="Z53" s="310">
        <f>Pupils_data_scenarios!Y42</f>
        <v>467670.69891888578</v>
      </c>
      <c r="AA53" s="310">
        <f>Pupils_data_scenarios!Z42</f>
        <v>475050.94268619857</v>
      </c>
    </row>
    <row r="54" spans="2:27">
      <c r="C54" s="133" t="str">
        <f>RAW_DATA_INPUTS!B359</f>
        <v>Pupils FTE KS5 Central</v>
      </c>
      <c r="D54" s="310">
        <f>Pupils_data_scenarios!C20</f>
        <v>355184.5</v>
      </c>
      <c r="E54" s="310">
        <f>Pupils_data_scenarios!D20</f>
        <v>361355</v>
      </c>
      <c r="F54" s="310">
        <f>Pupils_data_scenarios!E20</f>
        <v>370116</v>
      </c>
      <c r="G54" s="310">
        <f>Pupils_data_scenarios!F20</f>
        <v>380453</v>
      </c>
      <c r="H54" s="310">
        <f>Pupils_data_scenarios!G20</f>
        <v>394342</v>
      </c>
      <c r="I54" s="310">
        <f>Pupils_data_scenarios!H20</f>
        <v>412859.5</v>
      </c>
      <c r="J54" s="310">
        <f>Pupils_data_scenarios!I20</f>
        <v>423222</v>
      </c>
      <c r="K54" s="310">
        <f>Pupils_data_scenarios!J20</f>
        <v>423232.5</v>
      </c>
      <c r="L54" s="310">
        <f>Pupils_data_scenarios!K20</f>
        <v>428860</v>
      </c>
      <c r="M54" s="310">
        <f>Pupils_data_scenarios!L20</f>
        <v>439034.5</v>
      </c>
      <c r="N54" s="310">
        <f>Pupils_data_scenarios!M20</f>
        <v>442772</v>
      </c>
      <c r="O54" s="310">
        <f>Pupils_data_scenarios!N20</f>
        <v>433788</v>
      </c>
      <c r="P54" s="310">
        <f>Pupils_data_scenarios!O20</f>
        <v>428545.20451393852</v>
      </c>
      <c r="Q54" s="310">
        <f>Pupils_data_scenarios!P20</f>
        <v>419361.78857838438</v>
      </c>
      <c r="R54" s="310">
        <f>Pupils_data_scenarios!Q20</f>
        <v>410245.50884306151</v>
      </c>
      <c r="S54" s="310">
        <f>Pupils_data_scenarios!R20</f>
        <v>406321.98384626833</v>
      </c>
      <c r="T54" s="310">
        <f>Pupils_data_scenarios!S20</f>
        <v>407908.7817738661</v>
      </c>
      <c r="U54" s="310">
        <f>Pupils_data_scenarios!T20</f>
        <v>414599.54691593052</v>
      </c>
      <c r="V54" s="310">
        <f>Pupils_data_scenarios!U20</f>
        <v>427051.82731021068</v>
      </c>
      <c r="W54" s="310">
        <f>Pupils_data_scenarios!V20</f>
        <v>439692.43116813409</v>
      </c>
      <c r="X54" s="310">
        <f>Pupils_data_scenarios!W20</f>
        <v>453063.3820700291</v>
      </c>
      <c r="Y54" s="310">
        <f>Pupils_data_scenarios!X20</f>
        <v>462667.53121151531</v>
      </c>
      <c r="Z54" s="310">
        <f>Pupils_data_scenarios!Y20</f>
        <v>470577.77984100528</v>
      </c>
      <c r="AA54" s="310">
        <f>Pupils_data_scenarios!Z20</f>
        <v>478187.03901394637</v>
      </c>
    </row>
    <row r="55" spans="2:27">
      <c r="C55" s="133" t="str">
        <f>RAW_DATA_INPUTS!B368</f>
        <v>Pupils FTE KS5 High</v>
      </c>
      <c r="D55" s="310">
        <f>Pupils_data_scenarios!C31</f>
        <v>355184.5</v>
      </c>
      <c r="E55" s="310">
        <f>Pupils_data_scenarios!D31</f>
        <v>361355</v>
      </c>
      <c r="F55" s="310">
        <f>Pupils_data_scenarios!E31</f>
        <v>370116</v>
      </c>
      <c r="G55" s="310">
        <f>Pupils_data_scenarios!F31</f>
        <v>380453</v>
      </c>
      <c r="H55" s="310">
        <f>Pupils_data_scenarios!G31</f>
        <v>394342</v>
      </c>
      <c r="I55" s="310">
        <f>Pupils_data_scenarios!H31</f>
        <v>412859.5</v>
      </c>
      <c r="J55" s="310">
        <f>Pupils_data_scenarios!I31</f>
        <v>423222</v>
      </c>
      <c r="K55" s="310">
        <f>Pupils_data_scenarios!J31</f>
        <v>423232.5</v>
      </c>
      <c r="L55" s="310">
        <f>Pupils_data_scenarios!K31</f>
        <v>428860</v>
      </c>
      <c r="M55" s="310">
        <f>Pupils_data_scenarios!L31</f>
        <v>439034.5</v>
      </c>
      <c r="N55" s="310">
        <f>Pupils_data_scenarios!M31</f>
        <v>442772</v>
      </c>
      <c r="O55" s="310">
        <f>Pupils_data_scenarios!N31</f>
        <v>433788</v>
      </c>
      <c r="P55" s="310">
        <f>Pupils_data_scenarios!O31</f>
        <v>429585.80476680811</v>
      </c>
      <c r="Q55" s="310">
        <f>Pupils_data_scenarios!P31</f>
        <v>420682.98320257937</v>
      </c>
      <c r="R55" s="310">
        <f>Pupils_data_scenarios!Q31</f>
        <v>411772.9129877091</v>
      </c>
      <c r="S55" s="310">
        <f>Pupils_data_scenarios!R31</f>
        <v>408021.94717836031</v>
      </c>
      <c r="T55" s="310">
        <f>Pupils_data_scenarios!S31</f>
        <v>409761.66526543599</v>
      </c>
      <c r="U55" s="310">
        <f>Pupils_data_scenarios!T31</f>
        <v>416603.37819283642</v>
      </c>
      <c r="V55" s="310">
        <f>Pupils_data_scenarios!U31</f>
        <v>429213.66771248693</v>
      </c>
      <c r="W55" s="310">
        <f>Pupils_data_scenarios!V31</f>
        <v>442018.47401236498</v>
      </c>
      <c r="X55" s="310">
        <f>Pupils_data_scenarios!W31</f>
        <v>455567.87907074025</v>
      </c>
      <c r="Y55" s="310">
        <f>Pupils_data_scenarios!X31</f>
        <v>465360.2874827921</v>
      </c>
      <c r="Z55" s="310">
        <f>Pupils_data_scenarios!Y31</f>
        <v>473481.62102393521</v>
      </c>
      <c r="AA55" s="310">
        <f>Pupils_data_scenarios!Z31</f>
        <v>481317.612936171</v>
      </c>
    </row>
    <row r="57" spans="2:27" ht="18">
      <c r="C57" s="39" t="s">
        <v>1355</v>
      </c>
    </row>
    <row r="59" spans="2:27">
      <c r="C59" s="76" t="s">
        <v>43</v>
      </c>
    </row>
    <row r="61" spans="2:27">
      <c r="B61">
        <v>4</v>
      </c>
      <c r="C61" s="220" t="s">
        <v>246</v>
      </c>
      <c r="D61" s="217">
        <f>INDEX(D62:D69,$B$61)</f>
        <v>22</v>
      </c>
    </row>
    <row r="62" spans="2:27">
      <c r="C62" s="221" t="s">
        <v>285</v>
      </c>
      <c r="D62" s="133">
        <v>30</v>
      </c>
    </row>
    <row r="63" spans="2:27">
      <c r="C63" s="221" t="s">
        <v>274</v>
      </c>
      <c r="D63" s="133">
        <v>24</v>
      </c>
    </row>
    <row r="64" spans="2:27">
      <c r="C64" s="221" t="s">
        <v>275</v>
      </c>
      <c r="D64" s="133">
        <v>23</v>
      </c>
    </row>
    <row r="65" spans="2:4">
      <c r="C65" s="221" t="s">
        <v>276</v>
      </c>
      <c r="D65" s="133">
        <v>22</v>
      </c>
    </row>
    <row r="66" spans="2:4">
      <c r="C66" s="221" t="s">
        <v>277</v>
      </c>
      <c r="D66" s="133">
        <v>21</v>
      </c>
    </row>
    <row r="67" spans="2:4">
      <c r="C67" s="221" t="s">
        <v>278</v>
      </c>
      <c r="D67" s="133">
        <v>19.82</v>
      </c>
    </row>
    <row r="68" spans="2:4">
      <c r="C68" s="221" t="s">
        <v>383</v>
      </c>
      <c r="D68" s="259">
        <f>Calc_Primary_teacher_need!N34</f>
        <v>19.867491083418759</v>
      </c>
    </row>
    <row r="69" spans="2:4">
      <c r="C69" s="221" t="s">
        <v>273</v>
      </c>
      <c r="D69" s="259">
        <f>USER_TESTING_TAB!C208</f>
        <v>20</v>
      </c>
    </row>
    <row r="71" spans="2:4">
      <c r="C71" s="76" t="s">
        <v>245</v>
      </c>
    </row>
    <row r="73" spans="2:4">
      <c r="B73">
        <v>4</v>
      </c>
      <c r="C73" s="220" t="s">
        <v>246</v>
      </c>
      <c r="D73" s="145">
        <f>INDEX(D74:D81,$B$73)</f>
        <v>16</v>
      </c>
    </row>
    <row r="74" spans="2:4">
      <c r="C74" s="221" t="s">
        <v>286</v>
      </c>
      <c r="D74" s="133">
        <v>17</v>
      </c>
    </row>
    <row r="75" spans="2:4">
      <c r="C75" s="221" t="s">
        <v>279</v>
      </c>
      <c r="D75" s="133">
        <v>17</v>
      </c>
    </row>
    <row r="76" spans="2:4">
      <c r="C76" s="221" t="s">
        <v>280</v>
      </c>
      <c r="D76" s="133">
        <v>16.5</v>
      </c>
    </row>
    <row r="77" spans="2:4">
      <c r="C77" s="221" t="s">
        <v>281</v>
      </c>
      <c r="D77" s="133">
        <v>16</v>
      </c>
    </row>
    <row r="78" spans="2:4">
      <c r="C78" s="221" t="s">
        <v>282</v>
      </c>
      <c r="D78" s="133">
        <v>15.5</v>
      </c>
    </row>
    <row r="79" spans="2:4">
      <c r="C79" s="221" t="s">
        <v>283</v>
      </c>
      <c r="D79" s="133">
        <v>14.98</v>
      </c>
    </row>
    <row r="80" spans="2:4">
      <c r="C80" s="221" t="s">
        <v>383</v>
      </c>
      <c r="D80" s="259">
        <f>Calc_overall_Sec_teacher_need!N34</f>
        <v>14.376115391672679</v>
      </c>
    </row>
    <row r="81" spans="2:4">
      <c r="C81" s="221" t="s">
        <v>273</v>
      </c>
      <c r="D81" s="259">
        <f>USER_TESTING_TAB!G208</f>
        <v>22</v>
      </c>
    </row>
    <row r="83" spans="2:4" ht="18">
      <c r="C83" s="39" t="s">
        <v>1356</v>
      </c>
    </row>
    <row r="85" spans="2:4">
      <c r="C85" s="76" t="s">
        <v>43</v>
      </c>
    </row>
    <row r="87" spans="2:4">
      <c r="B87">
        <v>3</v>
      </c>
      <c r="C87" s="220" t="s">
        <v>247</v>
      </c>
      <c r="D87" s="145">
        <f>INDEX(D88:D93,$B$87)</f>
        <v>0.5</v>
      </c>
    </row>
    <row r="88" spans="2:4">
      <c r="C88" s="221" t="s">
        <v>444</v>
      </c>
      <c r="D88" s="133">
        <v>0.75</v>
      </c>
    </row>
    <row r="89" spans="2:4">
      <c r="C89" s="221" t="s">
        <v>443</v>
      </c>
      <c r="D89" s="133">
        <v>0.625</v>
      </c>
    </row>
    <row r="90" spans="2:4">
      <c r="C90" s="221" t="s">
        <v>442</v>
      </c>
      <c r="D90" s="133">
        <v>0.5</v>
      </c>
    </row>
    <row r="91" spans="2:4">
      <c r="C91" s="221" t="s">
        <v>445</v>
      </c>
      <c r="D91" s="133">
        <v>0.375</v>
      </c>
    </row>
    <row r="92" spans="2:4">
      <c r="C92" s="221" t="s">
        <v>446</v>
      </c>
      <c r="D92" s="133">
        <v>0.25</v>
      </c>
    </row>
    <row r="93" spans="2:4">
      <c r="C93" s="221" t="s">
        <v>273</v>
      </c>
      <c r="D93" s="133">
        <f>USER_TESTING_TAB!C227</f>
        <v>1</v>
      </c>
    </row>
    <row r="95" spans="2:4">
      <c r="C95" s="76" t="s">
        <v>245</v>
      </c>
    </row>
    <row r="97" spans="2:6">
      <c r="B97">
        <v>3</v>
      </c>
      <c r="C97" s="220" t="s">
        <v>247</v>
      </c>
      <c r="D97" s="145">
        <f>INDEX(D98:D103,$B$97)</f>
        <v>0.6</v>
      </c>
    </row>
    <row r="98" spans="2:6">
      <c r="C98" s="221" t="s">
        <v>447</v>
      </c>
      <c r="D98" s="133">
        <v>0.9</v>
      </c>
    </row>
    <row r="99" spans="2:6">
      <c r="C99" s="221" t="s">
        <v>448</v>
      </c>
      <c r="D99" s="133">
        <v>0.75</v>
      </c>
    </row>
    <row r="100" spans="2:6">
      <c r="C100" s="221" t="s">
        <v>449</v>
      </c>
      <c r="D100" s="133">
        <v>0.6</v>
      </c>
    </row>
    <row r="101" spans="2:6">
      <c r="C101" s="221" t="s">
        <v>450</v>
      </c>
      <c r="D101" s="133">
        <v>0.45</v>
      </c>
    </row>
    <row r="102" spans="2:6">
      <c r="C102" s="221" t="s">
        <v>451</v>
      </c>
      <c r="D102" s="133">
        <v>0.3</v>
      </c>
    </row>
    <row r="103" spans="2:6">
      <c r="C103" s="221" t="s">
        <v>273</v>
      </c>
      <c r="D103" s="133">
        <f>USER_TESTING_TAB!G227</f>
        <v>1</v>
      </c>
    </row>
    <row r="104" spans="2:6">
      <c r="B104" s="212"/>
    </row>
    <row r="105" spans="2:6" ht="18">
      <c r="C105" s="39" t="s">
        <v>769</v>
      </c>
      <c r="F105" s="219" t="s">
        <v>713</v>
      </c>
    </row>
    <row r="107" spans="2:6">
      <c r="C107" s="76" t="s">
        <v>43</v>
      </c>
    </row>
    <row r="109" spans="2:6">
      <c r="B109">
        <v>3</v>
      </c>
      <c r="C109" s="220" t="s">
        <v>247</v>
      </c>
      <c r="D109" s="660">
        <f>INDEX(D110:D115,$B$109)</f>
        <v>0.51736974229923127</v>
      </c>
    </row>
    <row r="110" spans="2:6">
      <c r="C110" s="221" t="s">
        <v>1065</v>
      </c>
      <c r="D110" s="659">
        <f>D112+0.05</f>
        <v>0.56736974229923132</v>
      </c>
      <c r="E110" s="452">
        <f>D110-$D$112</f>
        <v>5.0000000000000044E-2</v>
      </c>
    </row>
    <row r="111" spans="2:6">
      <c r="C111" s="221" t="s">
        <v>1066</v>
      </c>
      <c r="D111" s="659">
        <f>D112+0.025</f>
        <v>0.54236974229923129</v>
      </c>
      <c r="E111" s="452">
        <f>D111-$D$112</f>
        <v>2.5000000000000022E-2</v>
      </c>
    </row>
    <row r="112" spans="2:6">
      <c r="C112" s="221" t="s">
        <v>712</v>
      </c>
      <c r="D112" s="659">
        <f>Calc_PRIM_entrant_rates!G50</f>
        <v>0.51736974229923127</v>
      </c>
      <c r="E112" s="452">
        <f>D112-$D$112</f>
        <v>0</v>
      </c>
    </row>
    <row r="113" spans="2:15">
      <c r="C113" s="221" t="s">
        <v>1067</v>
      </c>
      <c r="D113" s="659">
        <f>D112-0.025</f>
        <v>0.49236974229923125</v>
      </c>
      <c r="E113" s="452">
        <f>D113-$D$112</f>
        <v>-2.5000000000000022E-2</v>
      </c>
    </row>
    <row r="114" spans="2:15">
      <c r="C114" s="221" t="s">
        <v>1068</v>
      </c>
      <c r="D114" s="659">
        <f>D112-0.05</f>
        <v>0.46736974229923128</v>
      </c>
      <c r="E114" s="452">
        <f>D114-$D$112</f>
        <v>-4.9999999999999989E-2</v>
      </c>
    </row>
    <row r="115" spans="2:15">
      <c r="C115" s="221" t="s">
        <v>711</v>
      </c>
      <c r="D115" s="659">
        <f>USER_TESTING_TAB!C246</f>
        <v>0.5</v>
      </c>
    </row>
    <row r="116" spans="2:15">
      <c r="D116" s="642"/>
    </row>
    <row r="117" spans="2:15">
      <c r="C117" s="76" t="s">
        <v>245</v>
      </c>
      <c r="D117" s="642"/>
    </row>
    <row r="118" spans="2:15">
      <c r="D118" s="642"/>
    </row>
    <row r="119" spans="2:15">
      <c r="B119">
        <v>3</v>
      </c>
      <c r="C119" s="220" t="s">
        <v>247</v>
      </c>
      <c r="D119" s="660">
        <f>INDEX(D120:D125,$B$119)</f>
        <v>0.50224877123032852</v>
      </c>
    </row>
    <row r="120" spans="2:15">
      <c r="C120" s="221" t="s">
        <v>1065</v>
      </c>
      <c r="D120" s="659">
        <f>D122+0.05</f>
        <v>0.55224877123032856</v>
      </c>
      <c r="E120" s="452">
        <f>D120-$D$122</f>
        <v>5.0000000000000044E-2</v>
      </c>
    </row>
    <row r="121" spans="2:15">
      <c r="C121" s="221" t="s">
        <v>1066</v>
      </c>
      <c r="D121" s="659">
        <f>D122+0.025</f>
        <v>0.52724877123032854</v>
      </c>
      <c r="E121" s="452">
        <f>D121-$D$122</f>
        <v>2.5000000000000022E-2</v>
      </c>
    </row>
    <row r="122" spans="2:15">
      <c r="C122" s="221" t="s">
        <v>712</v>
      </c>
      <c r="D122" s="659">
        <f>Calc_SEC_entrant_rates!G51</f>
        <v>0.50224877123032852</v>
      </c>
      <c r="E122" s="452">
        <f>D122-$D$122</f>
        <v>0</v>
      </c>
    </row>
    <row r="123" spans="2:15">
      <c r="C123" s="221" t="s">
        <v>1067</v>
      </c>
      <c r="D123" s="659">
        <f>D122-0.025</f>
        <v>0.47724877123032849</v>
      </c>
      <c r="E123" s="452">
        <f>D123-$D$122</f>
        <v>-2.5000000000000022E-2</v>
      </c>
    </row>
    <row r="124" spans="2:15">
      <c r="C124" s="221" t="s">
        <v>1068</v>
      </c>
      <c r="D124" s="659">
        <f>D122-0.05</f>
        <v>0.45224877123032853</v>
      </c>
      <c r="E124" s="452">
        <f>D124-$D$122</f>
        <v>-4.9999999999999989E-2</v>
      </c>
    </row>
    <row r="125" spans="2:15">
      <c r="C125" s="221" t="s">
        <v>711</v>
      </c>
      <c r="D125" s="659">
        <f>USER_TESTING_TAB!H246</f>
        <v>0.5</v>
      </c>
    </row>
    <row r="126" spans="2:15">
      <c r="B126" s="212"/>
    </row>
    <row r="127" spans="2:15">
      <c r="B127" s="212"/>
      <c r="C127" s="658" t="s">
        <v>710</v>
      </c>
      <c r="H127" s="1195" t="s">
        <v>709</v>
      </c>
      <c r="I127" s="1195"/>
      <c r="J127" s="1195"/>
      <c r="K127" s="1195"/>
      <c r="L127" s="1195"/>
      <c r="M127" s="1195"/>
      <c r="N127" s="1195"/>
      <c r="O127" s="1195"/>
    </row>
    <row r="128" spans="2:15">
      <c r="B128" s="213"/>
      <c r="C128" s="215"/>
      <c r="H128" s="1195"/>
      <c r="I128" s="1195"/>
      <c r="J128" s="1195"/>
      <c r="K128" s="1195"/>
      <c r="L128" s="1195"/>
      <c r="M128" s="1195"/>
      <c r="N128" s="1195"/>
      <c r="O128" s="1195"/>
    </row>
    <row r="129" spans="3:6">
      <c r="C129" s="76" t="s">
        <v>43</v>
      </c>
    </row>
    <row r="130" spans="3:6">
      <c r="D130" s="214"/>
    </row>
    <row r="131" spans="3:6">
      <c r="C131" s="655" t="str">
        <f>Calc_PRIM_entrant_rates!B40</f>
        <v>New to state-funded sector</v>
      </c>
      <c r="D131" s="657">
        <f>(1-D133)*(Calc_PRIM_entrant_rates!G48/(Calc_PRIM_entrant_rates!G49+Calc_PRIM_entrant_rates!G48))</f>
        <v>0.15165474964071107</v>
      </c>
      <c r="F131" s="187"/>
    </row>
    <row r="132" spans="3:6">
      <c r="C132" s="655" t="str">
        <f>Calc_PRIM_entrant_rates!B41</f>
        <v>Re-entrants</v>
      </c>
      <c r="D132" s="656">
        <f>(1-D133)*(Calc_PRIM_entrant_rates!G49/(Calc_PRIM_entrant_rates!G49+Calc_PRIM_entrant_rates!G48))</f>
        <v>0.3309755080600576</v>
      </c>
    </row>
    <row r="133" spans="3:6">
      <c r="C133" s="655" t="str">
        <f>Calc_PRIM_entrant_rates!B42</f>
        <v>NQTs</v>
      </c>
      <c r="D133" s="656">
        <f>D109</f>
        <v>0.51736974229923127</v>
      </c>
    </row>
    <row r="134" spans="3:6">
      <c r="C134" s="655" t="s">
        <v>8</v>
      </c>
      <c r="D134" s="654">
        <f>SUM(D131:D133)</f>
        <v>1</v>
      </c>
    </row>
    <row r="135" spans="3:6">
      <c r="C135" s="5"/>
      <c r="D135" s="187"/>
    </row>
    <row r="136" spans="3:6">
      <c r="C136" s="76" t="s">
        <v>245</v>
      </c>
    </row>
    <row r="138" spans="3:6">
      <c r="C138" s="655" t="str">
        <f>C131</f>
        <v>New to state-funded sector</v>
      </c>
      <c r="D138" s="657">
        <f>(1-D140)*(Calc_SEC_entrant_rates!G49/(Calc_SEC_entrant_rates!G49+Calc_SEC_entrant_rates!G50))</f>
        <v>0.14759014262490319</v>
      </c>
      <c r="F138" s="187"/>
    </row>
    <row r="139" spans="3:6">
      <c r="C139" s="655" t="str">
        <f>C132</f>
        <v>Re-entrants</v>
      </c>
      <c r="D139" s="656">
        <f>(1-D140)*(Calc_SEC_entrant_rates!G50/(Calc_SEC_entrant_rates!G49+Calc_SEC_entrant_rates!G50))</f>
        <v>0.35016108614476826</v>
      </c>
    </row>
    <row r="140" spans="3:6">
      <c r="C140" s="655" t="str">
        <f>C133</f>
        <v>NQTs</v>
      </c>
      <c r="D140" s="656">
        <f>D119</f>
        <v>0.50224877123032852</v>
      </c>
    </row>
    <row r="141" spans="3:6">
      <c r="C141" s="655" t="s">
        <v>8</v>
      </c>
      <c r="D141" s="654">
        <f>SUM(D138:D140)</f>
        <v>1</v>
      </c>
    </row>
    <row r="143" spans="3:6" ht="18">
      <c r="C143" s="39" t="s">
        <v>1130</v>
      </c>
    </row>
    <row r="145" spans="2:7">
      <c r="C145" s="76" t="s">
        <v>43</v>
      </c>
    </row>
    <row r="146" spans="2:7">
      <c r="D146" s="820" t="str">
        <f>USER_TESTING_TAB!C274</f>
        <v>Undergrad</v>
      </c>
      <c r="E146" s="820" t="str">
        <f>USER_TESTING_TAB!D275</f>
        <v>HEI (Core)</v>
      </c>
      <c r="F146" s="820" t="str">
        <f>USER_TESTING_TAB!E275</f>
        <v>SCITT (Core)</v>
      </c>
      <c r="G146" s="820" t="str">
        <f>USER_TESTING_TAB!F275</f>
        <v>SD</v>
      </c>
    </row>
    <row r="147" spans="2:7">
      <c r="B147">
        <v>1</v>
      </c>
      <c r="C147" s="220" t="s">
        <v>247</v>
      </c>
      <c r="D147" s="804">
        <f>INDEX(D148:D149,$B$147)</f>
        <v>0.80550277030709261</v>
      </c>
      <c r="E147" s="821">
        <f>INDEX(E148:E149,$B$147)</f>
        <v>0.83928297218040937</v>
      </c>
      <c r="F147" s="821">
        <f>INDEX(F148:F149,$B$147)</f>
        <v>0.87746653545124054</v>
      </c>
      <c r="G147" s="821">
        <f>INDEX(G148:G149,$B$147)</f>
        <v>0.86439783053042718</v>
      </c>
    </row>
    <row r="148" spans="2:7">
      <c r="C148" s="221" t="s">
        <v>1149</v>
      </c>
      <c r="D148" s="725">
        <f>USER_TESTING_TAB!G294</f>
        <v>0.80550277030709261</v>
      </c>
      <c r="E148" s="725">
        <f>USER_TESTING_TAB!H294</f>
        <v>0.83928297218040937</v>
      </c>
      <c r="F148" s="725">
        <f>USER_TESTING_TAB!I294</f>
        <v>0.87746653545124054</v>
      </c>
      <c r="G148" s="725">
        <f>USER_TESTING_TAB!J294</f>
        <v>0.86439783053042718</v>
      </c>
    </row>
    <row r="149" spans="2:7">
      <c r="C149" s="221" t="s">
        <v>1156</v>
      </c>
      <c r="D149" s="725">
        <f>USER_TESTING_TAB!C294</f>
        <v>0.79306807668694335</v>
      </c>
      <c r="E149" s="725">
        <f>USER_TESTING_TAB!D294</f>
        <v>0.82876060693737919</v>
      </c>
      <c r="F149" s="725">
        <f>USER_TESTING_TAB!E294</f>
        <v>0.86689435283358574</v>
      </c>
      <c r="G149" s="725">
        <f>USER_TESTING_TAB!F294</f>
        <v>0.80952380952380953</v>
      </c>
    </row>
    <row r="150" spans="2:7">
      <c r="C150" s="819"/>
    </row>
    <row r="151" spans="2:7">
      <c r="C151" s="76" t="s">
        <v>245</v>
      </c>
    </row>
    <row r="152" spans="2:7">
      <c r="C152" s="819"/>
    </row>
    <row r="153" spans="2:7">
      <c r="B153">
        <v>1</v>
      </c>
      <c r="C153" s="221" t="s">
        <v>1149</v>
      </c>
      <c r="D153" s="117">
        <v>1</v>
      </c>
    </row>
    <row r="154" spans="2:7">
      <c r="C154" s="221" t="s">
        <v>1156</v>
      </c>
      <c r="D154" s="117">
        <f>D153+1</f>
        <v>2</v>
      </c>
    </row>
    <row r="157" spans="2:7">
      <c r="D157" s="820" t="str">
        <f>D146</f>
        <v>Undergrad</v>
      </c>
      <c r="E157" s="820" t="str">
        <f>E146</f>
        <v>HEI (Core)</v>
      </c>
      <c r="F157" s="820" t="str">
        <f>F146</f>
        <v>SCITT (Core)</v>
      </c>
      <c r="G157" s="820" t="str">
        <f>G146</f>
        <v>SD</v>
      </c>
    </row>
    <row r="158" spans="2:7">
      <c r="B158" s="1198" t="s">
        <v>247</v>
      </c>
      <c r="C158" s="145" t="s">
        <v>558</v>
      </c>
      <c r="D158" s="833">
        <f>D177+D196</f>
        <v>0.81967929652140181</v>
      </c>
      <c r="E158" s="833">
        <f>E177+E196</f>
        <v>0.78660236593530231</v>
      </c>
      <c r="F158" s="833">
        <f>F177+F196</f>
        <v>0.80585818016158572</v>
      </c>
      <c r="G158" s="833">
        <f>G177+G196</f>
        <v>0.7466071428571428</v>
      </c>
    </row>
    <row r="159" spans="2:7">
      <c r="B159" s="1198"/>
      <c r="C159" s="145" t="s">
        <v>7</v>
      </c>
      <c r="D159" s="833">
        <f t="shared" ref="D159:G176" si="6">D178+D197</f>
        <v>0.77418277297578086</v>
      </c>
      <c r="E159" s="833">
        <f t="shared" si="6"/>
        <v>0.77630557603914196</v>
      </c>
      <c r="F159" s="833">
        <f t="shared" si="6"/>
        <v>0.84332016988389991</v>
      </c>
      <c r="G159" s="833">
        <f t="shared" si="6"/>
        <v>0.74606776978353895</v>
      </c>
    </row>
    <row r="160" spans="2:7">
      <c r="B160" s="1198"/>
      <c r="C160" s="145" t="s">
        <v>427</v>
      </c>
      <c r="D160" s="833">
        <f t="shared" si="6"/>
        <v>0.7018035937417032</v>
      </c>
      <c r="E160" s="833">
        <f t="shared" si="6"/>
        <v>0.77066613049513188</v>
      </c>
      <c r="F160" s="833">
        <f t="shared" si="6"/>
        <v>0.75397740099470079</v>
      </c>
      <c r="G160" s="833">
        <f t="shared" si="6"/>
        <v>0.78624999999999989</v>
      </c>
    </row>
    <row r="161" spans="2:7">
      <c r="B161" s="1198"/>
      <c r="C161" s="145" t="s">
        <v>3</v>
      </c>
      <c r="D161" s="833">
        <f t="shared" si="6"/>
        <v>0.76362813176174793</v>
      </c>
      <c r="E161" s="833">
        <f t="shared" si="6"/>
        <v>0.77463926074233702</v>
      </c>
      <c r="F161" s="833">
        <f t="shared" si="6"/>
        <v>0.82467230669115987</v>
      </c>
      <c r="G161" s="833">
        <f t="shared" si="6"/>
        <v>0.84727272727272718</v>
      </c>
    </row>
    <row r="162" spans="2:7">
      <c r="B162" s="1198"/>
      <c r="C162" s="145" t="s">
        <v>85</v>
      </c>
      <c r="D162" s="833">
        <f t="shared" si="6"/>
        <v>0.7018035937417032</v>
      </c>
      <c r="E162" s="833">
        <f t="shared" si="6"/>
        <v>0.70887633984121257</v>
      </c>
      <c r="F162" s="833">
        <f t="shared" si="6"/>
        <v>0.75397740099470079</v>
      </c>
      <c r="G162" s="833">
        <f t="shared" si="6"/>
        <v>0.74606776978353895</v>
      </c>
    </row>
    <row r="163" spans="2:7">
      <c r="B163" s="1198"/>
      <c r="C163" s="145" t="s">
        <v>103</v>
      </c>
      <c r="D163" s="833">
        <f t="shared" si="6"/>
        <v>0.71621124010954529</v>
      </c>
      <c r="E163" s="833">
        <f t="shared" si="6"/>
        <v>0.75461185604952075</v>
      </c>
      <c r="F163" s="833">
        <f t="shared" si="6"/>
        <v>0.84674696499537272</v>
      </c>
      <c r="G163" s="833">
        <f t="shared" si="6"/>
        <v>0.85203551912568298</v>
      </c>
    </row>
    <row r="164" spans="2:7">
      <c r="B164" s="1198"/>
      <c r="C164" s="145" t="s">
        <v>559</v>
      </c>
      <c r="D164" s="833">
        <f t="shared" si="6"/>
        <v>0.73987837168102821</v>
      </c>
      <c r="E164" s="833">
        <f t="shared" si="6"/>
        <v>0.76878652315207763</v>
      </c>
      <c r="F164" s="833">
        <f t="shared" si="6"/>
        <v>0.85993280574696063</v>
      </c>
      <c r="G164" s="833">
        <f t="shared" si="6"/>
        <v>0.74606776978353895</v>
      </c>
    </row>
    <row r="165" spans="2:7">
      <c r="B165" s="1198"/>
      <c r="C165" s="145" t="s">
        <v>6</v>
      </c>
      <c r="D165" s="833">
        <f t="shared" si="6"/>
        <v>0.7018035937417032</v>
      </c>
      <c r="E165" s="833">
        <f t="shared" si="6"/>
        <v>0.79328432052498199</v>
      </c>
      <c r="F165" s="833">
        <f t="shared" si="6"/>
        <v>0.85010707787694928</v>
      </c>
      <c r="G165" s="833">
        <f t="shared" si="6"/>
        <v>0.84171201814058949</v>
      </c>
    </row>
    <row r="166" spans="2:7">
      <c r="B166" s="1198"/>
      <c r="C166" s="145" t="s">
        <v>1</v>
      </c>
      <c r="D166" s="833">
        <f t="shared" si="6"/>
        <v>0.85247941912230762</v>
      </c>
      <c r="E166" s="833">
        <f t="shared" si="6"/>
        <v>0.83124840240454523</v>
      </c>
      <c r="F166" s="833">
        <f t="shared" si="6"/>
        <v>0.86746222500815862</v>
      </c>
      <c r="G166" s="833">
        <f t="shared" si="6"/>
        <v>0.85333577382722825</v>
      </c>
    </row>
    <row r="167" spans="2:7">
      <c r="B167" s="1198"/>
      <c r="C167" s="145" t="s">
        <v>396</v>
      </c>
      <c r="D167" s="833">
        <f t="shared" si="6"/>
        <v>0.7018035937417032</v>
      </c>
      <c r="E167" s="833">
        <f t="shared" si="6"/>
        <v>0.70887633984121257</v>
      </c>
      <c r="F167" s="833">
        <f t="shared" si="6"/>
        <v>0.75397740099470079</v>
      </c>
      <c r="G167" s="833">
        <f t="shared" si="6"/>
        <v>0.74606776978353895</v>
      </c>
    </row>
    <row r="168" spans="2:7">
      <c r="B168" s="1198"/>
      <c r="C168" s="145" t="s">
        <v>4</v>
      </c>
      <c r="D168" s="833">
        <f t="shared" si="6"/>
        <v>0.81143624116313195</v>
      </c>
      <c r="E168" s="833">
        <f t="shared" si="6"/>
        <v>0.78829949901542928</v>
      </c>
      <c r="F168" s="833">
        <f t="shared" si="6"/>
        <v>0.87675456123417173</v>
      </c>
      <c r="G168" s="833">
        <f t="shared" si="6"/>
        <v>0.74606776978353895</v>
      </c>
    </row>
    <row r="169" spans="2:7">
      <c r="B169" s="1198"/>
      <c r="C169" s="145" t="s">
        <v>0</v>
      </c>
      <c r="D169" s="833">
        <f t="shared" si="6"/>
        <v>0.8803475751301838</v>
      </c>
      <c r="E169" s="833">
        <f t="shared" si="6"/>
        <v>0.81848076885305765</v>
      </c>
      <c r="F169" s="833">
        <f t="shared" si="6"/>
        <v>0.81360034974441753</v>
      </c>
      <c r="G169" s="833">
        <f t="shared" si="6"/>
        <v>0.89924468378900846</v>
      </c>
    </row>
    <row r="170" spans="2:7">
      <c r="B170" s="1198"/>
      <c r="C170" s="145" t="s">
        <v>560</v>
      </c>
      <c r="D170" s="833">
        <f t="shared" si="6"/>
        <v>0.82632651234210708</v>
      </c>
      <c r="E170" s="833">
        <f t="shared" si="6"/>
        <v>0.80027700012184266</v>
      </c>
      <c r="F170" s="833">
        <f t="shared" si="6"/>
        <v>0.86604610223536049</v>
      </c>
      <c r="G170" s="833">
        <f t="shared" si="6"/>
        <v>0.81980810234541579</v>
      </c>
    </row>
    <row r="171" spans="2:7">
      <c r="B171" s="1198"/>
      <c r="C171" s="145" t="s">
        <v>561</v>
      </c>
      <c r="D171" s="833">
        <f t="shared" si="6"/>
        <v>0.82621782631181129</v>
      </c>
      <c r="E171" s="833">
        <f t="shared" si="6"/>
        <v>0.74532971727539366</v>
      </c>
      <c r="F171" s="833">
        <f t="shared" si="6"/>
        <v>0.82740125816212773</v>
      </c>
      <c r="G171" s="833">
        <f t="shared" si="6"/>
        <v>0.82076492537313417</v>
      </c>
    </row>
    <row r="172" spans="2:7">
      <c r="B172" s="1198"/>
      <c r="C172" s="145" t="s">
        <v>5</v>
      </c>
      <c r="D172" s="833">
        <f t="shared" si="6"/>
        <v>0.85666666666666669</v>
      </c>
      <c r="E172" s="833">
        <f t="shared" si="6"/>
        <v>0.77017704513632146</v>
      </c>
      <c r="F172" s="833">
        <f t="shared" si="6"/>
        <v>0.75397740099470079</v>
      </c>
      <c r="G172" s="833">
        <f t="shared" si="6"/>
        <v>0.90388235294117647</v>
      </c>
    </row>
    <row r="173" spans="2:7">
      <c r="B173" s="1198"/>
      <c r="C173" s="145" t="s">
        <v>44</v>
      </c>
      <c r="D173" s="833">
        <f t="shared" si="6"/>
        <v>0.90180359374170316</v>
      </c>
      <c r="E173" s="833">
        <f t="shared" si="6"/>
        <v>0.79755969833255524</v>
      </c>
      <c r="F173" s="833">
        <f t="shared" si="6"/>
        <v>0.8206238835406614</v>
      </c>
      <c r="G173" s="833">
        <f t="shared" si="6"/>
        <v>0.74606776978353895</v>
      </c>
    </row>
    <row r="174" spans="2:7">
      <c r="B174" s="1198"/>
      <c r="C174" s="145" t="s">
        <v>562</v>
      </c>
      <c r="D174" s="833">
        <f t="shared" si="6"/>
        <v>0.74404661295893915</v>
      </c>
      <c r="E174" s="833">
        <f t="shared" si="6"/>
        <v>0.76009039562858272</v>
      </c>
      <c r="F174" s="833">
        <f t="shared" si="6"/>
        <v>0.78307799648525545</v>
      </c>
      <c r="G174" s="833">
        <f t="shared" si="6"/>
        <v>0.77451742919389965</v>
      </c>
    </row>
    <row r="175" spans="2:7">
      <c r="B175" s="1198"/>
      <c r="C175" s="145" t="s">
        <v>2</v>
      </c>
      <c r="D175" s="833">
        <f t="shared" si="6"/>
        <v>0.70571428571428574</v>
      </c>
      <c r="E175" s="833">
        <f t="shared" si="6"/>
        <v>0.76356772684046392</v>
      </c>
      <c r="F175" s="833">
        <f t="shared" si="6"/>
        <v>0.83289009661835745</v>
      </c>
      <c r="G175" s="833">
        <f t="shared" si="6"/>
        <v>0.8077104377104376</v>
      </c>
    </row>
    <row r="176" spans="2:7">
      <c r="B176" s="1198"/>
      <c r="C176" s="145" t="s">
        <v>563</v>
      </c>
      <c r="D176" s="833">
        <f t="shared" si="6"/>
        <v>0.81897804795677143</v>
      </c>
      <c r="E176" s="833">
        <f t="shared" si="6"/>
        <v>0.77156468695812641</v>
      </c>
      <c r="F176" s="833">
        <f t="shared" si="6"/>
        <v>0.79621526992562441</v>
      </c>
      <c r="G176" s="833">
        <f t="shared" si="6"/>
        <v>0.8527499999999999</v>
      </c>
    </row>
    <row r="177" spans="2:11">
      <c r="B177" s="1196" t="s">
        <v>1149</v>
      </c>
      <c r="C177" s="133" t="s">
        <v>558</v>
      </c>
      <c r="D177" s="837">
        <f t="shared" ref="D177:D195" si="7">IF($B$153=$D$153,H177,0)</f>
        <v>0.81967929652140181</v>
      </c>
      <c r="E177" s="837">
        <f t="shared" ref="E177:E195" si="8">IF($B$153=$D$153,I177,0)</f>
        <v>0.78660236593530231</v>
      </c>
      <c r="F177" s="837">
        <f t="shared" ref="F177:F195" si="9">IF($B$153=$D$153,J177,0)</f>
        <v>0.80585818016158572</v>
      </c>
      <c r="G177" s="837">
        <f t="shared" ref="G177:G195" si="10">IF($B$153=$D$153,K177,0)</f>
        <v>0.7466071428571428</v>
      </c>
      <c r="H177" s="838">
        <f>USER_TESTING_TAB!G276</f>
        <v>0.81967929652140181</v>
      </c>
      <c r="I177" s="838">
        <f>USER_TESTING_TAB!H276</f>
        <v>0.78660236593530231</v>
      </c>
      <c r="J177" s="838">
        <f>USER_TESTING_TAB!I276</f>
        <v>0.80585818016158572</v>
      </c>
      <c r="K177" s="838">
        <f>USER_TESTING_TAB!J276</f>
        <v>0.7466071428571428</v>
      </c>
    </row>
    <row r="178" spans="2:11">
      <c r="B178" s="1196"/>
      <c r="C178" s="133" t="s">
        <v>7</v>
      </c>
      <c r="D178" s="837">
        <f t="shared" si="7"/>
        <v>0.77418277297578086</v>
      </c>
      <c r="E178" s="837">
        <f t="shared" si="8"/>
        <v>0.77630557603914196</v>
      </c>
      <c r="F178" s="837">
        <f t="shared" si="9"/>
        <v>0.84332016988389991</v>
      </c>
      <c r="G178" s="837">
        <f t="shared" si="10"/>
        <v>0.74606776978353895</v>
      </c>
      <c r="H178" s="838">
        <f>USER_TESTING_TAB!G277</f>
        <v>0.77418277297578086</v>
      </c>
      <c r="I178" s="838">
        <f>USER_TESTING_TAB!H277</f>
        <v>0.77630557603914196</v>
      </c>
      <c r="J178" s="838">
        <f>USER_TESTING_TAB!I277</f>
        <v>0.84332016988389991</v>
      </c>
      <c r="K178" s="838">
        <f>USER_TESTING_TAB!J277</f>
        <v>0.74606776978353895</v>
      </c>
    </row>
    <row r="179" spans="2:11">
      <c r="B179" s="1196"/>
      <c r="C179" s="133" t="s">
        <v>427</v>
      </c>
      <c r="D179" s="837">
        <f t="shared" si="7"/>
        <v>0.7018035937417032</v>
      </c>
      <c r="E179" s="837">
        <f t="shared" si="8"/>
        <v>0.77066613049513188</v>
      </c>
      <c r="F179" s="837">
        <f t="shared" si="9"/>
        <v>0.75397740099470079</v>
      </c>
      <c r="G179" s="837">
        <f t="shared" si="10"/>
        <v>0.78624999999999989</v>
      </c>
      <c r="H179" s="838">
        <f>USER_TESTING_TAB!G278</f>
        <v>0.7018035937417032</v>
      </c>
      <c r="I179" s="838">
        <f>USER_TESTING_TAB!H278</f>
        <v>0.77066613049513188</v>
      </c>
      <c r="J179" s="838">
        <f>USER_TESTING_TAB!I278</f>
        <v>0.75397740099470079</v>
      </c>
      <c r="K179" s="838">
        <f>USER_TESTING_TAB!J278</f>
        <v>0.78624999999999989</v>
      </c>
    </row>
    <row r="180" spans="2:11">
      <c r="B180" s="1196"/>
      <c r="C180" s="133" t="s">
        <v>3</v>
      </c>
      <c r="D180" s="837">
        <f t="shared" si="7"/>
        <v>0.76362813176174793</v>
      </c>
      <c r="E180" s="837">
        <f t="shared" si="8"/>
        <v>0.77463926074233702</v>
      </c>
      <c r="F180" s="837">
        <f t="shared" si="9"/>
        <v>0.82467230669115987</v>
      </c>
      <c r="G180" s="837">
        <f t="shared" si="10"/>
        <v>0.84727272727272718</v>
      </c>
      <c r="H180" s="838">
        <f>USER_TESTING_TAB!G279</f>
        <v>0.76362813176174793</v>
      </c>
      <c r="I180" s="838">
        <f>USER_TESTING_TAB!H279</f>
        <v>0.77463926074233702</v>
      </c>
      <c r="J180" s="838">
        <f>USER_TESTING_TAB!I279</f>
        <v>0.82467230669115987</v>
      </c>
      <c r="K180" s="838">
        <f>USER_TESTING_TAB!J279</f>
        <v>0.84727272727272718</v>
      </c>
    </row>
    <row r="181" spans="2:11">
      <c r="B181" s="1196"/>
      <c r="C181" s="133" t="s">
        <v>85</v>
      </c>
      <c r="D181" s="837">
        <f t="shared" si="7"/>
        <v>0.7018035937417032</v>
      </c>
      <c r="E181" s="837">
        <f t="shared" si="8"/>
        <v>0.70887633984121257</v>
      </c>
      <c r="F181" s="837">
        <f t="shared" si="9"/>
        <v>0.75397740099470079</v>
      </c>
      <c r="G181" s="837">
        <f t="shared" si="10"/>
        <v>0.74606776978353895</v>
      </c>
      <c r="H181" s="838">
        <f>USER_TESTING_TAB!G280</f>
        <v>0.7018035937417032</v>
      </c>
      <c r="I181" s="838">
        <f>USER_TESTING_TAB!H280</f>
        <v>0.70887633984121257</v>
      </c>
      <c r="J181" s="838">
        <f>USER_TESTING_TAB!I280</f>
        <v>0.75397740099470079</v>
      </c>
      <c r="K181" s="838">
        <f>USER_TESTING_TAB!J280</f>
        <v>0.74606776978353895</v>
      </c>
    </row>
    <row r="182" spans="2:11">
      <c r="B182" s="1196"/>
      <c r="C182" s="133" t="s">
        <v>103</v>
      </c>
      <c r="D182" s="837">
        <f t="shared" si="7"/>
        <v>0.71621124010954529</v>
      </c>
      <c r="E182" s="837">
        <f t="shared" si="8"/>
        <v>0.75461185604952075</v>
      </c>
      <c r="F182" s="837">
        <f t="shared" si="9"/>
        <v>0.84674696499537272</v>
      </c>
      <c r="G182" s="837">
        <f t="shared" si="10"/>
        <v>0.85203551912568298</v>
      </c>
      <c r="H182" s="838">
        <f>USER_TESTING_TAB!G281</f>
        <v>0.71621124010954529</v>
      </c>
      <c r="I182" s="838">
        <f>USER_TESTING_TAB!H281</f>
        <v>0.75461185604952075</v>
      </c>
      <c r="J182" s="838">
        <f>USER_TESTING_TAB!I281</f>
        <v>0.84674696499537272</v>
      </c>
      <c r="K182" s="838">
        <f>USER_TESTING_TAB!J281</f>
        <v>0.85203551912568298</v>
      </c>
    </row>
    <row r="183" spans="2:11">
      <c r="B183" s="1196"/>
      <c r="C183" s="133" t="s">
        <v>559</v>
      </c>
      <c r="D183" s="837">
        <f t="shared" si="7"/>
        <v>0.73987837168102821</v>
      </c>
      <c r="E183" s="837">
        <f t="shared" si="8"/>
        <v>0.76878652315207763</v>
      </c>
      <c r="F183" s="837">
        <f t="shared" si="9"/>
        <v>0.85993280574696063</v>
      </c>
      <c r="G183" s="837">
        <f t="shared" si="10"/>
        <v>0.74606776978353895</v>
      </c>
      <c r="H183" s="838">
        <f>USER_TESTING_TAB!G282</f>
        <v>0.73987837168102821</v>
      </c>
      <c r="I183" s="838">
        <f>USER_TESTING_TAB!H282</f>
        <v>0.76878652315207763</v>
      </c>
      <c r="J183" s="838">
        <f>USER_TESTING_TAB!I282</f>
        <v>0.85993280574696063</v>
      </c>
      <c r="K183" s="838">
        <f>USER_TESTING_TAB!J282</f>
        <v>0.74606776978353895</v>
      </c>
    </row>
    <row r="184" spans="2:11">
      <c r="B184" s="1196"/>
      <c r="C184" s="133" t="s">
        <v>6</v>
      </c>
      <c r="D184" s="837">
        <f t="shared" si="7"/>
        <v>0.7018035937417032</v>
      </c>
      <c r="E184" s="837">
        <f t="shared" si="8"/>
        <v>0.79328432052498199</v>
      </c>
      <c r="F184" s="837">
        <f t="shared" si="9"/>
        <v>0.85010707787694928</v>
      </c>
      <c r="G184" s="837">
        <f t="shared" si="10"/>
        <v>0.84171201814058949</v>
      </c>
      <c r="H184" s="838">
        <f>USER_TESTING_TAB!G283</f>
        <v>0.7018035937417032</v>
      </c>
      <c r="I184" s="838">
        <f>USER_TESTING_TAB!H283</f>
        <v>0.79328432052498199</v>
      </c>
      <c r="J184" s="838">
        <f>USER_TESTING_TAB!I283</f>
        <v>0.85010707787694928</v>
      </c>
      <c r="K184" s="838">
        <f>USER_TESTING_TAB!J283</f>
        <v>0.84171201814058949</v>
      </c>
    </row>
    <row r="185" spans="2:11">
      <c r="B185" s="1196"/>
      <c r="C185" s="133" t="s">
        <v>1</v>
      </c>
      <c r="D185" s="837">
        <f t="shared" si="7"/>
        <v>0.85247941912230762</v>
      </c>
      <c r="E185" s="837">
        <f t="shared" si="8"/>
        <v>0.83124840240454523</v>
      </c>
      <c r="F185" s="837">
        <f t="shared" si="9"/>
        <v>0.86746222500815862</v>
      </c>
      <c r="G185" s="837">
        <f t="shared" si="10"/>
        <v>0.85333577382722825</v>
      </c>
      <c r="H185" s="838">
        <f>USER_TESTING_TAB!G284</f>
        <v>0.85247941912230762</v>
      </c>
      <c r="I185" s="838">
        <f>USER_TESTING_TAB!H284</f>
        <v>0.83124840240454523</v>
      </c>
      <c r="J185" s="838">
        <f>USER_TESTING_TAB!I284</f>
        <v>0.86746222500815862</v>
      </c>
      <c r="K185" s="838">
        <f>USER_TESTING_TAB!J284</f>
        <v>0.85333577382722825</v>
      </c>
    </row>
    <row r="186" spans="2:11">
      <c r="B186" s="1196"/>
      <c r="C186" s="133" t="s">
        <v>396</v>
      </c>
      <c r="D186" s="837">
        <f t="shared" si="7"/>
        <v>0.7018035937417032</v>
      </c>
      <c r="E186" s="837">
        <f t="shared" si="8"/>
        <v>0.70887633984121257</v>
      </c>
      <c r="F186" s="837">
        <f t="shared" si="9"/>
        <v>0.75397740099470079</v>
      </c>
      <c r="G186" s="837">
        <f t="shared" si="10"/>
        <v>0.74606776978353895</v>
      </c>
      <c r="H186" s="838">
        <f>USER_TESTING_TAB!G285</f>
        <v>0.7018035937417032</v>
      </c>
      <c r="I186" s="838">
        <f>USER_TESTING_TAB!H285</f>
        <v>0.70887633984121257</v>
      </c>
      <c r="J186" s="838">
        <f>USER_TESTING_TAB!I285</f>
        <v>0.75397740099470079</v>
      </c>
      <c r="K186" s="838">
        <f>USER_TESTING_TAB!J285</f>
        <v>0.74606776978353895</v>
      </c>
    </row>
    <row r="187" spans="2:11">
      <c r="B187" s="1196"/>
      <c r="C187" s="133" t="s">
        <v>4</v>
      </c>
      <c r="D187" s="837">
        <f t="shared" si="7"/>
        <v>0.81143624116313195</v>
      </c>
      <c r="E187" s="837">
        <f t="shared" si="8"/>
        <v>0.78829949901542928</v>
      </c>
      <c r="F187" s="837">
        <f t="shared" si="9"/>
        <v>0.87675456123417173</v>
      </c>
      <c r="G187" s="837">
        <f t="shared" si="10"/>
        <v>0.74606776978353895</v>
      </c>
      <c r="H187" s="838">
        <f>USER_TESTING_TAB!G286</f>
        <v>0.81143624116313195</v>
      </c>
      <c r="I187" s="838">
        <f>USER_TESTING_TAB!H286</f>
        <v>0.78829949901542928</v>
      </c>
      <c r="J187" s="838">
        <f>USER_TESTING_TAB!I286</f>
        <v>0.87675456123417173</v>
      </c>
      <c r="K187" s="838">
        <f>USER_TESTING_TAB!J286</f>
        <v>0.74606776978353895</v>
      </c>
    </row>
    <row r="188" spans="2:11">
      <c r="B188" s="1196"/>
      <c r="C188" s="133" t="s">
        <v>0</v>
      </c>
      <c r="D188" s="837">
        <f t="shared" si="7"/>
        <v>0.8803475751301838</v>
      </c>
      <c r="E188" s="837">
        <f t="shared" si="8"/>
        <v>0.81848076885305765</v>
      </c>
      <c r="F188" s="837">
        <f t="shared" si="9"/>
        <v>0.81360034974441753</v>
      </c>
      <c r="G188" s="837">
        <f t="shared" si="10"/>
        <v>0.89924468378900846</v>
      </c>
      <c r="H188" s="838">
        <f>USER_TESTING_TAB!G287</f>
        <v>0.8803475751301838</v>
      </c>
      <c r="I188" s="838">
        <f>USER_TESTING_TAB!H287</f>
        <v>0.81848076885305765</v>
      </c>
      <c r="J188" s="838">
        <f>USER_TESTING_TAB!I287</f>
        <v>0.81360034974441753</v>
      </c>
      <c r="K188" s="838">
        <f>USER_TESTING_TAB!J287</f>
        <v>0.89924468378900846</v>
      </c>
    </row>
    <row r="189" spans="2:11">
      <c r="B189" s="1196"/>
      <c r="C189" s="133" t="s">
        <v>560</v>
      </c>
      <c r="D189" s="837">
        <f t="shared" si="7"/>
        <v>0.82632651234210708</v>
      </c>
      <c r="E189" s="837">
        <f t="shared" si="8"/>
        <v>0.80027700012184266</v>
      </c>
      <c r="F189" s="837">
        <f t="shared" si="9"/>
        <v>0.86604610223536049</v>
      </c>
      <c r="G189" s="837">
        <f t="shared" si="10"/>
        <v>0.81980810234541579</v>
      </c>
      <c r="H189" s="838">
        <f>USER_TESTING_TAB!G288</f>
        <v>0.82632651234210708</v>
      </c>
      <c r="I189" s="838">
        <f>USER_TESTING_TAB!H288</f>
        <v>0.80027700012184266</v>
      </c>
      <c r="J189" s="838">
        <f>USER_TESTING_TAB!I288</f>
        <v>0.86604610223536049</v>
      </c>
      <c r="K189" s="838">
        <f>USER_TESTING_TAB!J288</f>
        <v>0.81980810234541579</v>
      </c>
    </row>
    <row r="190" spans="2:11">
      <c r="B190" s="1196"/>
      <c r="C190" s="133" t="s">
        <v>561</v>
      </c>
      <c r="D190" s="837">
        <f t="shared" si="7"/>
        <v>0.82621782631181129</v>
      </c>
      <c r="E190" s="837">
        <f t="shared" si="8"/>
        <v>0.74532971727539366</v>
      </c>
      <c r="F190" s="837">
        <f t="shared" si="9"/>
        <v>0.82740125816212773</v>
      </c>
      <c r="G190" s="837">
        <f t="shared" si="10"/>
        <v>0.82076492537313417</v>
      </c>
      <c r="H190" s="838">
        <f>USER_TESTING_TAB!G289</f>
        <v>0.82621782631181129</v>
      </c>
      <c r="I190" s="838">
        <f>USER_TESTING_TAB!H289</f>
        <v>0.74532971727539366</v>
      </c>
      <c r="J190" s="838">
        <f>USER_TESTING_TAB!I289</f>
        <v>0.82740125816212773</v>
      </c>
      <c r="K190" s="838">
        <f>USER_TESTING_TAB!J289</f>
        <v>0.82076492537313417</v>
      </c>
    </row>
    <row r="191" spans="2:11">
      <c r="B191" s="1196"/>
      <c r="C191" s="133" t="s">
        <v>5</v>
      </c>
      <c r="D191" s="837">
        <f t="shared" si="7"/>
        <v>0.85666666666666669</v>
      </c>
      <c r="E191" s="837">
        <f t="shared" si="8"/>
        <v>0.77017704513632146</v>
      </c>
      <c r="F191" s="837">
        <f t="shared" si="9"/>
        <v>0.75397740099470079</v>
      </c>
      <c r="G191" s="837">
        <f t="shared" si="10"/>
        <v>0.90388235294117647</v>
      </c>
      <c r="H191" s="838">
        <f>USER_TESTING_TAB!G290</f>
        <v>0.85666666666666669</v>
      </c>
      <c r="I191" s="838">
        <f>USER_TESTING_TAB!H290</f>
        <v>0.77017704513632146</v>
      </c>
      <c r="J191" s="838">
        <f>USER_TESTING_TAB!I290</f>
        <v>0.75397740099470079</v>
      </c>
      <c r="K191" s="838">
        <f>USER_TESTING_TAB!J290</f>
        <v>0.90388235294117647</v>
      </c>
    </row>
    <row r="192" spans="2:11">
      <c r="B192" s="1196"/>
      <c r="C192" s="133" t="s">
        <v>44</v>
      </c>
      <c r="D192" s="837">
        <f t="shared" si="7"/>
        <v>0.90180359374170316</v>
      </c>
      <c r="E192" s="837">
        <f t="shared" si="8"/>
        <v>0.79755969833255524</v>
      </c>
      <c r="F192" s="837">
        <f t="shared" si="9"/>
        <v>0.8206238835406614</v>
      </c>
      <c r="G192" s="837">
        <f t="shared" si="10"/>
        <v>0.74606776978353895</v>
      </c>
      <c r="H192" s="838">
        <f>USER_TESTING_TAB!G291</f>
        <v>0.90180359374170316</v>
      </c>
      <c r="I192" s="838">
        <f>USER_TESTING_TAB!H291</f>
        <v>0.79755969833255524</v>
      </c>
      <c r="J192" s="838">
        <f>USER_TESTING_TAB!I291</f>
        <v>0.8206238835406614</v>
      </c>
      <c r="K192" s="838">
        <f>USER_TESTING_TAB!J291</f>
        <v>0.74606776978353895</v>
      </c>
    </row>
    <row r="193" spans="2:11">
      <c r="B193" s="1196"/>
      <c r="C193" s="133" t="s">
        <v>562</v>
      </c>
      <c r="D193" s="837">
        <f t="shared" si="7"/>
        <v>0.74404661295893915</v>
      </c>
      <c r="E193" s="837">
        <f t="shared" si="8"/>
        <v>0.76009039562858272</v>
      </c>
      <c r="F193" s="837">
        <f t="shared" si="9"/>
        <v>0.78307799648525545</v>
      </c>
      <c r="G193" s="837">
        <f t="shared" si="10"/>
        <v>0.77451742919389965</v>
      </c>
      <c r="H193" s="838">
        <f>USER_TESTING_TAB!G292</f>
        <v>0.74404661295893915</v>
      </c>
      <c r="I193" s="838">
        <f>USER_TESTING_TAB!H292</f>
        <v>0.76009039562858272</v>
      </c>
      <c r="J193" s="838">
        <f>USER_TESTING_TAB!I292</f>
        <v>0.78307799648525545</v>
      </c>
      <c r="K193" s="838">
        <f>USER_TESTING_TAB!J292</f>
        <v>0.77451742919389965</v>
      </c>
    </row>
    <row r="194" spans="2:11">
      <c r="B194" s="1196"/>
      <c r="C194" s="133" t="s">
        <v>2</v>
      </c>
      <c r="D194" s="837">
        <f t="shared" si="7"/>
        <v>0.70571428571428574</v>
      </c>
      <c r="E194" s="837">
        <f t="shared" si="8"/>
        <v>0.76356772684046392</v>
      </c>
      <c r="F194" s="837">
        <f t="shared" si="9"/>
        <v>0.83289009661835745</v>
      </c>
      <c r="G194" s="837">
        <f t="shared" si="10"/>
        <v>0.8077104377104376</v>
      </c>
      <c r="H194" s="838">
        <f>USER_TESTING_TAB!G293</f>
        <v>0.70571428571428574</v>
      </c>
      <c r="I194" s="838">
        <f>USER_TESTING_TAB!H293</f>
        <v>0.76356772684046392</v>
      </c>
      <c r="J194" s="838">
        <f>USER_TESTING_TAB!I293</f>
        <v>0.83289009661835745</v>
      </c>
      <c r="K194" s="838">
        <f>USER_TESTING_TAB!J293</f>
        <v>0.8077104377104376</v>
      </c>
    </row>
    <row r="195" spans="2:11">
      <c r="B195" s="1196"/>
      <c r="C195" s="133" t="s">
        <v>563</v>
      </c>
      <c r="D195" s="837">
        <f t="shared" si="7"/>
        <v>0.81897804795677143</v>
      </c>
      <c r="E195" s="837">
        <f t="shared" si="8"/>
        <v>0.77156468695812641</v>
      </c>
      <c r="F195" s="837">
        <f t="shared" si="9"/>
        <v>0.79621526992562441</v>
      </c>
      <c r="G195" s="837">
        <f t="shared" si="10"/>
        <v>0.8527499999999999</v>
      </c>
      <c r="H195" s="838">
        <f>USER_TESTING_TAB!G295</f>
        <v>0.81897804795677143</v>
      </c>
      <c r="I195" s="838">
        <f>USER_TESTING_TAB!H295</f>
        <v>0.77156468695812641</v>
      </c>
      <c r="J195" s="838">
        <f>USER_TESTING_TAB!I295</f>
        <v>0.79621526992562441</v>
      </c>
      <c r="K195" s="838">
        <f>USER_TESTING_TAB!J295</f>
        <v>0.8527499999999999</v>
      </c>
    </row>
    <row r="196" spans="2:11">
      <c r="B196" s="1197" t="s">
        <v>1156</v>
      </c>
      <c r="C196" s="834" t="s">
        <v>558</v>
      </c>
      <c r="D196" s="835">
        <f t="shared" ref="D196:D214" si="11">IF($B$153=$D$154,H196,0)</f>
        <v>0</v>
      </c>
      <c r="E196" s="835">
        <f t="shared" ref="E196:E214" si="12">IF($B$153=$D$154,I196,0)</f>
        <v>0</v>
      </c>
      <c r="F196" s="835">
        <f t="shared" ref="F196:F214" si="13">IF($B$153=$D$154,J196,0)</f>
        <v>0</v>
      </c>
      <c r="G196" s="835">
        <f t="shared" ref="G196:G214" si="14">IF($B$153=$D$154,K196,0)</f>
        <v>0</v>
      </c>
      <c r="H196" s="836">
        <f>USER_TESTING_TAB!C276</f>
        <v>0.80104501630817426</v>
      </c>
      <c r="I196" s="836">
        <f>USER_TESTING_TAB!D276</f>
        <v>0.77136052188166548</v>
      </c>
      <c r="J196" s="836">
        <f>USER_TESTING_TAB!E276</f>
        <v>0.81055805278963189</v>
      </c>
      <c r="K196" s="836">
        <f>USER_TESTING_TAB!F276</f>
        <v>0.75</v>
      </c>
    </row>
    <row r="197" spans="2:11">
      <c r="B197" s="1197"/>
      <c r="C197" s="834" t="s">
        <v>7</v>
      </c>
      <c r="D197" s="835">
        <f t="shared" si="11"/>
        <v>0</v>
      </c>
      <c r="E197" s="835">
        <f t="shared" si="12"/>
        <v>0</v>
      </c>
      <c r="F197" s="835">
        <f t="shared" si="13"/>
        <v>0</v>
      </c>
      <c r="G197" s="835">
        <f t="shared" si="14"/>
        <v>0</v>
      </c>
      <c r="H197" s="836">
        <f>USER_TESTING_TAB!C277</f>
        <v>0.73201300213878828</v>
      </c>
      <c r="I197" s="836">
        <f>USER_TESTING_TAB!D277</f>
        <v>0.78302368891622032</v>
      </c>
      <c r="J197" s="836">
        <f>USER_TESTING_TAB!E277</f>
        <v>0.83742873884337832</v>
      </c>
      <c r="K197" s="836">
        <f>USER_TESTING_TAB!F277</f>
        <v>0.84697508896797147</v>
      </c>
    </row>
    <row r="198" spans="2:11">
      <c r="B198" s="1197"/>
      <c r="C198" s="834" t="s">
        <v>427</v>
      </c>
      <c r="D198" s="835">
        <f t="shared" si="11"/>
        <v>0</v>
      </c>
      <c r="E198" s="835">
        <f t="shared" si="12"/>
        <v>0</v>
      </c>
      <c r="F198" s="835">
        <f t="shared" si="13"/>
        <v>0</v>
      </c>
      <c r="G198" s="835">
        <f t="shared" si="14"/>
        <v>0</v>
      </c>
      <c r="H198" s="836">
        <f>USER_TESTING_TAB!C278</f>
        <v>0.78717800058385268</v>
      </c>
      <c r="I198" s="836">
        <f>USER_TESTING_TAB!D278</f>
        <v>0.7640438443987374</v>
      </c>
      <c r="J198" s="836">
        <f>USER_TESTING_TAB!E278</f>
        <v>0.89382567915176614</v>
      </c>
      <c r="K198" s="836">
        <f>USER_TESTING_TAB!F278</f>
        <v>0.84697508896797147</v>
      </c>
    </row>
    <row r="199" spans="2:11">
      <c r="B199" s="1197"/>
      <c r="C199" s="834" t="s">
        <v>3</v>
      </c>
      <c r="D199" s="835">
        <f t="shared" si="11"/>
        <v>0</v>
      </c>
      <c r="E199" s="835">
        <f t="shared" si="12"/>
        <v>0</v>
      </c>
      <c r="F199" s="835">
        <f t="shared" si="13"/>
        <v>0</v>
      </c>
      <c r="G199" s="835">
        <f t="shared" si="14"/>
        <v>0</v>
      </c>
      <c r="H199" s="836">
        <f>USER_TESTING_TAB!C279</f>
        <v>0.72980405154318195</v>
      </c>
      <c r="I199" s="836">
        <f>USER_TESTING_TAB!D279</f>
        <v>0.76541777868941563</v>
      </c>
      <c r="J199" s="836">
        <f>USER_TESTING_TAB!E279</f>
        <v>0.76511037797061698</v>
      </c>
      <c r="K199" s="836">
        <f>USER_TESTING_TAB!F279</f>
        <v>0.93939393939393945</v>
      </c>
    </row>
    <row r="200" spans="2:11">
      <c r="B200" s="1197"/>
      <c r="C200" s="834" t="s">
        <v>85</v>
      </c>
      <c r="D200" s="835">
        <f t="shared" si="11"/>
        <v>0</v>
      </c>
      <c r="E200" s="835">
        <f t="shared" si="12"/>
        <v>0</v>
      </c>
      <c r="F200" s="835">
        <f t="shared" si="13"/>
        <v>0</v>
      </c>
      <c r="G200" s="835">
        <f t="shared" si="14"/>
        <v>0</v>
      </c>
      <c r="H200" s="836">
        <f>USER_TESTING_TAB!C280</f>
        <v>0.78717800058385268</v>
      </c>
      <c r="I200" s="836">
        <f>USER_TESTING_TAB!D280</f>
        <v>0.79999273541709059</v>
      </c>
      <c r="J200" s="836">
        <f>USER_TESTING_TAB!E280</f>
        <v>0.84327704734418396</v>
      </c>
      <c r="K200" s="836">
        <f>USER_TESTING_TAB!F280</f>
        <v>0.84697508896797147</v>
      </c>
    </row>
    <row r="201" spans="2:11">
      <c r="B201" s="1197"/>
      <c r="C201" s="834" t="s">
        <v>103</v>
      </c>
      <c r="D201" s="835">
        <f t="shared" si="11"/>
        <v>0</v>
      </c>
      <c r="E201" s="835">
        <f t="shared" si="12"/>
        <v>0</v>
      </c>
      <c r="F201" s="835">
        <f t="shared" si="13"/>
        <v>0</v>
      </c>
      <c r="G201" s="835">
        <f t="shared" si="14"/>
        <v>0</v>
      </c>
      <c r="H201" s="836">
        <f>USER_TESTING_TAB!C281</f>
        <v>0.65881653326097767</v>
      </c>
      <c r="I201" s="836">
        <f>USER_TESTING_TAB!D281</f>
        <v>0.73107683253731748</v>
      </c>
      <c r="J201" s="836">
        <f>USER_TESTING_TAB!E281</f>
        <v>0.8402785825362673</v>
      </c>
      <c r="K201" s="836">
        <f>USER_TESTING_TAB!F281</f>
        <v>0.91666666666666663</v>
      </c>
    </row>
    <row r="202" spans="2:11">
      <c r="B202" s="1197"/>
      <c r="C202" s="834" t="s">
        <v>559</v>
      </c>
      <c r="D202" s="835">
        <f t="shared" si="11"/>
        <v>0</v>
      </c>
      <c r="E202" s="835">
        <f t="shared" si="12"/>
        <v>0</v>
      </c>
      <c r="F202" s="835">
        <f t="shared" si="13"/>
        <v>0</v>
      </c>
      <c r="G202" s="835">
        <f t="shared" si="14"/>
        <v>0</v>
      </c>
      <c r="H202" s="836">
        <f>USER_TESTING_TAB!C282</f>
        <v>0.74761710302560469</v>
      </c>
      <c r="I202" s="836">
        <f>USER_TESTING_TAB!D282</f>
        <v>0.76937886374658615</v>
      </c>
      <c r="J202" s="836">
        <f>USER_TESTING_TAB!E282</f>
        <v>0.84629850446526622</v>
      </c>
      <c r="K202" s="836">
        <f>USER_TESTING_TAB!F282</f>
        <v>0.84697508896797147</v>
      </c>
    </row>
    <row r="203" spans="2:11">
      <c r="B203" s="1197"/>
      <c r="C203" s="834" t="s">
        <v>6</v>
      </c>
      <c r="D203" s="835">
        <f t="shared" si="11"/>
        <v>0</v>
      </c>
      <c r="E203" s="835">
        <f t="shared" si="12"/>
        <v>0</v>
      </c>
      <c r="F203" s="835">
        <f t="shared" si="13"/>
        <v>0</v>
      </c>
      <c r="G203" s="835">
        <f t="shared" si="14"/>
        <v>0</v>
      </c>
      <c r="H203" s="836">
        <f>USER_TESTING_TAB!C283</f>
        <v>0.86005772005772019</v>
      </c>
      <c r="I203" s="836">
        <f>USER_TESTING_TAB!D283</f>
        <v>0.7804603258167353</v>
      </c>
      <c r="J203" s="836">
        <f>USER_TESTING_TAB!E283</f>
        <v>0.8330717441297506</v>
      </c>
      <c r="K203" s="836">
        <f>USER_TESTING_TAB!F283</f>
        <v>0.84697508896797147</v>
      </c>
    </row>
    <row r="204" spans="2:11">
      <c r="B204" s="1197"/>
      <c r="C204" s="834" t="s">
        <v>1</v>
      </c>
      <c r="D204" s="835">
        <f t="shared" si="11"/>
        <v>0</v>
      </c>
      <c r="E204" s="835">
        <f t="shared" si="12"/>
        <v>0</v>
      </c>
      <c r="F204" s="835">
        <f t="shared" si="13"/>
        <v>0</v>
      </c>
      <c r="G204" s="835">
        <f t="shared" si="14"/>
        <v>0</v>
      </c>
      <c r="H204" s="836">
        <f>USER_TESTING_TAB!C284</f>
        <v>0.82185261195652437</v>
      </c>
      <c r="I204" s="836">
        <f>USER_TESTING_TAB!D284</f>
        <v>0.84116802780873279</v>
      </c>
      <c r="J204" s="836">
        <f>USER_TESTING_TAB!E284</f>
        <v>0.87607417569092028</v>
      </c>
      <c r="K204" s="836">
        <f>USER_TESTING_TAB!F284</f>
        <v>0.86928104575163401</v>
      </c>
    </row>
    <row r="205" spans="2:11">
      <c r="B205" s="1197"/>
      <c r="C205" s="834" t="s">
        <v>396</v>
      </c>
      <c r="D205" s="835">
        <f t="shared" si="11"/>
        <v>0</v>
      </c>
      <c r="E205" s="835">
        <f t="shared" si="12"/>
        <v>0</v>
      </c>
      <c r="F205" s="835">
        <f t="shared" si="13"/>
        <v>0</v>
      </c>
      <c r="G205" s="835">
        <f t="shared" si="14"/>
        <v>0</v>
      </c>
      <c r="H205" s="836">
        <f>USER_TESTING_TAB!C285</f>
        <v>0.78717800058385268</v>
      </c>
      <c r="I205" s="836">
        <f>USER_TESTING_TAB!D285</f>
        <v>0.72156765243098708</v>
      </c>
      <c r="J205" s="836">
        <f>USER_TESTING_TAB!E285</f>
        <v>0.90392659627953753</v>
      </c>
      <c r="K205" s="836">
        <f>USER_TESTING_TAB!F285</f>
        <v>0.84697508896797147</v>
      </c>
    </row>
    <row r="206" spans="2:11">
      <c r="B206" s="1197"/>
      <c r="C206" s="834" t="s">
        <v>4</v>
      </c>
      <c r="D206" s="835">
        <f t="shared" si="11"/>
        <v>0</v>
      </c>
      <c r="E206" s="835">
        <f t="shared" si="12"/>
        <v>0</v>
      </c>
      <c r="F206" s="835">
        <f t="shared" si="13"/>
        <v>0</v>
      </c>
      <c r="G206" s="835">
        <f t="shared" si="14"/>
        <v>0</v>
      </c>
      <c r="H206" s="836">
        <f>USER_TESTING_TAB!C286</f>
        <v>0.79881219154328398</v>
      </c>
      <c r="I206" s="836">
        <f>USER_TESTING_TAB!D286</f>
        <v>0.78077284244148115</v>
      </c>
      <c r="J206" s="836">
        <f>USER_TESTING_TAB!E286</f>
        <v>0.81802266290846237</v>
      </c>
      <c r="K206" s="836">
        <f>USER_TESTING_TAB!F286</f>
        <v>0.84697508896797147</v>
      </c>
    </row>
    <row r="207" spans="2:11">
      <c r="B207" s="1197"/>
      <c r="C207" s="834" t="s">
        <v>0</v>
      </c>
      <c r="D207" s="835">
        <f t="shared" si="11"/>
        <v>0</v>
      </c>
      <c r="E207" s="835">
        <f t="shared" si="12"/>
        <v>0</v>
      </c>
      <c r="F207" s="835">
        <f t="shared" si="13"/>
        <v>0</v>
      </c>
      <c r="G207" s="835">
        <f t="shared" si="14"/>
        <v>0</v>
      </c>
      <c r="H207" s="836">
        <f>USER_TESTING_TAB!C287</f>
        <v>0.8566362466362466</v>
      </c>
      <c r="I207" s="836">
        <f>USER_TESTING_TAB!D287</f>
        <v>0.81138406619978665</v>
      </c>
      <c r="J207" s="836">
        <f>USER_TESTING_TAB!E287</f>
        <v>0.81829882677708765</v>
      </c>
      <c r="K207" s="836">
        <f>USER_TESTING_TAB!F287</f>
        <v>0.98039215686274517</v>
      </c>
    </row>
    <row r="208" spans="2:11">
      <c r="B208" s="1197"/>
      <c r="C208" s="834" t="s">
        <v>560</v>
      </c>
      <c r="D208" s="835">
        <f t="shared" si="11"/>
        <v>0</v>
      </c>
      <c r="E208" s="835">
        <f t="shared" si="12"/>
        <v>0</v>
      </c>
      <c r="F208" s="835">
        <f t="shared" si="13"/>
        <v>0</v>
      </c>
      <c r="G208" s="835">
        <f t="shared" si="14"/>
        <v>0</v>
      </c>
      <c r="H208" s="836">
        <f>USER_TESTING_TAB!C288</f>
        <v>0.81892199098417617</v>
      </c>
      <c r="I208" s="836">
        <f>USER_TESTING_TAB!D288</f>
        <v>0.79093265467439311</v>
      </c>
      <c r="J208" s="836">
        <f>USER_TESTING_TAB!E288</f>
        <v>0.86287813739779451</v>
      </c>
      <c r="K208" s="836">
        <f>USER_TESTING_TAB!F288</f>
        <v>0.83720930232558144</v>
      </c>
    </row>
    <row r="209" spans="2:11">
      <c r="B209" s="1197"/>
      <c r="C209" s="834" t="s">
        <v>561</v>
      </c>
      <c r="D209" s="835">
        <f t="shared" si="11"/>
        <v>0</v>
      </c>
      <c r="E209" s="835">
        <f t="shared" si="12"/>
        <v>0</v>
      </c>
      <c r="F209" s="835">
        <f t="shared" si="13"/>
        <v>0</v>
      </c>
      <c r="G209" s="835">
        <f t="shared" si="14"/>
        <v>0</v>
      </c>
      <c r="H209" s="836">
        <f>USER_TESTING_TAB!C289</f>
        <v>0.82524800427535983</v>
      </c>
      <c r="I209" s="836">
        <f>USER_TESTING_TAB!D289</f>
        <v>0.7510537070633565</v>
      </c>
      <c r="J209" s="836">
        <f>USER_TESTING_TAB!E289</f>
        <v>0.82670872937990869</v>
      </c>
      <c r="K209" s="836">
        <f>USER_TESTING_TAB!F289</f>
        <v>0.875</v>
      </c>
    </row>
    <row r="210" spans="2:11">
      <c r="B210" s="1197"/>
      <c r="C210" s="834" t="s">
        <v>5</v>
      </c>
      <c r="D210" s="835">
        <f t="shared" si="11"/>
        <v>0</v>
      </c>
      <c r="E210" s="835">
        <f t="shared" si="12"/>
        <v>0</v>
      </c>
      <c r="F210" s="835">
        <f t="shared" si="13"/>
        <v>0</v>
      </c>
      <c r="G210" s="835">
        <f t="shared" si="14"/>
        <v>0</v>
      </c>
      <c r="H210" s="836">
        <f>USER_TESTING_TAB!C290</f>
        <v>0.73750000000000004</v>
      </c>
      <c r="I210" s="836">
        <f>USER_TESTING_TAB!D290</f>
        <v>0.76925947864374922</v>
      </c>
      <c r="J210" s="836">
        <f>USER_TESTING_TAB!E290</f>
        <v>0.75668462777158429</v>
      </c>
      <c r="K210" s="836">
        <f>USER_TESTING_TAB!F290</f>
        <v>0.84697508896797147</v>
      </c>
    </row>
    <row r="211" spans="2:11">
      <c r="B211" s="1197"/>
      <c r="C211" s="834" t="s">
        <v>44</v>
      </c>
      <c r="D211" s="835">
        <f t="shared" si="11"/>
        <v>0</v>
      </c>
      <c r="E211" s="835">
        <f t="shared" si="12"/>
        <v>0</v>
      </c>
      <c r="F211" s="835">
        <f t="shared" si="13"/>
        <v>0</v>
      </c>
      <c r="G211" s="835">
        <f t="shared" si="14"/>
        <v>0</v>
      </c>
      <c r="H211" s="836">
        <f>USER_TESTING_TAB!C291</f>
        <v>0.85650793650793655</v>
      </c>
      <c r="I211" s="836">
        <f>USER_TESTING_TAB!D291</f>
        <v>0.79666153962077713</v>
      </c>
      <c r="J211" s="836">
        <f>USER_TESTING_TAB!E291</f>
        <v>0.83338470718856517</v>
      </c>
      <c r="K211" s="836">
        <f>USER_TESTING_TAB!F291</f>
        <v>0.84697508896797147</v>
      </c>
    </row>
    <row r="212" spans="2:11">
      <c r="B212" s="1197"/>
      <c r="C212" s="834" t="s">
        <v>562</v>
      </c>
      <c r="D212" s="835">
        <f t="shared" si="11"/>
        <v>0</v>
      </c>
      <c r="E212" s="835">
        <f t="shared" si="12"/>
        <v>0</v>
      </c>
      <c r="F212" s="835">
        <f t="shared" si="13"/>
        <v>0</v>
      </c>
      <c r="G212" s="835">
        <f t="shared" si="14"/>
        <v>0</v>
      </c>
      <c r="H212" s="836">
        <f>USER_TESTING_TAB!C292</f>
        <v>0.73689584351738902</v>
      </c>
      <c r="I212" s="836">
        <f>USER_TESTING_TAB!D292</f>
        <v>0.74756005614387555</v>
      </c>
      <c r="J212" s="836">
        <f>USER_TESTING_TAB!E292</f>
        <v>0.74064851419979894</v>
      </c>
      <c r="K212" s="836">
        <f>USER_TESTING_TAB!F292</f>
        <v>0.81481481481481477</v>
      </c>
    </row>
    <row r="213" spans="2:11">
      <c r="B213" s="1197"/>
      <c r="C213" s="834" t="s">
        <v>2</v>
      </c>
      <c r="D213" s="835">
        <f t="shared" si="11"/>
        <v>0</v>
      </c>
      <c r="E213" s="835">
        <f t="shared" si="12"/>
        <v>0</v>
      </c>
      <c r="F213" s="835">
        <f t="shared" si="13"/>
        <v>0</v>
      </c>
      <c r="G213" s="835">
        <f t="shared" si="14"/>
        <v>0</v>
      </c>
      <c r="H213" s="836">
        <f>USER_TESTING_TAB!C293</f>
        <v>0.63095238095238093</v>
      </c>
      <c r="I213" s="836">
        <f>USER_TESTING_TAB!D293</f>
        <v>0.7620877584599417</v>
      </c>
      <c r="J213" s="836">
        <f>USER_TESTING_TAB!E293</f>
        <v>0.81904213280786509</v>
      </c>
      <c r="K213" s="836">
        <f>USER_TESTING_TAB!F293</f>
        <v>0.85185185185185186</v>
      </c>
    </row>
    <row r="214" spans="2:11">
      <c r="B214" s="1197"/>
      <c r="C214" s="834" t="s">
        <v>563</v>
      </c>
      <c r="D214" s="835">
        <f t="shared" si="11"/>
        <v>0</v>
      </c>
      <c r="E214" s="835">
        <f t="shared" si="12"/>
        <v>0</v>
      </c>
      <c r="F214" s="835">
        <f t="shared" si="13"/>
        <v>0</v>
      </c>
      <c r="G214" s="835">
        <f t="shared" si="14"/>
        <v>0</v>
      </c>
      <c r="H214" s="836">
        <f>USER_TESTING_TAB!C295</f>
        <v>0.78486815082559769</v>
      </c>
      <c r="I214" s="836">
        <f>USER_TESTING_TAB!D295</f>
        <v>0.77556243378492318</v>
      </c>
      <c r="J214" s="836">
        <f>USER_TESTING_TAB!E295</f>
        <v>0.84792135542642533</v>
      </c>
      <c r="K214" s="836">
        <f>USER_TESTING_TAB!F295</f>
        <v>0.84697508896797147</v>
      </c>
    </row>
    <row r="216" spans="2:11" ht="18">
      <c r="C216" s="39" t="s">
        <v>1131</v>
      </c>
    </row>
    <row r="218" spans="2:11">
      <c r="C218" s="76" t="s">
        <v>43</v>
      </c>
    </row>
    <row r="219" spans="2:11">
      <c r="D219" s="820" t="s">
        <v>1154</v>
      </c>
      <c r="E219" s="820"/>
      <c r="F219" s="820"/>
      <c r="G219" s="820"/>
    </row>
    <row r="220" spans="2:11">
      <c r="B220">
        <v>2</v>
      </c>
      <c r="C220" s="220" t="s">
        <v>247</v>
      </c>
      <c r="D220" s="937">
        <f>INDEX(D221:D222,$B$220)</f>
        <v>2.9954703740919249E-2</v>
      </c>
      <c r="E220" s="821"/>
      <c r="F220" s="821"/>
      <c r="G220" s="821"/>
    </row>
    <row r="221" spans="2:11">
      <c r="C221" s="221" t="s">
        <v>1157</v>
      </c>
      <c r="D221" s="938">
        <f>USER_TESTING_TAB!D323</f>
        <v>3.2317821606506855E-2</v>
      </c>
      <c r="E221" s="725"/>
      <c r="F221" s="725"/>
      <c r="G221" s="725"/>
    </row>
    <row r="222" spans="2:11">
      <c r="C222" s="221" t="s">
        <v>1156</v>
      </c>
      <c r="D222" s="938">
        <f>USER_TESTING_TAB!C323</f>
        <v>2.9954703740919249E-2</v>
      </c>
      <c r="E222" s="823"/>
      <c r="F222" s="725"/>
      <c r="G222" s="725"/>
    </row>
    <row r="223" spans="2:11">
      <c r="C223" s="819"/>
    </row>
    <row r="224" spans="2:11">
      <c r="C224" s="76" t="s">
        <v>245</v>
      </c>
    </row>
    <row r="225" spans="2:7">
      <c r="C225" s="819"/>
    </row>
    <row r="226" spans="2:7">
      <c r="B226">
        <v>2</v>
      </c>
      <c r="C226" s="221" t="s">
        <v>1157</v>
      </c>
      <c r="D226" s="117">
        <v>1</v>
      </c>
    </row>
    <row r="227" spans="2:7">
      <c r="C227" s="221" t="s">
        <v>1156</v>
      </c>
      <c r="D227" s="117">
        <f>D226+1</f>
        <v>2</v>
      </c>
    </row>
    <row r="230" spans="2:7">
      <c r="D230" s="820" t="str">
        <f>D219</f>
        <v>UQ %</v>
      </c>
      <c r="E230" s="820"/>
      <c r="F230" s="820"/>
      <c r="G230" s="820"/>
    </row>
    <row r="231" spans="2:7">
      <c r="B231" s="1198" t="s">
        <v>247</v>
      </c>
      <c r="C231" s="145" t="s">
        <v>558</v>
      </c>
      <c r="D231" s="833">
        <f t="shared" ref="D231:D249" si="15">D250+D269</f>
        <v>5.8909913433939996E-2</v>
      </c>
      <c r="E231" s="804"/>
      <c r="F231" s="804"/>
      <c r="G231" s="804"/>
    </row>
    <row r="232" spans="2:7">
      <c r="B232" s="1198"/>
      <c r="C232" s="145" t="s">
        <v>7</v>
      </c>
      <c r="D232" s="833">
        <f t="shared" si="15"/>
        <v>3.8128141845088857E-2</v>
      </c>
      <c r="E232" s="804"/>
      <c r="F232" s="804"/>
      <c r="G232" s="804"/>
    </row>
    <row r="233" spans="2:7">
      <c r="B233" s="1198"/>
      <c r="C233" s="145" t="s">
        <v>427</v>
      </c>
      <c r="D233" s="833">
        <f t="shared" si="15"/>
        <v>7.512836487244999E-2</v>
      </c>
      <c r="E233" s="804"/>
      <c r="F233" s="804"/>
      <c r="G233" s="804"/>
    </row>
    <row r="234" spans="2:7">
      <c r="B234" s="1198"/>
      <c r="C234" s="145" t="s">
        <v>3</v>
      </c>
      <c r="D234" s="833">
        <f t="shared" si="15"/>
        <v>4.670479162553192E-2</v>
      </c>
      <c r="E234" s="804"/>
      <c r="F234" s="804"/>
      <c r="G234" s="804"/>
    </row>
    <row r="235" spans="2:7">
      <c r="B235" s="1198"/>
      <c r="C235" s="145" t="s">
        <v>85</v>
      </c>
      <c r="D235" s="833">
        <f t="shared" si="15"/>
        <v>7.5860392627861428E-2</v>
      </c>
      <c r="E235" s="804"/>
      <c r="F235" s="804"/>
      <c r="G235" s="804"/>
    </row>
    <row r="236" spans="2:7">
      <c r="B236" s="1198"/>
      <c r="C236" s="145" t="s">
        <v>103</v>
      </c>
      <c r="D236" s="833">
        <f t="shared" si="15"/>
        <v>5.2800072970592159E-2</v>
      </c>
      <c r="E236" s="804"/>
      <c r="F236" s="804"/>
      <c r="G236" s="804"/>
    </row>
    <row r="237" spans="2:7">
      <c r="B237" s="1198"/>
      <c r="C237" s="145" t="s">
        <v>559</v>
      </c>
      <c r="D237" s="833">
        <f t="shared" si="15"/>
        <v>6.5282326752447217E-2</v>
      </c>
      <c r="E237" s="804"/>
      <c r="F237" s="804"/>
      <c r="G237" s="804"/>
    </row>
    <row r="238" spans="2:7">
      <c r="B238" s="1198"/>
      <c r="C238" s="145" t="s">
        <v>6</v>
      </c>
      <c r="D238" s="833">
        <f t="shared" si="15"/>
        <v>7.7019833615948927E-2</v>
      </c>
      <c r="E238" s="804"/>
      <c r="F238" s="804"/>
      <c r="G238" s="804"/>
    </row>
    <row r="239" spans="2:7">
      <c r="B239" s="1198"/>
      <c r="C239" s="145" t="s">
        <v>1</v>
      </c>
      <c r="D239" s="833">
        <f t="shared" si="15"/>
        <v>7.4381977472818855E-2</v>
      </c>
      <c r="E239" s="804"/>
      <c r="F239" s="804"/>
      <c r="G239" s="804"/>
    </row>
    <row r="240" spans="2:7">
      <c r="B240" s="1198"/>
      <c r="C240" s="145" t="s">
        <v>396</v>
      </c>
      <c r="D240" s="833">
        <f t="shared" si="15"/>
        <v>9.1713975643362672E-2</v>
      </c>
      <c r="E240" s="804"/>
      <c r="F240" s="804"/>
      <c r="G240" s="804"/>
    </row>
    <row r="241" spans="2:11">
      <c r="B241" s="1198"/>
      <c r="C241" s="145" t="s">
        <v>4</v>
      </c>
      <c r="D241" s="833">
        <f t="shared" si="15"/>
        <v>3.8255695521574838E-2</v>
      </c>
      <c r="E241" s="804"/>
      <c r="F241" s="804"/>
      <c r="G241" s="804"/>
    </row>
    <row r="242" spans="2:11">
      <c r="B242" s="1198"/>
      <c r="C242" s="145" t="s">
        <v>0</v>
      </c>
      <c r="D242" s="833">
        <f t="shared" si="15"/>
        <v>4.7545449046448432E-2</v>
      </c>
      <c r="E242" s="804"/>
      <c r="F242" s="804"/>
      <c r="G242" s="804"/>
    </row>
    <row r="243" spans="2:11">
      <c r="B243" s="1198"/>
      <c r="C243" s="145" t="s">
        <v>560</v>
      </c>
      <c r="D243" s="833">
        <f t="shared" si="15"/>
        <v>5.4870266894444894E-2</v>
      </c>
      <c r="E243" s="804"/>
      <c r="F243" s="804"/>
      <c r="G243" s="804"/>
    </row>
    <row r="244" spans="2:11">
      <c r="B244" s="1198"/>
      <c r="C244" s="145" t="s">
        <v>561</v>
      </c>
      <c r="D244" s="833">
        <f t="shared" si="15"/>
        <v>4.2484610330523712E-2</v>
      </c>
      <c r="E244" s="804"/>
      <c r="F244" s="804"/>
      <c r="G244" s="804"/>
    </row>
    <row r="245" spans="2:11">
      <c r="B245" s="1198"/>
      <c r="C245" s="145" t="s">
        <v>5</v>
      </c>
      <c r="D245" s="833">
        <f t="shared" si="15"/>
        <v>5.4208287794685298E-2</v>
      </c>
      <c r="E245" s="804"/>
      <c r="F245" s="804"/>
      <c r="G245" s="804"/>
    </row>
    <row r="246" spans="2:11">
      <c r="B246" s="1198"/>
      <c r="C246" s="145" t="s">
        <v>44</v>
      </c>
      <c r="D246" s="833">
        <f t="shared" si="15"/>
        <v>0.13067552640350238</v>
      </c>
      <c r="E246" s="804"/>
      <c r="F246" s="804"/>
      <c r="G246" s="804"/>
    </row>
    <row r="247" spans="2:11">
      <c r="B247" s="1198"/>
      <c r="C247" s="145" t="s">
        <v>562</v>
      </c>
      <c r="D247" s="839">
        <f t="shared" si="15"/>
        <v>3.9179398730569838E-2</v>
      </c>
      <c r="E247" s="804"/>
      <c r="F247" s="804"/>
      <c r="G247" s="804"/>
    </row>
    <row r="248" spans="2:11">
      <c r="B248" s="1198"/>
      <c r="C248" s="145" t="s">
        <v>2</v>
      </c>
      <c r="D248" s="839">
        <f t="shared" si="15"/>
        <v>3.6027952926980522E-2</v>
      </c>
      <c r="E248" s="804"/>
      <c r="F248" s="804"/>
      <c r="G248" s="804"/>
    </row>
    <row r="249" spans="2:11">
      <c r="B249" s="1198"/>
      <c r="C249" s="145" t="s">
        <v>563</v>
      </c>
      <c r="D249" s="839">
        <f t="shared" si="15"/>
        <v>4.6192057701311899E-2</v>
      </c>
      <c r="E249" s="804"/>
      <c r="F249" s="804"/>
      <c r="G249" s="804"/>
    </row>
    <row r="250" spans="2:11">
      <c r="B250" s="1196" t="s">
        <v>1157</v>
      </c>
      <c r="C250" s="133" t="s">
        <v>558</v>
      </c>
      <c r="D250" s="837">
        <f t="shared" ref="D250:D268" si="16">IF($B$226=$D$226,E250,0)</f>
        <v>0</v>
      </c>
      <c r="E250" s="837">
        <f>USER_TESTING_TAB!D324</f>
        <v>5.8909913433939989E-2</v>
      </c>
      <c r="F250" s="804"/>
      <c r="G250" s="804"/>
      <c r="H250" s="187"/>
      <c r="I250" s="187"/>
      <c r="J250" s="187"/>
      <c r="K250" s="187"/>
    </row>
    <row r="251" spans="2:11">
      <c r="B251" s="1196"/>
      <c r="C251" s="133" t="s">
        <v>7</v>
      </c>
      <c r="D251" s="837">
        <f t="shared" si="16"/>
        <v>0</v>
      </c>
      <c r="E251" s="837">
        <f>USER_TESTING_TAB!D325</f>
        <v>4.4987444247105948E-2</v>
      </c>
      <c r="F251" s="804"/>
      <c r="G251" s="804"/>
      <c r="H251" s="187"/>
      <c r="I251" s="187"/>
      <c r="J251" s="187"/>
      <c r="K251" s="187"/>
    </row>
    <row r="252" spans="2:11">
      <c r="B252" s="1196"/>
      <c r="C252" s="133" t="s">
        <v>427</v>
      </c>
      <c r="D252" s="837">
        <f t="shared" si="16"/>
        <v>0</v>
      </c>
      <c r="E252" s="837">
        <f>USER_TESTING_TAB!D326</f>
        <v>8.9937528219950894E-2</v>
      </c>
      <c r="F252" s="804"/>
      <c r="G252" s="804"/>
      <c r="H252" s="187"/>
      <c r="I252" s="187"/>
      <c r="J252" s="187"/>
      <c r="K252" s="187"/>
    </row>
    <row r="253" spans="2:11">
      <c r="B253" s="1196"/>
      <c r="C253" s="133" t="s">
        <v>3</v>
      </c>
      <c r="D253" s="837">
        <f t="shared" si="16"/>
        <v>0</v>
      </c>
      <c r="E253" s="837">
        <f>USER_TESTING_TAB!D327</f>
        <v>4.670479162553192E-2</v>
      </c>
      <c r="F253" s="804"/>
      <c r="G253" s="804"/>
      <c r="H253" s="187"/>
      <c r="I253" s="187"/>
      <c r="J253" s="187"/>
      <c r="K253" s="187"/>
    </row>
    <row r="254" spans="2:11">
      <c r="B254" s="1196"/>
      <c r="C254" s="133" t="s">
        <v>85</v>
      </c>
      <c r="D254" s="837">
        <f t="shared" si="16"/>
        <v>0</v>
      </c>
      <c r="E254" s="837">
        <f>USER_TESTING_TAB!D328</f>
        <v>7.6989973421734165E-2</v>
      </c>
      <c r="F254" s="804"/>
      <c r="G254" s="804"/>
      <c r="H254" s="187"/>
      <c r="I254" s="187"/>
      <c r="J254" s="187"/>
      <c r="K254" s="187"/>
    </row>
    <row r="255" spans="2:11">
      <c r="B255" s="1196"/>
      <c r="C255" s="133" t="s">
        <v>103</v>
      </c>
      <c r="D255" s="837">
        <f t="shared" si="16"/>
        <v>0</v>
      </c>
      <c r="E255" s="837">
        <f>USER_TESTING_TAB!D329</f>
        <v>5.2855896502138587E-2</v>
      </c>
      <c r="F255" s="804"/>
      <c r="G255" s="804"/>
      <c r="H255" s="187"/>
      <c r="I255" s="187"/>
      <c r="J255" s="187"/>
      <c r="K255" s="187"/>
    </row>
    <row r="256" spans="2:11">
      <c r="B256" s="1196"/>
      <c r="C256" s="133" t="s">
        <v>559</v>
      </c>
      <c r="D256" s="837">
        <f t="shared" si="16"/>
        <v>0</v>
      </c>
      <c r="E256" s="837">
        <f>USER_TESTING_TAB!D330</f>
        <v>7.0068710490649042E-2</v>
      </c>
      <c r="F256" s="804"/>
      <c r="G256" s="804"/>
      <c r="H256" s="187"/>
      <c r="I256" s="187"/>
      <c r="J256" s="187"/>
      <c r="K256" s="187"/>
    </row>
    <row r="257" spans="2:11">
      <c r="B257" s="1196"/>
      <c r="C257" s="133" t="s">
        <v>6</v>
      </c>
      <c r="D257" s="837">
        <f t="shared" si="16"/>
        <v>0</v>
      </c>
      <c r="E257" s="837">
        <f>USER_TESTING_TAB!D331</f>
        <v>8.1708264281807358E-2</v>
      </c>
      <c r="F257" s="804"/>
      <c r="G257" s="804"/>
      <c r="H257" s="187"/>
      <c r="I257" s="187"/>
      <c r="J257" s="187"/>
      <c r="K257" s="187"/>
    </row>
    <row r="258" spans="2:11">
      <c r="B258" s="1196"/>
      <c r="C258" s="133" t="s">
        <v>1</v>
      </c>
      <c r="D258" s="837">
        <f t="shared" si="16"/>
        <v>0</v>
      </c>
      <c r="E258" s="837">
        <f>USER_TESTING_TAB!D332</f>
        <v>7.9325423722273622E-2</v>
      </c>
      <c r="F258" s="804"/>
      <c r="G258" s="804"/>
      <c r="H258" s="187"/>
      <c r="I258" s="187"/>
      <c r="J258" s="187"/>
      <c r="K258" s="187"/>
    </row>
    <row r="259" spans="2:11">
      <c r="B259" s="1196"/>
      <c r="C259" s="133" t="s">
        <v>396</v>
      </c>
      <c r="D259" s="837">
        <f t="shared" si="16"/>
        <v>0</v>
      </c>
      <c r="E259" s="837">
        <f>USER_TESTING_TAB!D333</f>
        <v>9.1713975643362672E-2</v>
      </c>
      <c r="F259" s="804"/>
      <c r="G259" s="804"/>
      <c r="H259" s="187"/>
      <c r="I259" s="187"/>
      <c r="J259" s="187"/>
      <c r="K259" s="187"/>
    </row>
    <row r="260" spans="2:11">
      <c r="B260" s="1196"/>
      <c r="C260" s="133" t="s">
        <v>4</v>
      </c>
      <c r="D260" s="837">
        <f t="shared" si="16"/>
        <v>0</v>
      </c>
      <c r="E260" s="837">
        <f>USER_TESTING_TAB!D334</f>
        <v>4.5447407382442052E-2</v>
      </c>
      <c r="F260" s="804"/>
      <c r="G260" s="804"/>
      <c r="H260" s="187"/>
      <c r="I260" s="187"/>
      <c r="J260" s="187"/>
      <c r="K260" s="187"/>
    </row>
    <row r="261" spans="2:11">
      <c r="B261" s="1196"/>
      <c r="C261" s="133" t="s">
        <v>0</v>
      </c>
      <c r="D261" s="837">
        <f t="shared" si="16"/>
        <v>0</v>
      </c>
      <c r="E261" s="837">
        <f>USER_TESTING_TAB!D335</f>
        <v>4.7545449046448432E-2</v>
      </c>
      <c r="F261" s="804"/>
      <c r="G261" s="804"/>
      <c r="H261" s="187"/>
      <c r="I261" s="187"/>
      <c r="J261" s="187"/>
      <c r="K261" s="187"/>
    </row>
    <row r="262" spans="2:11">
      <c r="B262" s="1196"/>
      <c r="C262" s="133" t="s">
        <v>560</v>
      </c>
      <c r="D262" s="837">
        <f t="shared" si="16"/>
        <v>0</v>
      </c>
      <c r="E262" s="837">
        <f>USER_TESTING_TAB!D336</f>
        <v>6.06980594497162E-2</v>
      </c>
      <c r="F262" s="804"/>
      <c r="G262" s="804"/>
      <c r="H262" s="187"/>
      <c r="I262" s="187"/>
      <c r="J262" s="187"/>
      <c r="K262" s="187"/>
    </row>
    <row r="263" spans="2:11">
      <c r="B263" s="1196"/>
      <c r="C263" s="133" t="s">
        <v>561</v>
      </c>
      <c r="D263" s="837">
        <f t="shared" si="16"/>
        <v>0</v>
      </c>
      <c r="E263" s="837">
        <f>USER_TESTING_TAB!D337</f>
        <v>4.2484610330523712E-2</v>
      </c>
      <c r="F263" s="804"/>
      <c r="G263" s="804"/>
      <c r="H263" s="187"/>
      <c r="I263" s="187"/>
      <c r="J263" s="187"/>
      <c r="K263" s="187"/>
    </row>
    <row r="264" spans="2:11">
      <c r="B264" s="1196"/>
      <c r="C264" s="133" t="s">
        <v>5</v>
      </c>
      <c r="D264" s="837">
        <f t="shared" si="16"/>
        <v>0</v>
      </c>
      <c r="E264" s="837">
        <f>USER_TESTING_TAB!D338</f>
        <v>5.4208287794685298E-2</v>
      </c>
      <c r="F264" s="804"/>
      <c r="G264" s="804"/>
      <c r="H264" s="187"/>
      <c r="I264" s="187"/>
      <c r="J264" s="187"/>
      <c r="K264" s="187"/>
    </row>
    <row r="265" spans="2:11">
      <c r="B265" s="1196"/>
      <c r="C265" s="133" t="s">
        <v>44</v>
      </c>
      <c r="D265" s="837">
        <f t="shared" si="16"/>
        <v>0</v>
      </c>
      <c r="E265" s="837">
        <f>USER_TESTING_TAB!D339</f>
        <v>0.14140263124531968</v>
      </c>
      <c r="F265" s="804"/>
      <c r="G265" s="804"/>
      <c r="H265" s="187"/>
      <c r="I265" s="187"/>
      <c r="J265" s="187"/>
      <c r="K265" s="187"/>
    </row>
    <row r="266" spans="2:11">
      <c r="B266" s="1196"/>
      <c r="C266" s="133" t="s">
        <v>562</v>
      </c>
      <c r="D266" s="837">
        <f t="shared" si="16"/>
        <v>0</v>
      </c>
      <c r="E266" s="837">
        <f>USER_TESTING_TAB!D340</f>
        <v>4.0554482856812103E-2</v>
      </c>
      <c r="F266" s="804"/>
      <c r="G266" s="804"/>
      <c r="H266" s="187"/>
      <c r="I266" s="187"/>
      <c r="J266" s="187"/>
      <c r="K266" s="187"/>
    </row>
    <row r="267" spans="2:11">
      <c r="B267" s="1196"/>
      <c r="C267" s="133" t="s">
        <v>2</v>
      </c>
      <c r="D267" s="837">
        <f t="shared" si="16"/>
        <v>0</v>
      </c>
      <c r="E267" s="837">
        <f>USER_TESTING_TAB!D341</f>
        <v>3.6027952926980522E-2</v>
      </c>
      <c r="F267" s="804"/>
      <c r="G267" s="804"/>
      <c r="H267" s="187"/>
      <c r="I267" s="187"/>
      <c r="J267" s="187"/>
      <c r="K267" s="187"/>
    </row>
    <row r="268" spans="2:11">
      <c r="B268" s="1196"/>
      <c r="C268" s="133" t="s">
        <v>563</v>
      </c>
      <c r="D268" s="837">
        <f t="shared" si="16"/>
        <v>0</v>
      </c>
      <c r="E268" s="837">
        <f>USER_TESTING_TAB!D342</f>
        <v>5.4457156366481005E-2</v>
      </c>
      <c r="F268" s="804"/>
      <c r="G268" s="804"/>
      <c r="H268" s="187"/>
      <c r="I268" s="187"/>
      <c r="J268" s="187"/>
      <c r="K268" s="187"/>
    </row>
    <row r="269" spans="2:11">
      <c r="B269" s="1197" t="s">
        <v>1156</v>
      </c>
      <c r="C269" s="834" t="s">
        <v>558</v>
      </c>
      <c r="D269" s="835">
        <f t="shared" ref="D269:D287" si="17">IF($B$226=$D$227,E269,0)</f>
        <v>5.8909913433939996E-2</v>
      </c>
      <c r="E269" s="835">
        <f>USER_TESTING_TAB!C324</f>
        <v>5.8909913433939996E-2</v>
      </c>
      <c r="F269" s="804"/>
      <c r="G269" s="804"/>
      <c r="H269" s="187"/>
      <c r="I269" s="187"/>
      <c r="J269" s="187"/>
      <c r="K269" s="187"/>
    </row>
    <row r="270" spans="2:11">
      <c r="B270" s="1197"/>
      <c r="C270" s="834" t="s">
        <v>7</v>
      </c>
      <c r="D270" s="835">
        <f t="shared" si="17"/>
        <v>3.8128141845088857E-2</v>
      </c>
      <c r="E270" s="835">
        <f>USER_TESTING_TAB!C325</f>
        <v>3.8128141845088857E-2</v>
      </c>
      <c r="F270" s="804"/>
      <c r="G270" s="804"/>
      <c r="H270" s="187"/>
      <c r="I270" s="187"/>
      <c r="J270" s="187"/>
      <c r="K270" s="187"/>
    </row>
    <row r="271" spans="2:11">
      <c r="B271" s="1197"/>
      <c r="C271" s="834" t="s">
        <v>427</v>
      </c>
      <c r="D271" s="835">
        <f t="shared" si="17"/>
        <v>7.512836487244999E-2</v>
      </c>
      <c r="E271" s="835">
        <f>USER_TESTING_TAB!C326</f>
        <v>7.512836487244999E-2</v>
      </c>
      <c r="F271" s="804"/>
      <c r="G271" s="804"/>
      <c r="H271" s="187"/>
      <c r="I271" s="187"/>
      <c r="J271" s="187"/>
      <c r="K271" s="187"/>
    </row>
    <row r="272" spans="2:11">
      <c r="B272" s="1197"/>
      <c r="C272" s="834" t="s">
        <v>3</v>
      </c>
      <c r="D272" s="835">
        <f t="shared" si="17"/>
        <v>4.670479162553192E-2</v>
      </c>
      <c r="E272" s="835">
        <f>USER_TESTING_TAB!C327</f>
        <v>4.670479162553192E-2</v>
      </c>
      <c r="F272" s="804"/>
      <c r="G272" s="804"/>
      <c r="H272" s="187"/>
      <c r="I272" s="187"/>
      <c r="J272" s="187"/>
      <c r="K272" s="187"/>
    </row>
    <row r="273" spans="2:11">
      <c r="B273" s="1197"/>
      <c r="C273" s="834" t="s">
        <v>85</v>
      </c>
      <c r="D273" s="835">
        <f t="shared" si="17"/>
        <v>7.5860392627861428E-2</v>
      </c>
      <c r="E273" s="835">
        <f>USER_TESTING_TAB!C328</f>
        <v>7.5860392627861428E-2</v>
      </c>
      <c r="F273" s="804"/>
      <c r="G273" s="804"/>
      <c r="H273" s="187"/>
      <c r="I273" s="187"/>
      <c r="J273" s="187"/>
      <c r="K273" s="187"/>
    </row>
    <row r="274" spans="2:11">
      <c r="B274" s="1197"/>
      <c r="C274" s="834" t="s">
        <v>103</v>
      </c>
      <c r="D274" s="835">
        <f t="shared" si="17"/>
        <v>5.2800072970592159E-2</v>
      </c>
      <c r="E274" s="835">
        <f>USER_TESTING_TAB!C329</f>
        <v>5.2800072970592159E-2</v>
      </c>
      <c r="F274" s="804"/>
      <c r="G274" s="804"/>
      <c r="H274" s="187"/>
      <c r="I274" s="187"/>
      <c r="J274" s="187"/>
      <c r="K274" s="187"/>
    </row>
    <row r="275" spans="2:11">
      <c r="B275" s="1197"/>
      <c r="C275" s="834" t="s">
        <v>559</v>
      </c>
      <c r="D275" s="835">
        <f t="shared" si="17"/>
        <v>6.5282326752447217E-2</v>
      </c>
      <c r="E275" s="835">
        <f>USER_TESTING_TAB!C330</f>
        <v>6.5282326752447217E-2</v>
      </c>
      <c r="F275" s="804"/>
      <c r="G275" s="804"/>
      <c r="H275" s="187"/>
      <c r="I275" s="187"/>
      <c r="J275" s="187"/>
      <c r="K275" s="187"/>
    </row>
    <row r="276" spans="2:11">
      <c r="B276" s="1197"/>
      <c r="C276" s="834" t="s">
        <v>6</v>
      </c>
      <c r="D276" s="835">
        <f t="shared" si="17"/>
        <v>7.7019833615948927E-2</v>
      </c>
      <c r="E276" s="835">
        <f>USER_TESTING_TAB!C331</f>
        <v>7.7019833615948927E-2</v>
      </c>
      <c r="F276" s="804"/>
      <c r="G276" s="804"/>
      <c r="H276" s="187"/>
      <c r="I276" s="187"/>
      <c r="J276" s="187"/>
      <c r="K276" s="187"/>
    </row>
    <row r="277" spans="2:11">
      <c r="B277" s="1197"/>
      <c r="C277" s="834" t="s">
        <v>1</v>
      </c>
      <c r="D277" s="835">
        <f t="shared" si="17"/>
        <v>7.4381977472818855E-2</v>
      </c>
      <c r="E277" s="835">
        <f>USER_TESTING_TAB!C332</f>
        <v>7.4381977472818855E-2</v>
      </c>
      <c r="F277" s="804"/>
      <c r="G277" s="804"/>
      <c r="H277" s="187"/>
      <c r="I277" s="187"/>
      <c r="J277" s="187"/>
      <c r="K277" s="187"/>
    </row>
    <row r="278" spans="2:11">
      <c r="B278" s="1197"/>
      <c r="C278" s="834" t="s">
        <v>396</v>
      </c>
      <c r="D278" s="835">
        <f t="shared" si="17"/>
        <v>9.1713975643362672E-2</v>
      </c>
      <c r="E278" s="835">
        <f>USER_TESTING_TAB!C333</f>
        <v>9.1713975643362672E-2</v>
      </c>
      <c r="F278" s="804"/>
      <c r="G278" s="804"/>
      <c r="H278" s="187"/>
      <c r="I278" s="187"/>
      <c r="J278" s="187"/>
      <c r="K278" s="187"/>
    </row>
    <row r="279" spans="2:11">
      <c r="B279" s="1197"/>
      <c r="C279" s="834" t="s">
        <v>4</v>
      </c>
      <c r="D279" s="835">
        <f t="shared" si="17"/>
        <v>3.8255695521574838E-2</v>
      </c>
      <c r="E279" s="835">
        <f>USER_TESTING_TAB!C334</f>
        <v>3.8255695521574838E-2</v>
      </c>
      <c r="F279" s="804"/>
      <c r="G279" s="804"/>
      <c r="H279" s="187"/>
      <c r="I279" s="187"/>
      <c r="J279" s="187"/>
      <c r="K279" s="187"/>
    </row>
    <row r="280" spans="2:11">
      <c r="B280" s="1197"/>
      <c r="C280" s="834" t="s">
        <v>0</v>
      </c>
      <c r="D280" s="835">
        <f t="shared" si="17"/>
        <v>4.7545449046448432E-2</v>
      </c>
      <c r="E280" s="835">
        <f>USER_TESTING_TAB!C335</f>
        <v>4.7545449046448432E-2</v>
      </c>
      <c r="F280" s="804"/>
      <c r="G280" s="804"/>
      <c r="H280" s="187"/>
      <c r="I280" s="187"/>
      <c r="J280" s="187"/>
      <c r="K280" s="187"/>
    </row>
    <row r="281" spans="2:11">
      <c r="B281" s="1197"/>
      <c r="C281" s="834" t="s">
        <v>560</v>
      </c>
      <c r="D281" s="835">
        <f t="shared" si="17"/>
        <v>5.4870266894444894E-2</v>
      </c>
      <c r="E281" s="835">
        <f>USER_TESTING_TAB!C336</f>
        <v>5.4870266894444894E-2</v>
      </c>
      <c r="F281" s="804"/>
      <c r="G281" s="804"/>
      <c r="H281" s="187"/>
      <c r="I281" s="187"/>
      <c r="J281" s="187"/>
      <c r="K281" s="187"/>
    </row>
    <row r="282" spans="2:11">
      <c r="B282" s="1197"/>
      <c r="C282" s="834" t="s">
        <v>561</v>
      </c>
      <c r="D282" s="835">
        <f t="shared" si="17"/>
        <v>4.2484610330523712E-2</v>
      </c>
      <c r="E282" s="835">
        <f>USER_TESTING_TAB!C337</f>
        <v>4.2484610330523712E-2</v>
      </c>
      <c r="F282" s="804"/>
      <c r="G282" s="804"/>
      <c r="H282" s="187"/>
      <c r="I282" s="187"/>
      <c r="J282" s="187"/>
      <c r="K282" s="187"/>
    </row>
    <row r="283" spans="2:11">
      <c r="B283" s="1197"/>
      <c r="C283" s="834" t="s">
        <v>5</v>
      </c>
      <c r="D283" s="835">
        <f t="shared" si="17"/>
        <v>5.4208287794685298E-2</v>
      </c>
      <c r="E283" s="835">
        <f>USER_TESTING_TAB!C338</f>
        <v>5.4208287794685298E-2</v>
      </c>
      <c r="F283" s="804"/>
      <c r="G283" s="804"/>
      <c r="H283" s="187"/>
      <c r="I283" s="187"/>
      <c r="J283" s="187"/>
      <c r="K283" s="187"/>
    </row>
    <row r="284" spans="2:11">
      <c r="B284" s="1197"/>
      <c r="C284" s="834" t="s">
        <v>44</v>
      </c>
      <c r="D284" s="835">
        <f t="shared" si="17"/>
        <v>0.13067552640350238</v>
      </c>
      <c r="E284" s="835">
        <f>USER_TESTING_TAB!C339</f>
        <v>0.13067552640350238</v>
      </c>
      <c r="F284" s="804"/>
      <c r="G284" s="804"/>
      <c r="H284" s="187"/>
      <c r="I284" s="187"/>
      <c r="J284" s="187"/>
      <c r="K284" s="187"/>
    </row>
    <row r="285" spans="2:11">
      <c r="B285" s="1197"/>
      <c r="C285" s="834" t="s">
        <v>562</v>
      </c>
      <c r="D285" s="835">
        <f t="shared" si="17"/>
        <v>3.9179398730569838E-2</v>
      </c>
      <c r="E285" s="835">
        <f>USER_TESTING_TAB!C340</f>
        <v>3.9179398730569838E-2</v>
      </c>
      <c r="F285" s="804"/>
      <c r="G285" s="804"/>
      <c r="H285" s="187"/>
      <c r="I285" s="187"/>
      <c r="J285" s="187"/>
      <c r="K285" s="187"/>
    </row>
    <row r="286" spans="2:11">
      <c r="B286" s="1197"/>
      <c r="C286" s="834" t="s">
        <v>2</v>
      </c>
      <c r="D286" s="835">
        <f t="shared" si="17"/>
        <v>3.6027952926980522E-2</v>
      </c>
      <c r="E286" s="835">
        <f>USER_TESTING_TAB!C341</f>
        <v>3.6027952926980522E-2</v>
      </c>
      <c r="F286" s="804"/>
      <c r="G286" s="804"/>
      <c r="H286" s="187"/>
      <c r="I286" s="187"/>
      <c r="J286" s="187"/>
      <c r="K286" s="187"/>
    </row>
    <row r="287" spans="2:11">
      <c r="B287" s="1197"/>
      <c r="C287" s="834" t="s">
        <v>563</v>
      </c>
      <c r="D287" s="835">
        <f t="shared" si="17"/>
        <v>4.6192057701311899E-2</v>
      </c>
      <c r="E287" s="835">
        <f>USER_TESTING_TAB!C342</f>
        <v>4.6192057701311899E-2</v>
      </c>
      <c r="F287" s="804"/>
      <c r="G287" s="804"/>
      <c r="H287" s="187"/>
      <c r="I287" s="187"/>
      <c r="J287" s="187"/>
      <c r="K287" s="187"/>
    </row>
    <row r="289" spans="2:14">
      <c r="B289" s="12" t="s">
        <v>1673</v>
      </c>
    </row>
    <row r="291" spans="2:14">
      <c r="B291" s="12" t="s">
        <v>1227</v>
      </c>
    </row>
    <row r="293" spans="2:14" ht="102">
      <c r="B293" s="875"/>
      <c r="C293" s="186" t="s">
        <v>62</v>
      </c>
      <c r="D293" s="870" t="s">
        <v>1608</v>
      </c>
      <c r="E293" s="152" t="s">
        <v>1274</v>
      </c>
      <c r="F293" s="141" t="s">
        <v>1228</v>
      </c>
      <c r="G293" s="262" t="s">
        <v>1229</v>
      </c>
      <c r="L293" s="152" t="s">
        <v>1230</v>
      </c>
    </row>
    <row r="294" spans="2:14">
      <c r="C294" s="186" t="s">
        <v>43</v>
      </c>
      <c r="D294" s="444">
        <f>Calc_Primary_teacher_need!O63</f>
        <v>242289.97801032916</v>
      </c>
      <c r="E294" s="876">
        <v>241699.73776289218</v>
      </c>
      <c r="F294" s="324">
        <f>D294-E294</f>
        <v>590.24024743697373</v>
      </c>
      <c r="G294" s="877">
        <v>0</v>
      </c>
      <c r="L294" s="324">
        <f>IF(B220=1,G294,F294)</f>
        <v>590.24024743697373</v>
      </c>
    </row>
    <row r="295" spans="2:14">
      <c r="C295" s="186" t="s">
        <v>558</v>
      </c>
      <c r="D295" s="444">
        <f>Teacher_need_by_subject!C620</f>
        <v>8310.5880067254166</v>
      </c>
      <c r="E295" s="307">
        <v>8310.5880067254166</v>
      </c>
      <c r="F295" s="324">
        <f t="shared" ref="F295:F313" si="18">D295-E295</f>
        <v>0</v>
      </c>
      <c r="G295" s="877">
        <v>0</v>
      </c>
      <c r="L295" s="324">
        <f>IF($B$226=1,G295,F295)</f>
        <v>0</v>
      </c>
    </row>
    <row r="296" spans="2:14">
      <c r="C296" s="186" t="s">
        <v>7</v>
      </c>
      <c r="D296" s="444">
        <f>Teacher_need_by_subject!C621</f>
        <v>12786.987412851919</v>
      </c>
      <c r="E296" s="307">
        <v>12695.80082418949</v>
      </c>
      <c r="F296" s="324">
        <f t="shared" si="18"/>
        <v>91.186588662429131</v>
      </c>
      <c r="G296" s="877">
        <v>0</v>
      </c>
      <c r="L296" s="324">
        <f t="shared" ref="L296:L312" si="19">IF($B$226=1,G296,F296)</f>
        <v>91.186588662429131</v>
      </c>
      <c r="N296" s="12"/>
    </row>
    <row r="297" spans="2:14">
      <c r="C297" s="186" t="s">
        <v>427</v>
      </c>
      <c r="D297" s="444">
        <f>Teacher_need_by_subject!C622</f>
        <v>4112.7854114647489</v>
      </c>
      <c r="E297" s="307">
        <v>4046.9309634978154</v>
      </c>
      <c r="F297" s="324">
        <f t="shared" si="18"/>
        <v>65.854447966933549</v>
      </c>
      <c r="G297" s="877">
        <v>0</v>
      </c>
      <c r="L297" s="324">
        <f t="shared" si="19"/>
        <v>65.854447966933549</v>
      </c>
      <c r="N297" s="12"/>
    </row>
    <row r="298" spans="2:14">
      <c r="C298" s="186" t="s">
        <v>3</v>
      </c>
      <c r="D298" s="444">
        <f>Teacher_need_by_subject!C623</f>
        <v>11068.508981061603</v>
      </c>
      <c r="E298" s="307">
        <v>11068.508981061603</v>
      </c>
      <c r="F298" s="324">
        <f t="shared" si="18"/>
        <v>0</v>
      </c>
      <c r="G298" s="877">
        <v>0</v>
      </c>
      <c r="L298" s="324">
        <f t="shared" si="19"/>
        <v>0</v>
      </c>
    </row>
    <row r="299" spans="2:14">
      <c r="C299" s="186" t="s">
        <v>85</v>
      </c>
      <c r="D299" s="444">
        <f>Teacher_need_by_subject!C624</f>
        <v>318.24964480117319</v>
      </c>
      <c r="E299" s="307">
        <v>317.86064655506789</v>
      </c>
      <c r="F299" s="324">
        <f t="shared" si="18"/>
        <v>0.38899824610530231</v>
      </c>
      <c r="G299" s="877">
        <v>0</v>
      </c>
      <c r="L299" s="324">
        <f t="shared" si="19"/>
        <v>0.38899824610530231</v>
      </c>
    </row>
    <row r="300" spans="2:14">
      <c r="C300" s="186" t="s">
        <v>103</v>
      </c>
      <c r="D300" s="444">
        <f>Teacher_need_by_subject!C625</f>
        <v>7510.2346856737895</v>
      </c>
      <c r="E300" s="307">
        <v>7509.792067583423</v>
      </c>
      <c r="F300" s="324">
        <f t="shared" si="18"/>
        <v>0.44261809036652267</v>
      </c>
      <c r="G300" s="877">
        <v>0</v>
      </c>
      <c r="L300" s="324">
        <f t="shared" si="19"/>
        <v>0.44261809036652267</v>
      </c>
    </row>
    <row r="301" spans="2:14">
      <c r="C301" s="186" t="s">
        <v>559</v>
      </c>
      <c r="D301" s="444">
        <f>Teacher_need_by_subject!C626</f>
        <v>10441.074820779617</v>
      </c>
      <c r="E301" s="307">
        <v>10387.609488774182</v>
      </c>
      <c r="F301" s="324">
        <f t="shared" si="18"/>
        <v>53.465332005434902</v>
      </c>
      <c r="G301" s="877">
        <v>0</v>
      </c>
      <c r="L301" s="324">
        <f t="shared" si="19"/>
        <v>53.465332005434902</v>
      </c>
    </row>
    <row r="302" spans="2:14">
      <c r="C302" s="186" t="s">
        <v>6</v>
      </c>
      <c r="D302" s="444">
        <f>Teacher_need_by_subject!C627</f>
        <v>4997.2888230103827</v>
      </c>
      <c r="E302" s="307">
        <v>4971.9042665298866</v>
      </c>
      <c r="F302" s="324">
        <f t="shared" si="18"/>
        <v>25.38455648049603</v>
      </c>
      <c r="G302" s="877">
        <v>0</v>
      </c>
      <c r="L302" s="324">
        <f t="shared" si="19"/>
        <v>25.38455648049603</v>
      </c>
    </row>
    <row r="303" spans="2:14">
      <c r="C303" s="186" t="s">
        <v>1</v>
      </c>
      <c r="D303" s="444">
        <f>Teacher_need_by_subject!C628</f>
        <v>30045.430109827248</v>
      </c>
      <c r="E303" s="307">
        <v>29884.966543674811</v>
      </c>
      <c r="F303" s="324">
        <f t="shared" si="18"/>
        <v>160.46356615243712</v>
      </c>
      <c r="G303" s="877">
        <v>0</v>
      </c>
      <c r="L303" s="324">
        <f t="shared" si="19"/>
        <v>160.46356615243712</v>
      </c>
    </row>
    <row r="304" spans="2:14">
      <c r="C304" s="186" t="s">
        <v>396</v>
      </c>
      <c r="D304" s="444">
        <f>Teacher_need_by_subject!C629</f>
        <v>2075.8992087342663</v>
      </c>
      <c r="E304" s="307">
        <v>2075.8992087342663</v>
      </c>
      <c r="F304" s="324">
        <f t="shared" si="18"/>
        <v>0</v>
      </c>
      <c r="G304" s="877">
        <v>0</v>
      </c>
      <c r="L304" s="324">
        <f t="shared" si="19"/>
        <v>0</v>
      </c>
    </row>
    <row r="305" spans="3:12">
      <c r="C305" s="186" t="s">
        <v>4</v>
      </c>
      <c r="D305" s="444">
        <f>Teacher_need_by_subject!C630</f>
        <v>10518.362186302702</v>
      </c>
      <c r="E305" s="307">
        <v>10439.70819299088</v>
      </c>
      <c r="F305" s="324">
        <f t="shared" si="18"/>
        <v>78.653993311821978</v>
      </c>
      <c r="G305" s="877">
        <v>0</v>
      </c>
      <c r="L305" s="324">
        <f t="shared" si="19"/>
        <v>78.653993311821978</v>
      </c>
    </row>
    <row r="306" spans="3:12">
      <c r="C306" s="186" t="s">
        <v>0</v>
      </c>
      <c r="D306" s="444">
        <f>Teacher_need_by_subject!C631</f>
        <v>11192.678423023735</v>
      </c>
      <c r="E306" s="307">
        <v>11192.678423023735</v>
      </c>
      <c r="F306" s="324">
        <f t="shared" si="18"/>
        <v>0</v>
      </c>
      <c r="G306" s="877">
        <v>0</v>
      </c>
      <c r="L306" s="324">
        <f t="shared" si="19"/>
        <v>0</v>
      </c>
    </row>
    <row r="307" spans="3:12">
      <c r="C307" s="186" t="s">
        <v>560</v>
      </c>
      <c r="D307" s="444">
        <f>Teacher_need_by_subject!C632</f>
        <v>31128.110157317467</v>
      </c>
      <c r="E307" s="307">
        <v>30936.170191532663</v>
      </c>
      <c r="F307" s="324">
        <f t="shared" si="18"/>
        <v>191.93996578480437</v>
      </c>
      <c r="G307" s="877">
        <v>0</v>
      </c>
      <c r="L307" s="324">
        <f t="shared" si="19"/>
        <v>191.93996578480437</v>
      </c>
    </row>
    <row r="308" spans="3:12">
      <c r="C308" s="186" t="s">
        <v>561</v>
      </c>
      <c r="D308" s="444">
        <f>Teacher_need_by_subject!C633</f>
        <v>14939.764306075618</v>
      </c>
      <c r="E308" s="307">
        <v>14939.764306075618</v>
      </c>
      <c r="F308" s="324">
        <f t="shared" si="18"/>
        <v>0</v>
      </c>
      <c r="G308" s="877">
        <v>0</v>
      </c>
      <c r="L308" s="324">
        <f t="shared" si="19"/>
        <v>0</v>
      </c>
    </row>
    <row r="309" spans="3:12">
      <c r="C309" s="186" t="s">
        <v>5</v>
      </c>
      <c r="D309" s="444">
        <f>Teacher_need_by_subject!C634</f>
        <v>5182.1227072399643</v>
      </c>
      <c r="E309" s="307">
        <v>5182.1227072399643</v>
      </c>
      <c r="F309" s="324">
        <f t="shared" si="18"/>
        <v>0</v>
      </c>
      <c r="G309" s="877">
        <v>0</v>
      </c>
      <c r="L309" s="324">
        <f t="shared" si="19"/>
        <v>0</v>
      </c>
    </row>
    <row r="310" spans="3:12">
      <c r="C310" s="186" t="s">
        <v>44</v>
      </c>
      <c r="D310" s="444">
        <f>Teacher_need_by_subject!C635</f>
        <v>14320.519643904654</v>
      </c>
      <c r="E310" s="307">
        <v>14143.81034803733</v>
      </c>
      <c r="F310" s="324">
        <f t="shared" si="18"/>
        <v>176.70929586732382</v>
      </c>
      <c r="G310" s="877">
        <v>0</v>
      </c>
      <c r="L310" s="324">
        <f t="shared" si="19"/>
        <v>176.70929586732382</v>
      </c>
    </row>
    <row r="311" spans="3:12">
      <c r="C311" s="186" t="s">
        <v>562</v>
      </c>
      <c r="D311" s="444">
        <f>Teacher_need_by_subject!C636</f>
        <v>16924.886854184697</v>
      </c>
      <c r="E311" s="307">
        <v>16900.664701557154</v>
      </c>
      <c r="F311" s="324">
        <f t="shared" si="18"/>
        <v>24.222152627542528</v>
      </c>
      <c r="G311" s="877">
        <v>0</v>
      </c>
      <c r="L311" s="324">
        <f t="shared" si="19"/>
        <v>24.222152627542528</v>
      </c>
    </row>
    <row r="312" spans="3:12">
      <c r="C312" s="186" t="s">
        <v>2</v>
      </c>
      <c r="D312" s="444">
        <f>Teacher_need_by_subject!C637</f>
        <v>10725.251800299693</v>
      </c>
      <c r="E312" s="307">
        <v>10725.251800299693</v>
      </c>
      <c r="F312" s="324">
        <f t="shared" si="18"/>
        <v>0</v>
      </c>
      <c r="G312" s="877">
        <v>0</v>
      </c>
      <c r="L312" s="324">
        <f t="shared" si="19"/>
        <v>0</v>
      </c>
    </row>
    <row r="313" spans="3:12">
      <c r="C313" s="186" t="s">
        <v>563</v>
      </c>
      <c r="D313" s="444">
        <f>Teacher_need_by_subject!C638</f>
        <v>7377.2618621307392</v>
      </c>
      <c r="E313" s="307">
        <v>7313.3351590018556</v>
      </c>
      <c r="F313" s="324">
        <f t="shared" si="18"/>
        <v>63.926703128883673</v>
      </c>
      <c r="G313" s="877">
        <v>0</v>
      </c>
      <c r="L313" s="324">
        <f>IF($B$226=1,G313,F313)</f>
        <v>63.926703128883673</v>
      </c>
    </row>
    <row r="315" spans="3:12">
      <c r="D315" s="984"/>
      <c r="E315" s="984"/>
    </row>
  </sheetData>
  <mergeCells count="7">
    <mergeCell ref="H127:O128"/>
    <mergeCell ref="B177:B195"/>
    <mergeCell ref="B196:B214"/>
    <mergeCell ref="B250:B268"/>
    <mergeCell ref="B269:B287"/>
    <mergeCell ref="B231:B249"/>
    <mergeCell ref="B158:B17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56"/>
  <sheetViews>
    <sheetView showGridLines="0" zoomScaleNormal="100" workbookViewId="0"/>
  </sheetViews>
  <sheetFormatPr defaultRowHeight="12.75"/>
  <cols>
    <col min="3" max="3" width="60.7109375" customWidth="1"/>
    <col min="5" max="15" width="10.5703125" customWidth="1"/>
    <col min="16" max="26" width="12.140625" customWidth="1"/>
    <col min="27" max="27" width="12.140625" style="1" customWidth="1"/>
    <col min="28" max="28" width="12.28515625" bestFit="1" customWidth="1"/>
    <col min="29" max="29" width="14.7109375" bestFit="1" customWidth="1"/>
  </cols>
  <sheetData>
    <row r="1" spans="1:27" s="739" customFormat="1" ht="15">
      <c r="A1" s="65" t="str">
        <f>ModelBanner</f>
        <v>TSM_201718 for publication</v>
      </c>
      <c r="AA1" s="100"/>
    </row>
    <row r="2" spans="1:27" s="739" customFormat="1" ht="15">
      <c r="A2" s="1003" t="s">
        <v>13</v>
      </c>
      <c r="B2" s="1003" t="s">
        <v>30</v>
      </c>
      <c r="AA2" s="100"/>
    </row>
    <row r="3" spans="1:27" s="739" customFormat="1" ht="15">
      <c r="A3" s="67"/>
      <c r="AA3" s="100"/>
    </row>
    <row r="4" spans="1:27" s="57" customFormat="1">
      <c r="A4" s="58" t="s">
        <v>26</v>
      </c>
      <c r="B4" s="58"/>
      <c r="D4" s="58"/>
      <c r="E4" s="58"/>
      <c r="F4" s="292"/>
      <c r="G4" s="58"/>
      <c r="H4" s="58"/>
      <c r="I4" s="58"/>
      <c r="J4" s="58"/>
      <c r="K4" s="58"/>
      <c r="L4" s="58"/>
      <c r="M4" s="58"/>
      <c r="N4" s="58"/>
      <c r="O4" s="58"/>
      <c r="P4" s="58"/>
      <c r="AA4" s="933"/>
    </row>
    <row r="5" spans="1:27" s="47" customFormat="1" ht="13.15" customHeight="1">
      <c r="A5" s="1199" t="s">
        <v>1585</v>
      </c>
      <c r="B5" s="1199"/>
      <c r="C5" s="1199"/>
      <c r="D5" s="1199"/>
      <c r="E5" s="1199"/>
      <c r="F5" s="1199"/>
      <c r="G5" s="1199"/>
      <c r="H5" s="1199"/>
      <c r="I5" s="1199"/>
      <c r="J5" s="1199"/>
      <c r="K5" s="1199"/>
      <c r="L5" s="1199"/>
      <c r="M5" s="1199"/>
      <c r="N5" s="1199"/>
      <c r="O5" s="1199"/>
      <c r="P5" s="1199"/>
      <c r="Q5" s="1199"/>
      <c r="R5" s="1199"/>
      <c r="S5" s="1199"/>
      <c r="T5" s="1199"/>
      <c r="U5" s="60"/>
      <c r="V5" s="60"/>
    </row>
    <row r="6" spans="1:27" s="47" customFormat="1" ht="13.15" customHeight="1">
      <c r="A6" s="1199"/>
      <c r="B6" s="1199"/>
      <c r="C6" s="1199"/>
      <c r="D6" s="1199"/>
      <c r="E6" s="1199"/>
      <c r="F6" s="1199"/>
      <c r="G6" s="1199"/>
      <c r="H6" s="1199"/>
      <c r="I6" s="1199"/>
      <c r="J6" s="1199"/>
      <c r="K6" s="1199"/>
      <c r="L6" s="1199"/>
      <c r="M6" s="1199"/>
      <c r="N6" s="1199"/>
      <c r="O6" s="1199"/>
      <c r="P6" s="1199"/>
      <c r="Q6" s="1199"/>
      <c r="R6" s="1199"/>
      <c r="S6" s="1199"/>
      <c r="T6" s="1199"/>
      <c r="U6" s="60"/>
      <c r="V6" s="60"/>
    </row>
    <row r="7" spans="1:27" s="46" customFormat="1">
      <c r="A7" s="56" t="s">
        <v>1420</v>
      </c>
      <c r="B7" s="61"/>
      <c r="D7" s="61"/>
      <c r="E7" s="61"/>
      <c r="F7" s="292"/>
      <c r="G7" s="61"/>
      <c r="H7" s="61"/>
      <c r="I7" s="61"/>
      <c r="J7" s="61"/>
      <c r="K7" s="61"/>
      <c r="L7" s="61"/>
      <c r="M7" s="61"/>
      <c r="N7" s="61"/>
      <c r="O7" s="61"/>
      <c r="P7" s="61"/>
      <c r="Q7" s="45"/>
      <c r="R7" s="45"/>
    </row>
    <row r="8" spans="1:27" s="46" customFormat="1">
      <c r="A8" s="54"/>
      <c r="B8" s="56"/>
      <c r="D8" s="61"/>
      <c r="E8" s="61"/>
      <c r="F8" s="292"/>
      <c r="G8" s="61"/>
      <c r="H8" s="61"/>
      <c r="I8" s="61"/>
      <c r="J8" s="61"/>
      <c r="K8" s="61"/>
      <c r="L8" s="61"/>
      <c r="M8" s="61"/>
      <c r="N8" s="61"/>
      <c r="O8" s="61"/>
      <c r="P8" s="61"/>
      <c r="Q8" s="45"/>
      <c r="R8" s="45"/>
    </row>
    <row r="9" spans="1:27" s="46" customFormat="1">
      <c r="A9" s="56" t="s">
        <v>24</v>
      </c>
      <c r="B9" s="61"/>
      <c r="D9" s="61"/>
      <c r="E9" s="61"/>
      <c r="F9" s="292"/>
      <c r="G9" s="61"/>
      <c r="H9" s="61"/>
      <c r="I9" s="61"/>
      <c r="J9" s="61"/>
      <c r="K9" s="61"/>
      <c r="L9" s="61"/>
      <c r="M9" s="61"/>
      <c r="N9" s="61"/>
      <c r="O9" s="61"/>
      <c r="P9" s="61"/>
      <c r="Q9" s="45"/>
      <c r="R9" s="45"/>
    </row>
    <row r="10" spans="1:27" s="50" customFormat="1" ht="13.5" customHeight="1">
      <c r="A10" s="55" t="s">
        <v>1160</v>
      </c>
      <c r="B10" s="73"/>
      <c r="D10" s="71"/>
      <c r="E10" s="293"/>
      <c r="F10" s="293"/>
      <c r="G10" s="293"/>
      <c r="H10" s="72"/>
      <c r="I10" s="293"/>
      <c r="J10" s="293"/>
      <c r="K10" s="72"/>
      <c r="L10" s="294"/>
      <c r="M10" s="294"/>
      <c r="N10" s="294"/>
      <c r="O10" s="294"/>
      <c r="P10" s="294"/>
      <c r="Q10" s="49"/>
      <c r="R10" s="49"/>
      <c r="AA10" s="46"/>
    </row>
    <row r="12" spans="1:27" ht="18">
      <c r="C12" s="39" t="s">
        <v>1561</v>
      </c>
      <c r="D12" s="219" t="s">
        <v>347</v>
      </c>
      <c r="J12" s="219"/>
    </row>
    <row r="13" spans="1:27">
      <c r="E13" s="988"/>
      <c r="F13" s="988"/>
      <c r="G13" s="988"/>
      <c r="H13" s="988"/>
      <c r="I13" s="988"/>
      <c r="J13" s="988"/>
      <c r="K13" s="988"/>
      <c r="L13" s="988"/>
      <c r="M13" s="988"/>
      <c r="N13" s="988"/>
      <c r="O13" s="988"/>
      <c r="P13" s="988"/>
      <c r="Q13" s="988"/>
      <c r="R13" s="988"/>
      <c r="S13" s="988"/>
      <c r="T13" s="988"/>
    </row>
    <row r="14" spans="1:27" ht="36">
      <c r="C14" s="990" t="s">
        <v>1348</v>
      </c>
      <c r="D14" s="990" t="s">
        <v>1609</v>
      </c>
      <c r="E14" s="1203" t="s">
        <v>1349</v>
      </c>
      <c r="F14" s="1204"/>
      <c r="G14" s="1204"/>
      <c r="H14" s="1204"/>
      <c r="I14" s="1204"/>
      <c r="J14" s="1204"/>
      <c r="K14" s="1204"/>
      <c r="L14" s="1204"/>
      <c r="M14" s="1204"/>
      <c r="N14" s="1204"/>
      <c r="O14" s="1205"/>
      <c r="P14" s="988"/>
      <c r="Q14" s="988"/>
      <c r="R14" s="988"/>
      <c r="S14" s="988"/>
      <c r="T14" s="988"/>
    </row>
    <row r="15" spans="1:27" ht="25.5" customHeight="1">
      <c r="B15" s="174">
        <v>4</v>
      </c>
      <c r="C15" s="991" t="s">
        <v>1551</v>
      </c>
      <c r="D15" s="932">
        <v>1</v>
      </c>
      <c r="E15" s="1206" t="s">
        <v>1552</v>
      </c>
      <c r="F15" s="1207"/>
      <c r="G15" s="1207"/>
      <c r="H15" s="1207"/>
      <c r="I15" s="1207"/>
      <c r="J15" s="1207"/>
      <c r="K15" s="1207"/>
      <c r="L15" s="1207"/>
      <c r="M15" s="1207"/>
      <c r="N15" s="1207"/>
      <c r="O15" s="1208"/>
      <c r="P15" s="989"/>
      <c r="Q15" s="989"/>
      <c r="R15" s="989"/>
      <c r="S15" s="989"/>
      <c r="T15" s="989"/>
    </row>
    <row r="16" spans="1:27" ht="25.5" customHeight="1">
      <c r="B16" s="174"/>
      <c r="C16" s="991" t="s">
        <v>1754</v>
      </c>
      <c r="D16" s="932">
        <v>2</v>
      </c>
      <c r="E16" s="1206" t="s">
        <v>1761</v>
      </c>
      <c r="F16" s="1207"/>
      <c r="G16" s="1207"/>
      <c r="H16" s="1207"/>
      <c r="I16" s="1207"/>
      <c r="J16" s="1207"/>
      <c r="K16" s="1207"/>
      <c r="L16" s="1207"/>
      <c r="M16" s="1207"/>
      <c r="N16" s="1207"/>
      <c r="O16" s="1208"/>
      <c r="P16" s="989"/>
      <c r="Q16" s="989"/>
      <c r="R16" s="989"/>
      <c r="S16" s="989"/>
      <c r="T16" s="989"/>
    </row>
    <row r="17" spans="2:27" ht="25.5" customHeight="1">
      <c r="B17" s="174"/>
      <c r="C17" s="991" t="s">
        <v>1750</v>
      </c>
      <c r="D17" s="932">
        <v>3</v>
      </c>
      <c r="E17" s="1206" t="s">
        <v>1762</v>
      </c>
      <c r="F17" s="1207"/>
      <c r="G17" s="1207"/>
      <c r="H17" s="1207"/>
      <c r="I17" s="1207"/>
      <c r="J17" s="1207"/>
      <c r="K17" s="1207"/>
      <c r="L17" s="1207"/>
      <c r="M17" s="1207"/>
      <c r="N17" s="1207"/>
      <c r="O17" s="1208"/>
      <c r="P17" s="989"/>
      <c r="Q17" s="989"/>
      <c r="R17" s="989"/>
      <c r="S17" s="989"/>
      <c r="T17" s="989"/>
    </row>
    <row r="18" spans="2:27" ht="26.25" customHeight="1">
      <c r="C18" s="991" t="s">
        <v>1751</v>
      </c>
      <c r="D18" s="932">
        <v>4</v>
      </c>
      <c r="E18" s="1206" t="s">
        <v>1763</v>
      </c>
      <c r="F18" s="1207"/>
      <c r="G18" s="1207"/>
      <c r="H18" s="1207"/>
      <c r="I18" s="1207"/>
      <c r="J18" s="1207"/>
      <c r="K18" s="1207"/>
      <c r="L18" s="1207"/>
      <c r="M18" s="1207"/>
      <c r="N18" s="1207"/>
      <c r="O18" s="1208"/>
      <c r="P18" s="989"/>
      <c r="Q18" s="989"/>
      <c r="R18" s="989"/>
      <c r="S18" s="989"/>
      <c r="T18" s="989"/>
    </row>
    <row r="19" spans="2:27" ht="24.75" customHeight="1">
      <c r="C19" s="991" t="s">
        <v>1752</v>
      </c>
      <c r="D19" s="932">
        <v>5</v>
      </c>
      <c r="E19" s="1206" t="s">
        <v>1764</v>
      </c>
      <c r="F19" s="1207"/>
      <c r="G19" s="1207"/>
      <c r="H19" s="1207"/>
      <c r="I19" s="1207"/>
      <c r="J19" s="1207"/>
      <c r="K19" s="1207"/>
      <c r="L19" s="1207"/>
      <c r="M19" s="1207"/>
      <c r="N19" s="1207"/>
      <c r="O19" s="1208"/>
      <c r="P19" s="989"/>
      <c r="Q19" s="989"/>
      <c r="R19" s="989"/>
      <c r="S19" s="989"/>
      <c r="T19" s="989"/>
    </row>
    <row r="20" spans="2:27" ht="24.75" customHeight="1">
      <c r="C20" s="991" t="s">
        <v>1753</v>
      </c>
      <c r="D20" s="932">
        <v>6</v>
      </c>
      <c r="E20" s="1206" t="s">
        <v>1765</v>
      </c>
      <c r="F20" s="1207"/>
      <c r="G20" s="1207"/>
      <c r="H20" s="1207"/>
      <c r="I20" s="1207"/>
      <c r="J20" s="1207"/>
      <c r="K20" s="1207"/>
      <c r="L20" s="1207"/>
      <c r="M20" s="1207"/>
      <c r="N20" s="1207"/>
      <c r="O20" s="1208"/>
    </row>
    <row r="22" spans="2:27">
      <c r="C22" s="5" t="s">
        <v>62</v>
      </c>
      <c r="D22" s="193" t="str">
        <f>Teacher_need_by_subject!C619</f>
        <v>2016/17</v>
      </c>
      <c r="E22" s="193" t="str">
        <f>Teacher_need_by_subject!D619</f>
        <v>2017/18</v>
      </c>
      <c r="F22" s="193" t="str">
        <f>Teacher_need_by_subject!E619</f>
        <v>2018/19</v>
      </c>
      <c r="G22" s="193" t="str">
        <f>Teacher_need_by_subject!F619</f>
        <v>2019/20</v>
      </c>
      <c r="H22" s="193" t="str">
        <f>Teacher_need_by_subject!G619</f>
        <v>2020/21</v>
      </c>
      <c r="I22" s="193" t="str">
        <f>Teacher_need_by_subject!H619</f>
        <v>2021/22</v>
      </c>
      <c r="J22" s="193" t="str">
        <f>Teacher_need_by_subject!I619</f>
        <v>2022/23</v>
      </c>
      <c r="K22" s="193" t="str">
        <f>Teacher_need_by_subject!J619</f>
        <v>2023/24</v>
      </c>
      <c r="L22" s="193" t="str">
        <f>Teacher_need_by_subject!K619</f>
        <v>2024/25</v>
      </c>
      <c r="M22" s="193" t="str">
        <f>Teacher_need_by_subject!L619</f>
        <v>2025/26</v>
      </c>
      <c r="N22" s="193" t="str">
        <f>Teacher_need_by_subject!M619</f>
        <v>2026/27</v>
      </c>
      <c r="O22" s="193" t="str">
        <f>Teacher_need_by_subject!N619</f>
        <v>2027/28</v>
      </c>
      <c r="P22" s="262" t="s">
        <v>1749</v>
      </c>
    </row>
    <row r="23" spans="2:27">
      <c r="B23" s="1198" t="s">
        <v>1158</v>
      </c>
      <c r="C23" s="145" t="s">
        <v>558</v>
      </c>
      <c r="D23" s="829">
        <f t="shared" ref="D23:D41" si="0">D137+D118+D99+D42+D80</f>
        <v>0</v>
      </c>
      <c r="E23" s="829">
        <f t="shared" ref="E23:O23" si="1">E137+E118+E99+E42+E80</f>
        <v>0</v>
      </c>
      <c r="F23" s="829">
        <f t="shared" si="1"/>
        <v>-2406.1596583729843</v>
      </c>
      <c r="G23" s="829">
        <f t="shared" si="1"/>
        <v>-4946.8847666076326</v>
      </c>
      <c r="H23" s="829">
        <f t="shared" si="1"/>
        <v>-5331.4560004409577</v>
      </c>
      <c r="I23" s="829">
        <f t="shared" si="1"/>
        <v>-5482.9156805465755</v>
      </c>
      <c r="J23" s="829">
        <f t="shared" si="1"/>
        <v>-5675.2190498871641</v>
      </c>
      <c r="K23" s="829">
        <f t="shared" si="1"/>
        <v>-5775.5068777098204</v>
      </c>
      <c r="L23" s="829">
        <f t="shared" si="1"/>
        <v>-5813.7506736858049</v>
      </c>
      <c r="M23" s="829">
        <f t="shared" si="1"/>
        <v>-5912.5510618398257</v>
      </c>
      <c r="N23" s="829">
        <f t="shared" si="1"/>
        <v>-5997.5360563798458</v>
      </c>
      <c r="O23" s="829">
        <f t="shared" si="1"/>
        <v>-5948.2381429162779</v>
      </c>
      <c r="P23" s="309"/>
      <c r="Q23" s="309"/>
      <c r="R23" s="309"/>
      <c r="S23" s="309"/>
      <c r="T23" s="309"/>
      <c r="U23" s="309"/>
      <c r="V23" s="309"/>
      <c r="W23" s="309"/>
      <c r="X23" s="309"/>
      <c r="Y23" s="309"/>
      <c r="Z23" s="309"/>
      <c r="AA23" s="383"/>
    </row>
    <row r="24" spans="2:27">
      <c r="B24" s="1198"/>
      <c r="C24" s="145" t="s">
        <v>7</v>
      </c>
      <c r="D24" s="829">
        <f t="shared" si="0"/>
        <v>0</v>
      </c>
      <c r="E24" s="829">
        <f t="shared" ref="E24:O24" si="2">E138+E119+E100+E43+E81</f>
        <v>0</v>
      </c>
      <c r="F24" s="829">
        <f t="shared" si="2"/>
        <v>298.74481289312826</v>
      </c>
      <c r="G24" s="829">
        <f t="shared" si="2"/>
        <v>614.77592912368709</v>
      </c>
      <c r="H24" s="829">
        <f t="shared" si="2"/>
        <v>706.38267425567028</v>
      </c>
      <c r="I24" s="829">
        <f t="shared" si="2"/>
        <v>724.94560923310928</v>
      </c>
      <c r="J24" s="829">
        <f t="shared" si="2"/>
        <v>747.09313172713155</v>
      </c>
      <c r="K24" s="829">
        <f t="shared" si="2"/>
        <v>760.64844355382957</v>
      </c>
      <c r="L24" s="829">
        <f t="shared" si="2"/>
        <v>765.00387191702612</v>
      </c>
      <c r="M24" s="829">
        <f t="shared" si="2"/>
        <v>773.25643252860755</v>
      </c>
      <c r="N24" s="829">
        <f t="shared" si="2"/>
        <v>779.20162404284929</v>
      </c>
      <c r="O24" s="829">
        <f t="shared" si="2"/>
        <v>773.35409915458877</v>
      </c>
      <c r="P24" s="309"/>
      <c r="Q24" s="309"/>
      <c r="R24" s="309"/>
      <c r="S24" s="309"/>
      <c r="T24" s="309"/>
      <c r="U24" s="309"/>
      <c r="V24" s="309"/>
      <c r="W24" s="309"/>
      <c r="X24" s="309"/>
      <c r="Y24" s="309"/>
      <c r="Z24" s="309"/>
      <c r="AA24" s="383"/>
    </row>
    <row r="25" spans="2:27">
      <c r="B25" s="1198"/>
      <c r="C25" s="145" t="s">
        <v>427</v>
      </c>
      <c r="D25" s="829">
        <f t="shared" si="0"/>
        <v>0</v>
      </c>
      <c r="E25" s="829">
        <f t="shared" ref="E25:O25" si="3">E139+E120+E101+E44+E82</f>
        <v>0</v>
      </c>
      <c r="F25" s="829">
        <f t="shared" si="3"/>
        <v>-2421.812518993167</v>
      </c>
      <c r="G25" s="829">
        <f t="shared" si="3"/>
        <v>-4982.3670083817196</v>
      </c>
      <c r="H25" s="829">
        <f t="shared" si="3"/>
        <v>-5619.5513271046439</v>
      </c>
      <c r="I25" s="829">
        <f t="shared" si="3"/>
        <v>-5770.6159887500617</v>
      </c>
      <c r="J25" s="829">
        <f t="shared" si="3"/>
        <v>-5954.3131098128797</v>
      </c>
      <c r="K25" s="829">
        <f t="shared" si="3"/>
        <v>-6061.5475568318434</v>
      </c>
      <c r="L25" s="829">
        <f t="shared" si="3"/>
        <v>-6097.7998198075293</v>
      </c>
      <c r="M25" s="829">
        <f t="shared" si="3"/>
        <v>-6174.3507216399012</v>
      </c>
      <c r="N25" s="829">
        <f t="shared" si="3"/>
        <v>-6233.6199906656184</v>
      </c>
      <c r="O25" s="829">
        <f t="shared" si="3"/>
        <v>-6185.5594634523513</v>
      </c>
      <c r="P25" s="309"/>
      <c r="Q25" s="309"/>
      <c r="R25" s="309"/>
      <c r="S25" s="309"/>
      <c r="T25" s="309"/>
      <c r="U25" s="309"/>
      <c r="V25" s="309"/>
      <c r="W25" s="309"/>
      <c r="X25" s="309"/>
      <c r="Y25" s="309"/>
      <c r="Z25" s="309"/>
      <c r="AA25" s="383"/>
    </row>
    <row r="26" spans="2:27">
      <c r="B26" s="1198"/>
      <c r="C26" s="145" t="s">
        <v>3</v>
      </c>
      <c r="D26" s="829">
        <f t="shared" si="0"/>
        <v>0</v>
      </c>
      <c r="E26" s="829">
        <f t="shared" ref="E26:O26" si="4">E140+E121+E102+E45+E83</f>
        <v>0</v>
      </c>
      <c r="F26" s="829">
        <f t="shared" si="4"/>
        <v>261.46483416884439</v>
      </c>
      <c r="G26" s="829">
        <f t="shared" si="4"/>
        <v>537.94051453491556</v>
      </c>
      <c r="H26" s="829">
        <f t="shared" si="4"/>
        <v>609.1510793666821</v>
      </c>
      <c r="I26" s="829">
        <f t="shared" si="4"/>
        <v>625.44704402101343</v>
      </c>
      <c r="J26" s="829">
        <f t="shared" si="4"/>
        <v>645.18411721280427</v>
      </c>
      <c r="K26" s="829">
        <f t="shared" si="4"/>
        <v>656.82227688914281</v>
      </c>
      <c r="L26" s="829">
        <f t="shared" si="4"/>
        <v>660.71449640282663</v>
      </c>
      <c r="M26" s="829">
        <f t="shared" si="4"/>
        <v>668.75775202125078</v>
      </c>
      <c r="N26" s="829">
        <f t="shared" si="4"/>
        <v>674.90259058083757</v>
      </c>
      <c r="O26" s="829">
        <f t="shared" si="4"/>
        <v>669.72892459653667</v>
      </c>
      <c r="P26" s="309"/>
      <c r="Q26" s="309"/>
      <c r="R26" s="309"/>
      <c r="S26" s="309"/>
      <c r="T26" s="309"/>
      <c r="U26" s="309"/>
      <c r="V26" s="309"/>
      <c r="W26" s="309"/>
      <c r="X26" s="309"/>
      <c r="Y26" s="309"/>
      <c r="Z26" s="309"/>
      <c r="AA26" s="383"/>
    </row>
    <row r="27" spans="2:27">
      <c r="B27" s="1198"/>
      <c r="C27" s="145" t="s">
        <v>85</v>
      </c>
      <c r="D27" s="829">
        <f t="shared" si="0"/>
        <v>0</v>
      </c>
      <c r="E27" s="829">
        <f t="shared" ref="E27:O27" si="5">E141+E122+E103+E46+E84</f>
        <v>0</v>
      </c>
      <c r="F27" s="829">
        <f t="shared" si="5"/>
        <v>0</v>
      </c>
      <c r="G27" s="829">
        <f t="shared" si="5"/>
        <v>0</v>
      </c>
      <c r="H27" s="829">
        <f t="shared" si="5"/>
        <v>0</v>
      </c>
      <c r="I27" s="829">
        <f t="shared" si="5"/>
        <v>0</v>
      </c>
      <c r="J27" s="829">
        <f t="shared" si="5"/>
        <v>0</v>
      </c>
      <c r="K27" s="829">
        <f t="shared" si="5"/>
        <v>0</v>
      </c>
      <c r="L27" s="829">
        <f t="shared" si="5"/>
        <v>0</v>
      </c>
      <c r="M27" s="829">
        <f t="shared" si="5"/>
        <v>0</v>
      </c>
      <c r="N27" s="829">
        <f t="shared" si="5"/>
        <v>0</v>
      </c>
      <c r="O27" s="829">
        <f t="shared" si="5"/>
        <v>0</v>
      </c>
      <c r="P27" s="309"/>
      <c r="Q27" s="309"/>
      <c r="R27" s="309"/>
      <c r="S27" s="309"/>
      <c r="T27" s="309"/>
      <c r="U27" s="309"/>
      <c r="V27" s="309"/>
      <c r="W27" s="309"/>
      <c r="X27" s="309"/>
      <c r="Y27" s="309"/>
      <c r="Z27" s="309"/>
      <c r="AA27" s="383"/>
    </row>
    <row r="28" spans="2:27">
      <c r="B28" s="1198"/>
      <c r="C28" s="145" t="s">
        <v>103</v>
      </c>
      <c r="D28" s="829">
        <f t="shared" si="0"/>
        <v>0</v>
      </c>
      <c r="E28" s="829">
        <f t="shared" ref="E28:O28" si="6">E142+E123+E104+E47+E85</f>
        <v>0</v>
      </c>
      <c r="F28" s="829">
        <f t="shared" si="6"/>
        <v>-4765.4851439616614</v>
      </c>
      <c r="G28" s="829">
        <f t="shared" si="6"/>
        <v>-9802.7761573749449</v>
      </c>
      <c r="H28" s="829">
        <f t="shared" si="6"/>
        <v>-10965.549689233478</v>
      </c>
      <c r="I28" s="829">
        <f t="shared" si="6"/>
        <v>-11263.307315123006</v>
      </c>
      <c r="J28" s="829">
        <f t="shared" si="6"/>
        <v>-11628.362432805079</v>
      </c>
      <c r="K28" s="829">
        <f t="shared" si="6"/>
        <v>-11837.080414190146</v>
      </c>
      <c r="L28" s="829">
        <f t="shared" si="6"/>
        <v>-11909.230698604137</v>
      </c>
      <c r="M28" s="829">
        <f t="shared" si="6"/>
        <v>-12068.194966044568</v>
      </c>
      <c r="N28" s="829">
        <f t="shared" si="6"/>
        <v>-12194.382500941734</v>
      </c>
      <c r="O28" s="829">
        <f t="shared" si="6"/>
        <v>-12099.245004731871</v>
      </c>
      <c r="P28" s="309"/>
      <c r="Q28" s="309"/>
      <c r="R28" s="309"/>
      <c r="S28" s="309"/>
      <c r="T28" s="309"/>
      <c r="U28" s="309"/>
      <c r="V28" s="309"/>
      <c r="W28" s="309"/>
      <c r="X28" s="309"/>
      <c r="Y28" s="309"/>
      <c r="Z28" s="309"/>
      <c r="AA28" s="383"/>
    </row>
    <row r="29" spans="2:27">
      <c r="B29" s="1198"/>
      <c r="C29" s="145" t="s">
        <v>559</v>
      </c>
      <c r="D29" s="829">
        <f t="shared" si="0"/>
        <v>0</v>
      </c>
      <c r="E29" s="829">
        <f t="shared" ref="E29:O29" si="7">E143+E124+E105+E48+E86</f>
        <v>0</v>
      </c>
      <c r="F29" s="829">
        <f t="shared" si="7"/>
        <v>-6339.5796605843061</v>
      </c>
      <c r="G29" s="829">
        <f t="shared" si="7"/>
        <v>-13045.804550676054</v>
      </c>
      <c r="H29" s="829">
        <f t="shared" si="7"/>
        <v>-14975.934375841869</v>
      </c>
      <c r="I29" s="829">
        <f t="shared" si="7"/>
        <v>-15369.929529991612</v>
      </c>
      <c r="J29" s="829">
        <f t="shared" si="7"/>
        <v>-15840.460981912998</v>
      </c>
      <c r="K29" s="829">
        <f t="shared" si="7"/>
        <v>-16127.766372218612</v>
      </c>
      <c r="L29" s="829">
        <f t="shared" si="7"/>
        <v>-16220.31558240403</v>
      </c>
      <c r="M29" s="829">
        <f t="shared" si="7"/>
        <v>-16396.706789410702</v>
      </c>
      <c r="N29" s="829">
        <f t="shared" si="7"/>
        <v>-16524.32067863585</v>
      </c>
      <c r="O29" s="829">
        <f t="shared" si="7"/>
        <v>-16400.145835345378</v>
      </c>
      <c r="P29" s="309"/>
      <c r="Q29" s="309"/>
      <c r="R29" s="309"/>
      <c r="S29" s="309"/>
      <c r="T29" s="309"/>
      <c r="U29" s="309"/>
      <c r="V29" s="309"/>
      <c r="W29" s="309"/>
      <c r="X29" s="309"/>
      <c r="Y29" s="309"/>
      <c r="Z29" s="309"/>
      <c r="AA29" s="383"/>
    </row>
    <row r="30" spans="2:27">
      <c r="B30" s="1198"/>
      <c r="C30" s="145" t="s">
        <v>6</v>
      </c>
      <c r="D30" s="829">
        <f t="shared" si="0"/>
        <v>0</v>
      </c>
      <c r="E30" s="829">
        <f t="shared" ref="E30:O30" si="8">E144+E125+E106+E49+E87</f>
        <v>0</v>
      </c>
      <c r="F30" s="829">
        <f t="shared" si="8"/>
        <v>-899.39126930492057</v>
      </c>
      <c r="G30" s="829">
        <f t="shared" si="8"/>
        <v>-1857.8359981476242</v>
      </c>
      <c r="H30" s="829">
        <f t="shared" si="8"/>
        <v>-2664.882634514157</v>
      </c>
      <c r="I30" s="829">
        <f t="shared" si="8"/>
        <v>-2717.8356865568203</v>
      </c>
      <c r="J30" s="829">
        <f t="shared" si="8"/>
        <v>-2763.5746332043927</v>
      </c>
      <c r="K30" s="829">
        <f t="shared" si="8"/>
        <v>-2817.7532699200819</v>
      </c>
      <c r="L30" s="829">
        <f t="shared" si="8"/>
        <v>-2826.1069393368089</v>
      </c>
      <c r="M30" s="829">
        <f t="shared" si="8"/>
        <v>-2802.3267517497588</v>
      </c>
      <c r="N30" s="829">
        <f t="shared" si="8"/>
        <v>-2764.4283783524734</v>
      </c>
      <c r="O30" s="829">
        <f t="shared" si="8"/>
        <v>-2750.1335231167031</v>
      </c>
      <c r="P30" s="309"/>
      <c r="Q30" s="309"/>
      <c r="R30" s="309"/>
      <c r="S30" s="309"/>
      <c r="T30" s="309"/>
      <c r="U30" s="309"/>
      <c r="V30" s="309"/>
      <c r="W30" s="309"/>
      <c r="X30" s="309"/>
      <c r="Y30" s="309"/>
      <c r="Z30" s="309"/>
      <c r="AA30" s="383"/>
    </row>
    <row r="31" spans="2:27">
      <c r="B31" s="1198"/>
      <c r="C31" s="145" t="s">
        <v>1</v>
      </c>
      <c r="D31" s="829">
        <f t="shared" si="0"/>
        <v>0</v>
      </c>
      <c r="E31" s="829">
        <f t="shared" ref="E31:O31" si="9">E145+E126+E107+E50+E88</f>
        <v>0</v>
      </c>
      <c r="F31" s="829">
        <f t="shared" si="9"/>
        <v>0</v>
      </c>
      <c r="G31" s="829">
        <f t="shared" si="9"/>
        <v>0</v>
      </c>
      <c r="H31" s="829">
        <f t="shared" si="9"/>
        <v>0</v>
      </c>
      <c r="I31" s="829">
        <f t="shared" si="9"/>
        <v>0</v>
      </c>
      <c r="J31" s="829">
        <f t="shared" si="9"/>
        <v>0</v>
      </c>
      <c r="K31" s="829">
        <f t="shared" si="9"/>
        <v>0</v>
      </c>
      <c r="L31" s="829">
        <f t="shared" si="9"/>
        <v>0</v>
      </c>
      <c r="M31" s="829">
        <f t="shared" si="9"/>
        <v>0</v>
      </c>
      <c r="N31" s="829">
        <f t="shared" si="9"/>
        <v>0</v>
      </c>
      <c r="O31" s="829">
        <f t="shared" si="9"/>
        <v>0</v>
      </c>
      <c r="P31" s="309"/>
      <c r="Q31" s="309"/>
      <c r="R31" s="309"/>
      <c r="S31" s="309"/>
      <c r="T31" s="309"/>
      <c r="U31" s="309"/>
      <c r="V31" s="309"/>
      <c r="W31" s="309"/>
      <c r="X31" s="309"/>
      <c r="Y31" s="309"/>
      <c r="Z31" s="309"/>
      <c r="AA31" s="383"/>
    </row>
    <row r="32" spans="2:27">
      <c r="B32" s="1198"/>
      <c r="C32" s="145" t="s">
        <v>396</v>
      </c>
      <c r="D32" s="829">
        <f t="shared" si="0"/>
        <v>0</v>
      </c>
      <c r="E32" s="829">
        <f t="shared" ref="E32:O32" si="10">E146+E127+E108+E51+E89</f>
        <v>0</v>
      </c>
      <c r="F32" s="829">
        <f t="shared" si="10"/>
        <v>-1771.7447906149173</v>
      </c>
      <c r="G32" s="829">
        <f t="shared" si="10"/>
        <v>-3644.4815728225149</v>
      </c>
      <c r="H32" s="829">
        <f t="shared" si="10"/>
        <v>-4072.0985770844491</v>
      </c>
      <c r="I32" s="829">
        <f t="shared" si="10"/>
        <v>-4182.8268180701998</v>
      </c>
      <c r="J32" s="829">
        <f t="shared" si="10"/>
        <v>-4318.7342348735401</v>
      </c>
      <c r="K32" s="829">
        <f t="shared" si="10"/>
        <v>-4396.2148897384832</v>
      </c>
      <c r="L32" s="829">
        <f t="shared" si="10"/>
        <v>-4423.0814000936298</v>
      </c>
      <c r="M32" s="829">
        <f t="shared" si="10"/>
        <v>-4482.6112122941558</v>
      </c>
      <c r="N32" s="829">
        <f t="shared" si="10"/>
        <v>-4530.0183366974452</v>
      </c>
      <c r="O32" s="829">
        <f t="shared" si="10"/>
        <v>-4494.6182675531454</v>
      </c>
      <c r="P32" s="309"/>
      <c r="Q32" s="309"/>
      <c r="R32" s="309"/>
      <c r="S32" s="309"/>
      <c r="T32" s="309"/>
      <c r="U32" s="309"/>
      <c r="V32" s="309"/>
      <c r="W32" s="309"/>
      <c r="X32" s="309"/>
      <c r="Y32" s="309"/>
      <c r="Z32" s="309"/>
      <c r="AA32" s="383"/>
    </row>
    <row r="33" spans="2:31">
      <c r="B33" s="1198"/>
      <c r="C33" s="145" t="s">
        <v>4</v>
      </c>
      <c r="D33" s="829">
        <f t="shared" si="0"/>
        <v>0</v>
      </c>
      <c r="E33" s="829">
        <f t="shared" ref="E33:O33" si="11">E147+E128+E109+E52+E90</f>
        <v>0</v>
      </c>
      <c r="F33" s="829">
        <f t="shared" si="11"/>
        <v>4802.7682063592074</v>
      </c>
      <c r="G33" s="829">
        <f t="shared" si="11"/>
        <v>9878.2387224402628</v>
      </c>
      <c r="H33" s="829">
        <f t="shared" si="11"/>
        <v>10956.914079791342</v>
      </c>
      <c r="I33" s="829">
        <f t="shared" si="11"/>
        <v>11257.515555929218</v>
      </c>
      <c r="J33" s="829">
        <f t="shared" si="11"/>
        <v>11629.099660789041</v>
      </c>
      <c r="K33" s="829">
        <f t="shared" si="11"/>
        <v>11837.105242144899</v>
      </c>
      <c r="L33" s="829">
        <f t="shared" si="11"/>
        <v>11910.65477584122</v>
      </c>
      <c r="M33" s="829">
        <f t="shared" si="11"/>
        <v>12079.392690279084</v>
      </c>
      <c r="N33" s="829">
        <f t="shared" si="11"/>
        <v>12216.355525492138</v>
      </c>
      <c r="O33" s="829">
        <f t="shared" si="11"/>
        <v>12119.893149475974</v>
      </c>
      <c r="P33" s="309"/>
      <c r="Q33" s="309"/>
      <c r="R33" s="309"/>
      <c r="S33" s="309"/>
      <c r="T33" s="309"/>
      <c r="U33" s="309"/>
      <c r="V33" s="309"/>
      <c r="W33" s="309"/>
      <c r="X33" s="309"/>
      <c r="Y33" s="309"/>
      <c r="Z33" s="309"/>
      <c r="AA33" s="309"/>
    </row>
    <row r="34" spans="2:31">
      <c r="B34" s="1198"/>
      <c r="C34" s="145" t="s">
        <v>0</v>
      </c>
      <c r="D34" s="829">
        <f t="shared" si="0"/>
        <v>0</v>
      </c>
      <c r="E34" s="829">
        <f t="shared" ref="E34:O34" si="12">E148+E129+E110+E53+E91</f>
        <v>0</v>
      </c>
      <c r="F34" s="829">
        <f t="shared" si="12"/>
        <v>3993.9493437978381</v>
      </c>
      <c r="G34" s="829">
        <f t="shared" si="12"/>
        <v>8209.8379276515916</v>
      </c>
      <c r="H34" s="829">
        <f t="shared" si="12"/>
        <v>8740.2930230525089</v>
      </c>
      <c r="I34" s="829">
        <f t="shared" si="12"/>
        <v>8992.2941562751657</v>
      </c>
      <c r="J34" s="829">
        <f t="shared" si="12"/>
        <v>9315.7477793229045</v>
      </c>
      <c r="K34" s="829">
        <f t="shared" si="12"/>
        <v>9479.4989838725014</v>
      </c>
      <c r="L34" s="829">
        <f t="shared" si="12"/>
        <v>9543.9456980145769</v>
      </c>
      <c r="M34" s="829">
        <f t="shared" si="12"/>
        <v>9717.8179061086266</v>
      </c>
      <c r="N34" s="829">
        <f t="shared" si="12"/>
        <v>9870.2145871912944</v>
      </c>
      <c r="O34" s="829">
        <f t="shared" si="12"/>
        <v>9787.7135968334624</v>
      </c>
      <c r="P34" s="309"/>
      <c r="Q34" s="309"/>
      <c r="R34" s="309"/>
      <c r="S34" s="309"/>
      <c r="T34" s="309"/>
      <c r="U34" s="309"/>
      <c r="V34" s="309"/>
      <c r="W34" s="309"/>
      <c r="X34" s="309"/>
      <c r="Y34" s="309"/>
      <c r="Z34" s="309"/>
      <c r="AA34" s="383"/>
    </row>
    <row r="35" spans="2:31">
      <c r="B35" s="1198"/>
      <c r="C35" s="145" t="s">
        <v>560</v>
      </c>
      <c r="D35" s="829">
        <f t="shared" si="0"/>
        <v>0</v>
      </c>
      <c r="E35" s="829">
        <f t="shared" ref="E35:O35" si="13">E149+E130+E111+E54+E92</f>
        <v>0</v>
      </c>
      <c r="F35" s="829">
        <f t="shared" si="13"/>
        <v>0</v>
      </c>
      <c r="G35" s="829">
        <f t="shared" si="13"/>
        <v>0</v>
      </c>
      <c r="H35" s="829">
        <f t="shared" si="13"/>
        <v>0</v>
      </c>
      <c r="I35" s="829">
        <f t="shared" si="13"/>
        <v>0</v>
      </c>
      <c r="J35" s="829">
        <f t="shared" si="13"/>
        <v>0</v>
      </c>
      <c r="K35" s="829">
        <f t="shared" si="13"/>
        <v>0</v>
      </c>
      <c r="L35" s="829">
        <f t="shared" si="13"/>
        <v>0</v>
      </c>
      <c r="M35" s="829">
        <f t="shared" si="13"/>
        <v>0</v>
      </c>
      <c r="N35" s="829">
        <f t="shared" si="13"/>
        <v>0</v>
      </c>
      <c r="O35" s="829">
        <f t="shared" si="13"/>
        <v>0</v>
      </c>
      <c r="P35" s="309"/>
      <c r="Q35" s="309"/>
      <c r="R35" s="964"/>
      <c r="S35" s="964"/>
      <c r="T35" s="964"/>
      <c r="U35" s="964"/>
      <c r="V35" s="964"/>
      <c r="W35" s="964"/>
      <c r="X35" s="964"/>
      <c r="Y35" s="964"/>
      <c r="Z35" s="964"/>
      <c r="AA35" s="964"/>
    </row>
    <row r="36" spans="2:31">
      <c r="B36" s="1198"/>
      <c r="C36" s="145" t="s">
        <v>561</v>
      </c>
      <c r="D36" s="829">
        <f t="shared" si="0"/>
        <v>0</v>
      </c>
      <c r="E36" s="829">
        <f t="shared" ref="E36:O36" si="14">E150+E131+E112+E55+E93</f>
        <v>0</v>
      </c>
      <c r="F36" s="829">
        <f t="shared" si="14"/>
        <v>22121.044663962151</v>
      </c>
      <c r="G36" s="829">
        <f t="shared" si="14"/>
        <v>45541.106042454398</v>
      </c>
      <c r="H36" s="829">
        <f t="shared" si="14"/>
        <v>53765.661701152014</v>
      </c>
      <c r="I36" s="829">
        <f t="shared" si="14"/>
        <v>55132.229643806873</v>
      </c>
      <c r="J36" s="829">
        <f t="shared" si="14"/>
        <v>56715.37183764088</v>
      </c>
      <c r="K36" s="829">
        <f t="shared" si="14"/>
        <v>57755.370310198981</v>
      </c>
      <c r="L36" s="829">
        <f t="shared" si="14"/>
        <v>58064.964155635738</v>
      </c>
      <c r="M36" s="829">
        <f t="shared" si="14"/>
        <v>58544.111120521964</v>
      </c>
      <c r="N36" s="829">
        <f t="shared" si="14"/>
        <v>58832.947282014764</v>
      </c>
      <c r="O36" s="829">
        <f t="shared" si="14"/>
        <v>58408.937017054937</v>
      </c>
      <c r="P36" s="974"/>
      <c r="Q36" s="974"/>
      <c r="R36" s="974"/>
      <c r="S36" s="974"/>
      <c r="T36" s="974"/>
      <c r="U36" s="974"/>
      <c r="V36" s="974"/>
      <c r="W36" s="974"/>
      <c r="X36" s="974"/>
      <c r="Y36" s="974"/>
      <c r="Z36" s="974"/>
      <c r="AA36" s="974"/>
    </row>
    <row r="37" spans="2:31">
      <c r="B37" s="1198"/>
      <c r="C37" s="145" t="s">
        <v>5</v>
      </c>
      <c r="D37" s="829">
        <f t="shared" si="0"/>
        <v>0</v>
      </c>
      <c r="E37" s="829">
        <f t="shared" ref="E37:O37" si="15">E151+E132+E113+E56+E94</f>
        <v>0</v>
      </c>
      <c r="F37" s="829">
        <f t="shared" si="15"/>
        <v>-2.5081794859725051</v>
      </c>
      <c r="G37" s="829">
        <f t="shared" si="15"/>
        <v>-4.1231216265296098</v>
      </c>
      <c r="H37" s="829">
        <f t="shared" si="15"/>
        <v>73.780183460839908</v>
      </c>
      <c r="I37" s="829">
        <f t="shared" si="15"/>
        <v>73.190157115546754</v>
      </c>
      <c r="J37" s="829">
        <f t="shared" si="15"/>
        <v>69.903620368160773</v>
      </c>
      <c r="K37" s="829">
        <f t="shared" si="15"/>
        <v>71.769655985423014</v>
      </c>
      <c r="L37" s="829">
        <f t="shared" si="15"/>
        <v>71.028396833688021</v>
      </c>
      <c r="M37" s="829">
        <f t="shared" si="15"/>
        <v>63.758373982389458</v>
      </c>
      <c r="N37" s="829">
        <f t="shared" si="15"/>
        <v>55.445688832725864</v>
      </c>
      <c r="O37" s="829">
        <f t="shared" si="15"/>
        <v>55.984878149392898</v>
      </c>
      <c r="P37" s="309"/>
      <c r="Q37" s="309"/>
      <c r="R37" s="309"/>
      <c r="S37" s="309"/>
      <c r="T37" s="309"/>
      <c r="U37" s="309"/>
      <c r="V37" s="309"/>
      <c r="W37" s="309"/>
      <c r="X37" s="309"/>
      <c r="Y37" s="309"/>
      <c r="Z37" s="309"/>
      <c r="AA37" s="383"/>
    </row>
    <row r="38" spans="2:31">
      <c r="B38" s="1198"/>
      <c r="C38" s="145" t="s">
        <v>44</v>
      </c>
      <c r="D38" s="829">
        <f t="shared" si="0"/>
        <v>0</v>
      </c>
      <c r="E38" s="829">
        <f t="shared" ref="E38:O38" si="16">E152+E133+E114+E57+E95</f>
        <v>0</v>
      </c>
      <c r="F38" s="829">
        <f t="shared" si="16"/>
        <v>-7894.1356423932812</v>
      </c>
      <c r="G38" s="829">
        <f t="shared" si="16"/>
        <v>-16258.982078367859</v>
      </c>
      <c r="H38" s="829">
        <f t="shared" si="16"/>
        <v>-19735.161444793222</v>
      </c>
      <c r="I38" s="829">
        <f t="shared" si="16"/>
        <v>-20219.849558153561</v>
      </c>
      <c r="J38" s="829">
        <f t="shared" si="16"/>
        <v>-20763.483310651587</v>
      </c>
      <c r="K38" s="829">
        <f t="shared" si="16"/>
        <v>-21148.236659740985</v>
      </c>
      <c r="L38" s="829">
        <f t="shared" si="16"/>
        <v>-21253.871289020419</v>
      </c>
      <c r="M38" s="829">
        <f t="shared" si="16"/>
        <v>-21375.329013747556</v>
      </c>
      <c r="N38" s="829">
        <f t="shared" si="16"/>
        <v>-21421.566932080168</v>
      </c>
      <c r="O38" s="829">
        <f t="shared" si="16"/>
        <v>-21273.625427361527</v>
      </c>
      <c r="P38" s="309"/>
      <c r="Q38" s="309"/>
      <c r="R38" s="309"/>
      <c r="S38" s="309"/>
      <c r="T38" s="309"/>
      <c r="U38" s="309"/>
      <c r="V38" s="309"/>
      <c r="W38" s="309"/>
      <c r="X38" s="309"/>
      <c r="Y38" s="309"/>
      <c r="Z38" s="309"/>
      <c r="AA38" s="383"/>
    </row>
    <row r="39" spans="2:31">
      <c r="B39" s="1198"/>
      <c r="C39" s="145" t="s">
        <v>562</v>
      </c>
      <c r="D39" s="829">
        <f t="shared" si="0"/>
        <v>0</v>
      </c>
      <c r="E39" s="829">
        <f t="shared" ref="E39:O39" si="17">E153+E134+E115+E58+E96</f>
        <v>0</v>
      </c>
      <c r="F39" s="829">
        <f t="shared" si="17"/>
        <v>-5131.2223382037482</v>
      </c>
      <c r="G39" s="829">
        <f t="shared" si="17"/>
        <v>-10557.024471548502</v>
      </c>
      <c r="H39" s="829">
        <f t="shared" si="17"/>
        <v>-11954.023091655225</v>
      </c>
      <c r="I39" s="829">
        <f t="shared" si="17"/>
        <v>-12273.832607705845</v>
      </c>
      <c r="J39" s="829">
        <f t="shared" si="17"/>
        <v>-12661.190559971728</v>
      </c>
      <c r="K39" s="829">
        <f t="shared" si="17"/>
        <v>-12889.575698828208</v>
      </c>
      <c r="L39" s="829">
        <f t="shared" si="17"/>
        <v>-12965.964629789232</v>
      </c>
      <c r="M39" s="829">
        <f t="shared" si="17"/>
        <v>-13123.858688937849</v>
      </c>
      <c r="N39" s="829">
        <f t="shared" si="17"/>
        <v>-13244.503270395333</v>
      </c>
      <c r="O39" s="829">
        <f t="shared" si="17"/>
        <v>-13142.967444172536</v>
      </c>
      <c r="P39" s="936"/>
      <c r="Q39" s="936"/>
      <c r="R39" s="936"/>
      <c r="S39" s="936"/>
      <c r="T39" s="936"/>
      <c r="U39" s="936"/>
      <c r="V39" s="936"/>
      <c r="W39" s="936"/>
      <c r="X39" s="936"/>
      <c r="Y39" s="936"/>
      <c r="Z39" s="936"/>
      <c r="AA39" s="936"/>
    </row>
    <row r="40" spans="2:31">
      <c r="B40" s="1198"/>
      <c r="C40" s="145" t="s">
        <v>2</v>
      </c>
      <c r="D40" s="829">
        <f t="shared" si="0"/>
        <v>0</v>
      </c>
      <c r="E40" s="829">
        <f t="shared" ref="E40:O40" si="18">E154+E135+E116+E59+E97</f>
        <v>0</v>
      </c>
      <c r="F40" s="829">
        <f t="shared" si="18"/>
        <v>256.74964741128497</v>
      </c>
      <c r="G40" s="829">
        <f t="shared" si="18"/>
        <v>528.23141644505085</v>
      </c>
      <c r="H40" s="829">
        <f t="shared" si="18"/>
        <v>597.54992338741431</v>
      </c>
      <c r="I40" s="829">
        <f t="shared" si="18"/>
        <v>613.55536566866795</v>
      </c>
      <c r="J40" s="829">
        <f t="shared" si="18"/>
        <v>632.96046262589516</v>
      </c>
      <c r="K40" s="829">
        <f t="shared" si="18"/>
        <v>644.37344551540446</v>
      </c>
      <c r="L40" s="829">
        <f t="shared" si="18"/>
        <v>648.20091861867695</v>
      </c>
      <c r="M40" s="829">
        <f t="shared" si="18"/>
        <v>656.15476111107273</v>
      </c>
      <c r="N40" s="829">
        <f t="shared" si="18"/>
        <v>662.25262794163427</v>
      </c>
      <c r="O40" s="829">
        <f t="shared" si="18"/>
        <v>657.16847572318511</v>
      </c>
      <c r="P40" s="309"/>
      <c r="Q40" s="309"/>
      <c r="R40" s="309"/>
      <c r="S40" s="309"/>
      <c r="T40" s="309"/>
      <c r="U40" s="309"/>
      <c r="V40" s="309"/>
      <c r="W40" s="309"/>
      <c r="X40" s="309"/>
      <c r="Y40" s="309"/>
      <c r="Z40" s="309"/>
      <c r="AA40" s="383"/>
    </row>
    <row r="41" spans="2:31">
      <c r="B41" s="1198"/>
      <c r="C41" s="145" t="s">
        <v>563</v>
      </c>
      <c r="D41" s="829">
        <f t="shared" si="0"/>
        <v>0</v>
      </c>
      <c r="E41" s="829">
        <f t="shared" ref="E41:O41" si="19">E155+E136+E117+E60+E98</f>
        <v>0</v>
      </c>
      <c r="F41" s="829">
        <f t="shared" si="19"/>
        <v>-102.68230667749594</v>
      </c>
      <c r="G41" s="829">
        <f t="shared" si="19"/>
        <v>-209.85082709652488</v>
      </c>
      <c r="H41" s="829">
        <f t="shared" si="19"/>
        <v>-131.07552379847039</v>
      </c>
      <c r="I41" s="829">
        <f t="shared" si="19"/>
        <v>-138.06434715191426</v>
      </c>
      <c r="J41" s="829">
        <f t="shared" si="19"/>
        <v>-150.02229656744748</v>
      </c>
      <c r="K41" s="829">
        <f t="shared" si="19"/>
        <v>-151.90661898200051</v>
      </c>
      <c r="L41" s="829">
        <f t="shared" si="19"/>
        <v>-154.39128052216256</v>
      </c>
      <c r="M41" s="829">
        <f t="shared" si="19"/>
        <v>-167.31983088867855</v>
      </c>
      <c r="N41" s="829">
        <f t="shared" si="19"/>
        <v>-180.94378194777528</v>
      </c>
      <c r="O41" s="829">
        <f t="shared" si="19"/>
        <v>-178.24703233828768</v>
      </c>
      <c r="P41" s="882" t="str">
        <f>D22</f>
        <v>2016/17</v>
      </c>
      <c r="Q41" s="882" t="str">
        <f t="shared" ref="Q41:AA41" si="20">E22</f>
        <v>2017/18</v>
      </c>
      <c r="R41" s="882" t="str">
        <f t="shared" si="20"/>
        <v>2018/19</v>
      </c>
      <c r="S41" s="882" t="str">
        <f t="shared" si="20"/>
        <v>2019/20</v>
      </c>
      <c r="T41" s="882" t="str">
        <f t="shared" si="20"/>
        <v>2020/21</v>
      </c>
      <c r="U41" s="882" t="str">
        <f t="shared" si="20"/>
        <v>2021/22</v>
      </c>
      <c r="V41" s="882" t="str">
        <f t="shared" si="20"/>
        <v>2022/23</v>
      </c>
      <c r="W41" s="882" t="str">
        <f t="shared" si="20"/>
        <v>2023/24</v>
      </c>
      <c r="X41" s="882" t="str">
        <f t="shared" si="20"/>
        <v>2024/25</v>
      </c>
      <c r="Y41" s="882" t="str">
        <f t="shared" si="20"/>
        <v>2025/26</v>
      </c>
      <c r="Z41" s="882" t="str">
        <f t="shared" si="20"/>
        <v>2026/27</v>
      </c>
      <c r="AA41" s="934" t="str">
        <f t="shared" si="20"/>
        <v>2027/28</v>
      </c>
      <c r="AC41" s="935"/>
      <c r="AD41" s="935"/>
      <c r="AE41" s="935"/>
    </row>
    <row r="42" spans="2:31">
      <c r="B42" s="1201" t="s">
        <v>1553</v>
      </c>
      <c r="C42" s="831" t="s">
        <v>558</v>
      </c>
      <c r="D42" s="832">
        <f>IF($B$15=$D$15,P42,0)</f>
        <v>0</v>
      </c>
      <c r="E42" s="832">
        <f t="shared" ref="E42:O57" si="21">IF($B$15=$D$15,Q42,0)</f>
        <v>0</v>
      </c>
      <c r="F42" s="832">
        <f t="shared" si="21"/>
        <v>0</v>
      </c>
      <c r="G42" s="832">
        <f t="shared" si="21"/>
        <v>0</v>
      </c>
      <c r="H42" s="832">
        <f t="shared" si="21"/>
        <v>0</v>
      </c>
      <c r="I42" s="832">
        <f t="shared" si="21"/>
        <v>0</v>
      </c>
      <c r="J42" s="832">
        <f t="shared" si="21"/>
        <v>0</v>
      </c>
      <c r="K42" s="832">
        <f t="shared" si="21"/>
        <v>0</v>
      </c>
      <c r="L42" s="832">
        <f t="shared" si="21"/>
        <v>0</v>
      </c>
      <c r="M42" s="832">
        <f t="shared" si="21"/>
        <v>0</v>
      </c>
      <c r="N42" s="832">
        <f t="shared" si="21"/>
        <v>0</v>
      </c>
      <c r="O42" s="832">
        <f t="shared" si="21"/>
        <v>0</v>
      </c>
      <c r="P42" s="958">
        <v>0</v>
      </c>
      <c r="Q42" s="958">
        <v>0</v>
      </c>
      <c r="R42" s="958">
        <v>0</v>
      </c>
      <c r="S42" s="958">
        <v>0</v>
      </c>
      <c r="T42" s="958">
        <v>0</v>
      </c>
      <c r="U42" s="958">
        <v>0</v>
      </c>
      <c r="V42" s="958">
        <v>0</v>
      </c>
      <c r="W42" s="958">
        <v>0</v>
      </c>
      <c r="X42" s="958">
        <v>0</v>
      </c>
      <c r="Y42" s="958">
        <v>0</v>
      </c>
      <c r="Z42" s="958">
        <v>0</v>
      </c>
      <c r="AA42" s="958">
        <v>0</v>
      </c>
      <c r="AC42" s="10"/>
    </row>
    <row r="43" spans="2:31">
      <c r="B43" s="1202"/>
      <c r="C43" s="831" t="s">
        <v>7</v>
      </c>
      <c r="D43" s="832">
        <f t="shared" ref="D43:D60" si="22">IF($B$15=$D$15,P43,0)</f>
        <v>0</v>
      </c>
      <c r="E43" s="832">
        <f t="shared" si="21"/>
        <v>0</v>
      </c>
      <c r="F43" s="832">
        <f t="shared" si="21"/>
        <v>0</v>
      </c>
      <c r="G43" s="832">
        <f t="shared" si="21"/>
        <v>0</v>
      </c>
      <c r="H43" s="832">
        <f t="shared" si="21"/>
        <v>0</v>
      </c>
      <c r="I43" s="832">
        <f t="shared" si="21"/>
        <v>0</v>
      </c>
      <c r="J43" s="832">
        <f t="shared" si="21"/>
        <v>0</v>
      </c>
      <c r="K43" s="832">
        <f t="shared" si="21"/>
        <v>0</v>
      </c>
      <c r="L43" s="832">
        <f t="shared" si="21"/>
        <v>0</v>
      </c>
      <c r="M43" s="832">
        <f t="shared" si="21"/>
        <v>0</v>
      </c>
      <c r="N43" s="832">
        <f t="shared" si="21"/>
        <v>0</v>
      </c>
      <c r="O43" s="832">
        <f t="shared" si="21"/>
        <v>0</v>
      </c>
      <c r="P43" s="958">
        <v>0</v>
      </c>
      <c r="Q43" s="958">
        <v>0</v>
      </c>
      <c r="R43" s="958">
        <v>0</v>
      </c>
      <c r="S43" s="958">
        <v>0</v>
      </c>
      <c r="T43" s="958">
        <v>0</v>
      </c>
      <c r="U43" s="958">
        <v>0</v>
      </c>
      <c r="V43" s="958">
        <v>0</v>
      </c>
      <c r="W43" s="958">
        <v>0</v>
      </c>
      <c r="X43" s="958">
        <v>0</v>
      </c>
      <c r="Y43" s="958">
        <v>0</v>
      </c>
      <c r="Z43" s="958">
        <v>0</v>
      </c>
      <c r="AA43" s="958">
        <v>0</v>
      </c>
      <c r="AC43" s="10"/>
    </row>
    <row r="44" spans="2:31">
      <c r="B44" s="1202"/>
      <c r="C44" s="831" t="s">
        <v>427</v>
      </c>
      <c r="D44" s="832">
        <f t="shared" si="22"/>
        <v>0</v>
      </c>
      <c r="E44" s="832">
        <f t="shared" si="21"/>
        <v>0</v>
      </c>
      <c r="F44" s="832">
        <f t="shared" si="21"/>
        <v>0</v>
      </c>
      <c r="G44" s="832">
        <f t="shared" si="21"/>
        <v>0</v>
      </c>
      <c r="H44" s="832">
        <f t="shared" si="21"/>
        <v>0</v>
      </c>
      <c r="I44" s="832">
        <f t="shared" si="21"/>
        <v>0</v>
      </c>
      <c r="J44" s="832">
        <f t="shared" si="21"/>
        <v>0</v>
      </c>
      <c r="K44" s="832">
        <f t="shared" si="21"/>
        <v>0</v>
      </c>
      <c r="L44" s="832">
        <f t="shared" si="21"/>
        <v>0</v>
      </c>
      <c r="M44" s="832">
        <f t="shared" si="21"/>
        <v>0</v>
      </c>
      <c r="N44" s="832">
        <f t="shared" si="21"/>
        <v>0</v>
      </c>
      <c r="O44" s="832">
        <f t="shared" si="21"/>
        <v>0</v>
      </c>
      <c r="P44" s="958">
        <v>0</v>
      </c>
      <c r="Q44" s="958">
        <v>0</v>
      </c>
      <c r="R44" s="958">
        <v>0</v>
      </c>
      <c r="S44" s="958">
        <v>0</v>
      </c>
      <c r="T44" s="958">
        <v>0</v>
      </c>
      <c r="U44" s="958">
        <v>0</v>
      </c>
      <c r="V44" s="958">
        <v>0</v>
      </c>
      <c r="W44" s="958">
        <v>0</v>
      </c>
      <c r="X44" s="958">
        <v>0</v>
      </c>
      <c r="Y44" s="958">
        <v>0</v>
      </c>
      <c r="Z44" s="958">
        <v>0</v>
      </c>
      <c r="AA44" s="958">
        <v>0</v>
      </c>
      <c r="AC44" s="10"/>
    </row>
    <row r="45" spans="2:31">
      <c r="B45" s="1202"/>
      <c r="C45" s="831" t="s">
        <v>3</v>
      </c>
      <c r="D45" s="832">
        <f t="shared" si="22"/>
        <v>0</v>
      </c>
      <c r="E45" s="832">
        <f t="shared" si="21"/>
        <v>0</v>
      </c>
      <c r="F45" s="832">
        <f t="shared" si="21"/>
        <v>0</v>
      </c>
      <c r="G45" s="832">
        <f t="shared" si="21"/>
        <v>0</v>
      </c>
      <c r="H45" s="832">
        <f t="shared" si="21"/>
        <v>0</v>
      </c>
      <c r="I45" s="832">
        <f t="shared" si="21"/>
        <v>0</v>
      </c>
      <c r="J45" s="832">
        <f t="shared" si="21"/>
        <v>0</v>
      </c>
      <c r="K45" s="832">
        <f t="shared" si="21"/>
        <v>0</v>
      </c>
      <c r="L45" s="832">
        <f t="shared" si="21"/>
        <v>0</v>
      </c>
      <c r="M45" s="832">
        <f t="shared" si="21"/>
        <v>0</v>
      </c>
      <c r="N45" s="832">
        <f t="shared" si="21"/>
        <v>0</v>
      </c>
      <c r="O45" s="832">
        <f t="shared" si="21"/>
        <v>0</v>
      </c>
      <c r="P45" s="958">
        <v>0</v>
      </c>
      <c r="Q45" s="958">
        <v>0</v>
      </c>
      <c r="R45" s="958">
        <v>0</v>
      </c>
      <c r="S45" s="958">
        <v>0</v>
      </c>
      <c r="T45" s="958">
        <v>0</v>
      </c>
      <c r="U45" s="958">
        <v>0</v>
      </c>
      <c r="V45" s="958">
        <v>0</v>
      </c>
      <c r="W45" s="958">
        <v>0</v>
      </c>
      <c r="X45" s="958">
        <v>0</v>
      </c>
      <c r="Y45" s="958">
        <v>0</v>
      </c>
      <c r="Z45" s="958">
        <v>0</v>
      </c>
      <c r="AA45" s="958">
        <v>0</v>
      </c>
      <c r="AC45" s="10"/>
    </row>
    <row r="46" spans="2:31">
      <c r="B46" s="1202"/>
      <c r="C46" s="831" t="s">
        <v>85</v>
      </c>
      <c r="D46" s="832">
        <f t="shared" si="22"/>
        <v>0</v>
      </c>
      <c r="E46" s="832">
        <f t="shared" si="21"/>
        <v>0</v>
      </c>
      <c r="F46" s="832">
        <f t="shared" si="21"/>
        <v>0</v>
      </c>
      <c r="G46" s="832">
        <f t="shared" si="21"/>
        <v>0</v>
      </c>
      <c r="H46" s="832">
        <f t="shared" si="21"/>
        <v>0</v>
      </c>
      <c r="I46" s="832">
        <f t="shared" si="21"/>
        <v>0</v>
      </c>
      <c r="J46" s="832">
        <f t="shared" si="21"/>
        <v>0</v>
      </c>
      <c r="K46" s="832">
        <f t="shared" si="21"/>
        <v>0</v>
      </c>
      <c r="L46" s="832">
        <f t="shared" si="21"/>
        <v>0</v>
      </c>
      <c r="M46" s="832">
        <f t="shared" si="21"/>
        <v>0</v>
      </c>
      <c r="N46" s="832">
        <f t="shared" si="21"/>
        <v>0</v>
      </c>
      <c r="O46" s="832">
        <f t="shared" si="21"/>
        <v>0</v>
      </c>
      <c r="P46" s="958">
        <v>0</v>
      </c>
      <c r="Q46" s="958">
        <v>0</v>
      </c>
      <c r="R46" s="958">
        <v>0</v>
      </c>
      <c r="S46" s="958">
        <v>0</v>
      </c>
      <c r="T46" s="958">
        <v>0</v>
      </c>
      <c r="U46" s="958">
        <v>0</v>
      </c>
      <c r="V46" s="958">
        <v>0</v>
      </c>
      <c r="W46" s="958">
        <v>0</v>
      </c>
      <c r="X46" s="958">
        <v>0</v>
      </c>
      <c r="Y46" s="958">
        <v>0</v>
      </c>
      <c r="Z46" s="958">
        <v>0</v>
      </c>
      <c r="AA46" s="958">
        <v>0</v>
      </c>
      <c r="AC46" s="10"/>
    </row>
    <row r="47" spans="2:31">
      <c r="B47" s="1202"/>
      <c r="C47" s="831" t="s">
        <v>103</v>
      </c>
      <c r="D47" s="832">
        <f t="shared" si="22"/>
        <v>0</v>
      </c>
      <c r="E47" s="832">
        <f t="shared" si="21"/>
        <v>0</v>
      </c>
      <c r="F47" s="832">
        <f t="shared" si="21"/>
        <v>0</v>
      </c>
      <c r="G47" s="832">
        <f t="shared" si="21"/>
        <v>0</v>
      </c>
      <c r="H47" s="832">
        <f t="shared" si="21"/>
        <v>0</v>
      </c>
      <c r="I47" s="832">
        <f t="shared" si="21"/>
        <v>0</v>
      </c>
      <c r="J47" s="832">
        <f t="shared" si="21"/>
        <v>0</v>
      </c>
      <c r="K47" s="832">
        <f t="shared" si="21"/>
        <v>0</v>
      </c>
      <c r="L47" s="832">
        <f t="shared" si="21"/>
        <v>0</v>
      </c>
      <c r="M47" s="832">
        <f t="shared" si="21"/>
        <v>0</v>
      </c>
      <c r="N47" s="832">
        <f t="shared" si="21"/>
        <v>0</v>
      </c>
      <c r="O47" s="832">
        <f t="shared" si="21"/>
        <v>0</v>
      </c>
      <c r="P47" s="958">
        <v>0</v>
      </c>
      <c r="Q47" s="958">
        <v>0</v>
      </c>
      <c r="R47" s="958">
        <v>0</v>
      </c>
      <c r="S47" s="958">
        <v>0</v>
      </c>
      <c r="T47" s="958">
        <v>0</v>
      </c>
      <c r="U47" s="958">
        <v>0</v>
      </c>
      <c r="V47" s="958">
        <v>0</v>
      </c>
      <c r="W47" s="958">
        <v>0</v>
      </c>
      <c r="X47" s="958">
        <v>0</v>
      </c>
      <c r="Y47" s="958">
        <v>0</v>
      </c>
      <c r="Z47" s="958">
        <v>0</v>
      </c>
      <c r="AA47" s="958">
        <v>0</v>
      </c>
      <c r="AC47" s="10"/>
    </row>
    <row r="48" spans="2:31">
      <c r="B48" s="1202"/>
      <c r="C48" s="831" t="s">
        <v>559</v>
      </c>
      <c r="D48" s="832">
        <f t="shared" si="22"/>
        <v>0</v>
      </c>
      <c r="E48" s="832">
        <f t="shared" si="21"/>
        <v>0</v>
      </c>
      <c r="F48" s="832">
        <f t="shared" si="21"/>
        <v>0</v>
      </c>
      <c r="G48" s="832">
        <f t="shared" si="21"/>
        <v>0</v>
      </c>
      <c r="H48" s="832">
        <f t="shared" si="21"/>
        <v>0</v>
      </c>
      <c r="I48" s="832">
        <f t="shared" si="21"/>
        <v>0</v>
      </c>
      <c r="J48" s="832">
        <f t="shared" si="21"/>
        <v>0</v>
      </c>
      <c r="K48" s="832">
        <f t="shared" si="21"/>
        <v>0</v>
      </c>
      <c r="L48" s="832">
        <f t="shared" si="21"/>
        <v>0</v>
      </c>
      <c r="M48" s="832">
        <f t="shared" si="21"/>
        <v>0</v>
      </c>
      <c r="N48" s="832">
        <f t="shared" si="21"/>
        <v>0</v>
      </c>
      <c r="O48" s="832">
        <f t="shared" si="21"/>
        <v>0</v>
      </c>
      <c r="P48" s="958">
        <v>0</v>
      </c>
      <c r="Q48" s="958">
        <v>0</v>
      </c>
      <c r="R48" s="958">
        <v>0</v>
      </c>
      <c r="S48" s="958">
        <v>0</v>
      </c>
      <c r="T48" s="958">
        <v>0</v>
      </c>
      <c r="U48" s="958">
        <v>0</v>
      </c>
      <c r="V48" s="958">
        <v>0</v>
      </c>
      <c r="W48" s="958">
        <v>0</v>
      </c>
      <c r="X48" s="958">
        <v>0</v>
      </c>
      <c r="Y48" s="958">
        <v>0</v>
      </c>
      <c r="Z48" s="958">
        <v>0</v>
      </c>
      <c r="AA48" s="958">
        <v>0</v>
      </c>
      <c r="AC48" s="10"/>
    </row>
    <row r="49" spans="2:29">
      <c r="B49" s="1202"/>
      <c r="C49" s="831" t="s">
        <v>6</v>
      </c>
      <c r="D49" s="832">
        <f t="shared" si="22"/>
        <v>0</v>
      </c>
      <c r="E49" s="832">
        <f t="shared" si="21"/>
        <v>0</v>
      </c>
      <c r="F49" s="832">
        <f t="shared" si="21"/>
        <v>0</v>
      </c>
      <c r="G49" s="832">
        <f t="shared" si="21"/>
        <v>0</v>
      </c>
      <c r="H49" s="832">
        <f t="shared" si="21"/>
        <v>0</v>
      </c>
      <c r="I49" s="832">
        <f t="shared" si="21"/>
        <v>0</v>
      </c>
      <c r="J49" s="832">
        <f t="shared" si="21"/>
        <v>0</v>
      </c>
      <c r="K49" s="832">
        <f t="shared" si="21"/>
        <v>0</v>
      </c>
      <c r="L49" s="832">
        <f t="shared" si="21"/>
        <v>0</v>
      </c>
      <c r="M49" s="832">
        <f t="shared" si="21"/>
        <v>0</v>
      </c>
      <c r="N49" s="832">
        <f t="shared" si="21"/>
        <v>0</v>
      </c>
      <c r="O49" s="832">
        <f t="shared" si="21"/>
        <v>0</v>
      </c>
      <c r="P49" s="958">
        <v>0</v>
      </c>
      <c r="Q49" s="958">
        <v>0</v>
      </c>
      <c r="R49" s="958">
        <v>0</v>
      </c>
      <c r="S49" s="958">
        <v>0</v>
      </c>
      <c r="T49" s="958">
        <v>0</v>
      </c>
      <c r="U49" s="958">
        <v>0</v>
      </c>
      <c r="V49" s="958">
        <v>0</v>
      </c>
      <c r="W49" s="958">
        <v>0</v>
      </c>
      <c r="X49" s="958">
        <v>0</v>
      </c>
      <c r="Y49" s="958">
        <v>0</v>
      </c>
      <c r="Z49" s="958">
        <v>0</v>
      </c>
      <c r="AA49" s="958">
        <v>0</v>
      </c>
      <c r="AC49" s="10"/>
    </row>
    <row r="50" spans="2:29">
      <c r="B50" s="1202"/>
      <c r="C50" s="831" t="s">
        <v>1</v>
      </c>
      <c r="D50" s="832">
        <f t="shared" si="22"/>
        <v>0</v>
      </c>
      <c r="E50" s="832">
        <f t="shared" si="21"/>
        <v>0</v>
      </c>
      <c r="F50" s="832">
        <f t="shared" si="21"/>
        <v>0</v>
      </c>
      <c r="G50" s="832">
        <f t="shared" si="21"/>
        <v>0</v>
      </c>
      <c r="H50" s="832">
        <f t="shared" si="21"/>
        <v>0</v>
      </c>
      <c r="I50" s="832">
        <f t="shared" si="21"/>
        <v>0</v>
      </c>
      <c r="J50" s="832">
        <f t="shared" si="21"/>
        <v>0</v>
      </c>
      <c r="K50" s="832">
        <f t="shared" si="21"/>
        <v>0</v>
      </c>
      <c r="L50" s="832">
        <f t="shared" si="21"/>
        <v>0</v>
      </c>
      <c r="M50" s="832">
        <f t="shared" si="21"/>
        <v>0</v>
      </c>
      <c r="N50" s="832">
        <f t="shared" si="21"/>
        <v>0</v>
      </c>
      <c r="O50" s="832">
        <f t="shared" si="21"/>
        <v>0</v>
      </c>
      <c r="P50" s="958">
        <v>0</v>
      </c>
      <c r="Q50" s="958">
        <v>0</v>
      </c>
      <c r="R50" s="958">
        <v>0</v>
      </c>
      <c r="S50" s="958">
        <v>0</v>
      </c>
      <c r="T50" s="958">
        <v>0</v>
      </c>
      <c r="U50" s="958">
        <v>0</v>
      </c>
      <c r="V50" s="958">
        <v>0</v>
      </c>
      <c r="W50" s="958">
        <v>0</v>
      </c>
      <c r="X50" s="958">
        <v>0</v>
      </c>
      <c r="Y50" s="958">
        <v>0</v>
      </c>
      <c r="Z50" s="958">
        <v>0</v>
      </c>
      <c r="AA50" s="958">
        <v>0</v>
      </c>
      <c r="AC50" s="10"/>
    </row>
    <row r="51" spans="2:29">
      <c r="B51" s="1202"/>
      <c r="C51" s="831" t="s">
        <v>396</v>
      </c>
      <c r="D51" s="832">
        <f t="shared" si="22"/>
        <v>0</v>
      </c>
      <c r="E51" s="832">
        <f t="shared" si="21"/>
        <v>0</v>
      </c>
      <c r="F51" s="832">
        <f t="shared" si="21"/>
        <v>0</v>
      </c>
      <c r="G51" s="832">
        <f t="shared" si="21"/>
        <v>0</v>
      </c>
      <c r="H51" s="832">
        <f t="shared" si="21"/>
        <v>0</v>
      </c>
      <c r="I51" s="832">
        <f t="shared" si="21"/>
        <v>0</v>
      </c>
      <c r="J51" s="832">
        <f t="shared" si="21"/>
        <v>0</v>
      </c>
      <c r="K51" s="832">
        <f t="shared" si="21"/>
        <v>0</v>
      </c>
      <c r="L51" s="832">
        <f t="shared" si="21"/>
        <v>0</v>
      </c>
      <c r="M51" s="832">
        <f t="shared" si="21"/>
        <v>0</v>
      </c>
      <c r="N51" s="832">
        <f t="shared" si="21"/>
        <v>0</v>
      </c>
      <c r="O51" s="832">
        <f t="shared" si="21"/>
        <v>0</v>
      </c>
      <c r="P51" s="958">
        <v>0</v>
      </c>
      <c r="Q51" s="958">
        <v>0</v>
      </c>
      <c r="R51" s="958">
        <v>0</v>
      </c>
      <c r="S51" s="958">
        <v>0</v>
      </c>
      <c r="T51" s="958">
        <v>0</v>
      </c>
      <c r="U51" s="958">
        <v>0</v>
      </c>
      <c r="V51" s="958">
        <v>0</v>
      </c>
      <c r="W51" s="958">
        <v>0</v>
      </c>
      <c r="X51" s="958">
        <v>0</v>
      </c>
      <c r="Y51" s="958">
        <v>0</v>
      </c>
      <c r="Z51" s="958">
        <v>0</v>
      </c>
      <c r="AA51" s="958">
        <v>0</v>
      </c>
      <c r="AC51" s="10"/>
    </row>
    <row r="52" spans="2:29">
      <c r="B52" s="1202"/>
      <c r="C52" s="831" t="s">
        <v>4</v>
      </c>
      <c r="D52" s="832">
        <f t="shared" si="22"/>
        <v>0</v>
      </c>
      <c r="E52" s="832">
        <f t="shared" si="21"/>
        <v>0</v>
      </c>
      <c r="F52" s="832">
        <f t="shared" si="21"/>
        <v>0</v>
      </c>
      <c r="G52" s="832">
        <f t="shared" si="21"/>
        <v>0</v>
      </c>
      <c r="H52" s="832">
        <f t="shared" si="21"/>
        <v>0</v>
      </c>
      <c r="I52" s="832">
        <f t="shared" si="21"/>
        <v>0</v>
      </c>
      <c r="J52" s="832">
        <f t="shared" si="21"/>
        <v>0</v>
      </c>
      <c r="K52" s="832">
        <f t="shared" si="21"/>
        <v>0</v>
      </c>
      <c r="L52" s="832">
        <f t="shared" si="21"/>
        <v>0</v>
      </c>
      <c r="M52" s="832">
        <f t="shared" si="21"/>
        <v>0</v>
      </c>
      <c r="N52" s="832">
        <f t="shared" si="21"/>
        <v>0</v>
      </c>
      <c r="O52" s="832">
        <f t="shared" si="21"/>
        <v>0</v>
      </c>
      <c r="P52" s="958">
        <v>0</v>
      </c>
      <c r="Q52" s="958">
        <v>0</v>
      </c>
      <c r="R52" s="958">
        <v>0</v>
      </c>
      <c r="S52" s="958">
        <v>0</v>
      </c>
      <c r="T52" s="958">
        <v>0</v>
      </c>
      <c r="U52" s="958">
        <v>0</v>
      </c>
      <c r="V52" s="958">
        <v>0</v>
      </c>
      <c r="W52" s="958">
        <v>0</v>
      </c>
      <c r="X52" s="958">
        <v>0</v>
      </c>
      <c r="Y52" s="958">
        <v>0</v>
      </c>
      <c r="Z52" s="958">
        <v>0</v>
      </c>
      <c r="AA52" s="958">
        <v>0</v>
      </c>
      <c r="AC52" s="10"/>
    </row>
    <row r="53" spans="2:29">
      <c r="B53" s="1202"/>
      <c r="C53" s="831" t="s">
        <v>0</v>
      </c>
      <c r="D53" s="832">
        <f t="shared" si="22"/>
        <v>0</v>
      </c>
      <c r="E53" s="832">
        <f t="shared" si="21"/>
        <v>0</v>
      </c>
      <c r="F53" s="832">
        <f t="shared" si="21"/>
        <v>0</v>
      </c>
      <c r="G53" s="832">
        <f t="shared" si="21"/>
        <v>0</v>
      </c>
      <c r="H53" s="832">
        <f t="shared" si="21"/>
        <v>0</v>
      </c>
      <c r="I53" s="832">
        <f t="shared" si="21"/>
        <v>0</v>
      </c>
      <c r="J53" s="832">
        <f t="shared" si="21"/>
        <v>0</v>
      </c>
      <c r="K53" s="832">
        <f t="shared" si="21"/>
        <v>0</v>
      </c>
      <c r="L53" s="832">
        <f t="shared" si="21"/>
        <v>0</v>
      </c>
      <c r="M53" s="832">
        <f t="shared" si="21"/>
        <v>0</v>
      </c>
      <c r="N53" s="832">
        <f t="shared" si="21"/>
        <v>0</v>
      </c>
      <c r="O53" s="832">
        <f t="shared" si="21"/>
        <v>0</v>
      </c>
      <c r="P53" s="958">
        <v>0</v>
      </c>
      <c r="Q53" s="958">
        <v>0</v>
      </c>
      <c r="R53" s="958">
        <v>0</v>
      </c>
      <c r="S53" s="958">
        <v>0</v>
      </c>
      <c r="T53" s="958">
        <v>0</v>
      </c>
      <c r="U53" s="958">
        <v>0</v>
      </c>
      <c r="V53" s="958">
        <v>0</v>
      </c>
      <c r="W53" s="958">
        <v>0</v>
      </c>
      <c r="X53" s="958">
        <v>0</v>
      </c>
      <c r="Y53" s="958">
        <v>0</v>
      </c>
      <c r="Z53" s="958">
        <v>0</v>
      </c>
      <c r="AA53" s="958">
        <v>0</v>
      </c>
      <c r="AC53" s="10"/>
    </row>
    <row r="54" spans="2:29">
      <c r="B54" s="1202"/>
      <c r="C54" s="831" t="s">
        <v>560</v>
      </c>
      <c r="D54" s="832">
        <f t="shared" si="22"/>
        <v>0</v>
      </c>
      <c r="E54" s="832">
        <f t="shared" si="21"/>
        <v>0</v>
      </c>
      <c r="F54" s="832">
        <f t="shared" si="21"/>
        <v>0</v>
      </c>
      <c r="G54" s="832">
        <f t="shared" si="21"/>
        <v>0</v>
      </c>
      <c r="H54" s="832">
        <f t="shared" si="21"/>
        <v>0</v>
      </c>
      <c r="I54" s="832">
        <f t="shared" si="21"/>
        <v>0</v>
      </c>
      <c r="J54" s="832">
        <f t="shared" si="21"/>
        <v>0</v>
      </c>
      <c r="K54" s="832">
        <f t="shared" si="21"/>
        <v>0</v>
      </c>
      <c r="L54" s="832">
        <f t="shared" si="21"/>
        <v>0</v>
      </c>
      <c r="M54" s="832">
        <f t="shared" si="21"/>
        <v>0</v>
      </c>
      <c r="N54" s="832">
        <f t="shared" si="21"/>
        <v>0</v>
      </c>
      <c r="O54" s="832">
        <f t="shared" si="21"/>
        <v>0</v>
      </c>
      <c r="P54" s="958">
        <v>0</v>
      </c>
      <c r="Q54" s="958">
        <v>0</v>
      </c>
      <c r="R54" s="958">
        <v>0</v>
      </c>
      <c r="S54" s="958">
        <v>0</v>
      </c>
      <c r="T54" s="958">
        <v>0</v>
      </c>
      <c r="U54" s="958">
        <v>0</v>
      </c>
      <c r="V54" s="958">
        <v>0</v>
      </c>
      <c r="W54" s="958">
        <v>0</v>
      </c>
      <c r="X54" s="958">
        <v>0</v>
      </c>
      <c r="Y54" s="958">
        <v>0</v>
      </c>
      <c r="Z54" s="958">
        <v>0</v>
      </c>
      <c r="AA54" s="958">
        <v>0</v>
      </c>
      <c r="AC54" s="10"/>
    </row>
    <row r="55" spans="2:29">
      <c r="B55" s="1202"/>
      <c r="C55" s="831" t="s">
        <v>561</v>
      </c>
      <c r="D55" s="832">
        <f t="shared" si="22"/>
        <v>0</v>
      </c>
      <c r="E55" s="832">
        <f t="shared" si="21"/>
        <v>0</v>
      </c>
      <c r="F55" s="832">
        <f t="shared" si="21"/>
        <v>0</v>
      </c>
      <c r="G55" s="832">
        <f t="shared" si="21"/>
        <v>0</v>
      </c>
      <c r="H55" s="832">
        <f t="shared" si="21"/>
        <v>0</v>
      </c>
      <c r="I55" s="832">
        <f t="shared" si="21"/>
        <v>0</v>
      </c>
      <c r="J55" s="832">
        <f t="shared" si="21"/>
        <v>0</v>
      </c>
      <c r="K55" s="832">
        <f t="shared" si="21"/>
        <v>0</v>
      </c>
      <c r="L55" s="832">
        <f t="shared" si="21"/>
        <v>0</v>
      </c>
      <c r="M55" s="832">
        <f t="shared" si="21"/>
        <v>0</v>
      </c>
      <c r="N55" s="832">
        <f t="shared" si="21"/>
        <v>0</v>
      </c>
      <c r="O55" s="832">
        <f t="shared" si="21"/>
        <v>0</v>
      </c>
      <c r="P55" s="958">
        <v>0</v>
      </c>
      <c r="Q55" s="958">
        <v>0</v>
      </c>
      <c r="R55" s="958">
        <v>0</v>
      </c>
      <c r="S55" s="958">
        <v>0</v>
      </c>
      <c r="T55" s="958">
        <v>0</v>
      </c>
      <c r="U55" s="958">
        <v>0</v>
      </c>
      <c r="V55" s="958">
        <v>0</v>
      </c>
      <c r="W55" s="958">
        <v>0</v>
      </c>
      <c r="X55" s="958">
        <v>0</v>
      </c>
      <c r="Y55" s="958">
        <v>0</v>
      </c>
      <c r="Z55" s="958">
        <v>0</v>
      </c>
      <c r="AA55" s="958">
        <v>0</v>
      </c>
      <c r="AC55" s="10"/>
    </row>
    <row r="56" spans="2:29">
      <c r="B56" s="1202"/>
      <c r="C56" s="831" t="s">
        <v>5</v>
      </c>
      <c r="D56" s="832">
        <f t="shared" si="22"/>
        <v>0</v>
      </c>
      <c r="E56" s="832">
        <f t="shared" si="21"/>
        <v>0</v>
      </c>
      <c r="F56" s="832">
        <f t="shared" si="21"/>
        <v>0</v>
      </c>
      <c r="G56" s="832">
        <f t="shared" si="21"/>
        <v>0</v>
      </c>
      <c r="H56" s="832">
        <f t="shared" si="21"/>
        <v>0</v>
      </c>
      <c r="I56" s="832">
        <f t="shared" si="21"/>
        <v>0</v>
      </c>
      <c r="J56" s="832">
        <f t="shared" si="21"/>
        <v>0</v>
      </c>
      <c r="K56" s="832">
        <f t="shared" si="21"/>
        <v>0</v>
      </c>
      <c r="L56" s="832">
        <f t="shared" si="21"/>
        <v>0</v>
      </c>
      <c r="M56" s="832">
        <f t="shared" si="21"/>
        <v>0</v>
      </c>
      <c r="N56" s="832">
        <f t="shared" si="21"/>
        <v>0</v>
      </c>
      <c r="O56" s="832">
        <f t="shared" si="21"/>
        <v>0</v>
      </c>
      <c r="P56" s="958">
        <v>0</v>
      </c>
      <c r="Q56" s="958">
        <v>0</v>
      </c>
      <c r="R56" s="958">
        <v>0</v>
      </c>
      <c r="S56" s="958">
        <v>0</v>
      </c>
      <c r="T56" s="958">
        <v>0</v>
      </c>
      <c r="U56" s="958">
        <v>0</v>
      </c>
      <c r="V56" s="958">
        <v>0</v>
      </c>
      <c r="W56" s="958">
        <v>0</v>
      </c>
      <c r="X56" s="958">
        <v>0</v>
      </c>
      <c r="Y56" s="958">
        <v>0</v>
      </c>
      <c r="Z56" s="958">
        <v>0</v>
      </c>
      <c r="AA56" s="958">
        <v>0</v>
      </c>
      <c r="AC56" s="10"/>
    </row>
    <row r="57" spans="2:29">
      <c r="B57" s="1202"/>
      <c r="C57" s="831" t="s">
        <v>44</v>
      </c>
      <c r="D57" s="832">
        <f t="shared" si="22"/>
        <v>0</v>
      </c>
      <c r="E57" s="832">
        <f t="shared" si="21"/>
        <v>0</v>
      </c>
      <c r="F57" s="832">
        <f t="shared" si="21"/>
        <v>0</v>
      </c>
      <c r="G57" s="832">
        <f t="shared" si="21"/>
        <v>0</v>
      </c>
      <c r="H57" s="832">
        <f t="shared" si="21"/>
        <v>0</v>
      </c>
      <c r="I57" s="832">
        <f t="shared" si="21"/>
        <v>0</v>
      </c>
      <c r="J57" s="832">
        <f t="shared" si="21"/>
        <v>0</v>
      </c>
      <c r="K57" s="832">
        <f t="shared" si="21"/>
        <v>0</v>
      </c>
      <c r="L57" s="832">
        <f t="shared" si="21"/>
        <v>0</v>
      </c>
      <c r="M57" s="832">
        <f t="shared" si="21"/>
        <v>0</v>
      </c>
      <c r="N57" s="832">
        <f t="shared" si="21"/>
        <v>0</v>
      </c>
      <c r="O57" s="832">
        <f t="shared" si="21"/>
        <v>0</v>
      </c>
      <c r="P57" s="958">
        <v>0</v>
      </c>
      <c r="Q57" s="958">
        <v>0</v>
      </c>
      <c r="R57" s="958">
        <v>0</v>
      </c>
      <c r="S57" s="958">
        <v>0</v>
      </c>
      <c r="T57" s="958">
        <v>0</v>
      </c>
      <c r="U57" s="958">
        <v>0</v>
      </c>
      <c r="V57" s="958">
        <v>0</v>
      </c>
      <c r="W57" s="958">
        <v>0</v>
      </c>
      <c r="X57" s="958">
        <v>0</v>
      </c>
      <c r="Y57" s="958">
        <v>0</v>
      </c>
      <c r="Z57" s="958">
        <v>0</v>
      </c>
      <c r="AA57" s="958">
        <v>0</v>
      </c>
      <c r="AC57" s="10"/>
    </row>
    <row r="58" spans="2:29">
      <c r="B58" s="1202"/>
      <c r="C58" s="831" t="s">
        <v>562</v>
      </c>
      <c r="D58" s="832">
        <f t="shared" si="22"/>
        <v>0</v>
      </c>
      <c r="E58" s="832">
        <f t="shared" ref="E58:O60" si="23">IF($B$15=$D$15,Q58,0)</f>
        <v>0</v>
      </c>
      <c r="F58" s="832">
        <f t="shared" si="23"/>
        <v>0</v>
      </c>
      <c r="G58" s="832">
        <f t="shared" si="23"/>
        <v>0</v>
      </c>
      <c r="H58" s="832">
        <f t="shared" si="23"/>
        <v>0</v>
      </c>
      <c r="I58" s="832">
        <f t="shared" si="23"/>
        <v>0</v>
      </c>
      <c r="J58" s="832">
        <f t="shared" si="23"/>
        <v>0</v>
      </c>
      <c r="K58" s="832">
        <f t="shared" si="23"/>
        <v>0</v>
      </c>
      <c r="L58" s="832">
        <f t="shared" si="23"/>
        <v>0</v>
      </c>
      <c r="M58" s="832">
        <f t="shared" si="23"/>
        <v>0</v>
      </c>
      <c r="N58" s="832">
        <f t="shared" si="23"/>
        <v>0</v>
      </c>
      <c r="O58" s="832">
        <f t="shared" si="23"/>
        <v>0</v>
      </c>
      <c r="P58" s="958">
        <v>0</v>
      </c>
      <c r="Q58" s="958">
        <v>0</v>
      </c>
      <c r="R58" s="958">
        <v>0</v>
      </c>
      <c r="S58" s="958">
        <v>0</v>
      </c>
      <c r="T58" s="958">
        <v>0</v>
      </c>
      <c r="U58" s="958">
        <v>0</v>
      </c>
      <c r="V58" s="958">
        <v>0</v>
      </c>
      <c r="W58" s="958">
        <v>0</v>
      </c>
      <c r="X58" s="958">
        <v>0</v>
      </c>
      <c r="Y58" s="958">
        <v>0</v>
      </c>
      <c r="Z58" s="958">
        <v>0</v>
      </c>
      <c r="AA58" s="958">
        <v>0</v>
      </c>
      <c r="AC58" s="10"/>
    </row>
    <row r="59" spans="2:29">
      <c r="B59" s="1202"/>
      <c r="C59" s="831" t="s">
        <v>2</v>
      </c>
      <c r="D59" s="832">
        <f t="shared" si="22"/>
        <v>0</v>
      </c>
      <c r="E59" s="832">
        <f t="shared" si="23"/>
        <v>0</v>
      </c>
      <c r="F59" s="832">
        <f t="shared" si="23"/>
        <v>0</v>
      </c>
      <c r="G59" s="832">
        <f t="shared" si="23"/>
        <v>0</v>
      </c>
      <c r="H59" s="832">
        <f t="shared" si="23"/>
        <v>0</v>
      </c>
      <c r="I59" s="832">
        <f t="shared" si="23"/>
        <v>0</v>
      </c>
      <c r="J59" s="832">
        <f t="shared" si="23"/>
        <v>0</v>
      </c>
      <c r="K59" s="832">
        <f t="shared" si="23"/>
        <v>0</v>
      </c>
      <c r="L59" s="832">
        <f t="shared" si="23"/>
        <v>0</v>
      </c>
      <c r="M59" s="832">
        <f t="shared" si="23"/>
        <v>0</v>
      </c>
      <c r="N59" s="832">
        <f t="shared" si="23"/>
        <v>0</v>
      </c>
      <c r="O59" s="832">
        <f t="shared" si="23"/>
        <v>0</v>
      </c>
      <c r="P59" s="958">
        <v>0</v>
      </c>
      <c r="Q59" s="958">
        <v>0</v>
      </c>
      <c r="R59" s="958">
        <v>0</v>
      </c>
      <c r="S59" s="958">
        <v>0</v>
      </c>
      <c r="T59" s="958">
        <v>0</v>
      </c>
      <c r="U59" s="958">
        <v>0</v>
      </c>
      <c r="V59" s="958">
        <v>0</v>
      </c>
      <c r="W59" s="958">
        <v>0</v>
      </c>
      <c r="X59" s="958">
        <v>0</v>
      </c>
      <c r="Y59" s="958">
        <v>0</v>
      </c>
      <c r="Z59" s="958">
        <v>0</v>
      </c>
      <c r="AA59" s="958">
        <v>0</v>
      </c>
      <c r="AC59" s="10"/>
    </row>
    <row r="60" spans="2:29">
      <c r="B60" s="1202"/>
      <c r="C60" s="831" t="s">
        <v>563</v>
      </c>
      <c r="D60" s="832">
        <f t="shared" si="22"/>
        <v>0</v>
      </c>
      <c r="E60" s="832">
        <f t="shared" si="23"/>
        <v>0</v>
      </c>
      <c r="F60" s="832">
        <f t="shared" si="23"/>
        <v>0</v>
      </c>
      <c r="G60" s="832">
        <f t="shared" si="23"/>
        <v>0</v>
      </c>
      <c r="H60" s="832">
        <f t="shared" si="23"/>
        <v>0</v>
      </c>
      <c r="I60" s="832">
        <f t="shared" si="23"/>
        <v>0</v>
      </c>
      <c r="J60" s="832">
        <f t="shared" si="23"/>
        <v>0</v>
      </c>
      <c r="K60" s="832">
        <f t="shared" si="23"/>
        <v>0</v>
      </c>
      <c r="L60" s="832">
        <f t="shared" si="23"/>
        <v>0</v>
      </c>
      <c r="M60" s="832">
        <f t="shared" si="23"/>
        <v>0</v>
      </c>
      <c r="N60" s="832">
        <f t="shared" si="23"/>
        <v>0</v>
      </c>
      <c r="O60" s="832">
        <f t="shared" si="23"/>
        <v>0</v>
      </c>
      <c r="P60" s="958">
        <v>0</v>
      </c>
      <c r="Q60" s="958">
        <v>0</v>
      </c>
      <c r="R60" s="958">
        <v>0</v>
      </c>
      <c r="S60" s="958">
        <v>0</v>
      </c>
      <c r="T60" s="958">
        <v>0</v>
      </c>
      <c r="U60" s="958">
        <v>0</v>
      </c>
      <c r="V60" s="958">
        <v>0</v>
      </c>
      <c r="W60" s="958">
        <v>0</v>
      </c>
      <c r="X60" s="958">
        <v>0</v>
      </c>
      <c r="Y60" s="958">
        <v>0</v>
      </c>
      <c r="Z60" s="958">
        <v>0</v>
      </c>
      <c r="AA60" s="958">
        <v>0</v>
      </c>
      <c r="AC60" s="10"/>
    </row>
    <row r="61" spans="2:29" ht="12.75" customHeight="1">
      <c r="B61" s="1200" t="s">
        <v>1754</v>
      </c>
      <c r="C61" s="133" t="s">
        <v>558</v>
      </c>
      <c r="D61" s="830">
        <f>IF($B$15=$D$16,P61,0)</f>
        <v>0</v>
      </c>
      <c r="E61" s="830">
        <f t="shared" ref="E61:O61" si="24">IF($B$15=$D$16,Q61,0)</f>
        <v>0</v>
      </c>
      <c r="F61" s="830">
        <f t="shared" si="24"/>
        <v>0</v>
      </c>
      <c r="G61" s="830">
        <f t="shared" si="24"/>
        <v>0</v>
      </c>
      <c r="H61" s="830">
        <f t="shared" si="24"/>
        <v>0</v>
      </c>
      <c r="I61" s="830">
        <f t="shared" si="24"/>
        <v>0</v>
      </c>
      <c r="J61" s="830">
        <f t="shared" si="24"/>
        <v>0</v>
      </c>
      <c r="K61" s="830">
        <f t="shared" si="24"/>
        <v>0</v>
      </c>
      <c r="L61" s="830">
        <f t="shared" si="24"/>
        <v>0</v>
      </c>
      <c r="M61" s="830">
        <f t="shared" si="24"/>
        <v>0</v>
      </c>
      <c r="N61" s="830">
        <f t="shared" si="24"/>
        <v>0</v>
      </c>
      <c r="O61" s="830">
        <f t="shared" si="24"/>
        <v>0</v>
      </c>
      <c r="P61" s="958">
        <v>0</v>
      </c>
      <c r="Q61" s="958">
        <v>0</v>
      </c>
      <c r="R61" s="958">
        <v>-802.05321945766138</v>
      </c>
      <c r="S61" s="958">
        <v>-1648.9615888692108</v>
      </c>
      <c r="T61" s="958">
        <v>-1777.152000146986</v>
      </c>
      <c r="U61" s="958">
        <v>-1827.6385601821919</v>
      </c>
      <c r="V61" s="958">
        <v>-1891.7396832957213</v>
      </c>
      <c r="W61" s="958">
        <v>-1925.1689592366067</v>
      </c>
      <c r="X61" s="958">
        <v>-1937.9168912286016</v>
      </c>
      <c r="Y61" s="958">
        <v>-1970.8503539466085</v>
      </c>
      <c r="Z61" s="958">
        <v>-1999.1786854599486</v>
      </c>
      <c r="AA61" s="958">
        <v>-1982.7460476387594</v>
      </c>
      <c r="AC61" s="10"/>
    </row>
    <row r="62" spans="2:29">
      <c r="B62" s="1196"/>
      <c r="C62" s="133" t="s">
        <v>7</v>
      </c>
      <c r="D62" s="830">
        <f t="shared" ref="D62:D79" si="25">IF($B$15=$D$16,P62,0)</f>
        <v>0</v>
      </c>
      <c r="E62" s="830">
        <f t="shared" ref="E62:E79" si="26">IF($B$15=$D$16,Q62,0)</f>
        <v>0</v>
      </c>
      <c r="F62" s="830">
        <f t="shared" ref="F62:F79" si="27">IF($B$15=$D$16,R62,0)</f>
        <v>0</v>
      </c>
      <c r="G62" s="830">
        <f t="shared" ref="G62:G79" si="28">IF($B$15=$D$16,S62,0)</f>
        <v>0</v>
      </c>
      <c r="H62" s="830">
        <f t="shared" ref="H62:H79" si="29">IF($B$15=$D$16,T62,0)</f>
        <v>0</v>
      </c>
      <c r="I62" s="830">
        <f t="shared" ref="I62:I79" si="30">IF($B$15=$D$16,U62,0)</f>
        <v>0</v>
      </c>
      <c r="J62" s="830">
        <f t="shared" ref="J62:J79" si="31">IF($B$15=$D$16,V62,0)</f>
        <v>0</v>
      </c>
      <c r="K62" s="830">
        <f t="shared" ref="K62:K79" si="32">IF($B$15=$D$16,W62,0)</f>
        <v>0</v>
      </c>
      <c r="L62" s="830">
        <f t="shared" ref="L62:L79" si="33">IF($B$15=$D$16,X62,0)</f>
        <v>0</v>
      </c>
      <c r="M62" s="830">
        <f t="shared" ref="M62:M79" si="34">IF($B$15=$D$16,Y62,0)</f>
        <v>0</v>
      </c>
      <c r="N62" s="830">
        <f t="shared" ref="N62:N79" si="35">IF($B$15=$D$16,Z62,0)</f>
        <v>0</v>
      </c>
      <c r="O62" s="830">
        <f t="shared" ref="O62:O79" si="36">IF($B$15=$D$16,AA62,0)</f>
        <v>0</v>
      </c>
      <c r="P62" s="958">
        <v>0</v>
      </c>
      <c r="Q62" s="958">
        <v>0</v>
      </c>
      <c r="R62" s="958">
        <v>99.581604297709418</v>
      </c>
      <c r="S62" s="958">
        <v>204.92530970789571</v>
      </c>
      <c r="T62" s="958">
        <v>235.46089141855677</v>
      </c>
      <c r="U62" s="958">
        <v>241.64853641103642</v>
      </c>
      <c r="V62" s="958">
        <v>249.03104390904386</v>
      </c>
      <c r="W62" s="958">
        <v>253.54948118460985</v>
      </c>
      <c r="X62" s="958">
        <v>255.00129063900872</v>
      </c>
      <c r="Y62" s="958">
        <v>257.75214417620253</v>
      </c>
      <c r="Z62" s="958">
        <v>259.73387468094978</v>
      </c>
      <c r="AA62" s="958">
        <v>257.78469971819624</v>
      </c>
      <c r="AC62" s="10"/>
    </row>
    <row r="63" spans="2:29">
      <c r="B63" s="1196"/>
      <c r="C63" s="133" t="s">
        <v>427</v>
      </c>
      <c r="D63" s="830">
        <f t="shared" si="25"/>
        <v>0</v>
      </c>
      <c r="E63" s="830">
        <f t="shared" si="26"/>
        <v>0</v>
      </c>
      <c r="F63" s="830">
        <f t="shared" si="27"/>
        <v>0</v>
      </c>
      <c r="G63" s="830">
        <f t="shared" si="28"/>
        <v>0</v>
      </c>
      <c r="H63" s="830">
        <f t="shared" si="29"/>
        <v>0</v>
      </c>
      <c r="I63" s="830">
        <f t="shared" si="30"/>
        <v>0</v>
      </c>
      <c r="J63" s="830">
        <f t="shared" si="31"/>
        <v>0</v>
      </c>
      <c r="K63" s="830">
        <f t="shared" si="32"/>
        <v>0</v>
      </c>
      <c r="L63" s="830">
        <f t="shared" si="33"/>
        <v>0</v>
      </c>
      <c r="M63" s="830">
        <f t="shared" si="34"/>
        <v>0</v>
      </c>
      <c r="N63" s="830">
        <f t="shared" si="35"/>
        <v>0</v>
      </c>
      <c r="O63" s="830">
        <f t="shared" si="36"/>
        <v>0</v>
      </c>
      <c r="P63" s="958">
        <v>0</v>
      </c>
      <c r="Q63" s="958">
        <v>0</v>
      </c>
      <c r="R63" s="958">
        <v>-807.27083966438897</v>
      </c>
      <c r="S63" s="958">
        <v>-1660.7890027939065</v>
      </c>
      <c r="T63" s="958">
        <v>-1873.183775701548</v>
      </c>
      <c r="U63" s="958">
        <v>-1923.5386629166871</v>
      </c>
      <c r="V63" s="958">
        <v>-1984.7710366042932</v>
      </c>
      <c r="W63" s="958">
        <v>-2020.5158522772811</v>
      </c>
      <c r="X63" s="958">
        <v>-2032.5999399358432</v>
      </c>
      <c r="Y63" s="958">
        <v>-2058.1169072133002</v>
      </c>
      <c r="Z63" s="958">
        <v>-2077.8733302218729</v>
      </c>
      <c r="AA63" s="958">
        <v>-2061.8531544841171</v>
      </c>
      <c r="AC63" s="10"/>
    </row>
    <row r="64" spans="2:29">
      <c r="B64" s="1196"/>
      <c r="C64" s="133" t="s">
        <v>3</v>
      </c>
      <c r="D64" s="830">
        <f t="shared" si="25"/>
        <v>0</v>
      </c>
      <c r="E64" s="830">
        <f t="shared" si="26"/>
        <v>0</v>
      </c>
      <c r="F64" s="830">
        <f t="shared" si="27"/>
        <v>0</v>
      </c>
      <c r="G64" s="830">
        <f t="shared" si="28"/>
        <v>0</v>
      </c>
      <c r="H64" s="830">
        <f t="shared" si="29"/>
        <v>0</v>
      </c>
      <c r="I64" s="830">
        <f t="shared" si="30"/>
        <v>0</v>
      </c>
      <c r="J64" s="830">
        <f t="shared" si="31"/>
        <v>0</v>
      </c>
      <c r="K64" s="830">
        <f t="shared" si="32"/>
        <v>0</v>
      </c>
      <c r="L64" s="830">
        <f t="shared" si="33"/>
        <v>0</v>
      </c>
      <c r="M64" s="830">
        <f t="shared" si="34"/>
        <v>0</v>
      </c>
      <c r="N64" s="830">
        <f t="shared" si="35"/>
        <v>0</v>
      </c>
      <c r="O64" s="830">
        <f t="shared" si="36"/>
        <v>0</v>
      </c>
      <c r="P64" s="958">
        <v>0</v>
      </c>
      <c r="Q64" s="958">
        <v>0</v>
      </c>
      <c r="R64" s="958">
        <v>87.15494472294813</v>
      </c>
      <c r="S64" s="958">
        <v>179.31350484497185</v>
      </c>
      <c r="T64" s="958">
        <v>203.05035978889404</v>
      </c>
      <c r="U64" s="958">
        <v>208.48234800700448</v>
      </c>
      <c r="V64" s="958">
        <v>215.0613724042681</v>
      </c>
      <c r="W64" s="958">
        <v>218.94075896304761</v>
      </c>
      <c r="X64" s="958">
        <v>220.23816546760887</v>
      </c>
      <c r="Y64" s="958">
        <v>222.91925067375027</v>
      </c>
      <c r="Z64" s="958">
        <v>224.96753019361253</v>
      </c>
      <c r="AA64" s="958">
        <v>223.24297486551222</v>
      </c>
      <c r="AC64" s="10"/>
    </row>
    <row r="65" spans="2:29">
      <c r="B65" s="1196"/>
      <c r="C65" s="133" t="s">
        <v>85</v>
      </c>
      <c r="D65" s="830">
        <f t="shared" si="25"/>
        <v>0</v>
      </c>
      <c r="E65" s="830">
        <f t="shared" si="26"/>
        <v>0</v>
      </c>
      <c r="F65" s="830">
        <f t="shared" si="27"/>
        <v>0</v>
      </c>
      <c r="G65" s="830">
        <f t="shared" si="28"/>
        <v>0</v>
      </c>
      <c r="H65" s="830">
        <f t="shared" si="29"/>
        <v>0</v>
      </c>
      <c r="I65" s="830">
        <f t="shared" si="30"/>
        <v>0</v>
      </c>
      <c r="J65" s="830">
        <f t="shared" si="31"/>
        <v>0</v>
      </c>
      <c r="K65" s="830">
        <f t="shared" si="32"/>
        <v>0</v>
      </c>
      <c r="L65" s="830">
        <f t="shared" si="33"/>
        <v>0</v>
      </c>
      <c r="M65" s="830">
        <f t="shared" si="34"/>
        <v>0</v>
      </c>
      <c r="N65" s="830">
        <f t="shared" si="35"/>
        <v>0</v>
      </c>
      <c r="O65" s="830">
        <f t="shared" si="36"/>
        <v>0</v>
      </c>
      <c r="P65" s="958">
        <v>0</v>
      </c>
      <c r="Q65" s="958">
        <v>0</v>
      </c>
      <c r="R65" s="958">
        <v>0</v>
      </c>
      <c r="S65" s="958">
        <v>0</v>
      </c>
      <c r="T65" s="958">
        <v>0</v>
      </c>
      <c r="U65" s="958">
        <v>0</v>
      </c>
      <c r="V65" s="958">
        <v>0</v>
      </c>
      <c r="W65" s="958">
        <v>0</v>
      </c>
      <c r="X65" s="958">
        <v>0</v>
      </c>
      <c r="Y65" s="958">
        <v>0</v>
      </c>
      <c r="Z65" s="958">
        <v>0</v>
      </c>
      <c r="AA65" s="958">
        <v>0</v>
      </c>
      <c r="AC65" s="10"/>
    </row>
    <row r="66" spans="2:29">
      <c r="B66" s="1196"/>
      <c r="C66" s="133" t="s">
        <v>103</v>
      </c>
      <c r="D66" s="830">
        <f t="shared" si="25"/>
        <v>0</v>
      </c>
      <c r="E66" s="830">
        <f t="shared" si="26"/>
        <v>0</v>
      </c>
      <c r="F66" s="830">
        <f t="shared" si="27"/>
        <v>0</v>
      </c>
      <c r="G66" s="830">
        <f t="shared" si="28"/>
        <v>0</v>
      </c>
      <c r="H66" s="830">
        <f t="shared" si="29"/>
        <v>0</v>
      </c>
      <c r="I66" s="830">
        <f t="shared" si="30"/>
        <v>0</v>
      </c>
      <c r="J66" s="830">
        <f t="shared" si="31"/>
        <v>0</v>
      </c>
      <c r="K66" s="830">
        <f t="shared" si="32"/>
        <v>0</v>
      </c>
      <c r="L66" s="830">
        <f t="shared" si="33"/>
        <v>0</v>
      </c>
      <c r="M66" s="830">
        <f t="shared" si="34"/>
        <v>0</v>
      </c>
      <c r="N66" s="830">
        <f t="shared" si="35"/>
        <v>0</v>
      </c>
      <c r="O66" s="830">
        <f t="shared" si="36"/>
        <v>0</v>
      </c>
      <c r="P66" s="958">
        <v>0</v>
      </c>
      <c r="Q66" s="958">
        <v>0</v>
      </c>
      <c r="R66" s="958">
        <v>-1588.4950479872205</v>
      </c>
      <c r="S66" s="958">
        <v>-3267.5920524583148</v>
      </c>
      <c r="T66" s="958">
        <v>-3655.1832297444926</v>
      </c>
      <c r="U66" s="958">
        <v>-3754.4357717076687</v>
      </c>
      <c r="V66" s="958">
        <v>-3876.1208109350264</v>
      </c>
      <c r="W66" s="958">
        <v>-3945.6934713967153</v>
      </c>
      <c r="X66" s="958">
        <v>-3969.7435662013791</v>
      </c>
      <c r="Y66" s="958">
        <v>-4022.7316553481892</v>
      </c>
      <c r="Z66" s="958">
        <v>-4064.7941669805782</v>
      </c>
      <c r="AA66" s="958">
        <v>-4033.0816682439568</v>
      </c>
      <c r="AC66" s="10"/>
    </row>
    <row r="67" spans="2:29">
      <c r="B67" s="1196"/>
      <c r="C67" s="133" t="s">
        <v>559</v>
      </c>
      <c r="D67" s="830">
        <f t="shared" si="25"/>
        <v>0</v>
      </c>
      <c r="E67" s="830">
        <f t="shared" si="26"/>
        <v>0</v>
      </c>
      <c r="F67" s="830">
        <f t="shared" si="27"/>
        <v>0</v>
      </c>
      <c r="G67" s="830">
        <f t="shared" si="28"/>
        <v>0</v>
      </c>
      <c r="H67" s="830">
        <f t="shared" si="29"/>
        <v>0</v>
      </c>
      <c r="I67" s="830">
        <f t="shared" si="30"/>
        <v>0</v>
      </c>
      <c r="J67" s="830">
        <f t="shared" si="31"/>
        <v>0</v>
      </c>
      <c r="K67" s="830">
        <f t="shared" si="32"/>
        <v>0</v>
      </c>
      <c r="L67" s="830">
        <f t="shared" si="33"/>
        <v>0</v>
      </c>
      <c r="M67" s="830">
        <f t="shared" si="34"/>
        <v>0</v>
      </c>
      <c r="N67" s="830">
        <f t="shared" si="35"/>
        <v>0</v>
      </c>
      <c r="O67" s="830">
        <f t="shared" si="36"/>
        <v>0</v>
      </c>
      <c r="P67" s="958">
        <v>0</v>
      </c>
      <c r="Q67" s="958">
        <v>0</v>
      </c>
      <c r="R67" s="958">
        <v>-2113.1932201947689</v>
      </c>
      <c r="S67" s="958">
        <v>-4348.6015168920176</v>
      </c>
      <c r="T67" s="958">
        <v>-4991.9781252806233</v>
      </c>
      <c r="U67" s="958">
        <v>-5123.3098433305377</v>
      </c>
      <c r="V67" s="958">
        <v>-5280.1536606376658</v>
      </c>
      <c r="W67" s="958">
        <v>-5375.9221240728702</v>
      </c>
      <c r="X67" s="958">
        <v>-5406.7718608013429</v>
      </c>
      <c r="Y67" s="958">
        <v>-5465.5689298035677</v>
      </c>
      <c r="Z67" s="958">
        <v>-5508.1068928786162</v>
      </c>
      <c r="AA67" s="958">
        <v>-5466.7152784484597</v>
      </c>
      <c r="AC67" s="10"/>
    </row>
    <row r="68" spans="2:29">
      <c r="B68" s="1196"/>
      <c r="C68" s="133" t="s">
        <v>6</v>
      </c>
      <c r="D68" s="830">
        <f t="shared" si="25"/>
        <v>0</v>
      </c>
      <c r="E68" s="830">
        <f t="shared" si="26"/>
        <v>0</v>
      </c>
      <c r="F68" s="830">
        <f t="shared" si="27"/>
        <v>0</v>
      </c>
      <c r="G68" s="830">
        <f t="shared" si="28"/>
        <v>0</v>
      </c>
      <c r="H68" s="830">
        <f t="shared" si="29"/>
        <v>0</v>
      </c>
      <c r="I68" s="830">
        <f t="shared" si="30"/>
        <v>0</v>
      </c>
      <c r="J68" s="830">
        <f t="shared" si="31"/>
        <v>0</v>
      </c>
      <c r="K68" s="830">
        <f t="shared" si="32"/>
        <v>0</v>
      </c>
      <c r="L68" s="830">
        <f t="shared" si="33"/>
        <v>0</v>
      </c>
      <c r="M68" s="830">
        <f t="shared" si="34"/>
        <v>0</v>
      </c>
      <c r="N68" s="830">
        <f t="shared" si="35"/>
        <v>0</v>
      </c>
      <c r="O68" s="830">
        <f t="shared" si="36"/>
        <v>0</v>
      </c>
      <c r="P68" s="958">
        <v>0</v>
      </c>
      <c r="Q68" s="958">
        <v>0</v>
      </c>
      <c r="R68" s="958">
        <v>-299.79708976830688</v>
      </c>
      <c r="S68" s="958">
        <v>-619.27866604920803</v>
      </c>
      <c r="T68" s="958">
        <v>-888.29421150471899</v>
      </c>
      <c r="U68" s="958">
        <v>-905.94522885227343</v>
      </c>
      <c r="V68" s="958">
        <v>-921.19154440146428</v>
      </c>
      <c r="W68" s="958">
        <v>-939.25108997336065</v>
      </c>
      <c r="X68" s="958">
        <v>-942.03564644560299</v>
      </c>
      <c r="Y68" s="958">
        <v>-934.10891724991961</v>
      </c>
      <c r="Z68" s="958">
        <v>-921.47612611749116</v>
      </c>
      <c r="AA68" s="958">
        <v>-916.71117437223438</v>
      </c>
      <c r="AC68" s="10"/>
    </row>
    <row r="69" spans="2:29">
      <c r="B69" s="1196"/>
      <c r="C69" s="133" t="s">
        <v>1</v>
      </c>
      <c r="D69" s="830">
        <f t="shared" si="25"/>
        <v>0</v>
      </c>
      <c r="E69" s="830">
        <f t="shared" si="26"/>
        <v>0</v>
      </c>
      <c r="F69" s="830">
        <f t="shared" si="27"/>
        <v>0</v>
      </c>
      <c r="G69" s="830">
        <f t="shared" si="28"/>
        <v>0</v>
      </c>
      <c r="H69" s="830">
        <f t="shared" si="29"/>
        <v>0</v>
      </c>
      <c r="I69" s="830">
        <f t="shared" si="30"/>
        <v>0</v>
      </c>
      <c r="J69" s="830">
        <f t="shared" si="31"/>
        <v>0</v>
      </c>
      <c r="K69" s="830">
        <f t="shared" si="32"/>
        <v>0</v>
      </c>
      <c r="L69" s="830">
        <f t="shared" si="33"/>
        <v>0</v>
      </c>
      <c r="M69" s="830">
        <f t="shared" si="34"/>
        <v>0</v>
      </c>
      <c r="N69" s="830">
        <f t="shared" si="35"/>
        <v>0</v>
      </c>
      <c r="O69" s="830">
        <f t="shared" si="36"/>
        <v>0</v>
      </c>
      <c r="P69" s="958">
        <v>0</v>
      </c>
      <c r="Q69" s="958">
        <v>0</v>
      </c>
      <c r="R69" s="958">
        <v>0</v>
      </c>
      <c r="S69" s="958">
        <v>0</v>
      </c>
      <c r="T69" s="958">
        <v>0</v>
      </c>
      <c r="U69" s="958">
        <v>0</v>
      </c>
      <c r="V69" s="958">
        <v>0</v>
      </c>
      <c r="W69" s="958">
        <v>0</v>
      </c>
      <c r="X69" s="958">
        <v>0</v>
      </c>
      <c r="Y69" s="958">
        <v>0</v>
      </c>
      <c r="Z69" s="958">
        <v>0</v>
      </c>
      <c r="AA69" s="958">
        <v>0</v>
      </c>
      <c r="AC69" s="10"/>
    </row>
    <row r="70" spans="2:29">
      <c r="B70" s="1196"/>
      <c r="C70" s="133" t="s">
        <v>396</v>
      </c>
      <c r="D70" s="830">
        <f t="shared" si="25"/>
        <v>0</v>
      </c>
      <c r="E70" s="830">
        <f t="shared" si="26"/>
        <v>0</v>
      </c>
      <c r="F70" s="830">
        <f t="shared" si="27"/>
        <v>0</v>
      </c>
      <c r="G70" s="830">
        <f t="shared" si="28"/>
        <v>0</v>
      </c>
      <c r="H70" s="830">
        <f t="shared" si="29"/>
        <v>0</v>
      </c>
      <c r="I70" s="830">
        <f t="shared" si="30"/>
        <v>0</v>
      </c>
      <c r="J70" s="830">
        <f t="shared" si="31"/>
        <v>0</v>
      </c>
      <c r="K70" s="830">
        <f t="shared" si="32"/>
        <v>0</v>
      </c>
      <c r="L70" s="830">
        <f t="shared" si="33"/>
        <v>0</v>
      </c>
      <c r="M70" s="830">
        <f t="shared" si="34"/>
        <v>0</v>
      </c>
      <c r="N70" s="830">
        <f t="shared" si="35"/>
        <v>0</v>
      </c>
      <c r="O70" s="830">
        <f t="shared" si="36"/>
        <v>0</v>
      </c>
      <c r="P70" s="958">
        <v>0</v>
      </c>
      <c r="Q70" s="958">
        <v>0</v>
      </c>
      <c r="R70" s="958">
        <v>-590.58159687163914</v>
      </c>
      <c r="S70" s="958">
        <v>-1214.8271909408384</v>
      </c>
      <c r="T70" s="958">
        <v>-1357.3661923614829</v>
      </c>
      <c r="U70" s="958">
        <v>-1394.2756060233999</v>
      </c>
      <c r="V70" s="958">
        <v>-1439.57807829118</v>
      </c>
      <c r="W70" s="958">
        <v>-1465.4049632461611</v>
      </c>
      <c r="X70" s="958">
        <v>-1474.3604666978765</v>
      </c>
      <c r="Y70" s="958">
        <v>-1494.2037374313852</v>
      </c>
      <c r="Z70" s="958">
        <v>-1510.0061122324817</v>
      </c>
      <c r="AA70" s="958">
        <v>-1498.2060891843819</v>
      </c>
      <c r="AC70" s="10"/>
    </row>
    <row r="71" spans="2:29">
      <c r="B71" s="1196"/>
      <c r="C71" s="133" t="s">
        <v>4</v>
      </c>
      <c r="D71" s="830">
        <f t="shared" si="25"/>
        <v>0</v>
      </c>
      <c r="E71" s="830">
        <f t="shared" si="26"/>
        <v>0</v>
      </c>
      <c r="F71" s="830">
        <f t="shared" si="27"/>
        <v>0</v>
      </c>
      <c r="G71" s="830">
        <f t="shared" si="28"/>
        <v>0</v>
      </c>
      <c r="H71" s="830">
        <f t="shared" si="29"/>
        <v>0</v>
      </c>
      <c r="I71" s="830">
        <f t="shared" si="30"/>
        <v>0</v>
      </c>
      <c r="J71" s="830">
        <f t="shared" si="31"/>
        <v>0</v>
      </c>
      <c r="K71" s="830">
        <f t="shared" si="32"/>
        <v>0</v>
      </c>
      <c r="L71" s="830">
        <f t="shared" si="33"/>
        <v>0</v>
      </c>
      <c r="M71" s="830">
        <f t="shared" si="34"/>
        <v>0</v>
      </c>
      <c r="N71" s="830">
        <f t="shared" si="35"/>
        <v>0</v>
      </c>
      <c r="O71" s="830">
        <f t="shared" si="36"/>
        <v>0</v>
      </c>
      <c r="P71" s="958">
        <v>0</v>
      </c>
      <c r="Q71" s="958">
        <v>0</v>
      </c>
      <c r="R71" s="958">
        <v>1600.9227354530692</v>
      </c>
      <c r="S71" s="958">
        <v>3292.7462408134211</v>
      </c>
      <c r="T71" s="958">
        <v>3652.3046932637808</v>
      </c>
      <c r="U71" s="958">
        <v>3752.5051853097393</v>
      </c>
      <c r="V71" s="958">
        <v>3876.3665535963469</v>
      </c>
      <c r="W71" s="958">
        <v>3945.7017473816327</v>
      </c>
      <c r="X71" s="958">
        <v>3970.2182586137401</v>
      </c>
      <c r="Y71" s="958">
        <v>4026.4642300930282</v>
      </c>
      <c r="Z71" s="958">
        <v>4072.118508497379</v>
      </c>
      <c r="AA71" s="958">
        <v>4039.9643831586582</v>
      </c>
      <c r="AC71" s="10"/>
    </row>
    <row r="72" spans="2:29">
      <c r="B72" s="1196"/>
      <c r="C72" s="133" t="s">
        <v>0</v>
      </c>
      <c r="D72" s="830">
        <f t="shared" si="25"/>
        <v>0</v>
      </c>
      <c r="E72" s="830">
        <f t="shared" si="26"/>
        <v>0</v>
      </c>
      <c r="F72" s="830">
        <f t="shared" si="27"/>
        <v>0</v>
      </c>
      <c r="G72" s="830">
        <f t="shared" si="28"/>
        <v>0</v>
      </c>
      <c r="H72" s="830">
        <f t="shared" si="29"/>
        <v>0</v>
      </c>
      <c r="I72" s="830">
        <f t="shared" si="30"/>
        <v>0</v>
      </c>
      <c r="J72" s="830">
        <f t="shared" si="31"/>
        <v>0</v>
      </c>
      <c r="K72" s="830">
        <f t="shared" si="32"/>
        <v>0</v>
      </c>
      <c r="L72" s="830">
        <f t="shared" si="33"/>
        <v>0</v>
      </c>
      <c r="M72" s="830">
        <f t="shared" si="34"/>
        <v>0</v>
      </c>
      <c r="N72" s="830">
        <f t="shared" si="35"/>
        <v>0</v>
      </c>
      <c r="O72" s="830">
        <f t="shared" si="36"/>
        <v>0</v>
      </c>
      <c r="P72" s="958">
        <v>0</v>
      </c>
      <c r="Q72" s="958">
        <v>0</v>
      </c>
      <c r="R72" s="958">
        <v>1331.3164479326126</v>
      </c>
      <c r="S72" s="958">
        <v>2736.6126425505304</v>
      </c>
      <c r="T72" s="958">
        <v>2913.4310076841698</v>
      </c>
      <c r="U72" s="958">
        <v>2997.4313854250554</v>
      </c>
      <c r="V72" s="958">
        <v>3105.2492597743017</v>
      </c>
      <c r="W72" s="958">
        <v>3159.832994624167</v>
      </c>
      <c r="X72" s="958">
        <v>3181.3152326715258</v>
      </c>
      <c r="Y72" s="958">
        <v>3239.2726353695421</v>
      </c>
      <c r="Z72" s="958">
        <v>3290.071529063765</v>
      </c>
      <c r="AA72" s="958">
        <v>3262.5711989444876</v>
      </c>
      <c r="AC72" s="10"/>
    </row>
    <row r="73" spans="2:29">
      <c r="B73" s="1196"/>
      <c r="C73" s="133" t="s">
        <v>560</v>
      </c>
      <c r="D73" s="830">
        <f t="shared" si="25"/>
        <v>0</v>
      </c>
      <c r="E73" s="830">
        <f t="shared" si="26"/>
        <v>0</v>
      </c>
      <c r="F73" s="830">
        <f t="shared" si="27"/>
        <v>0</v>
      </c>
      <c r="G73" s="830">
        <f t="shared" si="28"/>
        <v>0</v>
      </c>
      <c r="H73" s="830">
        <f t="shared" si="29"/>
        <v>0</v>
      </c>
      <c r="I73" s="830">
        <f t="shared" si="30"/>
        <v>0</v>
      </c>
      <c r="J73" s="830">
        <f t="shared" si="31"/>
        <v>0</v>
      </c>
      <c r="K73" s="830">
        <f t="shared" si="32"/>
        <v>0</v>
      </c>
      <c r="L73" s="830">
        <f t="shared" si="33"/>
        <v>0</v>
      </c>
      <c r="M73" s="830">
        <f t="shared" si="34"/>
        <v>0</v>
      </c>
      <c r="N73" s="830">
        <f t="shared" si="35"/>
        <v>0</v>
      </c>
      <c r="O73" s="830">
        <f t="shared" si="36"/>
        <v>0</v>
      </c>
      <c r="P73" s="958">
        <v>0</v>
      </c>
      <c r="Q73" s="958">
        <v>0</v>
      </c>
      <c r="R73" s="958">
        <v>0</v>
      </c>
      <c r="S73" s="958">
        <v>0</v>
      </c>
      <c r="T73" s="958">
        <v>0</v>
      </c>
      <c r="U73" s="958">
        <v>0</v>
      </c>
      <c r="V73" s="958">
        <v>0</v>
      </c>
      <c r="W73" s="958">
        <v>0</v>
      </c>
      <c r="X73" s="958">
        <v>0</v>
      </c>
      <c r="Y73" s="958">
        <v>0</v>
      </c>
      <c r="Z73" s="958">
        <v>0</v>
      </c>
      <c r="AA73" s="958">
        <v>0</v>
      </c>
      <c r="AC73" s="10"/>
    </row>
    <row r="74" spans="2:29">
      <c r="B74" s="1196"/>
      <c r="C74" s="133" t="s">
        <v>561</v>
      </c>
      <c r="D74" s="830">
        <f t="shared" si="25"/>
        <v>0</v>
      </c>
      <c r="E74" s="830">
        <f t="shared" si="26"/>
        <v>0</v>
      </c>
      <c r="F74" s="830">
        <f t="shared" si="27"/>
        <v>0</v>
      </c>
      <c r="G74" s="830">
        <f t="shared" si="28"/>
        <v>0</v>
      </c>
      <c r="H74" s="830">
        <f t="shared" si="29"/>
        <v>0</v>
      </c>
      <c r="I74" s="830">
        <f t="shared" si="30"/>
        <v>0</v>
      </c>
      <c r="J74" s="830">
        <f t="shared" si="31"/>
        <v>0</v>
      </c>
      <c r="K74" s="830">
        <f t="shared" si="32"/>
        <v>0</v>
      </c>
      <c r="L74" s="830">
        <f t="shared" si="33"/>
        <v>0</v>
      </c>
      <c r="M74" s="830">
        <f t="shared" si="34"/>
        <v>0</v>
      </c>
      <c r="N74" s="830">
        <f t="shared" si="35"/>
        <v>0</v>
      </c>
      <c r="O74" s="830">
        <f t="shared" si="36"/>
        <v>0</v>
      </c>
      <c r="P74" s="958">
        <v>0</v>
      </c>
      <c r="Q74" s="958">
        <v>0</v>
      </c>
      <c r="R74" s="958">
        <v>7373.6815546540502</v>
      </c>
      <c r="S74" s="958">
        <v>15180.368680818132</v>
      </c>
      <c r="T74" s="958">
        <v>17921.887233717338</v>
      </c>
      <c r="U74" s="958">
        <v>18377.409881268959</v>
      </c>
      <c r="V74" s="958">
        <v>18905.123945880292</v>
      </c>
      <c r="W74" s="958">
        <v>19251.79010339966</v>
      </c>
      <c r="X74" s="958">
        <v>19354.988051878579</v>
      </c>
      <c r="Y74" s="958">
        <v>19514.703706840653</v>
      </c>
      <c r="Z74" s="958">
        <v>19610.982427338255</v>
      </c>
      <c r="AA74" s="958">
        <v>19469.645672351646</v>
      </c>
      <c r="AC74" s="10"/>
    </row>
    <row r="75" spans="2:29">
      <c r="B75" s="1196"/>
      <c r="C75" s="133" t="s">
        <v>5</v>
      </c>
      <c r="D75" s="830">
        <f t="shared" si="25"/>
        <v>0</v>
      </c>
      <c r="E75" s="830">
        <f t="shared" si="26"/>
        <v>0</v>
      </c>
      <c r="F75" s="830">
        <f t="shared" si="27"/>
        <v>0</v>
      </c>
      <c r="G75" s="830">
        <f t="shared" si="28"/>
        <v>0</v>
      </c>
      <c r="H75" s="830">
        <f t="shared" si="29"/>
        <v>0</v>
      </c>
      <c r="I75" s="830">
        <f t="shared" si="30"/>
        <v>0</v>
      </c>
      <c r="J75" s="830">
        <f t="shared" si="31"/>
        <v>0</v>
      </c>
      <c r="K75" s="830">
        <f t="shared" si="32"/>
        <v>0</v>
      </c>
      <c r="L75" s="830">
        <f t="shared" si="33"/>
        <v>0</v>
      </c>
      <c r="M75" s="830">
        <f t="shared" si="34"/>
        <v>0</v>
      </c>
      <c r="N75" s="830">
        <f t="shared" si="35"/>
        <v>0</v>
      </c>
      <c r="O75" s="830">
        <f t="shared" si="36"/>
        <v>0</v>
      </c>
      <c r="P75" s="958">
        <v>0</v>
      </c>
      <c r="Q75" s="958">
        <v>0</v>
      </c>
      <c r="R75" s="958">
        <v>-0.83605982865750172</v>
      </c>
      <c r="S75" s="958">
        <v>-1.37437387550987</v>
      </c>
      <c r="T75" s="958">
        <v>24.593394486946636</v>
      </c>
      <c r="U75" s="958">
        <v>24.396719038515585</v>
      </c>
      <c r="V75" s="958">
        <v>23.301206789386924</v>
      </c>
      <c r="W75" s="958">
        <v>23.92321866180767</v>
      </c>
      <c r="X75" s="958">
        <v>23.676132277896006</v>
      </c>
      <c r="Y75" s="958">
        <v>21.252791327463154</v>
      </c>
      <c r="Z75" s="958">
        <v>18.481896277575288</v>
      </c>
      <c r="AA75" s="958">
        <v>18.661626049797633</v>
      </c>
      <c r="AC75" s="10"/>
    </row>
    <row r="76" spans="2:29">
      <c r="B76" s="1196"/>
      <c r="C76" s="133" t="s">
        <v>44</v>
      </c>
      <c r="D76" s="830">
        <f t="shared" si="25"/>
        <v>0</v>
      </c>
      <c r="E76" s="830">
        <f t="shared" si="26"/>
        <v>0</v>
      </c>
      <c r="F76" s="830">
        <f t="shared" si="27"/>
        <v>0</v>
      </c>
      <c r="G76" s="830">
        <f t="shared" si="28"/>
        <v>0</v>
      </c>
      <c r="H76" s="830">
        <f t="shared" si="29"/>
        <v>0</v>
      </c>
      <c r="I76" s="830">
        <f t="shared" si="30"/>
        <v>0</v>
      </c>
      <c r="J76" s="830">
        <f t="shared" si="31"/>
        <v>0</v>
      </c>
      <c r="K76" s="830">
        <f t="shared" si="32"/>
        <v>0</v>
      </c>
      <c r="L76" s="830">
        <f t="shared" si="33"/>
        <v>0</v>
      </c>
      <c r="M76" s="830">
        <f t="shared" si="34"/>
        <v>0</v>
      </c>
      <c r="N76" s="830">
        <f t="shared" si="35"/>
        <v>0</v>
      </c>
      <c r="O76" s="830">
        <f t="shared" si="36"/>
        <v>0</v>
      </c>
      <c r="P76" s="958">
        <v>0</v>
      </c>
      <c r="Q76" s="958">
        <v>0</v>
      </c>
      <c r="R76" s="958">
        <v>-2631.3785474644269</v>
      </c>
      <c r="S76" s="958">
        <v>-5419.6606927892863</v>
      </c>
      <c r="T76" s="958">
        <v>-6578.3871482644072</v>
      </c>
      <c r="U76" s="958">
        <v>-6739.9498527178539</v>
      </c>
      <c r="V76" s="958">
        <v>-6921.1611035505293</v>
      </c>
      <c r="W76" s="958">
        <v>-7049.4122199136618</v>
      </c>
      <c r="X76" s="958">
        <v>-7084.6237630068063</v>
      </c>
      <c r="Y76" s="958">
        <v>-7125.1096712491853</v>
      </c>
      <c r="Z76" s="958">
        <v>-7140.522310693389</v>
      </c>
      <c r="AA76" s="958">
        <v>-7091.2084757871753</v>
      </c>
      <c r="AC76" s="10"/>
    </row>
    <row r="77" spans="2:29">
      <c r="B77" s="1196"/>
      <c r="C77" s="133" t="s">
        <v>562</v>
      </c>
      <c r="D77" s="830">
        <f t="shared" si="25"/>
        <v>0</v>
      </c>
      <c r="E77" s="830">
        <f t="shared" si="26"/>
        <v>0</v>
      </c>
      <c r="F77" s="830">
        <f t="shared" si="27"/>
        <v>0</v>
      </c>
      <c r="G77" s="830">
        <f t="shared" si="28"/>
        <v>0</v>
      </c>
      <c r="H77" s="830">
        <f t="shared" si="29"/>
        <v>0</v>
      </c>
      <c r="I77" s="830">
        <f t="shared" si="30"/>
        <v>0</v>
      </c>
      <c r="J77" s="830">
        <f t="shared" si="31"/>
        <v>0</v>
      </c>
      <c r="K77" s="830">
        <f t="shared" si="32"/>
        <v>0</v>
      </c>
      <c r="L77" s="830">
        <f t="shared" si="33"/>
        <v>0</v>
      </c>
      <c r="M77" s="830">
        <f t="shared" si="34"/>
        <v>0</v>
      </c>
      <c r="N77" s="830">
        <f t="shared" si="35"/>
        <v>0</v>
      </c>
      <c r="O77" s="830">
        <f t="shared" si="36"/>
        <v>0</v>
      </c>
      <c r="P77" s="958">
        <v>0</v>
      </c>
      <c r="Q77" s="958">
        <v>0</v>
      </c>
      <c r="R77" s="958">
        <v>-1710.407446067916</v>
      </c>
      <c r="S77" s="958">
        <v>-3519.0081571828341</v>
      </c>
      <c r="T77" s="958">
        <v>-3984.6743638850749</v>
      </c>
      <c r="U77" s="958">
        <v>-4091.2775359019483</v>
      </c>
      <c r="V77" s="958">
        <v>-4220.3968533239095</v>
      </c>
      <c r="W77" s="958">
        <v>-4296.5252329427358</v>
      </c>
      <c r="X77" s="958">
        <v>-4321.9882099297438</v>
      </c>
      <c r="Y77" s="958">
        <v>-4374.6195629792828</v>
      </c>
      <c r="Z77" s="958">
        <v>-4414.8344234651113</v>
      </c>
      <c r="AA77" s="958">
        <v>-4380.9891480575125</v>
      </c>
      <c r="AC77" s="10"/>
    </row>
    <row r="78" spans="2:29">
      <c r="B78" s="1196"/>
      <c r="C78" s="133" t="s">
        <v>2</v>
      </c>
      <c r="D78" s="830">
        <f t="shared" si="25"/>
        <v>0</v>
      </c>
      <c r="E78" s="830">
        <f t="shared" si="26"/>
        <v>0</v>
      </c>
      <c r="F78" s="830">
        <f t="shared" si="27"/>
        <v>0</v>
      </c>
      <c r="G78" s="830">
        <f t="shared" si="28"/>
        <v>0</v>
      </c>
      <c r="H78" s="830">
        <f t="shared" si="29"/>
        <v>0</v>
      </c>
      <c r="I78" s="830">
        <f t="shared" si="30"/>
        <v>0</v>
      </c>
      <c r="J78" s="830">
        <f t="shared" si="31"/>
        <v>0</v>
      </c>
      <c r="K78" s="830">
        <f t="shared" si="32"/>
        <v>0</v>
      </c>
      <c r="L78" s="830">
        <f t="shared" si="33"/>
        <v>0</v>
      </c>
      <c r="M78" s="830">
        <f t="shared" si="34"/>
        <v>0</v>
      </c>
      <c r="N78" s="830">
        <f t="shared" si="35"/>
        <v>0</v>
      </c>
      <c r="O78" s="830">
        <f t="shared" si="36"/>
        <v>0</v>
      </c>
      <c r="P78" s="958">
        <v>0</v>
      </c>
      <c r="Q78" s="958">
        <v>0</v>
      </c>
      <c r="R78" s="958">
        <v>85.583215803761661</v>
      </c>
      <c r="S78" s="958">
        <v>176.07713881501695</v>
      </c>
      <c r="T78" s="958">
        <v>199.18330779580478</v>
      </c>
      <c r="U78" s="958">
        <v>204.51845522288932</v>
      </c>
      <c r="V78" s="958">
        <v>210.98682087529838</v>
      </c>
      <c r="W78" s="958">
        <v>214.79114850513483</v>
      </c>
      <c r="X78" s="958">
        <v>216.06697287289231</v>
      </c>
      <c r="Y78" s="958">
        <v>218.71825370369092</v>
      </c>
      <c r="Z78" s="958">
        <v>220.75087598054475</v>
      </c>
      <c r="AA78" s="958">
        <v>219.05615857439503</v>
      </c>
      <c r="AC78" s="10"/>
    </row>
    <row r="79" spans="2:29">
      <c r="B79" s="1196"/>
      <c r="C79" s="133" t="s">
        <v>563</v>
      </c>
      <c r="D79" s="830">
        <f t="shared" si="25"/>
        <v>0</v>
      </c>
      <c r="E79" s="830">
        <f t="shared" si="26"/>
        <v>0</v>
      </c>
      <c r="F79" s="830">
        <f t="shared" si="27"/>
        <v>0</v>
      </c>
      <c r="G79" s="830">
        <f t="shared" si="28"/>
        <v>0</v>
      </c>
      <c r="H79" s="830">
        <f t="shared" si="29"/>
        <v>0</v>
      </c>
      <c r="I79" s="830">
        <f t="shared" si="30"/>
        <v>0</v>
      </c>
      <c r="J79" s="830">
        <f t="shared" si="31"/>
        <v>0</v>
      </c>
      <c r="K79" s="830">
        <f t="shared" si="32"/>
        <v>0</v>
      </c>
      <c r="L79" s="830">
        <f t="shared" si="33"/>
        <v>0</v>
      </c>
      <c r="M79" s="830">
        <f t="shared" si="34"/>
        <v>0</v>
      </c>
      <c r="N79" s="830">
        <f t="shared" si="35"/>
        <v>0</v>
      </c>
      <c r="O79" s="830">
        <f t="shared" si="36"/>
        <v>0</v>
      </c>
      <c r="P79" s="958">
        <v>0</v>
      </c>
      <c r="Q79" s="958">
        <v>0</v>
      </c>
      <c r="R79" s="958">
        <v>-34.227435559165315</v>
      </c>
      <c r="S79" s="958">
        <v>-69.950275698841622</v>
      </c>
      <c r="T79" s="958">
        <v>-43.691841266156793</v>
      </c>
      <c r="U79" s="958">
        <v>-46.02144905063809</v>
      </c>
      <c r="V79" s="958">
        <v>-50.007432189149164</v>
      </c>
      <c r="W79" s="958">
        <v>-50.635539660666836</v>
      </c>
      <c r="X79" s="958">
        <v>-51.463760174054187</v>
      </c>
      <c r="Y79" s="958">
        <v>-55.773276962892851</v>
      </c>
      <c r="Z79" s="958">
        <v>-60.314593982591759</v>
      </c>
      <c r="AA79" s="958">
        <v>-59.415677446095891</v>
      </c>
      <c r="AC79" s="10"/>
    </row>
    <row r="80" spans="2:29" ht="12.75" customHeight="1">
      <c r="B80" s="1201" t="s">
        <v>1750</v>
      </c>
      <c r="C80" s="831" t="s">
        <v>558</v>
      </c>
      <c r="D80" s="832">
        <f>IF($B$15=$D$17,P80,0)</f>
        <v>0</v>
      </c>
      <c r="E80" s="832">
        <f t="shared" ref="E80:O95" si="37">IF($B$15=$D$17,Q80,0)</f>
        <v>0</v>
      </c>
      <c r="F80" s="832">
        <f t="shared" si="37"/>
        <v>0</v>
      </c>
      <c r="G80" s="832">
        <f t="shared" si="37"/>
        <v>0</v>
      </c>
      <c r="H80" s="832">
        <f t="shared" si="37"/>
        <v>0</v>
      </c>
      <c r="I80" s="832">
        <f t="shared" si="37"/>
        <v>0</v>
      </c>
      <c r="J80" s="832">
        <f t="shared" si="37"/>
        <v>0</v>
      </c>
      <c r="K80" s="832">
        <f t="shared" si="37"/>
        <v>0</v>
      </c>
      <c r="L80" s="832">
        <f t="shared" si="37"/>
        <v>0</v>
      </c>
      <c r="M80" s="832">
        <f t="shared" si="37"/>
        <v>0</v>
      </c>
      <c r="N80" s="832">
        <f t="shared" si="37"/>
        <v>0</v>
      </c>
      <c r="O80" s="832">
        <f t="shared" si="37"/>
        <v>0</v>
      </c>
      <c r="P80" s="958">
        <v>0</v>
      </c>
      <c r="Q80" s="958">
        <v>0</v>
      </c>
      <c r="R80" s="958">
        <v>-1604.1064389153228</v>
      </c>
      <c r="S80" s="958">
        <v>-3297.9231777384216</v>
      </c>
      <c r="T80" s="958">
        <v>-3554.304000293972</v>
      </c>
      <c r="U80" s="958">
        <v>-3655.2771203643838</v>
      </c>
      <c r="V80" s="958">
        <v>-3783.4793665914426</v>
      </c>
      <c r="W80" s="958">
        <v>-3850.3379184732134</v>
      </c>
      <c r="X80" s="958">
        <v>-3875.8337824572031</v>
      </c>
      <c r="Y80" s="958">
        <v>-3941.700707893217</v>
      </c>
      <c r="Z80" s="958">
        <v>-3998.3573709198972</v>
      </c>
      <c r="AA80" s="959">
        <v>-3965.4920952775187</v>
      </c>
      <c r="AC80" s="10"/>
    </row>
    <row r="81" spans="2:29">
      <c r="B81" s="1202"/>
      <c r="C81" s="831" t="s">
        <v>7</v>
      </c>
      <c r="D81" s="832">
        <f t="shared" ref="D81:D98" si="38">IF($B$15=$D$17,P81,0)</f>
        <v>0</v>
      </c>
      <c r="E81" s="832">
        <f t="shared" si="37"/>
        <v>0</v>
      </c>
      <c r="F81" s="832">
        <f t="shared" si="37"/>
        <v>0</v>
      </c>
      <c r="G81" s="832">
        <f t="shared" si="37"/>
        <v>0</v>
      </c>
      <c r="H81" s="832">
        <f t="shared" si="37"/>
        <v>0</v>
      </c>
      <c r="I81" s="832">
        <f t="shared" si="37"/>
        <v>0</v>
      </c>
      <c r="J81" s="832">
        <f t="shared" si="37"/>
        <v>0</v>
      </c>
      <c r="K81" s="832">
        <f t="shared" si="37"/>
        <v>0</v>
      </c>
      <c r="L81" s="832">
        <f t="shared" si="37"/>
        <v>0</v>
      </c>
      <c r="M81" s="832">
        <f t="shared" si="37"/>
        <v>0</v>
      </c>
      <c r="N81" s="832">
        <f t="shared" si="37"/>
        <v>0</v>
      </c>
      <c r="O81" s="832">
        <f t="shared" si="37"/>
        <v>0</v>
      </c>
      <c r="P81" s="958">
        <v>0</v>
      </c>
      <c r="Q81" s="958">
        <v>0</v>
      </c>
      <c r="R81" s="958">
        <v>199.16320859541884</v>
      </c>
      <c r="S81" s="958">
        <v>409.85061941579141</v>
      </c>
      <c r="T81" s="958">
        <v>470.92178283711354</v>
      </c>
      <c r="U81" s="958">
        <v>483.29707282207283</v>
      </c>
      <c r="V81" s="958">
        <v>498.06208781808772</v>
      </c>
      <c r="W81" s="958">
        <v>507.09896236921969</v>
      </c>
      <c r="X81" s="958">
        <v>510.00258127801743</v>
      </c>
      <c r="Y81" s="958">
        <v>515.50428835240507</v>
      </c>
      <c r="Z81" s="958">
        <v>519.46774936189956</v>
      </c>
      <c r="AA81" s="959">
        <v>515.56939943639247</v>
      </c>
      <c r="AC81" s="10"/>
    </row>
    <row r="82" spans="2:29">
      <c r="B82" s="1202"/>
      <c r="C82" s="831" t="s">
        <v>427</v>
      </c>
      <c r="D82" s="832">
        <f t="shared" si="38"/>
        <v>0</v>
      </c>
      <c r="E82" s="832">
        <f t="shared" si="37"/>
        <v>0</v>
      </c>
      <c r="F82" s="832">
        <f t="shared" si="37"/>
        <v>0</v>
      </c>
      <c r="G82" s="832">
        <f t="shared" si="37"/>
        <v>0</v>
      </c>
      <c r="H82" s="832">
        <f t="shared" si="37"/>
        <v>0</v>
      </c>
      <c r="I82" s="832">
        <f t="shared" si="37"/>
        <v>0</v>
      </c>
      <c r="J82" s="832">
        <f t="shared" si="37"/>
        <v>0</v>
      </c>
      <c r="K82" s="832">
        <f t="shared" si="37"/>
        <v>0</v>
      </c>
      <c r="L82" s="832">
        <f t="shared" si="37"/>
        <v>0</v>
      </c>
      <c r="M82" s="832">
        <f t="shared" si="37"/>
        <v>0</v>
      </c>
      <c r="N82" s="832">
        <f t="shared" si="37"/>
        <v>0</v>
      </c>
      <c r="O82" s="832">
        <f t="shared" si="37"/>
        <v>0</v>
      </c>
      <c r="P82" s="958">
        <v>0</v>
      </c>
      <c r="Q82" s="958">
        <v>0</v>
      </c>
      <c r="R82" s="958">
        <v>-1614.5416793287779</v>
      </c>
      <c r="S82" s="958">
        <v>-3321.5780055878131</v>
      </c>
      <c r="T82" s="958">
        <v>-3746.3675514030961</v>
      </c>
      <c r="U82" s="958">
        <v>-3847.0773258333743</v>
      </c>
      <c r="V82" s="958">
        <v>-3969.5420732085863</v>
      </c>
      <c r="W82" s="958">
        <v>-4041.0317045545621</v>
      </c>
      <c r="X82" s="958">
        <v>-4065.1998798716863</v>
      </c>
      <c r="Y82" s="958">
        <v>-4116.2338144266005</v>
      </c>
      <c r="Z82" s="958">
        <v>-4155.7466604437459</v>
      </c>
      <c r="AA82" s="959">
        <v>-4123.7063089682342</v>
      </c>
      <c r="AC82" s="10"/>
    </row>
    <row r="83" spans="2:29">
      <c r="B83" s="1202"/>
      <c r="C83" s="831" t="s">
        <v>3</v>
      </c>
      <c r="D83" s="832">
        <f t="shared" si="38"/>
        <v>0</v>
      </c>
      <c r="E83" s="832">
        <f t="shared" si="37"/>
        <v>0</v>
      </c>
      <c r="F83" s="832">
        <f t="shared" si="37"/>
        <v>0</v>
      </c>
      <c r="G83" s="832">
        <f t="shared" si="37"/>
        <v>0</v>
      </c>
      <c r="H83" s="832">
        <f t="shared" si="37"/>
        <v>0</v>
      </c>
      <c r="I83" s="832">
        <f t="shared" si="37"/>
        <v>0</v>
      </c>
      <c r="J83" s="832">
        <f t="shared" si="37"/>
        <v>0</v>
      </c>
      <c r="K83" s="832">
        <f t="shared" si="37"/>
        <v>0</v>
      </c>
      <c r="L83" s="832">
        <f t="shared" si="37"/>
        <v>0</v>
      </c>
      <c r="M83" s="832">
        <f t="shared" si="37"/>
        <v>0</v>
      </c>
      <c r="N83" s="832">
        <f t="shared" si="37"/>
        <v>0</v>
      </c>
      <c r="O83" s="832">
        <f t="shared" si="37"/>
        <v>0</v>
      </c>
      <c r="P83" s="958">
        <v>0</v>
      </c>
      <c r="Q83" s="958">
        <v>0</v>
      </c>
      <c r="R83" s="958">
        <v>174.30988944589626</v>
      </c>
      <c r="S83" s="958">
        <v>358.62700968994369</v>
      </c>
      <c r="T83" s="958">
        <v>406.10071957778808</v>
      </c>
      <c r="U83" s="958">
        <v>416.96469601400895</v>
      </c>
      <c r="V83" s="958">
        <v>430.1227448085362</v>
      </c>
      <c r="W83" s="958">
        <v>437.88151792609523</v>
      </c>
      <c r="X83" s="958">
        <v>440.47633093521773</v>
      </c>
      <c r="Y83" s="958">
        <v>445.83850134750054</v>
      </c>
      <c r="Z83" s="958">
        <v>449.93506038722506</v>
      </c>
      <c r="AA83" s="959">
        <v>446.48594973102445</v>
      </c>
      <c r="AC83" s="10"/>
    </row>
    <row r="84" spans="2:29">
      <c r="B84" s="1202"/>
      <c r="C84" s="831" t="s">
        <v>85</v>
      </c>
      <c r="D84" s="832">
        <f t="shared" si="38"/>
        <v>0</v>
      </c>
      <c r="E84" s="832">
        <f t="shared" si="37"/>
        <v>0</v>
      </c>
      <c r="F84" s="832">
        <f t="shared" si="37"/>
        <v>0</v>
      </c>
      <c r="G84" s="832">
        <f t="shared" si="37"/>
        <v>0</v>
      </c>
      <c r="H84" s="832">
        <f t="shared" si="37"/>
        <v>0</v>
      </c>
      <c r="I84" s="832">
        <f t="shared" si="37"/>
        <v>0</v>
      </c>
      <c r="J84" s="832">
        <f t="shared" si="37"/>
        <v>0</v>
      </c>
      <c r="K84" s="832">
        <f t="shared" si="37"/>
        <v>0</v>
      </c>
      <c r="L84" s="832">
        <f t="shared" si="37"/>
        <v>0</v>
      </c>
      <c r="M84" s="832">
        <f t="shared" si="37"/>
        <v>0</v>
      </c>
      <c r="N84" s="832">
        <f t="shared" si="37"/>
        <v>0</v>
      </c>
      <c r="O84" s="832">
        <f t="shared" si="37"/>
        <v>0</v>
      </c>
      <c r="P84" s="958">
        <v>0</v>
      </c>
      <c r="Q84" s="958">
        <v>0</v>
      </c>
      <c r="R84" s="958">
        <v>0</v>
      </c>
      <c r="S84" s="958">
        <v>0</v>
      </c>
      <c r="T84" s="958">
        <v>0</v>
      </c>
      <c r="U84" s="958">
        <v>0</v>
      </c>
      <c r="V84" s="958">
        <v>0</v>
      </c>
      <c r="W84" s="958">
        <v>0</v>
      </c>
      <c r="X84" s="958">
        <v>0</v>
      </c>
      <c r="Y84" s="958">
        <v>0</v>
      </c>
      <c r="Z84" s="958">
        <v>0</v>
      </c>
      <c r="AA84" s="959">
        <v>0</v>
      </c>
      <c r="AC84" s="10"/>
    </row>
    <row r="85" spans="2:29">
      <c r="B85" s="1202"/>
      <c r="C85" s="831" t="s">
        <v>103</v>
      </c>
      <c r="D85" s="832">
        <f t="shared" si="38"/>
        <v>0</v>
      </c>
      <c r="E85" s="832">
        <f t="shared" si="37"/>
        <v>0</v>
      </c>
      <c r="F85" s="832">
        <f t="shared" si="37"/>
        <v>0</v>
      </c>
      <c r="G85" s="832">
        <f t="shared" si="37"/>
        <v>0</v>
      </c>
      <c r="H85" s="832">
        <f t="shared" si="37"/>
        <v>0</v>
      </c>
      <c r="I85" s="832">
        <f t="shared" si="37"/>
        <v>0</v>
      </c>
      <c r="J85" s="832">
        <f t="shared" si="37"/>
        <v>0</v>
      </c>
      <c r="K85" s="832">
        <f t="shared" si="37"/>
        <v>0</v>
      </c>
      <c r="L85" s="832">
        <f t="shared" si="37"/>
        <v>0</v>
      </c>
      <c r="M85" s="832">
        <f t="shared" si="37"/>
        <v>0</v>
      </c>
      <c r="N85" s="832">
        <f t="shared" si="37"/>
        <v>0</v>
      </c>
      <c r="O85" s="832">
        <f t="shared" si="37"/>
        <v>0</v>
      </c>
      <c r="P85" s="958">
        <v>0</v>
      </c>
      <c r="Q85" s="958">
        <v>0</v>
      </c>
      <c r="R85" s="958">
        <v>-3176.9900959744409</v>
      </c>
      <c r="S85" s="958">
        <v>-6535.1841049166296</v>
      </c>
      <c r="T85" s="958">
        <v>-7310.3664594889851</v>
      </c>
      <c r="U85" s="958">
        <v>-7508.8715434153373</v>
      </c>
      <c r="V85" s="958">
        <v>-7752.2416218700528</v>
      </c>
      <c r="W85" s="958">
        <v>-7891.3869427934305</v>
      </c>
      <c r="X85" s="958">
        <v>-7939.4871324027581</v>
      </c>
      <c r="Y85" s="958">
        <v>-8045.4633106963784</v>
      </c>
      <c r="Z85" s="958">
        <v>-8129.5883339611564</v>
      </c>
      <c r="AA85" s="959">
        <v>-8066.1633364879135</v>
      </c>
      <c r="AC85" s="10"/>
    </row>
    <row r="86" spans="2:29">
      <c r="B86" s="1202"/>
      <c r="C86" s="831" t="s">
        <v>559</v>
      </c>
      <c r="D86" s="832">
        <f t="shared" si="38"/>
        <v>0</v>
      </c>
      <c r="E86" s="832">
        <f t="shared" si="37"/>
        <v>0</v>
      </c>
      <c r="F86" s="832">
        <f t="shared" si="37"/>
        <v>0</v>
      </c>
      <c r="G86" s="832">
        <f t="shared" si="37"/>
        <v>0</v>
      </c>
      <c r="H86" s="832">
        <f t="shared" si="37"/>
        <v>0</v>
      </c>
      <c r="I86" s="832">
        <f t="shared" si="37"/>
        <v>0</v>
      </c>
      <c r="J86" s="832">
        <f t="shared" si="37"/>
        <v>0</v>
      </c>
      <c r="K86" s="832">
        <f t="shared" si="37"/>
        <v>0</v>
      </c>
      <c r="L86" s="832">
        <f t="shared" si="37"/>
        <v>0</v>
      </c>
      <c r="M86" s="832">
        <f t="shared" si="37"/>
        <v>0</v>
      </c>
      <c r="N86" s="832">
        <f t="shared" si="37"/>
        <v>0</v>
      </c>
      <c r="O86" s="832">
        <f t="shared" si="37"/>
        <v>0</v>
      </c>
      <c r="P86" s="958">
        <v>0</v>
      </c>
      <c r="Q86" s="958">
        <v>0</v>
      </c>
      <c r="R86" s="958">
        <v>-4226.3864403895377</v>
      </c>
      <c r="S86" s="958">
        <v>-8697.2030337840351</v>
      </c>
      <c r="T86" s="958">
        <v>-9983.9562505612466</v>
      </c>
      <c r="U86" s="958">
        <v>-10246.619686661075</v>
      </c>
      <c r="V86" s="958">
        <v>-10560.307321275332</v>
      </c>
      <c r="W86" s="958">
        <v>-10751.84424814574</v>
      </c>
      <c r="X86" s="958">
        <v>-10813.543721602686</v>
      </c>
      <c r="Y86" s="958">
        <v>-10931.137859607135</v>
      </c>
      <c r="Z86" s="958">
        <v>-11016.213785757232</v>
      </c>
      <c r="AA86" s="959">
        <v>-10933.430556896919</v>
      </c>
      <c r="AC86" s="10"/>
    </row>
    <row r="87" spans="2:29">
      <c r="B87" s="1202"/>
      <c r="C87" s="831" t="s">
        <v>6</v>
      </c>
      <c r="D87" s="832">
        <f t="shared" si="38"/>
        <v>0</v>
      </c>
      <c r="E87" s="832">
        <f t="shared" si="37"/>
        <v>0</v>
      </c>
      <c r="F87" s="832">
        <f t="shared" si="37"/>
        <v>0</v>
      </c>
      <c r="G87" s="832">
        <f t="shared" si="37"/>
        <v>0</v>
      </c>
      <c r="H87" s="832">
        <f t="shared" si="37"/>
        <v>0</v>
      </c>
      <c r="I87" s="832">
        <f t="shared" si="37"/>
        <v>0</v>
      </c>
      <c r="J87" s="832">
        <f t="shared" si="37"/>
        <v>0</v>
      </c>
      <c r="K87" s="832">
        <f t="shared" si="37"/>
        <v>0</v>
      </c>
      <c r="L87" s="832">
        <f t="shared" si="37"/>
        <v>0</v>
      </c>
      <c r="M87" s="832">
        <f t="shared" si="37"/>
        <v>0</v>
      </c>
      <c r="N87" s="832">
        <f t="shared" si="37"/>
        <v>0</v>
      </c>
      <c r="O87" s="832">
        <f t="shared" si="37"/>
        <v>0</v>
      </c>
      <c r="P87" s="958">
        <v>0</v>
      </c>
      <c r="Q87" s="958">
        <v>0</v>
      </c>
      <c r="R87" s="958">
        <v>-599.59417953661375</v>
      </c>
      <c r="S87" s="958">
        <v>-1238.5573320984161</v>
      </c>
      <c r="T87" s="958">
        <v>-1776.588423009438</v>
      </c>
      <c r="U87" s="958">
        <v>-1811.8904577045469</v>
      </c>
      <c r="V87" s="958">
        <v>-1842.3830888029286</v>
      </c>
      <c r="W87" s="958">
        <v>-1878.5021799467213</v>
      </c>
      <c r="X87" s="958">
        <v>-1884.071292891206</v>
      </c>
      <c r="Y87" s="958">
        <v>-1868.2178344998392</v>
      </c>
      <c r="Z87" s="958">
        <v>-1842.9522522349823</v>
      </c>
      <c r="AA87" s="959">
        <v>-1833.4223487444688</v>
      </c>
      <c r="AC87" s="10"/>
    </row>
    <row r="88" spans="2:29">
      <c r="B88" s="1202"/>
      <c r="C88" s="831" t="s">
        <v>1</v>
      </c>
      <c r="D88" s="832">
        <f t="shared" si="38"/>
        <v>0</v>
      </c>
      <c r="E88" s="832">
        <f t="shared" si="37"/>
        <v>0</v>
      </c>
      <c r="F88" s="832">
        <f t="shared" si="37"/>
        <v>0</v>
      </c>
      <c r="G88" s="832">
        <f t="shared" si="37"/>
        <v>0</v>
      </c>
      <c r="H88" s="832">
        <f t="shared" si="37"/>
        <v>0</v>
      </c>
      <c r="I88" s="832">
        <f t="shared" si="37"/>
        <v>0</v>
      </c>
      <c r="J88" s="832">
        <f t="shared" si="37"/>
        <v>0</v>
      </c>
      <c r="K88" s="832">
        <f t="shared" si="37"/>
        <v>0</v>
      </c>
      <c r="L88" s="832">
        <f t="shared" si="37"/>
        <v>0</v>
      </c>
      <c r="M88" s="832">
        <f t="shared" si="37"/>
        <v>0</v>
      </c>
      <c r="N88" s="832">
        <f t="shared" si="37"/>
        <v>0</v>
      </c>
      <c r="O88" s="832">
        <f t="shared" si="37"/>
        <v>0</v>
      </c>
      <c r="P88" s="958">
        <v>0</v>
      </c>
      <c r="Q88" s="958">
        <v>0</v>
      </c>
      <c r="R88" s="958">
        <v>0</v>
      </c>
      <c r="S88" s="958">
        <v>0</v>
      </c>
      <c r="T88" s="958">
        <v>0</v>
      </c>
      <c r="U88" s="958">
        <v>0</v>
      </c>
      <c r="V88" s="958">
        <v>0</v>
      </c>
      <c r="W88" s="958">
        <v>0</v>
      </c>
      <c r="X88" s="958">
        <v>0</v>
      </c>
      <c r="Y88" s="958">
        <v>0</v>
      </c>
      <c r="Z88" s="958">
        <v>0</v>
      </c>
      <c r="AA88" s="959">
        <v>0</v>
      </c>
      <c r="AC88" s="10"/>
    </row>
    <row r="89" spans="2:29">
      <c r="B89" s="1202"/>
      <c r="C89" s="831" t="s">
        <v>396</v>
      </c>
      <c r="D89" s="832">
        <f t="shared" si="38"/>
        <v>0</v>
      </c>
      <c r="E89" s="832">
        <f t="shared" si="37"/>
        <v>0</v>
      </c>
      <c r="F89" s="832">
        <f t="shared" si="37"/>
        <v>0</v>
      </c>
      <c r="G89" s="832">
        <f t="shared" si="37"/>
        <v>0</v>
      </c>
      <c r="H89" s="832">
        <f t="shared" si="37"/>
        <v>0</v>
      </c>
      <c r="I89" s="832">
        <f t="shared" si="37"/>
        <v>0</v>
      </c>
      <c r="J89" s="832">
        <f t="shared" si="37"/>
        <v>0</v>
      </c>
      <c r="K89" s="832">
        <f t="shared" si="37"/>
        <v>0</v>
      </c>
      <c r="L89" s="832">
        <f t="shared" si="37"/>
        <v>0</v>
      </c>
      <c r="M89" s="832">
        <f t="shared" si="37"/>
        <v>0</v>
      </c>
      <c r="N89" s="832">
        <f t="shared" si="37"/>
        <v>0</v>
      </c>
      <c r="O89" s="832">
        <f t="shared" si="37"/>
        <v>0</v>
      </c>
      <c r="P89" s="958">
        <v>0</v>
      </c>
      <c r="Q89" s="958">
        <v>0</v>
      </c>
      <c r="R89" s="958">
        <v>-1181.1631937432783</v>
      </c>
      <c r="S89" s="958">
        <v>-2429.6543818816767</v>
      </c>
      <c r="T89" s="958">
        <v>-2714.7323847229659</v>
      </c>
      <c r="U89" s="958">
        <v>-2788.5512120467997</v>
      </c>
      <c r="V89" s="958">
        <v>-2879.1561565823599</v>
      </c>
      <c r="W89" s="958">
        <v>-2930.8099264923221</v>
      </c>
      <c r="X89" s="958">
        <v>-2948.720933395753</v>
      </c>
      <c r="Y89" s="958">
        <v>-2988.4074748627704</v>
      </c>
      <c r="Z89" s="958">
        <v>-3020.0122244649633</v>
      </c>
      <c r="AA89" s="959">
        <v>-2996.4121783687638</v>
      </c>
      <c r="AC89" s="10"/>
    </row>
    <row r="90" spans="2:29">
      <c r="B90" s="1202"/>
      <c r="C90" s="831" t="s">
        <v>4</v>
      </c>
      <c r="D90" s="832">
        <f t="shared" si="38"/>
        <v>0</v>
      </c>
      <c r="E90" s="832">
        <f t="shared" si="37"/>
        <v>0</v>
      </c>
      <c r="F90" s="832">
        <f t="shared" si="37"/>
        <v>0</v>
      </c>
      <c r="G90" s="832">
        <f t="shared" si="37"/>
        <v>0</v>
      </c>
      <c r="H90" s="832">
        <f t="shared" si="37"/>
        <v>0</v>
      </c>
      <c r="I90" s="832">
        <f t="shared" si="37"/>
        <v>0</v>
      </c>
      <c r="J90" s="832">
        <f t="shared" si="37"/>
        <v>0</v>
      </c>
      <c r="K90" s="832">
        <f t="shared" si="37"/>
        <v>0</v>
      </c>
      <c r="L90" s="832">
        <f t="shared" si="37"/>
        <v>0</v>
      </c>
      <c r="M90" s="832">
        <f t="shared" si="37"/>
        <v>0</v>
      </c>
      <c r="N90" s="832">
        <f t="shared" si="37"/>
        <v>0</v>
      </c>
      <c r="O90" s="832">
        <f t="shared" si="37"/>
        <v>0</v>
      </c>
      <c r="P90" s="958">
        <v>0</v>
      </c>
      <c r="Q90" s="958">
        <v>0</v>
      </c>
      <c r="R90" s="958">
        <v>3201.8454709061384</v>
      </c>
      <c r="S90" s="958">
        <v>6585.4924816268422</v>
      </c>
      <c r="T90" s="958">
        <v>7304.6093865275616</v>
      </c>
      <c r="U90" s="958">
        <v>7505.0103706194786</v>
      </c>
      <c r="V90" s="958">
        <v>7752.7331071926938</v>
      </c>
      <c r="W90" s="958">
        <v>7891.4034947632654</v>
      </c>
      <c r="X90" s="958">
        <v>7940.4365172274802</v>
      </c>
      <c r="Y90" s="958">
        <v>8052.9284601860563</v>
      </c>
      <c r="Z90" s="958">
        <v>8144.2370169947581</v>
      </c>
      <c r="AA90" s="959">
        <v>8079.9287663173163</v>
      </c>
      <c r="AC90" s="10"/>
    </row>
    <row r="91" spans="2:29">
      <c r="B91" s="1202"/>
      <c r="C91" s="831" t="s">
        <v>0</v>
      </c>
      <c r="D91" s="832">
        <f t="shared" si="38"/>
        <v>0</v>
      </c>
      <c r="E91" s="832">
        <f t="shared" si="37"/>
        <v>0</v>
      </c>
      <c r="F91" s="832">
        <f t="shared" si="37"/>
        <v>0</v>
      </c>
      <c r="G91" s="832">
        <f t="shared" si="37"/>
        <v>0</v>
      </c>
      <c r="H91" s="832">
        <f t="shared" si="37"/>
        <v>0</v>
      </c>
      <c r="I91" s="832">
        <f t="shared" si="37"/>
        <v>0</v>
      </c>
      <c r="J91" s="832">
        <f t="shared" si="37"/>
        <v>0</v>
      </c>
      <c r="K91" s="832">
        <f t="shared" si="37"/>
        <v>0</v>
      </c>
      <c r="L91" s="832">
        <f t="shared" si="37"/>
        <v>0</v>
      </c>
      <c r="M91" s="832">
        <f t="shared" si="37"/>
        <v>0</v>
      </c>
      <c r="N91" s="832">
        <f t="shared" si="37"/>
        <v>0</v>
      </c>
      <c r="O91" s="832">
        <f t="shared" si="37"/>
        <v>0</v>
      </c>
      <c r="P91" s="958">
        <v>0</v>
      </c>
      <c r="Q91" s="958">
        <v>0</v>
      </c>
      <c r="R91" s="958">
        <v>2662.6328958652252</v>
      </c>
      <c r="S91" s="958">
        <v>5473.2252851010608</v>
      </c>
      <c r="T91" s="958">
        <v>5826.8620153683396</v>
      </c>
      <c r="U91" s="958">
        <v>5994.8627708501108</v>
      </c>
      <c r="V91" s="958">
        <v>6210.4985195486033</v>
      </c>
      <c r="W91" s="958">
        <v>6319.665989248334</v>
      </c>
      <c r="X91" s="958">
        <v>6362.6304653430516</v>
      </c>
      <c r="Y91" s="958">
        <v>6478.5452707390841</v>
      </c>
      <c r="Z91" s="958">
        <v>6580.1430581275299</v>
      </c>
      <c r="AA91" s="959">
        <v>6525.1423978889752</v>
      </c>
      <c r="AC91" s="10"/>
    </row>
    <row r="92" spans="2:29">
      <c r="B92" s="1202"/>
      <c r="C92" s="831" t="s">
        <v>560</v>
      </c>
      <c r="D92" s="832">
        <f t="shared" si="38"/>
        <v>0</v>
      </c>
      <c r="E92" s="832">
        <f t="shared" si="37"/>
        <v>0</v>
      </c>
      <c r="F92" s="832">
        <f t="shared" si="37"/>
        <v>0</v>
      </c>
      <c r="G92" s="832">
        <f t="shared" si="37"/>
        <v>0</v>
      </c>
      <c r="H92" s="832">
        <f t="shared" si="37"/>
        <v>0</v>
      </c>
      <c r="I92" s="832">
        <f t="shared" si="37"/>
        <v>0</v>
      </c>
      <c r="J92" s="832">
        <f t="shared" si="37"/>
        <v>0</v>
      </c>
      <c r="K92" s="832">
        <f t="shared" si="37"/>
        <v>0</v>
      </c>
      <c r="L92" s="832">
        <f t="shared" si="37"/>
        <v>0</v>
      </c>
      <c r="M92" s="832">
        <f t="shared" si="37"/>
        <v>0</v>
      </c>
      <c r="N92" s="832">
        <f t="shared" si="37"/>
        <v>0</v>
      </c>
      <c r="O92" s="832">
        <f t="shared" si="37"/>
        <v>0</v>
      </c>
      <c r="P92" s="958">
        <v>0</v>
      </c>
      <c r="Q92" s="958">
        <v>0</v>
      </c>
      <c r="R92" s="958">
        <v>0</v>
      </c>
      <c r="S92" s="958">
        <v>0</v>
      </c>
      <c r="T92" s="958">
        <v>0</v>
      </c>
      <c r="U92" s="958">
        <v>0</v>
      </c>
      <c r="V92" s="958">
        <v>0</v>
      </c>
      <c r="W92" s="958">
        <v>0</v>
      </c>
      <c r="X92" s="958">
        <v>0</v>
      </c>
      <c r="Y92" s="958">
        <v>0</v>
      </c>
      <c r="Z92" s="958">
        <v>0</v>
      </c>
      <c r="AA92" s="959">
        <v>0</v>
      </c>
      <c r="AC92" s="10"/>
    </row>
    <row r="93" spans="2:29">
      <c r="B93" s="1202"/>
      <c r="C93" s="831" t="s">
        <v>561</v>
      </c>
      <c r="D93" s="832">
        <f t="shared" si="38"/>
        <v>0</v>
      </c>
      <c r="E93" s="832">
        <f t="shared" si="37"/>
        <v>0</v>
      </c>
      <c r="F93" s="832">
        <f t="shared" si="37"/>
        <v>0</v>
      </c>
      <c r="G93" s="832">
        <f t="shared" si="37"/>
        <v>0</v>
      </c>
      <c r="H93" s="832">
        <f t="shared" si="37"/>
        <v>0</v>
      </c>
      <c r="I93" s="832">
        <f t="shared" si="37"/>
        <v>0</v>
      </c>
      <c r="J93" s="832">
        <f t="shared" si="37"/>
        <v>0</v>
      </c>
      <c r="K93" s="832">
        <f t="shared" si="37"/>
        <v>0</v>
      </c>
      <c r="L93" s="832">
        <f t="shared" si="37"/>
        <v>0</v>
      </c>
      <c r="M93" s="832">
        <f t="shared" si="37"/>
        <v>0</v>
      </c>
      <c r="N93" s="832">
        <f t="shared" si="37"/>
        <v>0</v>
      </c>
      <c r="O93" s="832">
        <f t="shared" si="37"/>
        <v>0</v>
      </c>
      <c r="P93" s="958">
        <v>0</v>
      </c>
      <c r="Q93" s="958">
        <v>0</v>
      </c>
      <c r="R93" s="958">
        <v>14747.3631093081</v>
      </c>
      <c r="S93" s="958">
        <v>30360.737361636264</v>
      </c>
      <c r="T93" s="958">
        <v>35843.774467434676</v>
      </c>
      <c r="U93" s="958">
        <v>36754.819762537918</v>
      </c>
      <c r="V93" s="958">
        <v>37810.247891760584</v>
      </c>
      <c r="W93" s="958">
        <v>38503.580206799321</v>
      </c>
      <c r="X93" s="958">
        <v>38709.976103757159</v>
      </c>
      <c r="Y93" s="958">
        <v>39029.407413681307</v>
      </c>
      <c r="Z93" s="958">
        <v>39221.964854676509</v>
      </c>
      <c r="AA93" s="959">
        <v>38939.291344703292</v>
      </c>
      <c r="AC93" s="10"/>
    </row>
    <row r="94" spans="2:29">
      <c r="B94" s="1202"/>
      <c r="C94" s="831" t="s">
        <v>5</v>
      </c>
      <c r="D94" s="832">
        <f t="shared" si="38"/>
        <v>0</v>
      </c>
      <c r="E94" s="832">
        <f t="shared" si="37"/>
        <v>0</v>
      </c>
      <c r="F94" s="832">
        <f t="shared" si="37"/>
        <v>0</v>
      </c>
      <c r="G94" s="832">
        <f t="shared" si="37"/>
        <v>0</v>
      </c>
      <c r="H94" s="832">
        <f t="shared" si="37"/>
        <v>0</v>
      </c>
      <c r="I94" s="832">
        <f t="shared" si="37"/>
        <v>0</v>
      </c>
      <c r="J94" s="832">
        <f t="shared" si="37"/>
        <v>0</v>
      </c>
      <c r="K94" s="832">
        <f t="shared" si="37"/>
        <v>0</v>
      </c>
      <c r="L94" s="832">
        <f t="shared" si="37"/>
        <v>0</v>
      </c>
      <c r="M94" s="832">
        <f t="shared" si="37"/>
        <v>0</v>
      </c>
      <c r="N94" s="832">
        <f t="shared" si="37"/>
        <v>0</v>
      </c>
      <c r="O94" s="832">
        <f t="shared" si="37"/>
        <v>0</v>
      </c>
      <c r="P94" s="958">
        <v>0</v>
      </c>
      <c r="Q94" s="958">
        <v>0</v>
      </c>
      <c r="R94" s="958">
        <v>-1.6721196573150034</v>
      </c>
      <c r="S94" s="958">
        <v>-2.74874775101974</v>
      </c>
      <c r="T94" s="958">
        <v>49.186788973893272</v>
      </c>
      <c r="U94" s="958">
        <v>48.793438077031169</v>
      </c>
      <c r="V94" s="958">
        <v>46.602413578773849</v>
      </c>
      <c r="W94" s="958">
        <v>47.846437323615341</v>
      </c>
      <c r="X94" s="958">
        <v>47.352264555792011</v>
      </c>
      <c r="Y94" s="958">
        <v>42.505582654926307</v>
      </c>
      <c r="Z94" s="958">
        <v>36.963792555150576</v>
      </c>
      <c r="AA94" s="959">
        <v>37.323252099595265</v>
      </c>
      <c r="AC94" s="10"/>
    </row>
    <row r="95" spans="2:29">
      <c r="B95" s="1202"/>
      <c r="C95" s="831" t="s">
        <v>44</v>
      </c>
      <c r="D95" s="832">
        <f t="shared" si="38"/>
        <v>0</v>
      </c>
      <c r="E95" s="832">
        <f t="shared" si="37"/>
        <v>0</v>
      </c>
      <c r="F95" s="832">
        <f t="shared" si="37"/>
        <v>0</v>
      </c>
      <c r="G95" s="832">
        <f t="shared" si="37"/>
        <v>0</v>
      </c>
      <c r="H95" s="832">
        <f t="shared" si="37"/>
        <v>0</v>
      </c>
      <c r="I95" s="832">
        <f t="shared" si="37"/>
        <v>0</v>
      </c>
      <c r="J95" s="832">
        <f t="shared" si="37"/>
        <v>0</v>
      </c>
      <c r="K95" s="832">
        <f t="shared" si="37"/>
        <v>0</v>
      </c>
      <c r="L95" s="832">
        <f t="shared" si="37"/>
        <v>0</v>
      </c>
      <c r="M95" s="832">
        <f t="shared" si="37"/>
        <v>0</v>
      </c>
      <c r="N95" s="832">
        <f t="shared" si="37"/>
        <v>0</v>
      </c>
      <c r="O95" s="832">
        <f t="shared" si="37"/>
        <v>0</v>
      </c>
      <c r="P95" s="958">
        <v>0</v>
      </c>
      <c r="Q95" s="958">
        <v>0</v>
      </c>
      <c r="R95" s="958">
        <v>-5262.7570949288538</v>
      </c>
      <c r="S95" s="958">
        <v>-10839.321385578573</v>
      </c>
      <c r="T95" s="958">
        <v>-13156.774296528814</v>
      </c>
      <c r="U95" s="958">
        <v>-13479.899705435708</v>
      </c>
      <c r="V95" s="958">
        <v>-13842.322207101059</v>
      </c>
      <c r="W95" s="958">
        <v>-14098.824439827324</v>
      </c>
      <c r="X95" s="958">
        <v>-14169.247526013613</v>
      </c>
      <c r="Y95" s="958">
        <v>-14250.219342498371</v>
      </c>
      <c r="Z95" s="958">
        <v>-14281.044621386778</v>
      </c>
      <c r="AA95" s="959">
        <v>-14182.416951574351</v>
      </c>
      <c r="AC95" s="10"/>
    </row>
    <row r="96" spans="2:29">
      <c r="B96" s="1202"/>
      <c r="C96" s="831" t="s">
        <v>562</v>
      </c>
      <c r="D96" s="832">
        <f t="shared" si="38"/>
        <v>0</v>
      </c>
      <c r="E96" s="832">
        <f t="shared" ref="E96:O98" si="39">IF($B$15=$D$17,Q96,0)</f>
        <v>0</v>
      </c>
      <c r="F96" s="832">
        <f t="shared" si="39"/>
        <v>0</v>
      </c>
      <c r="G96" s="832">
        <f t="shared" si="39"/>
        <v>0</v>
      </c>
      <c r="H96" s="832">
        <f t="shared" si="39"/>
        <v>0</v>
      </c>
      <c r="I96" s="832">
        <f t="shared" si="39"/>
        <v>0</v>
      </c>
      <c r="J96" s="832">
        <f t="shared" si="39"/>
        <v>0</v>
      </c>
      <c r="K96" s="832">
        <f t="shared" si="39"/>
        <v>0</v>
      </c>
      <c r="L96" s="832">
        <f t="shared" si="39"/>
        <v>0</v>
      </c>
      <c r="M96" s="832">
        <f t="shared" si="39"/>
        <v>0</v>
      </c>
      <c r="N96" s="832">
        <f t="shared" si="39"/>
        <v>0</v>
      </c>
      <c r="O96" s="832">
        <f t="shared" si="39"/>
        <v>0</v>
      </c>
      <c r="P96" s="958">
        <v>0</v>
      </c>
      <c r="Q96" s="958">
        <v>0</v>
      </c>
      <c r="R96" s="958">
        <v>-3420.814892135832</v>
      </c>
      <c r="S96" s="958">
        <v>-7038.0163143656682</v>
      </c>
      <c r="T96" s="958">
        <v>-7969.3487277701497</v>
      </c>
      <c r="U96" s="958">
        <v>-8182.5550718038967</v>
      </c>
      <c r="V96" s="958">
        <v>-8440.7937066478189</v>
      </c>
      <c r="W96" s="958">
        <v>-8593.0504658854716</v>
      </c>
      <c r="X96" s="958">
        <v>-8643.9764198594876</v>
      </c>
      <c r="Y96" s="958">
        <v>-8749.2391259585656</v>
      </c>
      <c r="Z96" s="958">
        <v>-8829.6688469302226</v>
      </c>
      <c r="AA96" s="959">
        <v>-8761.9782961150249</v>
      </c>
      <c r="AC96" s="10"/>
    </row>
    <row r="97" spans="2:29">
      <c r="B97" s="1202"/>
      <c r="C97" s="831" t="s">
        <v>2</v>
      </c>
      <c r="D97" s="832">
        <f t="shared" si="38"/>
        <v>0</v>
      </c>
      <c r="E97" s="832">
        <f t="shared" si="39"/>
        <v>0</v>
      </c>
      <c r="F97" s="832">
        <f t="shared" si="39"/>
        <v>0</v>
      </c>
      <c r="G97" s="832">
        <f t="shared" si="39"/>
        <v>0</v>
      </c>
      <c r="H97" s="832">
        <f t="shared" si="39"/>
        <v>0</v>
      </c>
      <c r="I97" s="832">
        <f t="shared" si="39"/>
        <v>0</v>
      </c>
      <c r="J97" s="832">
        <f t="shared" si="39"/>
        <v>0</v>
      </c>
      <c r="K97" s="832">
        <f t="shared" si="39"/>
        <v>0</v>
      </c>
      <c r="L97" s="832">
        <f t="shared" si="39"/>
        <v>0</v>
      </c>
      <c r="M97" s="832">
        <f t="shared" si="39"/>
        <v>0</v>
      </c>
      <c r="N97" s="832">
        <f t="shared" si="39"/>
        <v>0</v>
      </c>
      <c r="O97" s="832">
        <f t="shared" si="39"/>
        <v>0</v>
      </c>
      <c r="P97" s="958">
        <v>0</v>
      </c>
      <c r="Q97" s="958">
        <v>0</v>
      </c>
      <c r="R97" s="958">
        <v>171.16643160752332</v>
      </c>
      <c r="S97" s="958">
        <v>352.1542776300339</v>
      </c>
      <c r="T97" s="958">
        <v>398.36661559160956</v>
      </c>
      <c r="U97" s="958">
        <v>409.03691044577863</v>
      </c>
      <c r="V97" s="958">
        <v>421.97364175059676</v>
      </c>
      <c r="W97" s="958">
        <v>429.58229701026966</v>
      </c>
      <c r="X97" s="958">
        <v>432.13394574578462</v>
      </c>
      <c r="Y97" s="958">
        <v>437.43650740738184</v>
      </c>
      <c r="Z97" s="958">
        <v>441.5017519610895</v>
      </c>
      <c r="AA97" s="959">
        <v>438.11231714879005</v>
      </c>
      <c r="AC97" s="10"/>
    </row>
    <row r="98" spans="2:29">
      <c r="B98" s="1202"/>
      <c r="C98" s="831" t="s">
        <v>563</v>
      </c>
      <c r="D98" s="832">
        <f t="shared" si="38"/>
        <v>0</v>
      </c>
      <c r="E98" s="832">
        <f t="shared" si="39"/>
        <v>0</v>
      </c>
      <c r="F98" s="832">
        <f t="shared" si="39"/>
        <v>0</v>
      </c>
      <c r="G98" s="832">
        <f t="shared" si="39"/>
        <v>0</v>
      </c>
      <c r="H98" s="832">
        <f t="shared" si="39"/>
        <v>0</v>
      </c>
      <c r="I98" s="832">
        <f t="shared" si="39"/>
        <v>0</v>
      </c>
      <c r="J98" s="832">
        <f t="shared" si="39"/>
        <v>0</v>
      </c>
      <c r="K98" s="832">
        <f t="shared" si="39"/>
        <v>0</v>
      </c>
      <c r="L98" s="832">
        <f t="shared" si="39"/>
        <v>0</v>
      </c>
      <c r="M98" s="832">
        <f t="shared" si="39"/>
        <v>0</v>
      </c>
      <c r="N98" s="832">
        <f t="shared" si="39"/>
        <v>0</v>
      </c>
      <c r="O98" s="832">
        <f t="shared" si="39"/>
        <v>0</v>
      </c>
      <c r="P98" s="958">
        <v>0</v>
      </c>
      <c r="Q98" s="958">
        <v>0</v>
      </c>
      <c r="R98" s="958">
        <v>-68.45487111833063</v>
      </c>
      <c r="S98" s="958">
        <v>-139.90055139768324</v>
      </c>
      <c r="T98" s="958">
        <v>-87.383682532313586</v>
      </c>
      <c r="U98" s="958">
        <v>-92.04289810127618</v>
      </c>
      <c r="V98" s="958">
        <v>-100.01486437829833</v>
      </c>
      <c r="W98" s="958">
        <v>-101.27107932133367</v>
      </c>
      <c r="X98" s="958">
        <v>-102.92752034810837</v>
      </c>
      <c r="Y98" s="958">
        <v>-111.5465539257857</v>
      </c>
      <c r="Z98" s="958">
        <v>-120.62918796518352</v>
      </c>
      <c r="AA98" s="959">
        <v>-118.83135489219178</v>
      </c>
      <c r="AC98" s="10"/>
    </row>
    <row r="99" spans="2:29" ht="12.75" customHeight="1">
      <c r="B99" s="1200" t="s">
        <v>1751</v>
      </c>
      <c r="C99" s="133" t="s">
        <v>558</v>
      </c>
      <c r="D99" s="830">
        <f>IF($B$15=$D$18,P99,0)</f>
        <v>0</v>
      </c>
      <c r="E99" s="830">
        <f t="shared" ref="E99:O114" si="40">IF($B$15=$D$18,Q99,0)</f>
        <v>0</v>
      </c>
      <c r="F99" s="830">
        <f t="shared" si="40"/>
        <v>-2406.1596583729843</v>
      </c>
      <c r="G99" s="830">
        <f t="shared" si="40"/>
        <v>-4946.8847666076326</v>
      </c>
      <c r="H99" s="830">
        <f t="shared" si="40"/>
        <v>-5331.4560004409577</v>
      </c>
      <c r="I99" s="830">
        <f t="shared" si="40"/>
        <v>-5482.9156805465755</v>
      </c>
      <c r="J99" s="830">
        <f t="shared" si="40"/>
        <v>-5675.2190498871641</v>
      </c>
      <c r="K99" s="830">
        <f t="shared" si="40"/>
        <v>-5775.5068777098204</v>
      </c>
      <c r="L99" s="830">
        <f t="shared" si="40"/>
        <v>-5813.7506736858049</v>
      </c>
      <c r="M99" s="830">
        <f t="shared" si="40"/>
        <v>-5912.5510618398257</v>
      </c>
      <c r="N99" s="830">
        <f t="shared" si="40"/>
        <v>-5997.5360563798458</v>
      </c>
      <c r="O99" s="830">
        <f t="shared" si="40"/>
        <v>-5948.2381429162779</v>
      </c>
      <c r="P99" s="958">
        <v>0</v>
      </c>
      <c r="Q99" s="958">
        <v>0</v>
      </c>
      <c r="R99" s="958">
        <v>-2406.1596583729843</v>
      </c>
      <c r="S99" s="958">
        <v>-4946.8847666076326</v>
      </c>
      <c r="T99" s="958">
        <v>-5331.4560004409577</v>
      </c>
      <c r="U99" s="958">
        <v>-5482.9156805465755</v>
      </c>
      <c r="V99" s="958">
        <v>-5675.2190498871641</v>
      </c>
      <c r="W99" s="958">
        <v>-5775.5068777098204</v>
      </c>
      <c r="X99" s="958">
        <v>-5813.7506736858049</v>
      </c>
      <c r="Y99" s="958">
        <v>-5912.5510618398257</v>
      </c>
      <c r="Z99" s="958">
        <v>-5997.5360563798458</v>
      </c>
      <c r="AA99" s="959">
        <v>-5948.2381429162779</v>
      </c>
      <c r="AC99" s="10"/>
    </row>
    <row r="100" spans="2:29">
      <c r="B100" s="1196"/>
      <c r="C100" s="133" t="s">
        <v>7</v>
      </c>
      <c r="D100" s="830">
        <f t="shared" ref="D100:D117" si="41">IF($B$15=$D$18,P100,0)</f>
        <v>0</v>
      </c>
      <c r="E100" s="830">
        <f t="shared" si="40"/>
        <v>0</v>
      </c>
      <c r="F100" s="830">
        <f t="shared" si="40"/>
        <v>298.74481289312826</v>
      </c>
      <c r="G100" s="830">
        <f t="shared" si="40"/>
        <v>614.77592912368709</v>
      </c>
      <c r="H100" s="830">
        <f t="shared" si="40"/>
        <v>706.38267425567028</v>
      </c>
      <c r="I100" s="830">
        <f t="shared" si="40"/>
        <v>724.94560923310928</v>
      </c>
      <c r="J100" s="830">
        <f t="shared" si="40"/>
        <v>747.09313172713155</v>
      </c>
      <c r="K100" s="830">
        <f t="shared" si="40"/>
        <v>760.64844355382957</v>
      </c>
      <c r="L100" s="830">
        <f t="shared" si="40"/>
        <v>765.00387191702612</v>
      </c>
      <c r="M100" s="830">
        <f t="shared" si="40"/>
        <v>773.25643252860755</v>
      </c>
      <c r="N100" s="830">
        <f t="shared" si="40"/>
        <v>779.20162404284929</v>
      </c>
      <c r="O100" s="830">
        <f t="shared" si="40"/>
        <v>773.35409915458877</v>
      </c>
      <c r="P100" s="958">
        <v>0</v>
      </c>
      <c r="Q100" s="958">
        <v>0</v>
      </c>
      <c r="R100" s="958">
        <v>298.74481289312826</v>
      </c>
      <c r="S100" s="958">
        <v>614.77592912368709</v>
      </c>
      <c r="T100" s="958">
        <v>706.38267425567028</v>
      </c>
      <c r="U100" s="958">
        <v>724.94560923310928</v>
      </c>
      <c r="V100" s="958">
        <v>747.09313172713155</v>
      </c>
      <c r="W100" s="958">
        <v>760.64844355382957</v>
      </c>
      <c r="X100" s="958">
        <v>765.00387191702612</v>
      </c>
      <c r="Y100" s="958">
        <v>773.25643252860755</v>
      </c>
      <c r="Z100" s="958">
        <v>779.20162404284929</v>
      </c>
      <c r="AA100" s="959">
        <v>773.35409915458877</v>
      </c>
      <c r="AC100" s="10"/>
    </row>
    <row r="101" spans="2:29">
      <c r="B101" s="1196"/>
      <c r="C101" s="133" t="s">
        <v>427</v>
      </c>
      <c r="D101" s="830">
        <f t="shared" si="41"/>
        <v>0</v>
      </c>
      <c r="E101" s="830">
        <f t="shared" si="40"/>
        <v>0</v>
      </c>
      <c r="F101" s="830">
        <f t="shared" si="40"/>
        <v>-2421.812518993167</v>
      </c>
      <c r="G101" s="830">
        <f t="shared" si="40"/>
        <v>-4982.3670083817196</v>
      </c>
      <c r="H101" s="830">
        <f t="shared" si="40"/>
        <v>-5619.5513271046439</v>
      </c>
      <c r="I101" s="830">
        <f t="shared" si="40"/>
        <v>-5770.6159887500617</v>
      </c>
      <c r="J101" s="830">
        <f t="shared" si="40"/>
        <v>-5954.3131098128797</v>
      </c>
      <c r="K101" s="830">
        <f t="shared" si="40"/>
        <v>-6061.5475568318434</v>
      </c>
      <c r="L101" s="830">
        <f t="shared" si="40"/>
        <v>-6097.7998198075293</v>
      </c>
      <c r="M101" s="830">
        <f t="shared" si="40"/>
        <v>-6174.3507216399012</v>
      </c>
      <c r="N101" s="830">
        <f t="shared" si="40"/>
        <v>-6233.6199906656184</v>
      </c>
      <c r="O101" s="830">
        <f t="shared" si="40"/>
        <v>-6185.5594634523513</v>
      </c>
      <c r="P101" s="958">
        <v>0</v>
      </c>
      <c r="Q101" s="958">
        <v>0</v>
      </c>
      <c r="R101" s="958">
        <v>-2421.812518993167</v>
      </c>
      <c r="S101" s="958">
        <v>-4982.3670083817196</v>
      </c>
      <c r="T101" s="958">
        <v>-5619.5513271046439</v>
      </c>
      <c r="U101" s="958">
        <v>-5770.6159887500617</v>
      </c>
      <c r="V101" s="958">
        <v>-5954.3131098128797</v>
      </c>
      <c r="W101" s="958">
        <v>-6061.5475568318434</v>
      </c>
      <c r="X101" s="958">
        <v>-6097.7998198075293</v>
      </c>
      <c r="Y101" s="958">
        <v>-6174.3507216399012</v>
      </c>
      <c r="Z101" s="958">
        <v>-6233.6199906656184</v>
      </c>
      <c r="AA101" s="959">
        <v>-6185.5594634523513</v>
      </c>
      <c r="AC101" s="10"/>
    </row>
    <row r="102" spans="2:29">
      <c r="B102" s="1196"/>
      <c r="C102" s="133" t="s">
        <v>3</v>
      </c>
      <c r="D102" s="830">
        <f t="shared" si="41"/>
        <v>0</v>
      </c>
      <c r="E102" s="830">
        <f t="shared" si="40"/>
        <v>0</v>
      </c>
      <c r="F102" s="830">
        <f t="shared" si="40"/>
        <v>261.46483416884439</v>
      </c>
      <c r="G102" s="830">
        <f t="shared" si="40"/>
        <v>537.94051453491556</v>
      </c>
      <c r="H102" s="830">
        <f t="shared" si="40"/>
        <v>609.1510793666821</v>
      </c>
      <c r="I102" s="830">
        <f t="shared" si="40"/>
        <v>625.44704402101343</v>
      </c>
      <c r="J102" s="830">
        <f t="shared" si="40"/>
        <v>645.18411721280427</v>
      </c>
      <c r="K102" s="830">
        <f t="shared" si="40"/>
        <v>656.82227688914281</v>
      </c>
      <c r="L102" s="830">
        <f t="shared" si="40"/>
        <v>660.71449640282663</v>
      </c>
      <c r="M102" s="830">
        <f t="shared" si="40"/>
        <v>668.75775202125078</v>
      </c>
      <c r="N102" s="830">
        <f t="shared" si="40"/>
        <v>674.90259058083757</v>
      </c>
      <c r="O102" s="830">
        <f t="shared" si="40"/>
        <v>669.72892459653667</v>
      </c>
      <c r="P102" s="958">
        <v>0</v>
      </c>
      <c r="Q102" s="958">
        <v>0</v>
      </c>
      <c r="R102" s="958">
        <v>261.46483416884439</v>
      </c>
      <c r="S102" s="958">
        <v>537.94051453491556</v>
      </c>
      <c r="T102" s="958">
        <v>609.1510793666821</v>
      </c>
      <c r="U102" s="958">
        <v>625.44704402101343</v>
      </c>
      <c r="V102" s="958">
        <v>645.18411721280427</v>
      </c>
      <c r="W102" s="958">
        <v>656.82227688914281</v>
      </c>
      <c r="X102" s="958">
        <v>660.71449640282663</v>
      </c>
      <c r="Y102" s="958">
        <v>668.75775202125078</v>
      </c>
      <c r="Z102" s="958">
        <v>674.90259058083757</v>
      </c>
      <c r="AA102" s="959">
        <v>669.72892459653667</v>
      </c>
      <c r="AC102" s="10"/>
    </row>
    <row r="103" spans="2:29">
      <c r="B103" s="1196"/>
      <c r="C103" s="133" t="s">
        <v>85</v>
      </c>
      <c r="D103" s="830">
        <f t="shared" si="41"/>
        <v>0</v>
      </c>
      <c r="E103" s="830">
        <f t="shared" si="40"/>
        <v>0</v>
      </c>
      <c r="F103" s="830">
        <f t="shared" si="40"/>
        <v>0</v>
      </c>
      <c r="G103" s="830">
        <f t="shared" si="40"/>
        <v>0</v>
      </c>
      <c r="H103" s="830">
        <f t="shared" si="40"/>
        <v>0</v>
      </c>
      <c r="I103" s="830">
        <f t="shared" si="40"/>
        <v>0</v>
      </c>
      <c r="J103" s="830">
        <f t="shared" si="40"/>
        <v>0</v>
      </c>
      <c r="K103" s="830">
        <f t="shared" si="40"/>
        <v>0</v>
      </c>
      <c r="L103" s="830">
        <f t="shared" si="40"/>
        <v>0</v>
      </c>
      <c r="M103" s="830">
        <f t="shared" si="40"/>
        <v>0</v>
      </c>
      <c r="N103" s="830">
        <f t="shared" si="40"/>
        <v>0</v>
      </c>
      <c r="O103" s="830">
        <f t="shared" si="40"/>
        <v>0</v>
      </c>
      <c r="P103" s="958">
        <v>0</v>
      </c>
      <c r="Q103" s="958">
        <v>0</v>
      </c>
      <c r="R103" s="958">
        <v>0</v>
      </c>
      <c r="S103" s="958">
        <v>0</v>
      </c>
      <c r="T103" s="958">
        <v>0</v>
      </c>
      <c r="U103" s="958">
        <v>0</v>
      </c>
      <c r="V103" s="958">
        <v>0</v>
      </c>
      <c r="W103" s="958">
        <v>0</v>
      </c>
      <c r="X103" s="958">
        <v>0</v>
      </c>
      <c r="Y103" s="958">
        <v>0</v>
      </c>
      <c r="Z103" s="958">
        <v>0</v>
      </c>
      <c r="AA103" s="959">
        <v>0</v>
      </c>
      <c r="AC103" s="10"/>
    </row>
    <row r="104" spans="2:29">
      <c r="B104" s="1196"/>
      <c r="C104" s="133" t="s">
        <v>103</v>
      </c>
      <c r="D104" s="830">
        <f t="shared" si="41"/>
        <v>0</v>
      </c>
      <c r="E104" s="830">
        <f t="shared" si="40"/>
        <v>0</v>
      </c>
      <c r="F104" s="830">
        <f t="shared" si="40"/>
        <v>-4765.4851439616614</v>
      </c>
      <c r="G104" s="830">
        <f t="shared" si="40"/>
        <v>-9802.7761573749449</v>
      </c>
      <c r="H104" s="830">
        <f t="shared" si="40"/>
        <v>-10965.549689233478</v>
      </c>
      <c r="I104" s="830">
        <f t="shared" si="40"/>
        <v>-11263.307315123006</v>
      </c>
      <c r="J104" s="830">
        <f t="shared" si="40"/>
        <v>-11628.362432805079</v>
      </c>
      <c r="K104" s="830">
        <f t="shared" si="40"/>
        <v>-11837.080414190146</v>
      </c>
      <c r="L104" s="830">
        <f t="shared" si="40"/>
        <v>-11909.230698604137</v>
      </c>
      <c r="M104" s="830">
        <f t="shared" si="40"/>
        <v>-12068.194966044568</v>
      </c>
      <c r="N104" s="830">
        <f t="shared" si="40"/>
        <v>-12194.382500941734</v>
      </c>
      <c r="O104" s="830">
        <f t="shared" si="40"/>
        <v>-12099.245004731871</v>
      </c>
      <c r="P104" s="958">
        <v>0</v>
      </c>
      <c r="Q104" s="958">
        <v>0</v>
      </c>
      <c r="R104" s="958">
        <v>-4765.4851439616614</v>
      </c>
      <c r="S104" s="958">
        <v>-9802.7761573749449</v>
      </c>
      <c r="T104" s="958">
        <v>-10965.549689233478</v>
      </c>
      <c r="U104" s="958">
        <v>-11263.307315123006</v>
      </c>
      <c r="V104" s="958">
        <v>-11628.362432805079</v>
      </c>
      <c r="W104" s="958">
        <v>-11837.080414190146</v>
      </c>
      <c r="X104" s="958">
        <v>-11909.230698604137</v>
      </c>
      <c r="Y104" s="958">
        <v>-12068.194966044568</v>
      </c>
      <c r="Z104" s="958">
        <v>-12194.382500941734</v>
      </c>
      <c r="AA104" s="959">
        <v>-12099.245004731871</v>
      </c>
      <c r="AC104" s="10"/>
    </row>
    <row r="105" spans="2:29">
      <c r="B105" s="1196"/>
      <c r="C105" s="133" t="s">
        <v>559</v>
      </c>
      <c r="D105" s="830">
        <f t="shared" si="41"/>
        <v>0</v>
      </c>
      <c r="E105" s="830">
        <f t="shared" si="40"/>
        <v>0</v>
      </c>
      <c r="F105" s="830">
        <f t="shared" si="40"/>
        <v>-6339.5796605843061</v>
      </c>
      <c r="G105" s="830">
        <f t="shared" si="40"/>
        <v>-13045.804550676054</v>
      </c>
      <c r="H105" s="830">
        <f t="shared" si="40"/>
        <v>-14975.934375841869</v>
      </c>
      <c r="I105" s="830">
        <f t="shared" si="40"/>
        <v>-15369.929529991612</v>
      </c>
      <c r="J105" s="830">
        <f t="shared" si="40"/>
        <v>-15840.460981912998</v>
      </c>
      <c r="K105" s="830">
        <f t="shared" si="40"/>
        <v>-16127.766372218612</v>
      </c>
      <c r="L105" s="830">
        <f t="shared" si="40"/>
        <v>-16220.31558240403</v>
      </c>
      <c r="M105" s="830">
        <f t="shared" si="40"/>
        <v>-16396.706789410702</v>
      </c>
      <c r="N105" s="830">
        <f t="shared" si="40"/>
        <v>-16524.32067863585</v>
      </c>
      <c r="O105" s="830">
        <f t="shared" si="40"/>
        <v>-16400.145835345378</v>
      </c>
      <c r="P105" s="958">
        <v>0</v>
      </c>
      <c r="Q105" s="958">
        <v>0</v>
      </c>
      <c r="R105" s="958">
        <v>-6339.5796605843061</v>
      </c>
      <c r="S105" s="958">
        <v>-13045.804550676054</v>
      </c>
      <c r="T105" s="958">
        <v>-14975.934375841869</v>
      </c>
      <c r="U105" s="958">
        <v>-15369.929529991612</v>
      </c>
      <c r="V105" s="958">
        <v>-15840.460981912998</v>
      </c>
      <c r="W105" s="958">
        <v>-16127.766372218612</v>
      </c>
      <c r="X105" s="958">
        <v>-16220.31558240403</v>
      </c>
      <c r="Y105" s="958">
        <v>-16396.706789410702</v>
      </c>
      <c r="Z105" s="958">
        <v>-16524.32067863585</v>
      </c>
      <c r="AA105" s="959">
        <v>-16400.145835345378</v>
      </c>
      <c r="AC105" s="10"/>
    </row>
    <row r="106" spans="2:29">
      <c r="B106" s="1196"/>
      <c r="C106" s="133" t="s">
        <v>6</v>
      </c>
      <c r="D106" s="830">
        <f t="shared" si="41"/>
        <v>0</v>
      </c>
      <c r="E106" s="830">
        <f t="shared" si="40"/>
        <v>0</v>
      </c>
      <c r="F106" s="830">
        <f t="shared" si="40"/>
        <v>-899.39126930492057</v>
      </c>
      <c r="G106" s="830">
        <f t="shared" si="40"/>
        <v>-1857.8359981476242</v>
      </c>
      <c r="H106" s="830">
        <f t="shared" si="40"/>
        <v>-2664.882634514157</v>
      </c>
      <c r="I106" s="830">
        <f t="shared" si="40"/>
        <v>-2717.8356865568203</v>
      </c>
      <c r="J106" s="830">
        <f t="shared" si="40"/>
        <v>-2763.5746332043927</v>
      </c>
      <c r="K106" s="830">
        <f t="shared" si="40"/>
        <v>-2817.7532699200819</v>
      </c>
      <c r="L106" s="830">
        <f t="shared" si="40"/>
        <v>-2826.1069393368089</v>
      </c>
      <c r="M106" s="830">
        <f t="shared" si="40"/>
        <v>-2802.3267517497588</v>
      </c>
      <c r="N106" s="830">
        <f t="shared" si="40"/>
        <v>-2764.4283783524734</v>
      </c>
      <c r="O106" s="830">
        <f t="shared" si="40"/>
        <v>-2750.1335231167031</v>
      </c>
      <c r="P106" s="958">
        <v>0</v>
      </c>
      <c r="Q106" s="958">
        <v>0</v>
      </c>
      <c r="R106" s="958">
        <v>-899.39126930492057</v>
      </c>
      <c r="S106" s="958">
        <v>-1857.8359981476242</v>
      </c>
      <c r="T106" s="958">
        <v>-2664.882634514157</v>
      </c>
      <c r="U106" s="958">
        <v>-2717.8356865568203</v>
      </c>
      <c r="V106" s="958">
        <v>-2763.5746332043927</v>
      </c>
      <c r="W106" s="958">
        <v>-2817.7532699200819</v>
      </c>
      <c r="X106" s="958">
        <v>-2826.1069393368089</v>
      </c>
      <c r="Y106" s="958">
        <v>-2802.3267517497588</v>
      </c>
      <c r="Z106" s="958">
        <v>-2764.4283783524734</v>
      </c>
      <c r="AA106" s="959">
        <v>-2750.1335231167031</v>
      </c>
      <c r="AC106" s="10"/>
    </row>
    <row r="107" spans="2:29">
      <c r="B107" s="1196"/>
      <c r="C107" s="133" t="s">
        <v>1</v>
      </c>
      <c r="D107" s="830">
        <f t="shared" si="41"/>
        <v>0</v>
      </c>
      <c r="E107" s="830">
        <f t="shared" si="40"/>
        <v>0</v>
      </c>
      <c r="F107" s="830">
        <f t="shared" si="40"/>
        <v>0</v>
      </c>
      <c r="G107" s="830">
        <f t="shared" si="40"/>
        <v>0</v>
      </c>
      <c r="H107" s="830">
        <f t="shared" si="40"/>
        <v>0</v>
      </c>
      <c r="I107" s="830">
        <f t="shared" si="40"/>
        <v>0</v>
      </c>
      <c r="J107" s="830">
        <f t="shared" si="40"/>
        <v>0</v>
      </c>
      <c r="K107" s="830">
        <f t="shared" si="40"/>
        <v>0</v>
      </c>
      <c r="L107" s="830">
        <f t="shared" si="40"/>
        <v>0</v>
      </c>
      <c r="M107" s="830">
        <f t="shared" si="40"/>
        <v>0</v>
      </c>
      <c r="N107" s="830">
        <f t="shared" si="40"/>
        <v>0</v>
      </c>
      <c r="O107" s="830">
        <f t="shared" si="40"/>
        <v>0</v>
      </c>
      <c r="P107" s="958">
        <v>0</v>
      </c>
      <c r="Q107" s="958">
        <v>0</v>
      </c>
      <c r="R107" s="958">
        <v>0</v>
      </c>
      <c r="S107" s="958">
        <v>0</v>
      </c>
      <c r="T107" s="958">
        <v>0</v>
      </c>
      <c r="U107" s="958">
        <v>0</v>
      </c>
      <c r="V107" s="958">
        <v>0</v>
      </c>
      <c r="W107" s="958">
        <v>0</v>
      </c>
      <c r="X107" s="958">
        <v>0</v>
      </c>
      <c r="Y107" s="958">
        <v>0</v>
      </c>
      <c r="Z107" s="958">
        <v>0</v>
      </c>
      <c r="AA107" s="959">
        <v>0</v>
      </c>
      <c r="AC107" s="10"/>
    </row>
    <row r="108" spans="2:29">
      <c r="B108" s="1196"/>
      <c r="C108" s="133" t="s">
        <v>396</v>
      </c>
      <c r="D108" s="830">
        <f t="shared" si="41"/>
        <v>0</v>
      </c>
      <c r="E108" s="830">
        <f t="shared" si="40"/>
        <v>0</v>
      </c>
      <c r="F108" s="830">
        <f t="shared" si="40"/>
        <v>-1771.7447906149173</v>
      </c>
      <c r="G108" s="830">
        <f t="shared" si="40"/>
        <v>-3644.4815728225149</v>
      </c>
      <c r="H108" s="830">
        <f t="shared" si="40"/>
        <v>-4072.0985770844491</v>
      </c>
      <c r="I108" s="830">
        <f t="shared" si="40"/>
        <v>-4182.8268180701998</v>
      </c>
      <c r="J108" s="830">
        <f t="shared" si="40"/>
        <v>-4318.7342348735401</v>
      </c>
      <c r="K108" s="830">
        <f t="shared" si="40"/>
        <v>-4396.2148897384832</v>
      </c>
      <c r="L108" s="830">
        <f t="shared" si="40"/>
        <v>-4423.0814000936298</v>
      </c>
      <c r="M108" s="830">
        <f t="shared" si="40"/>
        <v>-4482.6112122941558</v>
      </c>
      <c r="N108" s="830">
        <f t="shared" si="40"/>
        <v>-4530.0183366974452</v>
      </c>
      <c r="O108" s="830">
        <f t="shared" si="40"/>
        <v>-4494.6182675531454</v>
      </c>
      <c r="P108" s="958">
        <v>0</v>
      </c>
      <c r="Q108" s="958">
        <v>0</v>
      </c>
      <c r="R108" s="958">
        <v>-1771.7447906149173</v>
      </c>
      <c r="S108" s="958">
        <v>-3644.4815728225149</v>
      </c>
      <c r="T108" s="958">
        <v>-4072.0985770844491</v>
      </c>
      <c r="U108" s="958">
        <v>-4182.8268180701998</v>
      </c>
      <c r="V108" s="958">
        <v>-4318.7342348735401</v>
      </c>
      <c r="W108" s="958">
        <v>-4396.2148897384832</v>
      </c>
      <c r="X108" s="958">
        <v>-4423.0814000936298</v>
      </c>
      <c r="Y108" s="958">
        <v>-4482.6112122941558</v>
      </c>
      <c r="Z108" s="958">
        <v>-4530.0183366974452</v>
      </c>
      <c r="AA108" s="959">
        <v>-4494.6182675531454</v>
      </c>
      <c r="AC108" s="10"/>
    </row>
    <row r="109" spans="2:29">
      <c r="B109" s="1196"/>
      <c r="C109" s="133" t="s">
        <v>4</v>
      </c>
      <c r="D109" s="830">
        <f t="shared" si="41"/>
        <v>0</v>
      </c>
      <c r="E109" s="830">
        <f t="shared" si="40"/>
        <v>0</v>
      </c>
      <c r="F109" s="830">
        <f t="shared" si="40"/>
        <v>4802.7682063592074</v>
      </c>
      <c r="G109" s="830">
        <f t="shared" si="40"/>
        <v>9878.2387224402628</v>
      </c>
      <c r="H109" s="830">
        <f t="shared" si="40"/>
        <v>10956.914079791342</v>
      </c>
      <c r="I109" s="830">
        <f t="shared" si="40"/>
        <v>11257.515555929218</v>
      </c>
      <c r="J109" s="830">
        <f t="shared" si="40"/>
        <v>11629.099660789041</v>
      </c>
      <c r="K109" s="830">
        <f t="shared" si="40"/>
        <v>11837.105242144899</v>
      </c>
      <c r="L109" s="830">
        <f t="shared" si="40"/>
        <v>11910.65477584122</v>
      </c>
      <c r="M109" s="830">
        <f t="shared" si="40"/>
        <v>12079.392690279084</v>
      </c>
      <c r="N109" s="830">
        <f t="shared" si="40"/>
        <v>12216.355525492138</v>
      </c>
      <c r="O109" s="830">
        <f t="shared" si="40"/>
        <v>12119.893149475974</v>
      </c>
      <c r="P109" s="958">
        <v>0</v>
      </c>
      <c r="Q109" s="958">
        <v>0</v>
      </c>
      <c r="R109" s="958">
        <v>4802.7682063592074</v>
      </c>
      <c r="S109" s="958">
        <v>9878.2387224402628</v>
      </c>
      <c r="T109" s="958">
        <v>10956.914079791342</v>
      </c>
      <c r="U109" s="958">
        <v>11257.515555929218</v>
      </c>
      <c r="V109" s="958">
        <v>11629.099660789041</v>
      </c>
      <c r="W109" s="958">
        <v>11837.105242144899</v>
      </c>
      <c r="X109" s="958">
        <v>11910.65477584122</v>
      </c>
      <c r="Y109" s="958">
        <v>12079.392690279084</v>
      </c>
      <c r="Z109" s="958">
        <v>12216.355525492138</v>
      </c>
      <c r="AA109" s="959">
        <v>12119.893149475974</v>
      </c>
      <c r="AC109" s="10"/>
    </row>
    <row r="110" spans="2:29">
      <c r="B110" s="1196"/>
      <c r="C110" s="133" t="s">
        <v>0</v>
      </c>
      <c r="D110" s="830">
        <f t="shared" si="41"/>
        <v>0</v>
      </c>
      <c r="E110" s="830">
        <f t="shared" si="40"/>
        <v>0</v>
      </c>
      <c r="F110" s="830">
        <f t="shared" si="40"/>
        <v>3993.9493437978381</v>
      </c>
      <c r="G110" s="830">
        <f t="shared" si="40"/>
        <v>8209.8379276515916</v>
      </c>
      <c r="H110" s="830">
        <f t="shared" si="40"/>
        <v>8740.2930230525089</v>
      </c>
      <c r="I110" s="830">
        <f t="shared" si="40"/>
        <v>8992.2941562751657</v>
      </c>
      <c r="J110" s="830">
        <f t="shared" si="40"/>
        <v>9315.7477793229045</v>
      </c>
      <c r="K110" s="830">
        <f t="shared" si="40"/>
        <v>9479.4989838725014</v>
      </c>
      <c r="L110" s="830">
        <f t="shared" si="40"/>
        <v>9543.9456980145769</v>
      </c>
      <c r="M110" s="830">
        <f t="shared" si="40"/>
        <v>9717.8179061086266</v>
      </c>
      <c r="N110" s="830">
        <f t="shared" si="40"/>
        <v>9870.2145871912944</v>
      </c>
      <c r="O110" s="830">
        <f t="shared" si="40"/>
        <v>9787.7135968334624</v>
      </c>
      <c r="P110" s="958">
        <v>0</v>
      </c>
      <c r="Q110" s="958">
        <v>0</v>
      </c>
      <c r="R110" s="958">
        <v>3993.9493437978381</v>
      </c>
      <c r="S110" s="958">
        <v>8209.8379276515916</v>
      </c>
      <c r="T110" s="958">
        <v>8740.2930230525089</v>
      </c>
      <c r="U110" s="958">
        <v>8992.2941562751657</v>
      </c>
      <c r="V110" s="958">
        <v>9315.7477793229045</v>
      </c>
      <c r="W110" s="958">
        <v>9479.4989838725014</v>
      </c>
      <c r="X110" s="958">
        <v>9543.9456980145769</v>
      </c>
      <c r="Y110" s="958">
        <v>9717.8179061086266</v>
      </c>
      <c r="Z110" s="958">
        <v>9870.2145871912944</v>
      </c>
      <c r="AA110" s="959">
        <v>9787.7135968334624</v>
      </c>
      <c r="AC110" s="10"/>
    </row>
    <row r="111" spans="2:29">
      <c r="B111" s="1196"/>
      <c r="C111" s="133" t="s">
        <v>560</v>
      </c>
      <c r="D111" s="830">
        <f t="shared" si="41"/>
        <v>0</v>
      </c>
      <c r="E111" s="830">
        <f t="shared" si="40"/>
        <v>0</v>
      </c>
      <c r="F111" s="830">
        <f t="shared" si="40"/>
        <v>0</v>
      </c>
      <c r="G111" s="830">
        <f t="shared" si="40"/>
        <v>0</v>
      </c>
      <c r="H111" s="830">
        <f t="shared" si="40"/>
        <v>0</v>
      </c>
      <c r="I111" s="830">
        <f t="shared" si="40"/>
        <v>0</v>
      </c>
      <c r="J111" s="830">
        <f t="shared" si="40"/>
        <v>0</v>
      </c>
      <c r="K111" s="830">
        <f t="shared" si="40"/>
        <v>0</v>
      </c>
      <c r="L111" s="830">
        <f t="shared" si="40"/>
        <v>0</v>
      </c>
      <c r="M111" s="830">
        <f t="shared" si="40"/>
        <v>0</v>
      </c>
      <c r="N111" s="830">
        <f t="shared" si="40"/>
        <v>0</v>
      </c>
      <c r="O111" s="830">
        <f t="shared" si="40"/>
        <v>0</v>
      </c>
      <c r="P111" s="958">
        <v>0</v>
      </c>
      <c r="Q111" s="958">
        <v>0</v>
      </c>
      <c r="R111" s="958">
        <v>0</v>
      </c>
      <c r="S111" s="958">
        <v>0</v>
      </c>
      <c r="T111" s="958">
        <v>0</v>
      </c>
      <c r="U111" s="958">
        <v>0</v>
      </c>
      <c r="V111" s="958">
        <v>0</v>
      </c>
      <c r="W111" s="958">
        <v>0</v>
      </c>
      <c r="X111" s="958">
        <v>0</v>
      </c>
      <c r="Y111" s="958">
        <v>0</v>
      </c>
      <c r="Z111" s="958">
        <v>0</v>
      </c>
      <c r="AA111" s="959">
        <v>0</v>
      </c>
      <c r="AC111" s="10"/>
    </row>
    <row r="112" spans="2:29">
      <c r="B112" s="1196"/>
      <c r="C112" s="133" t="s">
        <v>561</v>
      </c>
      <c r="D112" s="830">
        <f t="shared" si="41"/>
        <v>0</v>
      </c>
      <c r="E112" s="830">
        <f t="shared" si="40"/>
        <v>0</v>
      </c>
      <c r="F112" s="830">
        <f t="shared" si="40"/>
        <v>22121.044663962151</v>
      </c>
      <c r="G112" s="830">
        <f t="shared" si="40"/>
        <v>45541.106042454398</v>
      </c>
      <c r="H112" s="830">
        <f t="shared" si="40"/>
        <v>53765.661701152014</v>
      </c>
      <c r="I112" s="830">
        <f t="shared" si="40"/>
        <v>55132.229643806873</v>
      </c>
      <c r="J112" s="830">
        <f t="shared" si="40"/>
        <v>56715.37183764088</v>
      </c>
      <c r="K112" s="830">
        <f t="shared" si="40"/>
        <v>57755.370310198981</v>
      </c>
      <c r="L112" s="830">
        <f t="shared" si="40"/>
        <v>58064.964155635738</v>
      </c>
      <c r="M112" s="830">
        <f t="shared" si="40"/>
        <v>58544.111120521964</v>
      </c>
      <c r="N112" s="830">
        <f t="shared" si="40"/>
        <v>58832.947282014764</v>
      </c>
      <c r="O112" s="830">
        <f t="shared" si="40"/>
        <v>58408.937017054937</v>
      </c>
      <c r="P112" s="958">
        <v>0</v>
      </c>
      <c r="Q112" s="958">
        <v>0</v>
      </c>
      <c r="R112" s="958">
        <v>22121.044663962151</v>
      </c>
      <c r="S112" s="958">
        <v>45541.106042454398</v>
      </c>
      <c r="T112" s="958">
        <v>53765.661701152014</v>
      </c>
      <c r="U112" s="958">
        <v>55132.229643806873</v>
      </c>
      <c r="V112" s="958">
        <v>56715.37183764088</v>
      </c>
      <c r="W112" s="958">
        <v>57755.370310198981</v>
      </c>
      <c r="X112" s="958">
        <v>58064.964155635738</v>
      </c>
      <c r="Y112" s="958">
        <v>58544.111120521964</v>
      </c>
      <c r="Z112" s="958">
        <v>58832.947282014764</v>
      </c>
      <c r="AA112" s="959">
        <v>58408.937017054937</v>
      </c>
      <c r="AC112" s="10"/>
    </row>
    <row r="113" spans="2:29">
      <c r="B113" s="1196"/>
      <c r="C113" s="133" t="s">
        <v>5</v>
      </c>
      <c r="D113" s="830">
        <f t="shared" si="41"/>
        <v>0</v>
      </c>
      <c r="E113" s="830">
        <f t="shared" si="40"/>
        <v>0</v>
      </c>
      <c r="F113" s="830">
        <f t="shared" si="40"/>
        <v>-2.5081794859725051</v>
      </c>
      <c r="G113" s="830">
        <f t="shared" si="40"/>
        <v>-4.1231216265296098</v>
      </c>
      <c r="H113" s="830">
        <f t="shared" si="40"/>
        <v>73.780183460839908</v>
      </c>
      <c r="I113" s="830">
        <f t="shared" si="40"/>
        <v>73.190157115546754</v>
      </c>
      <c r="J113" s="830">
        <f t="shared" si="40"/>
        <v>69.903620368160773</v>
      </c>
      <c r="K113" s="830">
        <f t="shared" si="40"/>
        <v>71.769655985423014</v>
      </c>
      <c r="L113" s="830">
        <f t="shared" si="40"/>
        <v>71.028396833688021</v>
      </c>
      <c r="M113" s="830">
        <f t="shared" si="40"/>
        <v>63.758373982389458</v>
      </c>
      <c r="N113" s="830">
        <f t="shared" si="40"/>
        <v>55.445688832725864</v>
      </c>
      <c r="O113" s="830">
        <f t="shared" si="40"/>
        <v>55.984878149392898</v>
      </c>
      <c r="P113" s="958">
        <v>0</v>
      </c>
      <c r="Q113" s="958">
        <v>0</v>
      </c>
      <c r="R113" s="958">
        <v>-2.5081794859725051</v>
      </c>
      <c r="S113" s="958">
        <v>-4.1231216265296098</v>
      </c>
      <c r="T113" s="958">
        <v>73.780183460839908</v>
      </c>
      <c r="U113" s="958">
        <v>73.190157115546754</v>
      </c>
      <c r="V113" s="958">
        <v>69.903620368160773</v>
      </c>
      <c r="W113" s="958">
        <v>71.769655985423014</v>
      </c>
      <c r="X113" s="958">
        <v>71.028396833688021</v>
      </c>
      <c r="Y113" s="958">
        <v>63.758373982389458</v>
      </c>
      <c r="Z113" s="958">
        <v>55.445688832725864</v>
      </c>
      <c r="AA113" s="959">
        <v>55.984878149392898</v>
      </c>
      <c r="AC113" s="10"/>
    </row>
    <row r="114" spans="2:29">
      <c r="B114" s="1196"/>
      <c r="C114" s="133" t="s">
        <v>44</v>
      </c>
      <c r="D114" s="830">
        <f t="shared" si="41"/>
        <v>0</v>
      </c>
      <c r="E114" s="830">
        <f t="shared" si="40"/>
        <v>0</v>
      </c>
      <c r="F114" s="830">
        <f t="shared" si="40"/>
        <v>-7894.1356423932812</v>
      </c>
      <c r="G114" s="830">
        <f t="shared" si="40"/>
        <v>-16258.982078367859</v>
      </c>
      <c r="H114" s="830">
        <f t="shared" si="40"/>
        <v>-19735.161444793222</v>
      </c>
      <c r="I114" s="830">
        <f t="shared" si="40"/>
        <v>-20219.849558153561</v>
      </c>
      <c r="J114" s="830">
        <f t="shared" si="40"/>
        <v>-20763.483310651587</v>
      </c>
      <c r="K114" s="830">
        <f t="shared" si="40"/>
        <v>-21148.236659740985</v>
      </c>
      <c r="L114" s="830">
        <f t="shared" si="40"/>
        <v>-21253.871289020419</v>
      </c>
      <c r="M114" s="830">
        <f t="shared" si="40"/>
        <v>-21375.329013747556</v>
      </c>
      <c r="N114" s="830">
        <f t="shared" si="40"/>
        <v>-21421.566932080168</v>
      </c>
      <c r="O114" s="830">
        <f t="shared" si="40"/>
        <v>-21273.625427361527</v>
      </c>
      <c r="P114" s="958">
        <v>0</v>
      </c>
      <c r="Q114" s="958">
        <v>0</v>
      </c>
      <c r="R114" s="958">
        <v>-7894.1356423932812</v>
      </c>
      <c r="S114" s="958">
        <v>-16258.982078367859</v>
      </c>
      <c r="T114" s="958">
        <v>-19735.161444793222</v>
      </c>
      <c r="U114" s="958">
        <v>-20219.849558153561</v>
      </c>
      <c r="V114" s="958">
        <v>-20763.483310651587</v>
      </c>
      <c r="W114" s="958">
        <v>-21148.236659740985</v>
      </c>
      <c r="X114" s="958">
        <v>-21253.871289020419</v>
      </c>
      <c r="Y114" s="958">
        <v>-21375.329013747556</v>
      </c>
      <c r="Z114" s="958">
        <v>-21421.566932080168</v>
      </c>
      <c r="AA114" s="959">
        <v>-21273.625427361527</v>
      </c>
      <c r="AC114" s="10"/>
    </row>
    <row r="115" spans="2:29">
      <c r="B115" s="1196"/>
      <c r="C115" s="133" t="s">
        <v>562</v>
      </c>
      <c r="D115" s="830">
        <f t="shared" si="41"/>
        <v>0</v>
      </c>
      <c r="E115" s="830">
        <f t="shared" ref="E115:O117" si="42">IF($B$15=$D$18,Q115,0)</f>
        <v>0</v>
      </c>
      <c r="F115" s="830">
        <f t="shared" si="42"/>
        <v>-5131.2223382037482</v>
      </c>
      <c r="G115" s="830">
        <f t="shared" si="42"/>
        <v>-10557.024471548502</v>
      </c>
      <c r="H115" s="830">
        <f t="shared" si="42"/>
        <v>-11954.023091655225</v>
      </c>
      <c r="I115" s="830">
        <f t="shared" si="42"/>
        <v>-12273.832607705845</v>
      </c>
      <c r="J115" s="830">
        <f t="shared" si="42"/>
        <v>-12661.190559971728</v>
      </c>
      <c r="K115" s="830">
        <f t="shared" si="42"/>
        <v>-12889.575698828208</v>
      </c>
      <c r="L115" s="830">
        <f t="shared" si="42"/>
        <v>-12965.964629789232</v>
      </c>
      <c r="M115" s="830">
        <f t="shared" si="42"/>
        <v>-13123.858688937849</v>
      </c>
      <c r="N115" s="830">
        <f t="shared" si="42"/>
        <v>-13244.503270395333</v>
      </c>
      <c r="O115" s="830">
        <f t="shared" si="42"/>
        <v>-13142.967444172536</v>
      </c>
      <c r="P115" s="958">
        <v>0</v>
      </c>
      <c r="Q115" s="958">
        <v>0</v>
      </c>
      <c r="R115" s="958">
        <v>-5131.2223382037482</v>
      </c>
      <c r="S115" s="958">
        <v>-10557.024471548502</v>
      </c>
      <c r="T115" s="958">
        <v>-11954.023091655225</v>
      </c>
      <c r="U115" s="958">
        <v>-12273.832607705845</v>
      </c>
      <c r="V115" s="958">
        <v>-12661.190559971728</v>
      </c>
      <c r="W115" s="958">
        <v>-12889.575698828208</v>
      </c>
      <c r="X115" s="958">
        <v>-12965.964629789232</v>
      </c>
      <c r="Y115" s="958">
        <v>-13123.858688937849</v>
      </c>
      <c r="Z115" s="958">
        <v>-13244.503270395333</v>
      </c>
      <c r="AA115" s="959">
        <v>-13142.967444172536</v>
      </c>
      <c r="AC115" s="10"/>
    </row>
    <row r="116" spans="2:29">
      <c r="B116" s="1196"/>
      <c r="C116" s="133" t="s">
        <v>2</v>
      </c>
      <c r="D116" s="830">
        <f t="shared" si="41"/>
        <v>0</v>
      </c>
      <c r="E116" s="830">
        <f t="shared" si="42"/>
        <v>0</v>
      </c>
      <c r="F116" s="830">
        <f t="shared" si="42"/>
        <v>256.74964741128497</v>
      </c>
      <c r="G116" s="830">
        <f t="shared" si="42"/>
        <v>528.23141644505085</v>
      </c>
      <c r="H116" s="830">
        <f t="shared" si="42"/>
        <v>597.54992338741431</v>
      </c>
      <c r="I116" s="830">
        <f t="shared" si="42"/>
        <v>613.55536566866795</v>
      </c>
      <c r="J116" s="830">
        <f t="shared" si="42"/>
        <v>632.96046262589516</v>
      </c>
      <c r="K116" s="830">
        <f t="shared" si="42"/>
        <v>644.37344551540446</v>
      </c>
      <c r="L116" s="830">
        <f t="shared" si="42"/>
        <v>648.20091861867695</v>
      </c>
      <c r="M116" s="830">
        <f t="shared" si="42"/>
        <v>656.15476111107273</v>
      </c>
      <c r="N116" s="830">
        <f t="shared" si="42"/>
        <v>662.25262794163427</v>
      </c>
      <c r="O116" s="830">
        <f t="shared" si="42"/>
        <v>657.16847572318511</v>
      </c>
      <c r="P116" s="958">
        <v>0</v>
      </c>
      <c r="Q116" s="958">
        <v>0</v>
      </c>
      <c r="R116" s="958">
        <v>256.74964741128497</v>
      </c>
      <c r="S116" s="958">
        <v>528.23141644505085</v>
      </c>
      <c r="T116" s="958">
        <v>597.54992338741431</v>
      </c>
      <c r="U116" s="958">
        <v>613.55536566866795</v>
      </c>
      <c r="V116" s="958">
        <v>632.96046262589516</v>
      </c>
      <c r="W116" s="958">
        <v>644.37344551540446</v>
      </c>
      <c r="X116" s="958">
        <v>648.20091861867695</v>
      </c>
      <c r="Y116" s="958">
        <v>656.15476111107273</v>
      </c>
      <c r="Z116" s="958">
        <v>662.25262794163427</v>
      </c>
      <c r="AA116" s="959">
        <v>657.16847572318511</v>
      </c>
      <c r="AC116" s="10"/>
    </row>
    <row r="117" spans="2:29">
      <c r="B117" s="1196"/>
      <c r="C117" s="133" t="s">
        <v>563</v>
      </c>
      <c r="D117" s="830">
        <f t="shared" si="41"/>
        <v>0</v>
      </c>
      <c r="E117" s="830">
        <f t="shared" si="42"/>
        <v>0</v>
      </c>
      <c r="F117" s="830">
        <f t="shared" si="42"/>
        <v>-102.68230667749594</v>
      </c>
      <c r="G117" s="830">
        <f t="shared" si="42"/>
        <v>-209.85082709652488</v>
      </c>
      <c r="H117" s="830">
        <f t="shared" si="42"/>
        <v>-131.07552379847039</v>
      </c>
      <c r="I117" s="830">
        <f t="shared" si="42"/>
        <v>-138.06434715191426</v>
      </c>
      <c r="J117" s="830">
        <f t="shared" si="42"/>
        <v>-150.02229656744748</v>
      </c>
      <c r="K117" s="830">
        <f t="shared" si="42"/>
        <v>-151.90661898200051</v>
      </c>
      <c r="L117" s="830">
        <f t="shared" si="42"/>
        <v>-154.39128052216256</v>
      </c>
      <c r="M117" s="830">
        <f t="shared" si="42"/>
        <v>-167.31983088867855</v>
      </c>
      <c r="N117" s="830">
        <f t="shared" si="42"/>
        <v>-180.94378194777528</v>
      </c>
      <c r="O117" s="830">
        <f t="shared" si="42"/>
        <v>-178.24703233828768</v>
      </c>
      <c r="P117" s="958">
        <v>0</v>
      </c>
      <c r="Q117" s="958">
        <v>0</v>
      </c>
      <c r="R117" s="958">
        <v>-102.68230667749594</v>
      </c>
      <c r="S117" s="958">
        <v>-209.85082709652488</v>
      </c>
      <c r="T117" s="958">
        <v>-131.07552379847039</v>
      </c>
      <c r="U117" s="958">
        <v>-138.06434715191426</v>
      </c>
      <c r="V117" s="958">
        <v>-150.02229656744748</v>
      </c>
      <c r="W117" s="958">
        <v>-151.90661898200051</v>
      </c>
      <c r="X117" s="958">
        <v>-154.39128052216256</v>
      </c>
      <c r="Y117" s="958">
        <v>-167.31983088867855</v>
      </c>
      <c r="Z117" s="958">
        <v>-180.94378194777528</v>
      </c>
      <c r="AA117" s="959">
        <v>-178.24703233828768</v>
      </c>
      <c r="AC117" s="10"/>
    </row>
    <row r="118" spans="2:29" ht="12.75" customHeight="1">
      <c r="B118" s="1201" t="s">
        <v>1752</v>
      </c>
      <c r="C118" s="831" t="s">
        <v>558</v>
      </c>
      <c r="D118" s="832">
        <f>IF($B$15=$D$19,P118,0)</f>
        <v>0</v>
      </c>
      <c r="E118" s="832">
        <f t="shared" ref="E118:O133" si="43">IF($B$15=$D$19,Q118,0)</f>
        <v>0</v>
      </c>
      <c r="F118" s="832">
        <f t="shared" si="43"/>
        <v>0</v>
      </c>
      <c r="G118" s="832">
        <f t="shared" si="43"/>
        <v>0</v>
      </c>
      <c r="H118" s="832">
        <f t="shared" si="43"/>
        <v>0</v>
      </c>
      <c r="I118" s="832">
        <f t="shared" si="43"/>
        <v>0</v>
      </c>
      <c r="J118" s="832">
        <f t="shared" si="43"/>
        <v>0</v>
      </c>
      <c r="K118" s="832">
        <f t="shared" si="43"/>
        <v>0</v>
      </c>
      <c r="L118" s="832">
        <f t="shared" si="43"/>
        <v>0</v>
      </c>
      <c r="M118" s="832">
        <f t="shared" si="43"/>
        <v>0</v>
      </c>
      <c r="N118" s="832">
        <f t="shared" si="43"/>
        <v>0</v>
      </c>
      <c r="O118" s="832">
        <f t="shared" si="43"/>
        <v>0</v>
      </c>
      <c r="P118" s="960">
        <v>0</v>
      </c>
      <c r="Q118" s="960">
        <v>0</v>
      </c>
      <c r="R118" s="960">
        <v>-3205.638282494212</v>
      </c>
      <c r="S118" s="960">
        <v>-6590.5417241847026</v>
      </c>
      <c r="T118" s="960">
        <v>-7102.0239590934943</v>
      </c>
      <c r="U118" s="960">
        <v>-7303.8129269576166</v>
      </c>
      <c r="V118" s="960">
        <v>-7560.0458603470179</v>
      </c>
      <c r="W118" s="960">
        <v>-7693.6338142203749</v>
      </c>
      <c r="X118" s="960">
        <v>-7744.5923954570899</v>
      </c>
      <c r="Y118" s="960">
        <v>-7876.2999686427647</v>
      </c>
      <c r="Z118" s="960">
        <v>-7989.6135159267287</v>
      </c>
      <c r="AA118" s="961">
        <v>-7923.930306746086</v>
      </c>
      <c r="AC118" s="10"/>
    </row>
    <row r="119" spans="2:29">
      <c r="B119" s="1202"/>
      <c r="C119" s="831" t="s">
        <v>7</v>
      </c>
      <c r="D119" s="832">
        <f t="shared" ref="D119:D136" si="44">IF($B$15=$D$19,P119,0)</f>
        <v>0</v>
      </c>
      <c r="E119" s="832">
        <f t="shared" si="43"/>
        <v>0</v>
      </c>
      <c r="F119" s="832">
        <f t="shared" si="43"/>
        <v>0</v>
      </c>
      <c r="G119" s="832">
        <f t="shared" si="43"/>
        <v>0</v>
      </c>
      <c r="H119" s="832">
        <f t="shared" si="43"/>
        <v>0</v>
      </c>
      <c r="I119" s="832">
        <f t="shared" si="43"/>
        <v>0</v>
      </c>
      <c r="J119" s="832">
        <f t="shared" si="43"/>
        <v>0</v>
      </c>
      <c r="K119" s="832">
        <f t="shared" si="43"/>
        <v>0</v>
      </c>
      <c r="L119" s="832">
        <f t="shared" si="43"/>
        <v>0</v>
      </c>
      <c r="M119" s="832">
        <f t="shared" si="43"/>
        <v>0</v>
      </c>
      <c r="N119" s="832">
        <f t="shared" si="43"/>
        <v>0</v>
      </c>
      <c r="O119" s="832">
        <f t="shared" si="43"/>
        <v>0</v>
      </c>
      <c r="P119" s="960">
        <v>0</v>
      </c>
      <c r="Q119" s="960">
        <v>0</v>
      </c>
      <c r="R119" s="960">
        <v>398.23050882425741</v>
      </c>
      <c r="S119" s="960">
        <v>819.50418748584343</v>
      </c>
      <c r="T119" s="960">
        <v>941.64096693196916</v>
      </c>
      <c r="U119" s="960">
        <v>966.38545581017388</v>
      </c>
      <c r="V119" s="960">
        <v>995.90743518233649</v>
      </c>
      <c r="W119" s="960">
        <v>1013.9774330159998</v>
      </c>
      <c r="X119" s="960">
        <v>1019.7830588391516</v>
      </c>
      <c r="Y119" s="960">
        <v>1030.7816395763948</v>
      </c>
      <c r="Z119" s="960">
        <v>1038.7041468149109</v>
      </c>
      <c r="AA119" s="961">
        <v>1030.9094728890923</v>
      </c>
      <c r="AC119" s="10"/>
    </row>
    <row r="120" spans="2:29">
      <c r="B120" s="1202"/>
      <c r="C120" s="831" t="s">
        <v>427</v>
      </c>
      <c r="D120" s="832">
        <f t="shared" si="44"/>
        <v>0</v>
      </c>
      <c r="E120" s="832">
        <f t="shared" si="43"/>
        <v>0</v>
      </c>
      <c r="F120" s="832">
        <f t="shared" si="43"/>
        <v>0</v>
      </c>
      <c r="G120" s="832">
        <f t="shared" si="43"/>
        <v>0</v>
      </c>
      <c r="H120" s="832">
        <f t="shared" si="43"/>
        <v>0</v>
      </c>
      <c r="I120" s="832">
        <f t="shared" si="43"/>
        <v>0</v>
      </c>
      <c r="J120" s="832">
        <f t="shared" si="43"/>
        <v>0</v>
      </c>
      <c r="K120" s="832">
        <f t="shared" si="43"/>
        <v>0</v>
      </c>
      <c r="L120" s="832">
        <f t="shared" si="43"/>
        <v>0</v>
      </c>
      <c r="M120" s="832">
        <f t="shared" si="43"/>
        <v>0</v>
      </c>
      <c r="N120" s="832">
        <f t="shared" si="43"/>
        <v>0</v>
      </c>
      <c r="O120" s="832">
        <f t="shared" si="43"/>
        <v>0</v>
      </c>
      <c r="P120" s="960">
        <v>0</v>
      </c>
      <c r="Q120" s="960">
        <v>0</v>
      </c>
      <c r="R120" s="960">
        <v>-3227.2622802067272</v>
      </c>
      <c r="S120" s="960">
        <v>-6639.4247173639378</v>
      </c>
      <c r="T120" s="960">
        <v>-7489.6755493804121</v>
      </c>
      <c r="U120" s="960">
        <v>-7690.9751539665085</v>
      </c>
      <c r="V120" s="960">
        <v>-7935.7211604884797</v>
      </c>
      <c r="W120" s="960">
        <v>-8078.6487507883066</v>
      </c>
      <c r="X120" s="960">
        <v>-8126.9475328986373</v>
      </c>
      <c r="Y120" s="960">
        <v>-8228.8525026972566</v>
      </c>
      <c r="Z120" s="960">
        <v>-8307.7127542033486</v>
      </c>
      <c r="AA120" s="961">
        <v>-8243.6753597207498</v>
      </c>
      <c r="AC120" s="10"/>
    </row>
    <row r="121" spans="2:29">
      <c r="B121" s="1202"/>
      <c r="C121" s="831" t="s">
        <v>3</v>
      </c>
      <c r="D121" s="832">
        <f t="shared" si="44"/>
        <v>0</v>
      </c>
      <c r="E121" s="832">
        <f t="shared" si="43"/>
        <v>0</v>
      </c>
      <c r="F121" s="832">
        <f t="shared" si="43"/>
        <v>0</v>
      </c>
      <c r="G121" s="832">
        <f t="shared" si="43"/>
        <v>0</v>
      </c>
      <c r="H121" s="832">
        <f t="shared" si="43"/>
        <v>0</v>
      </c>
      <c r="I121" s="832">
        <f t="shared" si="43"/>
        <v>0</v>
      </c>
      <c r="J121" s="832">
        <f t="shared" si="43"/>
        <v>0</v>
      </c>
      <c r="K121" s="832">
        <f t="shared" si="43"/>
        <v>0</v>
      </c>
      <c r="L121" s="832">
        <f t="shared" si="43"/>
        <v>0</v>
      </c>
      <c r="M121" s="832">
        <f t="shared" si="43"/>
        <v>0</v>
      </c>
      <c r="N121" s="832">
        <f t="shared" si="43"/>
        <v>0</v>
      </c>
      <c r="O121" s="832">
        <f t="shared" si="43"/>
        <v>0</v>
      </c>
      <c r="P121" s="960">
        <v>0</v>
      </c>
      <c r="Q121" s="960">
        <v>0</v>
      </c>
      <c r="R121" s="960">
        <v>348.53241009256453</v>
      </c>
      <c r="S121" s="960">
        <v>717.07451553374995</v>
      </c>
      <c r="T121" s="960">
        <v>812.01705469048466</v>
      </c>
      <c r="U121" s="960">
        <v>833.73945786088007</v>
      </c>
      <c r="V121" s="960">
        <v>860.04821483572596</v>
      </c>
      <c r="W121" s="960">
        <v>875.56234816045617</v>
      </c>
      <c r="X121" s="960">
        <v>880.75050416612066</v>
      </c>
      <c r="Y121" s="960">
        <v>891.47042612032965</v>
      </c>
      <c r="Z121" s="960">
        <v>899.65950435280683</v>
      </c>
      <c r="AA121" s="961">
        <v>892.76312965631951</v>
      </c>
      <c r="AC121" s="10"/>
    </row>
    <row r="122" spans="2:29">
      <c r="B122" s="1202"/>
      <c r="C122" s="831" t="s">
        <v>85</v>
      </c>
      <c r="D122" s="832">
        <f t="shared" si="44"/>
        <v>0</v>
      </c>
      <c r="E122" s="832">
        <f t="shared" si="43"/>
        <v>0</v>
      </c>
      <c r="F122" s="832">
        <f t="shared" si="43"/>
        <v>0</v>
      </c>
      <c r="G122" s="832">
        <f t="shared" si="43"/>
        <v>0</v>
      </c>
      <c r="H122" s="832">
        <f t="shared" si="43"/>
        <v>0</v>
      </c>
      <c r="I122" s="832">
        <f t="shared" si="43"/>
        <v>0</v>
      </c>
      <c r="J122" s="832">
        <f t="shared" si="43"/>
        <v>0</v>
      </c>
      <c r="K122" s="832">
        <f t="shared" si="43"/>
        <v>0</v>
      </c>
      <c r="L122" s="832">
        <f t="shared" si="43"/>
        <v>0</v>
      </c>
      <c r="M122" s="832">
        <f t="shared" si="43"/>
        <v>0</v>
      </c>
      <c r="N122" s="832">
        <f t="shared" si="43"/>
        <v>0</v>
      </c>
      <c r="O122" s="832">
        <f t="shared" si="43"/>
        <v>0</v>
      </c>
      <c r="P122" s="960">
        <v>0</v>
      </c>
      <c r="Q122" s="960">
        <v>0</v>
      </c>
      <c r="R122" s="960">
        <v>0</v>
      </c>
      <c r="S122" s="960">
        <v>0</v>
      </c>
      <c r="T122" s="960">
        <v>0</v>
      </c>
      <c r="U122" s="960">
        <v>0</v>
      </c>
      <c r="V122" s="960">
        <v>0</v>
      </c>
      <c r="W122" s="960">
        <v>0</v>
      </c>
      <c r="X122" s="960">
        <v>0</v>
      </c>
      <c r="Y122" s="960">
        <v>0</v>
      </c>
      <c r="Z122" s="960">
        <v>0</v>
      </c>
      <c r="AA122" s="961">
        <v>0</v>
      </c>
      <c r="AC122" s="10"/>
    </row>
    <row r="123" spans="2:29">
      <c r="B123" s="1202"/>
      <c r="C123" s="831" t="s">
        <v>103</v>
      </c>
      <c r="D123" s="832">
        <f t="shared" si="44"/>
        <v>0</v>
      </c>
      <c r="E123" s="832">
        <f t="shared" si="43"/>
        <v>0</v>
      </c>
      <c r="F123" s="832">
        <f t="shared" si="43"/>
        <v>0</v>
      </c>
      <c r="G123" s="832">
        <f t="shared" si="43"/>
        <v>0</v>
      </c>
      <c r="H123" s="832">
        <f t="shared" si="43"/>
        <v>0</v>
      </c>
      <c r="I123" s="832">
        <f t="shared" si="43"/>
        <v>0</v>
      </c>
      <c r="J123" s="832">
        <f t="shared" si="43"/>
        <v>0</v>
      </c>
      <c r="K123" s="832">
        <f t="shared" si="43"/>
        <v>0</v>
      </c>
      <c r="L123" s="832">
        <f t="shared" si="43"/>
        <v>0</v>
      </c>
      <c r="M123" s="832">
        <f t="shared" si="43"/>
        <v>0</v>
      </c>
      <c r="N123" s="832">
        <f t="shared" si="43"/>
        <v>0</v>
      </c>
      <c r="O123" s="832">
        <f t="shared" si="43"/>
        <v>0</v>
      </c>
      <c r="P123" s="960">
        <v>0</v>
      </c>
      <c r="Q123" s="960">
        <v>0</v>
      </c>
      <c r="R123" s="960">
        <v>-6352.4802020291536</v>
      </c>
      <c r="S123" s="960">
        <v>-13067.286123632352</v>
      </c>
      <c r="T123" s="960">
        <v>-14617.546044514413</v>
      </c>
      <c r="U123" s="960">
        <v>-15014.461048260928</v>
      </c>
      <c r="V123" s="960">
        <v>-15501.076005404786</v>
      </c>
      <c r="W123" s="960">
        <v>-15779.307524387783</v>
      </c>
      <c r="X123" s="960">
        <v>-15875.482853779336</v>
      </c>
      <c r="Y123" s="960">
        <v>-16087.361266729087</v>
      </c>
      <c r="Z123" s="960">
        <v>-16255.544160304271</v>
      </c>
      <c r="AA123" s="961">
        <v>-16128.725738163572</v>
      </c>
      <c r="AC123" s="10"/>
    </row>
    <row r="124" spans="2:29">
      <c r="B124" s="1202"/>
      <c r="C124" s="831" t="s">
        <v>559</v>
      </c>
      <c r="D124" s="832">
        <f t="shared" si="44"/>
        <v>0</v>
      </c>
      <c r="E124" s="832">
        <f t="shared" si="43"/>
        <v>0</v>
      </c>
      <c r="F124" s="832">
        <f t="shared" si="43"/>
        <v>0</v>
      </c>
      <c r="G124" s="832">
        <f t="shared" si="43"/>
        <v>0</v>
      </c>
      <c r="H124" s="832">
        <f t="shared" si="43"/>
        <v>0</v>
      </c>
      <c r="I124" s="832">
        <f t="shared" si="43"/>
        <v>0</v>
      </c>
      <c r="J124" s="832">
        <f t="shared" si="43"/>
        <v>0</v>
      </c>
      <c r="K124" s="832">
        <f t="shared" si="43"/>
        <v>0</v>
      </c>
      <c r="L124" s="832">
        <f t="shared" si="43"/>
        <v>0</v>
      </c>
      <c r="M124" s="832">
        <f t="shared" si="43"/>
        <v>0</v>
      </c>
      <c r="N124" s="832">
        <f t="shared" si="43"/>
        <v>0</v>
      </c>
      <c r="O124" s="832">
        <f t="shared" si="43"/>
        <v>0</v>
      </c>
      <c r="P124" s="960">
        <v>0</v>
      </c>
      <c r="Q124" s="960">
        <v>0</v>
      </c>
      <c r="R124" s="960">
        <v>-8441.8160920559894</v>
      </c>
      <c r="S124" s="960">
        <v>-17371.898571492813</v>
      </c>
      <c r="T124" s="960">
        <v>-19945.081544181565</v>
      </c>
      <c r="U124" s="960">
        <v>-20469.710843881126</v>
      </c>
      <c r="V124" s="960">
        <v>-21096.154163262021</v>
      </c>
      <c r="W124" s="960">
        <v>-21478.80727214957</v>
      </c>
      <c r="X124" s="960">
        <v>-21602.01928184295</v>
      </c>
      <c r="Y124" s="960">
        <v>-21836.626978076092</v>
      </c>
      <c r="Z124" s="960">
        <v>-22006.24188726311</v>
      </c>
      <c r="AA124" s="961">
        <v>-21840.90880876701</v>
      </c>
      <c r="AC124" s="10"/>
    </row>
    <row r="125" spans="2:29">
      <c r="B125" s="1202"/>
      <c r="C125" s="831" t="s">
        <v>6</v>
      </c>
      <c r="D125" s="832">
        <f t="shared" si="44"/>
        <v>0</v>
      </c>
      <c r="E125" s="832">
        <f t="shared" si="43"/>
        <v>0</v>
      </c>
      <c r="F125" s="832">
        <f t="shared" si="43"/>
        <v>0</v>
      </c>
      <c r="G125" s="832">
        <f t="shared" si="43"/>
        <v>0</v>
      </c>
      <c r="H125" s="832">
        <f t="shared" si="43"/>
        <v>0</v>
      </c>
      <c r="I125" s="832">
        <f t="shared" si="43"/>
        <v>0</v>
      </c>
      <c r="J125" s="832">
        <f t="shared" si="43"/>
        <v>0</v>
      </c>
      <c r="K125" s="832">
        <f t="shared" si="43"/>
        <v>0</v>
      </c>
      <c r="L125" s="832">
        <f t="shared" si="43"/>
        <v>0</v>
      </c>
      <c r="M125" s="832">
        <f t="shared" si="43"/>
        <v>0</v>
      </c>
      <c r="N125" s="832">
        <f t="shared" si="43"/>
        <v>0</v>
      </c>
      <c r="O125" s="832">
        <f t="shared" si="43"/>
        <v>0</v>
      </c>
      <c r="P125" s="960">
        <v>0</v>
      </c>
      <c r="Q125" s="960">
        <v>0</v>
      </c>
      <c r="R125" s="960">
        <v>-1203.0106603701715</v>
      </c>
      <c r="S125" s="960">
        <v>-2484.9699529283971</v>
      </c>
      <c r="T125" s="960">
        <v>-3561.4098688036902</v>
      </c>
      <c r="U125" s="960">
        <v>-3632.255826091292</v>
      </c>
      <c r="V125" s="960">
        <v>-3693.5557613151468</v>
      </c>
      <c r="W125" s="960">
        <v>-3765.9473876548873</v>
      </c>
      <c r="X125" s="960">
        <v>-3777.1484542950639</v>
      </c>
      <c r="Y125" s="960">
        <v>-3745.6198288774031</v>
      </c>
      <c r="Z125" s="960">
        <v>-3695.248157037975</v>
      </c>
      <c r="AA125" s="961">
        <v>-3676.1085853452096</v>
      </c>
      <c r="AC125" s="10"/>
    </row>
    <row r="126" spans="2:29">
      <c r="B126" s="1202"/>
      <c r="C126" s="831" t="s">
        <v>1</v>
      </c>
      <c r="D126" s="832">
        <f t="shared" si="44"/>
        <v>0</v>
      </c>
      <c r="E126" s="832">
        <f t="shared" si="43"/>
        <v>0</v>
      </c>
      <c r="F126" s="832">
        <f t="shared" si="43"/>
        <v>0</v>
      </c>
      <c r="G126" s="832">
        <f t="shared" si="43"/>
        <v>0</v>
      </c>
      <c r="H126" s="832">
        <f t="shared" si="43"/>
        <v>0</v>
      </c>
      <c r="I126" s="832">
        <f t="shared" si="43"/>
        <v>0</v>
      </c>
      <c r="J126" s="832">
        <f t="shared" si="43"/>
        <v>0</v>
      </c>
      <c r="K126" s="832">
        <f t="shared" si="43"/>
        <v>0</v>
      </c>
      <c r="L126" s="832">
        <f t="shared" si="43"/>
        <v>0</v>
      </c>
      <c r="M126" s="832">
        <f t="shared" si="43"/>
        <v>0</v>
      </c>
      <c r="N126" s="832">
        <f t="shared" si="43"/>
        <v>0</v>
      </c>
      <c r="O126" s="832">
        <f t="shared" si="43"/>
        <v>0</v>
      </c>
      <c r="P126" s="960">
        <v>0</v>
      </c>
      <c r="Q126" s="960">
        <v>0</v>
      </c>
      <c r="R126" s="960">
        <v>0</v>
      </c>
      <c r="S126" s="960">
        <v>0</v>
      </c>
      <c r="T126" s="960">
        <v>0</v>
      </c>
      <c r="U126" s="960">
        <v>0</v>
      </c>
      <c r="V126" s="960">
        <v>0</v>
      </c>
      <c r="W126" s="960">
        <v>0</v>
      </c>
      <c r="X126" s="960">
        <v>0</v>
      </c>
      <c r="Y126" s="960">
        <v>0</v>
      </c>
      <c r="Z126" s="960">
        <v>0</v>
      </c>
      <c r="AA126" s="961">
        <v>0</v>
      </c>
      <c r="AC126" s="10"/>
    </row>
    <row r="127" spans="2:29">
      <c r="B127" s="1202"/>
      <c r="C127" s="831" t="s">
        <v>396</v>
      </c>
      <c r="D127" s="832">
        <f t="shared" si="44"/>
        <v>0</v>
      </c>
      <c r="E127" s="832">
        <f t="shared" si="43"/>
        <v>0</v>
      </c>
      <c r="F127" s="832">
        <f t="shared" si="43"/>
        <v>0</v>
      </c>
      <c r="G127" s="832">
        <f t="shared" si="43"/>
        <v>0</v>
      </c>
      <c r="H127" s="832">
        <f t="shared" si="43"/>
        <v>0</v>
      </c>
      <c r="I127" s="832">
        <f t="shared" si="43"/>
        <v>0</v>
      </c>
      <c r="J127" s="832">
        <f t="shared" si="43"/>
        <v>0</v>
      </c>
      <c r="K127" s="832">
        <f t="shared" si="43"/>
        <v>0</v>
      </c>
      <c r="L127" s="832">
        <f t="shared" si="43"/>
        <v>0</v>
      </c>
      <c r="M127" s="832">
        <f t="shared" si="43"/>
        <v>0</v>
      </c>
      <c r="N127" s="832">
        <f t="shared" si="43"/>
        <v>0</v>
      </c>
      <c r="O127" s="832">
        <f t="shared" si="43"/>
        <v>0</v>
      </c>
      <c r="P127" s="960">
        <v>0</v>
      </c>
      <c r="Q127" s="960">
        <v>0</v>
      </c>
      <c r="R127" s="960">
        <v>-2360.0793276057593</v>
      </c>
      <c r="S127" s="960">
        <v>-4854.6956551788753</v>
      </c>
      <c r="T127" s="960">
        <v>-5424.9985483944329</v>
      </c>
      <c r="U127" s="960">
        <v>-5572.4919654815894</v>
      </c>
      <c r="V127" s="960">
        <v>-5753.5023232679232</v>
      </c>
      <c r="W127" s="960">
        <v>-5856.7289410573649</v>
      </c>
      <c r="X127" s="960">
        <v>-5892.5107071566381</v>
      </c>
      <c r="Y127" s="960">
        <v>-5971.745206583968</v>
      </c>
      <c r="Z127" s="960">
        <v>-6034.8221930458312</v>
      </c>
      <c r="AA127" s="961">
        <v>-5987.6712914459786</v>
      </c>
      <c r="AC127" s="10"/>
    </row>
    <row r="128" spans="2:29">
      <c r="B128" s="1202"/>
      <c r="C128" s="831" t="s">
        <v>4</v>
      </c>
      <c r="D128" s="832">
        <f t="shared" si="44"/>
        <v>0</v>
      </c>
      <c r="E128" s="832">
        <f t="shared" si="43"/>
        <v>0</v>
      </c>
      <c r="F128" s="832">
        <f t="shared" si="43"/>
        <v>0</v>
      </c>
      <c r="G128" s="832">
        <f t="shared" si="43"/>
        <v>0</v>
      </c>
      <c r="H128" s="832">
        <f t="shared" si="43"/>
        <v>0</v>
      </c>
      <c r="I128" s="832">
        <f t="shared" si="43"/>
        <v>0</v>
      </c>
      <c r="J128" s="832">
        <f t="shared" si="43"/>
        <v>0</v>
      </c>
      <c r="K128" s="832">
        <f t="shared" si="43"/>
        <v>0</v>
      </c>
      <c r="L128" s="832">
        <f t="shared" si="43"/>
        <v>0</v>
      </c>
      <c r="M128" s="832">
        <f t="shared" si="43"/>
        <v>0</v>
      </c>
      <c r="N128" s="832">
        <f t="shared" si="43"/>
        <v>0</v>
      </c>
      <c r="O128" s="832">
        <f t="shared" si="43"/>
        <v>0</v>
      </c>
      <c r="P128" s="960">
        <v>0</v>
      </c>
      <c r="Q128" s="960">
        <v>0</v>
      </c>
      <c r="R128" s="960">
        <v>6399.6512422030792</v>
      </c>
      <c r="S128" s="960">
        <v>13162.667798004608</v>
      </c>
      <c r="T128" s="960">
        <v>14599.358570781304</v>
      </c>
      <c r="U128" s="960">
        <v>14999.911205885583</v>
      </c>
      <c r="V128" s="960">
        <v>15495.069188108464</v>
      </c>
      <c r="W128" s="960">
        <v>15772.219006924715</v>
      </c>
      <c r="X128" s="960">
        <v>15870.22888247887</v>
      </c>
      <c r="Y128" s="960">
        <v>16095.129028052528</v>
      </c>
      <c r="Z128" s="960">
        <v>16277.697710126493</v>
      </c>
      <c r="AA128" s="961">
        <v>16149.158384707174</v>
      </c>
      <c r="AC128" s="10"/>
    </row>
    <row r="129" spans="2:29">
      <c r="B129" s="1202"/>
      <c r="C129" s="831" t="s">
        <v>0</v>
      </c>
      <c r="D129" s="832">
        <f t="shared" si="44"/>
        <v>0</v>
      </c>
      <c r="E129" s="832">
        <f t="shared" si="43"/>
        <v>0</v>
      </c>
      <c r="F129" s="832">
        <f t="shared" si="43"/>
        <v>0</v>
      </c>
      <c r="G129" s="832">
        <f t="shared" si="43"/>
        <v>0</v>
      </c>
      <c r="H129" s="832">
        <f t="shared" si="43"/>
        <v>0</v>
      </c>
      <c r="I129" s="832">
        <f t="shared" si="43"/>
        <v>0</v>
      </c>
      <c r="J129" s="832">
        <f t="shared" si="43"/>
        <v>0</v>
      </c>
      <c r="K129" s="832">
        <f t="shared" si="43"/>
        <v>0</v>
      </c>
      <c r="L129" s="832">
        <f t="shared" si="43"/>
        <v>0</v>
      </c>
      <c r="M129" s="832">
        <f t="shared" si="43"/>
        <v>0</v>
      </c>
      <c r="N129" s="832">
        <f t="shared" si="43"/>
        <v>0</v>
      </c>
      <c r="O129" s="832">
        <f t="shared" si="43"/>
        <v>0</v>
      </c>
      <c r="P129" s="960">
        <v>0</v>
      </c>
      <c r="Q129" s="960">
        <v>0</v>
      </c>
      <c r="R129" s="960">
        <v>5326.3433569144399</v>
      </c>
      <c r="S129" s="960">
        <v>10948.681621448923</v>
      </c>
      <c r="T129" s="960">
        <v>11657.313612220983</v>
      </c>
      <c r="U129" s="960">
        <v>11993.376405320596</v>
      </c>
      <c r="V129" s="960">
        <v>12424.68726911975</v>
      </c>
      <c r="W129" s="960">
        <v>12643.096975174645</v>
      </c>
      <c r="X129" s="960">
        <v>12729.03242822719</v>
      </c>
      <c r="Y129" s="960">
        <v>12960.797705120145</v>
      </c>
      <c r="Z129" s="960">
        <v>13163.90674449486</v>
      </c>
      <c r="AA129" s="961">
        <v>13053.890736801433</v>
      </c>
      <c r="AC129" s="10"/>
    </row>
    <row r="130" spans="2:29">
      <c r="B130" s="1202"/>
      <c r="C130" s="831" t="s">
        <v>560</v>
      </c>
      <c r="D130" s="832">
        <f t="shared" si="44"/>
        <v>0</v>
      </c>
      <c r="E130" s="832">
        <f t="shared" si="43"/>
        <v>0</v>
      </c>
      <c r="F130" s="832">
        <f t="shared" si="43"/>
        <v>0</v>
      </c>
      <c r="G130" s="832">
        <f t="shared" si="43"/>
        <v>0</v>
      </c>
      <c r="H130" s="832">
        <f t="shared" si="43"/>
        <v>0</v>
      </c>
      <c r="I130" s="832">
        <f t="shared" si="43"/>
        <v>0</v>
      </c>
      <c r="J130" s="832">
        <f t="shared" si="43"/>
        <v>0</v>
      </c>
      <c r="K130" s="832">
        <f t="shared" si="43"/>
        <v>0</v>
      </c>
      <c r="L130" s="832">
        <f t="shared" si="43"/>
        <v>0</v>
      </c>
      <c r="M130" s="832">
        <f t="shared" si="43"/>
        <v>0</v>
      </c>
      <c r="N130" s="832">
        <f t="shared" si="43"/>
        <v>0</v>
      </c>
      <c r="O130" s="832">
        <f t="shared" si="43"/>
        <v>0</v>
      </c>
      <c r="P130" s="960">
        <v>0</v>
      </c>
      <c r="Q130" s="960">
        <v>0</v>
      </c>
      <c r="R130" s="960">
        <v>0</v>
      </c>
      <c r="S130" s="960">
        <v>0</v>
      </c>
      <c r="T130" s="960">
        <v>0</v>
      </c>
      <c r="U130" s="960">
        <v>0</v>
      </c>
      <c r="V130" s="960">
        <v>0</v>
      </c>
      <c r="W130" s="960">
        <v>0</v>
      </c>
      <c r="X130" s="960">
        <v>0</v>
      </c>
      <c r="Y130" s="960">
        <v>0</v>
      </c>
      <c r="Z130" s="960">
        <v>0</v>
      </c>
      <c r="AA130" s="961">
        <v>0</v>
      </c>
      <c r="AC130" s="10"/>
    </row>
    <row r="131" spans="2:29">
      <c r="B131" s="1202"/>
      <c r="C131" s="831" t="s">
        <v>561</v>
      </c>
      <c r="D131" s="832">
        <f t="shared" si="44"/>
        <v>0</v>
      </c>
      <c r="E131" s="832">
        <f t="shared" si="43"/>
        <v>0</v>
      </c>
      <c r="F131" s="832">
        <f t="shared" si="43"/>
        <v>0</v>
      </c>
      <c r="G131" s="832">
        <f t="shared" si="43"/>
        <v>0</v>
      </c>
      <c r="H131" s="832">
        <f t="shared" si="43"/>
        <v>0</v>
      </c>
      <c r="I131" s="832">
        <f t="shared" si="43"/>
        <v>0</v>
      </c>
      <c r="J131" s="832">
        <f t="shared" si="43"/>
        <v>0</v>
      </c>
      <c r="K131" s="832">
        <f t="shared" si="43"/>
        <v>0</v>
      </c>
      <c r="L131" s="832">
        <f t="shared" si="43"/>
        <v>0</v>
      </c>
      <c r="M131" s="832">
        <f t="shared" si="43"/>
        <v>0</v>
      </c>
      <c r="N131" s="832">
        <f t="shared" si="43"/>
        <v>0</v>
      </c>
      <c r="O131" s="832">
        <f t="shared" si="43"/>
        <v>0</v>
      </c>
      <c r="P131" s="960">
        <v>0</v>
      </c>
      <c r="Q131" s="960">
        <v>0</v>
      </c>
      <c r="R131" s="960">
        <v>29488.678293080535</v>
      </c>
      <c r="S131" s="960">
        <v>60709.046105784801</v>
      </c>
      <c r="T131" s="960">
        <v>71674.567844105622</v>
      </c>
      <c r="U131" s="960">
        <v>73496.275452056027</v>
      </c>
      <c r="V131" s="960">
        <v>75606.632030148117</v>
      </c>
      <c r="W131" s="960">
        <v>76993.055007408373</v>
      </c>
      <c r="X131" s="960">
        <v>77405.746965160302</v>
      </c>
      <c r="Y131" s="960">
        <v>78044.32334177912</v>
      </c>
      <c r="Z131" s="960">
        <v>78429.181114936131</v>
      </c>
      <c r="AA131" s="961">
        <v>77863.960586177767</v>
      </c>
      <c r="AC131" s="10"/>
    </row>
    <row r="132" spans="2:29">
      <c r="B132" s="1202"/>
      <c r="C132" s="831" t="s">
        <v>5</v>
      </c>
      <c r="D132" s="832">
        <f t="shared" si="44"/>
        <v>0</v>
      </c>
      <c r="E132" s="832">
        <f t="shared" si="43"/>
        <v>0</v>
      </c>
      <c r="F132" s="832">
        <f t="shared" si="43"/>
        <v>0</v>
      </c>
      <c r="G132" s="832">
        <f t="shared" si="43"/>
        <v>0</v>
      </c>
      <c r="H132" s="832">
        <f t="shared" si="43"/>
        <v>0</v>
      </c>
      <c r="I132" s="832">
        <f t="shared" si="43"/>
        <v>0</v>
      </c>
      <c r="J132" s="832">
        <f t="shared" si="43"/>
        <v>0</v>
      </c>
      <c r="K132" s="832">
        <f t="shared" si="43"/>
        <v>0</v>
      </c>
      <c r="L132" s="832">
        <f t="shared" si="43"/>
        <v>0</v>
      </c>
      <c r="M132" s="832">
        <f t="shared" si="43"/>
        <v>0</v>
      </c>
      <c r="N132" s="832">
        <f t="shared" si="43"/>
        <v>0</v>
      </c>
      <c r="O132" s="832">
        <f t="shared" si="43"/>
        <v>0</v>
      </c>
      <c r="P132" s="960">
        <v>0</v>
      </c>
      <c r="Q132" s="960">
        <v>0</v>
      </c>
      <c r="R132" s="960">
        <v>-5.1032050602807431</v>
      </c>
      <c r="S132" s="960">
        <v>-9.0926554583274992</v>
      </c>
      <c r="T132" s="960">
        <v>96.09914931167441</v>
      </c>
      <c r="U132" s="960">
        <v>95.192886167904362</v>
      </c>
      <c r="V132" s="960">
        <v>90.607126659568166</v>
      </c>
      <c r="W132" s="960">
        <v>93.062173041718779</v>
      </c>
      <c r="X132" s="960">
        <v>92.031521926415735</v>
      </c>
      <c r="Y132" s="960">
        <v>82.119316970885848</v>
      </c>
      <c r="Z132" s="960">
        <v>70.805370761736413</v>
      </c>
      <c r="AA132" s="961">
        <v>71.570306830573827</v>
      </c>
      <c r="AC132" s="10"/>
    </row>
    <row r="133" spans="2:29">
      <c r="B133" s="1202"/>
      <c r="C133" s="831" t="s">
        <v>44</v>
      </c>
      <c r="D133" s="832">
        <f t="shared" si="44"/>
        <v>0</v>
      </c>
      <c r="E133" s="832">
        <f t="shared" si="43"/>
        <v>0</v>
      </c>
      <c r="F133" s="832">
        <f t="shared" si="43"/>
        <v>0</v>
      </c>
      <c r="G133" s="832">
        <f t="shared" si="43"/>
        <v>0</v>
      </c>
      <c r="H133" s="832">
        <f t="shared" si="43"/>
        <v>0</v>
      </c>
      <c r="I133" s="832">
        <f t="shared" si="43"/>
        <v>0</v>
      </c>
      <c r="J133" s="832">
        <f t="shared" si="43"/>
        <v>0</v>
      </c>
      <c r="K133" s="832">
        <f t="shared" si="43"/>
        <v>0</v>
      </c>
      <c r="L133" s="832">
        <f t="shared" si="43"/>
        <v>0</v>
      </c>
      <c r="M133" s="832">
        <f t="shared" si="43"/>
        <v>0</v>
      </c>
      <c r="N133" s="832">
        <f t="shared" si="43"/>
        <v>0</v>
      </c>
      <c r="O133" s="832">
        <f t="shared" si="43"/>
        <v>0</v>
      </c>
      <c r="P133" s="960">
        <v>0</v>
      </c>
      <c r="Q133" s="960">
        <v>0</v>
      </c>
      <c r="R133" s="960">
        <v>-10521.957297638059</v>
      </c>
      <c r="S133" s="960">
        <v>-21671.383956407255</v>
      </c>
      <c r="T133" s="960">
        <v>-26309.804310500302</v>
      </c>
      <c r="U133" s="960">
        <v>-26955.808700507769</v>
      </c>
      <c r="V133" s="960">
        <v>-27680.208514688129</v>
      </c>
      <c r="W133" s="960">
        <v>-28193.167482126126</v>
      </c>
      <c r="X133" s="960">
        <v>-28333.920547972142</v>
      </c>
      <c r="Y133" s="960">
        <v>-28495.3444185025</v>
      </c>
      <c r="Z133" s="960">
        <v>-28556.440517807554</v>
      </c>
      <c r="AA133" s="961">
        <v>-28359.283488015848</v>
      </c>
      <c r="AC133" s="10"/>
    </row>
    <row r="134" spans="2:29">
      <c r="B134" s="1202"/>
      <c r="C134" s="831" t="s">
        <v>562</v>
      </c>
      <c r="D134" s="832">
        <f t="shared" si="44"/>
        <v>0</v>
      </c>
      <c r="E134" s="832">
        <f t="shared" ref="E134:O136" si="45">IF($B$15=$D$19,Q134,0)</f>
        <v>0</v>
      </c>
      <c r="F134" s="832">
        <f t="shared" si="45"/>
        <v>0</v>
      </c>
      <c r="G134" s="832">
        <f t="shared" si="45"/>
        <v>0</v>
      </c>
      <c r="H134" s="832">
        <f t="shared" si="45"/>
        <v>0</v>
      </c>
      <c r="I134" s="832">
        <f t="shared" si="45"/>
        <v>0</v>
      </c>
      <c r="J134" s="832">
        <f t="shared" si="45"/>
        <v>0</v>
      </c>
      <c r="K134" s="832">
        <f t="shared" si="45"/>
        <v>0</v>
      </c>
      <c r="L134" s="832">
        <f t="shared" si="45"/>
        <v>0</v>
      </c>
      <c r="M134" s="832">
        <f t="shared" si="45"/>
        <v>0</v>
      </c>
      <c r="N134" s="832">
        <f t="shared" si="45"/>
        <v>0</v>
      </c>
      <c r="O134" s="832">
        <f t="shared" si="45"/>
        <v>0</v>
      </c>
      <c r="P134" s="960">
        <v>0</v>
      </c>
      <c r="Q134" s="960">
        <v>0</v>
      </c>
      <c r="R134" s="960">
        <v>-6843.4917448276537</v>
      </c>
      <c r="S134" s="960">
        <v>-14079.840817884426</v>
      </c>
      <c r="T134" s="960">
        <v>-15941.298320421367</v>
      </c>
      <c r="U134" s="960">
        <v>-16367.836517993652</v>
      </c>
      <c r="V134" s="960">
        <v>-16884.521908905532</v>
      </c>
      <c r="W134" s="960">
        <v>-17189.075160972599</v>
      </c>
      <c r="X134" s="960">
        <v>-17290.970143141632</v>
      </c>
      <c r="Y134" s="960">
        <v>-17501.709752361057</v>
      </c>
      <c r="Z134" s="960">
        <v>-17662.793016105657</v>
      </c>
      <c r="AA134" s="961">
        <v>-17527.36439124489</v>
      </c>
      <c r="AC134" s="10"/>
    </row>
    <row r="135" spans="2:29">
      <c r="B135" s="1202"/>
      <c r="C135" s="831" t="s">
        <v>2</v>
      </c>
      <c r="D135" s="832">
        <f t="shared" si="44"/>
        <v>0</v>
      </c>
      <c r="E135" s="832">
        <f t="shared" si="45"/>
        <v>0</v>
      </c>
      <c r="F135" s="832">
        <f t="shared" si="45"/>
        <v>0</v>
      </c>
      <c r="G135" s="832">
        <f t="shared" si="45"/>
        <v>0</v>
      </c>
      <c r="H135" s="832">
        <f t="shared" si="45"/>
        <v>0</v>
      </c>
      <c r="I135" s="832">
        <f t="shared" si="45"/>
        <v>0</v>
      </c>
      <c r="J135" s="832">
        <f t="shared" si="45"/>
        <v>0</v>
      </c>
      <c r="K135" s="832">
        <f t="shared" si="45"/>
        <v>0</v>
      </c>
      <c r="L135" s="832">
        <f t="shared" si="45"/>
        <v>0</v>
      </c>
      <c r="M135" s="832">
        <f t="shared" si="45"/>
        <v>0</v>
      </c>
      <c r="N135" s="832">
        <f t="shared" si="45"/>
        <v>0</v>
      </c>
      <c r="O135" s="832">
        <f t="shared" si="45"/>
        <v>0</v>
      </c>
      <c r="P135" s="960">
        <v>0</v>
      </c>
      <c r="Q135" s="960">
        <v>0</v>
      </c>
      <c r="R135" s="960">
        <v>342.24683751177508</v>
      </c>
      <c r="S135" s="960">
        <v>704.13181102476665</v>
      </c>
      <c r="T135" s="960">
        <v>796.55169261730043</v>
      </c>
      <c r="U135" s="960">
        <v>817.88681787549285</v>
      </c>
      <c r="V135" s="960">
        <v>843.75305227231001</v>
      </c>
      <c r="W135" s="960">
        <v>858.96700263037928</v>
      </c>
      <c r="X135" s="960">
        <v>864.06885258606053</v>
      </c>
      <c r="Y135" s="960">
        <v>874.66962393833091</v>
      </c>
      <c r="Z135" s="960">
        <v>882.79613411953324</v>
      </c>
      <c r="AA135" s="961">
        <v>876.01908279352938</v>
      </c>
      <c r="AC135" s="10"/>
    </row>
    <row r="136" spans="2:29">
      <c r="B136" s="1202"/>
      <c r="C136" s="831" t="s">
        <v>563</v>
      </c>
      <c r="D136" s="832">
        <f t="shared" si="44"/>
        <v>0</v>
      </c>
      <c r="E136" s="832">
        <f t="shared" si="45"/>
        <v>0</v>
      </c>
      <c r="F136" s="832">
        <f t="shared" si="45"/>
        <v>0</v>
      </c>
      <c r="G136" s="832">
        <f t="shared" si="45"/>
        <v>0</v>
      </c>
      <c r="H136" s="832">
        <f t="shared" si="45"/>
        <v>0</v>
      </c>
      <c r="I136" s="832">
        <f t="shared" si="45"/>
        <v>0</v>
      </c>
      <c r="J136" s="832">
        <f t="shared" si="45"/>
        <v>0</v>
      </c>
      <c r="K136" s="832">
        <f t="shared" si="45"/>
        <v>0</v>
      </c>
      <c r="L136" s="832">
        <f t="shared" si="45"/>
        <v>0</v>
      </c>
      <c r="M136" s="832">
        <f t="shared" si="45"/>
        <v>0</v>
      </c>
      <c r="N136" s="832">
        <f t="shared" si="45"/>
        <v>0</v>
      </c>
      <c r="O136" s="832">
        <f t="shared" si="45"/>
        <v>0</v>
      </c>
      <c r="P136" s="960">
        <v>0</v>
      </c>
      <c r="Q136" s="960">
        <v>0</v>
      </c>
      <c r="R136" s="960">
        <v>-142.8435563386447</v>
      </c>
      <c r="S136" s="960">
        <v>-291.97186475160561</v>
      </c>
      <c r="T136" s="960">
        <v>-185.71074536966626</v>
      </c>
      <c r="U136" s="960">
        <v>-195.41469783617504</v>
      </c>
      <c r="V136" s="960">
        <v>-211.91861864723614</v>
      </c>
      <c r="W136" s="960">
        <v>-214.62361299927579</v>
      </c>
      <c r="X136" s="960">
        <v>-218.05029684062174</v>
      </c>
      <c r="Y136" s="960">
        <v>-235.73115908760519</v>
      </c>
      <c r="Z136" s="960">
        <v>-254.33452391199535</v>
      </c>
      <c r="AA136" s="961">
        <v>-250.60373040654667</v>
      </c>
      <c r="AC136" s="10"/>
    </row>
    <row r="137" spans="2:29" ht="12.75" customHeight="1">
      <c r="B137" s="1200" t="s">
        <v>1753</v>
      </c>
      <c r="C137" s="133" t="s">
        <v>558</v>
      </c>
      <c r="D137" s="830">
        <f>IF($B$15=$D$20,P137,0)</f>
        <v>0</v>
      </c>
      <c r="E137" s="830">
        <f t="shared" ref="E137:O152" si="46">IF($B$15=$D$20,Q137,0)</f>
        <v>0</v>
      </c>
      <c r="F137" s="830">
        <f t="shared" si="46"/>
        <v>0</v>
      </c>
      <c r="G137" s="830">
        <f t="shared" si="46"/>
        <v>0</v>
      </c>
      <c r="H137" s="830">
        <f t="shared" si="46"/>
        <v>0</v>
      </c>
      <c r="I137" s="830">
        <f t="shared" si="46"/>
        <v>0</v>
      </c>
      <c r="J137" s="830">
        <f t="shared" si="46"/>
        <v>0</v>
      </c>
      <c r="K137" s="830">
        <f t="shared" si="46"/>
        <v>0</v>
      </c>
      <c r="L137" s="830">
        <f t="shared" si="46"/>
        <v>0</v>
      </c>
      <c r="M137" s="830">
        <f t="shared" si="46"/>
        <v>0</v>
      </c>
      <c r="N137" s="830">
        <f t="shared" si="46"/>
        <v>0</v>
      </c>
      <c r="O137" s="830">
        <f t="shared" si="46"/>
        <v>0</v>
      </c>
      <c r="P137" s="960">
        <v>0</v>
      </c>
      <c r="Q137" s="960">
        <v>0</v>
      </c>
      <c r="R137" s="960">
        <v>-4003.7422482812253</v>
      </c>
      <c r="S137" s="960">
        <v>-8231.3663739016047</v>
      </c>
      <c r="T137" s="960">
        <v>-8869.0767571612814</v>
      </c>
      <c r="U137" s="960">
        <v>-9121.1110386505898</v>
      </c>
      <c r="V137" s="960">
        <v>-9441.181924800796</v>
      </c>
      <c r="W137" s="960">
        <v>-9608.001054161723</v>
      </c>
      <c r="X137" s="960">
        <v>-9671.6567201907164</v>
      </c>
      <c r="Y137" s="960">
        <v>-9836.2574236538494</v>
      </c>
      <c r="Z137" s="960">
        <v>-9977.8996139638184</v>
      </c>
      <c r="AA137" s="961">
        <v>-9895.8563881724258</v>
      </c>
      <c r="AC137" s="10"/>
    </row>
    <row r="138" spans="2:29">
      <c r="B138" s="1196"/>
      <c r="C138" s="133" t="s">
        <v>7</v>
      </c>
      <c r="D138" s="830">
        <f t="shared" ref="D138:D155" si="47">IF($B$15=$D$20,P138,0)</f>
        <v>0</v>
      </c>
      <c r="E138" s="830">
        <f t="shared" si="46"/>
        <v>0</v>
      </c>
      <c r="F138" s="830">
        <f t="shared" si="46"/>
        <v>0</v>
      </c>
      <c r="G138" s="830">
        <f t="shared" si="46"/>
        <v>0</v>
      </c>
      <c r="H138" s="830">
        <f t="shared" si="46"/>
        <v>0</v>
      </c>
      <c r="I138" s="830">
        <f t="shared" si="46"/>
        <v>0</v>
      </c>
      <c r="J138" s="830">
        <f t="shared" si="46"/>
        <v>0</v>
      </c>
      <c r="K138" s="830">
        <f t="shared" si="46"/>
        <v>0</v>
      </c>
      <c r="L138" s="830">
        <f t="shared" si="46"/>
        <v>0</v>
      </c>
      <c r="M138" s="830">
        <f t="shared" si="46"/>
        <v>0</v>
      </c>
      <c r="N138" s="830">
        <f t="shared" si="46"/>
        <v>0</v>
      </c>
      <c r="O138" s="830">
        <f t="shared" si="46"/>
        <v>0</v>
      </c>
      <c r="P138" s="960">
        <v>0</v>
      </c>
      <c r="Q138" s="960">
        <v>0</v>
      </c>
      <c r="R138" s="960">
        <v>497.66814047659864</v>
      </c>
      <c r="S138" s="960">
        <v>1024.1336939040339</v>
      </c>
      <c r="T138" s="960">
        <v>1176.7977222095942</v>
      </c>
      <c r="U138" s="960">
        <v>1207.720712480339</v>
      </c>
      <c r="V138" s="960">
        <v>1244.6131143916282</v>
      </c>
      <c r="W138" s="960">
        <v>1267.1959181562415</v>
      </c>
      <c r="X138" s="960">
        <v>1274.4509336398041</v>
      </c>
      <c r="Y138" s="960">
        <v>1288.1931127418065</v>
      </c>
      <c r="Z138" s="960">
        <v>1298.0907238125219</v>
      </c>
      <c r="AA138" s="961">
        <v>1288.3499161037616</v>
      </c>
      <c r="AC138" s="10"/>
    </row>
    <row r="139" spans="2:29">
      <c r="B139" s="1196"/>
      <c r="C139" s="133" t="s">
        <v>427</v>
      </c>
      <c r="D139" s="830">
        <f t="shared" si="47"/>
        <v>0</v>
      </c>
      <c r="E139" s="830">
        <f t="shared" si="46"/>
        <v>0</v>
      </c>
      <c r="F139" s="830">
        <f t="shared" si="46"/>
        <v>0</v>
      </c>
      <c r="G139" s="830">
        <f t="shared" si="46"/>
        <v>0</v>
      </c>
      <c r="H139" s="830">
        <f t="shared" si="46"/>
        <v>0</v>
      </c>
      <c r="I139" s="830">
        <f t="shared" si="46"/>
        <v>0</v>
      </c>
      <c r="J139" s="830">
        <f t="shared" si="46"/>
        <v>0</v>
      </c>
      <c r="K139" s="830">
        <f t="shared" si="46"/>
        <v>0</v>
      </c>
      <c r="L139" s="830">
        <f t="shared" si="46"/>
        <v>0</v>
      </c>
      <c r="M139" s="830">
        <f t="shared" si="46"/>
        <v>0</v>
      </c>
      <c r="N139" s="830">
        <f t="shared" si="46"/>
        <v>0</v>
      </c>
      <c r="O139" s="830">
        <f t="shared" si="46"/>
        <v>0</v>
      </c>
      <c r="P139" s="960">
        <v>0</v>
      </c>
      <c r="Q139" s="960">
        <v>0</v>
      </c>
      <c r="R139" s="960">
        <v>-4031.6873817359956</v>
      </c>
      <c r="S139" s="960">
        <v>-8294.3826753730573</v>
      </c>
      <c r="T139" s="960">
        <v>-9358.0569798056895</v>
      </c>
      <c r="U139" s="960">
        <v>-9609.5241546488469</v>
      </c>
      <c r="V139" s="960">
        <v>-9915.2166318675881</v>
      </c>
      <c r="W139" s="960">
        <v>-10093.807762483069</v>
      </c>
      <c r="X139" s="960">
        <v>-10154.132113344029</v>
      </c>
      <c r="Y139" s="960">
        <v>-10281.30141583462</v>
      </c>
      <c r="Z139" s="960">
        <v>-10379.661768267353</v>
      </c>
      <c r="AA139" s="961">
        <v>-10299.6717438739</v>
      </c>
      <c r="AC139" s="10"/>
    </row>
    <row r="140" spans="2:29">
      <c r="B140" s="1196"/>
      <c r="C140" s="133" t="s">
        <v>3</v>
      </c>
      <c r="D140" s="830">
        <f t="shared" si="47"/>
        <v>0</v>
      </c>
      <c r="E140" s="830">
        <f t="shared" si="46"/>
        <v>0</v>
      </c>
      <c r="F140" s="830">
        <f t="shared" si="46"/>
        <v>0</v>
      </c>
      <c r="G140" s="830">
        <f t="shared" si="46"/>
        <v>0</v>
      </c>
      <c r="H140" s="830">
        <f t="shared" si="46"/>
        <v>0</v>
      </c>
      <c r="I140" s="830">
        <f t="shared" si="46"/>
        <v>0</v>
      </c>
      <c r="J140" s="830">
        <f t="shared" si="46"/>
        <v>0</v>
      </c>
      <c r="K140" s="830">
        <f t="shared" si="46"/>
        <v>0</v>
      </c>
      <c r="L140" s="830">
        <f t="shared" si="46"/>
        <v>0</v>
      </c>
      <c r="M140" s="830">
        <f t="shared" si="46"/>
        <v>0</v>
      </c>
      <c r="N140" s="830">
        <f t="shared" si="46"/>
        <v>0</v>
      </c>
      <c r="O140" s="830">
        <f t="shared" si="46"/>
        <v>0</v>
      </c>
      <c r="P140" s="960">
        <v>0</v>
      </c>
      <c r="Q140" s="960">
        <v>0</v>
      </c>
      <c r="R140" s="960">
        <v>435.55620209814515</v>
      </c>
      <c r="S140" s="960">
        <v>896.11856008932227</v>
      </c>
      <c r="T140" s="960">
        <v>1014.7906235986738</v>
      </c>
      <c r="U140" s="960">
        <v>1041.9366841353185</v>
      </c>
      <c r="V140" s="960">
        <v>1074.8134463864262</v>
      </c>
      <c r="W140" s="960">
        <v>1094.2018429135787</v>
      </c>
      <c r="X140" s="960">
        <v>1100.6851987672271</v>
      </c>
      <c r="Y140" s="960">
        <v>1114.079572964285</v>
      </c>
      <c r="Z140" s="960">
        <v>1124.3108667754277</v>
      </c>
      <c r="AA140" s="961">
        <v>1115.6927087526419</v>
      </c>
      <c r="AC140" s="10"/>
    </row>
    <row r="141" spans="2:29">
      <c r="B141" s="1196"/>
      <c r="C141" s="133" t="s">
        <v>85</v>
      </c>
      <c r="D141" s="830">
        <f t="shared" si="47"/>
        <v>0</v>
      </c>
      <c r="E141" s="830">
        <f t="shared" si="46"/>
        <v>0</v>
      </c>
      <c r="F141" s="830">
        <f t="shared" si="46"/>
        <v>0</v>
      </c>
      <c r="G141" s="830">
        <f t="shared" si="46"/>
        <v>0</v>
      </c>
      <c r="H141" s="830">
        <f t="shared" si="46"/>
        <v>0</v>
      </c>
      <c r="I141" s="830">
        <f t="shared" si="46"/>
        <v>0</v>
      </c>
      <c r="J141" s="830">
        <f t="shared" si="46"/>
        <v>0</v>
      </c>
      <c r="K141" s="830">
        <f t="shared" si="46"/>
        <v>0</v>
      </c>
      <c r="L141" s="830">
        <f t="shared" si="46"/>
        <v>0</v>
      </c>
      <c r="M141" s="830">
        <f t="shared" si="46"/>
        <v>0</v>
      </c>
      <c r="N141" s="830">
        <f t="shared" si="46"/>
        <v>0</v>
      </c>
      <c r="O141" s="830">
        <f t="shared" si="46"/>
        <v>0</v>
      </c>
      <c r="P141" s="960">
        <v>0</v>
      </c>
      <c r="Q141" s="960">
        <v>0</v>
      </c>
      <c r="R141" s="960">
        <v>0</v>
      </c>
      <c r="S141" s="960">
        <v>0</v>
      </c>
      <c r="T141" s="960">
        <v>0</v>
      </c>
      <c r="U141" s="960">
        <v>0</v>
      </c>
      <c r="V141" s="960">
        <v>0</v>
      </c>
      <c r="W141" s="960">
        <v>0</v>
      </c>
      <c r="X141" s="960">
        <v>0</v>
      </c>
      <c r="Y141" s="960">
        <v>0</v>
      </c>
      <c r="Z141" s="960">
        <v>0</v>
      </c>
      <c r="AA141" s="961">
        <v>0</v>
      </c>
      <c r="AC141" s="10"/>
    </row>
    <row r="142" spans="2:29">
      <c r="B142" s="1196"/>
      <c r="C142" s="133" t="s">
        <v>103</v>
      </c>
      <c r="D142" s="830">
        <f t="shared" si="47"/>
        <v>0</v>
      </c>
      <c r="E142" s="830">
        <f t="shared" si="46"/>
        <v>0</v>
      </c>
      <c r="F142" s="830">
        <f t="shared" si="46"/>
        <v>0</v>
      </c>
      <c r="G142" s="830">
        <f t="shared" si="46"/>
        <v>0</v>
      </c>
      <c r="H142" s="830">
        <f t="shared" si="46"/>
        <v>0</v>
      </c>
      <c r="I142" s="830">
        <f t="shared" si="46"/>
        <v>0</v>
      </c>
      <c r="J142" s="830">
        <f t="shared" si="46"/>
        <v>0</v>
      </c>
      <c r="K142" s="830">
        <f t="shared" si="46"/>
        <v>0</v>
      </c>
      <c r="L142" s="830">
        <f t="shared" si="46"/>
        <v>0</v>
      </c>
      <c r="M142" s="830">
        <f t="shared" si="46"/>
        <v>0</v>
      </c>
      <c r="N142" s="830">
        <f t="shared" si="46"/>
        <v>0</v>
      </c>
      <c r="O142" s="830">
        <f t="shared" si="46"/>
        <v>0</v>
      </c>
      <c r="P142" s="960">
        <v>0</v>
      </c>
      <c r="Q142" s="960">
        <v>0</v>
      </c>
      <c r="R142" s="960">
        <v>-7938.7265424889774</v>
      </c>
      <c r="S142" s="960">
        <v>-16330.257671200641</v>
      </c>
      <c r="T142" s="960">
        <v>-18267.951660097213</v>
      </c>
      <c r="U142" s="960">
        <v>-18763.976540775795</v>
      </c>
      <c r="V142" s="960">
        <v>-19372.088844750528</v>
      </c>
      <c r="W142" s="960">
        <v>-19719.80438984152</v>
      </c>
      <c r="X142" s="960">
        <v>-19839.992260773244</v>
      </c>
      <c r="Y142" s="960">
        <v>-20104.747911856772</v>
      </c>
      <c r="Z142" s="960">
        <v>-20314.892646510765</v>
      </c>
      <c r="AA142" s="961">
        <v>-20156.40905785517</v>
      </c>
      <c r="AC142" s="10"/>
    </row>
    <row r="143" spans="2:29">
      <c r="B143" s="1196"/>
      <c r="C143" s="133" t="s">
        <v>559</v>
      </c>
      <c r="D143" s="830">
        <f t="shared" si="47"/>
        <v>0</v>
      </c>
      <c r="E143" s="830">
        <f t="shared" si="46"/>
        <v>0</v>
      </c>
      <c r="F143" s="830">
        <f t="shared" si="46"/>
        <v>0</v>
      </c>
      <c r="G143" s="830">
        <f t="shared" si="46"/>
        <v>0</v>
      </c>
      <c r="H143" s="830">
        <f t="shared" si="46"/>
        <v>0</v>
      </c>
      <c r="I143" s="830">
        <f t="shared" si="46"/>
        <v>0</v>
      </c>
      <c r="J143" s="830">
        <f t="shared" si="46"/>
        <v>0</v>
      </c>
      <c r="K143" s="830">
        <f t="shared" si="46"/>
        <v>0</v>
      </c>
      <c r="L143" s="830">
        <f t="shared" si="46"/>
        <v>0</v>
      </c>
      <c r="M143" s="830">
        <f t="shared" si="46"/>
        <v>0</v>
      </c>
      <c r="N143" s="830">
        <f t="shared" si="46"/>
        <v>0</v>
      </c>
      <c r="O143" s="830">
        <f t="shared" si="46"/>
        <v>0</v>
      </c>
      <c r="P143" s="960">
        <v>0</v>
      </c>
      <c r="Q143" s="960">
        <v>0</v>
      </c>
      <c r="R143" s="960">
        <v>-10537.860174424422</v>
      </c>
      <c r="S143" s="960">
        <v>-21685.272190781601</v>
      </c>
      <c r="T143" s="960">
        <v>-24901.322192145744</v>
      </c>
      <c r="U143" s="960">
        <v>-25556.191414934525</v>
      </c>
      <c r="V143" s="960">
        <v>-26338.020030622341</v>
      </c>
      <c r="W143" s="960">
        <v>-26815.782986198115</v>
      </c>
      <c r="X143" s="960">
        <v>-26969.552175443852</v>
      </c>
      <c r="Y143" s="960">
        <v>-27262.048542972887</v>
      </c>
      <c r="Z143" s="960">
        <v>-27473.361360630894</v>
      </c>
      <c r="AA143" s="961">
        <v>-27267.001923124364</v>
      </c>
      <c r="AC143" s="10"/>
    </row>
    <row r="144" spans="2:29">
      <c r="B144" s="1196"/>
      <c r="C144" s="133" t="s">
        <v>6</v>
      </c>
      <c r="D144" s="830">
        <f t="shared" si="47"/>
        <v>0</v>
      </c>
      <c r="E144" s="830">
        <f t="shared" si="46"/>
        <v>0</v>
      </c>
      <c r="F144" s="830">
        <f t="shared" si="46"/>
        <v>0</v>
      </c>
      <c r="G144" s="830">
        <f t="shared" si="46"/>
        <v>0</v>
      </c>
      <c r="H144" s="830">
        <f t="shared" si="46"/>
        <v>0</v>
      </c>
      <c r="I144" s="830">
        <f t="shared" si="46"/>
        <v>0</v>
      </c>
      <c r="J144" s="830">
        <f t="shared" si="46"/>
        <v>0</v>
      </c>
      <c r="K144" s="830">
        <f t="shared" si="46"/>
        <v>0</v>
      </c>
      <c r="L144" s="830">
        <f t="shared" si="46"/>
        <v>0</v>
      </c>
      <c r="M144" s="830">
        <f t="shared" si="46"/>
        <v>0</v>
      </c>
      <c r="N144" s="830">
        <f t="shared" si="46"/>
        <v>0</v>
      </c>
      <c r="O144" s="830">
        <f t="shared" si="46"/>
        <v>0</v>
      </c>
      <c r="P144" s="960">
        <v>0</v>
      </c>
      <c r="Q144" s="960">
        <v>0</v>
      </c>
      <c r="R144" s="960">
        <v>-1508.836124286885</v>
      </c>
      <c r="S144" s="960">
        <v>-3116.6375505317701</v>
      </c>
      <c r="T144" s="960">
        <v>-4462.6810203666246</v>
      </c>
      <c r="U144" s="960">
        <v>-4551.5595332063676</v>
      </c>
      <c r="V144" s="960">
        <v>-4628.6023781115655</v>
      </c>
      <c r="W144" s="960">
        <v>-4719.2953608520329</v>
      </c>
      <c r="X144" s="960">
        <v>-4733.380163086229</v>
      </c>
      <c r="Y144" s="960">
        <v>-4694.2067104100424</v>
      </c>
      <c r="Z144" s="960">
        <v>-4631.4546053470403</v>
      </c>
      <c r="AA144" s="961">
        <v>-4607.4242321295314</v>
      </c>
      <c r="AC144" s="10"/>
    </row>
    <row r="145" spans="2:29">
      <c r="B145" s="1196"/>
      <c r="C145" s="133" t="s">
        <v>1</v>
      </c>
      <c r="D145" s="830">
        <f t="shared" si="47"/>
        <v>0</v>
      </c>
      <c r="E145" s="830">
        <f t="shared" si="46"/>
        <v>0</v>
      </c>
      <c r="F145" s="830">
        <f t="shared" si="46"/>
        <v>0</v>
      </c>
      <c r="G145" s="830">
        <f t="shared" si="46"/>
        <v>0</v>
      </c>
      <c r="H145" s="830">
        <f t="shared" si="46"/>
        <v>0</v>
      </c>
      <c r="I145" s="830">
        <f t="shared" si="46"/>
        <v>0</v>
      </c>
      <c r="J145" s="830">
        <f t="shared" si="46"/>
        <v>0</v>
      </c>
      <c r="K145" s="830">
        <f t="shared" si="46"/>
        <v>0</v>
      </c>
      <c r="L145" s="830">
        <f t="shared" si="46"/>
        <v>0</v>
      </c>
      <c r="M145" s="830">
        <f t="shared" si="46"/>
        <v>0</v>
      </c>
      <c r="N145" s="830">
        <f t="shared" si="46"/>
        <v>0</v>
      </c>
      <c r="O145" s="830">
        <f t="shared" si="46"/>
        <v>0</v>
      </c>
      <c r="P145" s="960">
        <v>0</v>
      </c>
      <c r="Q145" s="960">
        <v>0</v>
      </c>
      <c r="R145" s="960">
        <v>0</v>
      </c>
      <c r="S145" s="960">
        <v>0</v>
      </c>
      <c r="T145" s="960">
        <v>0</v>
      </c>
      <c r="U145" s="960">
        <v>0</v>
      </c>
      <c r="V145" s="960">
        <v>0</v>
      </c>
      <c r="W145" s="960">
        <v>0</v>
      </c>
      <c r="X145" s="960">
        <v>0</v>
      </c>
      <c r="Y145" s="960">
        <v>0</v>
      </c>
      <c r="Z145" s="960">
        <v>0</v>
      </c>
      <c r="AA145" s="961">
        <v>0</v>
      </c>
      <c r="AC145" s="10"/>
    </row>
    <row r="146" spans="2:29">
      <c r="B146" s="1196"/>
      <c r="C146" s="133" t="s">
        <v>396</v>
      </c>
      <c r="D146" s="830">
        <f t="shared" si="47"/>
        <v>0</v>
      </c>
      <c r="E146" s="830">
        <f t="shared" si="46"/>
        <v>0</v>
      </c>
      <c r="F146" s="830">
        <f t="shared" si="46"/>
        <v>0</v>
      </c>
      <c r="G146" s="830">
        <f t="shared" si="46"/>
        <v>0</v>
      </c>
      <c r="H146" s="830">
        <f t="shared" si="46"/>
        <v>0</v>
      </c>
      <c r="I146" s="830">
        <f t="shared" si="46"/>
        <v>0</v>
      </c>
      <c r="J146" s="830">
        <f t="shared" si="46"/>
        <v>0</v>
      </c>
      <c r="K146" s="830">
        <f t="shared" si="46"/>
        <v>0</v>
      </c>
      <c r="L146" s="830">
        <f t="shared" si="46"/>
        <v>0</v>
      </c>
      <c r="M146" s="830">
        <f t="shared" si="46"/>
        <v>0</v>
      </c>
      <c r="N146" s="830">
        <f t="shared" si="46"/>
        <v>0</v>
      </c>
      <c r="O146" s="830">
        <f t="shared" si="46"/>
        <v>0</v>
      </c>
      <c r="P146" s="960">
        <v>0</v>
      </c>
      <c r="Q146" s="960">
        <v>0</v>
      </c>
      <c r="R146" s="960">
        <v>-2947.1493145272252</v>
      </c>
      <c r="S146" s="960">
        <v>-6062.3135876176748</v>
      </c>
      <c r="T146" s="960">
        <v>-6775.3783711657306</v>
      </c>
      <c r="U146" s="960">
        <v>-6959.55583032715</v>
      </c>
      <c r="V146" s="960">
        <v>-7185.5571038533235</v>
      </c>
      <c r="W146" s="960">
        <v>-7314.4839774572174</v>
      </c>
      <c r="X146" s="960">
        <v>-7359.158409258358</v>
      </c>
      <c r="Y146" s="960">
        <v>-7458.0202166293675</v>
      </c>
      <c r="Z146" s="960">
        <v>-7536.6931921512587</v>
      </c>
      <c r="AA146" s="961">
        <v>-7477.8190989833529</v>
      </c>
      <c r="AC146" s="10"/>
    </row>
    <row r="147" spans="2:29">
      <c r="B147" s="1196"/>
      <c r="C147" s="133" t="s">
        <v>4</v>
      </c>
      <c r="D147" s="830">
        <f t="shared" si="47"/>
        <v>0</v>
      </c>
      <c r="E147" s="830">
        <f t="shared" si="46"/>
        <v>0</v>
      </c>
      <c r="F147" s="830">
        <f t="shared" si="46"/>
        <v>0</v>
      </c>
      <c r="G147" s="830">
        <f t="shared" si="46"/>
        <v>0</v>
      </c>
      <c r="H147" s="830">
        <f t="shared" si="46"/>
        <v>0</v>
      </c>
      <c r="I147" s="830">
        <f t="shared" si="46"/>
        <v>0</v>
      </c>
      <c r="J147" s="830">
        <f t="shared" si="46"/>
        <v>0</v>
      </c>
      <c r="K147" s="830">
        <f t="shared" si="46"/>
        <v>0</v>
      </c>
      <c r="L147" s="830">
        <f t="shared" si="46"/>
        <v>0</v>
      </c>
      <c r="M147" s="830">
        <f t="shared" si="46"/>
        <v>0</v>
      </c>
      <c r="N147" s="830">
        <f t="shared" si="46"/>
        <v>0</v>
      </c>
      <c r="O147" s="830">
        <f t="shared" si="46"/>
        <v>0</v>
      </c>
      <c r="P147" s="960">
        <v>0</v>
      </c>
      <c r="Q147" s="960">
        <v>0</v>
      </c>
      <c r="R147" s="960">
        <v>7994.6714818381879</v>
      </c>
      <c r="S147" s="960">
        <v>16443.261344722647</v>
      </c>
      <c r="T147" s="960">
        <v>18237.233488474973</v>
      </c>
      <c r="U147" s="960">
        <v>18737.622433721524</v>
      </c>
      <c r="V147" s="960">
        <v>19356.222612151585</v>
      </c>
      <c r="W147" s="960">
        <v>19702.42804756327</v>
      </c>
      <c r="X147" s="960">
        <v>19824.872565692785</v>
      </c>
      <c r="Y147" s="960">
        <v>20105.898388643545</v>
      </c>
      <c r="Z147" s="960">
        <v>20334.05294944637</v>
      </c>
      <c r="AA147" s="961">
        <v>20173.472121919505</v>
      </c>
      <c r="AC147" s="10"/>
    </row>
    <row r="148" spans="2:29">
      <c r="B148" s="1196"/>
      <c r="C148" s="133" t="s">
        <v>0</v>
      </c>
      <c r="D148" s="830">
        <f t="shared" si="47"/>
        <v>0</v>
      </c>
      <c r="E148" s="830">
        <f t="shared" si="46"/>
        <v>0</v>
      </c>
      <c r="F148" s="830">
        <f t="shared" si="46"/>
        <v>0</v>
      </c>
      <c r="G148" s="830">
        <f t="shared" si="46"/>
        <v>0</v>
      </c>
      <c r="H148" s="830">
        <f t="shared" si="46"/>
        <v>0</v>
      </c>
      <c r="I148" s="830">
        <f t="shared" si="46"/>
        <v>0</v>
      </c>
      <c r="J148" s="830">
        <f t="shared" si="46"/>
        <v>0</v>
      </c>
      <c r="K148" s="830">
        <f t="shared" si="46"/>
        <v>0</v>
      </c>
      <c r="L148" s="830">
        <f t="shared" si="46"/>
        <v>0</v>
      </c>
      <c r="M148" s="830">
        <f t="shared" si="46"/>
        <v>0</v>
      </c>
      <c r="N148" s="830">
        <f t="shared" si="46"/>
        <v>0</v>
      </c>
      <c r="O148" s="830">
        <f t="shared" si="46"/>
        <v>0</v>
      </c>
      <c r="P148" s="960">
        <v>0</v>
      </c>
      <c r="Q148" s="960">
        <v>0</v>
      </c>
      <c r="R148" s="960">
        <v>6659.1240615731222</v>
      </c>
      <c r="S148" s="960">
        <v>13688.327984119125</v>
      </c>
      <c r="T148" s="960">
        <v>14575.779030434351</v>
      </c>
      <c r="U148" s="960">
        <v>14995.92462147912</v>
      </c>
      <c r="V148" s="960">
        <v>15535.100758249755</v>
      </c>
      <c r="W148" s="960">
        <v>15808.199688006134</v>
      </c>
      <c r="X148" s="960">
        <v>15915.624827669555</v>
      </c>
      <c r="Y148" s="960">
        <v>16205.245932579332</v>
      </c>
      <c r="Z148" s="960">
        <v>16459.020034717134</v>
      </c>
      <c r="AA148" s="961">
        <v>16321.484702436603</v>
      </c>
      <c r="AC148" s="10"/>
    </row>
    <row r="149" spans="2:29">
      <c r="B149" s="1196"/>
      <c r="C149" s="133" t="s">
        <v>560</v>
      </c>
      <c r="D149" s="830">
        <f t="shared" si="47"/>
        <v>0</v>
      </c>
      <c r="E149" s="830">
        <f t="shared" si="46"/>
        <v>0</v>
      </c>
      <c r="F149" s="830">
        <f t="shared" si="46"/>
        <v>0</v>
      </c>
      <c r="G149" s="830">
        <f t="shared" si="46"/>
        <v>0</v>
      </c>
      <c r="H149" s="830">
        <f t="shared" si="46"/>
        <v>0</v>
      </c>
      <c r="I149" s="830">
        <f t="shared" si="46"/>
        <v>0</v>
      </c>
      <c r="J149" s="830">
        <f t="shared" si="46"/>
        <v>0</v>
      </c>
      <c r="K149" s="830">
        <f t="shared" si="46"/>
        <v>0</v>
      </c>
      <c r="L149" s="830">
        <f t="shared" si="46"/>
        <v>0</v>
      </c>
      <c r="M149" s="830">
        <f t="shared" si="46"/>
        <v>0</v>
      </c>
      <c r="N149" s="830">
        <f t="shared" si="46"/>
        <v>0</v>
      </c>
      <c r="O149" s="830">
        <f t="shared" si="46"/>
        <v>0</v>
      </c>
      <c r="P149" s="960">
        <v>0</v>
      </c>
      <c r="Q149" s="960">
        <v>0</v>
      </c>
      <c r="R149" s="960">
        <v>0</v>
      </c>
      <c r="S149" s="960">
        <v>0</v>
      </c>
      <c r="T149" s="960">
        <v>0</v>
      </c>
      <c r="U149" s="960">
        <v>0</v>
      </c>
      <c r="V149" s="960">
        <v>0</v>
      </c>
      <c r="W149" s="960">
        <v>0</v>
      </c>
      <c r="X149" s="960">
        <v>0</v>
      </c>
      <c r="Y149" s="960">
        <v>0</v>
      </c>
      <c r="Z149" s="960">
        <v>0</v>
      </c>
      <c r="AA149" s="961">
        <v>0</v>
      </c>
      <c r="AC149" s="10"/>
    </row>
    <row r="150" spans="2:29">
      <c r="B150" s="1196"/>
      <c r="C150" s="133" t="s">
        <v>561</v>
      </c>
      <c r="D150" s="830">
        <f t="shared" si="47"/>
        <v>0</v>
      </c>
      <c r="E150" s="830">
        <f t="shared" si="46"/>
        <v>0</v>
      </c>
      <c r="F150" s="830">
        <f t="shared" si="46"/>
        <v>0</v>
      </c>
      <c r="G150" s="830">
        <f t="shared" si="46"/>
        <v>0</v>
      </c>
      <c r="H150" s="830">
        <f t="shared" si="46"/>
        <v>0</v>
      </c>
      <c r="I150" s="830">
        <f t="shared" si="46"/>
        <v>0</v>
      </c>
      <c r="J150" s="830">
        <f t="shared" si="46"/>
        <v>0</v>
      </c>
      <c r="K150" s="830">
        <f t="shared" si="46"/>
        <v>0</v>
      </c>
      <c r="L150" s="830">
        <f t="shared" si="46"/>
        <v>0</v>
      </c>
      <c r="M150" s="830">
        <f t="shared" si="46"/>
        <v>0</v>
      </c>
      <c r="N150" s="830">
        <f t="shared" si="46"/>
        <v>0</v>
      </c>
      <c r="O150" s="830">
        <f t="shared" si="46"/>
        <v>0</v>
      </c>
      <c r="P150" s="960">
        <v>0</v>
      </c>
      <c r="Q150" s="960">
        <v>0</v>
      </c>
      <c r="R150" s="960">
        <v>36853.292412771814</v>
      </c>
      <c r="S150" s="960">
        <v>75870.781010178209</v>
      </c>
      <c r="T150" s="960">
        <v>89576.992853993899</v>
      </c>
      <c r="U150" s="960">
        <v>91853.648918914201</v>
      </c>
      <c r="V150" s="960">
        <v>94490.970414710115</v>
      </c>
      <c r="W150" s="960">
        <v>96223.697244571813</v>
      </c>
      <c r="X150" s="960">
        <v>96739.437471363053</v>
      </c>
      <c r="Y150" s="960">
        <v>97537.300362079986</v>
      </c>
      <c r="Z150" s="960">
        <v>98018.051396960043</v>
      </c>
      <c r="AA150" s="961">
        <v>97311.68375595758</v>
      </c>
      <c r="AC150" s="10"/>
    </row>
    <row r="151" spans="2:29">
      <c r="B151" s="1196"/>
      <c r="C151" s="133" t="s">
        <v>5</v>
      </c>
      <c r="D151" s="830">
        <f t="shared" si="47"/>
        <v>0</v>
      </c>
      <c r="E151" s="830">
        <f t="shared" si="46"/>
        <v>0</v>
      </c>
      <c r="F151" s="830">
        <f t="shared" si="46"/>
        <v>0</v>
      </c>
      <c r="G151" s="830">
        <f t="shared" si="46"/>
        <v>0</v>
      </c>
      <c r="H151" s="830">
        <f t="shared" si="46"/>
        <v>0</v>
      </c>
      <c r="I151" s="830">
        <f t="shared" si="46"/>
        <v>0</v>
      </c>
      <c r="J151" s="830">
        <f t="shared" si="46"/>
        <v>0</v>
      </c>
      <c r="K151" s="830">
        <f t="shared" si="46"/>
        <v>0</v>
      </c>
      <c r="L151" s="830">
        <f t="shared" si="46"/>
        <v>0</v>
      </c>
      <c r="M151" s="830">
        <f t="shared" si="46"/>
        <v>0</v>
      </c>
      <c r="N151" s="830">
        <f t="shared" si="46"/>
        <v>0</v>
      </c>
      <c r="O151" s="830">
        <f t="shared" si="46"/>
        <v>0</v>
      </c>
      <c r="P151" s="960">
        <v>0</v>
      </c>
      <c r="Q151" s="960">
        <v>0</v>
      </c>
      <c r="R151" s="960">
        <v>-8.7739953926211456</v>
      </c>
      <c r="S151" s="960">
        <v>-16.262384042202029</v>
      </c>
      <c r="T151" s="960">
        <v>116.91708415033645</v>
      </c>
      <c r="U151" s="960">
        <v>115.6220609961747</v>
      </c>
      <c r="V151" s="960">
        <v>109.61677089487785</v>
      </c>
      <c r="W151" s="960">
        <v>112.63791239129205</v>
      </c>
      <c r="X151" s="960">
        <v>111.29296826630889</v>
      </c>
      <c r="Y151" s="960">
        <v>98.614678541372996</v>
      </c>
      <c r="Z151" s="960">
        <v>84.169985918895691</v>
      </c>
      <c r="AA151" s="961">
        <v>85.188135820062598</v>
      </c>
      <c r="AC151" s="10"/>
    </row>
    <row r="152" spans="2:29">
      <c r="B152" s="1196"/>
      <c r="C152" s="133" t="s">
        <v>44</v>
      </c>
      <c r="D152" s="830">
        <f t="shared" si="47"/>
        <v>0</v>
      </c>
      <c r="E152" s="830">
        <f t="shared" si="46"/>
        <v>0</v>
      </c>
      <c r="F152" s="830">
        <f t="shared" si="46"/>
        <v>0</v>
      </c>
      <c r="G152" s="830">
        <f t="shared" si="46"/>
        <v>0</v>
      </c>
      <c r="H152" s="830">
        <f t="shared" si="46"/>
        <v>0</v>
      </c>
      <c r="I152" s="830">
        <f t="shared" si="46"/>
        <v>0</v>
      </c>
      <c r="J152" s="830">
        <f t="shared" si="46"/>
        <v>0</v>
      </c>
      <c r="K152" s="830">
        <f t="shared" si="46"/>
        <v>0</v>
      </c>
      <c r="L152" s="830">
        <f t="shared" si="46"/>
        <v>0</v>
      </c>
      <c r="M152" s="830">
        <f t="shared" si="46"/>
        <v>0</v>
      </c>
      <c r="N152" s="830">
        <f t="shared" si="46"/>
        <v>0</v>
      </c>
      <c r="O152" s="830">
        <f t="shared" si="46"/>
        <v>0</v>
      </c>
      <c r="P152" s="960">
        <v>0</v>
      </c>
      <c r="Q152" s="960">
        <v>0</v>
      </c>
      <c r="R152" s="960">
        <v>-13147.725568704685</v>
      </c>
      <c r="S152" s="960">
        <v>-27079.593290404635</v>
      </c>
      <c r="T152" s="960">
        <v>-32882.12823659883</v>
      </c>
      <c r="U152" s="960">
        <v>-33689.30749836241</v>
      </c>
      <c r="V152" s="960">
        <v>-34594.222489339649</v>
      </c>
      <c r="W152" s="960">
        <v>-35235.356900381565</v>
      </c>
      <c r="X152" s="960">
        <v>-35411.17604394618</v>
      </c>
      <c r="Y152" s="960">
        <v>-35612.280219482025</v>
      </c>
      <c r="Z152" s="960">
        <v>-35687.930725845072</v>
      </c>
      <c r="AA152" s="961">
        <v>-35441.613957368565</v>
      </c>
      <c r="AC152" s="10"/>
    </row>
    <row r="153" spans="2:29">
      <c r="B153" s="1196"/>
      <c r="C153" s="133" t="s">
        <v>562</v>
      </c>
      <c r="D153" s="830">
        <f t="shared" si="47"/>
        <v>0</v>
      </c>
      <c r="E153" s="830">
        <f t="shared" ref="E153:O155" si="48">IF($B$15=$D$20,Q153,0)</f>
        <v>0</v>
      </c>
      <c r="F153" s="830">
        <f t="shared" si="48"/>
        <v>0</v>
      </c>
      <c r="G153" s="830">
        <f t="shared" si="48"/>
        <v>0</v>
      </c>
      <c r="H153" s="830">
        <f t="shared" si="48"/>
        <v>0</v>
      </c>
      <c r="I153" s="830">
        <f t="shared" si="48"/>
        <v>0</v>
      </c>
      <c r="J153" s="830">
        <f t="shared" si="48"/>
        <v>0</v>
      </c>
      <c r="K153" s="830">
        <f t="shared" si="48"/>
        <v>0</v>
      </c>
      <c r="L153" s="830">
        <f t="shared" si="48"/>
        <v>0</v>
      </c>
      <c r="M153" s="830">
        <f t="shared" si="48"/>
        <v>0</v>
      </c>
      <c r="N153" s="830">
        <f t="shared" si="48"/>
        <v>0</v>
      </c>
      <c r="O153" s="830">
        <f t="shared" si="48"/>
        <v>0</v>
      </c>
      <c r="P153" s="960">
        <v>0</v>
      </c>
      <c r="Q153" s="960">
        <v>0</v>
      </c>
      <c r="R153" s="960">
        <v>-8557.0125806161086</v>
      </c>
      <c r="S153" s="960">
        <v>-17605.219037729985</v>
      </c>
      <c r="T153" s="960">
        <v>-19930.504175636219</v>
      </c>
      <c r="U153" s="960">
        <v>-20463.854415555019</v>
      </c>
      <c r="V153" s="960">
        <v>-21110.000022093998</v>
      </c>
      <c r="W153" s="960">
        <v>-21490.752627263544</v>
      </c>
      <c r="X153" s="960">
        <v>-21618.180996854091</v>
      </c>
      <c r="Y153" s="960">
        <v>-21881.89362530678</v>
      </c>
      <c r="Z153" s="960">
        <v>-22083.547076755029</v>
      </c>
      <c r="AA153" s="961">
        <v>-21914.194835316041</v>
      </c>
      <c r="AC153" s="10"/>
    </row>
    <row r="154" spans="2:29">
      <c r="B154" s="1196"/>
      <c r="C154" s="133" t="s">
        <v>2</v>
      </c>
      <c r="D154" s="830">
        <f t="shared" si="47"/>
        <v>0</v>
      </c>
      <c r="E154" s="830">
        <f t="shared" si="48"/>
        <v>0</v>
      </c>
      <c r="F154" s="830">
        <f t="shared" si="48"/>
        <v>0</v>
      </c>
      <c r="G154" s="830">
        <f t="shared" si="48"/>
        <v>0</v>
      </c>
      <c r="H154" s="830">
        <f t="shared" si="48"/>
        <v>0</v>
      </c>
      <c r="I154" s="830">
        <f t="shared" si="48"/>
        <v>0</v>
      </c>
      <c r="J154" s="830">
        <f t="shared" si="48"/>
        <v>0</v>
      </c>
      <c r="K154" s="830">
        <f t="shared" si="48"/>
        <v>0</v>
      </c>
      <c r="L154" s="830">
        <f t="shared" si="48"/>
        <v>0</v>
      </c>
      <c r="M154" s="830">
        <f t="shared" si="48"/>
        <v>0</v>
      </c>
      <c r="N154" s="830">
        <f t="shared" si="48"/>
        <v>0</v>
      </c>
      <c r="O154" s="830">
        <f t="shared" si="48"/>
        <v>0</v>
      </c>
      <c r="P154" s="960">
        <v>0</v>
      </c>
      <c r="Q154" s="960">
        <v>0</v>
      </c>
      <c r="R154" s="960">
        <v>427.70091682244674</v>
      </c>
      <c r="S154" s="960">
        <v>879.94363221511594</v>
      </c>
      <c r="T154" s="960">
        <v>995.46248184633441</v>
      </c>
      <c r="U154" s="960">
        <v>1022.1245516573254</v>
      </c>
      <c r="V154" s="960">
        <v>1054.4483013153076</v>
      </c>
      <c r="W154" s="960">
        <v>1073.4615351355169</v>
      </c>
      <c r="X154" s="960">
        <v>1079.8370365736191</v>
      </c>
      <c r="Y154" s="960">
        <v>1093.0825562107202</v>
      </c>
      <c r="Z154" s="960">
        <v>1103.2357161683613</v>
      </c>
      <c r="AA154" s="961">
        <v>1094.766676929401</v>
      </c>
      <c r="AC154" s="10"/>
    </row>
    <row r="155" spans="2:29">
      <c r="B155" s="1196"/>
      <c r="C155" s="133" t="s">
        <v>563</v>
      </c>
      <c r="D155" s="830">
        <f t="shared" si="47"/>
        <v>0</v>
      </c>
      <c r="E155" s="830">
        <f t="shared" si="48"/>
        <v>0</v>
      </c>
      <c r="F155" s="830">
        <f t="shared" si="48"/>
        <v>0</v>
      </c>
      <c r="G155" s="830">
        <f t="shared" si="48"/>
        <v>0</v>
      </c>
      <c r="H155" s="830">
        <f t="shared" si="48"/>
        <v>0</v>
      </c>
      <c r="I155" s="830">
        <f t="shared" si="48"/>
        <v>0</v>
      </c>
      <c r="J155" s="830">
        <f t="shared" si="48"/>
        <v>0</v>
      </c>
      <c r="K155" s="830">
        <f t="shared" si="48"/>
        <v>0</v>
      </c>
      <c r="L155" s="830">
        <f t="shared" si="48"/>
        <v>0</v>
      </c>
      <c r="M155" s="830">
        <f t="shared" si="48"/>
        <v>0</v>
      </c>
      <c r="N155" s="830">
        <f t="shared" si="48"/>
        <v>0</v>
      </c>
      <c r="O155" s="830">
        <f t="shared" si="48"/>
        <v>0</v>
      </c>
      <c r="P155" s="960">
        <v>0</v>
      </c>
      <c r="Q155" s="960">
        <v>0</v>
      </c>
      <c r="R155" s="960">
        <v>-186.49928512216866</v>
      </c>
      <c r="S155" s="960">
        <v>-381.2614636452854</v>
      </c>
      <c r="T155" s="960">
        <v>-246.87389173082192</v>
      </c>
      <c r="U155" s="960">
        <v>-259.51955692330375</v>
      </c>
      <c r="V155" s="960">
        <v>-280.89599265990546</v>
      </c>
      <c r="W155" s="960">
        <v>-284.53713009906642</v>
      </c>
      <c r="X155" s="960">
        <v>-288.97211907566816</v>
      </c>
      <c r="Y155" s="960">
        <v>-311.65853761471226</v>
      </c>
      <c r="Z155" s="960">
        <v>-335.49068432752392</v>
      </c>
      <c r="AA155" s="961">
        <v>-330.64678109620581</v>
      </c>
      <c r="AC155" s="10"/>
    </row>
    <row r="156" spans="2:29" ht="13.15" customHeight="1"/>
  </sheetData>
  <mergeCells count="15">
    <mergeCell ref="A5:T6"/>
    <mergeCell ref="B137:B155"/>
    <mergeCell ref="B118:B136"/>
    <mergeCell ref="B99:B117"/>
    <mergeCell ref="B42:B60"/>
    <mergeCell ref="E14:O14"/>
    <mergeCell ref="E20:O20"/>
    <mergeCell ref="E18:O18"/>
    <mergeCell ref="E15:O15"/>
    <mergeCell ref="B23:B41"/>
    <mergeCell ref="E19:O19"/>
    <mergeCell ref="B80:B98"/>
    <mergeCell ref="E17:O17"/>
    <mergeCell ref="B61:B79"/>
    <mergeCell ref="E16:O16"/>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T150"/>
  <sheetViews>
    <sheetView showGridLines="0" workbookViewId="0"/>
  </sheetViews>
  <sheetFormatPr defaultRowHeight="12.75"/>
  <cols>
    <col min="2" max="6" width="12.7109375" customWidth="1"/>
  </cols>
  <sheetData>
    <row r="1" spans="1:20" s="66" customFormat="1" ht="15">
      <c r="A1" s="65" t="str">
        <f>ModelBanner</f>
        <v>TSM_201718 for publication</v>
      </c>
    </row>
    <row r="2" spans="1:20" s="66" customFormat="1" ht="15">
      <c r="A2" s="1003" t="s">
        <v>13</v>
      </c>
      <c r="B2" s="1003" t="s">
        <v>30</v>
      </c>
    </row>
    <row r="3" spans="1:20" s="66" customFormat="1" ht="15">
      <c r="A3" s="67"/>
    </row>
    <row r="4" spans="1:20" s="57" customFormat="1">
      <c r="A4" s="58" t="s">
        <v>26</v>
      </c>
      <c r="B4" s="58"/>
      <c r="C4" s="58"/>
      <c r="D4" s="292"/>
      <c r="E4" s="58"/>
      <c r="F4" s="58"/>
      <c r="G4" s="58"/>
      <c r="H4" s="58"/>
      <c r="I4" s="58"/>
      <c r="J4" s="58"/>
      <c r="K4" s="58"/>
      <c r="L4" s="58"/>
      <c r="M4" s="58"/>
      <c r="N4" s="58"/>
    </row>
    <row r="5" spans="1:20" s="47" customFormat="1" ht="45.6" customHeight="1">
      <c r="A5" s="1199" t="s">
        <v>1447</v>
      </c>
      <c r="B5" s="1199"/>
      <c r="C5" s="1199"/>
      <c r="D5" s="1199"/>
      <c r="E5" s="1199"/>
      <c r="F5" s="1199"/>
      <c r="G5" s="1199"/>
      <c r="H5" s="1199"/>
      <c r="I5" s="1199"/>
      <c r="J5" s="1199"/>
      <c r="K5" s="1199"/>
      <c r="L5" s="1199"/>
      <c r="M5" s="1199"/>
      <c r="N5" s="1199"/>
      <c r="O5" s="1199"/>
      <c r="P5" s="1199"/>
      <c r="Q5" s="1199"/>
      <c r="R5" s="1199"/>
      <c r="S5" s="1199"/>
      <c r="T5" s="1199"/>
    </row>
    <row r="6" spans="1:20" s="46" customFormat="1">
      <c r="A6" s="56" t="s">
        <v>1420</v>
      </c>
      <c r="B6" s="61"/>
      <c r="C6" s="61"/>
      <c r="D6" s="292"/>
      <c r="E6" s="61"/>
      <c r="F6" s="61"/>
      <c r="G6" s="61"/>
      <c r="H6" s="61"/>
      <c r="I6" s="61"/>
      <c r="J6" s="61"/>
      <c r="K6" s="61"/>
      <c r="L6" s="61"/>
      <c r="M6" s="61"/>
      <c r="N6" s="61"/>
      <c r="O6" s="45"/>
    </row>
    <row r="7" spans="1:20" s="46" customFormat="1">
      <c r="A7" s="54" t="s">
        <v>166</v>
      </c>
      <c r="B7" s="56"/>
      <c r="C7" s="61"/>
      <c r="D7" s="292"/>
      <c r="E7" s="61"/>
      <c r="F7" s="61"/>
      <c r="G7" s="61"/>
      <c r="H7" s="61"/>
      <c r="I7" s="61"/>
      <c r="J7" s="61"/>
      <c r="K7" s="61"/>
      <c r="L7" s="61"/>
      <c r="M7" s="61"/>
      <c r="N7" s="61"/>
      <c r="O7" s="45"/>
    </row>
    <row r="8" spans="1:20" s="46" customFormat="1">
      <c r="A8" s="56" t="s">
        <v>24</v>
      </c>
      <c r="B8" s="61"/>
      <c r="C8" s="61"/>
      <c r="D8" s="292"/>
      <c r="E8" s="61"/>
      <c r="F8" s="61"/>
      <c r="G8" s="61"/>
      <c r="H8" s="61"/>
      <c r="I8" s="61"/>
      <c r="J8" s="61"/>
      <c r="K8" s="61"/>
      <c r="L8" s="61"/>
      <c r="M8" s="61"/>
      <c r="N8" s="61"/>
      <c r="O8" s="45"/>
    </row>
    <row r="9" spans="1:20" s="46" customFormat="1">
      <c r="A9" s="54" t="s">
        <v>1446</v>
      </c>
      <c r="B9" s="61"/>
      <c r="C9" s="61"/>
      <c r="D9" s="292"/>
      <c r="E9" s="61"/>
      <c r="F9" s="61"/>
      <c r="G9" s="61"/>
      <c r="H9" s="61"/>
      <c r="I9" s="61"/>
      <c r="J9" s="61"/>
      <c r="K9" s="61"/>
      <c r="L9" s="61"/>
      <c r="M9" s="61"/>
      <c r="N9" s="61"/>
      <c r="O9" s="45"/>
    </row>
    <row r="10" spans="1:20" s="50" customFormat="1" ht="13.5" customHeight="1">
      <c r="A10" s="55">
        <f>SUM(A13:A2227)</f>
        <v>0</v>
      </c>
      <c r="B10" s="73"/>
      <c r="C10" s="48"/>
      <c r="D10" s="48"/>
      <c r="E10" s="48"/>
      <c r="F10" s="72"/>
      <c r="G10" s="48"/>
      <c r="H10" s="72"/>
      <c r="I10" s="49"/>
      <c r="J10" s="49"/>
      <c r="K10" s="49"/>
      <c r="L10" s="49"/>
      <c r="M10" s="49"/>
      <c r="N10" s="49"/>
      <c r="O10" s="49"/>
    </row>
    <row r="12" spans="1:20">
      <c r="H12" s="76" t="s">
        <v>110</v>
      </c>
    </row>
    <row r="14" spans="1:20">
      <c r="H14" s="5">
        <v>0.1</v>
      </c>
      <c r="I14" s="5">
        <v>0.2</v>
      </c>
      <c r="J14" s="5">
        <v>0.3</v>
      </c>
      <c r="K14" s="5">
        <v>0.4</v>
      </c>
    </row>
    <row r="16" spans="1:20" ht="18">
      <c r="B16" s="39" t="s">
        <v>1137</v>
      </c>
    </row>
    <row r="18" spans="2:6">
      <c r="B18" s="76" t="str">
        <f>RAW_DATA_INPUTS!H128</f>
        <v xml:space="preserve">MALE PRIMARY Starting Stock figures </v>
      </c>
    </row>
    <row r="20" spans="2:6">
      <c r="B20" s="1183" t="str">
        <f>RAW_DATA_INPUTS!B131</f>
        <v>Age group</v>
      </c>
      <c r="C20" s="1160" t="s">
        <v>74</v>
      </c>
      <c r="D20" s="1160"/>
      <c r="E20" s="1160"/>
      <c r="F20" s="1160"/>
    </row>
    <row r="21" spans="2:6">
      <c r="B21" s="1184"/>
      <c r="C21" s="8" t="str">
        <f>RAW_DATA_INPUTS!C131</f>
        <v>2011/12</v>
      </c>
      <c r="D21" s="8" t="str">
        <f>RAW_DATA_INPUTS!D131</f>
        <v>2012/13</v>
      </c>
      <c r="E21" s="8" t="str">
        <f>RAW_DATA_INPUTS!E131</f>
        <v>2013/14</v>
      </c>
      <c r="F21" s="8" t="str">
        <f>RAW_DATA_INPUTS!F131</f>
        <v>2014/15</v>
      </c>
    </row>
    <row r="22" spans="2:6">
      <c r="B22" s="8" t="str">
        <f>RAW_DATA_INPUTS!B132</f>
        <v>20-24</v>
      </c>
      <c r="C22" s="307">
        <f>RAW_DATA_INPUTS!I132</f>
        <v>1346.5930000000001</v>
      </c>
      <c r="D22" s="307">
        <f>RAW_DATA_INPUTS!J132</f>
        <v>1514.463</v>
      </c>
      <c r="E22" s="307">
        <f>RAW_DATA_INPUTS!K132</f>
        <v>1745.605</v>
      </c>
      <c r="F22" s="307">
        <f>RAW_DATA_INPUTS!L132</f>
        <v>1982.0170000000001</v>
      </c>
    </row>
    <row r="23" spans="2:6">
      <c r="B23" s="8" t="str">
        <f>RAW_DATA_INPUTS!B133</f>
        <v>25-29</v>
      </c>
      <c r="C23" s="307">
        <f>RAW_DATA_INPUTS!I133</f>
        <v>4289.7870000000003</v>
      </c>
      <c r="D23" s="307">
        <f>RAW_DATA_INPUTS!J133</f>
        <v>4837.1180000000004</v>
      </c>
      <c r="E23" s="307">
        <f>RAW_DATA_INPUTS!K133</f>
        <v>5400.1670000000004</v>
      </c>
      <c r="F23" s="307">
        <f>RAW_DATA_INPUTS!L133</f>
        <v>6023.643</v>
      </c>
    </row>
    <row r="24" spans="2:6">
      <c r="B24" s="8" t="str">
        <f>RAW_DATA_INPUTS!B134</f>
        <v>30-34</v>
      </c>
      <c r="C24" s="307">
        <f>RAW_DATA_INPUTS!I134</f>
        <v>4826.4629999999997</v>
      </c>
      <c r="D24" s="307">
        <f>RAW_DATA_INPUTS!J134</f>
        <v>5132.835</v>
      </c>
      <c r="E24" s="307">
        <f>RAW_DATA_INPUTS!K134</f>
        <v>5453.1239999999998</v>
      </c>
      <c r="F24" s="307">
        <f>RAW_DATA_INPUTS!L134</f>
        <v>5627.8090000000002</v>
      </c>
    </row>
    <row r="25" spans="2:6">
      <c r="B25" s="8" t="str">
        <f>RAW_DATA_INPUTS!B135</f>
        <v>35-39</v>
      </c>
      <c r="C25" s="307">
        <f>RAW_DATA_INPUTS!I135</f>
        <v>4610.6850000000004</v>
      </c>
      <c r="D25" s="307">
        <f>RAW_DATA_INPUTS!J135</f>
        <v>4665.8019999999997</v>
      </c>
      <c r="E25" s="307">
        <f>RAW_DATA_INPUTS!K135</f>
        <v>4700.8710000000001</v>
      </c>
      <c r="F25" s="307">
        <f>RAW_DATA_INPUTS!L135</f>
        <v>4915.6009999999997</v>
      </c>
    </row>
    <row r="26" spans="2:6">
      <c r="B26" s="8" t="str">
        <f>RAW_DATA_INPUTS!B136</f>
        <v>40-44</v>
      </c>
      <c r="C26" s="307">
        <f>RAW_DATA_INPUTS!I136</f>
        <v>3941.797</v>
      </c>
      <c r="D26" s="307">
        <f>RAW_DATA_INPUTS!J136</f>
        <v>4196.4319999999998</v>
      </c>
      <c r="E26" s="307">
        <f>RAW_DATA_INPUTS!K136</f>
        <v>4407.5060000000003</v>
      </c>
      <c r="F26" s="307">
        <f>RAW_DATA_INPUTS!L136</f>
        <v>4574.38</v>
      </c>
    </row>
    <row r="27" spans="2:6">
      <c r="B27" s="8" t="str">
        <f>RAW_DATA_INPUTS!B137</f>
        <v>45-49</v>
      </c>
      <c r="C27" s="307">
        <f>RAW_DATA_INPUTS!I137</f>
        <v>3336.1190000000001</v>
      </c>
      <c r="D27" s="307">
        <f>RAW_DATA_INPUTS!J137</f>
        <v>3447.72</v>
      </c>
      <c r="E27" s="307">
        <f>RAW_DATA_INPUTS!K137</f>
        <v>3505.8310000000001</v>
      </c>
      <c r="F27" s="307">
        <f>RAW_DATA_INPUTS!L137</f>
        <v>3568.99</v>
      </c>
    </row>
    <row r="28" spans="2:6">
      <c r="B28" s="8" t="str">
        <f>RAW_DATA_INPUTS!B138</f>
        <v>50-54</v>
      </c>
      <c r="C28" s="307">
        <f>RAW_DATA_INPUTS!I138</f>
        <v>2482.8429999999998</v>
      </c>
      <c r="D28" s="307">
        <f>RAW_DATA_INPUTS!J138</f>
        <v>2466.201</v>
      </c>
      <c r="E28" s="307">
        <f>RAW_DATA_INPUTS!K138</f>
        <v>2514.817</v>
      </c>
      <c r="F28" s="307">
        <f>RAW_DATA_INPUTS!L138</f>
        <v>2613.924</v>
      </c>
    </row>
    <row r="29" spans="2:6">
      <c r="B29" s="8" t="str">
        <f>RAW_DATA_INPUTS!B139</f>
        <v>55-59</v>
      </c>
      <c r="C29" s="307">
        <f>RAW_DATA_INPUTS!I139</f>
        <v>2444.1129999999998</v>
      </c>
      <c r="D29" s="307">
        <f>RAW_DATA_INPUTS!J139</f>
        <v>2178.13</v>
      </c>
      <c r="E29" s="307">
        <f>RAW_DATA_INPUTS!K139</f>
        <v>1972.1220000000001</v>
      </c>
      <c r="F29" s="307">
        <f>RAW_DATA_INPUTS!L139</f>
        <v>1696.258</v>
      </c>
    </row>
    <row r="30" spans="2:6">
      <c r="B30" s="8" t="str">
        <f>RAW_DATA_INPUTS!B140</f>
        <v>60-64</v>
      </c>
      <c r="C30" s="307">
        <f>RAW_DATA_INPUTS!I140</f>
        <v>725.55399999999997</v>
      </c>
      <c r="D30" s="307">
        <f>RAW_DATA_INPUTS!J140</f>
        <v>748.60900000000004</v>
      </c>
      <c r="E30" s="307">
        <f>RAW_DATA_INPUTS!K140</f>
        <v>704.23199999999997</v>
      </c>
      <c r="F30" s="307">
        <f>RAW_DATA_INPUTS!L140</f>
        <v>639.24099999999999</v>
      </c>
    </row>
    <row r="31" spans="2:6">
      <c r="B31" s="8" t="str">
        <f>RAW_DATA_INPUTS!B141</f>
        <v>65 plus</v>
      </c>
      <c r="C31" s="307">
        <f>RAW_DATA_INPUTS!I141</f>
        <v>103.547</v>
      </c>
      <c r="D31" s="307">
        <f>RAW_DATA_INPUTS!J141</f>
        <v>143.124</v>
      </c>
      <c r="E31" s="307">
        <f>RAW_DATA_INPUTS!K141</f>
        <v>143.75899999999999</v>
      </c>
      <c r="F31" s="307">
        <f>RAW_DATA_INPUTS!L141</f>
        <v>146.489</v>
      </c>
    </row>
    <row r="32" spans="2:6">
      <c r="B32" s="8" t="str">
        <f>RAW_DATA_INPUTS!B142</f>
        <v>Total</v>
      </c>
      <c r="C32" s="307">
        <f>RAW_DATA_INPUTS!I142</f>
        <v>28107.501</v>
      </c>
      <c r="D32" s="307">
        <f>RAW_DATA_INPUTS!J142</f>
        <v>29330.434000000005</v>
      </c>
      <c r="E32" s="307">
        <f>RAW_DATA_INPUTS!K142</f>
        <v>30548.033999999996</v>
      </c>
      <c r="F32" s="307">
        <f>RAW_DATA_INPUTS!L142</f>
        <v>31788.352000000006</v>
      </c>
    </row>
    <row r="33" spans="1:6">
      <c r="A33">
        <f>SUM(C33:F33)</f>
        <v>0</v>
      </c>
      <c r="C33">
        <f>SUM(C22:C31)-C32</f>
        <v>0</v>
      </c>
      <c r="D33">
        <f>SUM(D22:D31)-D32</f>
        <v>0</v>
      </c>
      <c r="E33">
        <f>SUM(E22:E31)-E32</f>
        <v>0</v>
      </c>
      <c r="F33">
        <f>SUM(F22:F31)-F32</f>
        <v>0</v>
      </c>
    </row>
    <row r="35" spans="1:6">
      <c r="B35" s="76" t="str">
        <f>RAW_DATA_INPUTS!H162</f>
        <v xml:space="preserve">FEMALE PRIMARY Starting Stock figures </v>
      </c>
    </row>
    <row r="37" spans="1:6">
      <c r="B37" s="1183" t="str">
        <f>RAW_DATA_INPUTS!B148</f>
        <v>Age group</v>
      </c>
      <c r="C37" s="1160" t="str">
        <f>C20</f>
        <v>Year</v>
      </c>
      <c r="D37" s="1160"/>
      <c r="E37" s="1160"/>
      <c r="F37" s="1160"/>
    </row>
    <row r="38" spans="1:6">
      <c r="B38" s="1184"/>
      <c r="C38" s="8" t="str">
        <f>C21</f>
        <v>2011/12</v>
      </c>
      <c r="D38" s="8" t="str">
        <f>D21</f>
        <v>2012/13</v>
      </c>
      <c r="E38" s="8" t="str">
        <f>E21</f>
        <v>2013/14</v>
      </c>
      <c r="F38" s="8" t="str">
        <f>F21</f>
        <v>2014/15</v>
      </c>
    </row>
    <row r="39" spans="1:6">
      <c r="B39" s="8" t="str">
        <f>RAW_DATA_INPUTS!B166</f>
        <v>20-24</v>
      </c>
      <c r="C39" s="307">
        <f>RAW_DATA_INPUTS!I166</f>
        <v>11645.14</v>
      </c>
      <c r="D39" s="307">
        <f>RAW_DATA_INPUTS!J166</f>
        <v>12590.892</v>
      </c>
      <c r="E39" s="307">
        <f>RAW_DATA_INPUTS!K166</f>
        <v>13741.936</v>
      </c>
      <c r="F39" s="307">
        <f>RAW_DATA_INPUTS!L166</f>
        <v>14942.416999999999</v>
      </c>
    </row>
    <row r="40" spans="1:6">
      <c r="B40" s="8" t="str">
        <f>RAW_DATA_INPUTS!B167</f>
        <v>25-29</v>
      </c>
      <c r="C40" s="307">
        <f>RAW_DATA_INPUTS!I167</f>
        <v>30892.727999999999</v>
      </c>
      <c r="D40" s="307">
        <f>RAW_DATA_INPUTS!J167</f>
        <v>32337.764999999999</v>
      </c>
      <c r="E40" s="307">
        <f>RAW_DATA_INPUTS!K167</f>
        <v>33872.055</v>
      </c>
      <c r="F40" s="307">
        <f>RAW_DATA_INPUTS!L167</f>
        <v>34965.243999999999</v>
      </c>
    </row>
    <row r="41" spans="1:6">
      <c r="B41" s="8" t="str">
        <f>RAW_DATA_INPUTS!B168</f>
        <v>30-34</v>
      </c>
      <c r="C41" s="307">
        <f>RAW_DATA_INPUTS!I168</f>
        <v>31531.079000000002</v>
      </c>
      <c r="D41" s="307">
        <f>RAW_DATA_INPUTS!J168</f>
        <v>32598.183000000001</v>
      </c>
      <c r="E41" s="307">
        <f>RAW_DATA_INPUTS!K168</f>
        <v>33026.067999999999</v>
      </c>
      <c r="F41" s="307">
        <f>RAW_DATA_INPUTS!L168</f>
        <v>33290.182000000001</v>
      </c>
    </row>
    <row r="42" spans="1:6">
      <c r="B42" s="8" t="str">
        <f>RAW_DATA_INPUTS!B169</f>
        <v>35-39</v>
      </c>
      <c r="C42" s="307">
        <f>RAW_DATA_INPUTS!I169</f>
        <v>27639.316999999999</v>
      </c>
      <c r="D42" s="307">
        <f>RAW_DATA_INPUTS!J169</f>
        <v>28351.003000000001</v>
      </c>
      <c r="E42" s="307">
        <f>RAW_DATA_INPUTS!K169</f>
        <v>28849.746999999999</v>
      </c>
      <c r="F42" s="307">
        <f>RAW_DATA_INPUTS!L169</f>
        <v>29731.899000000001</v>
      </c>
    </row>
    <row r="43" spans="1:6">
      <c r="B43" s="8" t="str">
        <f>RAW_DATA_INPUTS!B170</f>
        <v>40-44</v>
      </c>
      <c r="C43" s="307">
        <f>RAW_DATA_INPUTS!I170</f>
        <v>24095.727999999999</v>
      </c>
      <c r="D43" s="307">
        <f>RAW_DATA_INPUTS!J170</f>
        <v>25394.679</v>
      </c>
      <c r="E43" s="307">
        <f>RAW_DATA_INPUTS!K170</f>
        <v>26801.800999999999</v>
      </c>
      <c r="F43" s="307">
        <f>RAW_DATA_INPUTS!L170</f>
        <v>28052.525000000001</v>
      </c>
    </row>
    <row r="44" spans="1:6">
      <c r="B44" s="8" t="str">
        <f>RAW_DATA_INPUTS!B171</f>
        <v>45-49</v>
      </c>
      <c r="C44" s="307">
        <f>RAW_DATA_INPUTS!I171</f>
        <v>22270.969000000001</v>
      </c>
      <c r="D44" s="307">
        <f>RAW_DATA_INPUTS!J171</f>
        <v>23196.210999999999</v>
      </c>
      <c r="E44" s="307">
        <f>RAW_DATA_INPUTS!K171</f>
        <v>23702.975999999999</v>
      </c>
      <c r="F44" s="307">
        <f>RAW_DATA_INPUTS!L171</f>
        <v>24098.245999999999</v>
      </c>
    </row>
    <row r="45" spans="1:6">
      <c r="B45" s="8" t="str">
        <f>RAW_DATA_INPUTS!B172</f>
        <v>50-54</v>
      </c>
      <c r="C45" s="307">
        <f>RAW_DATA_INPUTS!I172</f>
        <v>19337.964</v>
      </c>
      <c r="D45" s="307">
        <f>RAW_DATA_INPUTS!J172</f>
        <v>18348.882000000001</v>
      </c>
      <c r="E45" s="307">
        <f>RAW_DATA_INPUTS!K172</f>
        <v>18105.984</v>
      </c>
      <c r="F45" s="307">
        <f>RAW_DATA_INPUTS!L172</f>
        <v>18539.277999999998</v>
      </c>
    </row>
    <row r="46" spans="1:6">
      <c r="B46" s="8" t="str">
        <f>RAW_DATA_INPUTS!B173</f>
        <v>55-59</v>
      </c>
      <c r="C46" s="307">
        <f>RAW_DATA_INPUTS!I173</f>
        <v>18889.525000000001</v>
      </c>
      <c r="D46" s="307">
        <f>RAW_DATA_INPUTS!J173</f>
        <v>17550.594000000001</v>
      </c>
      <c r="E46" s="307">
        <f>RAW_DATA_INPUTS!K173</f>
        <v>16115.884</v>
      </c>
      <c r="F46" s="307">
        <f>RAW_DATA_INPUTS!L173</f>
        <v>14359.462</v>
      </c>
    </row>
    <row r="47" spans="1:6">
      <c r="B47" s="8" t="str">
        <f>RAW_DATA_INPUTS!B174</f>
        <v>60-64</v>
      </c>
      <c r="C47" s="307">
        <f>RAW_DATA_INPUTS!I174</f>
        <v>4758.4489999999996</v>
      </c>
      <c r="D47" s="307">
        <f>RAW_DATA_INPUTS!J174</f>
        <v>4891.2910000000002</v>
      </c>
      <c r="E47" s="307">
        <f>RAW_DATA_INPUTS!K174</f>
        <v>4911.7430000000004</v>
      </c>
      <c r="F47" s="307">
        <f>RAW_DATA_INPUTS!L174</f>
        <v>4868.223</v>
      </c>
    </row>
    <row r="48" spans="1:6">
      <c r="B48" s="8" t="str">
        <f>RAW_DATA_INPUTS!B175</f>
        <v>65 plus</v>
      </c>
      <c r="C48" s="307">
        <f>RAW_DATA_INPUTS!I175</f>
        <v>590.86699999999996</v>
      </c>
      <c r="D48" s="307">
        <f>RAW_DATA_INPUTS!J175</f>
        <v>720.93</v>
      </c>
      <c r="E48" s="307">
        <f>RAW_DATA_INPUTS!K175</f>
        <v>745.91899999999998</v>
      </c>
      <c r="F48" s="307">
        <f>RAW_DATA_INPUTS!L175</f>
        <v>787.39700000000005</v>
      </c>
    </row>
    <row r="49" spans="1:6">
      <c r="B49" s="8" t="str">
        <f>RAW_DATA_INPUTS!B176</f>
        <v>Total</v>
      </c>
      <c r="C49" s="307">
        <f>RAW_DATA_INPUTS!I176</f>
        <v>191651.766</v>
      </c>
      <c r="D49" s="307">
        <f>RAW_DATA_INPUTS!J176</f>
        <v>195980.43000000002</v>
      </c>
      <c r="E49" s="307">
        <f>RAW_DATA_INPUTS!K176</f>
        <v>199874.11299999998</v>
      </c>
      <c r="F49" s="307">
        <f>RAW_DATA_INPUTS!L176</f>
        <v>203634.87299999996</v>
      </c>
    </row>
    <row r="50" spans="1:6">
      <c r="A50">
        <f>SUM(C50:F50)</f>
        <v>0</v>
      </c>
      <c r="C50">
        <f>SUM(C39:C48)-C49</f>
        <v>0</v>
      </c>
      <c r="D50">
        <f>SUM(D39:D48)-D49</f>
        <v>0</v>
      </c>
      <c r="E50">
        <f>SUM(E39:E48)-E49</f>
        <v>0</v>
      </c>
      <c r="F50">
        <f>SUM(F39:F48)-F49</f>
        <v>0</v>
      </c>
    </row>
    <row r="52" spans="1:6" ht="18">
      <c r="B52" s="39" t="s">
        <v>112</v>
      </c>
    </row>
    <row r="54" spans="1:6">
      <c r="B54" s="76" t="s">
        <v>113</v>
      </c>
    </row>
    <row r="56" spans="1:6">
      <c r="B56" s="1183" t="str">
        <f>B37</f>
        <v>Age group</v>
      </c>
      <c r="C56" s="1160" t="str">
        <f>C37</f>
        <v>Year</v>
      </c>
      <c r="D56" s="1160"/>
      <c r="E56" s="1160"/>
      <c r="F56" s="1160"/>
    </row>
    <row r="57" spans="1:6">
      <c r="B57" s="1184"/>
      <c r="C57" s="8" t="str">
        <f>RAW_DATA_INPUTS!I148</f>
        <v>2011/12</v>
      </c>
      <c r="D57" s="8" t="str">
        <f>RAW_DATA_INPUTS!J148</f>
        <v>2012/13</v>
      </c>
      <c r="E57" s="8" t="str">
        <f>RAW_DATA_INPUTS!K148</f>
        <v>2013/14</v>
      </c>
      <c r="F57" s="8" t="str">
        <f>RAW_DATA_INPUTS!L148</f>
        <v>2014/15</v>
      </c>
    </row>
    <row r="58" spans="1:6">
      <c r="B58" s="8" t="str">
        <f t="shared" ref="B58:B68" si="0">B39</f>
        <v>20-24</v>
      </c>
      <c r="C58" s="418">
        <f>RAW_DATA_INPUTS!I225</f>
        <v>0</v>
      </c>
      <c r="D58" s="418">
        <f>RAW_DATA_INPUTS!J225</f>
        <v>0</v>
      </c>
      <c r="E58" s="418">
        <f>RAW_DATA_INPUTS!K225</f>
        <v>0</v>
      </c>
      <c r="F58" s="418">
        <f>RAW_DATA_INPUTS!L225</f>
        <v>0</v>
      </c>
    </row>
    <row r="59" spans="1:6">
      <c r="B59" s="8" t="str">
        <f t="shared" si="0"/>
        <v>25-29</v>
      </c>
      <c r="C59" s="418">
        <f>RAW_DATA_INPUTS!I226</f>
        <v>0</v>
      </c>
      <c r="D59" s="418">
        <f>RAW_DATA_INPUTS!J226</f>
        <v>0</v>
      </c>
      <c r="E59" s="418">
        <f>RAW_DATA_INPUTS!K226</f>
        <v>0</v>
      </c>
      <c r="F59" s="418">
        <f>RAW_DATA_INPUTS!L226</f>
        <v>0</v>
      </c>
    </row>
    <row r="60" spans="1:6">
      <c r="B60" s="8" t="str">
        <f t="shared" si="0"/>
        <v>30-34</v>
      </c>
      <c r="C60" s="418">
        <f>RAW_DATA_INPUTS!I227</f>
        <v>0</v>
      </c>
      <c r="D60" s="418">
        <f>RAW_DATA_INPUTS!J227</f>
        <v>0</v>
      </c>
      <c r="E60" s="418">
        <f>RAW_DATA_INPUTS!K227</f>
        <v>0</v>
      </c>
      <c r="F60" s="418">
        <f>RAW_DATA_INPUTS!L227</f>
        <v>0</v>
      </c>
    </row>
    <row r="61" spans="1:6">
      <c r="B61" s="8" t="str">
        <f t="shared" si="0"/>
        <v>35-39</v>
      </c>
      <c r="C61" s="418">
        <f>RAW_DATA_INPUTS!I228</f>
        <v>0</v>
      </c>
      <c r="D61" s="418">
        <f>RAW_DATA_INPUTS!J228</f>
        <v>0</v>
      </c>
      <c r="E61" s="418">
        <f>RAW_DATA_INPUTS!K228</f>
        <v>0</v>
      </c>
      <c r="F61" s="418">
        <f>RAW_DATA_INPUTS!L228</f>
        <v>0</v>
      </c>
    </row>
    <row r="62" spans="1:6">
      <c r="B62" s="8" t="str">
        <f t="shared" si="0"/>
        <v>40-44</v>
      </c>
      <c r="C62" s="418">
        <f>RAW_DATA_INPUTS!I229</f>
        <v>0</v>
      </c>
      <c r="D62" s="418">
        <f>RAW_DATA_INPUTS!J229</f>
        <v>0</v>
      </c>
      <c r="E62" s="418">
        <f>RAW_DATA_INPUTS!K229</f>
        <v>0</v>
      </c>
      <c r="F62" s="418">
        <f>RAW_DATA_INPUTS!L229</f>
        <v>0</v>
      </c>
    </row>
    <row r="63" spans="1:6">
      <c r="B63" s="8" t="str">
        <f t="shared" si="0"/>
        <v>45-49</v>
      </c>
      <c r="C63" s="418">
        <f>RAW_DATA_INPUTS!I230</f>
        <v>5</v>
      </c>
      <c r="D63" s="418">
        <f>RAW_DATA_INPUTS!J230</f>
        <v>8</v>
      </c>
      <c r="E63" s="418">
        <f>RAW_DATA_INPUTS!K230</f>
        <v>9</v>
      </c>
      <c r="F63" s="418">
        <f>RAW_DATA_INPUTS!L230</f>
        <v>5</v>
      </c>
    </row>
    <row r="64" spans="1:6">
      <c r="B64" s="8" t="str">
        <f t="shared" si="0"/>
        <v>50-54</v>
      </c>
      <c r="C64" s="418">
        <f>RAW_DATA_INPUTS!I231</f>
        <v>83.673688033361344</v>
      </c>
      <c r="D64" s="418">
        <f>RAW_DATA_INPUTS!J231</f>
        <v>63.733648519642998</v>
      </c>
      <c r="E64" s="418">
        <f>RAW_DATA_INPUTS!K231</f>
        <v>50.870628664832935</v>
      </c>
      <c r="F64" s="418">
        <f>RAW_DATA_INPUTS!L231</f>
        <v>48.165999999999997</v>
      </c>
    </row>
    <row r="65" spans="1:7">
      <c r="B65" s="8" t="str">
        <f t="shared" si="0"/>
        <v>55-59</v>
      </c>
      <c r="C65" s="418">
        <f>RAW_DATA_INPUTS!I232</f>
        <v>546.11352046019942</v>
      </c>
      <c r="D65" s="418">
        <f>RAW_DATA_INPUTS!J232</f>
        <v>443.52747580791174</v>
      </c>
      <c r="E65" s="418">
        <f>RAW_DATA_INPUTS!K232</f>
        <v>431.58139061025577</v>
      </c>
      <c r="F65" s="418">
        <f>RAW_DATA_INPUTS!L232</f>
        <v>312.798</v>
      </c>
    </row>
    <row r="66" spans="1:7">
      <c r="B66" s="8" t="str">
        <f t="shared" si="0"/>
        <v>60-64</v>
      </c>
      <c r="C66" s="418">
        <f>RAW_DATA_INPUTS!I233</f>
        <v>227.08130887229143</v>
      </c>
      <c r="D66" s="418">
        <f>RAW_DATA_INPUTS!J233</f>
        <v>256.31271561402752</v>
      </c>
      <c r="E66" s="418">
        <f>RAW_DATA_INPUTS!K233</f>
        <v>257.90398154337004</v>
      </c>
      <c r="F66" s="418">
        <f>RAW_DATA_INPUTS!L233</f>
        <v>224.73</v>
      </c>
    </row>
    <row r="67" spans="1:7">
      <c r="B67" s="8" t="str">
        <f t="shared" si="0"/>
        <v>65 plus</v>
      </c>
      <c r="C67" s="418">
        <f>RAW_DATA_INPUTS!I234</f>
        <v>23.677443395293821</v>
      </c>
      <c r="D67" s="418">
        <f>RAW_DATA_INPUTS!J234</f>
        <v>59.122258458557809</v>
      </c>
      <c r="E67" s="418">
        <f>RAW_DATA_INPUTS!K234</f>
        <v>52.114732167224105</v>
      </c>
      <c r="F67" s="418">
        <f>RAW_DATA_INPUTS!L234</f>
        <v>22.268999999999998</v>
      </c>
    </row>
    <row r="68" spans="1:7">
      <c r="B68" s="8" t="str">
        <f t="shared" si="0"/>
        <v>Total</v>
      </c>
      <c r="C68" s="418">
        <f>RAW_DATA_INPUTS!I235</f>
        <v>885.54596076114603</v>
      </c>
      <c r="D68" s="418">
        <f>RAW_DATA_INPUTS!J235</f>
        <v>830.69609840014004</v>
      </c>
      <c r="E68" s="418">
        <f>RAW_DATA_INPUTS!K235</f>
        <v>801.47073298568284</v>
      </c>
      <c r="F68" s="418">
        <f>RAW_DATA_INPUTS!L235</f>
        <v>612.96299999999997</v>
      </c>
    </row>
    <row r="69" spans="1:7" s="2" customFormat="1">
      <c r="A69">
        <f>SUM(C69:F69)</f>
        <v>0</v>
      </c>
      <c r="B69"/>
      <c r="C69">
        <f>SUM(C58:C67)-C68</f>
        <v>0</v>
      </c>
      <c r="D69">
        <f>SUM(D58:D67)-D68</f>
        <v>0</v>
      </c>
      <c r="E69">
        <f>SUM(E58:E67)-E68</f>
        <v>0</v>
      </c>
      <c r="F69">
        <f>SUM(F58:F67)-F68</f>
        <v>0</v>
      </c>
    </row>
    <row r="71" spans="1:7">
      <c r="B71" s="76" t="s">
        <v>114</v>
      </c>
    </row>
    <row r="73" spans="1:7">
      <c r="B73" s="1183" t="str">
        <f>B56</f>
        <v>Age group</v>
      </c>
      <c r="C73" s="1160" t="str">
        <f>C56</f>
        <v>Year</v>
      </c>
      <c r="D73" s="1160"/>
      <c r="E73" s="1160"/>
      <c r="F73" s="1160"/>
    </row>
    <row r="74" spans="1:7">
      <c r="B74" s="1184"/>
      <c r="C74" s="8" t="str">
        <f>C57</f>
        <v>2011/12</v>
      </c>
      <c r="D74" s="8" t="str">
        <f>D57</f>
        <v>2012/13</v>
      </c>
      <c r="E74" s="8" t="str">
        <f>E57</f>
        <v>2013/14</v>
      </c>
      <c r="F74" s="8" t="str">
        <f>F57</f>
        <v>2014/15</v>
      </c>
    </row>
    <row r="75" spans="1:7">
      <c r="B75" s="8" t="str">
        <f t="shared" ref="B75:B85" si="1">B58</f>
        <v>20-24</v>
      </c>
      <c r="C75" s="307">
        <f>RAW_DATA_INPUTS!I242</f>
        <v>0</v>
      </c>
      <c r="D75" s="307">
        <f>RAW_DATA_INPUTS!J242</f>
        <v>0</v>
      </c>
      <c r="E75" s="307">
        <f>RAW_DATA_INPUTS!K242</f>
        <v>0</v>
      </c>
      <c r="F75" s="307">
        <f>RAW_DATA_INPUTS!L242</f>
        <v>0</v>
      </c>
      <c r="G75" s="5"/>
    </row>
    <row r="76" spans="1:7">
      <c r="B76" s="8" t="str">
        <f t="shared" si="1"/>
        <v>25-29</v>
      </c>
      <c r="C76" s="307">
        <f>RAW_DATA_INPUTS!I243</f>
        <v>0</v>
      </c>
      <c r="D76" s="307">
        <f>RAW_DATA_INPUTS!J243</f>
        <v>0</v>
      </c>
      <c r="E76" s="307">
        <f>RAW_DATA_INPUTS!K243</f>
        <v>0</v>
      </c>
      <c r="F76" s="307">
        <f>RAW_DATA_INPUTS!L243</f>
        <v>0</v>
      </c>
      <c r="G76" s="5"/>
    </row>
    <row r="77" spans="1:7">
      <c r="B77" s="8" t="str">
        <f t="shared" si="1"/>
        <v>30-34</v>
      </c>
      <c r="C77" s="307">
        <f>RAW_DATA_INPUTS!I244</f>
        <v>6</v>
      </c>
      <c r="D77" s="307">
        <f>RAW_DATA_INPUTS!J244</f>
        <v>0</v>
      </c>
      <c r="E77" s="307">
        <f>RAW_DATA_INPUTS!K244</f>
        <v>6</v>
      </c>
      <c r="F77" s="307">
        <f>RAW_DATA_INPUTS!L244</f>
        <v>5.8</v>
      </c>
      <c r="G77" s="5"/>
    </row>
    <row r="78" spans="1:7">
      <c r="B78" s="8" t="str">
        <f t="shared" si="1"/>
        <v>35-39</v>
      </c>
      <c r="C78" s="307">
        <f>RAW_DATA_INPUTS!I245</f>
        <v>8</v>
      </c>
      <c r="D78" s="307">
        <f>RAW_DATA_INPUTS!J245</f>
        <v>6.8744781754232855</v>
      </c>
      <c r="E78" s="307">
        <f>RAW_DATA_INPUTS!K245</f>
        <v>7</v>
      </c>
      <c r="F78" s="307">
        <f>RAW_DATA_INPUTS!L245</f>
        <v>7.9740000000000002</v>
      </c>
      <c r="G78" s="5"/>
    </row>
    <row r="79" spans="1:7">
      <c r="B79" s="8" t="str">
        <f t="shared" si="1"/>
        <v>40-44</v>
      </c>
      <c r="C79" s="307">
        <f>RAW_DATA_INPUTS!I246</f>
        <v>18.254336204522581</v>
      </c>
      <c r="D79" s="307">
        <f>RAW_DATA_INPUTS!J246</f>
        <v>13.729707287802816</v>
      </c>
      <c r="E79" s="307">
        <f>RAW_DATA_INPUTS!K246</f>
        <v>18.382096525982238</v>
      </c>
      <c r="F79" s="307">
        <f>RAW_DATA_INPUTS!L246</f>
        <v>14.909000000000001</v>
      </c>
      <c r="G79" s="5"/>
    </row>
    <row r="80" spans="1:7">
      <c r="B80" s="8" t="str">
        <f t="shared" si="1"/>
        <v>45-49</v>
      </c>
      <c r="C80" s="307">
        <f>RAW_DATA_INPUTS!I247</f>
        <v>20.51227270266282</v>
      </c>
      <c r="D80" s="307">
        <f>RAW_DATA_INPUTS!J247</f>
        <v>20.778157040801002</v>
      </c>
      <c r="E80" s="307">
        <f>RAW_DATA_INPUTS!K247</f>
        <v>22.858079110702665</v>
      </c>
      <c r="F80" s="307">
        <f>RAW_DATA_INPUTS!L247</f>
        <v>17.003</v>
      </c>
      <c r="G80" s="5"/>
    </row>
    <row r="81" spans="1:7">
      <c r="B81" s="8" t="str">
        <f t="shared" si="1"/>
        <v>50-54</v>
      </c>
      <c r="C81" s="307">
        <f>RAW_DATA_INPUTS!I248</f>
        <v>456.0195439032583</v>
      </c>
      <c r="D81" s="307">
        <f>RAW_DATA_INPUTS!J248</f>
        <v>378.89749412430808</v>
      </c>
      <c r="E81" s="307">
        <f>RAW_DATA_INPUTS!K248</f>
        <v>332.3354552716209</v>
      </c>
      <c r="F81" s="307">
        <f>RAW_DATA_INPUTS!L248</f>
        <v>242.84700000000001</v>
      </c>
      <c r="G81" s="5"/>
    </row>
    <row r="82" spans="1:7">
      <c r="B82" s="8" t="str">
        <f t="shared" si="1"/>
        <v>55-59</v>
      </c>
      <c r="C82" s="307">
        <f>RAW_DATA_INPUTS!I249</f>
        <v>3488.1939081863043</v>
      </c>
      <c r="D82" s="307">
        <f>RAW_DATA_INPUTS!J249</f>
        <v>3005.8994200354009</v>
      </c>
      <c r="E82" s="307">
        <f>RAW_DATA_INPUTS!K249</f>
        <v>2759.6591411733389</v>
      </c>
      <c r="F82" s="307">
        <f>RAW_DATA_INPUTS!L249</f>
        <v>2239.1660000000002</v>
      </c>
      <c r="G82" s="5"/>
    </row>
    <row r="83" spans="1:7">
      <c r="B83" s="8" t="str">
        <f t="shared" si="1"/>
        <v>60-64</v>
      </c>
      <c r="C83" s="307">
        <f>RAW_DATA_INPUTS!I250</f>
        <v>1566.1906302463099</v>
      </c>
      <c r="D83" s="307">
        <f>RAW_DATA_INPUTS!J250</f>
        <v>1664.1885295382667</v>
      </c>
      <c r="E83" s="307">
        <f>RAW_DATA_INPUTS!K250</f>
        <v>1713.0421289358178</v>
      </c>
      <c r="F83" s="307">
        <f>RAW_DATA_INPUTS!L250</f>
        <v>1517.259</v>
      </c>
      <c r="G83" s="5"/>
    </row>
    <row r="84" spans="1:7">
      <c r="B84" s="8" t="str">
        <f t="shared" si="1"/>
        <v>65 plus</v>
      </c>
      <c r="C84" s="307">
        <f>RAW_DATA_INPUTS!I251</f>
        <v>180.14015717626822</v>
      </c>
      <c r="D84" s="307">
        <f>RAW_DATA_INPUTS!J251</f>
        <v>233.46530733520493</v>
      </c>
      <c r="E84" s="307">
        <f>RAW_DATA_INPUTS!K251</f>
        <v>258.92519977314953</v>
      </c>
      <c r="F84" s="307">
        <f>RAW_DATA_INPUTS!L251</f>
        <v>202.33799999999999</v>
      </c>
      <c r="G84" s="5"/>
    </row>
    <row r="85" spans="1:7">
      <c r="B85" s="8" t="str">
        <f t="shared" si="1"/>
        <v>Total</v>
      </c>
      <c r="C85" s="307">
        <f>RAW_DATA_INPUTS!I252</f>
        <v>5743.3108484193262</v>
      </c>
      <c r="D85" s="307">
        <f>RAW_DATA_INPUTS!J252</f>
        <v>5323.8330935372078</v>
      </c>
      <c r="E85" s="307">
        <f>RAW_DATA_INPUTS!K252</f>
        <v>5118.2021007906123</v>
      </c>
      <c r="F85" s="307">
        <f>RAW_DATA_INPUTS!L252</f>
        <v>4247.2960000000003</v>
      </c>
      <c r="G85" s="5"/>
    </row>
    <row r="86" spans="1:7">
      <c r="A86">
        <f>SUM(C86:F86)</f>
        <v>0</v>
      </c>
      <c r="C86">
        <f>SUM(C75:C84)-C85</f>
        <v>0</v>
      </c>
      <c r="D86">
        <f>SUM(D75:D84)-D85</f>
        <v>0</v>
      </c>
      <c r="E86">
        <f>SUM(E75:E84)-E85</f>
        <v>0</v>
      </c>
      <c r="F86">
        <f>SUM(F75:F84)-F85</f>
        <v>0</v>
      </c>
    </row>
    <row r="88" spans="1:7">
      <c r="B88" s="76" t="s">
        <v>115</v>
      </c>
    </row>
    <row r="90" spans="1:7">
      <c r="B90" s="1140" t="str">
        <f>B73</f>
        <v>Age group</v>
      </c>
      <c r="C90" s="1160" t="str">
        <f>C73</f>
        <v>Year</v>
      </c>
      <c r="D90" s="1160"/>
      <c r="E90" s="1160"/>
      <c r="F90" s="1160"/>
    </row>
    <row r="91" spans="1:7">
      <c r="B91" s="1140"/>
      <c r="C91" s="8" t="str">
        <f>C74</f>
        <v>2011/12</v>
      </c>
      <c r="D91" s="8" t="str">
        <f>D74</f>
        <v>2012/13</v>
      </c>
      <c r="E91" s="8" t="str">
        <f>E74</f>
        <v>2013/14</v>
      </c>
      <c r="F91" s="8" t="str">
        <f>F74</f>
        <v>2014/15</v>
      </c>
    </row>
    <row r="92" spans="1:7">
      <c r="B92" s="8" t="str">
        <f t="shared" ref="B92:B102" si="2">B75</f>
        <v>20-24</v>
      </c>
      <c r="C92" s="164">
        <f t="shared" ref="C92:F102" si="3">C58/C22</f>
        <v>0</v>
      </c>
      <c r="D92" s="164">
        <f t="shared" si="3"/>
        <v>0</v>
      </c>
      <c r="E92" s="164">
        <f t="shared" si="3"/>
        <v>0</v>
      </c>
      <c r="F92" s="164">
        <f t="shared" si="3"/>
        <v>0</v>
      </c>
    </row>
    <row r="93" spans="1:7">
      <c r="B93" s="8" t="str">
        <f t="shared" si="2"/>
        <v>25-29</v>
      </c>
      <c r="C93" s="164">
        <f t="shared" si="3"/>
        <v>0</v>
      </c>
      <c r="D93" s="164">
        <f t="shared" si="3"/>
        <v>0</v>
      </c>
      <c r="E93" s="164">
        <f t="shared" si="3"/>
        <v>0</v>
      </c>
      <c r="F93" s="164">
        <f t="shared" si="3"/>
        <v>0</v>
      </c>
    </row>
    <row r="94" spans="1:7">
      <c r="B94" s="8" t="str">
        <f t="shared" si="2"/>
        <v>30-34</v>
      </c>
      <c r="C94" s="164">
        <f t="shared" si="3"/>
        <v>0</v>
      </c>
      <c r="D94" s="164">
        <f t="shared" si="3"/>
        <v>0</v>
      </c>
      <c r="E94" s="164">
        <f t="shared" si="3"/>
        <v>0</v>
      </c>
      <c r="F94" s="164">
        <f t="shared" si="3"/>
        <v>0</v>
      </c>
    </row>
    <row r="95" spans="1:7">
      <c r="B95" s="8" t="str">
        <f t="shared" si="2"/>
        <v>35-39</v>
      </c>
      <c r="C95" s="164">
        <f t="shared" si="3"/>
        <v>0</v>
      </c>
      <c r="D95" s="164">
        <f t="shared" si="3"/>
        <v>0</v>
      </c>
      <c r="E95" s="164">
        <f t="shared" si="3"/>
        <v>0</v>
      </c>
      <c r="F95" s="164">
        <f t="shared" si="3"/>
        <v>0</v>
      </c>
    </row>
    <row r="96" spans="1:7">
      <c r="B96" s="8" t="str">
        <f t="shared" si="2"/>
        <v>40-44</v>
      </c>
      <c r="C96" s="164">
        <f t="shared" si="3"/>
        <v>0</v>
      </c>
      <c r="D96" s="164">
        <f t="shared" si="3"/>
        <v>0</v>
      </c>
      <c r="E96" s="164">
        <f t="shared" si="3"/>
        <v>0</v>
      </c>
      <c r="F96" s="164">
        <f t="shared" si="3"/>
        <v>0</v>
      </c>
    </row>
    <row r="97" spans="2:6">
      <c r="B97" s="8" t="str">
        <f t="shared" si="2"/>
        <v>45-49</v>
      </c>
      <c r="C97" s="164">
        <f t="shared" si="3"/>
        <v>1.4987474967169936E-3</v>
      </c>
      <c r="D97" s="164">
        <f t="shared" si="3"/>
        <v>2.3203740442959407E-3</v>
      </c>
      <c r="E97" s="164">
        <f t="shared" si="3"/>
        <v>2.5671516967018661E-3</v>
      </c>
      <c r="F97" s="164">
        <f t="shared" si="3"/>
        <v>1.4009565731481456E-3</v>
      </c>
    </row>
    <row r="98" spans="2:6">
      <c r="B98" s="8" t="str">
        <f t="shared" si="2"/>
        <v>50-54</v>
      </c>
      <c r="C98" s="164">
        <f t="shared" si="3"/>
        <v>3.3700756766884311E-2</v>
      </c>
      <c r="D98" s="164">
        <f t="shared" si="3"/>
        <v>2.5842844326007083E-2</v>
      </c>
      <c r="E98" s="164">
        <f t="shared" si="3"/>
        <v>2.022836200997247E-2</v>
      </c>
      <c r="F98" s="164">
        <f t="shared" si="3"/>
        <v>1.8426702536110461E-2</v>
      </c>
    </row>
    <row r="99" spans="2:6">
      <c r="B99" s="8" t="str">
        <f t="shared" si="2"/>
        <v>55-59</v>
      </c>
      <c r="C99" s="164">
        <f t="shared" si="3"/>
        <v>0.22344037303520722</v>
      </c>
      <c r="D99" s="164">
        <f t="shared" si="3"/>
        <v>0.2036276419717426</v>
      </c>
      <c r="E99" s="164">
        <f t="shared" si="3"/>
        <v>0.21884112170051132</v>
      </c>
      <c r="F99" s="164">
        <f t="shared" si="3"/>
        <v>0.18440473088409901</v>
      </c>
    </row>
    <row r="100" spans="2:6">
      <c r="B100" s="8" t="str">
        <f t="shared" si="2"/>
        <v>60-64</v>
      </c>
      <c r="C100" s="164">
        <f t="shared" si="3"/>
        <v>0.31297644127424207</v>
      </c>
      <c r="D100" s="164">
        <f t="shared" si="3"/>
        <v>0.34238529808488477</v>
      </c>
      <c r="E100" s="164">
        <f t="shared" si="3"/>
        <v>0.36622019667292888</v>
      </c>
      <c r="F100" s="164">
        <f t="shared" si="3"/>
        <v>0.35155755028228791</v>
      </c>
    </row>
    <row r="101" spans="2:6">
      <c r="B101" s="8" t="str">
        <f t="shared" si="2"/>
        <v>65 plus</v>
      </c>
      <c r="C101" s="164">
        <f t="shared" si="3"/>
        <v>0.22866373140017404</v>
      </c>
      <c r="D101" s="164">
        <f t="shared" si="3"/>
        <v>0.41308416798411035</v>
      </c>
      <c r="E101" s="164">
        <f t="shared" si="3"/>
        <v>0.36251457068582915</v>
      </c>
      <c r="F101" s="164">
        <f t="shared" si="3"/>
        <v>0.15201824027742697</v>
      </c>
    </row>
    <row r="102" spans="2:6">
      <c r="B102" s="8" t="str">
        <f t="shared" si="2"/>
        <v>Total</v>
      </c>
      <c r="C102" s="164">
        <f t="shared" si="3"/>
        <v>3.150568101949533E-2</v>
      </c>
      <c r="D102" s="164">
        <f t="shared" si="3"/>
        <v>2.8321984543431575E-2</v>
      </c>
      <c r="E102" s="164">
        <f t="shared" si="3"/>
        <v>2.6236409615940683E-2</v>
      </c>
      <c r="F102" s="164">
        <f t="shared" si="3"/>
        <v>1.9282629058593532E-2</v>
      </c>
    </row>
    <row r="104" spans="2:6">
      <c r="B104" s="76" t="s">
        <v>116</v>
      </c>
    </row>
    <row r="106" spans="2:6">
      <c r="B106" s="1140" t="str">
        <f>B90</f>
        <v>Age group</v>
      </c>
      <c r="C106" s="1160" t="str">
        <f>C90</f>
        <v>Year</v>
      </c>
      <c r="D106" s="1160"/>
      <c r="E106" s="1160"/>
      <c r="F106" s="1160"/>
    </row>
    <row r="107" spans="2:6">
      <c r="B107" s="1140"/>
      <c r="C107" s="8" t="str">
        <f>C91</f>
        <v>2011/12</v>
      </c>
      <c r="D107" s="8" t="str">
        <f>D91</f>
        <v>2012/13</v>
      </c>
      <c r="E107" s="8" t="str">
        <f>E91</f>
        <v>2013/14</v>
      </c>
      <c r="F107" s="8" t="str">
        <f>F91</f>
        <v>2014/15</v>
      </c>
    </row>
    <row r="108" spans="2:6">
      <c r="B108" s="8" t="str">
        <f>B92</f>
        <v>20-24</v>
      </c>
      <c r="C108" s="164">
        <f t="shared" ref="C108:F118" si="4">C75/C39</f>
        <v>0</v>
      </c>
      <c r="D108" s="164">
        <f t="shared" si="4"/>
        <v>0</v>
      </c>
      <c r="E108" s="164">
        <f t="shared" si="4"/>
        <v>0</v>
      </c>
      <c r="F108" s="164">
        <f t="shared" si="4"/>
        <v>0</v>
      </c>
    </row>
    <row r="109" spans="2:6">
      <c r="B109" s="8" t="str">
        <f t="shared" ref="B109:B118" si="5">B93</f>
        <v>25-29</v>
      </c>
      <c r="C109" s="164">
        <f t="shared" si="4"/>
        <v>0</v>
      </c>
      <c r="D109" s="164">
        <f t="shared" si="4"/>
        <v>0</v>
      </c>
      <c r="E109" s="164">
        <f t="shared" si="4"/>
        <v>0</v>
      </c>
      <c r="F109" s="164">
        <f t="shared" si="4"/>
        <v>0</v>
      </c>
    </row>
    <row r="110" spans="2:6">
      <c r="B110" s="8" t="str">
        <f t="shared" si="5"/>
        <v>30-34</v>
      </c>
      <c r="C110" s="164">
        <f t="shared" si="4"/>
        <v>1.9028844525111239E-4</v>
      </c>
      <c r="D110" s="164">
        <f t="shared" si="4"/>
        <v>0</v>
      </c>
      <c r="E110" s="164">
        <f t="shared" si="4"/>
        <v>1.8167466983959459E-4</v>
      </c>
      <c r="F110" s="164">
        <f t="shared" si="4"/>
        <v>1.7422554193305401E-4</v>
      </c>
    </row>
    <row r="111" spans="2:6">
      <c r="B111" s="8" t="str">
        <f t="shared" si="5"/>
        <v>35-39</v>
      </c>
      <c r="C111" s="164">
        <f t="shared" si="4"/>
        <v>2.8944275287265603E-4</v>
      </c>
      <c r="D111" s="164">
        <f t="shared" si="4"/>
        <v>2.4247742400589092E-4</v>
      </c>
      <c r="E111" s="164">
        <f t="shared" si="4"/>
        <v>2.4263644322426815E-4</v>
      </c>
      <c r="F111" s="164">
        <f t="shared" si="4"/>
        <v>2.6819679429154525E-4</v>
      </c>
    </row>
    <row r="112" spans="2:6">
      <c r="B112" s="8" t="str">
        <f t="shared" si="5"/>
        <v>40-44</v>
      </c>
      <c r="C112" s="164">
        <f t="shared" si="4"/>
        <v>7.5757562521134789E-4</v>
      </c>
      <c r="D112" s="164">
        <f t="shared" si="4"/>
        <v>5.4065291740064186E-4</v>
      </c>
      <c r="E112" s="164">
        <f t="shared" si="4"/>
        <v>6.8585303375628525E-4</v>
      </c>
      <c r="F112" s="164">
        <f t="shared" si="4"/>
        <v>5.3146730998368237E-4</v>
      </c>
    </row>
    <row r="113" spans="2:7">
      <c r="B113" s="8" t="str">
        <f t="shared" si="5"/>
        <v>45-49</v>
      </c>
      <c r="C113" s="164">
        <f t="shared" si="4"/>
        <v>9.2103189145756608E-4</v>
      </c>
      <c r="D113" s="164">
        <f t="shared" si="4"/>
        <v>8.9575651130268654E-4</v>
      </c>
      <c r="E113" s="164">
        <f t="shared" si="4"/>
        <v>9.6435481817568676E-4</v>
      </c>
      <c r="F113" s="164">
        <f t="shared" si="4"/>
        <v>7.0557002364404449E-4</v>
      </c>
    </row>
    <row r="114" spans="2:7">
      <c r="B114" s="8" t="str">
        <f t="shared" si="5"/>
        <v>50-54</v>
      </c>
      <c r="C114" s="164">
        <f t="shared" si="4"/>
        <v>2.3581569595602633E-2</v>
      </c>
      <c r="D114" s="164">
        <f t="shared" si="4"/>
        <v>2.0649622910230064E-2</v>
      </c>
      <c r="E114" s="164">
        <f t="shared" si="4"/>
        <v>1.8355006569740751E-2</v>
      </c>
      <c r="F114" s="164">
        <f t="shared" si="4"/>
        <v>1.3099053803497636E-2</v>
      </c>
    </row>
    <row r="115" spans="2:7">
      <c r="B115" s="8" t="str">
        <f t="shared" si="5"/>
        <v>55-59</v>
      </c>
      <c r="C115" s="164">
        <f t="shared" si="4"/>
        <v>0.18466287046319607</v>
      </c>
      <c r="D115" s="164">
        <f t="shared" si="4"/>
        <v>0.17127052338145368</v>
      </c>
      <c r="E115" s="164">
        <f t="shared" si="4"/>
        <v>0.17123845897459541</v>
      </c>
      <c r="F115" s="164">
        <f t="shared" si="4"/>
        <v>0.15593662213807177</v>
      </c>
    </row>
    <row r="116" spans="2:7">
      <c r="B116" s="8" t="str">
        <f t="shared" si="5"/>
        <v>60-64</v>
      </c>
      <c r="C116" s="164">
        <f t="shared" si="4"/>
        <v>0.32913889173684746</v>
      </c>
      <c r="D116" s="164">
        <f t="shared" si="4"/>
        <v>0.34023502783585491</v>
      </c>
      <c r="E116" s="164">
        <f t="shared" si="4"/>
        <v>0.34876460941376974</v>
      </c>
      <c r="F116" s="164">
        <f t="shared" si="4"/>
        <v>0.31166587890488995</v>
      </c>
    </row>
    <row r="117" spans="2:7">
      <c r="B117" s="8" t="str">
        <f t="shared" si="5"/>
        <v>65 plus</v>
      </c>
      <c r="C117" s="164">
        <f t="shared" si="4"/>
        <v>0.3048742901131189</v>
      </c>
      <c r="D117" s="164">
        <f t="shared" si="4"/>
        <v>0.32383907915498722</v>
      </c>
      <c r="E117" s="164">
        <f t="shared" si="4"/>
        <v>0.34712240842926584</v>
      </c>
      <c r="F117" s="164">
        <f t="shared" si="4"/>
        <v>0.25697075300007488</v>
      </c>
    </row>
    <row r="118" spans="2:7">
      <c r="B118" s="8" t="str">
        <f t="shared" si="5"/>
        <v>Total</v>
      </c>
      <c r="C118" s="164">
        <f t="shared" si="4"/>
        <v>2.9967429824880019E-2</v>
      </c>
      <c r="D118" s="164">
        <f t="shared" si="4"/>
        <v>2.7165126097219029E-2</v>
      </c>
      <c r="E118" s="164">
        <f t="shared" si="4"/>
        <v>2.560712852689739E-2</v>
      </c>
      <c r="F118" s="164">
        <f t="shared" si="4"/>
        <v>2.0857409820959308E-2</v>
      </c>
    </row>
    <row r="120" spans="2:7">
      <c r="B120" s="76" t="s">
        <v>117</v>
      </c>
    </row>
    <row r="122" spans="2:7">
      <c r="B122" s="1140" t="str">
        <f>B106</f>
        <v>Age group</v>
      </c>
      <c r="C122" s="1183" t="str">
        <f>C107</f>
        <v>2011/12</v>
      </c>
      <c r="D122" s="1183" t="str">
        <f>D107</f>
        <v>2012/13</v>
      </c>
      <c r="E122" s="1183" t="str">
        <f>E107</f>
        <v>2013/14</v>
      </c>
      <c r="F122" s="1183" t="str">
        <f>F107</f>
        <v>2014/15</v>
      </c>
      <c r="G122" s="1209" t="s">
        <v>8</v>
      </c>
    </row>
    <row r="123" spans="2:7">
      <c r="B123" s="1140"/>
      <c r="C123" s="1184"/>
      <c r="D123" s="1184"/>
      <c r="E123" s="1184"/>
      <c r="F123" s="1184"/>
      <c r="G123" s="1210"/>
    </row>
    <row r="124" spans="2:7">
      <c r="B124" s="141" t="str">
        <f>B108</f>
        <v>20-24</v>
      </c>
      <c r="C124" s="954">
        <f>C92*H$14</f>
        <v>0</v>
      </c>
      <c r="D124" s="954">
        <f t="shared" ref="D124:F134" si="6">D92*I$14</f>
        <v>0</v>
      </c>
      <c r="E124" s="954">
        <f t="shared" si="6"/>
        <v>0</v>
      </c>
      <c r="F124" s="954">
        <f t="shared" si="6"/>
        <v>0</v>
      </c>
      <c r="G124" s="952">
        <f>SUM(C124:F124)</f>
        <v>0</v>
      </c>
    </row>
    <row r="125" spans="2:7">
      <c r="B125" s="141" t="str">
        <f t="shared" ref="B125:B132" si="7">B109</f>
        <v>25-29</v>
      </c>
      <c r="C125" s="954">
        <f t="shared" ref="C125:C134" si="8">C93*H$14</f>
        <v>0</v>
      </c>
      <c r="D125" s="954">
        <f t="shared" si="6"/>
        <v>0</v>
      </c>
      <c r="E125" s="954">
        <f t="shared" si="6"/>
        <v>0</v>
      </c>
      <c r="F125" s="954">
        <f t="shared" si="6"/>
        <v>0</v>
      </c>
      <c r="G125" s="952">
        <f t="shared" ref="G125:G134" si="9">SUM(C125:F125)</f>
        <v>0</v>
      </c>
    </row>
    <row r="126" spans="2:7">
      <c r="B126" s="141" t="str">
        <f t="shared" si="7"/>
        <v>30-34</v>
      </c>
      <c r="C126" s="954">
        <f t="shared" si="8"/>
        <v>0</v>
      </c>
      <c r="D126" s="954">
        <f t="shared" si="6"/>
        <v>0</v>
      </c>
      <c r="E126" s="954">
        <f t="shared" si="6"/>
        <v>0</v>
      </c>
      <c r="F126" s="954">
        <f t="shared" si="6"/>
        <v>0</v>
      </c>
      <c r="G126" s="952">
        <f t="shared" si="9"/>
        <v>0</v>
      </c>
    </row>
    <row r="127" spans="2:7">
      <c r="B127" s="141" t="str">
        <f t="shared" si="7"/>
        <v>35-39</v>
      </c>
      <c r="C127" s="954">
        <f t="shared" si="8"/>
        <v>0</v>
      </c>
      <c r="D127" s="954">
        <f t="shared" si="6"/>
        <v>0</v>
      </c>
      <c r="E127" s="954">
        <f t="shared" si="6"/>
        <v>0</v>
      </c>
      <c r="F127" s="954">
        <f t="shared" si="6"/>
        <v>0</v>
      </c>
      <c r="G127" s="952">
        <f t="shared" si="9"/>
        <v>0</v>
      </c>
    </row>
    <row r="128" spans="2:7">
      <c r="B128" s="141" t="str">
        <f t="shared" si="7"/>
        <v>40-44</v>
      </c>
      <c r="C128" s="954">
        <f t="shared" si="8"/>
        <v>0</v>
      </c>
      <c r="D128" s="954">
        <f t="shared" si="6"/>
        <v>0</v>
      </c>
      <c r="E128" s="954">
        <f t="shared" si="6"/>
        <v>0</v>
      </c>
      <c r="F128" s="954">
        <f t="shared" si="6"/>
        <v>0</v>
      </c>
      <c r="G128" s="952">
        <f t="shared" si="9"/>
        <v>0</v>
      </c>
    </row>
    <row r="129" spans="2:8">
      <c r="B129" s="141" t="str">
        <f t="shared" si="7"/>
        <v>45-49</v>
      </c>
      <c r="C129" s="954">
        <f t="shared" si="8"/>
        <v>1.4987474967169937E-4</v>
      </c>
      <c r="D129" s="954">
        <f t="shared" si="6"/>
        <v>4.6407480885918815E-4</v>
      </c>
      <c r="E129" s="954">
        <f t="shared" si="6"/>
        <v>7.701455090105598E-4</v>
      </c>
      <c r="F129" s="954">
        <f t="shared" si="6"/>
        <v>5.603826292592582E-4</v>
      </c>
      <c r="G129" s="952">
        <f t="shared" si="9"/>
        <v>1.9444776968007057E-3</v>
      </c>
    </row>
    <row r="130" spans="2:8">
      <c r="B130" s="141" t="str">
        <f t="shared" si="7"/>
        <v>50-54</v>
      </c>
      <c r="C130" s="954">
        <f t="shared" si="8"/>
        <v>3.3700756766884311E-3</v>
      </c>
      <c r="D130" s="954">
        <f t="shared" si="6"/>
        <v>5.1685688652014167E-3</v>
      </c>
      <c r="E130" s="954">
        <f t="shared" si="6"/>
        <v>6.068508602991741E-3</v>
      </c>
      <c r="F130" s="954">
        <f t="shared" si="6"/>
        <v>7.370681014444185E-3</v>
      </c>
      <c r="G130" s="952">
        <f t="shared" si="9"/>
        <v>2.1977834159325773E-2</v>
      </c>
    </row>
    <row r="131" spans="2:8">
      <c r="B131" s="141" t="str">
        <f t="shared" si="7"/>
        <v>55-59</v>
      </c>
      <c r="C131" s="954">
        <f t="shared" si="8"/>
        <v>2.2344037303520723E-2</v>
      </c>
      <c r="D131" s="954">
        <f t="shared" si="6"/>
        <v>4.0725528394348523E-2</v>
      </c>
      <c r="E131" s="954">
        <f t="shared" si="6"/>
        <v>6.5652336510153397E-2</v>
      </c>
      <c r="F131" s="954">
        <f t="shared" si="6"/>
        <v>7.3761892353639599E-2</v>
      </c>
      <c r="G131" s="952">
        <f t="shared" si="9"/>
        <v>0.20248379456166227</v>
      </c>
    </row>
    <row r="132" spans="2:8">
      <c r="B132" s="141" t="str">
        <f t="shared" si="7"/>
        <v>60-64</v>
      </c>
      <c r="C132" s="954">
        <f t="shared" si="8"/>
        <v>3.129764412742421E-2</v>
      </c>
      <c r="D132" s="954">
        <f t="shared" si="6"/>
        <v>6.8477059616976962E-2</v>
      </c>
      <c r="E132" s="954">
        <f t="shared" si="6"/>
        <v>0.10986605900187867</v>
      </c>
      <c r="F132" s="954">
        <f t="shared" si="6"/>
        <v>0.14062302011291516</v>
      </c>
      <c r="G132" s="952">
        <f t="shared" si="9"/>
        <v>0.35026378285919502</v>
      </c>
    </row>
    <row r="133" spans="2:8">
      <c r="B133" s="141" t="str">
        <f>B117</f>
        <v>65 plus</v>
      </c>
      <c r="C133" s="954">
        <f t="shared" si="8"/>
        <v>2.2866373140017406E-2</v>
      </c>
      <c r="D133" s="954">
        <f t="shared" si="6"/>
        <v>8.2616833596822079E-2</v>
      </c>
      <c r="E133" s="954">
        <f t="shared" si="6"/>
        <v>0.10875437120574874</v>
      </c>
      <c r="F133" s="954">
        <f t="shared" si="6"/>
        <v>6.0807296110970792E-2</v>
      </c>
      <c r="G133" s="952">
        <f t="shared" si="9"/>
        <v>0.27504487405355904</v>
      </c>
    </row>
    <row r="134" spans="2:8">
      <c r="B134" s="141" t="str">
        <f>B118</f>
        <v>Total</v>
      </c>
      <c r="C134" s="954">
        <f t="shared" si="8"/>
        <v>3.1505681019495333E-3</v>
      </c>
      <c r="D134" s="954">
        <f t="shared" si="6"/>
        <v>5.6643969086863158E-3</v>
      </c>
      <c r="E134" s="954">
        <f t="shared" si="6"/>
        <v>7.8709228847822048E-3</v>
      </c>
      <c r="F134" s="954">
        <f t="shared" si="6"/>
        <v>7.7130516234374131E-3</v>
      </c>
      <c r="G134" s="952">
        <f t="shared" si="9"/>
        <v>2.4398939518855467E-2</v>
      </c>
    </row>
    <row r="136" spans="2:8">
      <c r="B136" s="76" t="s">
        <v>118</v>
      </c>
    </row>
    <row r="138" spans="2:8">
      <c r="B138" s="1140" t="str">
        <f>B122</f>
        <v>Age group</v>
      </c>
      <c r="C138" s="1183" t="str">
        <f>C122</f>
        <v>2011/12</v>
      </c>
      <c r="D138" s="1183" t="str">
        <f>D122</f>
        <v>2012/13</v>
      </c>
      <c r="E138" s="1183" t="str">
        <f>E122</f>
        <v>2013/14</v>
      </c>
      <c r="F138" s="1183" t="str">
        <f>F122</f>
        <v>2014/15</v>
      </c>
      <c r="G138" s="1209" t="s">
        <v>8</v>
      </c>
    </row>
    <row r="139" spans="2:8">
      <c r="B139" s="1140"/>
      <c r="C139" s="1184"/>
      <c r="D139" s="1184"/>
      <c r="E139" s="1184"/>
      <c r="F139" s="1184"/>
      <c r="G139" s="1210"/>
    </row>
    <row r="140" spans="2:8">
      <c r="B140" s="141" t="str">
        <f>B124</f>
        <v>20-24</v>
      </c>
      <c r="C140" s="954">
        <f>C108*H$14</f>
        <v>0</v>
      </c>
      <c r="D140" s="954">
        <f t="shared" ref="D140:F150" si="10">D108*I$14</f>
        <v>0</v>
      </c>
      <c r="E140" s="954">
        <f t="shared" si="10"/>
        <v>0</v>
      </c>
      <c r="F140" s="954">
        <f t="shared" si="10"/>
        <v>0</v>
      </c>
      <c r="G140" s="952">
        <f>SUM(C140:F140)</f>
        <v>0</v>
      </c>
      <c r="H140" s="5"/>
    </row>
    <row r="141" spans="2:8">
      <c r="B141" s="141" t="str">
        <f t="shared" ref="B141:B148" si="11">B125</f>
        <v>25-29</v>
      </c>
      <c r="C141" s="954">
        <f t="shared" ref="C141:C150" si="12">C109*H$14</f>
        <v>0</v>
      </c>
      <c r="D141" s="954">
        <f t="shared" si="10"/>
        <v>0</v>
      </c>
      <c r="E141" s="954">
        <f t="shared" si="10"/>
        <v>0</v>
      </c>
      <c r="F141" s="954">
        <f t="shared" si="10"/>
        <v>0</v>
      </c>
      <c r="G141" s="952">
        <f t="shared" ref="G141:G150" si="13">SUM(C141:F141)</f>
        <v>0</v>
      </c>
      <c r="H141" s="5"/>
    </row>
    <row r="142" spans="2:8">
      <c r="B142" s="141" t="str">
        <f t="shared" si="11"/>
        <v>30-34</v>
      </c>
      <c r="C142" s="954">
        <f t="shared" si="12"/>
        <v>1.9028844525111242E-5</v>
      </c>
      <c r="D142" s="954">
        <f t="shared" si="10"/>
        <v>0</v>
      </c>
      <c r="E142" s="954">
        <f t="shared" si="10"/>
        <v>5.4502400951878376E-5</v>
      </c>
      <c r="F142" s="954">
        <f t="shared" si="10"/>
        <v>6.9690216773221611E-5</v>
      </c>
      <c r="G142" s="952">
        <f t="shared" si="13"/>
        <v>1.4322146225021122E-4</v>
      </c>
      <c r="H142" s="5"/>
    </row>
    <row r="143" spans="2:8">
      <c r="B143" s="141" t="str">
        <f t="shared" si="11"/>
        <v>35-39</v>
      </c>
      <c r="C143" s="954">
        <f t="shared" si="12"/>
        <v>2.8944275287265605E-5</v>
      </c>
      <c r="D143" s="954">
        <f t="shared" si="10"/>
        <v>4.8495484801178188E-5</v>
      </c>
      <c r="E143" s="954">
        <f t="shared" si="10"/>
        <v>7.2790932967280444E-5</v>
      </c>
      <c r="F143" s="954">
        <f t="shared" si="10"/>
        <v>1.0727871771661811E-4</v>
      </c>
      <c r="G143" s="952">
        <f t="shared" si="13"/>
        <v>2.5750941077234236E-4</v>
      </c>
      <c r="H143" s="5"/>
    </row>
    <row r="144" spans="2:8">
      <c r="B144" s="141" t="str">
        <f t="shared" si="11"/>
        <v>40-44</v>
      </c>
      <c r="C144" s="954">
        <f t="shared" si="12"/>
        <v>7.5757562521134789E-5</v>
      </c>
      <c r="D144" s="954">
        <f t="shared" si="10"/>
        <v>1.0813058348012837E-4</v>
      </c>
      <c r="E144" s="954">
        <f t="shared" si="10"/>
        <v>2.0575591012688557E-4</v>
      </c>
      <c r="F144" s="954">
        <f t="shared" si="10"/>
        <v>2.1258692399347295E-4</v>
      </c>
      <c r="G144" s="952">
        <f t="shared" si="13"/>
        <v>6.0223098012162171E-4</v>
      </c>
      <c r="H144" s="5"/>
    </row>
    <row r="145" spans="2:8">
      <c r="B145" s="141" t="str">
        <f t="shared" si="11"/>
        <v>45-49</v>
      </c>
      <c r="C145" s="954">
        <f t="shared" si="12"/>
        <v>9.2103189145756616E-5</v>
      </c>
      <c r="D145" s="954">
        <f t="shared" si="10"/>
        <v>1.7915130226053733E-4</v>
      </c>
      <c r="E145" s="954">
        <f t="shared" si="10"/>
        <v>2.89306445452706E-4</v>
      </c>
      <c r="F145" s="954">
        <f t="shared" si="10"/>
        <v>2.8222800945761783E-4</v>
      </c>
      <c r="G145" s="952">
        <f t="shared" si="13"/>
        <v>8.4278894631661786E-4</v>
      </c>
      <c r="H145" s="5"/>
    </row>
    <row r="146" spans="2:8">
      <c r="B146" s="141" t="str">
        <f t="shared" si="11"/>
        <v>50-54</v>
      </c>
      <c r="C146" s="954">
        <f t="shared" si="12"/>
        <v>2.3581569595602634E-3</v>
      </c>
      <c r="D146" s="954">
        <f t="shared" si="10"/>
        <v>4.129924582046013E-3</v>
      </c>
      <c r="E146" s="954">
        <f t="shared" si="10"/>
        <v>5.506501970922225E-3</v>
      </c>
      <c r="F146" s="954">
        <f t="shared" si="10"/>
        <v>5.2396215213990549E-3</v>
      </c>
      <c r="G146" s="952">
        <f t="shared" si="13"/>
        <v>1.7234205033927558E-2</v>
      </c>
      <c r="H146" s="5"/>
    </row>
    <row r="147" spans="2:8">
      <c r="B147" s="141" t="str">
        <f t="shared" si="11"/>
        <v>55-59</v>
      </c>
      <c r="C147" s="954">
        <f t="shared" si="12"/>
        <v>1.8466287046319609E-2</v>
      </c>
      <c r="D147" s="954">
        <f t="shared" si="10"/>
        <v>3.4254104676290739E-2</v>
      </c>
      <c r="E147" s="954">
        <f t="shared" si="10"/>
        <v>5.1371537692378622E-2</v>
      </c>
      <c r="F147" s="954">
        <f t="shared" si="10"/>
        <v>6.2374648855228712E-2</v>
      </c>
      <c r="G147" s="952">
        <f t="shared" si="13"/>
        <v>0.16646657827021769</v>
      </c>
      <c r="H147" s="5"/>
    </row>
    <row r="148" spans="2:8">
      <c r="B148" s="141" t="str">
        <f t="shared" si="11"/>
        <v>60-64</v>
      </c>
      <c r="C148" s="954">
        <f t="shared" si="12"/>
        <v>3.2913889173684749E-2</v>
      </c>
      <c r="D148" s="954">
        <f t="shared" si="10"/>
        <v>6.8047005567170984E-2</v>
      </c>
      <c r="E148" s="954">
        <f t="shared" si="10"/>
        <v>0.10462938282413092</v>
      </c>
      <c r="F148" s="954">
        <f t="shared" si="10"/>
        <v>0.12466635156195599</v>
      </c>
      <c r="G148" s="952">
        <f t="shared" si="13"/>
        <v>0.33025662912694265</v>
      </c>
      <c r="H148" s="5"/>
    </row>
    <row r="149" spans="2:8">
      <c r="B149" s="141" t="str">
        <f>B133</f>
        <v>65 plus</v>
      </c>
      <c r="C149" s="954">
        <f t="shared" si="12"/>
        <v>3.0487429011311892E-2</v>
      </c>
      <c r="D149" s="954">
        <f t="shared" si="10"/>
        <v>6.4767815830997444E-2</v>
      </c>
      <c r="E149" s="954">
        <f t="shared" si="10"/>
        <v>0.10413672252877974</v>
      </c>
      <c r="F149" s="954">
        <f t="shared" si="10"/>
        <v>0.10278830120002996</v>
      </c>
      <c r="G149" s="952">
        <f t="shared" si="13"/>
        <v>0.30218026857111902</v>
      </c>
      <c r="H149" s="5"/>
    </row>
    <row r="150" spans="2:8">
      <c r="B150" s="141" t="str">
        <f>B134</f>
        <v>Total</v>
      </c>
      <c r="C150" s="954">
        <f t="shared" si="12"/>
        <v>2.9967429824880021E-3</v>
      </c>
      <c r="D150" s="954">
        <f t="shared" si="10"/>
        <v>5.4330252194438062E-3</v>
      </c>
      <c r="E150" s="954">
        <f t="shared" si="10"/>
        <v>7.6821385580692165E-3</v>
      </c>
      <c r="F150" s="954">
        <f t="shared" si="10"/>
        <v>8.3429639283837242E-3</v>
      </c>
      <c r="G150" s="952">
        <f t="shared" si="13"/>
        <v>2.4454870688384749E-2</v>
      </c>
      <c r="H150" s="5"/>
    </row>
  </sheetData>
  <mergeCells count="25">
    <mergeCell ref="G122:G123"/>
    <mergeCell ref="B138:B139"/>
    <mergeCell ref="C138:C139"/>
    <mergeCell ref="D138:D139"/>
    <mergeCell ref="E138:E139"/>
    <mergeCell ref="F138:F139"/>
    <mergeCell ref="G138:G139"/>
    <mergeCell ref="B106:B107"/>
    <mergeCell ref="C106:F106"/>
    <mergeCell ref="B122:B123"/>
    <mergeCell ref="C122:C123"/>
    <mergeCell ref="D122:D123"/>
    <mergeCell ref="E122:E123"/>
    <mergeCell ref="F122:F123"/>
    <mergeCell ref="B56:B57"/>
    <mergeCell ref="C56:F56"/>
    <mergeCell ref="B73:B74"/>
    <mergeCell ref="C73:F73"/>
    <mergeCell ref="B90:B91"/>
    <mergeCell ref="C90:F90"/>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T150"/>
  <sheetViews>
    <sheetView showGridLines="0" workbookViewId="0"/>
  </sheetViews>
  <sheetFormatPr defaultRowHeight="12.75"/>
  <cols>
    <col min="2" max="6" width="12.7109375" customWidth="1"/>
  </cols>
  <sheetData>
    <row r="1" spans="1:20" s="66" customFormat="1" ht="15">
      <c r="A1" s="65" t="str">
        <f>ModelBanner</f>
        <v>TSM_201718 for publication</v>
      </c>
    </row>
    <row r="2" spans="1:20" s="66" customFormat="1" ht="15">
      <c r="A2" s="1003" t="s">
        <v>13</v>
      </c>
      <c r="B2" s="1003" t="s">
        <v>30</v>
      </c>
    </row>
    <row r="3" spans="1:20" s="66" customFormat="1" ht="15">
      <c r="A3" s="67"/>
    </row>
    <row r="4" spans="1:20" s="57" customFormat="1">
      <c r="A4" s="58" t="s">
        <v>26</v>
      </c>
      <c r="B4" s="58"/>
      <c r="C4" s="58"/>
      <c r="D4" s="292"/>
      <c r="E4" s="58"/>
      <c r="F4" s="58"/>
      <c r="G4" s="58"/>
      <c r="H4" s="58"/>
      <c r="I4" s="58"/>
      <c r="J4" s="58"/>
      <c r="K4" s="58"/>
      <c r="L4" s="58"/>
      <c r="M4" s="58"/>
      <c r="N4" s="58"/>
    </row>
    <row r="5" spans="1:20" s="47" customFormat="1" ht="45" customHeight="1">
      <c r="A5" s="1199" t="s">
        <v>1475</v>
      </c>
      <c r="B5" s="1199"/>
      <c r="C5" s="1199"/>
      <c r="D5" s="1199"/>
      <c r="E5" s="1199"/>
      <c r="F5" s="1199"/>
      <c r="G5" s="1199"/>
      <c r="H5" s="1199"/>
      <c r="I5" s="1199"/>
      <c r="J5" s="1199"/>
      <c r="K5" s="1199"/>
      <c r="L5" s="1199"/>
      <c r="M5" s="1199"/>
      <c r="N5" s="1199"/>
      <c r="O5" s="1199"/>
      <c r="P5" s="1199"/>
      <c r="Q5" s="1199"/>
      <c r="R5" s="1199"/>
      <c r="S5" s="1199"/>
      <c r="T5" s="1199"/>
    </row>
    <row r="6" spans="1:20" s="46" customFormat="1">
      <c r="A6" s="56" t="s">
        <v>1420</v>
      </c>
      <c r="B6" s="61"/>
      <c r="C6" s="61"/>
      <c r="D6" s="292"/>
      <c r="E6" s="61"/>
      <c r="F6" s="61"/>
      <c r="G6" s="61"/>
      <c r="H6" s="61"/>
      <c r="I6" s="61"/>
      <c r="J6" s="61"/>
      <c r="K6" s="61"/>
      <c r="L6" s="61"/>
      <c r="M6" s="61"/>
      <c r="N6" s="61"/>
      <c r="O6" s="45"/>
    </row>
    <row r="7" spans="1:20" s="46" customFormat="1">
      <c r="A7" s="54" t="s">
        <v>166</v>
      </c>
      <c r="B7" s="56"/>
      <c r="C7" s="61"/>
      <c r="D7" s="292"/>
      <c r="E7" s="61"/>
      <c r="F7" s="61"/>
      <c r="G7" s="61"/>
      <c r="H7" s="61"/>
      <c r="I7" s="61"/>
      <c r="J7" s="61"/>
      <c r="K7" s="61"/>
      <c r="L7" s="61"/>
      <c r="M7" s="61"/>
      <c r="N7" s="61"/>
      <c r="O7" s="45"/>
    </row>
    <row r="8" spans="1:20" s="46" customFormat="1">
      <c r="A8" s="56" t="s">
        <v>24</v>
      </c>
      <c r="B8" s="56"/>
      <c r="C8" s="61"/>
      <c r="D8" s="292"/>
      <c r="E8" s="61"/>
      <c r="F8" s="61"/>
      <c r="G8" s="61"/>
      <c r="H8" s="61"/>
      <c r="I8" s="61"/>
      <c r="J8" s="61"/>
      <c r="K8" s="61"/>
      <c r="L8" s="61"/>
      <c r="M8" s="61"/>
      <c r="N8" s="61"/>
      <c r="O8" s="45"/>
    </row>
    <row r="9" spans="1:20" s="46" customFormat="1">
      <c r="A9" s="54" t="s">
        <v>1474</v>
      </c>
      <c r="B9" s="61"/>
      <c r="C9" s="61"/>
      <c r="D9" s="292"/>
      <c r="E9" s="61"/>
      <c r="F9" s="61"/>
      <c r="G9" s="61"/>
      <c r="H9" s="61"/>
      <c r="I9" s="61"/>
      <c r="J9" s="61"/>
      <c r="K9" s="61"/>
      <c r="L9" s="61"/>
      <c r="M9" s="61"/>
      <c r="N9" s="61"/>
      <c r="O9" s="45"/>
    </row>
    <row r="10" spans="1:20" s="50" customFormat="1">
      <c r="A10" s="55">
        <f>SUM(A14:A2227)</f>
        <v>0</v>
      </c>
      <c r="B10" s="73"/>
      <c r="C10" s="293"/>
      <c r="D10" s="293"/>
      <c r="E10" s="293"/>
      <c r="F10" s="72"/>
      <c r="G10" s="293"/>
      <c r="H10" s="72"/>
      <c r="I10" s="294"/>
      <c r="J10" s="294"/>
      <c r="K10" s="294"/>
      <c r="L10" s="294"/>
      <c r="M10" s="294"/>
      <c r="N10" s="294"/>
      <c r="O10" s="49"/>
    </row>
    <row r="12" spans="1:20">
      <c r="H12" s="76" t="s">
        <v>110</v>
      </c>
    </row>
    <row r="14" spans="1:20">
      <c r="H14" s="5">
        <f>Calc_PRIM_retirement_rates!H14</f>
        <v>0.1</v>
      </c>
      <c r="I14" s="5">
        <f>Calc_PRIM_retirement_rates!I14</f>
        <v>0.2</v>
      </c>
      <c r="J14" s="5">
        <f>Calc_PRIM_retirement_rates!J14</f>
        <v>0.3</v>
      </c>
      <c r="K14" s="5">
        <f>Calc_PRIM_retirement_rates!K14</f>
        <v>0.4</v>
      </c>
    </row>
    <row r="16" spans="1:20" ht="18">
      <c r="B16" s="39" t="s">
        <v>1137</v>
      </c>
    </row>
    <row r="18" spans="2:6">
      <c r="B18" s="76" t="str">
        <f>RAW_DATA_INPUTS!B128</f>
        <v xml:space="preserve">MALE SECONDARY Starting Stock figures </v>
      </c>
    </row>
    <row r="20" spans="2:6">
      <c r="B20" s="1183" t="str">
        <f>RAW_DATA_INPUTS!B131</f>
        <v>Age group</v>
      </c>
      <c r="C20" s="1160" t="s">
        <v>74</v>
      </c>
      <c r="D20" s="1160"/>
      <c r="E20" s="1160"/>
      <c r="F20" s="1160"/>
    </row>
    <row r="21" spans="2:6">
      <c r="B21" s="1184"/>
      <c r="C21" s="8" t="str">
        <f>RAW_DATA_INPUTS!C131</f>
        <v>2011/12</v>
      </c>
      <c r="D21" s="8" t="str">
        <f>RAW_DATA_INPUTS!D131</f>
        <v>2012/13</v>
      </c>
      <c r="E21" s="8" t="str">
        <f>RAW_DATA_INPUTS!E131</f>
        <v>2013/14</v>
      </c>
      <c r="F21" s="8" t="str">
        <f>RAW_DATA_INPUTS!F131</f>
        <v>2014/15</v>
      </c>
    </row>
    <row r="22" spans="2:6">
      <c r="B22" s="8" t="str">
        <f>RAW_DATA_INPUTS!B132</f>
        <v>20-24</v>
      </c>
      <c r="C22" s="307">
        <f>RAW_DATA_INPUTS!C132</f>
        <v>3046.4540000000002</v>
      </c>
      <c r="D22" s="307">
        <f>RAW_DATA_INPUTS!D132</f>
        <v>2847.4160000000002</v>
      </c>
      <c r="E22" s="307">
        <f>RAW_DATA_INPUTS!E132</f>
        <v>2849.462</v>
      </c>
      <c r="F22" s="307">
        <f>RAW_DATA_INPUTS!F132</f>
        <v>2951.1770000000001</v>
      </c>
    </row>
    <row r="23" spans="2:6">
      <c r="B23" s="8" t="str">
        <f>RAW_DATA_INPUTS!B133</f>
        <v>25-29</v>
      </c>
      <c r="C23" s="307">
        <f>RAW_DATA_INPUTS!C133</f>
        <v>12693.795</v>
      </c>
      <c r="D23" s="307">
        <f>RAW_DATA_INPUTS!D133</f>
        <v>12966.096</v>
      </c>
      <c r="E23" s="307">
        <f>RAW_DATA_INPUTS!E133</f>
        <v>12529.004999999999</v>
      </c>
      <c r="F23" s="307">
        <f>RAW_DATA_INPUTS!F133</f>
        <v>11900.496999999999</v>
      </c>
    </row>
    <row r="24" spans="2:6">
      <c r="B24" s="8" t="str">
        <f>RAW_DATA_INPUTS!B134</f>
        <v>30-34</v>
      </c>
      <c r="C24" s="307">
        <f>RAW_DATA_INPUTS!C134</f>
        <v>14688.977000000001</v>
      </c>
      <c r="D24" s="307">
        <f>RAW_DATA_INPUTS!D134</f>
        <v>15165.879000000001</v>
      </c>
      <c r="E24" s="307">
        <f>RAW_DATA_INPUTS!E134</f>
        <v>15137.415999999999</v>
      </c>
      <c r="F24" s="307">
        <f>RAW_DATA_INPUTS!F134</f>
        <v>14990.661</v>
      </c>
    </row>
    <row r="25" spans="2:6">
      <c r="B25" s="8" t="str">
        <f>RAW_DATA_INPUTS!B135</f>
        <v>35-39</v>
      </c>
      <c r="C25" s="307">
        <f>RAW_DATA_INPUTS!C135</f>
        <v>13231.441000000001</v>
      </c>
      <c r="D25" s="307">
        <f>RAW_DATA_INPUTS!D135</f>
        <v>12941.513000000001</v>
      </c>
      <c r="E25" s="307">
        <f>RAW_DATA_INPUTS!E135</f>
        <v>12907.572</v>
      </c>
      <c r="F25" s="307">
        <f>RAW_DATA_INPUTS!F135</f>
        <v>13075.121999999999</v>
      </c>
    </row>
    <row r="26" spans="2:6">
      <c r="B26" s="8" t="str">
        <f>RAW_DATA_INPUTS!B136</f>
        <v>40-44</v>
      </c>
      <c r="C26" s="307">
        <f>RAW_DATA_INPUTS!C136</f>
        <v>11885.812</v>
      </c>
      <c r="D26" s="307">
        <f>RAW_DATA_INPUTS!D136</f>
        <v>12417.732</v>
      </c>
      <c r="E26" s="307">
        <f>RAW_DATA_INPUTS!E136</f>
        <v>12479.237999999999</v>
      </c>
      <c r="F26" s="307">
        <f>RAW_DATA_INPUTS!F136</f>
        <v>12168.439</v>
      </c>
    </row>
    <row r="27" spans="2:6">
      <c r="B27" s="8" t="str">
        <f>RAW_DATA_INPUTS!B137</f>
        <v>45-49</v>
      </c>
      <c r="C27" s="307">
        <f>RAW_DATA_INPUTS!C137</f>
        <v>9776.2890000000007</v>
      </c>
      <c r="D27" s="307">
        <f>RAW_DATA_INPUTS!D137</f>
        <v>9685.9500000000007</v>
      </c>
      <c r="E27" s="307">
        <f>RAW_DATA_INPUTS!E137</f>
        <v>9668.9339999999993</v>
      </c>
      <c r="F27" s="307">
        <f>RAW_DATA_INPUTS!F137</f>
        <v>9735.4269999999997</v>
      </c>
    </row>
    <row r="28" spans="2:6">
      <c r="B28" s="8" t="str">
        <f>RAW_DATA_INPUTS!B138</f>
        <v>50-54</v>
      </c>
      <c r="C28" s="307">
        <f>RAW_DATA_INPUTS!C138</f>
        <v>9477.0570000000007</v>
      </c>
      <c r="D28" s="307">
        <f>RAW_DATA_INPUTS!D138</f>
        <v>8960.25</v>
      </c>
      <c r="E28" s="307">
        <f>RAW_DATA_INPUTS!E138</f>
        <v>8700.4279999999999</v>
      </c>
      <c r="F28" s="307">
        <f>RAW_DATA_INPUTS!F138</f>
        <v>8323.4709999999995</v>
      </c>
    </row>
    <row r="29" spans="2:6">
      <c r="B29" s="8" t="str">
        <f>RAW_DATA_INPUTS!B139</f>
        <v>55-59</v>
      </c>
      <c r="C29" s="307">
        <f>RAW_DATA_INPUTS!C139</f>
        <v>7856.07</v>
      </c>
      <c r="D29" s="307">
        <f>RAW_DATA_INPUTS!D139</f>
        <v>7091.9709999999995</v>
      </c>
      <c r="E29" s="307">
        <f>RAW_DATA_INPUTS!E139</f>
        <v>6334.81</v>
      </c>
      <c r="F29" s="307">
        <f>RAW_DATA_INPUTS!F139</f>
        <v>5894.2539999999999</v>
      </c>
    </row>
    <row r="30" spans="2:6">
      <c r="B30" s="8" t="str">
        <f>RAW_DATA_INPUTS!B140</f>
        <v>60-64</v>
      </c>
      <c r="C30" s="307">
        <f>RAW_DATA_INPUTS!C140</f>
        <v>2324.6170000000002</v>
      </c>
      <c r="D30" s="307">
        <f>RAW_DATA_INPUTS!D140</f>
        <v>2180.3069999999998</v>
      </c>
      <c r="E30" s="307">
        <f>RAW_DATA_INPUTS!E140</f>
        <v>2043.1769999999999</v>
      </c>
      <c r="F30" s="307">
        <f>RAW_DATA_INPUTS!F140</f>
        <v>1931.3789999999999</v>
      </c>
    </row>
    <row r="31" spans="2:6">
      <c r="B31" s="8" t="str">
        <f>RAW_DATA_INPUTS!B141</f>
        <v>65 plus</v>
      </c>
      <c r="C31" s="307">
        <f>RAW_DATA_INPUTS!C141</f>
        <v>244.374</v>
      </c>
      <c r="D31" s="307">
        <f>RAW_DATA_INPUTS!D141</f>
        <v>334.64499999999998</v>
      </c>
      <c r="E31" s="307">
        <f>RAW_DATA_INPUTS!E141</f>
        <v>371.55399999999997</v>
      </c>
      <c r="F31" s="307">
        <f>RAW_DATA_INPUTS!F141</f>
        <v>369.15699999999998</v>
      </c>
    </row>
    <row r="32" spans="2:6">
      <c r="B32" s="8" t="str">
        <f>RAW_DATA_INPUTS!B142</f>
        <v>Total</v>
      </c>
      <c r="C32" s="307">
        <f>RAW_DATA_INPUTS!C142</f>
        <v>85224.885999999984</v>
      </c>
      <c r="D32" s="307">
        <f>RAW_DATA_INPUTS!D142</f>
        <v>84591.759000000005</v>
      </c>
      <c r="E32" s="307">
        <f>RAW_DATA_INPUTS!E142</f>
        <v>83021.59599999999</v>
      </c>
      <c r="F32" s="307">
        <f>RAW_DATA_INPUTS!F142</f>
        <v>81339.584000000003</v>
      </c>
    </row>
    <row r="33" spans="1:7">
      <c r="A33">
        <f>SUM(C33:F33)</f>
        <v>0</v>
      </c>
      <c r="C33">
        <f>SUM(C22:C31)-C32</f>
        <v>0</v>
      </c>
      <c r="D33">
        <f>SUM(D22:D31)-D32</f>
        <v>0</v>
      </c>
      <c r="E33">
        <f>SUM(E22:E31)-E32</f>
        <v>0</v>
      </c>
      <c r="F33">
        <f>SUM(F22:F31)-F32</f>
        <v>0</v>
      </c>
    </row>
    <row r="35" spans="1:7">
      <c r="B35" s="76" t="str">
        <f>RAW_DATA_INPUTS!B162</f>
        <v xml:space="preserve">FEMALE SECONDARY Starting Stock figures </v>
      </c>
    </row>
    <row r="37" spans="1:7">
      <c r="B37" s="1183" t="str">
        <f>RAW_DATA_INPUTS!B148</f>
        <v>Age group</v>
      </c>
      <c r="C37" s="1160" t="str">
        <f>C20</f>
        <v>Year</v>
      </c>
      <c r="D37" s="1160"/>
      <c r="E37" s="1160"/>
      <c r="F37" s="1160"/>
    </row>
    <row r="38" spans="1:7">
      <c r="B38" s="1184"/>
      <c r="C38" s="8" t="str">
        <f>C21</f>
        <v>2011/12</v>
      </c>
      <c r="D38" s="8" t="str">
        <f>D21</f>
        <v>2012/13</v>
      </c>
      <c r="E38" s="8" t="str">
        <f>E21</f>
        <v>2013/14</v>
      </c>
      <c r="F38" s="8" t="str">
        <f>F21</f>
        <v>2014/15</v>
      </c>
    </row>
    <row r="39" spans="1:7">
      <c r="B39" s="8" t="str">
        <f>RAW_DATA_INPUTS!B166</f>
        <v>20-24</v>
      </c>
      <c r="C39" s="307">
        <f>RAW_DATA_INPUTS!C166</f>
        <v>7436.009</v>
      </c>
      <c r="D39" s="307">
        <f>RAW_DATA_INPUTS!D166</f>
        <v>7261.9359999999997</v>
      </c>
      <c r="E39" s="307">
        <f>RAW_DATA_INPUTS!E166</f>
        <v>6785.817</v>
      </c>
      <c r="F39" s="307">
        <f>RAW_DATA_INPUTS!F166</f>
        <v>7031.68</v>
      </c>
      <c r="G39" s="5"/>
    </row>
    <row r="40" spans="1:7">
      <c r="B40" s="8" t="str">
        <f>RAW_DATA_INPUTS!B167</f>
        <v>25-29</v>
      </c>
      <c r="C40" s="307">
        <f>RAW_DATA_INPUTS!C167</f>
        <v>25499.097000000002</v>
      </c>
      <c r="D40" s="307">
        <f>RAW_DATA_INPUTS!D167</f>
        <v>25717.121999999999</v>
      </c>
      <c r="E40" s="307">
        <f>RAW_DATA_INPUTS!E167</f>
        <v>25266.185000000001</v>
      </c>
      <c r="F40" s="307">
        <f>RAW_DATA_INPUTS!F167</f>
        <v>24314.041000000001</v>
      </c>
      <c r="G40" s="5"/>
    </row>
    <row r="41" spans="1:7">
      <c r="B41" s="8" t="str">
        <f>RAW_DATA_INPUTS!B168</f>
        <v>30-34</v>
      </c>
      <c r="C41" s="307">
        <f>RAW_DATA_INPUTS!C168</f>
        <v>24676.074000000001</v>
      </c>
      <c r="D41" s="307">
        <f>RAW_DATA_INPUTS!D168</f>
        <v>25438.483</v>
      </c>
      <c r="E41" s="307">
        <f>RAW_DATA_INPUTS!E168</f>
        <v>25433.401000000002</v>
      </c>
      <c r="F41" s="307">
        <f>RAW_DATA_INPUTS!F168</f>
        <v>25085.696</v>
      </c>
      <c r="G41" s="5"/>
    </row>
    <row r="42" spans="1:7">
      <c r="B42" s="8" t="str">
        <f>RAW_DATA_INPUTS!B169</f>
        <v>35-39</v>
      </c>
      <c r="C42" s="307">
        <f>RAW_DATA_INPUTS!C169</f>
        <v>19314.273000000001</v>
      </c>
      <c r="D42" s="307">
        <f>RAW_DATA_INPUTS!D169</f>
        <v>19924.441999999999</v>
      </c>
      <c r="E42" s="307">
        <f>RAW_DATA_INPUTS!E169</f>
        <v>20565.948</v>
      </c>
      <c r="F42" s="307">
        <f>RAW_DATA_INPUTS!F169</f>
        <v>21242.754000000001</v>
      </c>
      <c r="G42" s="5"/>
    </row>
    <row r="43" spans="1:7">
      <c r="B43" s="8" t="str">
        <f>RAW_DATA_INPUTS!B170</f>
        <v>40-44</v>
      </c>
      <c r="C43" s="307">
        <f>RAW_DATA_INPUTS!C170</f>
        <v>15692.370999999999</v>
      </c>
      <c r="D43" s="307">
        <f>RAW_DATA_INPUTS!D170</f>
        <v>16790.264999999999</v>
      </c>
      <c r="E43" s="307">
        <f>RAW_DATA_INPUTS!E170</f>
        <v>17890.313999999998</v>
      </c>
      <c r="F43" s="307">
        <f>RAW_DATA_INPUTS!F170</f>
        <v>18518.737000000001</v>
      </c>
      <c r="G43" s="5"/>
    </row>
    <row r="44" spans="1:7">
      <c r="B44" s="8" t="str">
        <f>RAW_DATA_INPUTS!B171</f>
        <v>45-49</v>
      </c>
      <c r="C44" s="307">
        <f>RAW_DATA_INPUTS!C171</f>
        <v>14060.19</v>
      </c>
      <c r="D44" s="307">
        <f>RAW_DATA_INPUTS!D171</f>
        <v>14073.81</v>
      </c>
      <c r="E44" s="307">
        <f>RAW_DATA_INPUTS!E171</f>
        <v>13867.227999999999</v>
      </c>
      <c r="F44" s="307">
        <f>RAW_DATA_INPUTS!F171</f>
        <v>14219.995000000001</v>
      </c>
      <c r="G44" s="5"/>
    </row>
    <row r="45" spans="1:7">
      <c r="B45" s="8" t="str">
        <f>RAW_DATA_INPUTS!B172</f>
        <v>50-54</v>
      </c>
      <c r="C45" s="307">
        <f>RAW_DATA_INPUTS!C172</f>
        <v>13937.48</v>
      </c>
      <c r="D45" s="307">
        <f>RAW_DATA_INPUTS!D172</f>
        <v>12985.324000000001</v>
      </c>
      <c r="E45" s="307">
        <f>RAW_DATA_INPUTS!E172</f>
        <v>12412.347</v>
      </c>
      <c r="F45" s="307">
        <f>RAW_DATA_INPUTS!F172</f>
        <v>12169.743</v>
      </c>
      <c r="G45" s="5"/>
    </row>
    <row r="46" spans="1:7">
      <c r="B46" s="8" t="str">
        <f>RAW_DATA_INPUTS!B173</f>
        <v>55-59</v>
      </c>
      <c r="C46" s="307">
        <f>RAW_DATA_INPUTS!C173</f>
        <v>10670.638999999999</v>
      </c>
      <c r="D46" s="307">
        <f>RAW_DATA_INPUTS!D173</f>
        <v>10436.875</v>
      </c>
      <c r="E46" s="307">
        <f>RAW_DATA_INPUTS!E173</f>
        <v>9836.0300000000007</v>
      </c>
      <c r="F46" s="307">
        <f>RAW_DATA_INPUTS!F173</f>
        <v>9013.4740000000002</v>
      </c>
      <c r="G46" s="5"/>
    </row>
    <row r="47" spans="1:7">
      <c r="B47" s="8" t="str">
        <f>RAW_DATA_INPUTS!B174</f>
        <v>60-64</v>
      </c>
      <c r="C47" s="307">
        <f>RAW_DATA_INPUTS!C174</f>
        <v>2463.6509999999998</v>
      </c>
      <c r="D47" s="307">
        <f>RAW_DATA_INPUTS!D174</f>
        <v>2439.056</v>
      </c>
      <c r="E47" s="307">
        <f>RAW_DATA_INPUTS!E174</f>
        <v>2418.21</v>
      </c>
      <c r="F47" s="307">
        <f>RAW_DATA_INPUTS!F174</f>
        <v>2420.5250000000001</v>
      </c>
      <c r="G47" s="5"/>
    </row>
    <row r="48" spans="1:7">
      <c r="B48" s="8" t="str">
        <f>RAW_DATA_INPUTS!B175</f>
        <v>65 plus</v>
      </c>
      <c r="C48" s="307">
        <f>RAW_DATA_INPUTS!C175</f>
        <v>208.93100000000001</v>
      </c>
      <c r="D48" s="307">
        <f>RAW_DATA_INPUTS!D175</f>
        <v>285.01900000000001</v>
      </c>
      <c r="E48" s="307">
        <f>RAW_DATA_INPUTS!E175</f>
        <v>327.072</v>
      </c>
      <c r="F48" s="307">
        <f>RAW_DATA_INPUTS!F175</f>
        <v>307.44400000000002</v>
      </c>
      <c r="G48" s="5"/>
    </row>
    <row r="49" spans="1:7">
      <c r="B49" s="8" t="str">
        <f>RAW_DATA_INPUTS!B176</f>
        <v>Total</v>
      </c>
      <c r="C49" s="307">
        <f>RAW_DATA_INPUTS!C176</f>
        <v>133958.71500000003</v>
      </c>
      <c r="D49" s="307">
        <f>RAW_DATA_INPUTS!D176</f>
        <v>135352.33199999999</v>
      </c>
      <c r="E49" s="307">
        <f>RAW_DATA_INPUTS!E176</f>
        <v>134802.552</v>
      </c>
      <c r="F49" s="307">
        <f>RAW_DATA_INPUTS!F176</f>
        <v>134324.08899999998</v>
      </c>
      <c r="G49" s="5"/>
    </row>
    <row r="50" spans="1:7">
      <c r="A50">
        <f>SUM(C50:F50)</f>
        <v>0</v>
      </c>
      <c r="C50">
        <f>SUM(C39:C48)-C49</f>
        <v>0</v>
      </c>
      <c r="D50">
        <f>SUM(D39:D48)-D49</f>
        <v>0</v>
      </c>
      <c r="E50">
        <f>SUM(E39:E48)-E49</f>
        <v>0</v>
      </c>
      <c r="F50">
        <f>SUM(F39:F48)-F49</f>
        <v>0</v>
      </c>
    </row>
    <row r="52" spans="1:7" ht="18">
      <c r="B52" s="39" t="s">
        <v>112</v>
      </c>
    </row>
    <row r="54" spans="1:7">
      <c r="B54" s="76" t="s">
        <v>113</v>
      </c>
    </row>
    <row r="56" spans="1:7">
      <c r="B56" s="1183" t="str">
        <f>B37</f>
        <v>Age group</v>
      </c>
      <c r="C56" s="1160" t="str">
        <f>C37</f>
        <v>Year</v>
      </c>
      <c r="D56" s="1160"/>
      <c r="E56" s="1160"/>
      <c r="F56" s="1160"/>
    </row>
    <row r="57" spans="1:7">
      <c r="B57" s="1184"/>
      <c r="C57" s="8" t="str">
        <f>Calc_PRIM_retirement_rates!C74</f>
        <v>2011/12</v>
      </c>
      <c r="D57" s="8" t="str">
        <f>Calc_PRIM_retirement_rates!D74</f>
        <v>2012/13</v>
      </c>
      <c r="E57" s="8" t="str">
        <f>Calc_PRIM_retirement_rates!E74</f>
        <v>2013/14</v>
      </c>
      <c r="F57" s="8" t="str">
        <f>Calc_PRIM_retirement_rates!F74</f>
        <v>2014/15</v>
      </c>
    </row>
    <row r="58" spans="1:7">
      <c r="B58" s="8" t="str">
        <f t="shared" ref="B58:B68" si="0">B39</f>
        <v>20-24</v>
      </c>
      <c r="C58" s="307">
        <f>RAW_DATA_INPUTS!C225</f>
        <v>0</v>
      </c>
      <c r="D58" s="307">
        <f>RAW_DATA_INPUTS!D225</f>
        <v>0</v>
      </c>
      <c r="E58" s="307">
        <f>RAW_DATA_INPUTS!E225</f>
        <v>0</v>
      </c>
      <c r="F58" s="307">
        <f>RAW_DATA_INPUTS!F225</f>
        <v>0</v>
      </c>
    </row>
    <row r="59" spans="1:7">
      <c r="B59" s="8" t="str">
        <f t="shared" si="0"/>
        <v>25-29</v>
      </c>
      <c r="C59" s="307">
        <f>RAW_DATA_INPUTS!C226</f>
        <v>0</v>
      </c>
      <c r="D59" s="307">
        <f>RAW_DATA_INPUTS!D226</f>
        <v>0</v>
      </c>
      <c r="E59" s="307">
        <f>RAW_DATA_INPUTS!E226</f>
        <v>0</v>
      </c>
      <c r="F59" s="307">
        <f>RAW_DATA_INPUTS!F226</f>
        <v>0</v>
      </c>
    </row>
    <row r="60" spans="1:7">
      <c r="B60" s="8" t="str">
        <f t="shared" si="0"/>
        <v>30-34</v>
      </c>
      <c r="C60" s="307">
        <f>RAW_DATA_INPUTS!C227</f>
        <v>0</v>
      </c>
      <c r="D60" s="307">
        <f>RAW_DATA_INPUTS!D227</f>
        <v>0</v>
      </c>
      <c r="E60" s="307">
        <f>RAW_DATA_INPUTS!E227</f>
        <v>0</v>
      </c>
      <c r="F60" s="307">
        <f>RAW_DATA_INPUTS!F227</f>
        <v>0</v>
      </c>
    </row>
    <row r="61" spans="1:7">
      <c r="B61" s="8" t="str">
        <f t="shared" si="0"/>
        <v>35-39</v>
      </c>
      <c r="C61" s="307">
        <f>RAW_DATA_INPUTS!C228</f>
        <v>5</v>
      </c>
      <c r="D61" s="307">
        <f>RAW_DATA_INPUTS!D228</f>
        <v>6</v>
      </c>
      <c r="E61" s="307">
        <f>RAW_DATA_INPUTS!E228</f>
        <v>5</v>
      </c>
      <c r="F61" s="307">
        <f>RAW_DATA_INPUTS!F228</f>
        <v>5</v>
      </c>
    </row>
    <row r="62" spans="1:7">
      <c r="B62" s="8" t="str">
        <f t="shared" si="0"/>
        <v>40-44</v>
      </c>
      <c r="C62" s="307">
        <f>RAW_DATA_INPUTS!C229</f>
        <v>10</v>
      </c>
      <c r="D62" s="307">
        <f>RAW_DATA_INPUTS!D229</f>
        <v>6.2404883747575592</v>
      </c>
      <c r="E62" s="307">
        <f>RAW_DATA_INPUTS!E229</f>
        <v>6.2903833039403345</v>
      </c>
      <c r="F62" s="307">
        <f>RAW_DATA_INPUTS!F229</f>
        <v>5.3129999999999997</v>
      </c>
    </row>
    <row r="63" spans="1:7">
      <c r="B63" s="8" t="str">
        <f t="shared" si="0"/>
        <v>45-49</v>
      </c>
      <c r="C63" s="307">
        <f>RAW_DATA_INPUTS!C230</f>
        <v>13.261417944136868</v>
      </c>
      <c r="D63" s="307">
        <f>RAW_DATA_INPUTS!D230</f>
        <v>14.533460096936452</v>
      </c>
      <c r="E63" s="307">
        <f>RAW_DATA_INPUTS!E230</f>
        <v>9.4653713609210186</v>
      </c>
      <c r="F63" s="307">
        <f>RAW_DATA_INPUTS!F230</f>
        <v>12.776</v>
      </c>
    </row>
    <row r="64" spans="1:7">
      <c r="B64" s="8" t="str">
        <f t="shared" si="0"/>
        <v>50-54</v>
      </c>
      <c r="C64" s="307">
        <f>RAW_DATA_INPUTS!C231</f>
        <v>369.52168829552835</v>
      </c>
      <c r="D64" s="307">
        <f>RAW_DATA_INPUTS!D231</f>
        <v>284.16769824634542</v>
      </c>
      <c r="E64" s="307">
        <f>RAW_DATA_INPUTS!E231</f>
        <v>246.4104823779723</v>
      </c>
      <c r="F64" s="307">
        <f>RAW_DATA_INPUTS!F231</f>
        <v>195.47399999999999</v>
      </c>
    </row>
    <row r="65" spans="1:6">
      <c r="B65" s="8" t="str">
        <f t="shared" si="0"/>
        <v>55-59</v>
      </c>
      <c r="C65" s="307">
        <f>RAW_DATA_INPUTS!C232</f>
        <v>1787.8326946090772</v>
      </c>
      <c r="D65" s="307">
        <f>RAW_DATA_INPUTS!D232</f>
        <v>1582.6726400113669</v>
      </c>
      <c r="E65" s="307">
        <f>RAW_DATA_INPUTS!E232</f>
        <v>1326.0335411643637</v>
      </c>
      <c r="F65" s="307">
        <f>RAW_DATA_INPUTS!F232</f>
        <v>1165.2339999999999</v>
      </c>
    </row>
    <row r="66" spans="1:6">
      <c r="B66" s="8" t="str">
        <f t="shared" si="0"/>
        <v>60-64</v>
      </c>
      <c r="C66" s="307">
        <f>RAW_DATA_INPUTS!C233</f>
        <v>877.2636336311823</v>
      </c>
      <c r="D66" s="307">
        <f>RAW_DATA_INPUTS!D233</f>
        <v>811.33364730892572</v>
      </c>
      <c r="E66" s="307">
        <f>RAW_DATA_INPUTS!E233</f>
        <v>796.95249270474028</v>
      </c>
      <c r="F66" s="307">
        <f>RAW_DATA_INPUTS!F233</f>
        <v>704.94399999999996</v>
      </c>
    </row>
    <row r="67" spans="1:6">
      <c r="B67" s="8" t="str">
        <f t="shared" si="0"/>
        <v>65 plus</v>
      </c>
      <c r="C67" s="307">
        <f>RAW_DATA_INPUTS!C234</f>
        <v>92.518907767117398</v>
      </c>
      <c r="D67" s="307">
        <f>RAW_DATA_INPUTS!D234</f>
        <v>154.8409620687512</v>
      </c>
      <c r="E67" s="307">
        <f>RAW_DATA_INPUTS!E234</f>
        <v>181.06313106533054</v>
      </c>
      <c r="F67" s="307">
        <f>RAW_DATA_INPUTS!F234</f>
        <v>141.85599999999999</v>
      </c>
    </row>
    <row r="68" spans="1:6">
      <c r="B68" s="8" t="str">
        <f t="shared" si="0"/>
        <v>Total</v>
      </c>
      <c r="C68" s="307">
        <f>RAW_DATA_INPUTS!C235</f>
        <v>3155.3983422470419</v>
      </c>
      <c r="D68" s="307">
        <f>RAW_DATA_INPUTS!D235</f>
        <v>2859.7888961070835</v>
      </c>
      <c r="E68" s="307">
        <f>RAW_DATA_INPUTS!E235</f>
        <v>2571.2154019772684</v>
      </c>
      <c r="F68" s="307">
        <f>RAW_DATA_INPUTS!F235</f>
        <v>2230.5969999999998</v>
      </c>
    </row>
    <row r="69" spans="1:6">
      <c r="A69">
        <f>SUM(C69:F69)</f>
        <v>0</v>
      </c>
      <c r="C69">
        <f>SUM(C58:C67)-C68</f>
        <v>0</v>
      </c>
      <c r="D69">
        <f>SUM(D58:D67)-D68</f>
        <v>0</v>
      </c>
      <c r="E69">
        <f>SUM(E58:E67)-E68</f>
        <v>0</v>
      </c>
      <c r="F69">
        <f>SUM(F58:F67)-F68</f>
        <v>0</v>
      </c>
    </row>
    <row r="71" spans="1:6">
      <c r="B71" s="76" t="s">
        <v>114</v>
      </c>
    </row>
    <row r="73" spans="1:6">
      <c r="B73" s="1183" t="str">
        <f>B56</f>
        <v>Age group</v>
      </c>
      <c r="C73" s="1160" t="str">
        <f>C56</f>
        <v>Year</v>
      </c>
      <c r="D73" s="1160"/>
      <c r="E73" s="1160"/>
      <c r="F73" s="1160"/>
    </row>
    <row r="74" spans="1:6">
      <c r="B74" s="1184"/>
      <c r="C74" s="8" t="str">
        <f>C57</f>
        <v>2011/12</v>
      </c>
      <c r="D74" s="8" t="str">
        <f>D57</f>
        <v>2012/13</v>
      </c>
      <c r="E74" s="8" t="str">
        <f>E57</f>
        <v>2013/14</v>
      </c>
      <c r="F74" s="8" t="str">
        <f>F57</f>
        <v>2014/15</v>
      </c>
    </row>
    <row r="75" spans="1:6">
      <c r="B75" s="8" t="str">
        <f t="shared" ref="B75:B85" si="1">B58</f>
        <v>20-24</v>
      </c>
      <c r="C75" s="307">
        <f>RAW_DATA_INPUTS!C242</f>
        <v>0</v>
      </c>
      <c r="D75" s="307">
        <f>RAW_DATA_INPUTS!D242</f>
        <v>0</v>
      </c>
      <c r="E75" s="307">
        <f>RAW_DATA_INPUTS!E242</f>
        <v>0</v>
      </c>
      <c r="F75" s="307">
        <f>RAW_DATA_INPUTS!F242</f>
        <v>0</v>
      </c>
    </row>
    <row r="76" spans="1:6">
      <c r="B76" s="8" t="str">
        <f t="shared" si="1"/>
        <v>25-29</v>
      </c>
      <c r="C76" s="307">
        <f>RAW_DATA_INPUTS!C243</f>
        <v>0</v>
      </c>
      <c r="D76" s="307">
        <f>RAW_DATA_INPUTS!D243</f>
        <v>0</v>
      </c>
      <c r="E76" s="307">
        <f>RAW_DATA_INPUTS!E243</f>
        <v>0</v>
      </c>
      <c r="F76" s="307">
        <f>RAW_DATA_INPUTS!F243</f>
        <v>0</v>
      </c>
    </row>
    <row r="77" spans="1:6">
      <c r="B77" s="8" t="str">
        <f t="shared" si="1"/>
        <v>30-34</v>
      </c>
      <c r="C77" s="307">
        <f>RAW_DATA_INPUTS!C244</f>
        <v>0</v>
      </c>
      <c r="D77" s="307">
        <f>RAW_DATA_INPUTS!D244</f>
        <v>5.2198980137575228</v>
      </c>
      <c r="E77" s="307">
        <f>RAW_DATA_INPUTS!E244</f>
        <v>0</v>
      </c>
      <c r="F77" s="307">
        <f>RAW_DATA_INPUTS!F244</f>
        <v>5</v>
      </c>
    </row>
    <row r="78" spans="1:6">
      <c r="B78" s="8" t="str">
        <f t="shared" si="1"/>
        <v>35-39</v>
      </c>
      <c r="C78" s="307">
        <f>RAW_DATA_INPUTS!C245</f>
        <v>5.1833722218271419</v>
      </c>
      <c r="D78" s="307">
        <f>RAW_DATA_INPUTS!D245</f>
        <v>5.1650819345768202</v>
      </c>
      <c r="E78" s="307">
        <f>RAW_DATA_INPUTS!E245</f>
        <v>11.568769737331507</v>
      </c>
      <c r="F78" s="307">
        <f>RAW_DATA_INPUTS!F245</f>
        <v>5</v>
      </c>
    </row>
    <row r="79" spans="1:6">
      <c r="B79" s="8" t="str">
        <f t="shared" si="1"/>
        <v>40-44</v>
      </c>
      <c r="C79" s="307">
        <f>RAW_DATA_INPUTS!C246</f>
        <v>11.304897696008338</v>
      </c>
      <c r="D79" s="307">
        <f>RAW_DATA_INPUTS!D246</f>
        <v>14.489383405986436</v>
      </c>
      <c r="E79" s="307">
        <f>RAW_DATA_INPUTS!E246</f>
        <v>10</v>
      </c>
      <c r="F79" s="307">
        <f>RAW_DATA_INPUTS!F246</f>
        <v>6.3559999999999999</v>
      </c>
    </row>
    <row r="80" spans="1:6">
      <c r="B80" s="8" t="str">
        <f t="shared" si="1"/>
        <v>45-49</v>
      </c>
      <c r="C80" s="307">
        <f>RAW_DATA_INPUTS!C247</f>
        <v>15.479362199489589</v>
      </c>
      <c r="D80" s="307">
        <f>RAW_DATA_INPUTS!D247</f>
        <v>17.6524700663137</v>
      </c>
      <c r="E80" s="307">
        <f>RAW_DATA_INPUTS!E247</f>
        <v>21.094845669305265</v>
      </c>
      <c r="F80" s="307">
        <f>RAW_DATA_INPUTS!F247</f>
        <v>10.555999999999999</v>
      </c>
    </row>
    <row r="81" spans="1:6">
      <c r="B81" s="8" t="str">
        <f t="shared" si="1"/>
        <v>50-54</v>
      </c>
      <c r="C81" s="307">
        <f>RAW_DATA_INPUTS!C248</f>
        <v>465.45386940150826</v>
      </c>
      <c r="D81" s="307">
        <f>RAW_DATA_INPUTS!D248</f>
        <v>351.05884377606833</v>
      </c>
      <c r="E81" s="307">
        <f>RAW_DATA_INPUTS!E248</f>
        <v>280.61072192229182</v>
      </c>
      <c r="F81" s="307">
        <f>RAW_DATA_INPUTS!F248</f>
        <v>256.12599999999998</v>
      </c>
    </row>
    <row r="82" spans="1:6">
      <c r="B82" s="8" t="str">
        <f t="shared" si="1"/>
        <v>55-59</v>
      </c>
      <c r="C82" s="307">
        <f>RAW_DATA_INPUTS!C249</f>
        <v>2162.6411778738161</v>
      </c>
      <c r="D82" s="307">
        <f>RAW_DATA_INPUTS!D249</f>
        <v>2021.0792304478903</v>
      </c>
      <c r="E82" s="307">
        <f>RAW_DATA_INPUTS!E249</f>
        <v>1923.5046637361959</v>
      </c>
      <c r="F82" s="307">
        <f>RAW_DATA_INPUTS!F249</f>
        <v>1732.048</v>
      </c>
    </row>
    <row r="83" spans="1:6">
      <c r="B83" s="8" t="str">
        <f t="shared" si="1"/>
        <v>60-64</v>
      </c>
      <c r="C83" s="307">
        <f>RAW_DATA_INPUTS!C250</f>
        <v>1052.6667458015218</v>
      </c>
      <c r="D83" s="307">
        <f>RAW_DATA_INPUTS!D250</f>
        <v>1019.4551683976413</v>
      </c>
      <c r="E83" s="307">
        <f>RAW_DATA_INPUTS!E250</f>
        <v>920.1049607336106</v>
      </c>
      <c r="F83" s="307">
        <f>RAW_DATA_INPUTS!F250</f>
        <v>967.90499999999997</v>
      </c>
    </row>
    <row r="84" spans="1:6">
      <c r="B84" s="8" t="str">
        <f t="shared" si="1"/>
        <v>65 plus</v>
      </c>
      <c r="C84" s="307">
        <f>RAW_DATA_INPUTS!C251</f>
        <v>110.87995725839521</v>
      </c>
      <c r="D84" s="307">
        <f>RAW_DATA_INPUTS!D251</f>
        <v>117.21101924487898</v>
      </c>
      <c r="E84" s="307">
        <f>RAW_DATA_INPUTS!E251</f>
        <v>182.45236636243072</v>
      </c>
      <c r="F84" s="307">
        <f>RAW_DATA_INPUTS!F251</f>
        <v>115.874</v>
      </c>
    </row>
    <row r="85" spans="1:6">
      <c r="B85" s="8" t="str">
        <f t="shared" si="1"/>
        <v>Total</v>
      </c>
      <c r="C85" s="307">
        <f>RAW_DATA_INPUTS!C252</f>
        <v>3823.6093824525665</v>
      </c>
      <c r="D85" s="307">
        <f>RAW_DATA_INPUTS!D252</f>
        <v>3551.3310952871134</v>
      </c>
      <c r="E85" s="307">
        <f>RAW_DATA_INPUTS!E252</f>
        <v>3349.336328161166</v>
      </c>
      <c r="F85" s="307">
        <f>RAW_DATA_INPUTS!F252</f>
        <v>3098.8649999999998</v>
      </c>
    </row>
    <row r="86" spans="1:6">
      <c r="A86">
        <f>SUM(C86:F86)</f>
        <v>0</v>
      </c>
      <c r="C86">
        <f>SUM(C75:C84)-C85</f>
        <v>0</v>
      </c>
      <c r="D86">
        <f>SUM(D75:D84)-D85</f>
        <v>0</v>
      </c>
      <c r="E86">
        <f>SUM(E75:E84)-E85</f>
        <v>0</v>
      </c>
      <c r="F86">
        <f>SUM(F75:F84)-F85</f>
        <v>0</v>
      </c>
    </row>
    <row r="88" spans="1:6">
      <c r="B88" s="76" t="s">
        <v>115</v>
      </c>
    </row>
    <row r="90" spans="1:6">
      <c r="B90" s="1140" t="str">
        <f>B73</f>
        <v>Age group</v>
      </c>
      <c r="C90" s="1160" t="str">
        <f>C73</f>
        <v>Year</v>
      </c>
      <c r="D90" s="1160"/>
      <c r="E90" s="1160"/>
      <c r="F90" s="1160"/>
    </row>
    <row r="91" spans="1:6">
      <c r="B91" s="1140"/>
      <c r="C91" s="8" t="str">
        <f>C74</f>
        <v>2011/12</v>
      </c>
      <c r="D91" s="8" t="str">
        <f>D74</f>
        <v>2012/13</v>
      </c>
      <c r="E91" s="8" t="str">
        <f>E74</f>
        <v>2013/14</v>
      </c>
      <c r="F91" s="8" t="str">
        <f>F74</f>
        <v>2014/15</v>
      </c>
    </row>
    <row r="92" spans="1:6">
      <c r="B92" s="8" t="str">
        <f t="shared" ref="B92:B102" si="2">B75</f>
        <v>20-24</v>
      </c>
      <c r="C92" s="164">
        <f t="shared" ref="C92:F102" si="3">C58/C22</f>
        <v>0</v>
      </c>
      <c r="D92" s="164">
        <f t="shared" si="3"/>
        <v>0</v>
      </c>
      <c r="E92" s="164">
        <f t="shared" si="3"/>
        <v>0</v>
      </c>
      <c r="F92" s="164">
        <f t="shared" si="3"/>
        <v>0</v>
      </c>
    </row>
    <row r="93" spans="1:6">
      <c r="B93" s="8" t="str">
        <f t="shared" si="2"/>
        <v>25-29</v>
      </c>
      <c r="C93" s="164">
        <f t="shared" si="3"/>
        <v>0</v>
      </c>
      <c r="D93" s="164">
        <f t="shared" si="3"/>
        <v>0</v>
      </c>
      <c r="E93" s="164">
        <f t="shared" si="3"/>
        <v>0</v>
      </c>
      <c r="F93" s="164">
        <f t="shared" si="3"/>
        <v>0</v>
      </c>
    </row>
    <row r="94" spans="1:6">
      <c r="B94" s="8" t="str">
        <f t="shared" si="2"/>
        <v>30-34</v>
      </c>
      <c r="C94" s="164">
        <f t="shared" si="3"/>
        <v>0</v>
      </c>
      <c r="D94" s="164">
        <f t="shared" si="3"/>
        <v>0</v>
      </c>
      <c r="E94" s="164">
        <f t="shared" si="3"/>
        <v>0</v>
      </c>
      <c r="F94" s="164">
        <f t="shared" si="3"/>
        <v>0</v>
      </c>
    </row>
    <row r="95" spans="1:6">
      <c r="B95" s="8" t="str">
        <f t="shared" si="2"/>
        <v>35-39</v>
      </c>
      <c r="C95" s="164">
        <f t="shared" si="3"/>
        <v>3.7788779015074771E-4</v>
      </c>
      <c r="D95" s="164">
        <f t="shared" si="3"/>
        <v>4.6362430729699069E-4</v>
      </c>
      <c r="E95" s="164">
        <f t="shared" si="3"/>
        <v>3.8736952232379569E-4</v>
      </c>
      <c r="F95" s="164">
        <f t="shared" si="3"/>
        <v>3.824056096761468E-4</v>
      </c>
    </row>
    <row r="96" spans="1:6">
      <c r="B96" s="8" t="str">
        <f t="shared" si="2"/>
        <v>40-44</v>
      </c>
      <c r="C96" s="164">
        <f t="shared" si="3"/>
        <v>8.4133923706684909E-4</v>
      </c>
      <c r="D96" s="164">
        <f t="shared" si="3"/>
        <v>5.0254654994628316E-4</v>
      </c>
      <c r="E96" s="164">
        <f t="shared" si="3"/>
        <v>5.0406790093596534E-4</v>
      </c>
      <c r="F96" s="164">
        <f t="shared" si="3"/>
        <v>4.3662132833964979E-4</v>
      </c>
    </row>
    <row r="97" spans="2:9">
      <c r="B97" s="8" t="str">
        <f t="shared" si="2"/>
        <v>45-49</v>
      </c>
      <c r="C97" s="164">
        <f t="shared" si="3"/>
        <v>1.3564879213510226E-3</v>
      </c>
      <c r="D97" s="164">
        <f t="shared" si="3"/>
        <v>1.5004682139528338E-3</v>
      </c>
      <c r="E97" s="164">
        <f t="shared" si="3"/>
        <v>9.7894673403717703E-4</v>
      </c>
      <c r="F97" s="164">
        <f t="shared" si="3"/>
        <v>1.3123204560005432E-3</v>
      </c>
    </row>
    <row r="98" spans="2:9">
      <c r="B98" s="8" t="str">
        <f t="shared" si="2"/>
        <v>50-54</v>
      </c>
      <c r="C98" s="164">
        <f t="shared" si="3"/>
        <v>3.8991185585939635E-2</v>
      </c>
      <c r="D98" s="164">
        <f t="shared" si="3"/>
        <v>3.1714260009078475E-2</v>
      </c>
      <c r="E98" s="164">
        <f t="shared" si="3"/>
        <v>2.8321650656493256E-2</v>
      </c>
      <c r="F98" s="164">
        <f t="shared" si="3"/>
        <v>2.3484673641561316E-2</v>
      </c>
    </row>
    <row r="99" spans="2:9">
      <c r="B99" s="8" t="str">
        <f t="shared" si="2"/>
        <v>55-59</v>
      </c>
      <c r="C99" s="164">
        <f t="shared" si="3"/>
        <v>0.22757341706592193</v>
      </c>
      <c r="D99" s="164">
        <f t="shared" si="3"/>
        <v>0.22316400335130629</v>
      </c>
      <c r="E99" s="164">
        <f t="shared" si="3"/>
        <v>0.20932491127032438</v>
      </c>
      <c r="F99" s="164">
        <f t="shared" si="3"/>
        <v>0.19768981791419235</v>
      </c>
    </row>
    <row r="100" spans="2:9">
      <c r="B100" s="8" t="str">
        <f t="shared" si="2"/>
        <v>60-64</v>
      </c>
      <c r="C100" s="164">
        <f t="shared" si="3"/>
        <v>0.37737985811476998</v>
      </c>
      <c r="D100" s="164">
        <f t="shared" si="3"/>
        <v>0.37211899393476505</v>
      </c>
      <c r="E100" s="164">
        <f t="shared" si="3"/>
        <v>0.39005553248922648</v>
      </c>
      <c r="F100" s="164">
        <f t="shared" si="3"/>
        <v>0.36499516666588999</v>
      </c>
    </row>
    <row r="101" spans="2:9">
      <c r="B101" s="8" t="str">
        <f t="shared" si="2"/>
        <v>65 plus</v>
      </c>
      <c r="C101" s="164">
        <f t="shared" si="3"/>
        <v>0.37859554521805677</v>
      </c>
      <c r="D101" s="164">
        <f t="shared" si="3"/>
        <v>0.46270215323328068</v>
      </c>
      <c r="E101" s="164">
        <f t="shared" si="3"/>
        <v>0.48731309867564487</v>
      </c>
      <c r="F101" s="164">
        <f t="shared" si="3"/>
        <v>0.38427010729852068</v>
      </c>
    </row>
    <row r="102" spans="2:9">
      <c r="B102" s="8" t="str">
        <f t="shared" si="2"/>
        <v>Total</v>
      </c>
      <c r="C102" s="164">
        <f t="shared" si="3"/>
        <v>3.7024377389569547E-2</v>
      </c>
      <c r="D102" s="164">
        <f t="shared" si="3"/>
        <v>3.3806944434233641E-2</v>
      </c>
      <c r="E102" s="164">
        <f t="shared" si="3"/>
        <v>3.0970440534258924E-2</v>
      </c>
      <c r="F102" s="164">
        <f t="shared" si="3"/>
        <v>2.7423265405439001E-2</v>
      </c>
    </row>
    <row r="104" spans="2:9">
      <c r="B104" s="76" t="s">
        <v>116</v>
      </c>
    </row>
    <row r="106" spans="2:9">
      <c r="B106" s="1140" t="str">
        <f>B90</f>
        <v>Age group</v>
      </c>
      <c r="C106" s="1160" t="str">
        <f>C90</f>
        <v>Year</v>
      </c>
      <c r="D106" s="1160"/>
      <c r="E106" s="1160"/>
      <c r="F106" s="1160"/>
    </row>
    <row r="107" spans="2:9">
      <c r="B107" s="1140"/>
      <c r="C107" s="8" t="str">
        <f>C91</f>
        <v>2011/12</v>
      </c>
      <c r="D107" s="8" t="str">
        <f>D91</f>
        <v>2012/13</v>
      </c>
      <c r="E107" s="8" t="str">
        <f>E91</f>
        <v>2013/14</v>
      </c>
      <c r="F107" s="8" t="str">
        <f>F91</f>
        <v>2014/15</v>
      </c>
    </row>
    <row r="108" spans="2:9">
      <c r="B108" s="8" t="str">
        <f>B92</f>
        <v>20-24</v>
      </c>
      <c r="C108" s="164">
        <f t="shared" ref="C108:F118" si="4">C75/C39</f>
        <v>0</v>
      </c>
      <c r="D108" s="164">
        <f t="shared" si="4"/>
        <v>0</v>
      </c>
      <c r="E108" s="164">
        <f t="shared" si="4"/>
        <v>0</v>
      </c>
      <c r="F108" s="164">
        <f t="shared" si="4"/>
        <v>0</v>
      </c>
      <c r="G108" s="5"/>
      <c r="H108" s="5"/>
      <c r="I108" s="5"/>
    </row>
    <row r="109" spans="2:9">
      <c r="B109" s="8" t="str">
        <f t="shared" ref="B109:B118" si="5">B93</f>
        <v>25-29</v>
      </c>
      <c r="C109" s="164">
        <f t="shared" si="4"/>
        <v>0</v>
      </c>
      <c r="D109" s="164">
        <f t="shared" si="4"/>
        <v>0</v>
      </c>
      <c r="E109" s="164">
        <f t="shared" si="4"/>
        <v>0</v>
      </c>
      <c r="F109" s="164">
        <f t="shared" si="4"/>
        <v>0</v>
      </c>
      <c r="G109" s="5"/>
      <c r="H109" s="5"/>
      <c r="I109" s="5"/>
    </row>
    <row r="110" spans="2:9">
      <c r="B110" s="8" t="str">
        <f t="shared" si="5"/>
        <v>30-34</v>
      </c>
      <c r="C110" s="164">
        <f t="shared" si="4"/>
        <v>0</v>
      </c>
      <c r="D110" s="164">
        <f t="shared" si="4"/>
        <v>2.0519690634687309E-4</v>
      </c>
      <c r="E110" s="164">
        <f t="shared" si="4"/>
        <v>0</v>
      </c>
      <c r="F110" s="164">
        <f t="shared" si="4"/>
        <v>1.99316773989448E-4</v>
      </c>
      <c r="G110" s="5"/>
      <c r="H110" s="5"/>
      <c r="I110" s="5"/>
    </row>
    <row r="111" spans="2:9">
      <c r="B111" s="8" t="str">
        <f t="shared" si="5"/>
        <v>35-39</v>
      </c>
      <c r="C111" s="164">
        <f t="shared" si="4"/>
        <v>2.6837004021984892E-4</v>
      </c>
      <c r="D111" s="164">
        <f t="shared" si="4"/>
        <v>2.5923345479772134E-4</v>
      </c>
      <c r="E111" s="164">
        <f t="shared" si="4"/>
        <v>5.6252061598772432E-4</v>
      </c>
      <c r="F111" s="164">
        <f t="shared" si="4"/>
        <v>2.3537437754068987E-4</v>
      </c>
      <c r="G111" s="5"/>
      <c r="H111" s="5"/>
      <c r="I111" s="5"/>
    </row>
    <row r="112" spans="2:9">
      <c r="B112" s="8" t="str">
        <f t="shared" si="5"/>
        <v>40-44</v>
      </c>
      <c r="C112" s="164">
        <f t="shared" si="4"/>
        <v>7.2040724094582888E-4</v>
      </c>
      <c r="D112" s="164">
        <f t="shared" si="4"/>
        <v>8.6296335441914921E-4</v>
      </c>
      <c r="E112" s="164">
        <f t="shared" si="4"/>
        <v>5.5896168172341748E-4</v>
      </c>
      <c r="F112" s="164">
        <f t="shared" si="4"/>
        <v>3.432199506910217E-4</v>
      </c>
      <c r="G112" s="5"/>
      <c r="H112" s="5"/>
      <c r="I112" s="5"/>
    </row>
    <row r="113" spans="2:9">
      <c r="B113" s="8" t="str">
        <f t="shared" si="5"/>
        <v>45-49</v>
      </c>
      <c r="C113" s="164">
        <f t="shared" si="4"/>
        <v>1.1009354923005726E-3</v>
      </c>
      <c r="D113" s="164">
        <f t="shared" si="4"/>
        <v>1.2542779862960848E-3</v>
      </c>
      <c r="E113" s="164">
        <f t="shared" si="4"/>
        <v>1.521201329444159E-3</v>
      </c>
      <c r="F113" s="164">
        <f t="shared" si="4"/>
        <v>7.4233500082102695E-4</v>
      </c>
      <c r="G113" s="5"/>
      <c r="H113" s="5"/>
      <c r="I113" s="5"/>
    </row>
    <row r="114" spans="2:9">
      <c r="B114" s="8" t="str">
        <f t="shared" si="5"/>
        <v>50-54</v>
      </c>
      <c r="C114" s="164">
        <f t="shared" si="4"/>
        <v>3.3395841242570987E-2</v>
      </c>
      <c r="D114" s="164">
        <f t="shared" si="4"/>
        <v>2.703504693268095E-2</v>
      </c>
      <c r="E114" s="164">
        <f t="shared" si="4"/>
        <v>2.2607386171389812E-2</v>
      </c>
      <c r="F114" s="164">
        <f t="shared" si="4"/>
        <v>2.1046130555098821E-2</v>
      </c>
      <c r="G114" s="5"/>
      <c r="H114" s="5"/>
      <c r="I114" s="5"/>
    </row>
    <row r="115" spans="2:9">
      <c r="B115" s="8" t="str">
        <f t="shared" si="5"/>
        <v>55-59</v>
      </c>
      <c r="C115" s="164">
        <f t="shared" si="4"/>
        <v>0.2026721340562469</v>
      </c>
      <c r="D115" s="164">
        <f t="shared" si="4"/>
        <v>0.19364792914046497</v>
      </c>
      <c r="E115" s="164">
        <f t="shared" si="4"/>
        <v>0.19555701474438322</v>
      </c>
      <c r="F115" s="164">
        <f t="shared" si="4"/>
        <v>0.19216208977803675</v>
      </c>
      <c r="G115" s="5"/>
      <c r="H115" s="5"/>
      <c r="I115" s="5"/>
    </row>
    <row r="116" spans="2:9">
      <c r="B116" s="8" t="str">
        <f t="shared" si="5"/>
        <v>60-64</v>
      </c>
      <c r="C116" s="164">
        <f t="shared" si="4"/>
        <v>0.42727916648970243</v>
      </c>
      <c r="D116" s="164">
        <f t="shared" si="4"/>
        <v>0.41797120213625322</v>
      </c>
      <c r="E116" s="164">
        <f t="shared" si="4"/>
        <v>0.38049009835109876</v>
      </c>
      <c r="F116" s="164">
        <f t="shared" si="4"/>
        <v>0.39987399427810078</v>
      </c>
      <c r="G116" s="5"/>
      <c r="H116" s="5"/>
      <c r="I116" s="5"/>
    </row>
    <row r="117" spans="2:9">
      <c r="B117" s="8" t="str">
        <f t="shared" si="5"/>
        <v>65 plus</v>
      </c>
      <c r="C117" s="164">
        <f t="shared" si="4"/>
        <v>0.53070131889664629</v>
      </c>
      <c r="D117" s="164">
        <f t="shared" si="4"/>
        <v>0.41123931823800863</v>
      </c>
      <c r="E117" s="164">
        <f t="shared" si="4"/>
        <v>0.55783548075784761</v>
      </c>
      <c r="F117" s="164">
        <f t="shared" si="4"/>
        <v>0.37689465398576649</v>
      </c>
      <c r="G117" s="5"/>
      <c r="H117" s="5"/>
      <c r="I117" s="5"/>
    </row>
    <row r="118" spans="2:9">
      <c r="B118" s="8" t="str">
        <f t="shared" si="5"/>
        <v>Total</v>
      </c>
      <c r="C118" s="164">
        <f t="shared" si="4"/>
        <v>2.8543192448901633E-2</v>
      </c>
      <c r="D118" s="164">
        <f t="shared" si="4"/>
        <v>2.6237679416466306E-2</v>
      </c>
      <c r="E118" s="164">
        <f t="shared" si="4"/>
        <v>2.4846238283093975E-2</v>
      </c>
      <c r="F118" s="164">
        <f t="shared" si="4"/>
        <v>2.3070061543465969E-2</v>
      </c>
      <c r="G118" s="5"/>
      <c r="H118" s="5"/>
      <c r="I118" s="5"/>
    </row>
    <row r="120" spans="2:9">
      <c r="B120" s="76" t="s">
        <v>117</v>
      </c>
    </row>
    <row r="122" spans="2:9">
      <c r="B122" s="1140" t="str">
        <f>B106</f>
        <v>Age group</v>
      </c>
      <c r="C122" s="1183" t="str">
        <f>C107</f>
        <v>2011/12</v>
      </c>
      <c r="D122" s="1183" t="str">
        <f>D107</f>
        <v>2012/13</v>
      </c>
      <c r="E122" s="1183" t="str">
        <f>E107</f>
        <v>2013/14</v>
      </c>
      <c r="F122" s="1183" t="str">
        <f>F107</f>
        <v>2014/15</v>
      </c>
      <c r="G122" s="1209" t="s">
        <v>8</v>
      </c>
    </row>
    <row r="123" spans="2:9">
      <c r="B123" s="1140"/>
      <c r="C123" s="1184"/>
      <c r="D123" s="1184"/>
      <c r="E123" s="1184"/>
      <c r="F123" s="1184"/>
      <c r="G123" s="1210"/>
    </row>
    <row r="124" spans="2:9">
      <c r="B124" s="141" t="str">
        <f>B108</f>
        <v>20-24</v>
      </c>
      <c r="C124" s="954">
        <f>C92*H$14</f>
        <v>0</v>
      </c>
      <c r="D124" s="954">
        <f t="shared" ref="D124:F134" si="6">D92*I$14</f>
        <v>0</v>
      </c>
      <c r="E124" s="954">
        <f t="shared" si="6"/>
        <v>0</v>
      </c>
      <c r="F124" s="954">
        <f t="shared" si="6"/>
        <v>0</v>
      </c>
      <c r="G124" s="952">
        <f>SUM(C124:F124)</f>
        <v>0</v>
      </c>
    </row>
    <row r="125" spans="2:9">
      <c r="B125" s="141" t="str">
        <f t="shared" ref="B125:B132" si="7">B109</f>
        <v>25-29</v>
      </c>
      <c r="C125" s="954">
        <f t="shared" ref="C125:C134" si="8">C93*H$14</f>
        <v>0</v>
      </c>
      <c r="D125" s="954">
        <f t="shared" si="6"/>
        <v>0</v>
      </c>
      <c r="E125" s="954">
        <f t="shared" si="6"/>
        <v>0</v>
      </c>
      <c r="F125" s="954">
        <f t="shared" si="6"/>
        <v>0</v>
      </c>
      <c r="G125" s="952">
        <f t="shared" ref="G125:G134" si="9">SUM(C125:F125)</f>
        <v>0</v>
      </c>
    </row>
    <row r="126" spans="2:9">
      <c r="B126" s="141" t="str">
        <f t="shared" si="7"/>
        <v>30-34</v>
      </c>
      <c r="C126" s="954">
        <f t="shared" si="8"/>
        <v>0</v>
      </c>
      <c r="D126" s="954">
        <f t="shared" si="6"/>
        <v>0</v>
      </c>
      <c r="E126" s="954">
        <f t="shared" si="6"/>
        <v>0</v>
      </c>
      <c r="F126" s="954">
        <f t="shared" si="6"/>
        <v>0</v>
      </c>
      <c r="G126" s="952">
        <f t="shared" si="9"/>
        <v>0</v>
      </c>
    </row>
    <row r="127" spans="2:9">
      <c r="B127" s="141" t="str">
        <f t="shared" si="7"/>
        <v>35-39</v>
      </c>
      <c r="C127" s="954">
        <f t="shared" si="8"/>
        <v>3.7788779015074776E-5</v>
      </c>
      <c r="D127" s="954">
        <f t="shared" si="6"/>
        <v>9.2724861459398148E-5</v>
      </c>
      <c r="E127" s="954">
        <f t="shared" si="6"/>
        <v>1.162108566971387E-4</v>
      </c>
      <c r="F127" s="954">
        <f t="shared" si="6"/>
        <v>1.5296224387045874E-4</v>
      </c>
      <c r="G127" s="952">
        <f t="shared" si="9"/>
        <v>3.9968674104207038E-4</v>
      </c>
    </row>
    <row r="128" spans="2:9">
      <c r="B128" s="141" t="str">
        <f t="shared" si="7"/>
        <v>40-44</v>
      </c>
      <c r="C128" s="954">
        <f t="shared" si="8"/>
        <v>8.4133923706684915E-5</v>
      </c>
      <c r="D128" s="954">
        <f t="shared" si="6"/>
        <v>1.0050930998925663E-4</v>
      </c>
      <c r="E128" s="954">
        <f t="shared" si="6"/>
        <v>1.512203702807896E-4</v>
      </c>
      <c r="F128" s="954">
        <f t="shared" si="6"/>
        <v>1.7464853133585993E-4</v>
      </c>
      <c r="G128" s="952">
        <f t="shared" si="9"/>
        <v>5.1051213531259107E-4</v>
      </c>
    </row>
    <row r="129" spans="2:7">
      <c r="B129" s="141" t="str">
        <f t="shared" si="7"/>
        <v>45-49</v>
      </c>
      <c r="C129" s="954">
        <f t="shared" si="8"/>
        <v>1.3564879213510226E-4</v>
      </c>
      <c r="D129" s="954">
        <f t="shared" si="6"/>
        <v>3.0009364279056679E-4</v>
      </c>
      <c r="E129" s="954">
        <f t="shared" si="6"/>
        <v>2.9368402021115312E-4</v>
      </c>
      <c r="F129" s="954">
        <f t="shared" si="6"/>
        <v>5.2492818240021724E-4</v>
      </c>
      <c r="G129" s="952">
        <f t="shared" si="9"/>
        <v>1.2543546375370393E-3</v>
      </c>
    </row>
    <row r="130" spans="2:7">
      <c r="B130" s="141" t="str">
        <f t="shared" si="7"/>
        <v>50-54</v>
      </c>
      <c r="C130" s="954">
        <f t="shared" si="8"/>
        <v>3.8991185585939636E-3</v>
      </c>
      <c r="D130" s="954">
        <f t="shared" si="6"/>
        <v>6.3428520018156955E-3</v>
      </c>
      <c r="E130" s="954">
        <f t="shared" si="6"/>
        <v>8.4964951969479768E-3</v>
      </c>
      <c r="F130" s="954">
        <f t="shared" si="6"/>
        <v>9.3938694566245273E-3</v>
      </c>
      <c r="G130" s="952">
        <f t="shared" si="9"/>
        <v>2.8132335213982167E-2</v>
      </c>
    </row>
    <row r="131" spans="2:7">
      <c r="B131" s="141" t="str">
        <f t="shared" si="7"/>
        <v>55-59</v>
      </c>
      <c r="C131" s="954">
        <f t="shared" si="8"/>
        <v>2.2757341706592195E-2</v>
      </c>
      <c r="D131" s="954">
        <f t="shared" si="6"/>
        <v>4.4632800670261263E-2</v>
      </c>
      <c r="E131" s="954">
        <f t="shared" si="6"/>
        <v>6.2797473381097313E-2</v>
      </c>
      <c r="F131" s="954">
        <f t="shared" si="6"/>
        <v>7.9075927165676949E-2</v>
      </c>
      <c r="G131" s="952">
        <f t="shared" si="9"/>
        <v>0.2092635429236277</v>
      </c>
    </row>
    <row r="132" spans="2:7">
      <c r="B132" s="141" t="str">
        <f t="shared" si="7"/>
        <v>60-64</v>
      </c>
      <c r="C132" s="954">
        <f t="shared" si="8"/>
        <v>3.7737985811476998E-2</v>
      </c>
      <c r="D132" s="954">
        <f t="shared" si="6"/>
        <v>7.4423798786953016E-2</v>
      </c>
      <c r="E132" s="954">
        <f t="shared" si="6"/>
        <v>0.11701665974676793</v>
      </c>
      <c r="F132" s="954">
        <f t="shared" si="6"/>
        <v>0.14599806666635601</v>
      </c>
      <c r="G132" s="952">
        <f t="shared" si="9"/>
        <v>0.37517651101155397</v>
      </c>
    </row>
    <row r="133" spans="2:7">
      <c r="B133" s="141" t="str">
        <f>B117</f>
        <v>65 plus</v>
      </c>
      <c r="C133" s="954">
        <f t="shared" si="8"/>
        <v>3.7859554521805679E-2</v>
      </c>
      <c r="D133" s="954">
        <f t="shared" si="6"/>
        <v>9.2540430646656138E-2</v>
      </c>
      <c r="E133" s="954">
        <f t="shared" si="6"/>
        <v>0.14619392960269345</v>
      </c>
      <c r="F133" s="954">
        <f t="shared" si="6"/>
        <v>0.15370804291940829</v>
      </c>
      <c r="G133" s="952">
        <f t="shared" si="9"/>
        <v>0.43030195769056356</v>
      </c>
    </row>
    <row r="134" spans="2:7">
      <c r="B134" s="141" t="str">
        <f>B118</f>
        <v>Total</v>
      </c>
      <c r="C134" s="954">
        <f t="shared" si="8"/>
        <v>3.7024377389569549E-3</v>
      </c>
      <c r="D134" s="954">
        <f t="shared" si="6"/>
        <v>6.7613888868467281E-3</v>
      </c>
      <c r="E134" s="954">
        <f t="shared" si="6"/>
        <v>9.2911321602776771E-3</v>
      </c>
      <c r="F134" s="954">
        <f t="shared" si="6"/>
        <v>1.0969306162175601E-2</v>
      </c>
      <c r="G134" s="952">
        <f t="shared" si="9"/>
        <v>3.072426494825696E-2</v>
      </c>
    </row>
    <row r="136" spans="2:7">
      <c r="B136" s="76" t="s">
        <v>118</v>
      </c>
    </row>
    <row r="138" spans="2:7">
      <c r="B138" s="1140" t="str">
        <f>B122</f>
        <v>Age group</v>
      </c>
      <c r="C138" s="1183" t="str">
        <f>C122</f>
        <v>2011/12</v>
      </c>
      <c r="D138" s="1183" t="str">
        <f>D122</f>
        <v>2012/13</v>
      </c>
      <c r="E138" s="1183" t="str">
        <f>E122</f>
        <v>2013/14</v>
      </c>
      <c r="F138" s="1183" t="str">
        <f>F122</f>
        <v>2014/15</v>
      </c>
      <c r="G138" s="1209" t="s">
        <v>8</v>
      </c>
    </row>
    <row r="139" spans="2:7">
      <c r="B139" s="1140"/>
      <c r="C139" s="1184"/>
      <c r="D139" s="1184"/>
      <c r="E139" s="1184"/>
      <c r="F139" s="1184"/>
      <c r="G139" s="1210"/>
    </row>
    <row r="140" spans="2:7">
      <c r="B140" s="141" t="str">
        <f>B124</f>
        <v>20-24</v>
      </c>
      <c r="C140" s="954">
        <f>C108*H$14</f>
        <v>0</v>
      </c>
      <c r="D140" s="954">
        <f t="shared" ref="D140:F150" si="10">D108*I$14</f>
        <v>0</v>
      </c>
      <c r="E140" s="954">
        <f t="shared" si="10"/>
        <v>0</v>
      </c>
      <c r="F140" s="954">
        <f t="shared" si="10"/>
        <v>0</v>
      </c>
      <c r="G140" s="952">
        <f>SUM(C140:F140)</f>
        <v>0</v>
      </c>
    </row>
    <row r="141" spans="2:7">
      <c r="B141" s="141" t="str">
        <f t="shared" ref="B141:B148" si="11">B125</f>
        <v>25-29</v>
      </c>
      <c r="C141" s="954">
        <f t="shared" ref="C141:C150" si="12">C109*H$14</f>
        <v>0</v>
      </c>
      <c r="D141" s="954">
        <f t="shared" si="10"/>
        <v>0</v>
      </c>
      <c r="E141" s="954">
        <f t="shared" si="10"/>
        <v>0</v>
      </c>
      <c r="F141" s="954">
        <f t="shared" si="10"/>
        <v>0</v>
      </c>
      <c r="G141" s="952">
        <f t="shared" ref="G141:G150" si="13">SUM(C141:F141)</f>
        <v>0</v>
      </c>
    </row>
    <row r="142" spans="2:7">
      <c r="B142" s="141" t="str">
        <f t="shared" si="11"/>
        <v>30-34</v>
      </c>
      <c r="C142" s="954">
        <f t="shared" si="12"/>
        <v>0</v>
      </c>
      <c r="D142" s="954">
        <f t="shared" si="10"/>
        <v>4.1039381269374617E-5</v>
      </c>
      <c r="E142" s="954">
        <f t="shared" si="10"/>
        <v>0</v>
      </c>
      <c r="F142" s="954">
        <f t="shared" si="10"/>
        <v>7.9726709595779205E-5</v>
      </c>
      <c r="G142" s="952">
        <f t="shared" si="13"/>
        <v>1.2076609086515382E-4</v>
      </c>
    </row>
    <row r="143" spans="2:7">
      <c r="B143" s="141" t="str">
        <f t="shared" si="11"/>
        <v>35-39</v>
      </c>
      <c r="C143" s="954">
        <f t="shared" si="12"/>
        <v>2.6837004021984894E-5</v>
      </c>
      <c r="D143" s="954">
        <f t="shared" si="10"/>
        <v>5.1846690959544271E-5</v>
      </c>
      <c r="E143" s="954">
        <f t="shared" si="10"/>
        <v>1.687561847963173E-4</v>
      </c>
      <c r="F143" s="954">
        <f t="shared" si="10"/>
        <v>9.4149751016275952E-5</v>
      </c>
      <c r="G143" s="952">
        <f t="shared" si="13"/>
        <v>3.4158963079412239E-4</v>
      </c>
    </row>
    <row r="144" spans="2:7">
      <c r="B144" s="141" t="str">
        <f t="shared" si="11"/>
        <v>40-44</v>
      </c>
      <c r="C144" s="954">
        <f t="shared" si="12"/>
        <v>7.2040724094582886E-5</v>
      </c>
      <c r="D144" s="954">
        <f t="shared" si="10"/>
        <v>1.7259267088382986E-4</v>
      </c>
      <c r="E144" s="954">
        <f t="shared" si="10"/>
        <v>1.6768850451702523E-4</v>
      </c>
      <c r="F144" s="954">
        <f t="shared" si="10"/>
        <v>1.3728798027640867E-4</v>
      </c>
      <c r="G144" s="952">
        <f t="shared" si="13"/>
        <v>5.4960987977184668E-4</v>
      </c>
    </row>
    <row r="145" spans="2:7">
      <c r="B145" s="141" t="str">
        <f t="shared" si="11"/>
        <v>45-49</v>
      </c>
      <c r="C145" s="954">
        <f t="shared" si="12"/>
        <v>1.1009354923005727E-4</v>
      </c>
      <c r="D145" s="954">
        <f t="shared" si="10"/>
        <v>2.5085559725921699E-4</v>
      </c>
      <c r="E145" s="954">
        <f t="shared" si="10"/>
        <v>4.5636039883324768E-4</v>
      </c>
      <c r="F145" s="954">
        <f t="shared" si="10"/>
        <v>2.969340003284108E-4</v>
      </c>
      <c r="G145" s="952">
        <f t="shared" si="13"/>
        <v>1.1142435456509329E-3</v>
      </c>
    </row>
    <row r="146" spans="2:7">
      <c r="B146" s="141" t="str">
        <f t="shared" si="11"/>
        <v>50-54</v>
      </c>
      <c r="C146" s="954">
        <f t="shared" si="12"/>
        <v>3.339584124257099E-3</v>
      </c>
      <c r="D146" s="954">
        <f t="shared" si="10"/>
        <v>5.4070093865361902E-3</v>
      </c>
      <c r="E146" s="954">
        <f t="shared" si="10"/>
        <v>6.7822158514169433E-3</v>
      </c>
      <c r="F146" s="954">
        <f t="shared" si="10"/>
        <v>8.418452222039529E-3</v>
      </c>
      <c r="G146" s="952">
        <f t="shared" si="13"/>
        <v>2.3947261584249764E-2</v>
      </c>
    </row>
    <row r="147" spans="2:7">
      <c r="B147" s="141" t="str">
        <f t="shared" si="11"/>
        <v>55-59</v>
      </c>
      <c r="C147" s="954">
        <f t="shared" si="12"/>
        <v>2.0267213405624693E-2</v>
      </c>
      <c r="D147" s="954">
        <f t="shared" si="10"/>
        <v>3.8729585828092994E-2</v>
      </c>
      <c r="E147" s="954">
        <f t="shared" si="10"/>
        <v>5.8667104423314964E-2</v>
      </c>
      <c r="F147" s="954">
        <f t="shared" si="10"/>
        <v>7.6864835911214707E-2</v>
      </c>
      <c r="G147" s="952">
        <f t="shared" si="13"/>
        <v>0.19452873956824734</v>
      </c>
    </row>
    <row r="148" spans="2:7">
      <c r="B148" s="141" t="str">
        <f t="shared" si="11"/>
        <v>60-64</v>
      </c>
      <c r="C148" s="954">
        <f t="shared" si="12"/>
        <v>4.2727916648970243E-2</v>
      </c>
      <c r="D148" s="954">
        <f t="shared" si="10"/>
        <v>8.3594240427250652E-2</v>
      </c>
      <c r="E148" s="954">
        <f t="shared" si="10"/>
        <v>0.11414702950532962</v>
      </c>
      <c r="F148" s="954">
        <f t="shared" si="10"/>
        <v>0.15994959771124032</v>
      </c>
      <c r="G148" s="952">
        <f t="shared" si="13"/>
        <v>0.40041878429279087</v>
      </c>
    </row>
    <row r="149" spans="2:7">
      <c r="B149" s="141" t="str">
        <f>B133</f>
        <v>65 plus</v>
      </c>
      <c r="C149" s="954">
        <f t="shared" si="12"/>
        <v>5.3070131889664633E-2</v>
      </c>
      <c r="D149" s="954">
        <f t="shared" si="10"/>
        <v>8.2247863647601727E-2</v>
      </c>
      <c r="E149" s="954">
        <f t="shared" si="10"/>
        <v>0.16735064422735427</v>
      </c>
      <c r="F149" s="954">
        <f t="shared" si="10"/>
        <v>0.1507578615943066</v>
      </c>
      <c r="G149" s="952">
        <f t="shared" si="13"/>
        <v>0.45342650135892726</v>
      </c>
    </row>
    <row r="150" spans="2:7">
      <c r="B150" s="141" t="str">
        <f>B134</f>
        <v>Total</v>
      </c>
      <c r="C150" s="954">
        <f t="shared" si="12"/>
        <v>2.8543192448901634E-3</v>
      </c>
      <c r="D150" s="954">
        <f t="shared" si="10"/>
        <v>5.2475358832932617E-3</v>
      </c>
      <c r="E150" s="954">
        <f t="shared" si="10"/>
        <v>7.4538714849281922E-3</v>
      </c>
      <c r="F150" s="954">
        <f t="shared" si="10"/>
        <v>9.2280246173863881E-3</v>
      </c>
      <c r="G150" s="952">
        <f t="shared" si="13"/>
        <v>2.4783751230498006E-2</v>
      </c>
    </row>
  </sheetData>
  <mergeCells count="25">
    <mergeCell ref="B56:B57"/>
    <mergeCell ref="C56:F56"/>
    <mergeCell ref="A5:T5"/>
    <mergeCell ref="B20:B21"/>
    <mergeCell ref="C20:F20"/>
    <mergeCell ref="B37:B38"/>
    <mergeCell ref="C37:F37"/>
    <mergeCell ref="B73:B74"/>
    <mergeCell ref="C73:F73"/>
    <mergeCell ref="B90:B91"/>
    <mergeCell ref="C90:F90"/>
    <mergeCell ref="B106:B107"/>
    <mergeCell ref="C106:F106"/>
    <mergeCell ref="F138:F139"/>
    <mergeCell ref="B122:B123"/>
    <mergeCell ref="C122:C123"/>
    <mergeCell ref="G138:G139"/>
    <mergeCell ref="E122:E123"/>
    <mergeCell ref="F122:F123"/>
    <mergeCell ref="G122:G123"/>
    <mergeCell ref="D122:D123"/>
    <mergeCell ref="B138:B139"/>
    <mergeCell ref="C138:C139"/>
    <mergeCell ref="D138:D139"/>
    <mergeCell ref="E138:E139"/>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T150"/>
  <sheetViews>
    <sheetView showGridLines="0" workbookViewId="0"/>
  </sheetViews>
  <sheetFormatPr defaultRowHeight="12.75"/>
  <cols>
    <col min="2" max="7" width="12.7109375" customWidth="1"/>
  </cols>
  <sheetData>
    <row r="1" spans="1:20" s="66" customFormat="1" ht="15">
      <c r="A1" s="65" t="str">
        <f>ModelBanner</f>
        <v>TSM_201718 for publication</v>
      </c>
    </row>
    <row r="2" spans="1:20" s="66" customFormat="1" ht="15">
      <c r="A2" s="1003" t="s">
        <v>13</v>
      </c>
      <c r="B2" s="1003" t="s">
        <v>30</v>
      </c>
    </row>
    <row r="3" spans="1:20" s="66" customFormat="1" ht="15">
      <c r="A3" s="67"/>
    </row>
    <row r="4" spans="1:20" s="57" customFormat="1">
      <c r="A4" s="58" t="s">
        <v>26</v>
      </c>
      <c r="B4" s="58"/>
      <c r="C4" s="58"/>
      <c r="D4" s="292"/>
      <c r="E4" s="58"/>
      <c r="F4" s="58"/>
      <c r="G4" s="58"/>
      <c r="H4" s="58"/>
      <c r="I4" s="58"/>
      <c r="J4" s="58"/>
      <c r="K4" s="58"/>
      <c r="L4" s="58"/>
      <c r="M4" s="58"/>
      <c r="N4" s="58"/>
    </row>
    <row r="5" spans="1:20" s="47" customFormat="1" ht="44.45" customHeight="1">
      <c r="A5" s="1199" t="s">
        <v>1448</v>
      </c>
      <c r="B5" s="1199"/>
      <c r="C5" s="1199"/>
      <c r="D5" s="1199"/>
      <c r="E5" s="1199"/>
      <c r="F5" s="1199"/>
      <c r="G5" s="1199"/>
      <c r="H5" s="1199"/>
      <c r="I5" s="1199"/>
      <c r="J5" s="1199"/>
      <c r="K5" s="1199"/>
      <c r="L5" s="1199"/>
      <c r="M5" s="1199"/>
      <c r="N5" s="1199"/>
      <c r="O5" s="1199"/>
      <c r="P5" s="1199"/>
      <c r="Q5" s="1199"/>
      <c r="R5" s="1199"/>
      <c r="S5" s="1199"/>
      <c r="T5" s="1199"/>
    </row>
    <row r="6" spans="1:20" s="46" customFormat="1">
      <c r="A6" s="56" t="s">
        <v>1420</v>
      </c>
      <c r="B6" s="61"/>
      <c r="C6" s="61"/>
      <c r="D6" s="292"/>
      <c r="E6" s="61"/>
      <c r="F6" s="61"/>
      <c r="G6" s="61"/>
      <c r="H6" s="61"/>
      <c r="I6" s="61"/>
      <c r="J6" s="61"/>
      <c r="K6" s="61"/>
      <c r="L6" s="61"/>
      <c r="M6" s="61"/>
      <c r="N6" s="61"/>
      <c r="O6" s="45"/>
    </row>
    <row r="7" spans="1:20" s="46" customFormat="1">
      <c r="A7" s="54" t="s">
        <v>166</v>
      </c>
      <c r="B7" s="56"/>
      <c r="C7" s="61"/>
      <c r="D7" s="292"/>
      <c r="E7" s="61"/>
      <c r="F7" s="61"/>
      <c r="G7" s="61"/>
      <c r="H7" s="61"/>
      <c r="I7" s="61"/>
      <c r="J7" s="61"/>
      <c r="K7" s="61"/>
      <c r="L7" s="61"/>
      <c r="M7" s="61"/>
      <c r="N7" s="61"/>
      <c r="O7" s="45"/>
    </row>
    <row r="8" spans="1:20" s="46" customFormat="1">
      <c r="A8" s="56" t="s">
        <v>24</v>
      </c>
      <c r="B8" s="61"/>
      <c r="C8" s="61"/>
      <c r="D8" s="292"/>
      <c r="E8" s="61"/>
      <c r="F8" s="61"/>
      <c r="G8" s="61"/>
      <c r="H8" s="61"/>
      <c r="I8" s="61"/>
      <c r="J8" s="61"/>
      <c r="K8" s="61"/>
      <c r="L8" s="61"/>
      <c r="M8" s="61"/>
      <c r="N8" s="61"/>
      <c r="O8" s="45"/>
    </row>
    <row r="9" spans="1:20" s="46" customFormat="1">
      <c r="A9" s="54" t="s">
        <v>1446</v>
      </c>
      <c r="B9" s="61"/>
      <c r="C9" s="61"/>
      <c r="D9" s="292"/>
      <c r="E9" s="61"/>
      <c r="F9" s="61"/>
      <c r="G9" s="61"/>
      <c r="H9" s="61"/>
      <c r="I9" s="61"/>
      <c r="J9" s="61"/>
      <c r="K9" s="61"/>
      <c r="L9" s="61"/>
      <c r="M9" s="61"/>
      <c r="N9" s="61"/>
      <c r="O9" s="45"/>
    </row>
    <row r="10" spans="1:20" s="50" customFormat="1" ht="13.5" customHeight="1">
      <c r="A10" s="55">
        <f>SUM(A13:A2227)</f>
        <v>0</v>
      </c>
      <c r="B10" s="73"/>
      <c r="C10" s="48"/>
      <c r="D10" s="48"/>
      <c r="E10" s="48"/>
      <c r="F10" s="72"/>
      <c r="G10" s="48"/>
      <c r="H10" s="72"/>
      <c r="I10" s="49"/>
      <c r="J10" s="49"/>
      <c r="K10" s="49"/>
      <c r="L10" s="49"/>
      <c r="M10" s="49"/>
      <c r="N10" s="49"/>
      <c r="O10" s="49"/>
    </row>
    <row r="12" spans="1:20">
      <c r="H12" s="76" t="s">
        <v>110</v>
      </c>
    </row>
    <row r="14" spans="1:20">
      <c r="H14" s="5">
        <v>0.1</v>
      </c>
      <c r="I14" s="5">
        <v>0.2</v>
      </c>
      <c r="J14" s="5">
        <v>0.3</v>
      </c>
      <c r="K14" s="5">
        <v>0.4</v>
      </c>
    </row>
    <row r="16" spans="1:20" ht="18">
      <c r="B16" s="39" t="s">
        <v>1137</v>
      </c>
    </row>
    <row r="18" spans="2:6">
      <c r="B18" s="76" t="str">
        <f>RAW_DATA_INPUTS!H128</f>
        <v xml:space="preserve">MALE PRIMARY Starting Stock figures </v>
      </c>
    </row>
    <row r="20" spans="2:6">
      <c r="B20" s="1183" t="str">
        <f>RAW_DATA_INPUTS!B131</f>
        <v>Age group</v>
      </c>
      <c r="C20" s="1160" t="s">
        <v>74</v>
      </c>
      <c r="D20" s="1160"/>
      <c r="E20" s="1160"/>
      <c r="F20" s="1160"/>
    </row>
    <row r="21" spans="2:6">
      <c r="B21" s="1184"/>
      <c r="C21" s="8" t="str">
        <f>RAW_DATA_INPUTS!C131</f>
        <v>2011/12</v>
      </c>
      <c r="D21" s="8" t="str">
        <f>RAW_DATA_INPUTS!D131</f>
        <v>2012/13</v>
      </c>
      <c r="E21" s="8" t="str">
        <f>RAW_DATA_INPUTS!E131</f>
        <v>2013/14</v>
      </c>
      <c r="F21" s="8" t="str">
        <f>RAW_DATA_INPUTS!F131</f>
        <v>2014/15</v>
      </c>
    </row>
    <row r="22" spans="2:6">
      <c r="B22" s="8" t="str">
        <f>RAW_DATA_INPUTS!B132</f>
        <v>20-24</v>
      </c>
      <c r="C22" s="307">
        <f>RAW_DATA_INPUTS!I132</f>
        <v>1346.5930000000001</v>
      </c>
      <c r="D22" s="307">
        <f>RAW_DATA_INPUTS!J132</f>
        <v>1514.463</v>
      </c>
      <c r="E22" s="307">
        <f>RAW_DATA_INPUTS!K132</f>
        <v>1745.605</v>
      </c>
      <c r="F22" s="307">
        <f>RAW_DATA_INPUTS!L132</f>
        <v>1982.0170000000001</v>
      </c>
    </row>
    <row r="23" spans="2:6">
      <c r="B23" s="8" t="str">
        <f>RAW_DATA_INPUTS!B133</f>
        <v>25-29</v>
      </c>
      <c r="C23" s="307">
        <f>RAW_DATA_INPUTS!I133</f>
        <v>4289.7870000000003</v>
      </c>
      <c r="D23" s="307">
        <f>RAW_DATA_INPUTS!J133</f>
        <v>4837.1180000000004</v>
      </c>
      <c r="E23" s="307">
        <f>RAW_DATA_INPUTS!K133</f>
        <v>5400.1670000000004</v>
      </c>
      <c r="F23" s="307">
        <f>RAW_DATA_INPUTS!L133</f>
        <v>6023.643</v>
      </c>
    </row>
    <row r="24" spans="2:6">
      <c r="B24" s="8" t="str">
        <f>RAW_DATA_INPUTS!B134</f>
        <v>30-34</v>
      </c>
      <c r="C24" s="307">
        <f>RAW_DATA_INPUTS!I134</f>
        <v>4826.4629999999997</v>
      </c>
      <c r="D24" s="307">
        <f>RAW_DATA_INPUTS!J134</f>
        <v>5132.835</v>
      </c>
      <c r="E24" s="307">
        <f>RAW_DATA_INPUTS!K134</f>
        <v>5453.1239999999998</v>
      </c>
      <c r="F24" s="307">
        <f>RAW_DATA_INPUTS!L134</f>
        <v>5627.8090000000002</v>
      </c>
    </row>
    <row r="25" spans="2:6">
      <c r="B25" s="8" t="str">
        <f>RAW_DATA_INPUTS!B135</f>
        <v>35-39</v>
      </c>
      <c r="C25" s="307">
        <f>RAW_DATA_INPUTS!I135</f>
        <v>4610.6850000000004</v>
      </c>
      <c r="D25" s="307">
        <f>RAW_DATA_INPUTS!J135</f>
        <v>4665.8019999999997</v>
      </c>
      <c r="E25" s="307">
        <f>RAW_DATA_INPUTS!K135</f>
        <v>4700.8710000000001</v>
      </c>
      <c r="F25" s="307">
        <f>RAW_DATA_INPUTS!L135</f>
        <v>4915.6009999999997</v>
      </c>
    </row>
    <row r="26" spans="2:6">
      <c r="B26" s="8" t="str">
        <f>RAW_DATA_INPUTS!B136</f>
        <v>40-44</v>
      </c>
      <c r="C26" s="307">
        <f>RAW_DATA_INPUTS!I136</f>
        <v>3941.797</v>
      </c>
      <c r="D26" s="307">
        <f>RAW_DATA_INPUTS!J136</f>
        <v>4196.4319999999998</v>
      </c>
      <c r="E26" s="307">
        <f>RAW_DATA_INPUTS!K136</f>
        <v>4407.5060000000003</v>
      </c>
      <c r="F26" s="307">
        <f>RAW_DATA_INPUTS!L136</f>
        <v>4574.38</v>
      </c>
    </row>
    <row r="27" spans="2:6">
      <c r="B27" s="8" t="str">
        <f>RAW_DATA_INPUTS!B137</f>
        <v>45-49</v>
      </c>
      <c r="C27" s="307">
        <f>RAW_DATA_INPUTS!I137</f>
        <v>3336.1190000000001</v>
      </c>
      <c r="D27" s="307">
        <f>RAW_DATA_INPUTS!J137</f>
        <v>3447.72</v>
      </c>
      <c r="E27" s="307">
        <f>RAW_DATA_INPUTS!K137</f>
        <v>3505.8310000000001</v>
      </c>
      <c r="F27" s="307">
        <f>RAW_DATA_INPUTS!L137</f>
        <v>3568.99</v>
      </c>
    </row>
    <row r="28" spans="2:6">
      <c r="B28" s="8" t="str">
        <f>RAW_DATA_INPUTS!B138</f>
        <v>50-54</v>
      </c>
      <c r="C28" s="307">
        <f>RAW_DATA_INPUTS!I138</f>
        <v>2482.8429999999998</v>
      </c>
      <c r="D28" s="307">
        <f>RAW_DATA_INPUTS!J138</f>
        <v>2466.201</v>
      </c>
      <c r="E28" s="307">
        <f>RAW_DATA_INPUTS!K138</f>
        <v>2514.817</v>
      </c>
      <c r="F28" s="307">
        <f>RAW_DATA_INPUTS!L138</f>
        <v>2613.924</v>
      </c>
    </row>
    <row r="29" spans="2:6">
      <c r="B29" s="8" t="str">
        <f>RAW_DATA_INPUTS!B139</f>
        <v>55-59</v>
      </c>
      <c r="C29" s="307">
        <f>RAW_DATA_INPUTS!I139</f>
        <v>2444.1129999999998</v>
      </c>
      <c r="D29" s="307">
        <f>RAW_DATA_INPUTS!J139</f>
        <v>2178.13</v>
      </c>
      <c r="E29" s="307">
        <f>RAW_DATA_INPUTS!K139</f>
        <v>1972.1220000000001</v>
      </c>
      <c r="F29" s="307">
        <f>RAW_DATA_INPUTS!L139</f>
        <v>1696.258</v>
      </c>
    </row>
    <row r="30" spans="2:6">
      <c r="B30" s="8" t="str">
        <f>RAW_DATA_INPUTS!B140</f>
        <v>60-64</v>
      </c>
      <c r="C30" s="307">
        <f>RAW_DATA_INPUTS!I140</f>
        <v>725.55399999999997</v>
      </c>
      <c r="D30" s="307">
        <f>RAW_DATA_INPUTS!J140</f>
        <v>748.60900000000004</v>
      </c>
      <c r="E30" s="307">
        <f>RAW_DATA_INPUTS!K140</f>
        <v>704.23199999999997</v>
      </c>
      <c r="F30" s="307">
        <f>RAW_DATA_INPUTS!L140</f>
        <v>639.24099999999999</v>
      </c>
    </row>
    <row r="31" spans="2:6">
      <c r="B31" s="8" t="str">
        <f>RAW_DATA_INPUTS!B141</f>
        <v>65 plus</v>
      </c>
      <c r="C31" s="307">
        <f>RAW_DATA_INPUTS!I141</f>
        <v>103.547</v>
      </c>
      <c r="D31" s="307">
        <f>RAW_DATA_INPUTS!J141</f>
        <v>143.124</v>
      </c>
      <c r="E31" s="307">
        <f>RAW_DATA_INPUTS!K141</f>
        <v>143.75899999999999</v>
      </c>
      <c r="F31" s="307">
        <f>RAW_DATA_INPUTS!L141</f>
        <v>146.489</v>
      </c>
    </row>
    <row r="32" spans="2:6">
      <c r="B32" s="8" t="str">
        <f>RAW_DATA_INPUTS!B142</f>
        <v>Total</v>
      </c>
      <c r="C32" s="307">
        <f>RAW_DATA_INPUTS!I142</f>
        <v>28107.501</v>
      </c>
      <c r="D32" s="307">
        <f>RAW_DATA_INPUTS!J142</f>
        <v>29330.434000000005</v>
      </c>
      <c r="E32" s="307">
        <f>RAW_DATA_INPUTS!K142</f>
        <v>30548.033999999996</v>
      </c>
      <c r="F32" s="307">
        <f>RAW_DATA_INPUTS!L142</f>
        <v>31788.352000000006</v>
      </c>
    </row>
    <row r="33" spans="1:7">
      <c r="A33">
        <f>SUM(C33:F33)</f>
        <v>0</v>
      </c>
      <c r="C33">
        <f>SUM(C22:C31)-C32</f>
        <v>0</v>
      </c>
      <c r="D33">
        <f>SUM(D22:D31)-D32</f>
        <v>0</v>
      </c>
      <c r="E33">
        <f>SUM(E22:E31)-E32</f>
        <v>0</v>
      </c>
      <c r="F33">
        <f>SUM(F22:F31)-F32</f>
        <v>0</v>
      </c>
    </row>
    <row r="35" spans="1:7">
      <c r="B35" s="76" t="str">
        <f>RAW_DATA_INPUTS!H162</f>
        <v xml:space="preserve">FEMALE PRIMARY Starting Stock figures </v>
      </c>
    </row>
    <row r="37" spans="1:7">
      <c r="B37" s="1183" t="str">
        <f>RAW_DATA_INPUTS!B148</f>
        <v>Age group</v>
      </c>
      <c r="C37" s="1160" t="str">
        <f>C20</f>
        <v>Year</v>
      </c>
      <c r="D37" s="1160"/>
      <c r="E37" s="1160"/>
      <c r="F37" s="1160"/>
    </row>
    <row r="38" spans="1:7">
      <c r="B38" s="1184"/>
      <c r="C38" s="8" t="str">
        <f>C21</f>
        <v>2011/12</v>
      </c>
      <c r="D38" s="8" t="str">
        <f>D21</f>
        <v>2012/13</v>
      </c>
      <c r="E38" s="8" t="str">
        <f>E21</f>
        <v>2013/14</v>
      </c>
      <c r="F38" s="8" t="str">
        <f>F21</f>
        <v>2014/15</v>
      </c>
    </row>
    <row r="39" spans="1:7">
      <c r="B39" s="8" t="str">
        <f>RAW_DATA_INPUTS!B166</f>
        <v>20-24</v>
      </c>
      <c r="C39" s="307">
        <f>RAW_DATA_INPUTS!I166</f>
        <v>11645.14</v>
      </c>
      <c r="D39" s="307">
        <f>RAW_DATA_INPUTS!J166</f>
        <v>12590.892</v>
      </c>
      <c r="E39" s="307">
        <f>RAW_DATA_INPUTS!K166</f>
        <v>13741.936</v>
      </c>
      <c r="F39" s="307">
        <f>RAW_DATA_INPUTS!L166</f>
        <v>14942.416999999999</v>
      </c>
      <c r="G39" s="5"/>
    </row>
    <row r="40" spans="1:7">
      <c r="B40" s="8" t="str">
        <f>RAW_DATA_INPUTS!B167</f>
        <v>25-29</v>
      </c>
      <c r="C40" s="307">
        <f>RAW_DATA_INPUTS!I167</f>
        <v>30892.727999999999</v>
      </c>
      <c r="D40" s="307">
        <f>RAW_DATA_INPUTS!J167</f>
        <v>32337.764999999999</v>
      </c>
      <c r="E40" s="307">
        <f>RAW_DATA_INPUTS!K167</f>
        <v>33872.055</v>
      </c>
      <c r="F40" s="307">
        <f>RAW_DATA_INPUTS!L167</f>
        <v>34965.243999999999</v>
      </c>
      <c r="G40" s="5"/>
    </row>
    <row r="41" spans="1:7">
      <c r="B41" s="8" t="str">
        <f>RAW_DATA_INPUTS!B168</f>
        <v>30-34</v>
      </c>
      <c r="C41" s="307">
        <f>RAW_DATA_INPUTS!I168</f>
        <v>31531.079000000002</v>
      </c>
      <c r="D41" s="307">
        <f>RAW_DATA_INPUTS!J168</f>
        <v>32598.183000000001</v>
      </c>
      <c r="E41" s="307">
        <f>RAW_DATA_INPUTS!K168</f>
        <v>33026.067999999999</v>
      </c>
      <c r="F41" s="307">
        <f>RAW_DATA_INPUTS!L168</f>
        <v>33290.182000000001</v>
      </c>
      <c r="G41" s="5"/>
    </row>
    <row r="42" spans="1:7">
      <c r="B42" s="8" t="str">
        <f>RAW_DATA_INPUTS!B169</f>
        <v>35-39</v>
      </c>
      <c r="C42" s="307">
        <f>RAW_DATA_INPUTS!I169</f>
        <v>27639.316999999999</v>
      </c>
      <c r="D42" s="307">
        <f>RAW_DATA_INPUTS!J169</f>
        <v>28351.003000000001</v>
      </c>
      <c r="E42" s="307">
        <f>RAW_DATA_INPUTS!K169</f>
        <v>28849.746999999999</v>
      </c>
      <c r="F42" s="307">
        <f>RAW_DATA_INPUTS!L169</f>
        <v>29731.899000000001</v>
      </c>
      <c r="G42" s="5"/>
    </row>
    <row r="43" spans="1:7">
      <c r="B43" s="8" t="str">
        <f>RAW_DATA_INPUTS!B170</f>
        <v>40-44</v>
      </c>
      <c r="C43" s="307">
        <f>RAW_DATA_INPUTS!I170</f>
        <v>24095.727999999999</v>
      </c>
      <c r="D43" s="307">
        <f>RAW_DATA_INPUTS!J170</f>
        <v>25394.679</v>
      </c>
      <c r="E43" s="307">
        <f>RAW_DATA_INPUTS!K170</f>
        <v>26801.800999999999</v>
      </c>
      <c r="F43" s="307">
        <f>RAW_DATA_INPUTS!L170</f>
        <v>28052.525000000001</v>
      </c>
      <c r="G43" s="5"/>
    </row>
    <row r="44" spans="1:7">
      <c r="B44" s="8" t="str">
        <f>RAW_DATA_INPUTS!B171</f>
        <v>45-49</v>
      </c>
      <c r="C44" s="307">
        <f>RAW_DATA_INPUTS!I171</f>
        <v>22270.969000000001</v>
      </c>
      <c r="D44" s="307">
        <f>RAW_DATA_INPUTS!J171</f>
        <v>23196.210999999999</v>
      </c>
      <c r="E44" s="307">
        <f>RAW_DATA_INPUTS!K171</f>
        <v>23702.975999999999</v>
      </c>
      <c r="F44" s="307">
        <f>RAW_DATA_INPUTS!L171</f>
        <v>24098.245999999999</v>
      </c>
      <c r="G44" s="5"/>
    </row>
    <row r="45" spans="1:7">
      <c r="B45" s="8" t="str">
        <f>RAW_DATA_INPUTS!B172</f>
        <v>50-54</v>
      </c>
      <c r="C45" s="307">
        <f>RAW_DATA_INPUTS!I172</f>
        <v>19337.964</v>
      </c>
      <c r="D45" s="307">
        <f>RAW_DATA_INPUTS!J172</f>
        <v>18348.882000000001</v>
      </c>
      <c r="E45" s="307">
        <f>RAW_DATA_INPUTS!K172</f>
        <v>18105.984</v>
      </c>
      <c r="F45" s="307">
        <f>RAW_DATA_INPUTS!L172</f>
        <v>18539.277999999998</v>
      </c>
      <c r="G45" s="5"/>
    </row>
    <row r="46" spans="1:7">
      <c r="B46" s="8" t="str">
        <f>RAW_DATA_INPUTS!B173</f>
        <v>55-59</v>
      </c>
      <c r="C46" s="307">
        <f>RAW_DATA_INPUTS!I173</f>
        <v>18889.525000000001</v>
      </c>
      <c r="D46" s="307">
        <f>RAW_DATA_INPUTS!J173</f>
        <v>17550.594000000001</v>
      </c>
      <c r="E46" s="307">
        <f>RAW_DATA_INPUTS!K173</f>
        <v>16115.884</v>
      </c>
      <c r="F46" s="307">
        <f>RAW_DATA_INPUTS!L173</f>
        <v>14359.462</v>
      </c>
      <c r="G46" s="5"/>
    </row>
    <row r="47" spans="1:7">
      <c r="B47" s="8" t="str">
        <f>RAW_DATA_INPUTS!B174</f>
        <v>60-64</v>
      </c>
      <c r="C47" s="307">
        <f>RAW_DATA_INPUTS!I174</f>
        <v>4758.4489999999996</v>
      </c>
      <c r="D47" s="307">
        <f>RAW_DATA_INPUTS!J174</f>
        <v>4891.2910000000002</v>
      </c>
      <c r="E47" s="307">
        <f>RAW_DATA_INPUTS!K174</f>
        <v>4911.7430000000004</v>
      </c>
      <c r="F47" s="307">
        <f>RAW_DATA_INPUTS!L174</f>
        <v>4868.223</v>
      </c>
      <c r="G47" s="5"/>
    </row>
    <row r="48" spans="1:7">
      <c r="B48" s="8" t="str">
        <f>RAW_DATA_INPUTS!B175</f>
        <v>65 plus</v>
      </c>
      <c r="C48" s="307">
        <f>RAW_DATA_INPUTS!I175</f>
        <v>590.86699999999996</v>
      </c>
      <c r="D48" s="307">
        <f>RAW_DATA_INPUTS!J175</f>
        <v>720.93</v>
      </c>
      <c r="E48" s="307">
        <f>RAW_DATA_INPUTS!K175</f>
        <v>745.91899999999998</v>
      </c>
      <c r="F48" s="307">
        <f>RAW_DATA_INPUTS!L175</f>
        <v>787.39700000000005</v>
      </c>
      <c r="G48" s="5"/>
    </row>
    <row r="49" spans="1:7">
      <c r="B49" s="8" t="str">
        <f>RAW_DATA_INPUTS!B176</f>
        <v>Total</v>
      </c>
      <c r="C49" s="307">
        <f>RAW_DATA_INPUTS!I176</f>
        <v>191651.766</v>
      </c>
      <c r="D49" s="307">
        <f>RAW_DATA_INPUTS!J176</f>
        <v>195980.43000000002</v>
      </c>
      <c r="E49" s="307">
        <f>RAW_DATA_INPUTS!K176</f>
        <v>199874.11299999998</v>
      </c>
      <c r="F49" s="307">
        <f>RAW_DATA_INPUTS!L176</f>
        <v>203634.87299999996</v>
      </c>
      <c r="G49" s="5"/>
    </row>
    <row r="50" spans="1:7">
      <c r="A50">
        <f>SUM(C50:F50)</f>
        <v>0</v>
      </c>
      <c r="C50">
        <f>SUM(C39:C48)-C49</f>
        <v>0</v>
      </c>
      <c r="D50">
        <f>SUM(D39:D48)-D49</f>
        <v>0</v>
      </c>
      <c r="E50">
        <f>SUM(E39:E48)-E49</f>
        <v>0</v>
      </c>
      <c r="F50">
        <f>SUM(F39:F48)-F49</f>
        <v>0</v>
      </c>
    </row>
    <row r="52" spans="1:7" ht="18">
      <c r="B52" s="39" t="s">
        <v>506</v>
      </c>
    </row>
    <row r="54" spans="1:7">
      <c r="B54" s="76" t="s">
        <v>508</v>
      </c>
    </row>
    <row r="56" spans="1:7">
      <c r="B56" s="1183" t="str">
        <f>B37</f>
        <v>Age group</v>
      </c>
      <c r="C56" s="1160" t="str">
        <f>C37</f>
        <v>Year</v>
      </c>
      <c r="D56" s="1160"/>
      <c r="E56" s="1160"/>
      <c r="F56" s="1160"/>
    </row>
    <row r="57" spans="1:7">
      <c r="B57" s="1184"/>
      <c r="C57" s="8" t="str">
        <f>C91</f>
        <v>2011/12</v>
      </c>
      <c r="D57" s="8" t="str">
        <f>D91</f>
        <v>2012/13</v>
      </c>
      <c r="E57" s="8" t="str">
        <f>E91</f>
        <v>2013/14</v>
      </c>
      <c r="F57" s="8" t="str">
        <f>F91</f>
        <v>2014/15</v>
      </c>
    </row>
    <row r="58" spans="1:7">
      <c r="B58" s="8" t="str">
        <f t="shared" ref="B58:B68" si="0">B39</f>
        <v>20-24</v>
      </c>
      <c r="C58" s="418">
        <f>RAW_DATA_INPUTS!I268</f>
        <v>0</v>
      </c>
      <c r="D58" s="418">
        <f>RAW_DATA_INPUTS!J268</f>
        <v>0</v>
      </c>
      <c r="E58" s="418">
        <f>RAW_DATA_INPUTS!K268</f>
        <v>0</v>
      </c>
      <c r="F58" s="418">
        <f>RAW_DATA_INPUTS!L268</f>
        <v>0</v>
      </c>
    </row>
    <row r="59" spans="1:7">
      <c r="B59" s="8" t="str">
        <f t="shared" si="0"/>
        <v>25-29</v>
      </c>
      <c r="C59" s="418">
        <f>RAW_DATA_INPUTS!I269</f>
        <v>0</v>
      </c>
      <c r="D59" s="418">
        <f>RAW_DATA_INPUTS!J269</f>
        <v>0</v>
      </c>
      <c r="E59" s="418">
        <f>RAW_DATA_INPUTS!K269</f>
        <v>0</v>
      </c>
      <c r="F59" s="418">
        <f>RAW_DATA_INPUTS!L269</f>
        <v>0</v>
      </c>
    </row>
    <row r="60" spans="1:7">
      <c r="B60" s="8" t="str">
        <f t="shared" si="0"/>
        <v>30-34</v>
      </c>
      <c r="C60" s="418">
        <f>RAW_DATA_INPUTS!I270</f>
        <v>0</v>
      </c>
      <c r="D60" s="418">
        <f>RAW_DATA_INPUTS!J270</f>
        <v>0</v>
      </c>
      <c r="E60" s="418">
        <f>RAW_DATA_INPUTS!K270</f>
        <v>0</v>
      </c>
      <c r="F60" s="418">
        <f>RAW_DATA_INPUTS!L270</f>
        <v>0</v>
      </c>
    </row>
    <row r="61" spans="1:7">
      <c r="B61" s="8" t="str">
        <f t="shared" si="0"/>
        <v>35-39</v>
      </c>
      <c r="C61" s="418">
        <f>RAW_DATA_INPUTS!I271</f>
        <v>0</v>
      </c>
      <c r="D61" s="418">
        <f>RAW_DATA_INPUTS!J271</f>
        <v>0</v>
      </c>
      <c r="E61" s="418">
        <f>RAW_DATA_INPUTS!K271</f>
        <v>0</v>
      </c>
      <c r="F61" s="418">
        <f>RAW_DATA_INPUTS!L271</f>
        <v>0</v>
      </c>
    </row>
    <row r="62" spans="1:7">
      <c r="B62" s="8" t="str">
        <f t="shared" si="0"/>
        <v>40-44</v>
      </c>
      <c r="C62" s="418">
        <f>RAW_DATA_INPUTS!I272</f>
        <v>0</v>
      </c>
      <c r="D62" s="418">
        <f>RAW_DATA_INPUTS!J272</f>
        <v>0</v>
      </c>
      <c r="E62" s="418">
        <f>RAW_DATA_INPUTS!K272</f>
        <v>5.8389912717263632</v>
      </c>
      <c r="F62" s="418">
        <f>RAW_DATA_INPUTS!L272</f>
        <v>5.8389912717263632</v>
      </c>
    </row>
    <row r="63" spans="1:7">
      <c r="B63" s="8" t="str">
        <f t="shared" si="0"/>
        <v>45-49</v>
      </c>
      <c r="C63" s="418">
        <f>RAW_DATA_INPUTS!I273</f>
        <v>6</v>
      </c>
      <c r="D63" s="418">
        <f>RAW_DATA_INPUTS!J273</f>
        <v>5.6502042535262884</v>
      </c>
      <c r="E63" s="418">
        <f>RAW_DATA_INPUTS!K273</f>
        <v>5.8372032605548529</v>
      </c>
      <c r="F63" s="418">
        <f>RAW_DATA_INPUTS!L273</f>
        <v>5.8372032605548529</v>
      </c>
    </row>
    <row r="64" spans="1:7">
      <c r="B64" s="8" t="str">
        <f t="shared" si="0"/>
        <v>50-54</v>
      </c>
      <c r="C64" s="418">
        <f>RAW_DATA_INPUTS!I274</f>
        <v>6</v>
      </c>
      <c r="D64" s="418">
        <f>RAW_DATA_INPUTS!J274</f>
        <v>5</v>
      </c>
      <c r="E64" s="418">
        <f>RAW_DATA_INPUTS!K274</f>
        <v>6</v>
      </c>
      <c r="F64" s="418">
        <f>RAW_DATA_INPUTS!L274</f>
        <v>6</v>
      </c>
    </row>
    <row r="65" spans="1:6">
      <c r="B65" s="8" t="str">
        <f t="shared" si="0"/>
        <v>55-59</v>
      </c>
      <c r="C65" s="418">
        <f>RAW_DATA_INPUTS!I275</f>
        <v>6</v>
      </c>
      <c r="D65" s="418">
        <f>RAW_DATA_INPUTS!J275</f>
        <v>0</v>
      </c>
      <c r="E65" s="418">
        <f>RAW_DATA_INPUTS!K275</f>
        <v>6</v>
      </c>
      <c r="F65" s="418">
        <f>RAW_DATA_INPUTS!L275</f>
        <v>6</v>
      </c>
    </row>
    <row r="66" spans="1:6">
      <c r="B66" s="8" t="str">
        <f t="shared" si="0"/>
        <v>60-64</v>
      </c>
      <c r="C66" s="418">
        <f>RAW_DATA_INPUTS!I276</f>
        <v>0</v>
      </c>
      <c r="D66" s="418">
        <f>RAW_DATA_INPUTS!J276</f>
        <v>0</v>
      </c>
      <c r="E66" s="418">
        <f>RAW_DATA_INPUTS!K276</f>
        <v>0</v>
      </c>
      <c r="F66" s="418">
        <f>RAW_DATA_INPUTS!L276</f>
        <v>0</v>
      </c>
    </row>
    <row r="67" spans="1:6">
      <c r="B67" s="8" t="str">
        <f t="shared" si="0"/>
        <v>65 plus</v>
      </c>
      <c r="C67" s="418">
        <f>RAW_DATA_INPUTS!I277</f>
        <v>0</v>
      </c>
      <c r="D67" s="418">
        <f>RAW_DATA_INPUTS!J277</f>
        <v>0</v>
      </c>
      <c r="E67" s="418">
        <f>RAW_DATA_INPUTS!K277</f>
        <v>0</v>
      </c>
      <c r="F67" s="418">
        <f>RAW_DATA_INPUTS!L277</f>
        <v>0</v>
      </c>
    </row>
    <row r="68" spans="1:6">
      <c r="B68" s="8" t="str">
        <f t="shared" si="0"/>
        <v>Total</v>
      </c>
      <c r="C68" s="418">
        <f>RAW_DATA_INPUTS!I278</f>
        <v>18</v>
      </c>
      <c r="D68" s="418">
        <f>RAW_DATA_INPUTS!J278</f>
        <v>10.650204253526288</v>
      </c>
      <c r="E68" s="418">
        <f>RAW_DATA_INPUTS!K278</f>
        <v>23.676194532281215</v>
      </c>
      <c r="F68" s="418">
        <f>RAW_DATA_INPUTS!L278</f>
        <v>23.676194532281215</v>
      </c>
    </row>
    <row r="69" spans="1:6">
      <c r="A69">
        <f>SUM(C69:F69)</f>
        <v>0</v>
      </c>
      <c r="C69">
        <f>SUM(C58:C67)-C68</f>
        <v>0</v>
      </c>
      <c r="D69">
        <f>SUM(D58:D67)-D68</f>
        <v>0</v>
      </c>
      <c r="E69">
        <f>SUM(E58:E67)-E68</f>
        <v>0</v>
      </c>
      <c r="F69">
        <f>SUM(F58:F67)-F68</f>
        <v>0</v>
      </c>
    </row>
    <row r="71" spans="1:6">
      <c r="B71" s="76" t="s">
        <v>507</v>
      </c>
    </row>
    <row r="73" spans="1:6">
      <c r="B73" s="1183" t="str">
        <f>B56</f>
        <v>Age group</v>
      </c>
      <c r="C73" s="1160" t="str">
        <f>C56</f>
        <v>Year</v>
      </c>
      <c r="D73" s="1160"/>
      <c r="E73" s="1160"/>
      <c r="F73" s="1160"/>
    </row>
    <row r="74" spans="1:6">
      <c r="B74" s="1184"/>
      <c r="C74" s="8" t="str">
        <f>C57</f>
        <v>2011/12</v>
      </c>
      <c r="D74" s="8" t="str">
        <f>D57</f>
        <v>2012/13</v>
      </c>
      <c r="E74" s="8" t="str">
        <f>E57</f>
        <v>2013/14</v>
      </c>
      <c r="F74" s="8" t="str">
        <f>F57</f>
        <v>2014/15</v>
      </c>
    </row>
    <row r="75" spans="1:6">
      <c r="B75" s="8" t="str">
        <f t="shared" ref="B75:B85" si="1">B58</f>
        <v>20-24</v>
      </c>
      <c r="C75" s="418">
        <f>RAW_DATA_INPUTS!I285</f>
        <v>0</v>
      </c>
      <c r="D75" s="418">
        <f>RAW_DATA_INPUTS!J285</f>
        <v>0</v>
      </c>
      <c r="E75" s="418">
        <f>RAW_DATA_INPUTS!K285</f>
        <v>0</v>
      </c>
      <c r="F75" s="418">
        <f>RAW_DATA_INPUTS!L285</f>
        <v>0</v>
      </c>
    </row>
    <row r="76" spans="1:6">
      <c r="B76" s="8" t="str">
        <f t="shared" si="1"/>
        <v>25-29</v>
      </c>
      <c r="C76" s="418">
        <f>RAW_DATA_INPUTS!I286</f>
        <v>5</v>
      </c>
      <c r="D76" s="418">
        <f>RAW_DATA_INPUTS!J286</f>
        <v>5</v>
      </c>
      <c r="E76" s="418">
        <f>RAW_DATA_INPUTS!K286</f>
        <v>5</v>
      </c>
      <c r="F76" s="418">
        <f>RAW_DATA_INPUTS!L286</f>
        <v>5</v>
      </c>
    </row>
    <row r="77" spans="1:6">
      <c r="B77" s="8" t="str">
        <f t="shared" si="1"/>
        <v>30-34</v>
      </c>
      <c r="C77" s="418">
        <f>RAW_DATA_INPUTS!I287</f>
        <v>5.7025235479576173</v>
      </c>
      <c r="D77" s="418">
        <f>RAW_DATA_INPUTS!J287</f>
        <v>5</v>
      </c>
      <c r="E77" s="418">
        <f>RAW_DATA_INPUTS!K287</f>
        <v>5</v>
      </c>
      <c r="F77" s="418">
        <f>RAW_DATA_INPUTS!L287</f>
        <v>5</v>
      </c>
    </row>
    <row r="78" spans="1:6">
      <c r="B78" s="8" t="str">
        <f t="shared" si="1"/>
        <v>35-39</v>
      </c>
      <c r="C78" s="418">
        <f>RAW_DATA_INPUTS!I288</f>
        <v>13.595595121340223</v>
      </c>
      <c r="D78" s="418">
        <f>RAW_DATA_INPUTS!J288</f>
        <v>5.7155458989097276</v>
      </c>
      <c r="E78" s="418">
        <f>RAW_DATA_INPUTS!K288</f>
        <v>6.9123598478330042</v>
      </c>
      <c r="F78" s="418">
        <f>RAW_DATA_INPUTS!L288</f>
        <v>6.9123598478330042</v>
      </c>
    </row>
    <row r="79" spans="1:6">
      <c r="B79" s="8" t="str">
        <f t="shared" si="1"/>
        <v>40-44</v>
      </c>
      <c r="C79" s="418">
        <f>RAW_DATA_INPUTS!I289</f>
        <v>12.552757060678232</v>
      </c>
      <c r="D79" s="418">
        <f>RAW_DATA_INPUTS!J289</f>
        <v>11.432679861014359</v>
      </c>
      <c r="E79" s="418">
        <f>RAW_DATA_INPUTS!K289</f>
        <v>10.259290626663125</v>
      </c>
      <c r="F79" s="418">
        <f>RAW_DATA_INPUTS!L289</f>
        <v>10.259290626663125</v>
      </c>
    </row>
    <row r="80" spans="1:6">
      <c r="B80" s="8" t="str">
        <f t="shared" si="1"/>
        <v>45-49</v>
      </c>
      <c r="C80" s="418">
        <f>RAW_DATA_INPUTS!I290</f>
        <v>21.657101101375716</v>
      </c>
      <c r="D80" s="418">
        <f>RAW_DATA_INPUTS!J290</f>
        <v>13.627437389259152</v>
      </c>
      <c r="E80" s="418">
        <f>RAW_DATA_INPUTS!K290</f>
        <v>16.064145776656506</v>
      </c>
      <c r="F80" s="418">
        <f>RAW_DATA_INPUTS!L290</f>
        <v>16.064145776656506</v>
      </c>
    </row>
    <row r="81" spans="1:6">
      <c r="B81" s="8" t="str">
        <f t="shared" si="1"/>
        <v>50-54</v>
      </c>
      <c r="C81" s="418">
        <f>RAW_DATA_INPUTS!I291</f>
        <v>15.399189573332878</v>
      </c>
      <c r="D81" s="418">
        <f>RAW_DATA_INPUTS!J291</f>
        <v>14.762601969363557</v>
      </c>
      <c r="E81" s="418">
        <f>RAW_DATA_INPUTS!K291</f>
        <v>11.388067906555701</v>
      </c>
      <c r="F81" s="418">
        <f>RAW_DATA_INPUTS!L291</f>
        <v>11.388067906555701</v>
      </c>
    </row>
    <row r="82" spans="1:6">
      <c r="B82" s="8" t="str">
        <f t="shared" si="1"/>
        <v>55-59</v>
      </c>
      <c r="C82" s="418">
        <f>RAW_DATA_INPUTS!I292</f>
        <v>26.882826158706916</v>
      </c>
      <c r="D82" s="418">
        <f>RAW_DATA_INPUTS!J292</f>
        <v>10</v>
      </c>
      <c r="E82" s="418">
        <f>RAW_DATA_INPUTS!K292</f>
        <v>14.40014398397507</v>
      </c>
      <c r="F82" s="418">
        <f>RAW_DATA_INPUTS!L292</f>
        <v>14.40014398397507</v>
      </c>
    </row>
    <row r="83" spans="1:6">
      <c r="B83" s="8" t="str">
        <f t="shared" si="1"/>
        <v>60-64</v>
      </c>
      <c r="C83" s="418">
        <f>RAW_DATA_INPUTS!I293</f>
        <v>5</v>
      </c>
      <c r="D83" s="418">
        <f>RAW_DATA_INPUTS!J293</f>
        <v>5</v>
      </c>
      <c r="E83" s="418">
        <f>RAW_DATA_INPUTS!K293</f>
        <v>5</v>
      </c>
      <c r="F83" s="418">
        <f>RAW_DATA_INPUTS!L293</f>
        <v>5</v>
      </c>
    </row>
    <row r="84" spans="1:6">
      <c r="B84" s="8" t="str">
        <f t="shared" si="1"/>
        <v>65 plus</v>
      </c>
      <c r="C84" s="418">
        <f>RAW_DATA_INPUTS!I294</f>
        <v>0</v>
      </c>
      <c r="D84" s="418">
        <f>RAW_DATA_INPUTS!J294</f>
        <v>0</v>
      </c>
      <c r="E84" s="418">
        <f>RAW_DATA_INPUTS!K294</f>
        <v>0</v>
      </c>
      <c r="F84" s="418">
        <f>RAW_DATA_INPUTS!L294</f>
        <v>0</v>
      </c>
    </row>
    <row r="85" spans="1:6">
      <c r="B85" s="8" t="str">
        <f t="shared" si="1"/>
        <v>Total</v>
      </c>
      <c r="C85" s="418">
        <f>RAW_DATA_INPUTS!I295</f>
        <v>105.78999256339159</v>
      </c>
      <c r="D85" s="418">
        <f>RAW_DATA_INPUTS!J295</f>
        <v>70.538265118546803</v>
      </c>
      <c r="E85" s="418">
        <f>RAW_DATA_INPUTS!K295</f>
        <v>74.02400814168341</v>
      </c>
      <c r="F85" s="418">
        <f>RAW_DATA_INPUTS!L295</f>
        <v>74.02400814168341</v>
      </c>
    </row>
    <row r="86" spans="1:6">
      <c r="A86">
        <f>SUM(C86:F86)</f>
        <v>0</v>
      </c>
      <c r="C86">
        <f>SUM(C75:C84)-C85</f>
        <v>0</v>
      </c>
      <c r="D86">
        <f>SUM(D75:D84)-D85</f>
        <v>0</v>
      </c>
      <c r="E86">
        <f>SUM(E75:E84)-E85</f>
        <v>0</v>
      </c>
      <c r="F86">
        <f>SUM(F75:F84)-F85</f>
        <v>0</v>
      </c>
    </row>
    <row r="88" spans="1:6">
      <c r="B88" s="76" t="s">
        <v>509</v>
      </c>
    </row>
    <row r="90" spans="1:6">
      <c r="B90" s="1140" t="str">
        <f>B73</f>
        <v>Age group</v>
      </c>
      <c r="C90" s="1160" t="str">
        <f>C73</f>
        <v>Year</v>
      </c>
      <c r="D90" s="1160"/>
      <c r="E90" s="1160"/>
      <c r="F90" s="1160"/>
    </row>
    <row r="91" spans="1:6">
      <c r="B91" s="1140"/>
      <c r="C91" s="8" t="str">
        <f>Calc_SEC_retirement_rates!C57</f>
        <v>2011/12</v>
      </c>
      <c r="D91" s="8" t="str">
        <f>Calc_SEC_retirement_rates!D57</f>
        <v>2012/13</v>
      </c>
      <c r="E91" s="8" t="str">
        <f>Calc_SEC_retirement_rates!E57</f>
        <v>2013/14</v>
      </c>
      <c r="F91" s="8" t="str">
        <f>Calc_SEC_retirement_rates!F57</f>
        <v>2014/15</v>
      </c>
    </row>
    <row r="92" spans="1:6">
      <c r="B92" s="8" t="str">
        <f t="shared" ref="B92:B102" si="2">B75</f>
        <v>20-24</v>
      </c>
      <c r="C92" s="164">
        <f t="shared" ref="C92:F102" si="3">C58/C22</f>
        <v>0</v>
      </c>
      <c r="D92" s="164">
        <f t="shared" si="3"/>
        <v>0</v>
      </c>
      <c r="E92" s="164">
        <f t="shared" si="3"/>
        <v>0</v>
      </c>
      <c r="F92" s="164">
        <f t="shared" si="3"/>
        <v>0</v>
      </c>
    </row>
    <row r="93" spans="1:6">
      <c r="B93" s="8" t="str">
        <f t="shared" si="2"/>
        <v>25-29</v>
      </c>
      <c r="C93" s="164">
        <f t="shared" si="3"/>
        <v>0</v>
      </c>
      <c r="D93" s="164">
        <f t="shared" si="3"/>
        <v>0</v>
      </c>
      <c r="E93" s="164">
        <f t="shared" si="3"/>
        <v>0</v>
      </c>
      <c r="F93" s="164">
        <f t="shared" si="3"/>
        <v>0</v>
      </c>
    </row>
    <row r="94" spans="1:6">
      <c r="B94" s="8" t="str">
        <f t="shared" si="2"/>
        <v>30-34</v>
      </c>
      <c r="C94" s="164">
        <f t="shared" si="3"/>
        <v>0</v>
      </c>
      <c r="D94" s="164">
        <f t="shared" si="3"/>
        <v>0</v>
      </c>
      <c r="E94" s="164">
        <f t="shared" si="3"/>
        <v>0</v>
      </c>
      <c r="F94" s="164">
        <f t="shared" si="3"/>
        <v>0</v>
      </c>
    </row>
    <row r="95" spans="1:6">
      <c r="B95" s="8" t="str">
        <f t="shared" si="2"/>
        <v>35-39</v>
      </c>
      <c r="C95" s="164">
        <f t="shared" si="3"/>
        <v>0</v>
      </c>
      <c r="D95" s="164">
        <f t="shared" si="3"/>
        <v>0</v>
      </c>
      <c r="E95" s="164">
        <f t="shared" si="3"/>
        <v>0</v>
      </c>
      <c r="F95" s="164">
        <f t="shared" si="3"/>
        <v>0</v>
      </c>
    </row>
    <row r="96" spans="1:6">
      <c r="B96" s="8" t="str">
        <f t="shared" si="2"/>
        <v>40-44</v>
      </c>
      <c r="C96" s="164">
        <f t="shared" si="3"/>
        <v>0</v>
      </c>
      <c r="D96" s="164">
        <f t="shared" si="3"/>
        <v>0</v>
      </c>
      <c r="E96" s="164">
        <f t="shared" si="3"/>
        <v>1.32478351061266E-3</v>
      </c>
      <c r="F96" s="164">
        <f t="shared" si="3"/>
        <v>1.2764552292827364E-3</v>
      </c>
    </row>
    <row r="97" spans="2:7">
      <c r="B97" s="8" t="str">
        <f t="shared" si="2"/>
        <v>45-49</v>
      </c>
      <c r="C97" s="164">
        <f t="shared" si="3"/>
        <v>1.7984969960603923E-3</v>
      </c>
      <c r="D97" s="164">
        <f t="shared" si="3"/>
        <v>1.638823411856615E-3</v>
      </c>
      <c r="E97" s="164">
        <f t="shared" si="3"/>
        <v>1.6649984727030061E-3</v>
      </c>
      <c r="F97" s="164">
        <f t="shared" si="3"/>
        <v>1.6355336553352218E-3</v>
      </c>
    </row>
    <row r="98" spans="2:7">
      <c r="B98" s="8" t="str">
        <f t="shared" si="2"/>
        <v>50-54</v>
      </c>
      <c r="C98" s="164">
        <f t="shared" si="3"/>
        <v>2.4165845363561048E-3</v>
      </c>
      <c r="D98" s="164">
        <f t="shared" si="3"/>
        <v>2.0274097691145208E-3</v>
      </c>
      <c r="E98" s="164">
        <f t="shared" si="3"/>
        <v>2.3858594879866009E-3</v>
      </c>
      <c r="F98" s="164">
        <f t="shared" si="3"/>
        <v>2.2953995602014443E-3</v>
      </c>
    </row>
    <row r="99" spans="2:7">
      <c r="B99" s="8" t="str">
        <f t="shared" si="2"/>
        <v>55-59</v>
      </c>
      <c r="C99" s="164">
        <f t="shared" si="3"/>
        <v>2.4548783137277206E-3</v>
      </c>
      <c r="D99" s="164">
        <f t="shared" si="3"/>
        <v>0</v>
      </c>
      <c r="E99" s="164">
        <f t="shared" si="3"/>
        <v>3.0424081268805884E-3</v>
      </c>
      <c r="F99" s="164">
        <f t="shared" si="3"/>
        <v>3.5371977611896302E-3</v>
      </c>
    </row>
    <row r="100" spans="2:7">
      <c r="B100" s="8" t="str">
        <f t="shared" si="2"/>
        <v>60-64</v>
      </c>
      <c r="C100" s="164">
        <f t="shared" si="3"/>
        <v>0</v>
      </c>
      <c r="D100" s="164">
        <f t="shared" si="3"/>
        <v>0</v>
      </c>
      <c r="E100" s="164">
        <f t="shared" si="3"/>
        <v>0</v>
      </c>
      <c r="F100" s="164">
        <f t="shared" si="3"/>
        <v>0</v>
      </c>
    </row>
    <row r="101" spans="2:7">
      <c r="B101" s="8" t="str">
        <f t="shared" si="2"/>
        <v>65 plus</v>
      </c>
      <c r="C101" s="164">
        <f t="shared" si="3"/>
        <v>0</v>
      </c>
      <c r="D101" s="164">
        <f t="shared" si="3"/>
        <v>0</v>
      </c>
      <c r="E101" s="164">
        <f t="shared" si="3"/>
        <v>0</v>
      </c>
      <c r="F101" s="164">
        <f t="shared" si="3"/>
        <v>0</v>
      </c>
    </row>
    <row r="102" spans="2:7">
      <c r="B102" s="8" t="str">
        <f t="shared" si="2"/>
        <v>Total</v>
      </c>
      <c r="C102" s="164">
        <f t="shared" si="3"/>
        <v>6.4039844737531098E-4</v>
      </c>
      <c r="D102" s="164">
        <f t="shared" si="3"/>
        <v>3.6311103523140118E-4</v>
      </c>
      <c r="E102" s="164">
        <f t="shared" si="3"/>
        <v>7.7504806143273311E-4</v>
      </c>
      <c r="F102" s="164">
        <f t="shared" si="3"/>
        <v>7.448072341806587E-4</v>
      </c>
    </row>
    <row r="104" spans="2:7">
      <c r="B104" s="76" t="s">
        <v>510</v>
      </c>
    </row>
    <row r="106" spans="2:7">
      <c r="B106" s="1140" t="str">
        <f>B90</f>
        <v>Age group</v>
      </c>
      <c r="C106" s="1160" t="str">
        <f>C90</f>
        <v>Year</v>
      </c>
      <c r="D106" s="1160"/>
      <c r="E106" s="1160"/>
      <c r="F106" s="1160"/>
    </row>
    <row r="107" spans="2:7">
      <c r="B107" s="1140"/>
      <c r="C107" s="8" t="str">
        <f>C91</f>
        <v>2011/12</v>
      </c>
      <c r="D107" s="8" t="str">
        <f>D91</f>
        <v>2012/13</v>
      </c>
      <c r="E107" s="8" t="str">
        <f>E91</f>
        <v>2013/14</v>
      </c>
      <c r="F107" s="8" t="str">
        <f>F91</f>
        <v>2014/15</v>
      </c>
    </row>
    <row r="108" spans="2:7">
      <c r="B108" s="8" t="str">
        <f>B92</f>
        <v>20-24</v>
      </c>
      <c r="C108" s="164">
        <f t="shared" ref="C108:F118" si="4">C75/C39</f>
        <v>0</v>
      </c>
      <c r="D108" s="164">
        <f t="shared" si="4"/>
        <v>0</v>
      </c>
      <c r="E108" s="164">
        <f t="shared" si="4"/>
        <v>0</v>
      </c>
      <c r="F108" s="164">
        <f t="shared" si="4"/>
        <v>0</v>
      </c>
      <c r="G108" s="5"/>
    </row>
    <row r="109" spans="2:7">
      <c r="B109" s="8" t="str">
        <f t="shared" ref="B109:B118" si="5">B93</f>
        <v>25-29</v>
      </c>
      <c r="C109" s="164">
        <f t="shared" si="4"/>
        <v>1.6185038757341212E-4</v>
      </c>
      <c r="D109" s="164">
        <f t="shared" si="4"/>
        <v>1.546179830300579E-4</v>
      </c>
      <c r="E109" s="164">
        <f t="shared" si="4"/>
        <v>1.4761430919972232E-4</v>
      </c>
      <c r="F109" s="164">
        <f t="shared" si="4"/>
        <v>1.4299914509391097E-4</v>
      </c>
      <c r="G109" s="5"/>
    </row>
    <row r="110" spans="2:7">
      <c r="B110" s="8" t="str">
        <f t="shared" si="5"/>
        <v>30-34</v>
      </c>
      <c r="C110" s="164">
        <f t="shared" si="4"/>
        <v>1.8085405665811872E-4</v>
      </c>
      <c r="D110" s="164">
        <f t="shared" si="4"/>
        <v>1.5338278210168954E-4</v>
      </c>
      <c r="E110" s="164">
        <f t="shared" si="4"/>
        <v>1.5139555819966216E-4</v>
      </c>
      <c r="F110" s="164">
        <f t="shared" si="4"/>
        <v>1.5019443270090864E-4</v>
      </c>
      <c r="G110" s="5"/>
    </row>
    <row r="111" spans="2:7">
      <c r="B111" s="8" t="str">
        <f t="shared" si="5"/>
        <v>35-39</v>
      </c>
      <c r="C111" s="164">
        <f t="shared" si="4"/>
        <v>4.9189330985784574E-4</v>
      </c>
      <c r="D111" s="164">
        <f t="shared" si="4"/>
        <v>2.0159942485667006E-4</v>
      </c>
      <c r="E111" s="164">
        <f t="shared" si="4"/>
        <v>2.3959862968063477E-4</v>
      </c>
      <c r="F111" s="164">
        <f t="shared" si="4"/>
        <v>2.3248968550017621E-4</v>
      </c>
      <c r="G111" s="5"/>
    </row>
    <row r="112" spans="2:7">
      <c r="B112" s="8" t="str">
        <f t="shared" si="5"/>
        <v>40-44</v>
      </c>
      <c r="C112" s="164">
        <f t="shared" si="4"/>
        <v>5.2095363380090585E-4</v>
      </c>
      <c r="D112" s="164">
        <f t="shared" si="4"/>
        <v>4.501998178836739E-4</v>
      </c>
      <c r="E112" s="164">
        <f t="shared" si="4"/>
        <v>3.8278362811003353E-4</v>
      </c>
      <c r="F112" s="164">
        <f t="shared" si="4"/>
        <v>3.6571719040133196E-4</v>
      </c>
      <c r="G112" s="5"/>
    </row>
    <row r="113" spans="2:7">
      <c r="B113" s="8" t="str">
        <f t="shared" si="5"/>
        <v>45-49</v>
      </c>
      <c r="C113" s="164">
        <f t="shared" si="4"/>
        <v>9.7243640819470918E-4</v>
      </c>
      <c r="D113" s="164">
        <f t="shared" si="4"/>
        <v>5.874854901629905E-4</v>
      </c>
      <c r="E113" s="164">
        <f t="shared" si="4"/>
        <v>6.7772695617025086E-4</v>
      </c>
      <c r="F113" s="164">
        <f t="shared" si="4"/>
        <v>6.6661058139486616E-4</v>
      </c>
      <c r="G113" s="5"/>
    </row>
    <row r="114" spans="2:7">
      <c r="B114" s="8" t="str">
        <f t="shared" si="5"/>
        <v>50-54</v>
      </c>
      <c r="C114" s="164">
        <f t="shared" si="4"/>
        <v>7.9631907336950663E-4</v>
      </c>
      <c r="D114" s="164">
        <f t="shared" si="4"/>
        <v>8.0455048810949652E-4</v>
      </c>
      <c r="E114" s="164">
        <f t="shared" si="4"/>
        <v>6.2896708107969723E-4</v>
      </c>
      <c r="F114" s="164">
        <f t="shared" si="4"/>
        <v>6.1426706620159113E-4</v>
      </c>
      <c r="G114" s="5"/>
    </row>
    <row r="115" spans="2:7">
      <c r="B115" s="8" t="str">
        <f t="shared" si="5"/>
        <v>55-59</v>
      </c>
      <c r="C115" s="164">
        <f t="shared" si="4"/>
        <v>1.4231605166729663E-3</v>
      </c>
      <c r="D115" s="164">
        <f t="shared" si="4"/>
        <v>5.6978128489554249E-4</v>
      </c>
      <c r="E115" s="164">
        <f t="shared" si="4"/>
        <v>8.9353733149078699E-4</v>
      </c>
      <c r="F115" s="164">
        <f t="shared" si="4"/>
        <v>1.0028331133837096E-3</v>
      </c>
      <c r="G115" s="5"/>
    </row>
    <row r="116" spans="2:7">
      <c r="B116" s="8" t="str">
        <f t="shared" si="5"/>
        <v>60-64</v>
      </c>
      <c r="C116" s="164">
        <f t="shared" si="4"/>
        <v>1.0507625488893545E-3</v>
      </c>
      <c r="D116" s="164">
        <f t="shared" si="4"/>
        <v>1.0222250117606986E-3</v>
      </c>
      <c r="E116" s="164">
        <f t="shared" si="4"/>
        <v>1.0179685704239819E-3</v>
      </c>
      <c r="F116" s="164">
        <f t="shared" si="4"/>
        <v>1.0270688092965338E-3</v>
      </c>
      <c r="G116" s="5"/>
    </row>
    <row r="117" spans="2:7">
      <c r="B117" s="8" t="str">
        <f t="shared" si="5"/>
        <v>65 plus</v>
      </c>
      <c r="C117" s="164">
        <f t="shared" si="4"/>
        <v>0</v>
      </c>
      <c r="D117" s="164">
        <f t="shared" si="4"/>
        <v>0</v>
      </c>
      <c r="E117" s="164">
        <f t="shared" si="4"/>
        <v>0</v>
      </c>
      <c r="F117" s="164">
        <f t="shared" si="4"/>
        <v>0</v>
      </c>
      <c r="G117" s="5"/>
    </row>
    <row r="118" spans="2:7">
      <c r="B118" s="8" t="str">
        <f t="shared" si="5"/>
        <v>Total</v>
      </c>
      <c r="C118" s="164">
        <f t="shared" si="4"/>
        <v>5.5199070048429191E-4</v>
      </c>
      <c r="D118" s="164">
        <f t="shared" si="4"/>
        <v>3.5992504516163575E-4</v>
      </c>
      <c r="E118" s="164">
        <f t="shared" si="4"/>
        <v>3.7035315394587099E-4</v>
      </c>
      <c r="F118" s="164">
        <f t="shared" si="4"/>
        <v>3.6351341521785135E-4</v>
      </c>
      <c r="G118" s="5"/>
    </row>
    <row r="120" spans="2:7">
      <c r="B120" s="76" t="s">
        <v>511</v>
      </c>
    </row>
    <row r="122" spans="2:7">
      <c r="B122" s="1140" t="str">
        <f>B106</f>
        <v>Age group</v>
      </c>
      <c r="C122" s="1183" t="str">
        <f>C107</f>
        <v>2011/12</v>
      </c>
      <c r="D122" s="1183" t="str">
        <f>D107</f>
        <v>2012/13</v>
      </c>
      <c r="E122" s="1183" t="str">
        <f>E107</f>
        <v>2013/14</v>
      </c>
      <c r="F122" s="1183" t="str">
        <f>F107</f>
        <v>2014/15</v>
      </c>
      <c r="G122" s="1209" t="s">
        <v>8</v>
      </c>
    </row>
    <row r="123" spans="2:7">
      <c r="B123" s="1140"/>
      <c r="C123" s="1184"/>
      <c r="D123" s="1184"/>
      <c r="E123" s="1184"/>
      <c r="F123" s="1184"/>
      <c r="G123" s="1210"/>
    </row>
    <row r="124" spans="2:7">
      <c r="B124" s="141" t="str">
        <f>B108</f>
        <v>20-24</v>
      </c>
      <c r="C124" s="954">
        <f>C92*H$14</f>
        <v>0</v>
      </c>
      <c r="D124" s="954">
        <f t="shared" ref="D124:F134" si="6">D92*I$14</f>
        <v>0</v>
      </c>
      <c r="E124" s="954">
        <f t="shared" si="6"/>
        <v>0</v>
      </c>
      <c r="F124" s="954">
        <f t="shared" si="6"/>
        <v>0</v>
      </c>
      <c r="G124" s="952">
        <f>SUM(C124:F124)</f>
        <v>0</v>
      </c>
    </row>
    <row r="125" spans="2:7">
      <c r="B125" s="141" t="str">
        <f t="shared" ref="B125:B132" si="7">B109</f>
        <v>25-29</v>
      </c>
      <c r="C125" s="954">
        <f t="shared" ref="C125:C134" si="8">C93*H$14</f>
        <v>0</v>
      </c>
      <c r="D125" s="954">
        <f t="shared" si="6"/>
        <v>0</v>
      </c>
      <c r="E125" s="954">
        <f t="shared" si="6"/>
        <v>0</v>
      </c>
      <c r="F125" s="954">
        <f t="shared" si="6"/>
        <v>0</v>
      </c>
      <c r="G125" s="952">
        <f t="shared" ref="G125:G134" si="9">SUM(C125:F125)</f>
        <v>0</v>
      </c>
    </row>
    <row r="126" spans="2:7">
      <c r="B126" s="141" t="str">
        <f t="shared" si="7"/>
        <v>30-34</v>
      </c>
      <c r="C126" s="954">
        <f t="shared" si="8"/>
        <v>0</v>
      </c>
      <c r="D126" s="954">
        <f t="shared" si="6"/>
        <v>0</v>
      </c>
      <c r="E126" s="954">
        <f t="shared" si="6"/>
        <v>0</v>
      </c>
      <c r="F126" s="954">
        <f t="shared" si="6"/>
        <v>0</v>
      </c>
      <c r="G126" s="952">
        <f t="shared" si="9"/>
        <v>0</v>
      </c>
    </row>
    <row r="127" spans="2:7">
      <c r="B127" s="141" t="str">
        <f t="shared" si="7"/>
        <v>35-39</v>
      </c>
      <c r="C127" s="954">
        <f t="shared" si="8"/>
        <v>0</v>
      </c>
      <c r="D127" s="954">
        <f t="shared" si="6"/>
        <v>0</v>
      </c>
      <c r="E127" s="954">
        <f t="shared" si="6"/>
        <v>0</v>
      </c>
      <c r="F127" s="954">
        <f t="shared" si="6"/>
        <v>0</v>
      </c>
      <c r="G127" s="952">
        <f t="shared" si="9"/>
        <v>0</v>
      </c>
    </row>
    <row r="128" spans="2:7">
      <c r="B128" s="141" t="str">
        <f t="shared" si="7"/>
        <v>40-44</v>
      </c>
      <c r="C128" s="954">
        <f t="shared" si="8"/>
        <v>0</v>
      </c>
      <c r="D128" s="954">
        <f t="shared" si="6"/>
        <v>0</v>
      </c>
      <c r="E128" s="954">
        <f t="shared" si="6"/>
        <v>3.9743505318379799E-4</v>
      </c>
      <c r="F128" s="954">
        <f t="shared" si="6"/>
        <v>5.1058209171309457E-4</v>
      </c>
      <c r="G128" s="952">
        <f t="shared" si="9"/>
        <v>9.0801714489689256E-4</v>
      </c>
    </row>
    <row r="129" spans="2:7">
      <c r="B129" s="141" t="str">
        <f t="shared" si="7"/>
        <v>45-49</v>
      </c>
      <c r="C129" s="954">
        <f t="shared" si="8"/>
        <v>1.7984969960603924E-4</v>
      </c>
      <c r="D129" s="954">
        <f t="shared" si="6"/>
        <v>3.2776468237132299E-4</v>
      </c>
      <c r="E129" s="954">
        <f t="shared" si="6"/>
        <v>4.9949954181090184E-4</v>
      </c>
      <c r="F129" s="954">
        <f t="shared" si="6"/>
        <v>6.5421346213408876E-4</v>
      </c>
      <c r="G129" s="952">
        <f t="shared" si="9"/>
        <v>1.6613273859223529E-3</v>
      </c>
    </row>
    <row r="130" spans="2:7">
      <c r="B130" s="141" t="str">
        <f t="shared" si="7"/>
        <v>50-54</v>
      </c>
      <c r="C130" s="954">
        <f t="shared" si="8"/>
        <v>2.4165845363561048E-4</v>
      </c>
      <c r="D130" s="954">
        <f t="shared" si="6"/>
        <v>4.0548195382290419E-4</v>
      </c>
      <c r="E130" s="954">
        <f t="shared" si="6"/>
        <v>7.1575784639598024E-4</v>
      </c>
      <c r="F130" s="954">
        <f t="shared" si="6"/>
        <v>9.1815982408057775E-4</v>
      </c>
      <c r="G130" s="952">
        <f t="shared" si="9"/>
        <v>2.2810580779350728E-3</v>
      </c>
    </row>
    <row r="131" spans="2:7">
      <c r="B131" s="141" t="str">
        <f t="shared" si="7"/>
        <v>55-59</v>
      </c>
      <c r="C131" s="954">
        <f t="shared" si="8"/>
        <v>2.4548783137277207E-4</v>
      </c>
      <c r="D131" s="954">
        <f t="shared" si="6"/>
        <v>0</v>
      </c>
      <c r="E131" s="954">
        <f t="shared" si="6"/>
        <v>9.1272243806417644E-4</v>
      </c>
      <c r="F131" s="954">
        <f t="shared" si="6"/>
        <v>1.4148791044758522E-3</v>
      </c>
      <c r="G131" s="952">
        <f t="shared" si="9"/>
        <v>2.5730893739128007E-3</v>
      </c>
    </row>
    <row r="132" spans="2:7">
      <c r="B132" s="141" t="str">
        <f t="shared" si="7"/>
        <v>60-64</v>
      </c>
      <c r="C132" s="954">
        <f t="shared" si="8"/>
        <v>0</v>
      </c>
      <c r="D132" s="954">
        <f t="shared" si="6"/>
        <v>0</v>
      </c>
      <c r="E132" s="954">
        <f t="shared" si="6"/>
        <v>0</v>
      </c>
      <c r="F132" s="954">
        <f t="shared" si="6"/>
        <v>0</v>
      </c>
      <c r="G132" s="952">
        <f t="shared" si="9"/>
        <v>0</v>
      </c>
    </row>
    <row r="133" spans="2:7">
      <c r="B133" s="141" t="str">
        <f>B117</f>
        <v>65 plus</v>
      </c>
      <c r="C133" s="954">
        <f t="shared" si="8"/>
        <v>0</v>
      </c>
      <c r="D133" s="954">
        <f t="shared" si="6"/>
        <v>0</v>
      </c>
      <c r="E133" s="954">
        <f t="shared" si="6"/>
        <v>0</v>
      </c>
      <c r="F133" s="954">
        <f t="shared" si="6"/>
        <v>0</v>
      </c>
      <c r="G133" s="952">
        <f t="shared" si="9"/>
        <v>0</v>
      </c>
    </row>
    <row r="134" spans="2:7">
      <c r="B134" s="141" t="str">
        <f>B118</f>
        <v>Total</v>
      </c>
      <c r="C134" s="954">
        <f t="shared" si="8"/>
        <v>6.4039844737531106E-5</v>
      </c>
      <c r="D134" s="954">
        <f t="shared" si="6"/>
        <v>7.2622207046280237E-5</v>
      </c>
      <c r="E134" s="954">
        <f t="shared" si="6"/>
        <v>2.3251441842981992E-4</v>
      </c>
      <c r="F134" s="954">
        <f t="shared" si="6"/>
        <v>2.9792289367226352E-4</v>
      </c>
      <c r="G134" s="952">
        <f t="shared" si="9"/>
        <v>6.6709936388589482E-4</v>
      </c>
    </row>
    <row r="136" spans="2:7">
      <c r="B136" s="76" t="s">
        <v>512</v>
      </c>
    </row>
    <row r="138" spans="2:7">
      <c r="B138" s="1140" t="str">
        <f>B122</f>
        <v>Age group</v>
      </c>
      <c r="C138" s="1183" t="str">
        <f>C122</f>
        <v>2011/12</v>
      </c>
      <c r="D138" s="1183" t="str">
        <f>D122</f>
        <v>2012/13</v>
      </c>
      <c r="E138" s="1183" t="str">
        <f>E122</f>
        <v>2013/14</v>
      </c>
      <c r="F138" s="1183" t="str">
        <f>F122</f>
        <v>2014/15</v>
      </c>
      <c r="G138" s="1209" t="s">
        <v>8</v>
      </c>
    </row>
    <row r="139" spans="2:7">
      <c r="B139" s="1140"/>
      <c r="C139" s="1184"/>
      <c r="D139" s="1184"/>
      <c r="E139" s="1184"/>
      <c r="F139" s="1184"/>
      <c r="G139" s="1210"/>
    </row>
    <row r="140" spans="2:7">
      <c r="B140" s="141" t="str">
        <f>B124</f>
        <v>20-24</v>
      </c>
      <c r="C140" s="954">
        <f>C108*H$14</f>
        <v>0</v>
      </c>
      <c r="D140" s="954">
        <f t="shared" ref="D140:F150" si="10">D108*I$14</f>
        <v>0</v>
      </c>
      <c r="E140" s="954">
        <f t="shared" si="10"/>
        <v>0</v>
      </c>
      <c r="F140" s="954">
        <f t="shared" si="10"/>
        <v>0</v>
      </c>
      <c r="G140" s="952">
        <f>SUM(C140:F140)</f>
        <v>0</v>
      </c>
    </row>
    <row r="141" spans="2:7">
      <c r="B141" s="141" t="str">
        <f t="shared" ref="B141:B148" si="11">B125</f>
        <v>25-29</v>
      </c>
      <c r="C141" s="954">
        <f t="shared" ref="C141:C150" si="12">C109*H$14</f>
        <v>1.6185038757341214E-5</v>
      </c>
      <c r="D141" s="954">
        <f t="shared" si="10"/>
        <v>3.0923596606011578E-5</v>
      </c>
      <c r="E141" s="954">
        <f t="shared" si="10"/>
        <v>4.4284292759916697E-5</v>
      </c>
      <c r="F141" s="954">
        <f t="shared" si="10"/>
        <v>5.7199658037564392E-5</v>
      </c>
      <c r="G141" s="952">
        <f t="shared" ref="G141:G150" si="13">SUM(C141:F141)</f>
        <v>1.4859258616083389E-4</v>
      </c>
    </row>
    <row r="142" spans="2:7">
      <c r="B142" s="141" t="str">
        <f t="shared" si="11"/>
        <v>30-34</v>
      </c>
      <c r="C142" s="954">
        <f t="shared" si="12"/>
        <v>1.8085405665811873E-5</v>
      </c>
      <c r="D142" s="954">
        <f t="shared" si="10"/>
        <v>3.0676556420337908E-5</v>
      </c>
      <c r="E142" s="954">
        <f t="shared" si="10"/>
        <v>4.5418667459898649E-5</v>
      </c>
      <c r="F142" s="954">
        <f t="shared" si="10"/>
        <v>6.0077773080363459E-5</v>
      </c>
      <c r="G142" s="952">
        <f t="shared" si="13"/>
        <v>1.5425840262641189E-4</v>
      </c>
    </row>
    <row r="143" spans="2:7">
      <c r="B143" s="141" t="str">
        <f t="shared" si="11"/>
        <v>35-39</v>
      </c>
      <c r="C143" s="954">
        <f t="shared" si="12"/>
        <v>4.9189330985784576E-5</v>
      </c>
      <c r="D143" s="954">
        <f t="shared" si="10"/>
        <v>4.0319884971334012E-5</v>
      </c>
      <c r="E143" s="954">
        <f t="shared" si="10"/>
        <v>7.1879588904190435E-5</v>
      </c>
      <c r="F143" s="954">
        <f t="shared" si="10"/>
        <v>9.2995874200070487E-5</v>
      </c>
      <c r="G143" s="952">
        <f t="shared" si="13"/>
        <v>2.5438467906137952E-4</v>
      </c>
    </row>
    <row r="144" spans="2:7">
      <c r="B144" s="141" t="str">
        <f t="shared" si="11"/>
        <v>40-44</v>
      </c>
      <c r="C144" s="954">
        <f t="shared" si="12"/>
        <v>5.2095363380090587E-5</v>
      </c>
      <c r="D144" s="954">
        <f t="shared" si="10"/>
        <v>9.0039963576734784E-5</v>
      </c>
      <c r="E144" s="954">
        <f t="shared" si="10"/>
        <v>1.1483508843301005E-4</v>
      </c>
      <c r="F144" s="954">
        <f t="shared" si="10"/>
        <v>1.462868761605328E-4</v>
      </c>
      <c r="G144" s="952">
        <f t="shared" si="13"/>
        <v>4.0325729155036823E-4</v>
      </c>
    </row>
    <row r="145" spans="2:7">
      <c r="B145" s="141" t="str">
        <f t="shared" si="11"/>
        <v>45-49</v>
      </c>
      <c r="C145" s="954">
        <f t="shared" si="12"/>
        <v>9.7243640819470923E-5</v>
      </c>
      <c r="D145" s="954">
        <f t="shared" si="10"/>
        <v>1.174970980325981E-4</v>
      </c>
      <c r="E145" s="954">
        <f t="shared" si="10"/>
        <v>2.0331808685107526E-4</v>
      </c>
      <c r="F145" s="954">
        <f t="shared" si="10"/>
        <v>2.666442325579465E-4</v>
      </c>
      <c r="G145" s="952">
        <f t="shared" si="13"/>
        <v>6.8470305826109088E-4</v>
      </c>
    </row>
    <row r="146" spans="2:7">
      <c r="B146" s="141" t="str">
        <f t="shared" si="11"/>
        <v>50-54</v>
      </c>
      <c r="C146" s="954">
        <f t="shared" si="12"/>
        <v>7.9631907336950674E-5</v>
      </c>
      <c r="D146" s="954">
        <f t="shared" si="10"/>
        <v>1.6091009762189931E-4</v>
      </c>
      <c r="E146" s="954">
        <f t="shared" si="10"/>
        <v>1.8869012432390917E-4</v>
      </c>
      <c r="F146" s="954">
        <f t="shared" si="10"/>
        <v>2.4570682648063647E-4</v>
      </c>
      <c r="G146" s="952">
        <f t="shared" si="13"/>
        <v>6.7493895576339565E-4</v>
      </c>
    </row>
    <row r="147" spans="2:7">
      <c r="B147" s="141" t="str">
        <f t="shared" si="11"/>
        <v>55-59</v>
      </c>
      <c r="C147" s="954">
        <f t="shared" si="12"/>
        <v>1.4231605166729663E-4</v>
      </c>
      <c r="D147" s="954">
        <f t="shared" si="10"/>
        <v>1.139562569791085E-4</v>
      </c>
      <c r="E147" s="954">
        <f t="shared" si="10"/>
        <v>2.6806119944723606E-4</v>
      </c>
      <c r="F147" s="954">
        <f t="shared" si="10"/>
        <v>4.0113324535348386E-4</v>
      </c>
      <c r="G147" s="952">
        <f t="shared" si="13"/>
        <v>9.2546675344712512E-4</v>
      </c>
    </row>
    <row r="148" spans="2:7">
      <c r="B148" s="141" t="str">
        <f t="shared" si="11"/>
        <v>60-64</v>
      </c>
      <c r="C148" s="954">
        <f t="shared" si="12"/>
        <v>1.0507625488893546E-4</v>
      </c>
      <c r="D148" s="954">
        <f t="shared" si="10"/>
        <v>2.0444500235213974E-4</v>
      </c>
      <c r="E148" s="954">
        <f t="shared" si="10"/>
        <v>3.0539057112719453E-4</v>
      </c>
      <c r="F148" s="954">
        <f t="shared" si="10"/>
        <v>4.1082752371861351E-4</v>
      </c>
      <c r="G148" s="952">
        <f t="shared" si="13"/>
        <v>1.0257393520868832E-3</v>
      </c>
    </row>
    <row r="149" spans="2:7">
      <c r="B149" s="141" t="str">
        <f>B133</f>
        <v>65 plus</v>
      </c>
      <c r="C149" s="954">
        <f t="shared" si="12"/>
        <v>0</v>
      </c>
      <c r="D149" s="954">
        <f t="shared" si="10"/>
        <v>0</v>
      </c>
      <c r="E149" s="954">
        <f t="shared" si="10"/>
        <v>0</v>
      </c>
      <c r="F149" s="954">
        <f t="shared" si="10"/>
        <v>0</v>
      </c>
      <c r="G149" s="952">
        <f t="shared" si="13"/>
        <v>0</v>
      </c>
    </row>
    <row r="150" spans="2:7">
      <c r="B150" s="141" t="str">
        <f>B134</f>
        <v>Total</v>
      </c>
      <c r="C150" s="954">
        <f t="shared" si="12"/>
        <v>5.5199070048429193E-5</v>
      </c>
      <c r="D150" s="954">
        <f t="shared" si="10"/>
        <v>7.1985009032327155E-5</v>
      </c>
      <c r="E150" s="954">
        <f t="shared" si="10"/>
        <v>1.1110594618376129E-4</v>
      </c>
      <c r="F150" s="954">
        <f t="shared" si="10"/>
        <v>1.4540536608714054E-4</v>
      </c>
      <c r="G150" s="952">
        <f t="shared" si="13"/>
        <v>3.836953913516582E-4</v>
      </c>
    </row>
  </sheetData>
  <mergeCells count="25">
    <mergeCell ref="G122:G123"/>
    <mergeCell ref="B138:B139"/>
    <mergeCell ref="C138:C139"/>
    <mergeCell ref="D138:D139"/>
    <mergeCell ref="E138:E139"/>
    <mergeCell ref="F138:F139"/>
    <mergeCell ref="G138:G139"/>
    <mergeCell ref="B106:B107"/>
    <mergeCell ref="C106:F106"/>
    <mergeCell ref="B122:B123"/>
    <mergeCell ref="C122:C123"/>
    <mergeCell ref="D122:D123"/>
    <mergeCell ref="E122:E123"/>
    <mergeCell ref="F122:F123"/>
    <mergeCell ref="B56:B57"/>
    <mergeCell ref="C56:F56"/>
    <mergeCell ref="B73:B74"/>
    <mergeCell ref="C73:F73"/>
    <mergeCell ref="B90:B91"/>
    <mergeCell ref="C90:F90"/>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2060"/>
  </sheetPr>
  <dimension ref="A1:O74"/>
  <sheetViews>
    <sheetView showGridLines="0" workbookViewId="0">
      <pane ySplit="4" topLeftCell="A5" activePane="bottomLeft" state="frozen"/>
      <selection activeCell="B58" sqref="B58:B76"/>
      <selection pane="bottomLeft"/>
    </sheetView>
  </sheetViews>
  <sheetFormatPr defaultColWidth="9.140625" defaultRowHeight="12.75"/>
  <cols>
    <col min="1" max="1" width="4.5703125" style="24" customWidth="1"/>
    <col min="2" max="2" width="13.85546875" style="24" customWidth="1"/>
    <col min="3" max="3" width="4.5703125" style="24" customWidth="1"/>
    <col min="4" max="6" width="9.140625" style="24"/>
    <col min="7" max="7" width="49.5703125" style="24" customWidth="1"/>
    <col min="8" max="16384" width="9.140625" style="24"/>
  </cols>
  <sheetData>
    <row r="1" spans="1:15" s="30" customFormat="1">
      <c r="B1" s="34" t="str">
        <f>ModelBanner</f>
        <v>TSM_201718 for publication</v>
      </c>
    </row>
    <row r="2" spans="1:15" s="30" customFormat="1">
      <c r="A2" s="1066"/>
      <c r="B2" s="31" t="s">
        <v>9</v>
      </c>
    </row>
    <row r="3" spans="1:15" s="30" customFormat="1">
      <c r="A3" s="35"/>
      <c r="B3" s="34"/>
    </row>
    <row r="4" spans="1:15" s="30" customFormat="1">
      <c r="A4" s="36"/>
      <c r="B4" s="1002" t="s">
        <v>13</v>
      </c>
      <c r="C4" s="36"/>
      <c r="D4" s="1062" t="s">
        <v>28</v>
      </c>
    </row>
    <row r="5" spans="1:15" customFormat="1"/>
    <row r="6" spans="1:15" customFormat="1" ht="20.25">
      <c r="B6" s="15" t="s">
        <v>1095</v>
      </c>
    </row>
    <row r="7" spans="1:15" customFormat="1"/>
    <row r="8" spans="1:15" customFormat="1">
      <c r="B8" s="5" t="s">
        <v>27</v>
      </c>
    </row>
    <row r="9" spans="1:15" customFormat="1">
      <c r="B9" s="5"/>
    </row>
    <row r="10" spans="1:15" customFormat="1" ht="13.15" customHeight="1">
      <c r="C10" s="1095" t="s">
        <v>1513</v>
      </c>
      <c r="D10" s="1095"/>
      <c r="E10" s="1095"/>
      <c r="F10" s="1095"/>
      <c r="G10" s="1095"/>
      <c r="H10" s="1095"/>
      <c r="I10" s="1095"/>
      <c r="J10" s="1095"/>
      <c r="K10" s="1095"/>
      <c r="L10" s="1095"/>
      <c r="M10" s="1095"/>
      <c r="N10" s="1095"/>
      <c r="O10" s="1095"/>
    </row>
    <row r="11" spans="1:15" customFormat="1">
      <c r="C11" s="1095"/>
      <c r="D11" s="1095"/>
      <c r="E11" s="1095"/>
      <c r="F11" s="1095"/>
      <c r="G11" s="1095"/>
      <c r="H11" s="1095"/>
      <c r="I11" s="1095"/>
      <c r="J11" s="1095"/>
      <c r="K11" s="1095"/>
      <c r="L11" s="1095"/>
      <c r="M11" s="1095"/>
      <c r="N11" s="1095"/>
      <c r="O11" s="1095"/>
    </row>
    <row r="12" spans="1:15" customFormat="1">
      <c r="C12" s="1095"/>
      <c r="D12" s="1095"/>
      <c r="E12" s="1095"/>
      <c r="F12" s="1095"/>
      <c r="G12" s="1095"/>
      <c r="H12" s="1095"/>
      <c r="I12" s="1095"/>
      <c r="J12" s="1095"/>
      <c r="K12" s="1095"/>
      <c r="L12" s="1095"/>
      <c r="M12" s="1095"/>
      <c r="N12" s="1095"/>
      <c r="O12" s="1095"/>
    </row>
    <row r="13" spans="1:15" customFormat="1">
      <c r="C13" s="1095"/>
      <c r="D13" s="1095"/>
      <c r="E13" s="1095"/>
      <c r="F13" s="1095"/>
      <c r="G13" s="1095"/>
      <c r="H13" s="1095"/>
      <c r="I13" s="1095"/>
      <c r="J13" s="1095"/>
      <c r="K13" s="1095"/>
      <c r="L13" s="1095"/>
      <c r="M13" s="1095"/>
      <c r="N13" s="1095"/>
      <c r="O13" s="1095"/>
    </row>
    <row r="14" spans="1:15" customFormat="1">
      <c r="C14" s="1095"/>
      <c r="D14" s="1095"/>
      <c r="E14" s="1095"/>
      <c r="F14" s="1095"/>
      <c r="G14" s="1095"/>
      <c r="H14" s="1095"/>
      <c r="I14" s="1095"/>
      <c r="J14" s="1095"/>
      <c r="K14" s="1095"/>
      <c r="L14" s="1095"/>
      <c r="M14" s="1095"/>
      <c r="N14" s="1095"/>
      <c r="O14" s="1095"/>
    </row>
    <row r="15" spans="1:15" customFormat="1"/>
    <row r="16" spans="1:15" customFormat="1" ht="13.15" customHeight="1">
      <c r="C16" s="1095" t="s">
        <v>1646</v>
      </c>
      <c r="D16" s="1095"/>
      <c r="E16" s="1095"/>
      <c r="F16" s="1095"/>
      <c r="G16" s="1095"/>
      <c r="H16" s="1095"/>
      <c r="I16" s="1095"/>
      <c r="J16" s="1095"/>
      <c r="K16" s="1095"/>
      <c r="L16" s="1095"/>
      <c r="M16" s="1095"/>
      <c r="N16" s="1095"/>
      <c r="O16" s="1095"/>
    </row>
    <row r="17" spans="2:15" customFormat="1">
      <c r="C17" s="1095"/>
      <c r="D17" s="1095"/>
      <c r="E17" s="1095"/>
      <c r="F17" s="1095"/>
      <c r="G17" s="1095"/>
      <c r="H17" s="1095"/>
      <c r="I17" s="1095"/>
      <c r="J17" s="1095"/>
      <c r="K17" s="1095"/>
      <c r="L17" s="1095"/>
      <c r="M17" s="1095"/>
      <c r="N17" s="1095"/>
      <c r="O17" s="1095"/>
    </row>
    <row r="18" spans="2:15" customFormat="1">
      <c r="C18" s="1095"/>
      <c r="D18" s="1095"/>
      <c r="E18" s="1095"/>
      <c r="F18" s="1095"/>
      <c r="G18" s="1095"/>
      <c r="H18" s="1095"/>
      <c r="I18" s="1095"/>
      <c r="J18" s="1095"/>
      <c r="K18" s="1095"/>
      <c r="L18" s="1095"/>
      <c r="M18" s="1095"/>
      <c r="N18" s="1095"/>
      <c r="O18" s="1095"/>
    </row>
    <row r="19" spans="2:15" customFormat="1"/>
    <row r="20" spans="2:15" customFormat="1" ht="13.15" customHeight="1">
      <c r="C20" s="1095" t="s">
        <v>1124</v>
      </c>
      <c r="D20" s="1095"/>
      <c r="E20" s="1095"/>
      <c r="F20" s="1095"/>
      <c r="G20" s="1095"/>
      <c r="H20" s="1095"/>
      <c r="I20" s="1095"/>
      <c r="J20" s="1095"/>
      <c r="K20" s="1095"/>
      <c r="L20" s="1095"/>
      <c r="M20" s="1095"/>
      <c r="N20" s="1095"/>
      <c r="O20" s="1095"/>
    </row>
    <row r="21" spans="2:15" customFormat="1">
      <c r="C21" s="1095"/>
      <c r="D21" s="1095"/>
      <c r="E21" s="1095"/>
      <c r="F21" s="1095"/>
      <c r="G21" s="1095"/>
      <c r="H21" s="1095"/>
      <c r="I21" s="1095"/>
      <c r="J21" s="1095"/>
      <c r="K21" s="1095"/>
      <c r="L21" s="1095"/>
      <c r="M21" s="1095"/>
      <c r="N21" s="1095"/>
      <c r="O21" s="1095"/>
    </row>
    <row r="22" spans="2:15" customFormat="1">
      <c r="C22" s="230"/>
      <c r="D22" s="230"/>
      <c r="E22" s="230"/>
      <c r="F22" s="230"/>
      <c r="G22" s="230"/>
      <c r="H22" s="230"/>
      <c r="I22" s="230"/>
      <c r="J22" s="230"/>
      <c r="K22" s="230"/>
      <c r="L22" s="230"/>
      <c r="M22" s="230"/>
      <c r="N22" s="230"/>
      <c r="O22" s="230"/>
    </row>
    <row r="23" spans="2:15" customFormat="1">
      <c r="B23" s="5" t="s">
        <v>34</v>
      </c>
    </row>
    <row r="24" spans="2:15" customFormat="1">
      <c r="B24" s="5"/>
    </row>
    <row r="25" spans="2:15" customFormat="1">
      <c r="C25" s="150" t="s">
        <v>416</v>
      </c>
    </row>
    <row r="26" spans="2:15" customFormat="1">
      <c r="C26" s="150" t="s">
        <v>417</v>
      </c>
    </row>
    <row r="27" spans="2:15" customFormat="1">
      <c r="C27" s="150" t="s">
        <v>418</v>
      </c>
    </row>
    <row r="28" spans="2:15" customFormat="1">
      <c r="C28" s="150" t="s">
        <v>1647</v>
      </c>
    </row>
    <row r="29" spans="2:15" customFormat="1">
      <c r="C29" s="150" t="s">
        <v>672</v>
      </c>
    </row>
    <row r="30" spans="2:15" customFormat="1">
      <c r="C30" s="150" t="s">
        <v>671</v>
      </c>
    </row>
    <row r="31" spans="2:15" customFormat="1">
      <c r="C31" s="150" t="s">
        <v>1648</v>
      </c>
    </row>
    <row r="32" spans="2:15" customFormat="1">
      <c r="C32" s="150" t="s">
        <v>477</v>
      </c>
    </row>
    <row r="33" spans="2:15" customFormat="1">
      <c r="C33" s="150" t="s">
        <v>1649</v>
      </c>
    </row>
    <row r="34" spans="2:15" customFormat="1"/>
    <row r="35" spans="2:15" customFormat="1">
      <c r="B35" s="5" t="s">
        <v>670</v>
      </c>
    </row>
    <row r="36" spans="2:15" customFormat="1">
      <c r="C36" s="12"/>
    </row>
    <row r="37" spans="2:15" customFormat="1" ht="13.15" customHeight="1">
      <c r="C37" s="1095" t="s">
        <v>1096</v>
      </c>
      <c r="D37" s="1095"/>
      <c r="E37" s="1095"/>
      <c r="F37" s="1095"/>
      <c r="G37" s="1095"/>
      <c r="H37" s="1095"/>
      <c r="I37" s="1095"/>
      <c r="J37" s="1095"/>
      <c r="K37" s="1095"/>
      <c r="L37" s="1095"/>
      <c r="M37" s="1095"/>
      <c r="N37" s="1095"/>
      <c r="O37" s="1095"/>
    </row>
    <row r="38" spans="2:15" customFormat="1">
      <c r="C38" s="1095"/>
      <c r="D38" s="1095"/>
      <c r="E38" s="1095"/>
      <c r="F38" s="1095"/>
      <c r="G38" s="1095"/>
      <c r="H38" s="1095"/>
      <c r="I38" s="1095"/>
      <c r="J38" s="1095"/>
      <c r="K38" s="1095"/>
      <c r="L38" s="1095"/>
      <c r="M38" s="1095"/>
      <c r="N38" s="1095"/>
      <c r="O38" s="1095"/>
    </row>
    <row r="39" spans="2:15" customFormat="1">
      <c r="C39" s="493"/>
      <c r="D39" s="493"/>
      <c r="E39" s="493"/>
      <c r="F39" s="493"/>
      <c r="G39" s="493"/>
      <c r="H39" s="493"/>
      <c r="I39" s="493"/>
      <c r="J39" s="493"/>
      <c r="K39" s="493"/>
      <c r="L39" s="493"/>
      <c r="M39" s="493"/>
      <c r="N39" s="493"/>
      <c r="O39" s="493"/>
    </row>
    <row r="40" spans="2:15" customFormat="1">
      <c r="B40" s="5" t="s">
        <v>669</v>
      </c>
    </row>
    <row r="41" spans="2:15" customFormat="1">
      <c r="B41" s="5"/>
    </row>
    <row r="42" spans="2:15" customFormat="1">
      <c r="C42" s="76" t="s">
        <v>668</v>
      </c>
    </row>
    <row r="43" spans="2:15" customFormat="1" ht="13.15" customHeight="1">
      <c r="D43" s="1099" t="s">
        <v>1511</v>
      </c>
      <c r="E43" s="1099"/>
      <c r="F43" s="1099"/>
      <c r="G43" s="1099"/>
      <c r="H43" s="1099"/>
      <c r="I43" s="1099"/>
      <c r="J43" s="1099"/>
      <c r="K43" s="1099"/>
      <c r="L43" s="1099"/>
      <c r="M43" s="1099"/>
      <c r="N43" s="1099"/>
      <c r="O43" s="1099"/>
    </row>
    <row r="44" spans="2:15" customFormat="1">
      <c r="D44" s="1099"/>
      <c r="E44" s="1099"/>
      <c r="F44" s="1099"/>
      <c r="G44" s="1099"/>
      <c r="H44" s="1099"/>
      <c r="I44" s="1099"/>
      <c r="J44" s="1099"/>
      <c r="K44" s="1099"/>
      <c r="L44" s="1099"/>
      <c r="M44" s="1099"/>
      <c r="N44" s="1099"/>
      <c r="O44" s="1099"/>
    </row>
    <row r="45" spans="2:15" customFormat="1">
      <c r="D45" s="1099"/>
      <c r="E45" s="1099"/>
      <c r="F45" s="1099"/>
      <c r="G45" s="1099"/>
      <c r="H45" s="1099"/>
      <c r="I45" s="1099"/>
      <c r="J45" s="1099"/>
      <c r="K45" s="1099"/>
      <c r="L45" s="1099"/>
      <c r="M45" s="1099"/>
      <c r="N45" s="1099"/>
      <c r="O45" s="1099"/>
    </row>
    <row r="46" spans="2:15" customFormat="1">
      <c r="D46" s="493"/>
      <c r="E46" s="493"/>
      <c r="F46" s="493"/>
      <c r="G46" s="493"/>
      <c r="H46" s="493"/>
      <c r="I46" s="493"/>
      <c r="J46" s="493"/>
      <c r="K46" s="493"/>
      <c r="L46" s="493"/>
      <c r="M46" s="493"/>
      <c r="N46" s="493"/>
      <c r="O46" s="493"/>
    </row>
    <row r="47" spans="2:15" customFormat="1">
      <c r="D47" s="1095" t="s">
        <v>667</v>
      </c>
      <c r="E47" s="1095"/>
      <c r="F47" s="1095"/>
      <c r="G47" s="1095"/>
      <c r="H47" s="1095"/>
      <c r="I47" s="1095"/>
      <c r="J47" s="1095"/>
      <c r="K47" s="1095"/>
      <c r="L47" s="1095"/>
      <c r="M47" s="1095"/>
      <c r="N47" s="1095"/>
      <c r="O47" s="1095"/>
    </row>
    <row r="48" spans="2:15" customFormat="1">
      <c r="D48" s="493"/>
      <c r="E48" s="493"/>
      <c r="F48" s="493"/>
      <c r="G48" s="493"/>
      <c r="H48" s="493"/>
      <c r="I48" s="493"/>
      <c r="J48" s="493"/>
      <c r="K48" s="493"/>
      <c r="L48" s="493"/>
      <c r="M48" s="493"/>
      <c r="N48" s="493"/>
      <c r="O48" s="493"/>
    </row>
    <row r="49" spans="1:15" customFormat="1">
      <c r="C49" s="76" t="s">
        <v>666</v>
      </c>
    </row>
    <row r="50" spans="1:15" customFormat="1">
      <c r="D50" s="1096" t="s">
        <v>1512</v>
      </c>
      <c r="E50" s="1096"/>
      <c r="F50" s="1096"/>
      <c r="G50" s="1096"/>
      <c r="H50" s="1096"/>
      <c r="I50" s="1096"/>
      <c r="J50" s="1096"/>
      <c r="K50" s="1096"/>
      <c r="L50" s="1096"/>
      <c r="M50" s="1096"/>
      <c r="N50" s="1096"/>
      <c r="O50" s="1096"/>
    </row>
    <row r="51" spans="1:15" customFormat="1">
      <c r="D51" s="1096"/>
      <c r="E51" s="1096"/>
      <c r="F51" s="1096"/>
      <c r="G51" s="1096"/>
      <c r="H51" s="1096"/>
      <c r="I51" s="1096"/>
      <c r="J51" s="1096"/>
      <c r="K51" s="1096"/>
      <c r="L51" s="1096"/>
      <c r="M51" s="1096"/>
      <c r="N51" s="1096"/>
      <c r="O51" s="1096"/>
    </row>
    <row r="52" spans="1:15" customFormat="1">
      <c r="D52" s="493"/>
      <c r="E52" s="493"/>
      <c r="F52" s="493"/>
      <c r="G52" s="493"/>
      <c r="H52" s="493"/>
      <c r="I52" s="493"/>
      <c r="J52" s="493"/>
      <c r="K52" s="493"/>
      <c r="L52" s="493"/>
      <c r="M52" s="493"/>
      <c r="N52" s="493"/>
      <c r="O52" s="493"/>
    </row>
    <row r="53" spans="1:15" customFormat="1">
      <c r="C53" s="76" t="s">
        <v>665</v>
      </c>
    </row>
    <row r="54" spans="1:15" customFormat="1">
      <c r="D54" s="1095" t="s">
        <v>1060</v>
      </c>
      <c r="E54" s="1095"/>
      <c r="F54" s="1095"/>
      <c r="G54" s="1095"/>
      <c r="H54" s="1095"/>
      <c r="I54" s="1095"/>
      <c r="J54" s="1095"/>
      <c r="K54" s="1095"/>
      <c r="L54" s="1095"/>
      <c r="M54" s="1095"/>
      <c r="N54" s="1095"/>
      <c r="O54" s="1095"/>
    </row>
    <row r="56" spans="1:15" s="31" customFormat="1">
      <c r="A56" s="33"/>
      <c r="B56" s="31">
        <v>1</v>
      </c>
      <c r="D56" s="31" t="s">
        <v>23</v>
      </c>
    </row>
    <row r="58" spans="1:15">
      <c r="D58" s="32" t="s">
        <v>22</v>
      </c>
      <c r="G58" s="17" t="s">
        <v>1095</v>
      </c>
      <c r="H58" s="26" t="s">
        <v>21</v>
      </c>
      <c r="J58" s="797" t="s">
        <v>1097</v>
      </c>
    </row>
    <row r="59" spans="1:15">
      <c r="D59" s="32" t="s">
        <v>20</v>
      </c>
      <c r="G59" s="25" t="s">
        <v>1294</v>
      </c>
      <c r="H59" s="26" t="s">
        <v>19</v>
      </c>
      <c r="J59" s="797" t="s">
        <v>1097</v>
      </c>
    </row>
    <row r="60" spans="1:15">
      <c r="D60" s="32" t="s">
        <v>18</v>
      </c>
      <c r="G60" s="25" t="str">
        <f>CurrentVersion</f>
        <v>TSM_201718 for publication</v>
      </c>
      <c r="H60" s="26" t="s">
        <v>17</v>
      </c>
    </row>
    <row r="62" spans="1:15" s="30" customFormat="1">
      <c r="A62" s="24"/>
      <c r="B62" s="31">
        <v>2</v>
      </c>
      <c r="C62" s="31"/>
      <c r="D62" s="31" t="s">
        <v>16</v>
      </c>
    </row>
    <row r="64" spans="1:15">
      <c r="E64" s="1092" t="s">
        <v>33</v>
      </c>
      <c r="F64" s="1093"/>
      <c r="G64" s="1093"/>
    </row>
    <row r="65" spans="1:8">
      <c r="E65" s="1097" t="s">
        <v>32</v>
      </c>
      <c r="F65" s="1097"/>
      <c r="G65" s="1097"/>
      <c r="H65" s="29"/>
    </row>
    <row r="66" spans="1:8">
      <c r="E66" s="1098" t="s">
        <v>11</v>
      </c>
      <c r="F66" s="1098"/>
      <c r="G66" s="1098"/>
      <c r="H66" s="29"/>
    </row>
    <row r="67" spans="1:8">
      <c r="E67" s="1091" t="s">
        <v>25</v>
      </c>
      <c r="F67" s="1091"/>
      <c r="G67" s="1091"/>
      <c r="H67" s="29"/>
    </row>
    <row r="68" spans="1:8">
      <c r="E68" s="1094"/>
      <c r="F68" s="1094"/>
      <c r="G68" s="1094"/>
    </row>
    <row r="70" spans="1:8">
      <c r="D70" s="24" t="s">
        <v>164</v>
      </c>
    </row>
    <row r="72" spans="1:8" s="30" customFormat="1">
      <c r="A72" s="24"/>
      <c r="B72" s="31">
        <v>3</v>
      </c>
      <c r="C72" s="31"/>
      <c r="D72" s="31" t="s">
        <v>165</v>
      </c>
    </row>
    <row r="74" spans="1:8" ht="18">
      <c r="B74" s="170">
        <f>'Title_&amp;_Contents'!M17</f>
        <v>0</v>
      </c>
      <c r="C74" s="24" t="s">
        <v>482</v>
      </c>
    </row>
  </sheetData>
  <mergeCells count="13">
    <mergeCell ref="D47:O47"/>
    <mergeCell ref="E65:G65"/>
    <mergeCell ref="E66:G66"/>
    <mergeCell ref="C10:O14"/>
    <mergeCell ref="C37:O38"/>
    <mergeCell ref="D43:O45"/>
    <mergeCell ref="C16:O18"/>
    <mergeCell ref="C20:O21"/>
    <mergeCell ref="E67:G67"/>
    <mergeCell ref="E64:G64"/>
    <mergeCell ref="E68:G68"/>
    <mergeCell ref="D54:O54"/>
    <mergeCell ref="D50:O51"/>
  </mergeCells>
  <hyperlinks>
    <hyperlink ref="D4" location="Map_of_sheets!A1" display="Map of Sheets"/>
    <hyperlink ref="B4" location="'Title_&amp;_Contents'!A1" display="Contents"/>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T150"/>
  <sheetViews>
    <sheetView showGridLines="0" workbookViewId="0"/>
  </sheetViews>
  <sheetFormatPr defaultRowHeight="12.75"/>
  <cols>
    <col min="2" max="7" width="12.7109375" customWidth="1"/>
  </cols>
  <sheetData>
    <row r="1" spans="1:20" s="66" customFormat="1" ht="15">
      <c r="A1" s="65" t="str">
        <f>ModelBanner</f>
        <v>TSM_201718 for publication</v>
      </c>
    </row>
    <row r="2" spans="1:20" s="66" customFormat="1" ht="15">
      <c r="A2" s="1003" t="s">
        <v>13</v>
      </c>
      <c r="B2" s="1003" t="s">
        <v>30</v>
      </c>
    </row>
    <row r="3" spans="1:20" s="66" customFormat="1" ht="15">
      <c r="A3" s="67"/>
    </row>
    <row r="4" spans="1:20" s="57" customFormat="1">
      <c r="A4" s="58" t="s">
        <v>26</v>
      </c>
      <c r="B4" s="58"/>
      <c r="C4" s="58"/>
      <c r="D4" s="292"/>
      <c r="E4" s="58"/>
      <c r="F4" s="58"/>
      <c r="G4" s="58"/>
      <c r="H4" s="58"/>
      <c r="I4" s="58"/>
      <c r="J4" s="58"/>
      <c r="K4" s="58"/>
      <c r="L4" s="58"/>
      <c r="M4" s="58"/>
      <c r="N4" s="58"/>
    </row>
    <row r="5" spans="1:20" s="47" customFormat="1" ht="42" customHeight="1">
      <c r="A5" s="1199" t="s">
        <v>1476</v>
      </c>
      <c r="B5" s="1199"/>
      <c r="C5" s="1199"/>
      <c r="D5" s="1199"/>
      <c r="E5" s="1199"/>
      <c r="F5" s="1199"/>
      <c r="G5" s="1199"/>
      <c r="H5" s="1199"/>
      <c r="I5" s="1199"/>
      <c r="J5" s="1199"/>
      <c r="K5" s="1199"/>
      <c r="L5" s="1199"/>
      <c r="M5" s="1199"/>
      <c r="N5" s="1199"/>
      <c r="O5" s="1199"/>
      <c r="P5" s="1199"/>
      <c r="Q5" s="1199"/>
      <c r="R5" s="1199"/>
      <c r="S5" s="1199"/>
      <c r="T5" s="1199"/>
    </row>
    <row r="6" spans="1:20" s="46" customFormat="1">
      <c r="A6" s="56" t="s">
        <v>1420</v>
      </c>
      <c r="B6" s="61"/>
      <c r="C6" s="61"/>
      <c r="D6" s="292"/>
      <c r="E6" s="61"/>
      <c r="F6" s="61"/>
      <c r="G6" s="61"/>
      <c r="H6" s="61"/>
      <c r="I6" s="61"/>
      <c r="J6" s="61"/>
      <c r="K6" s="61"/>
      <c r="L6" s="61"/>
      <c r="M6" s="61"/>
      <c r="N6" s="61"/>
      <c r="O6" s="45"/>
    </row>
    <row r="7" spans="1:20" s="46" customFormat="1">
      <c r="A7" s="54" t="s">
        <v>166</v>
      </c>
      <c r="B7" s="56"/>
      <c r="C7" s="61"/>
      <c r="D7" s="292"/>
      <c r="E7" s="61"/>
      <c r="F7" s="61"/>
      <c r="G7" s="61"/>
      <c r="H7" s="61"/>
      <c r="I7" s="61"/>
      <c r="J7" s="61"/>
      <c r="K7" s="61"/>
      <c r="L7" s="61"/>
      <c r="M7" s="61"/>
      <c r="N7" s="61"/>
      <c r="O7" s="45"/>
    </row>
    <row r="8" spans="1:20" s="46" customFormat="1">
      <c r="A8" s="56" t="s">
        <v>24</v>
      </c>
      <c r="B8" s="61"/>
      <c r="C8" s="61"/>
      <c r="D8" s="292"/>
      <c r="E8" s="61"/>
      <c r="F8" s="61"/>
      <c r="G8" s="61"/>
      <c r="H8" s="61"/>
      <c r="I8" s="61"/>
      <c r="J8" s="61"/>
      <c r="K8" s="61"/>
      <c r="L8" s="61"/>
      <c r="M8" s="61"/>
      <c r="N8" s="61"/>
      <c r="O8" s="45"/>
    </row>
    <row r="9" spans="1:20" s="46" customFormat="1">
      <c r="A9" s="54" t="s">
        <v>1474</v>
      </c>
      <c r="B9" s="61"/>
      <c r="C9" s="61"/>
      <c r="D9" s="292"/>
      <c r="E9" s="61"/>
      <c r="F9" s="61"/>
      <c r="G9" s="61"/>
      <c r="H9" s="61"/>
      <c r="I9" s="61"/>
      <c r="J9" s="61"/>
      <c r="K9" s="61"/>
      <c r="L9" s="61"/>
      <c r="M9" s="61"/>
      <c r="N9" s="61"/>
      <c r="O9" s="45"/>
    </row>
    <row r="10" spans="1:20" s="50" customFormat="1">
      <c r="A10" s="55">
        <f>SUM(A13:A2227)</f>
        <v>0</v>
      </c>
      <c r="B10" s="73"/>
      <c r="C10" s="48"/>
      <c r="D10" s="48"/>
      <c r="E10" s="48"/>
      <c r="F10" s="72"/>
      <c r="G10" s="48"/>
      <c r="H10" s="72"/>
      <c r="I10" s="49"/>
      <c r="J10" s="49"/>
      <c r="K10" s="49"/>
      <c r="L10" s="49"/>
      <c r="M10" s="49"/>
      <c r="N10" s="49"/>
      <c r="O10" s="49"/>
    </row>
    <row r="12" spans="1:20">
      <c r="H12" s="76" t="s">
        <v>110</v>
      </c>
    </row>
    <row r="14" spans="1:20">
      <c r="H14" s="5">
        <f>Calc_PRIM_death_rates!H14</f>
        <v>0.1</v>
      </c>
      <c r="I14" s="5">
        <f>Calc_PRIM_death_rates!I14</f>
        <v>0.2</v>
      </c>
      <c r="J14" s="5">
        <f>Calc_PRIM_death_rates!J14</f>
        <v>0.3</v>
      </c>
      <c r="K14" s="5">
        <f>Calc_PRIM_death_rates!K14</f>
        <v>0.4</v>
      </c>
    </row>
    <row r="16" spans="1:20" ht="18">
      <c r="B16" s="39" t="s">
        <v>1137</v>
      </c>
    </row>
    <row r="18" spans="2:6">
      <c r="B18" s="76" t="str">
        <f>RAW_DATA_INPUTS!B128</f>
        <v xml:space="preserve">MALE SECONDARY Starting Stock figures </v>
      </c>
    </row>
    <row r="20" spans="2:6">
      <c r="B20" s="1183" t="str">
        <f>RAW_DATA_INPUTS!B131</f>
        <v>Age group</v>
      </c>
      <c r="C20" s="1160" t="s">
        <v>74</v>
      </c>
      <c r="D20" s="1160"/>
      <c r="E20" s="1160"/>
      <c r="F20" s="1160"/>
    </row>
    <row r="21" spans="2:6">
      <c r="B21" s="1184"/>
      <c r="C21" s="8" t="str">
        <f>RAW_DATA_INPUTS!C131</f>
        <v>2011/12</v>
      </c>
      <c r="D21" s="8" t="str">
        <f>RAW_DATA_INPUTS!D131</f>
        <v>2012/13</v>
      </c>
      <c r="E21" s="8" t="str">
        <f>RAW_DATA_INPUTS!E131</f>
        <v>2013/14</v>
      </c>
      <c r="F21" s="8" t="str">
        <f>RAW_DATA_INPUTS!F131</f>
        <v>2014/15</v>
      </c>
    </row>
    <row r="22" spans="2:6">
      <c r="B22" s="8" t="str">
        <f>RAW_DATA_INPUTS!B132</f>
        <v>20-24</v>
      </c>
      <c r="C22" s="307">
        <f>RAW_DATA_INPUTS!C132</f>
        <v>3046.4540000000002</v>
      </c>
      <c r="D22" s="307">
        <f>RAW_DATA_INPUTS!D132</f>
        <v>2847.4160000000002</v>
      </c>
      <c r="E22" s="307">
        <f>RAW_DATA_INPUTS!E132</f>
        <v>2849.462</v>
      </c>
      <c r="F22" s="307">
        <f>RAW_DATA_INPUTS!F132</f>
        <v>2951.1770000000001</v>
      </c>
    </row>
    <row r="23" spans="2:6">
      <c r="B23" s="8" t="str">
        <f>RAW_DATA_INPUTS!B133</f>
        <v>25-29</v>
      </c>
      <c r="C23" s="307">
        <f>RAW_DATA_INPUTS!C133</f>
        <v>12693.795</v>
      </c>
      <c r="D23" s="307">
        <f>RAW_DATA_INPUTS!D133</f>
        <v>12966.096</v>
      </c>
      <c r="E23" s="307">
        <f>RAW_DATA_INPUTS!E133</f>
        <v>12529.004999999999</v>
      </c>
      <c r="F23" s="307">
        <f>RAW_DATA_INPUTS!F133</f>
        <v>11900.496999999999</v>
      </c>
    </row>
    <row r="24" spans="2:6">
      <c r="B24" s="8" t="str">
        <f>RAW_DATA_INPUTS!B134</f>
        <v>30-34</v>
      </c>
      <c r="C24" s="307">
        <f>RAW_DATA_INPUTS!C134</f>
        <v>14688.977000000001</v>
      </c>
      <c r="D24" s="307">
        <f>RAW_DATA_INPUTS!D134</f>
        <v>15165.879000000001</v>
      </c>
      <c r="E24" s="307">
        <f>RAW_DATA_INPUTS!E134</f>
        <v>15137.415999999999</v>
      </c>
      <c r="F24" s="307">
        <f>RAW_DATA_INPUTS!F134</f>
        <v>14990.661</v>
      </c>
    </row>
    <row r="25" spans="2:6">
      <c r="B25" s="8" t="str">
        <f>RAW_DATA_INPUTS!B135</f>
        <v>35-39</v>
      </c>
      <c r="C25" s="307">
        <f>RAW_DATA_INPUTS!C135</f>
        <v>13231.441000000001</v>
      </c>
      <c r="D25" s="307">
        <f>RAW_DATA_INPUTS!D135</f>
        <v>12941.513000000001</v>
      </c>
      <c r="E25" s="307">
        <f>RAW_DATA_INPUTS!E135</f>
        <v>12907.572</v>
      </c>
      <c r="F25" s="307">
        <f>RAW_DATA_INPUTS!F135</f>
        <v>13075.121999999999</v>
      </c>
    </row>
    <row r="26" spans="2:6">
      <c r="B26" s="8" t="str">
        <f>RAW_DATA_INPUTS!B136</f>
        <v>40-44</v>
      </c>
      <c r="C26" s="307">
        <f>RAW_DATA_INPUTS!C136</f>
        <v>11885.812</v>
      </c>
      <c r="D26" s="307">
        <f>RAW_DATA_INPUTS!D136</f>
        <v>12417.732</v>
      </c>
      <c r="E26" s="307">
        <f>RAW_DATA_INPUTS!E136</f>
        <v>12479.237999999999</v>
      </c>
      <c r="F26" s="307">
        <f>RAW_DATA_INPUTS!F136</f>
        <v>12168.439</v>
      </c>
    </row>
    <row r="27" spans="2:6">
      <c r="B27" s="8" t="str">
        <f>RAW_DATA_INPUTS!B137</f>
        <v>45-49</v>
      </c>
      <c r="C27" s="307">
        <f>RAW_DATA_INPUTS!C137</f>
        <v>9776.2890000000007</v>
      </c>
      <c r="D27" s="307">
        <f>RAW_DATA_INPUTS!D137</f>
        <v>9685.9500000000007</v>
      </c>
      <c r="E27" s="307">
        <f>RAW_DATA_INPUTS!E137</f>
        <v>9668.9339999999993</v>
      </c>
      <c r="F27" s="307">
        <f>RAW_DATA_INPUTS!F137</f>
        <v>9735.4269999999997</v>
      </c>
    </row>
    <row r="28" spans="2:6">
      <c r="B28" s="8" t="str">
        <f>RAW_DATA_INPUTS!B138</f>
        <v>50-54</v>
      </c>
      <c r="C28" s="307">
        <f>RAW_DATA_INPUTS!C138</f>
        <v>9477.0570000000007</v>
      </c>
      <c r="D28" s="307">
        <f>RAW_DATA_INPUTS!D138</f>
        <v>8960.25</v>
      </c>
      <c r="E28" s="307">
        <f>RAW_DATA_INPUTS!E138</f>
        <v>8700.4279999999999</v>
      </c>
      <c r="F28" s="307">
        <f>RAW_DATA_INPUTS!F138</f>
        <v>8323.4709999999995</v>
      </c>
    </row>
    <row r="29" spans="2:6">
      <c r="B29" s="8" t="str">
        <f>RAW_DATA_INPUTS!B139</f>
        <v>55-59</v>
      </c>
      <c r="C29" s="307">
        <f>RAW_DATA_INPUTS!C139</f>
        <v>7856.07</v>
      </c>
      <c r="D29" s="307">
        <f>RAW_DATA_INPUTS!D139</f>
        <v>7091.9709999999995</v>
      </c>
      <c r="E29" s="307">
        <f>RAW_DATA_INPUTS!E139</f>
        <v>6334.81</v>
      </c>
      <c r="F29" s="307">
        <f>RAW_DATA_INPUTS!F139</f>
        <v>5894.2539999999999</v>
      </c>
    </row>
    <row r="30" spans="2:6">
      <c r="B30" s="8" t="str">
        <f>RAW_DATA_INPUTS!B140</f>
        <v>60-64</v>
      </c>
      <c r="C30" s="307">
        <f>RAW_DATA_INPUTS!C140</f>
        <v>2324.6170000000002</v>
      </c>
      <c r="D30" s="307">
        <f>RAW_DATA_INPUTS!D140</f>
        <v>2180.3069999999998</v>
      </c>
      <c r="E30" s="307">
        <f>RAW_DATA_INPUTS!E140</f>
        <v>2043.1769999999999</v>
      </c>
      <c r="F30" s="307">
        <f>RAW_DATA_INPUTS!F140</f>
        <v>1931.3789999999999</v>
      </c>
    </row>
    <row r="31" spans="2:6">
      <c r="B31" s="8" t="str">
        <f>RAW_DATA_INPUTS!B141</f>
        <v>65 plus</v>
      </c>
      <c r="C31" s="307">
        <f>RAW_DATA_INPUTS!C141</f>
        <v>244.374</v>
      </c>
      <c r="D31" s="307">
        <f>RAW_DATA_INPUTS!D141</f>
        <v>334.64499999999998</v>
      </c>
      <c r="E31" s="307">
        <f>RAW_DATA_INPUTS!E141</f>
        <v>371.55399999999997</v>
      </c>
      <c r="F31" s="307">
        <f>RAW_DATA_INPUTS!F141</f>
        <v>369.15699999999998</v>
      </c>
    </row>
    <row r="32" spans="2:6">
      <c r="B32" s="8" t="str">
        <f>RAW_DATA_INPUTS!B142</f>
        <v>Total</v>
      </c>
      <c r="C32" s="307">
        <f>RAW_DATA_INPUTS!C142</f>
        <v>85224.885999999984</v>
      </c>
      <c r="D32" s="307">
        <f>RAW_DATA_INPUTS!D142</f>
        <v>84591.759000000005</v>
      </c>
      <c r="E32" s="307">
        <f>RAW_DATA_INPUTS!E142</f>
        <v>83021.59599999999</v>
      </c>
      <c r="F32" s="307">
        <f>RAW_DATA_INPUTS!F142</f>
        <v>81339.584000000003</v>
      </c>
    </row>
    <row r="33" spans="1:6">
      <c r="A33">
        <f>SUM(C33:F33)</f>
        <v>0</v>
      </c>
      <c r="C33">
        <f>SUM(C22:C31)-C32</f>
        <v>0</v>
      </c>
      <c r="D33">
        <f>SUM(D22:D31)-D32</f>
        <v>0</v>
      </c>
      <c r="E33">
        <f>SUM(E22:E31)-E32</f>
        <v>0</v>
      </c>
      <c r="F33">
        <f>SUM(F22:F31)-F32</f>
        <v>0</v>
      </c>
    </row>
    <row r="35" spans="1:6">
      <c r="B35" s="76" t="str">
        <f>RAW_DATA_INPUTS!B162</f>
        <v xml:space="preserve">FEMALE SECONDARY Starting Stock figures </v>
      </c>
    </row>
    <row r="37" spans="1:6">
      <c r="B37" s="1183" t="str">
        <f>RAW_DATA_INPUTS!B148</f>
        <v>Age group</v>
      </c>
      <c r="C37" s="1160" t="str">
        <f>C20</f>
        <v>Year</v>
      </c>
      <c r="D37" s="1160"/>
      <c r="E37" s="1160"/>
      <c r="F37" s="1160"/>
    </row>
    <row r="38" spans="1:6">
      <c r="B38" s="1184"/>
      <c r="C38" s="8" t="str">
        <f>C21</f>
        <v>2011/12</v>
      </c>
      <c r="D38" s="8" t="str">
        <f>D21</f>
        <v>2012/13</v>
      </c>
      <c r="E38" s="8" t="str">
        <f>E21</f>
        <v>2013/14</v>
      </c>
      <c r="F38" s="8" t="str">
        <f>F21</f>
        <v>2014/15</v>
      </c>
    </row>
    <row r="39" spans="1:6">
      <c r="B39" s="8" t="str">
        <f>RAW_DATA_INPUTS!B166</f>
        <v>20-24</v>
      </c>
      <c r="C39" s="307">
        <f>RAW_DATA_INPUTS!C166</f>
        <v>7436.009</v>
      </c>
      <c r="D39" s="307">
        <f>RAW_DATA_INPUTS!D166</f>
        <v>7261.9359999999997</v>
      </c>
      <c r="E39" s="307">
        <f>RAW_DATA_INPUTS!E166</f>
        <v>6785.817</v>
      </c>
      <c r="F39" s="307">
        <f>RAW_DATA_INPUTS!F166</f>
        <v>7031.68</v>
      </c>
    </row>
    <row r="40" spans="1:6">
      <c r="B40" s="8" t="str">
        <f>RAW_DATA_INPUTS!B167</f>
        <v>25-29</v>
      </c>
      <c r="C40" s="307">
        <f>RAW_DATA_INPUTS!C167</f>
        <v>25499.097000000002</v>
      </c>
      <c r="D40" s="307">
        <f>RAW_DATA_INPUTS!D167</f>
        <v>25717.121999999999</v>
      </c>
      <c r="E40" s="307">
        <f>RAW_DATA_INPUTS!E167</f>
        <v>25266.185000000001</v>
      </c>
      <c r="F40" s="307">
        <f>RAW_DATA_INPUTS!F167</f>
        <v>24314.041000000001</v>
      </c>
    </row>
    <row r="41" spans="1:6">
      <c r="B41" s="8" t="str">
        <f>RAW_DATA_INPUTS!B168</f>
        <v>30-34</v>
      </c>
      <c r="C41" s="307">
        <f>RAW_DATA_INPUTS!C168</f>
        <v>24676.074000000001</v>
      </c>
      <c r="D41" s="307">
        <f>RAW_DATA_INPUTS!D168</f>
        <v>25438.483</v>
      </c>
      <c r="E41" s="307">
        <f>RAW_DATA_INPUTS!E168</f>
        <v>25433.401000000002</v>
      </c>
      <c r="F41" s="307">
        <f>RAW_DATA_INPUTS!F168</f>
        <v>25085.696</v>
      </c>
    </row>
    <row r="42" spans="1:6">
      <c r="B42" s="8" t="str">
        <f>RAW_DATA_INPUTS!B169</f>
        <v>35-39</v>
      </c>
      <c r="C42" s="307">
        <f>RAW_DATA_INPUTS!C169</f>
        <v>19314.273000000001</v>
      </c>
      <c r="D42" s="307">
        <f>RAW_DATA_INPUTS!D169</f>
        <v>19924.441999999999</v>
      </c>
      <c r="E42" s="307">
        <f>RAW_DATA_INPUTS!E169</f>
        <v>20565.948</v>
      </c>
      <c r="F42" s="307">
        <f>RAW_DATA_INPUTS!F169</f>
        <v>21242.754000000001</v>
      </c>
    </row>
    <row r="43" spans="1:6">
      <c r="B43" s="8" t="str">
        <f>RAW_DATA_INPUTS!B170</f>
        <v>40-44</v>
      </c>
      <c r="C43" s="307">
        <f>RAW_DATA_INPUTS!C170</f>
        <v>15692.370999999999</v>
      </c>
      <c r="D43" s="307">
        <f>RAW_DATA_INPUTS!D170</f>
        <v>16790.264999999999</v>
      </c>
      <c r="E43" s="307">
        <f>RAW_DATA_INPUTS!E170</f>
        <v>17890.313999999998</v>
      </c>
      <c r="F43" s="307">
        <f>RAW_DATA_INPUTS!F170</f>
        <v>18518.737000000001</v>
      </c>
    </row>
    <row r="44" spans="1:6">
      <c r="B44" s="8" t="str">
        <f>RAW_DATA_INPUTS!B171</f>
        <v>45-49</v>
      </c>
      <c r="C44" s="307">
        <f>RAW_DATA_INPUTS!C171</f>
        <v>14060.19</v>
      </c>
      <c r="D44" s="307">
        <f>RAW_DATA_INPUTS!D171</f>
        <v>14073.81</v>
      </c>
      <c r="E44" s="307">
        <f>RAW_DATA_INPUTS!E171</f>
        <v>13867.227999999999</v>
      </c>
      <c r="F44" s="307">
        <f>RAW_DATA_INPUTS!F171</f>
        <v>14219.995000000001</v>
      </c>
    </row>
    <row r="45" spans="1:6">
      <c r="B45" s="8" t="str">
        <f>RAW_DATA_INPUTS!B172</f>
        <v>50-54</v>
      </c>
      <c r="C45" s="307">
        <f>RAW_DATA_INPUTS!C172</f>
        <v>13937.48</v>
      </c>
      <c r="D45" s="307">
        <f>RAW_DATA_INPUTS!D172</f>
        <v>12985.324000000001</v>
      </c>
      <c r="E45" s="307">
        <f>RAW_DATA_INPUTS!E172</f>
        <v>12412.347</v>
      </c>
      <c r="F45" s="307">
        <f>RAW_DATA_INPUTS!F172</f>
        <v>12169.743</v>
      </c>
    </row>
    <row r="46" spans="1:6">
      <c r="B46" s="8" t="str">
        <f>RAW_DATA_INPUTS!B173</f>
        <v>55-59</v>
      </c>
      <c r="C46" s="307">
        <f>RAW_DATA_INPUTS!C173</f>
        <v>10670.638999999999</v>
      </c>
      <c r="D46" s="307">
        <f>RAW_DATA_INPUTS!D173</f>
        <v>10436.875</v>
      </c>
      <c r="E46" s="307">
        <f>RAW_DATA_INPUTS!E173</f>
        <v>9836.0300000000007</v>
      </c>
      <c r="F46" s="307">
        <f>RAW_DATA_INPUTS!F173</f>
        <v>9013.4740000000002</v>
      </c>
    </row>
    <row r="47" spans="1:6">
      <c r="B47" s="8" t="str">
        <f>RAW_DATA_INPUTS!B174</f>
        <v>60-64</v>
      </c>
      <c r="C47" s="307">
        <f>RAW_DATA_INPUTS!C174</f>
        <v>2463.6509999999998</v>
      </c>
      <c r="D47" s="307">
        <f>RAW_DATA_INPUTS!D174</f>
        <v>2439.056</v>
      </c>
      <c r="E47" s="307">
        <f>RAW_DATA_INPUTS!E174</f>
        <v>2418.21</v>
      </c>
      <c r="F47" s="307">
        <f>RAW_DATA_INPUTS!F174</f>
        <v>2420.5250000000001</v>
      </c>
    </row>
    <row r="48" spans="1:6">
      <c r="B48" s="8" t="str">
        <f>RAW_DATA_INPUTS!B175</f>
        <v>65 plus</v>
      </c>
      <c r="C48" s="307">
        <f>RAW_DATA_INPUTS!C175</f>
        <v>208.93100000000001</v>
      </c>
      <c r="D48" s="307">
        <f>RAW_DATA_INPUTS!D175</f>
        <v>285.01900000000001</v>
      </c>
      <c r="E48" s="307">
        <f>RAW_DATA_INPUTS!E175</f>
        <v>327.072</v>
      </c>
      <c r="F48" s="307">
        <f>RAW_DATA_INPUTS!F175</f>
        <v>307.44400000000002</v>
      </c>
    </row>
    <row r="49" spans="1:6">
      <c r="B49" s="8" t="str">
        <f>RAW_DATA_INPUTS!B176</f>
        <v>Total</v>
      </c>
      <c r="C49" s="307">
        <f>RAW_DATA_INPUTS!C176</f>
        <v>133958.71500000003</v>
      </c>
      <c r="D49" s="307">
        <f>RAW_DATA_INPUTS!D176</f>
        <v>135352.33199999999</v>
      </c>
      <c r="E49" s="307">
        <f>RAW_DATA_INPUTS!E176</f>
        <v>134802.552</v>
      </c>
      <c r="F49" s="307">
        <f>RAW_DATA_INPUTS!F176</f>
        <v>134324.08899999998</v>
      </c>
    </row>
    <row r="50" spans="1:6">
      <c r="A50">
        <f>SUM(C50:F50)</f>
        <v>0</v>
      </c>
      <c r="C50">
        <f>SUM(C39:C48)-C49</f>
        <v>0</v>
      </c>
      <c r="D50">
        <f>SUM(D39:D48)-D49</f>
        <v>0</v>
      </c>
      <c r="E50">
        <f>SUM(E39:E48)-E49</f>
        <v>0</v>
      </c>
      <c r="F50">
        <f>SUM(F39:F48)-F49</f>
        <v>0</v>
      </c>
    </row>
    <row r="52" spans="1:6" ht="18">
      <c r="B52" s="39" t="s">
        <v>506</v>
      </c>
    </row>
    <row r="54" spans="1:6">
      <c r="B54" s="76" t="s">
        <v>508</v>
      </c>
    </row>
    <row r="56" spans="1:6">
      <c r="B56" s="1183" t="str">
        <f>B37</f>
        <v>Age group</v>
      </c>
      <c r="C56" s="1160" t="str">
        <f>C37</f>
        <v>Year</v>
      </c>
      <c r="D56" s="1160"/>
      <c r="E56" s="1160"/>
      <c r="F56" s="1160"/>
    </row>
    <row r="57" spans="1:6">
      <c r="B57" s="1184"/>
      <c r="C57" s="8" t="str">
        <f>Calc_PRIM_death_rates!C57</f>
        <v>2011/12</v>
      </c>
      <c r="D57" s="8" t="str">
        <f>Calc_PRIM_death_rates!D57</f>
        <v>2012/13</v>
      </c>
      <c r="E57" s="8" t="str">
        <f>Calc_PRIM_death_rates!E57</f>
        <v>2013/14</v>
      </c>
      <c r="F57" s="8" t="str">
        <f>Calc_PRIM_death_rates!F57</f>
        <v>2014/15</v>
      </c>
    </row>
    <row r="58" spans="1:6">
      <c r="B58" s="8" t="str">
        <f t="shared" ref="B58:B68" si="0">B39</f>
        <v>20-24</v>
      </c>
      <c r="C58" s="418">
        <f>RAW_DATA_INPUTS!C268</f>
        <v>0</v>
      </c>
      <c r="D58" s="418">
        <f>RAW_DATA_INPUTS!D268</f>
        <v>0</v>
      </c>
      <c r="E58" s="418">
        <f>RAW_DATA_INPUTS!E268</f>
        <v>0</v>
      </c>
      <c r="F58" s="418">
        <f>RAW_DATA_INPUTS!F268</f>
        <v>0</v>
      </c>
    </row>
    <row r="59" spans="1:6">
      <c r="B59" s="8" t="str">
        <f t="shared" si="0"/>
        <v>25-29</v>
      </c>
      <c r="C59" s="418">
        <f>RAW_DATA_INPUTS!C269</f>
        <v>0</v>
      </c>
      <c r="D59" s="418">
        <f>RAW_DATA_INPUTS!D269</f>
        <v>0</v>
      </c>
      <c r="E59" s="418">
        <f>RAW_DATA_INPUTS!E269</f>
        <v>0</v>
      </c>
      <c r="F59" s="418">
        <f>RAW_DATA_INPUTS!F269</f>
        <v>0</v>
      </c>
    </row>
    <row r="60" spans="1:6">
      <c r="B60" s="8" t="str">
        <f t="shared" si="0"/>
        <v>30-34</v>
      </c>
      <c r="C60" s="418">
        <f>RAW_DATA_INPUTS!C270</f>
        <v>0</v>
      </c>
      <c r="D60" s="418">
        <f>RAW_DATA_INPUTS!D270</f>
        <v>0</v>
      </c>
      <c r="E60" s="418">
        <f>RAW_DATA_INPUTS!E270</f>
        <v>5</v>
      </c>
      <c r="F60" s="418">
        <f>RAW_DATA_INPUTS!F270</f>
        <v>5</v>
      </c>
    </row>
    <row r="61" spans="1:6">
      <c r="B61" s="8" t="str">
        <f t="shared" si="0"/>
        <v>35-39</v>
      </c>
      <c r="C61" s="418">
        <f>RAW_DATA_INPUTS!C271</f>
        <v>8</v>
      </c>
      <c r="D61" s="418">
        <f>RAW_DATA_INPUTS!D271</f>
        <v>6</v>
      </c>
      <c r="E61" s="418">
        <f>RAW_DATA_INPUTS!E271</f>
        <v>5</v>
      </c>
      <c r="F61" s="418">
        <f>RAW_DATA_INPUTS!F271</f>
        <v>5</v>
      </c>
    </row>
    <row r="62" spans="1:6">
      <c r="B62" s="8" t="str">
        <f t="shared" si="0"/>
        <v>40-44</v>
      </c>
      <c r="C62" s="418">
        <f>RAW_DATA_INPUTS!C272</f>
        <v>7.2327144433183017</v>
      </c>
      <c r="D62" s="418">
        <f>RAW_DATA_INPUTS!D272</f>
        <v>6.2727614430953551</v>
      </c>
      <c r="E62" s="418">
        <f>RAW_DATA_INPUTS!E272</f>
        <v>10.499515268564977</v>
      </c>
      <c r="F62" s="418">
        <f>RAW_DATA_INPUTS!F272</f>
        <v>10.499515268564977</v>
      </c>
    </row>
    <row r="63" spans="1:6">
      <c r="B63" s="8" t="str">
        <f t="shared" si="0"/>
        <v>45-49</v>
      </c>
      <c r="C63" s="418">
        <f>RAW_DATA_INPUTS!C273</f>
        <v>8.2284208498437259</v>
      </c>
      <c r="D63" s="418">
        <f>RAW_DATA_INPUTS!D273</f>
        <v>9.3219421874936117</v>
      </c>
      <c r="E63" s="418">
        <f>RAW_DATA_INPUTS!E273</f>
        <v>7.3979789481219687</v>
      </c>
      <c r="F63" s="418">
        <f>RAW_DATA_INPUTS!F273</f>
        <v>7.3979789481219687</v>
      </c>
    </row>
    <row r="64" spans="1:6">
      <c r="B64" s="8" t="str">
        <f t="shared" si="0"/>
        <v>50-54</v>
      </c>
      <c r="C64" s="418">
        <f>RAW_DATA_INPUTS!C274</f>
        <v>10.2490907357759</v>
      </c>
      <c r="D64" s="418">
        <f>RAW_DATA_INPUTS!D274</f>
        <v>8.2860174023712041</v>
      </c>
      <c r="E64" s="418">
        <f>RAW_DATA_INPUTS!E274</f>
        <v>15.758658652230292</v>
      </c>
      <c r="F64" s="418">
        <f>RAW_DATA_INPUTS!F274</f>
        <v>15.758658652230292</v>
      </c>
    </row>
    <row r="65" spans="1:7">
      <c r="B65" s="8" t="str">
        <f t="shared" si="0"/>
        <v>55-59</v>
      </c>
      <c r="C65" s="418">
        <f>RAW_DATA_INPUTS!C275</f>
        <v>18.36033907659052</v>
      </c>
      <c r="D65" s="418">
        <f>RAW_DATA_INPUTS!D275</f>
        <v>12.447810097253521</v>
      </c>
      <c r="E65" s="418">
        <f>RAW_DATA_INPUTS!E275</f>
        <v>7.3865637698661661</v>
      </c>
      <c r="F65" s="418">
        <f>RAW_DATA_INPUTS!F275</f>
        <v>7.3865637698661661</v>
      </c>
    </row>
    <row r="66" spans="1:7">
      <c r="B66" s="8" t="str">
        <f t="shared" si="0"/>
        <v>60-64</v>
      </c>
      <c r="C66" s="418">
        <f>RAW_DATA_INPUTS!C276</f>
        <v>10</v>
      </c>
      <c r="D66" s="418">
        <f>RAW_DATA_INPUTS!D276</f>
        <v>6.3</v>
      </c>
      <c r="E66" s="418">
        <f>RAW_DATA_INPUTS!E276</f>
        <v>5.349739150370775</v>
      </c>
      <c r="F66" s="418">
        <f>RAW_DATA_INPUTS!F276</f>
        <v>5.349739150370775</v>
      </c>
    </row>
    <row r="67" spans="1:7">
      <c r="B67" s="8" t="str">
        <f t="shared" si="0"/>
        <v>65 plus</v>
      </c>
      <c r="C67" s="418">
        <f>RAW_DATA_INPUTS!C277</f>
        <v>0</v>
      </c>
      <c r="D67" s="418">
        <f>RAW_DATA_INPUTS!D277</f>
        <v>0</v>
      </c>
      <c r="E67" s="418">
        <f>RAW_DATA_INPUTS!E277</f>
        <v>5</v>
      </c>
      <c r="F67" s="418">
        <f>RAW_DATA_INPUTS!F277</f>
        <v>5</v>
      </c>
    </row>
    <row r="68" spans="1:7">
      <c r="B68" s="8" t="str">
        <f t="shared" si="0"/>
        <v>Total</v>
      </c>
      <c r="C68" s="418">
        <f>RAW_DATA_INPUTS!C278</f>
        <v>62.070565105528445</v>
      </c>
      <c r="D68" s="418">
        <f>RAW_DATA_INPUTS!D278</f>
        <v>48.628531130213688</v>
      </c>
      <c r="E68" s="418">
        <f>RAW_DATA_INPUTS!E278</f>
        <v>61.39245578915417</v>
      </c>
      <c r="F68" s="418">
        <f>RAW_DATA_INPUTS!F278</f>
        <v>61.39245578915417</v>
      </c>
    </row>
    <row r="69" spans="1:7">
      <c r="A69">
        <f>SUM(C69:F69)</f>
        <v>0</v>
      </c>
      <c r="C69">
        <f>SUM(C58:C67)-C68</f>
        <v>0</v>
      </c>
      <c r="D69">
        <f>SUM(D58:D67)-D68</f>
        <v>0</v>
      </c>
      <c r="E69">
        <f>SUM(E58:E67)-E68</f>
        <v>0</v>
      </c>
      <c r="F69">
        <f>SUM(F58:F67)-F68</f>
        <v>0</v>
      </c>
    </row>
    <row r="71" spans="1:7">
      <c r="B71" s="76" t="s">
        <v>507</v>
      </c>
    </row>
    <row r="73" spans="1:7">
      <c r="B73" s="1183" t="str">
        <f>B56</f>
        <v>Age group</v>
      </c>
      <c r="C73" s="1160" t="str">
        <f>C56</f>
        <v>Year</v>
      </c>
      <c r="D73" s="1160"/>
      <c r="E73" s="1160"/>
      <c r="F73" s="1160"/>
    </row>
    <row r="74" spans="1:7">
      <c r="B74" s="1184"/>
      <c r="C74" s="8" t="str">
        <f>C57</f>
        <v>2011/12</v>
      </c>
      <c r="D74" s="8" t="str">
        <f>D57</f>
        <v>2012/13</v>
      </c>
      <c r="E74" s="8" t="str">
        <f>E57</f>
        <v>2013/14</v>
      </c>
      <c r="F74" s="8" t="str">
        <f>F57</f>
        <v>2014/15</v>
      </c>
    </row>
    <row r="75" spans="1:7">
      <c r="B75" s="8" t="str">
        <f t="shared" ref="B75:B85" si="1">B58</f>
        <v>20-24</v>
      </c>
      <c r="C75" s="418">
        <f>RAW_DATA_INPUTS!C285</f>
        <v>0</v>
      </c>
      <c r="D75" s="418">
        <f>RAW_DATA_INPUTS!D285</f>
        <v>0</v>
      </c>
      <c r="E75" s="418">
        <f>RAW_DATA_INPUTS!E285</f>
        <v>0</v>
      </c>
      <c r="F75" s="418">
        <f>RAW_DATA_INPUTS!F285</f>
        <v>0</v>
      </c>
      <c r="G75" s="5"/>
    </row>
    <row r="76" spans="1:7">
      <c r="B76" s="8" t="str">
        <f t="shared" si="1"/>
        <v>25-29</v>
      </c>
      <c r="C76" s="418">
        <f>RAW_DATA_INPUTS!C286</f>
        <v>0</v>
      </c>
      <c r="D76" s="418">
        <f>RAW_DATA_INPUTS!D286</f>
        <v>0</v>
      </c>
      <c r="E76" s="418">
        <f>RAW_DATA_INPUTS!E286</f>
        <v>0</v>
      </c>
      <c r="F76" s="418">
        <f>RAW_DATA_INPUTS!F286</f>
        <v>0</v>
      </c>
      <c r="G76" s="5"/>
    </row>
    <row r="77" spans="1:7">
      <c r="B77" s="8" t="str">
        <f t="shared" si="1"/>
        <v>30-34</v>
      </c>
      <c r="C77" s="418">
        <f>RAW_DATA_INPUTS!C287</f>
        <v>7</v>
      </c>
      <c r="D77" s="418">
        <f>RAW_DATA_INPUTS!D287</f>
        <v>5</v>
      </c>
      <c r="E77" s="418">
        <f>RAW_DATA_INPUTS!E287</f>
        <v>0</v>
      </c>
      <c r="F77" s="418">
        <f>RAW_DATA_INPUTS!F287</f>
        <v>0</v>
      </c>
      <c r="G77" s="5"/>
    </row>
    <row r="78" spans="1:7">
      <c r="B78" s="8" t="str">
        <f t="shared" si="1"/>
        <v>35-39</v>
      </c>
      <c r="C78" s="418">
        <f>RAW_DATA_INPUTS!C288</f>
        <v>6.1082325657801313</v>
      </c>
      <c r="D78" s="418">
        <f>RAW_DATA_INPUTS!D288</f>
        <v>6</v>
      </c>
      <c r="E78" s="418">
        <f>RAW_DATA_INPUTS!E288</f>
        <v>5</v>
      </c>
      <c r="F78" s="418">
        <f>RAW_DATA_INPUTS!F288</f>
        <v>5</v>
      </c>
      <c r="G78" s="5"/>
    </row>
    <row r="79" spans="1:7">
      <c r="B79" s="8" t="str">
        <f t="shared" si="1"/>
        <v>40-44</v>
      </c>
      <c r="C79" s="418">
        <f>RAW_DATA_INPUTS!C289</f>
        <v>6.1958057686078831</v>
      </c>
      <c r="D79" s="418">
        <f>RAW_DATA_INPUTS!D289</f>
        <v>5</v>
      </c>
      <c r="E79" s="418">
        <f>RAW_DATA_INPUTS!E289</f>
        <v>5</v>
      </c>
      <c r="F79" s="418">
        <f>RAW_DATA_INPUTS!F289</f>
        <v>5</v>
      </c>
      <c r="G79" s="5"/>
    </row>
    <row r="80" spans="1:7">
      <c r="B80" s="8" t="str">
        <f t="shared" si="1"/>
        <v>45-49</v>
      </c>
      <c r="C80" s="418">
        <f>RAW_DATA_INPUTS!C290</f>
        <v>9.2960810662243727</v>
      </c>
      <c r="D80" s="418">
        <f>RAW_DATA_INPUTS!D290</f>
        <v>7.2040218891732986</v>
      </c>
      <c r="E80" s="418">
        <f>RAW_DATA_INPUTS!E290</f>
        <v>5.2169483907906198</v>
      </c>
      <c r="F80" s="418">
        <f>RAW_DATA_INPUTS!F290</f>
        <v>5.2169483907906198</v>
      </c>
      <c r="G80" s="5"/>
    </row>
    <row r="81" spans="1:7">
      <c r="B81" s="8" t="str">
        <f t="shared" si="1"/>
        <v>50-54</v>
      </c>
      <c r="C81" s="418">
        <f>RAW_DATA_INPUTS!C291</f>
        <v>13.374083457771565</v>
      </c>
      <c r="D81" s="418">
        <f>RAW_DATA_INPUTS!D291</f>
        <v>11.388891269696234</v>
      </c>
      <c r="E81" s="418">
        <f>RAW_DATA_INPUTS!E291</f>
        <v>5.2891654162038906</v>
      </c>
      <c r="F81" s="418">
        <f>RAW_DATA_INPUTS!F291</f>
        <v>5.2891654162038906</v>
      </c>
      <c r="G81" s="5"/>
    </row>
    <row r="82" spans="1:7">
      <c r="B82" s="8" t="str">
        <f t="shared" si="1"/>
        <v>55-59</v>
      </c>
      <c r="C82" s="418">
        <f>RAW_DATA_INPUTS!C292</f>
        <v>14.387111843396568</v>
      </c>
      <c r="D82" s="418">
        <f>RAW_DATA_INPUTS!D292</f>
        <v>9.3463630603078798</v>
      </c>
      <c r="E82" s="418">
        <f>RAW_DATA_INPUTS!E292</f>
        <v>16.879953480177065</v>
      </c>
      <c r="F82" s="418">
        <f>RAW_DATA_INPUTS!F292</f>
        <v>16.879953480177065</v>
      </c>
      <c r="G82" s="5"/>
    </row>
    <row r="83" spans="1:7">
      <c r="B83" s="8" t="str">
        <f t="shared" si="1"/>
        <v>60-64</v>
      </c>
      <c r="C83" s="418">
        <f>RAW_DATA_INPUTS!C293</f>
        <v>7</v>
      </c>
      <c r="D83" s="418">
        <f>RAW_DATA_INPUTS!D293</f>
        <v>8</v>
      </c>
      <c r="E83" s="418">
        <f>RAW_DATA_INPUTS!E293</f>
        <v>5</v>
      </c>
      <c r="F83" s="418">
        <f>RAW_DATA_INPUTS!F293</f>
        <v>5</v>
      </c>
      <c r="G83" s="5"/>
    </row>
    <row r="84" spans="1:7">
      <c r="B84" s="8" t="str">
        <f t="shared" si="1"/>
        <v>65 plus</v>
      </c>
      <c r="C84" s="418">
        <f>RAW_DATA_INPUTS!C294</f>
        <v>0</v>
      </c>
      <c r="D84" s="418">
        <f>RAW_DATA_INPUTS!D294</f>
        <v>5</v>
      </c>
      <c r="E84" s="418">
        <f>RAW_DATA_INPUTS!E294</f>
        <v>5</v>
      </c>
      <c r="F84" s="418">
        <f>RAW_DATA_INPUTS!F294</f>
        <v>5</v>
      </c>
      <c r="G84" s="5"/>
    </row>
    <row r="85" spans="1:7">
      <c r="B85" s="8" t="str">
        <f t="shared" si="1"/>
        <v>Total</v>
      </c>
      <c r="C85" s="418">
        <f>RAW_DATA_INPUTS!C295</f>
        <v>63.361314701780515</v>
      </c>
      <c r="D85" s="418">
        <f>RAW_DATA_INPUTS!D295</f>
        <v>56.939276219177415</v>
      </c>
      <c r="E85" s="418">
        <f>RAW_DATA_INPUTS!E295</f>
        <v>47.386067287171571</v>
      </c>
      <c r="F85" s="418">
        <f>RAW_DATA_INPUTS!F295</f>
        <v>47.386067287171571</v>
      </c>
      <c r="G85" s="5"/>
    </row>
    <row r="86" spans="1:7">
      <c r="A86">
        <f>SUM(C86:F86)</f>
        <v>0</v>
      </c>
      <c r="C86">
        <f>SUM(C75:C84)-C85</f>
        <v>0</v>
      </c>
      <c r="D86">
        <f>SUM(D75:D84)-D85</f>
        <v>0</v>
      </c>
      <c r="E86">
        <f>SUM(E75:E84)-E85</f>
        <v>0</v>
      </c>
      <c r="F86">
        <f>SUM(F75:F84)-F85</f>
        <v>0</v>
      </c>
    </row>
    <row r="88" spans="1:7">
      <c r="B88" s="76" t="s">
        <v>509</v>
      </c>
    </row>
    <row r="90" spans="1:7">
      <c r="B90" s="1140" t="str">
        <f>B73</f>
        <v>Age group</v>
      </c>
      <c r="C90" s="1160" t="str">
        <f>C73</f>
        <v>Year</v>
      </c>
      <c r="D90" s="1160"/>
      <c r="E90" s="1160"/>
      <c r="F90" s="1160"/>
    </row>
    <row r="91" spans="1:7">
      <c r="B91" s="1140"/>
      <c r="C91" s="8" t="str">
        <f>C74</f>
        <v>2011/12</v>
      </c>
      <c r="D91" s="8" t="str">
        <f>D74</f>
        <v>2012/13</v>
      </c>
      <c r="E91" s="8" t="str">
        <f>E74</f>
        <v>2013/14</v>
      </c>
      <c r="F91" s="8" t="str">
        <f>F74</f>
        <v>2014/15</v>
      </c>
    </row>
    <row r="92" spans="1:7">
      <c r="B92" s="8" t="str">
        <f t="shared" ref="B92:B102" si="2">B75</f>
        <v>20-24</v>
      </c>
      <c r="C92" s="164">
        <f t="shared" ref="C92:F102" si="3">C58/C22</f>
        <v>0</v>
      </c>
      <c r="D92" s="164">
        <f t="shared" si="3"/>
        <v>0</v>
      </c>
      <c r="E92" s="164">
        <f t="shared" si="3"/>
        <v>0</v>
      </c>
      <c r="F92" s="164">
        <f t="shared" si="3"/>
        <v>0</v>
      </c>
    </row>
    <row r="93" spans="1:7">
      <c r="B93" s="8" t="str">
        <f t="shared" si="2"/>
        <v>25-29</v>
      </c>
      <c r="C93" s="164">
        <f t="shared" si="3"/>
        <v>0</v>
      </c>
      <c r="D93" s="164">
        <f t="shared" si="3"/>
        <v>0</v>
      </c>
      <c r="E93" s="164">
        <f t="shared" si="3"/>
        <v>0</v>
      </c>
      <c r="F93" s="164">
        <f t="shared" si="3"/>
        <v>0</v>
      </c>
    </row>
    <row r="94" spans="1:7">
      <c r="B94" s="8" t="str">
        <f t="shared" si="2"/>
        <v>30-34</v>
      </c>
      <c r="C94" s="164">
        <f t="shared" si="3"/>
        <v>0</v>
      </c>
      <c r="D94" s="164">
        <f t="shared" si="3"/>
        <v>0</v>
      </c>
      <c r="E94" s="164">
        <f t="shared" si="3"/>
        <v>3.3030736553715643E-4</v>
      </c>
      <c r="F94" s="164">
        <f t="shared" si="3"/>
        <v>3.3354099595741643E-4</v>
      </c>
    </row>
    <row r="95" spans="1:7">
      <c r="B95" s="8" t="str">
        <f t="shared" si="2"/>
        <v>35-39</v>
      </c>
      <c r="C95" s="164">
        <f t="shared" si="3"/>
        <v>6.0462046424119642E-4</v>
      </c>
      <c r="D95" s="164">
        <f t="shared" si="3"/>
        <v>4.6362430729699069E-4</v>
      </c>
      <c r="E95" s="164">
        <f t="shared" si="3"/>
        <v>3.8736952232379569E-4</v>
      </c>
      <c r="F95" s="164">
        <f t="shared" si="3"/>
        <v>3.824056096761468E-4</v>
      </c>
    </row>
    <row r="96" spans="1:7">
      <c r="B96" s="8" t="str">
        <f t="shared" si="2"/>
        <v>40-44</v>
      </c>
      <c r="C96" s="164">
        <f t="shared" si="3"/>
        <v>6.0851664516637998E-4</v>
      </c>
      <c r="D96" s="164">
        <f t="shared" si="3"/>
        <v>5.0514550024878578E-4</v>
      </c>
      <c r="E96" s="164">
        <f t="shared" si="3"/>
        <v>8.4135868460598134E-4</v>
      </c>
      <c r="F96" s="164">
        <f t="shared" si="3"/>
        <v>8.6284816553421333E-4</v>
      </c>
    </row>
    <row r="97" spans="2:6">
      <c r="B97" s="8" t="str">
        <f t="shared" si="2"/>
        <v>45-49</v>
      </c>
      <c r="C97" s="164">
        <f t="shared" si="3"/>
        <v>8.4167119546524512E-4</v>
      </c>
      <c r="D97" s="164">
        <f t="shared" si="3"/>
        <v>9.6241898703726641E-4</v>
      </c>
      <c r="E97" s="164">
        <f t="shared" si="3"/>
        <v>7.6512870479020429E-4</v>
      </c>
      <c r="F97" s="164">
        <f t="shared" si="3"/>
        <v>7.5990287309657487E-4</v>
      </c>
    </row>
    <row r="98" spans="2:6">
      <c r="B98" s="8" t="str">
        <f t="shared" si="2"/>
        <v>50-54</v>
      </c>
      <c r="C98" s="164">
        <f t="shared" si="3"/>
        <v>1.0814634475424067E-3</v>
      </c>
      <c r="D98" s="164">
        <f t="shared" si="3"/>
        <v>9.2475292568524367E-4</v>
      </c>
      <c r="E98" s="164">
        <f t="shared" si="3"/>
        <v>1.8112509697488781E-3</v>
      </c>
      <c r="F98" s="164">
        <f t="shared" si="3"/>
        <v>1.8932796969233499E-3</v>
      </c>
    </row>
    <row r="99" spans="2:6">
      <c r="B99" s="8" t="str">
        <f t="shared" si="2"/>
        <v>55-59</v>
      </c>
      <c r="C99" s="164">
        <f t="shared" si="3"/>
        <v>2.3370895468841956E-3</v>
      </c>
      <c r="D99" s="164">
        <f t="shared" si="3"/>
        <v>1.7551975462468082E-3</v>
      </c>
      <c r="E99" s="164">
        <f t="shared" si="3"/>
        <v>1.1660276740527603E-3</v>
      </c>
      <c r="F99" s="164">
        <f t="shared" si="3"/>
        <v>1.2531804312922664E-3</v>
      </c>
    </row>
    <row r="100" spans="2:6">
      <c r="B100" s="8" t="str">
        <f t="shared" si="2"/>
        <v>60-64</v>
      </c>
      <c r="C100" s="164">
        <f t="shared" si="3"/>
        <v>4.3017839067682976E-3</v>
      </c>
      <c r="D100" s="164">
        <f t="shared" si="3"/>
        <v>2.8895013408662177E-3</v>
      </c>
      <c r="E100" s="164">
        <f t="shared" si="3"/>
        <v>2.618343467242816E-3</v>
      </c>
      <c r="F100" s="164">
        <f t="shared" si="3"/>
        <v>2.7699064504536786E-3</v>
      </c>
    </row>
    <row r="101" spans="2:6">
      <c r="B101" s="8" t="str">
        <f t="shared" si="2"/>
        <v>65 plus</v>
      </c>
      <c r="C101" s="164">
        <f t="shared" si="3"/>
        <v>0</v>
      </c>
      <c r="D101" s="164">
        <f t="shared" si="3"/>
        <v>0</v>
      </c>
      <c r="E101" s="164">
        <f t="shared" si="3"/>
        <v>1.3456994138133354E-2</v>
      </c>
      <c r="F101" s="164">
        <f t="shared" si="3"/>
        <v>1.3544372719466244E-2</v>
      </c>
    </row>
    <row r="102" spans="2:6">
      <c r="B102" s="8" t="str">
        <f t="shared" si="2"/>
        <v>Total</v>
      </c>
      <c r="C102" s="164">
        <f t="shared" si="3"/>
        <v>7.2831502649975334E-4</v>
      </c>
      <c r="D102" s="164">
        <f t="shared" si="3"/>
        <v>5.7486133052527834E-4</v>
      </c>
      <c r="E102" s="164">
        <f t="shared" si="3"/>
        <v>7.3947573579715548E-4</v>
      </c>
      <c r="F102" s="164">
        <f t="shared" si="3"/>
        <v>7.547672703754443E-4</v>
      </c>
    </row>
    <row r="104" spans="2:6">
      <c r="B104" s="76" t="s">
        <v>510</v>
      </c>
    </row>
    <row r="106" spans="2:6">
      <c r="B106" s="1140" t="str">
        <f>B90</f>
        <v>Age group</v>
      </c>
      <c r="C106" s="1160" t="str">
        <f>C90</f>
        <v>Year</v>
      </c>
      <c r="D106" s="1160"/>
      <c r="E106" s="1160"/>
      <c r="F106" s="1160"/>
    </row>
    <row r="107" spans="2:6">
      <c r="B107" s="1140"/>
      <c r="C107" s="8" t="str">
        <f>C91</f>
        <v>2011/12</v>
      </c>
      <c r="D107" s="8" t="str">
        <f>D91</f>
        <v>2012/13</v>
      </c>
      <c r="E107" s="8" t="str">
        <f>E91</f>
        <v>2013/14</v>
      </c>
      <c r="F107" s="8" t="str">
        <f>F91</f>
        <v>2014/15</v>
      </c>
    </row>
    <row r="108" spans="2:6">
      <c r="B108" s="8" t="str">
        <f>B92</f>
        <v>20-24</v>
      </c>
      <c r="C108" s="164">
        <f t="shared" ref="C108:F118" si="4">C75/C39</f>
        <v>0</v>
      </c>
      <c r="D108" s="164">
        <f t="shared" si="4"/>
        <v>0</v>
      </c>
      <c r="E108" s="164">
        <f t="shared" si="4"/>
        <v>0</v>
      </c>
      <c r="F108" s="164">
        <f t="shared" si="4"/>
        <v>0</v>
      </c>
    </row>
    <row r="109" spans="2:6">
      <c r="B109" s="8" t="str">
        <f t="shared" ref="B109:B118" si="5">B93</f>
        <v>25-29</v>
      </c>
      <c r="C109" s="164">
        <f t="shared" si="4"/>
        <v>0</v>
      </c>
      <c r="D109" s="164">
        <f t="shared" si="4"/>
        <v>0</v>
      </c>
      <c r="E109" s="164">
        <f t="shared" si="4"/>
        <v>0</v>
      </c>
      <c r="F109" s="164">
        <f t="shared" si="4"/>
        <v>0</v>
      </c>
    </row>
    <row r="110" spans="2:6">
      <c r="B110" s="8" t="str">
        <f t="shared" si="5"/>
        <v>30-34</v>
      </c>
      <c r="C110" s="164">
        <f t="shared" si="4"/>
        <v>2.8367559604497862E-4</v>
      </c>
      <c r="D110" s="164">
        <f t="shared" si="4"/>
        <v>1.9655260103363867E-4</v>
      </c>
      <c r="E110" s="164">
        <f t="shared" si="4"/>
        <v>0</v>
      </c>
      <c r="F110" s="164">
        <f t="shared" si="4"/>
        <v>0</v>
      </c>
    </row>
    <row r="111" spans="2:6">
      <c r="B111" s="8" t="str">
        <f t="shared" si="5"/>
        <v>35-39</v>
      </c>
      <c r="C111" s="164">
        <f t="shared" si="4"/>
        <v>3.1625485286348239E-4</v>
      </c>
      <c r="D111" s="164">
        <f t="shared" si="4"/>
        <v>3.011376679959218E-4</v>
      </c>
      <c r="E111" s="164">
        <f t="shared" si="4"/>
        <v>2.4312032686263721E-4</v>
      </c>
      <c r="F111" s="164">
        <f t="shared" si="4"/>
        <v>2.3537437754068987E-4</v>
      </c>
    </row>
    <row r="112" spans="2:6">
      <c r="B112" s="8" t="str">
        <f t="shared" si="5"/>
        <v>40-44</v>
      </c>
      <c r="C112" s="164">
        <f t="shared" si="4"/>
        <v>3.9482916689950065E-4</v>
      </c>
      <c r="D112" s="164">
        <f t="shared" si="4"/>
        <v>2.977916072200171E-4</v>
      </c>
      <c r="E112" s="164">
        <f t="shared" si="4"/>
        <v>2.7948084086170874E-4</v>
      </c>
      <c r="F112" s="164">
        <f t="shared" si="4"/>
        <v>2.699968145775816E-4</v>
      </c>
    </row>
    <row r="113" spans="2:8">
      <c r="B113" s="8" t="str">
        <f t="shared" si="5"/>
        <v>45-49</v>
      </c>
      <c r="C113" s="164">
        <f t="shared" si="4"/>
        <v>6.6116326068313251E-4</v>
      </c>
      <c r="D113" s="164">
        <f t="shared" si="4"/>
        <v>5.1187431755674538E-4</v>
      </c>
      <c r="E113" s="164">
        <f t="shared" si="4"/>
        <v>3.7620701057129946E-4</v>
      </c>
      <c r="F113" s="164">
        <f t="shared" si="4"/>
        <v>3.6687413679052769E-4</v>
      </c>
    </row>
    <row r="114" spans="2:8">
      <c r="B114" s="8" t="str">
        <f t="shared" si="5"/>
        <v>50-54</v>
      </c>
      <c r="C114" s="164">
        <f t="shared" si="4"/>
        <v>9.5957687169930038E-4</v>
      </c>
      <c r="D114" s="164">
        <f t="shared" si="4"/>
        <v>8.7705869100349239E-4</v>
      </c>
      <c r="E114" s="164">
        <f t="shared" si="4"/>
        <v>4.2612129810775436E-4</v>
      </c>
      <c r="F114" s="164">
        <f t="shared" si="4"/>
        <v>4.3461603225342479E-4</v>
      </c>
    </row>
    <row r="115" spans="2:8">
      <c r="B115" s="8" t="str">
        <f t="shared" si="5"/>
        <v>55-59</v>
      </c>
      <c r="C115" s="164">
        <f t="shared" si="4"/>
        <v>1.3482896238357018E-3</v>
      </c>
      <c r="D115" s="164">
        <f t="shared" si="4"/>
        <v>8.9551355748802971E-4</v>
      </c>
      <c r="E115" s="164">
        <f t="shared" si="4"/>
        <v>1.7161348105055661E-3</v>
      </c>
      <c r="F115" s="164">
        <f t="shared" si="4"/>
        <v>1.8727466768281647E-3</v>
      </c>
    </row>
    <row r="116" spans="2:8">
      <c r="B116" s="8" t="str">
        <f t="shared" si="5"/>
        <v>60-64</v>
      </c>
      <c r="C116" s="164">
        <f t="shared" si="4"/>
        <v>2.8413115331676446E-3</v>
      </c>
      <c r="D116" s="164">
        <f t="shared" si="4"/>
        <v>3.2799574917509069E-3</v>
      </c>
      <c r="E116" s="164">
        <f t="shared" si="4"/>
        <v>2.0676450763167796E-3</v>
      </c>
      <c r="F116" s="164">
        <f t="shared" si="4"/>
        <v>2.0656675721176191E-3</v>
      </c>
    </row>
    <row r="117" spans="2:8">
      <c r="B117" s="8" t="str">
        <f t="shared" si="5"/>
        <v>65 plus</v>
      </c>
      <c r="C117" s="164">
        <f t="shared" si="4"/>
        <v>0</v>
      </c>
      <c r="D117" s="164">
        <f t="shared" si="4"/>
        <v>1.7542690136447044E-2</v>
      </c>
      <c r="E117" s="164">
        <f t="shared" si="4"/>
        <v>1.5287153898835731E-2</v>
      </c>
      <c r="F117" s="164">
        <f t="shared" si="4"/>
        <v>1.6263124341343464E-2</v>
      </c>
    </row>
    <row r="118" spans="2:8">
      <c r="B118" s="8" t="str">
        <f t="shared" si="5"/>
        <v>Total</v>
      </c>
      <c r="C118" s="164">
        <f t="shared" si="4"/>
        <v>4.7299135932873427E-4</v>
      </c>
      <c r="D118" s="164">
        <f t="shared" si="4"/>
        <v>4.206745120518309E-4</v>
      </c>
      <c r="E118" s="164">
        <f t="shared" si="4"/>
        <v>3.5152203414644235E-4</v>
      </c>
      <c r="F118" s="164">
        <f t="shared" si="4"/>
        <v>3.5277415718912173E-4</v>
      </c>
    </row>
    <row r="120" spans="2:8">
      <c r="B120" s="76" t="s">
        <v>511</v>
      </c>
    </row>
    <row r="122" spans="2:8">
      <c r="B122" s="1140" t="str">
        <f>B106</f>
        <v>Age group</v>
      </c>
      <c r="C122" s="1183" t="str">
        <f>C107</f>
        <v>2011/12</v>
      </c>
      <c r="D122" s="1183" t="str">
        <f>D107</f>
        <v>2012/13</v>
      </c>
      <c r="E122" s="1183" t="str">
        <f>E107</f>
        <v>2013/14</v>
      </c>
      <c r="F122" s="1183" t="str">
        <f>F107</f>
        <v>2014/15</v>
      </c>
      <c r="G122" s="1209" t="s">
        <v>8</v>
      </c>
    </row>
    <row r="123" spans="2:8">
      <c r="B123" s="1140"/>
      <c r="C123" s="1184"/>
      <c r="D123" s="1184"/>
      <c r="E123" s="1184"/>
      <c r="F123" s="1184"/>
      <c r="G123" s="1210"/>
    </row>
    <row r="124" spans="2:8">
      <c r="B124" s="141" t="str">
        <f>B108</f>
        <v>20-24</v>
      </c>
      <c r="C124" s="954">
        <f>C92*H$14</f>
        <v>0</v>
      </c>
      <c r="D124" s="954">
        <f t="shared" ref="D124:F134" si="6">D92*I$14</f>
        <v>0</v>
      </c>
      <c r="E124" s="954">
        <f t="shared" si="6"/>
        <v>0</v>
      </c>
      <c r="F124" s="954">
        <f t="shared" si="6"/>
        <v>0</v>
      </c>
      <c r="G124" s="952">
        <f>SUM(C124:F124)</f>
        <v>0</v>
      </c>
      <c r="H124" s="5"/>
    </row>
    <row r="125" spans="2:8">
      <c r="B125" s="141" t="str">
        <f t="shared" ref="B125:B132" si="7">B109</f>
        <v>25-29</v>
      </c>
      <c r="C125" s="954">
        <f t="shared" ref="C125:C134" si="8">C93*H$14</f>
        <v>0</v>
      </c>
      <c r="D125" s="954">
        <f t="shared" si="6"/>
        <v>0</v>
      </c>
      <c r="E125" s="954">
        <f t="shared" si="6"/>
        <v>0</v>
      </c>
      <c r="F125" s="954">
        <f t="shared" si="6"/>
        <v>0</v>
      </c>
      <c r="G125" s="952">
        <f t="shared" ref="G125:G134" si="9">SUM(C125:F125)</f>
        <v>0</v>
      </c>
      <c r="H125" s="5"/>
    </row>
    <row r="126" spans="2:8">
      <c r="B126" s="141" t="str">
        <f t="shared" si="7"/>
        <v>30-34</v>
      </c>
      <c r="C126" s="954">
        <f t="shared" si="8"/>
        <v>0</v>
      </c>
      <c r="D126" s="954">
        <f t="shared" si="6"/>
        <v>0</v>
      </c>
      <c r="E126" s="954">
        <f t="shared" si="6"/>
        <v>9.909220966114693E-5</v>
      </c>
      <c r="F126" s="954">
        <f t="shared" si="6"/>
        <v>1.3341639838296659E-4</v>
      </c>
      <c r="G126" s="952">
        <f t="shared" si="9"/>
        <v>2.3250860804411352E-4</v>
      </c>
      <c r="H126" s="5"/>
    </row>
    <row r="127" spans="2:8">
      <c r="B127" s="141" t="str">
        <f t="shared" si="7"/>
        <v>35-39</v>
      </c>
      <c r="C127" s="954">
        <f t="shared" si="8"/>
        <v>6.0462046424119646E-5</v>
      </c>
      <c r="D127" s="954">
        <f t="shared" si="6"/>
        <v>9.2724861459398148E-5</v>
      </c>
      <c r="E127" s="954">
        <f t="shared" si="6"/>
        <v>1.162108566971387E-4</v>
      </c>
      <c r="F127" s="954">
        <f t="shared" si="6"/>
        <v>1.5296224387045874E-4</v>
      </c>
      <c r="G127" s="952">
        <f t="shared" si="9"/>
        <v>4.2236000845111523E-4</v>
      </c>
      <c r="H127" s="5"/>
    </row>
    <row r="128" spans="2:8">
      <c r="B128" s="141" t="str">
        <f t="shared" si="7"/>
        <v>40-44</v>
      </c>
      <c r="C128" s="954">
        <f t="shared" si="8"/>
        <v>6.0851664516638002E-5</v>
      </c>
      <c r="D128" s="954">
        <f t="shared" si="6"/>
        <v>1.0102910004975716E-4</v>
      </c>
      <c r="E128" s="954">
        <f t="shared" si="6"/>
        <v>2.524076053817944E-4</v>
      </c>
      <c r="F128" s="954">
        <f t="shared" si="6"/>
        <v>3.4513926621368538E-4</v>
      </c>
      <c r="G128" s="952">
        <f t="shared" si="9"/>
        <v>7.5942763616187493E-4</v>
      </c>
      <c r="H128" s="5"/>
    </row>
    <row r="129" spans="2:8">
      <c r="B129" s="141" t="str">
        <f t="shared" si="7"/>
        <v>45-49</v>
      </c>
      <c r="C129" s="954">
        <f t="shared" si="8"/>
        <v>8.4167119546524517E-5</v>
      </c>
      <c r="D129" s="954">
        <f t="shared" si="6"/>
        <v>1.9248379740745329E-4</v>
      </c>
      <c r="E129" s="954">
        <f t="shared" si="6"/>
        <v>2.2953861143706127E-4</v>
      </c>
      <c r="F129" s="954">
        <f t="shared" si="6"/>
        <v>3.0396114923862997E-4</v>
      </c>
      <c r="G129" s="952">
        <f t="shared" si="9"/>
        <v>8.1015067762966911E-4</v>
      </c>
      <c r="H129" s="5"/>
    </row>
    <row r="130" spans="2:8">
      <c r="B130" s="141" t="str">
        <f t="shared" si="7"/>
        <v>50-54</v>
      </c>
      <c r="C130" s="954">
        <f t="shared" si="8"/>
        <v>1.0814634475424068E-4</v>
      </c>
      <c r="D130" s="954">
        <f t="shared" si="6"/>
        <v>1.8495058513704875E-4</v>
      </c>
      <c r="E130" s="954">
        <f t="shared" si="6"/>
        <v>5.433752909246634E-4</v>
      </c>
      <c r="F130" s="954">
        <f t="shared" si="6"/>
        <v>7.5731187876933994E-4</v>
      </c>
      <c r="G130" s="952">
        <f t="shared" si="9"/>
        <v>1.5937840995852927E-3</v>
      </c>
      <c r="H130" s="5"/>
    </row>
    <row r="131" spans="2:8">
      <c r="B131" s="141" t="str">
        <f t="shared" si="7"/>
        <v>55-59</v>
      </c>
      <c r="C131" s="954">
        <f t="shared" si="8"/>
        <v>2.3370895468841958E-4</v>
      </c>
      <c r="D131" s="954">
        <f t="shared" si="6"/>
        <v>3.5103950924936169E-4</v>
      </c>
      <c r="E131" s="954">
        <f t="shared" si="6"/>
        <v>3.4980830221582806E-4</v>
      </c>
      <c r="F131" s="954">
        <f t="shared" si="6"/>
        <v>5.0127217251690656E-4</v>
      </c>
      <c r="G131" s="952">
        <f t="shared" si="9"/>
        <v>1.435828938670516E-3</v>
      </c>
      <c r="H131" s="5"/>
    </row>
    <row r="132" spans="2:8">
      <c r="B132" s="141" t="str">
        <f t="shared" si="7"/>
        <v>60-64</v>
      </c>
      <c r="C132" s="954">
        <f t="shared" si="8"/>
        <v>4.3017839067682978E-4</v>
      </c>
      <c r="D132" s="954">
        <f t="shared" si="6"/>
        <v>5.779002681732436E-4</v>
      </c>
      <c r="E132" s="954">
        <f t="shared" si="6"/>
        <v>7.8550304017284476E-4</v>
      </c>
      <c r="F132" s="954">
        <f t="shared" si="6"/>
        <v>1.1079625801814715E-3</v>
      </c>
      <c r="G132" s="952">
        <f t="shared" si="9"/>
        <v>2.9015442792043895E-3</v>
      </c>
      <c r="H132" s="5"/>
    </row>
    <row r="133" spans="2:8">
      <c r="B133" s="141" t="str">
        <f>B117</f>
        <v>65 plus</v>
      </c>
      <c r="C133" s="954">
        <f t="shared" si="8"/>
        <v>0</v>
      </c>
      <c r="D133" s="954">
        <f t="shared" si="6"/>
        <v>0</v>
      </c>
      <c r="E133" s="954">
        <f t="shared" si="6"/>
        <v>4.0370982414400063E-3</v>
      </c>
      <c r="F133" s="954">
        <f t="shared" si="6"/>
        <v>5.417749087786498E-3</v>
      </c>
      <c r="G133" s="952">
        <f t="shared" si="9"/>
        <v>9.4548473292265043E-3</v>
      </c>
      <c r="H133" s="5"/>
    </row>
    <row r="134" spans="2:8">
      <c r="B134" s="141" t="str">
        <f>B118</f>
        <v>Total</v>
      </c>
      <c r="C134" s="954">
        <f t="shared" si="8"/>
        <v>7.2831502649975334E-5</v>
      </c>
      <c r="D134" s="954">
        <f t="shared" si="6"/>
        <v>1.1497226610505567E-4</v>
      </c>
      <c r="E134" s="954">
        <f t="shared" si="6"/>
        <v>2.2184272073914662E-4</v>
      </c>
      <c r="F134" s="954">
        <f t="shared" si="6"/>
        <v>3.0190690815017773E-4</v>
      </c>
      <c r="G134" s="952">
        <f t="shared" si="9"/>
        <v>7.1155339764435535E-4</v>
      </c>
      <c r="H134" s="5"/>
    </row>
    <row r="136" spans="2:8">
      <c r="B136" s="76" t="s">
        <v>512</v>
      </c>
    </row>
    <row r="138" spans="2:8">
      <c r="B138" s="1140" t="str">
        <f>B122</f>
        <v>Age group</v>
      </c>
      <c r="C138" s="1183" t="str">
        <f>C122</f>
        <v>2011/12</v>
      </c>
      <c r="D138" s="1183" t="str">
        <f>D122</f>
        <v>2012/13</v>
      </c>
      <c r="E138" s="1183" t="str">
        <f>E122</f>
        <v>2013/14</v>
      </c>
      <c r="F138" s="1183" t="str">
        <f>F122</f>
        <v>2014/15</v>
      </c>
      <c r="G138" s="1209" t="s">
        <v>8</v>
      </c>
    </row>
    <row r="139" spans="2:8">
      <c r="B139" s="1140"/>
      <c r="C139" s="1184"/>
      <c r="D139" s="1184"/>
      <c r="E139" s="1184"/>
      <c r="F139" s="1184"/>
      <c r="G139" s="1210"/>
    </row>
    <row r="140" spans="2:8">
      <c r="B140" s="141" t="str">
        <f>B124</f>
        <v>20-24</v>
      </c>
      <c r="C140" s="954">
        <f>C108*H$14</f>
        <v>0</v>
      </c>
      <c r="D140" s="954">
        <f t="shared" ref="D140:F150" si="10">D108*I$14</f>
        <v>0</v>
      </c>
      <c r="E140" s="954">
        <f t="shared" si="10"/>
        <v>0</v>
      </c>
      <c r="F140" s="954">
        <f t="shared" si="10"/>
        <v>0</v>
      </c>
      <c r="G140" s="952">
        <f>SUM(C140:F140)</f>
        <v>0</v>
      </c>
    </row>
    <row r="141" spans="2:8">
      <c r="B141" s="141" t="str">
        <f t="shared" ref="B141:B148" si="11">B125</f>
        <v>25-29</v>
      </c>
      <c r="C141" s="954">
        <f t="shared" ref="C141:C150" si="12">C109*H$14</f>
        <v>0</v>
      </c>
      <c r="D141" s="954">
        <f t="shared" si="10"/>
        <v>0</v>
      </c>
      <c r="E141" s="954">
        <f t="shared" si="10"/>
        <v>0</v>
      </c>
      <c r="F141" s="954">
        <f t="shared" si="10"/>
        <v>0</v>
      </c>
      <c r="G141" s="952">
        <f t="shared" ref="G141:G150" si="13">SUM(C141:F141)</f>
        <v>0</v>
      </c>
    </row>
    <row r="142" spans="2:8">
      <c r="B142" s="141" t="str">
        <f t="shared" si="11"/>
        <v>30-34</v>
      </c>
      <c r="C142" s="954">
        <f t="shared" si="12"/>
        <v>2.8367559604497864E-5</v>
      </c>
      <c r="D142" s="954">
        <f t="shared" si="10"/>
        <v>3.9310520206727739E-5</v>
      </c>
      <c r="E142" s="954">
        <f t="shared" si="10"/>
        <v>0</v>
      </c>
      <c r="F142" s="954">
        <f t="shared" si="10"/>
        <v>0</v>
      </c>
      <c r="G142" s="952">
        <f t="shared" si="13"/>
        <v>6.7678079811225606E-5</v>
      </c>
    </row>
    <row r="143" spans="2:8">
      <c r="B143" s="141" t="str">
        <f t="shared" si="11"/>
        <v>35-39</v>
      </c>
      <c r="C143" s="954">
        <f t="shared" si="12"/>
        <v>3.1625485286348239E-5</v>
      </c>
      <c r="D143" s="954">
        <f t="shared" si="10"/>
        <v>6.022753359918436E-5</v>
      </c>
      <c r="E143" s="954">
        <f t="shared" si="10"/>
        <v>7.2936098058791157E-5</v>
      </c>
      <c r="F143" s="954">
        <f t="shared" si="10"/>
        <v>9.4149751016275952E-5</v>
      </c>
      <c r="G143" s="952">
        <f t="shared" si="13"/>
        <v>2.5893886796059972E-4</v>
      </c>
    </row>
    <row r="144" spans="2:8">
      <c r="B144" s="141" t="str">
        <f t="shared" si="11"/>
        <v>40-44</v>
      </c>
      <c r="C144" s="954">
        <f t="shared" si="12"/>
        <v>3.9482916689950069E-5</v>
      </c>
      <c r="D144" s="954">
        <f t="shared" si="10"/>
        <v>5.9558321444003422E-5</v>
      </c>
      <c r="E144" s="954">
        <f t="shared" si="10"/>
        <v>8.3844252258512614E-5</v>
      </c>
      <c r="F144" s="954">
        <f t="shared" si="10"/>
        <v>1.0799872583103264E-4</v>
      </c>
      <c r="G144" s="952">
        <f t="shared" si="13"/>
        <v>2.9088421622349873E-4</v>
      </c>
    </row>
    <row r="145" spans="2:7">
      <c r="B145" s="141" t="str">
        <f t="shared" si="11"/>
        <v>45-49</v>
      </c>
      <c r="C145" s="954">
        <f t="shared" si="12"/>
        <v>6.6116326068313248E-5</v>
      </c>
      <c r="D145" s="954">
        <f t="shared" si="10"/>
        <v>1.0237486351134909E-4</v>
      </c>
      <c r="E145" s="954">
        <f t="shared" si="10"/>
        <v>1.1286210317138984E-4</v>
      </c>
      <c r="F145" s="954">
        <f t="shared" si="10"/>
        <v>1.467496547162111E-4</v>
      </c>
      <c r="G145" s="952">
        <f t="shared" si="13"/>
        <v>4.2810294746726326E-4</v>
      </c>
    </row>
    <row r="146" spans="2:7">
      <c r="B146" s="141" t="str">
        <f t="shared" si="11"/>
        <v>50-54</v>
      </c>
      <c r="C146" s="954">
        <f t="shared" si="12"/>
        <v>9.5957687169930038E-5</v>
      </c>
      <c r="D146" s="954">
        <f t="shared" si="10"/>
        <v>1.7541173820069848E-4</v>
      </c>
      <c r="E146" s="954">
        <f t="shared" si="10"/>
        <v>1.278363894323263E-4</v>
      </c>
      <c r="F146" s="954">
        <f t="shared" si="10"/>
        <v>1.7384641290136993E-4</v>
      </c>
      <c r="G146" s="952">
        <f t="shared" si="13"/>
        <v>5.730522277043248E-4</v>
      </c>
    </row>
    <row r="147" spans="2:7">
      <c r="B147" s="141" t="str">
        <f t="shared" si="11"/>
        <v>55-59</v>
      </c>
      <c r="C147" s="954">
        <f t="shared" si="12"/>
        <v>1.3482896238357019E-4</v>
      </c>
      <c r="D147" s="954">
        <f t="shared" si="10"/>
        <v>1.7910271149760594E-4</v>
      </c>
      <c r="E147" s="954">
        <f t="shared" si="10"/>
        <v>5.1484044315166979E-4</v>
      </c>
      <c r="F147" s="954">
        <f t="shared" si="10"/>
        <v>7.490986707312659E-4</v>
      </c>
      <c r="G147" s="952">
        <f t="shared" si="13"/>
        <v>1.5778707877641119E-3</v>
      </c>
    </row>
    <row r="148" spans="2:7">
      <c r="B148" s="141" t="str">
        <f t="shared" si="11"/>
        <v>60-64</v>
      </c>
      <c r="C148" s="954">
        <f t="shared" si="12"/>
        <v>2.8413115331676447E-4</v>
      </c>
      <c r="D148" s="954">
        <f t="shared" si="10"/>
        <v>6.5599149835018141E-4</v>
      </c>
      <c r="E148" s="954">
        <f t="shared" si="10"/>
        <v>6.2029352289503386E-4</v>
      </c>
      <c r="F148" s="954">
        <f t="shared" si="10"/>
        <v>8.2626702884704768E-4</v>
      </c>
      <c r="G148" s="952">
        <f t="shared" si="13"/>
        <v>2.3866832034090272E-3</v>
      </c>
    </row>
    <row r="149" spans="2:7">
      <c r="B149" s="141" t="str">
        <f>B133</f>
        <v>65 plus</v>
      </c>
      <c r="C149" s="954">
        <f t="shared" si="12"/>
        <v>0</v>
      </c>
      <c r="D149" s="954">
        <f t="shared" si="10"/>
        <v>3.5085380272894089E-3</v>
      </c>
      <c r="E149" s="954">
        <f t="shared" si="10"/>
        <v>4.586146169650719E-3</v>
      </c>
      <c r="F149" s="954">
        <f t="shared" si="10"/>
        <v>6.505249736537386E-3</v>
      </c>
      <c r="G149" s="952">
        <f t="shared" si="13"/>
        <v>1.4599933933477515E-2</v>
      </c>
    </row>
    <row r="150" spans="2:7">
      <c r="B150" s="141" t="str">
        <f>B134</f>
        <v>Total</v>
      </c>
      <c r="C150" s="954">
        <f t="shared" si="12"/>
        <v>4.7299135932873433E-5</v>
      </c>
      <c r="D150" s="954">
        <f t="shared" si="10"/>
        <v>8.4134902410366191E-5</v>
      </c>
      <c r="E150" s="954">
        <f t="shared" si="10"/>
        <v>1.054566102439327E-4</v>
      </c>
      <c r="F150" s="954">
        <f t="shared" si="10"/>
        <v>1.4110966287564871E-4</v>
      </c>
      <c r="G150" s="952">
        <f t="shared" si="13"/>
        <v>3.78000311462821E-4</v>
      </c>
    </row>
  </sheetData>
  <mergeCells count="25">
    <mergeCell ref="B56:B57"/>
    <mergeCell ref="C56:F56"/>
    <mergeCell ref="A5:T5"/>
    <mergeCell ref="B20:B21"/>
    <mergeCell ref="C20:F20"/>
    <mergeCell ref="B37:B38"/>
    <mergeCell ref="C37:F37"/>
    <mergeCell ref="B73:B74"/>
    <mergeCell ref="C73:F73"/>
    <mergeCell ref="B90:B91"/>
    <mergeCell ref="C90:F90"/>
    <mergeCell ref="B106:B107"/>
    <mergeCell ref="C106:F106"/>
    <mergeCell ref="F138:F139"/>
    <mergeCell ref="B122:B123"/>
    <mergeCell ref="C122:C123"/>
    <mergeCell ref="G138:G139"/>
    <mergeCell ref="E122:E123"/>
    <mergeCell ref="F122:F123"/>
    <mergeCell ref="G122:G123"/>
    <mergeCell ref="D122:D123"/>
    <mergeCell ref="B138:B139"/>
    <mergeCell ref="C138:C139"/>
    <mergeCell ref="D138:D139"/>
    <mergeCell ref="E138:E139"/>
  </mergeCells>
  <hyperlinks>
    <hyperlink ref="A2" location="'Title_&amp;_Contents'!A1" display="Contents"/>
    <hyperlink ref="B2" location="Map_of_sheets!A1" display="Map of sheets"/>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T150"/>
  <sheetViews>
    <sheetView showGridLines="0" workbookViewId="0"/>
  </sheetViews>
  <sheetFormatPr defaultRowHeight="12.75"/>
  <cols>
    <col min="2" max="6" width="12.7109375" customWidth="1"/>
    <col min="8" max="8" width="9.140625" customWidth="1"/>
  </cols>
  <sheetData>
    <row r="1" spans="1:20" s="66" customFormat="1" ht="15">
      <c r="A1" s="65" t="str">
        <f>ModelBanner</f>
        <v>TSM_201718 for publication</v>
      </c>
    </row>
    <row r="2" spans="1:20" s="66" customFormat="1" ht="15">
      <c r="A2" s="1003" t="s">
        <v>13</v>
      </c>
      <c r="B2" s="1003" t="s">
        <v>30</v>
      </c>
    </row>
    <row r="3" spans="1:20" s="66" customFormat="1" ht="15">
      <c r="A3" s="67"/>
    </row>
    <row r="4" spans="1:20" s="57" customFormat="1">
      <c r="A4" s="58" t="s">
        <v>26</v>
      </c>
      <c r="B4" s="58"/>
      <c r="C4" s="58"/>
      <c r="D4" s="292"/>
      <c r="E4" s="58"/>
      <c r="F4" s="58"/>
      <c r="G4" s="58"/>
      <c r="H4" s="58"/>
      <c r="I4" s="58"/>
      <c r="J4" s="58"/>
      <c r="K4" s="58"/>
      <c r="L4" s="58"/>
      <c r="M4" s="58"/>
      <c r="N4" s="58"/>
    </row>
    <row r="5" spans="1:20" s="47" customFormat="1" ht="45" customHeight="1">
      <c r="A5" s="1199" t="s">
        <v>1450</v>
      </c>
      <c r="B5" s="1199"/>
      <c r="C5" s="1199"/>
      <c r="D5" s="1199"/>
      <c r="E5" s="1199"/>
      <c r="F5" s="1199"/>
      <c r="G5" s="1199"/>
      <c r="H5" s="1199"/>
      <c r="I5" s="1199"/>
      <c r="J5" s="1199"/>
      <c r="K5" s="1199"/>
      <c r="L5" s="1199"/>
      <c r="M5" s="1199"/>
      <c r="N5" s="1199"/>
      <c r="O5" s="1199"/>
      <c r="P5" s="1199"/>
      <c r="Q5" s="1199"/>
      <c r="R5" s="1199"/>
      <c r="S5" s="1199"/>
      <c r="T5" s="1199"/>
    </row>
    <row r="6" spans="1:20" s="46" customFormat="1">
      <c r="A6" s="56" t="s">
        <v>1420</v>
      </c>
      <c r="B6" s="61"/>
      <c r="C6" s="61"/>
      <c r="D6" s="292"/>
      <c r="E6" s="61"/>
      <c r="F6" s="61"/>
      <c r="G6" s="61"/>
      <c r="H6" s="61"/>
      <c r="I6" s="61"/>
      <c r="J6" s="61"/>
      <c r="K6" s="61"/>
      <c r="L6" s="61"/>
      <c r="M6" s="61"/>
      <c r="N6" s="61"/>
      <c r="O6" s="45"/>
    </row>
    <row r="7" spans="1:20" s="46" customFormat="1">
      <c r="A7" s="54" t="s">
        <v>166</v>
      </c>
      <c r="B7" s="56"/>
      <c r="C7" s="61"/>
      <c r="D7" s="292"/>
      <c r="E7" s="61"/>
      <c r="F7" s="61"/>
      <c r="G7" s="61"/>
      <c r="H7" s="61"/>
      <c r="I7" s="61"/>
      <c r="J7" s="61"/>
      <c r="K7" s="61"/>
      <c r="L7" s="61"/>
      <c r="M7" s="61"/>
      <c r="N7" s="61"/>
      <c r="O7" s="45"/>
    </row>
    <row r="8" spans="1:20" s="46" customFormat="1">
      <c r="A8" s="56" t="s">
        <v>24</v>
      </c>
      <c r="B8" s="61"/>
      <c r="C8" s="61"/>
      <c r="D8" s="292"/>
      <c r="E8" s="61"/>
      <c r="F8" s="61"/>
      <c r="G8" s="61"/>
      <c r="H8" s="61"/>
      <c r="I8" s="61"/>
      <c r="J8" s="61"/>
      <c r="K8" s="61"/>
      <c r="L8" s="61"/>
      <c r="M8" s="61"/>
      <c r="N8" s="61"/>
      <c r="O8" s="45"/>
    </row>
    <row r="9" spans="1:20" s="46" customFormat="1">
      <c r="A9" s="54" t="s">
        <v>1449</v>
      </c>
      <c r="B9" s="61"/>
      <c r="C9" s="61"/>
      <c r="D9" s="292"/>
      <c r="E9" s="61"/>
      <c r="F9" s="61"/>
      <c r="G9" s="61"/>
      <c r="H9" s="61"/>
      <c r="I9" s="61"/>
      <c r="J9" s="61"/>
      <c r="K9" s="61"/>
      <c r="L9" s="61"/>
      <c r="M9" s="61"/>
      <c r="N9" s="61"/>
      <c r="O9" s="45"/>
    </row>
    <row r="10" spans="1:20" s="50" customFormat="1" ht="13.5" customHeight="1">
      <c r="A10" s="55">
        <f>SUM(A13:A2227)</f>
        <v>0</v>
      </c>
      <c r="B10" s="73"/>
      <c r="C10" s="293"/>
      <c r="D10" s="293"/>
      <c r="E10" s="293"/>
      <c r="F10" s="72"/>
      <c r="G10" s="293"/>
      <c r="H10" s="72"/>
      <c r="I10" s="294"/>
      <c r="J10" s="294"/>
      <c r="K10" s="294"/>
      <c r="L10" s="294"/>
      <c r="M10" s="294"/>
      <c r="N10" s="294"/>
      <c r="O10" s="49"/>
    </row>
    <row r="12" spans="1:20">
      <c r="H12" s="76" t="s">
        <v>110</v>
      </c>
    </row>
    <row r="14" spans="1:20">
      <c r="H14" s="5">
        <v>0.1</v>
      </c>
      <c r="I14" s="5">
        <v>0.2</v>
      </c>
      <c r="J14" s="5">
        <v>0.3</v>
      </c>
      <c r="K14" s="5">
        <v>0.4</v>
      </c>
    </row>
    <row r="16" spans="1:20" ht="18">
      <c r="B16" s="39" t="s">
        <v>1137</v>
      </c>
    </row>
    <row r="18" spans="2:7">
      <c r="B18" s="76" t="str">
        <f>RAW_DATA_INPUTS!H128</f>
        <v xml:space="preserve">MALE PRIMARY Starting Stock figures </v>
      </c>
      <c r="G18" s="219"/>
    </row>
    <row r="20" spans="2:7">
      <c r="B20" s="1183" t="str">
        <f>RAW_DATA_INPUTS!B131</f>
        <v>Age group</v>
      </c>
      <c r="C20" s="1160" t="s">
        <v>74</v>
      </c>
      <c r="D20" s="1160"/>
      <c r="E20" s="1160"/>
      <c r="F20" s="1160"/>
    </row>
    <row r="21" spans="2:7">
      <c r="B21" s="1184"/>
      <c r="C21" s="8" t="str">
        <f>RAW_DATA_INPUTS!C131</f>
        <v>2011/12</v>
      </c>
      <c r="D21" s="8" t="str">
        <f>RAW_DATA_INPUTS!D131</f>
        <v>2012/13</v>
      </c>
      <c r="E21" s="8" t="str">
        <f>RAW_DATA_INPUTS!E131</f>
        <v>2013/14</v>
      </c>
      <c r="F21" s="8" t="str">
        <f>RAW_DATA_INPUTS!F131</f>
        <v>2014/15</v>
      </c>
    </row>
    <row r="22" spans="2:7">
      <c r="B22" s="8" t="str">
        <f>RAW_DATA_INPUTS!B132</f>
        <v>20-24</v>
      </c>
      <c r="C22" s="307">
        <f>RAW_DATA_INPUTS!I132</f>
        <v>1346.5930000000001</v>
      </c>
      <c r="D22" s="307">
        <f>RAW_DATA_INPUTS!J132</f>
        <v>1514.463</v>
      </c>
      <c r="E22" s="307">
        <f>RAW_DATA_INPUTS!K132</f>
        <v>1745.605</v>
      </c>
      <c r="F22" s="307">
        <f>RAW_DATA_INPUTS!L132</f>
        <v>1982.0170000000001</v>
      </c>
      <c r="G22" s="5"/>
    </row>
    <row r="23" spans="2:7">
      <c r="B23" s="8" t="str">
        <f>RAW_DATA_INPUTS!B133</f>
        <v>25-29</v>
      </c>
      <c r="C23" s="307">
        <f>RAW_DATA_INPUTS!I133</f>
        <v>4289.7870000000003</v>
      </c>
      <c r="D23" s="307">
        <f>RAW_DATA_INPUTS!J133</f>
        <v>4837.1180000000004</v>
      </c>
      <c r="E23" s="307">
        <f>RAW_DATA_INPUTS!K133</f>
        <v>5400.1670000000004</v>
      </c>
      <c r="F23" s="307">
        <f>RAW_DATA_INPUTS!L133</f>
        <v>6023.643</v>
      </c>
      <c r="G23" s="5"/>
    </row>
    <row r="24" spans="2:7">
      <c r="B24" s="8" t="str">
        <f>RAW_DATA_INPUTS!B134</f>
        <v>30-34</v>
      </c>
      <c r="C24" s="307">
        <f>RAW_DATA_INPUTS!I134</f>
        <v>4826.4629999999997</v>
      </c>
      <c r="D24" s="307">
        <f>RAW_DATA_INPUTS!J134</f>
        <v>5132.835</v>
      </c>
      <c r="E24" s="307">
        <f>RAW_DATA_INPUTS!K134</f>
        <v>5453.1239999999998</v>
      </c>
      <c r="F24" s="307">
        <f>RAW_DATA_INPUTS!L134</f>
        <v>5627.8090000000002</v>
      </c>
      <c r="G24" s="5"/>
    </row>
    <row r="25" spans="2:7">
      <c r="B25" s="8" t="str">
        <f>RAW_DATA_INPUTS!B135</f>
        <v>35-39</v>
      </c>
      <c r="C25" s="307">
        <f>RAW_DATA_INPUTS!I135</f>
        <v>4610.6850000000004</v>
      </c>
      <c r="D25" s="307">
        <f>RAW_DATA_INPUTS!J135</f>
        <v>4665.8019999999997</v>
      </c>
      <c r="E25" s="307">
        <f>RAW_DATA_INPUTS!K135</f>
        <v>4700.8710000000001</v>
      </c>
      <c r="F25" s="307">
        <f>RAW_DATA_INPUTS!L135</f>
        <v>4915.6009999999997</v>
      </c>
      <c r="G25" s="5"/>
    </row>
    <row r="26" spans="2:7">
      <c r="B26" s="8" t="str">
        <f>RAW_DATA_INPUTS!B136</f>
        <v>40-44</v>
      </c>
      <c r="C26" s="307">
        <f>RAW_DATA_INPUTS!I136</f>
        <v>3941.797</v>
      </c>
      <c r="D26" s="307">
        <f>RAW_DATA_INPUTS!J136</f>
        <v>4196.4319999999998</v>
      </c>
      <c r="E26" s="307">
        <f>RAW_DATA_INPUTS!K136</f>
        <v>4407.5060000000003</v>
      </c>
      <c r="F26" s="307">
        <f>RAW_DATA_INPUTS!L136</f>
        <v>4574.38</v>
      </c>
      <c r="G26" s="5"/>
    </row>
    <row r="27" spans="2:7">
      <c r="B27" s="8" t="str">
        <f>RAW_DATA_INPUTS!B137</f>
        <v>45-49</v>
      </c>
      <c r="C27" s="307">
        <f>RAW_DATA_INPUTS!I137</f>
        <v>3336.1190000000001</v>
      </c>
      <c r="D27" s="307">
        <f>RAW_DATA_INPUTS!J137</f>
        <v>3447.72</v>
      </c>
      <c r="E27" s="307">
        <f>RAW_DATA_INPUTS!K137</f>
        <v>3505.8310000000001</v>
      </c>
      <c r="F27" s="307">
        <f>RAW_DATA_INPUTS!L137</f>
        <v>3568.99</v>
      </c>
      <c r="G27" s="5"/>
    </row>
    <row r="28" spans="2:7">
      <c r="B28" s="8" t="str">
        <f>RAW_DATA_INPUTS!B138</f>
        <v>50-54</v>
      </c>
      <c r="C28" s="307">
        <f>RAW_DATA_INPUTS!I138</f>
        <v>2482.8429999999998</v>
      </c>
      <c r="D28" s="307">
        <f>RAW_DATA_INPUTS!J138</f>
        <v>2466.201</v>
      </c>
      <c r="E28" s="307">
        <f>RAW_DATA_INPUTS!K138</f>
        <v>2514.817</v>
      </c>
      <c r="F28" s="307">
        <f>RAW_DATA_INPUTS!L138</f>
        <v>2613.924</v>
      </c>
      <c r="G28" s="5"/>
    </row>
    <row r="29" spans="2:7">
      <c r="B29" s="8" t="str">
        <f>RAW_DATA_INPUTS!B139</f>
        <v>55-59</v>
      </c>
      <c r="C29" s="307">
        <f>RAW_DATA_INPUTS!I139</f>
        <v>2444.1129999999998</v>
      </c>
      <c r="D29" s="307">
        <f>RAW_DATA_INPUTS!J139</f>
        <v>2178.13</v>
      </c>
      <c r="E29" s="307">
        <f>RAW_DATA_INPUTS!K139</f>
        <v>1972.1220000000001</v>
      </c>
      <c r="F29" s="307">
        <f>RAW_DATA_INPUTS!L139</f>
        <v>1696.258</v>
      </c>
      <c r="G29" s="5"/>
    </row>
    <row r="30" spans="2:7">
      <c r="B30" s="8" t="str">
        <f>RAW_DATA_INPUTS!B140</f>
        <v>60-64</v>
      </c>
      <c r="C30" s="307">
        <f>RAW_DATA_INPUTS!I140</f>
        <v>725.55399999999997</v>
      </c>
      <c r="D30" s="307">
        <f>RAW_DATA_INPUTS!J140</f>
        <v>748.60900000000004</v>
      </c>
      <c r="E30" s="307">
        <f>RAW_DATA_INPUTS!K140</f>
        <v>704.23199999999997</v>
      </c>
      <c r="F30" s="307">
        <f>RAW_DATA_INPUTS!L140</f>
        <v>639.24099999999999</v>
      </c>
      <c r="G30" s="5"/>
    </row>
    <row r="31" spans="2:7">
      <c r="B31" s="8" t="str">
        <f>RAW_DATA_INPUTS!B141</f>
        <v>65 plus</v>
      </c>
      <c r="C31" s="307">
        <f>RAW_DATA_INPUTS!I141</f>
        <v>103.547</v>
      </c>
      <c r="D31" s="307">
        <f>RAW_DATA_INPUTS!J141</f>
        <v>143.124</v>
      </c>
      <c r="E31" s="307">
        <f>RAW_DATA_INPUTS!K141</f>
        <v>143.75899999999999</v>
      </c>
      <c r="F31" s="307">
        <f>RAW_DATA_INPUTS!L141</f>
        <v>146.489</v>
      </c>
      <c r="G31" s="5"/>
    </row>
    <row r="32" spans="2:7">
      <c r="B32" s="8" t="str">
        <f>RAW_DATA_INPUTS!B142</f>
        <v>Total</v>
      </c>
      <c r="C32" s="307">
        <f>RAW_DATA_INPUTS!I142</f>
        <v>28107.501</v>
      </c>
      <c r="D32" s="307">
        <f>RAW_DATA_INPUTS!J142</f>
        <v>29330.434000000005</v>
      </c>
      <c r="E32" s="307">
        <f>RAW_DATA_INPUTS!K142</f>
        <v>30548.033999999996</v>
      </c>
      <c r="F32" s="307">
        <f>RAW_DATA_INPUTS!L142</f>
        <v>31788.352000000006</v>
      </c>
      <c r="G32" s="5"/>
    </row>
    <row r="33" spans="1:6">
      <c r="A33">
        <f>SUM(C33:F33)</f>
        <v>0</v>
      </c>
      <c r="C33">
        <f>SUM(C22:C31)-C32</f>
        <v>0</v>
      </c>
      <c r="D33">
        <f>SUM(D22:D31)-D32</f>
        <v>0</v>
      </c>
      <c r="E33">
        <f>SUM(E22:E31)-E32</f>
        <v>0</v>
      </c>
      <c r="F33">
        <f>SUM(F22:F31)-F32</f>
        <v>0</v>
      </c>
    </row>
    <row r="35" spans="1:6">
      <c r="B35" s="76" t="str">
        <f>RAW_DATA_INPUTS!H162</f>
        <v xml:space="preserve">FEMALE PRIMARY Starting Stock figures </v>
      </c>
    </row>
    <row r="37" spans="1:6">
      <c r="B37" s="1183" t="str">
        <f>RAW_DATA_INPUTS!B148</f>
        <v>Age group</v>
      </c>
      <c r="C37" s="1160" t="str">
        <f>C20</f>
        <v>Year</v>
      </c>
      <c r="D37" s="1160"/>
      <c r="E37" s="1160"/>
      <c r="F37" s="1160"/>
    </row>
    <row r="38" spans="1:6">
      <c r="B38" s="1184"/>
      <c r="C38" s="8" t="str">
        <f>C21</f>
        <v>2011/12</v>
      </c>
      <c r="D38" s="8" t="str">
        <f>D21</f>
        <v>2012/13</v>
      </c>
      <c r="E38" s="8" t="str">
        <f>E21</f>
        <v>2013/14</v>
      </c>
      <c r="F38" s="8" t="str">
        <f>F21</f>
        <v>2014/15</v>
      </c>
    </row>
    <row r="39" spans="1:6">
      <c r="B39" s="8" t="str">
        <f>RAW_DATA_INPUTS!B166</f>
        <v>20-24</v>
      </c>
      <c r="C39" s="307">
        <f>RAW_DATA_INPUTS!I166</f>
        <v>11645.14</v>
      </c>
      <c r="D39" s="307">
        <f>RAW_DATA_INPUTS!J166</f>
        <v>12590.892</v>
      </c>
      <c r="E39" s="307">
        <f>RAW_DATA_INPUTS!K166</f>
        <v>13741.936</v>
      </c>
      <c r="F39" s="307">
        <f>RAW_DATA_INPUTS!L166</f>
        <v>14942.416999999999</v>
      </c>
    </row>
    <row r="40" spans="1:6">
      <c r="B40" s="8" t="str">
        <f>RAW_DATA_INPUTS!B167</f>
        <v>25-29</v>
      </c>
      <c r="C40" s="307">
        <f>RAW_DATA_INPUTS!I167</f>
        <v>30892.727999999999</v>
      </c>
      <c r="D40" s="307">
        <f>RAW_DATA_INPUTS!J167</f>
        <v>32337.764999999999</v>
      </c>
      <c r="E40" s="307">
        <f>RAW_DATA_INPUTS!K167</f>
        <v>33872.055</v>
      </c>
      <c r="F40" s="307">
        <f>RAW_DATA_INPUTS!L167</f>
        <v>34965.243999999999</v>
      </c>
    </row>
    <row r="41" spans="1:6">
      <c r="B41" s="8" t="str">
        <f>RAW_DATA_INPUTS!B168</f>
        <v>30-34</v>
      </c>
      <c r="C41" s="307">
        <f>RAW_DATA_INPUTS!I168</f>
        <v>31531.079000000002</v>
      </c>
      <c r="D41" s="307">
        <f>RAW_DATA_INPUTS!J168</f>
        <v>32598.183000000001</v>
      </c>
      <c r="E41" s="307">
        <f>RAW_DATA_INPUTS!K168</f>
        <v>33026.067999999999</v>
      </c>
      <c r="F41" s="307">
        <f>RAW_DATA_INPUTS!L168</f>
        <v>33290.182000000001</v>
      </c>
    </row>
    <row r="42" spans="1:6">
      <c r="B42" s="8" t="str">
        <f>RAW_DATA_INPUTS!B169</f>
        <v>35-39</v>
      </c>
      <c r="C42" s="307">
        <f>RAW_DATA_INPUTS!I169</f>
        <v>27639.316999999999</v>
      </c>
      <c r="D42" s="307">
        <f>RAW_DATA_INPUTS!J169</f>
        <v>28351.003000000001</v>
      </c>
      <c r="E42" s="307">
        <f>RAW_DATA_INPUTS!K169</f>
        <v>28849.746999999999</v>
      </c>
      <c r="F42" s="307">
        <f>RAW_DATA_INPUTS!L169</f>
        <v>29731.899000000001</v>
      </c>
    </row>
    <row r="43" spans="1:6">
      <c r="B43" s="8" t="str">
        <f>RAW_DATA_INPUTS!B170</f>
        <v>40-44</v>
      </c>
      <c r="C43" s="307">
        <f>RAW_DATA_INPUTS!I170</f>
        <v>24095.727999999999</v>
      </c>
      <c r="D43" s="307">
        <f>RAW_DATA_INPUTS!J170</f>
        <v>25394.679</v>
      </c>
      <c r="E43" s="307">
        <f>RAW_DATA_INPUTS!K170</f>
        <v>26801.800999999999</v>
      </c>
      <c r="F43" s="307">
        <f>RAW_DATA_INPUTS!L170</f>
        <v>28052.525000000001</v>
      </c>
    </row>
    <row r="44" spans="1:6">
      <c r="B44" s="8" t="str">
        <f>RAW_DATA_INPUTS!B171</f>
        <v>45-49</v>
      </c>
      <c r="C44" s="307">
        <f>RAW_DATA_INPUTS!I171</f>
        <v>22270.969000000001</v>
      </c>
      <c r="D44" s="307">
        <f>RAW_DATA_INPUTS!J171</f>
        <v>23196.210999999999</v>
      </c>
      <c r="E44" s="307">
        <f>RAW_DATA_INPUTS!K171</f>
        <v>23702.975999999999</v>
      </c>
      <c r="F44" s="307">
        <f>RAW_DATA_INPUTS!L171</f>
        <v>24098.245999999999</v>
      </c>
    </row>
    <row r="45" spans="1:6">
      <c r="B45" s="8" t="str">
        <f>RAW_DATA_INPUTS!B172</f>
        <v>50-54</v>
      </c>
      <c r="C45" s="307">
        <f>RAW_DATA_INPUTS!I172</f>
        <v>19337.964</v>
      </c>
      <c r="D45" s="307">
        <f>RAW_DATA_INPUTS!J172</f>
        <v>18348.882000000001</v>
      </c>
      <c r="E45" s="307">
        <f>RAW_DATA_INPUTS!K172</f>
        <v>18105.984</v>
      </c>
      <c r="F45" s="307">
        <f>RAW_DATA_INPUTS!L172</f>
        <v>18539.277999999998</v>
      </c>
    </row>
    <row r="46" spans="1:6">
      <c r="B46" s="8" t="str">
        <f>RAW_DATA_INPUTS!B173</f>
        <v>55-59</v>
      </c>
      <c r="C46" s="307">
        <f>RAW_DATA_INPUTS!I173</f>
        <v>18889.525000000001</v>
      </c>
      <c r="D46" s="307">
        <f>RAW_DATA_INPUTS!J173</f>
        <v>17550.594000000001</v>
      </c>
      <c r="E46" s="307">
        <f>RAW_DATA_INPUTS!K173</f>
        <v>16115.884</v>
      </c>
      <c r="F46" s="307">
        <f>RAW_DATA_INPUTS!L173</f>
        <v>14359.462</v>
      </c>
    </row>
    <row r="47" spans="1:6">
      <c r="B47" s="8" t="str">
        <f>RAW_DATA_INPUTS!B174</f>
        <v>60-64</v>
      </c>
      <c r="C47" s="307">
        <f>RAW_DATA_INPUTS!I174</f>
        <v>4758.4489999999996</v>
      </c>
      <c r="D47" s="307">
        <f>RAW_DATA_INPUTS!J174</f>
        <v>4891.2910000000002</v>
      </c>
      <c r="E47" s="307">
        <f>RAW_DATA_INPUTS!K174</f>
        <v>4911.7430000000004</v>
      </c>
      <c r="F47" s="307">
        <f>RAW_DATA_INPUTS!L174</f>
        <v>4868.223</v>
      </c>
    </row>
    <row r="48" spans="1:6">
      <c r="B48" s="8" t="str">
        <f>RAW_DATA_INPUTS!B175</f>
        <v>65 plus</v>
      </c>
      <c r="C48" s="307">
        <f>RAW_DATA_INPUTS!I175</f>
        <v>590.86699999999996</v>
      </c>
      <c r="D48" s="307">
        <f>RAW_DATA_INPUTS!J175</f>
        <v>720.93</v>
      </c>
      <c r="E48" s="307">
        <f>RAW_DATA_INPUTS!K175</f>
        <v>745.91899999999998</v>
      </c>
      <c r="F48" s="307">
        <f>RAW_DATA_INPUTS!L175</f>
        <v>787.39700000000005</v>
      </c>
    </row>
    <row r="49" spans="1:6">
      <c r="B49" s="8" t="str">
        <f>RAW_DATA_INPUTS!B176</f>
        <v>Total</v>
      </c>
      <c r="C49" s="307">
        <f>RAW_DATA_INPUTS!I176</f>
        <v>191651.766</v>
      </c>
      <c r="D49" s="307">
        <f>RAW_DATA_INPUTS!J176</f>
        <v>195980.43000000002</v>
      </c>
      <c r="E49" s="307">
        <f>RAW_DATA_INPUTS!K176</f>
        <v>199874.11299999998</v>
      </c>
      <c r="F49" s="307">
        <f>RAW_DATA_INPUTS!L176</f>
        <v>203634.87299999996</v>
      </c>
    </row>
    <row r="50" spans="1:6">
      <c r="A50">
        <f>SUM(C50:F50)</f>
        <v>0</v>
      </c>
      <c r="C50">
        <f>SUM(C39:C48)-C49</f>
        <v>0</v>
      </c>
      <c r="D50">
        <f>SUM(D39:D48)-D49</f>
        <v>0</v>
      </c>
      <c r="E50">
        <f>SUM(E39:E48)-E49</f>
        <v>0</v>
      </c>
      <c r="F50">
        <f>SUM(F39:F48)-F49</f>
        <v>0</v>
      </c>
    </row>
    <row r="52" spans="1:6" ht="18">
      <c r="B52" s="39" t="s">
        <v>104</v>
      </c>
    </row>
    <row r="54" spans="1:6">
      <c r="B54" s="76" t="s">
        <v>105</v>
      </c>
    </row>
    <row r="56" spans="1:6">
      <c r="B56" s="1183" t="str">
        <f>B37</f>
        <v>Age group</v>
      </c>
      <c r="C56" s="1160" t="str">
        <f>C37</f>
        <v>Year</v>
      </c>
      <c r="D56" s="1160"/>
      <c r="E56" s="1160"/>
      <c r="F56" s="1160"/>
    </row>
    <row r="57" spans="1:6">
      <c r="B57" s="1184"/>
      <c r="C57" s="8" t="str">
        <f>Calc_SEC_death_rates!C57</f>
        <v>2011/12</v>
      </c>
      <c r="D57" s="8" t="str">
        <f>Calc_SEC_death_rates!D57</f>
        <v>2012/13</v>
      </c>
      <c r="E57" s="8" t="str">
        <f>Calc_SEC_death_rates!E57</f>
        <v>2013/14</v>
      </c>
      <c r="F57" s="8" t="str">
        <f>Calc_SEC_death_rates!F57</f>
        <v>2014/15</v>
      </c>
    </row>
    <row r="58" spans="1:6">
      <c r="B58" s="8" t="str">
        <f t="shared" ref="B58:B68" si="0">B39</f>
        <v>20-24</v>
      </c>
      <c r="C58" s="307">
        <f>RAW_DATA_INPUTS!I149</f>
        <v>139.98817930796747</v>
      </c>
      <c r="D58" s="307">
        <f>RAW_DATA_INPUTS!J149</f>
        <v>146.80881740297022</v>
      </c>
      <c r="E58" s="307">
        <f>RAW_DATA_INPUTS!K149</f>
        <v>205.36256546719886</v>
      </c>
      <c r="F58" s="307">
        <f>RAW_DATA_INPUTS!L149</f>
        <v>237.28200000000001</v>
      </c>
    </row>
    <row r="59" spans="1:6">
      <c r="B59" s="8" t="str">
        <f t="shared" si="0"/>
        <v>25-29</v>
      </c>
      <c r="C59" s="307">
        <f>RAW_DATA_INPUTS!I150</f>
        <v>400.37472155401309</v>
      </c>
      <c r="D59" s="307">
        <f>RAW_DATA_INPUTS!J150</f>
        <v>509.92941885539716</v>
      </c>
      <c r="E59" s="307">
        <f>RAW_DATA_INPUTS!K150</f>
        <v>562.04143533083277</v>
      </c>
      <c r="F59" s="307">
        <f>RAW_DATA_INPUTS!L150</f>
        <v>663.399</v>
      </c>
    </row>
    <row r="60" spans="1:6">
      <c r="B60" s="8" t="str">
        <f t="shared" si="0"/>
        <v>30-34</v>
      </c>
      <c r="C60" s="307">
        <f>RAW_DATA_INPUTS!I151</f>
        <v>345.91760674603944</v>
      </c>
      <c r="D60" s="307">
        <f>RAW_DATA_INPUTS!J151</f>
        <v>402.88611126190528</v>
      </c>
      <c r="E60" s="307">
        <f>RAW_DATA_INPUTS!K151</f>
        <v>469.12085496948146</v>
      </c>
      <c r="F60" s="307">
        <f>RAW_DATA_INPUTS!L151</f>
        <v>559.99800000000005</v>
      </c>
    </row>
    <row r="61" spans="1:6">
      <c r="B61" s="8" t="str">
        <f t="shared" si="0"/>
        <v>35-39</v>
      </c>
      <c r="C61" s="307">
        <f>RAW_DATA_INPUTS!I152</f>
        <v>288.57763485969269</v>
      </c>
      <c r="D61" s="307">
        <f>RAW_DATA_INPUTS!J152</f>
        <v>315.19934477148263</v>
      </c>
      <c r="E61" s="307">
        <f>RAW_DATA_INPUTS!K152</f>
        <v>368.52667580943682</v>
      </c>
      <c r="F61" s="307">
        <f>RAW_DATA_INPUTS!L152</f>
        <v>369.89600000000002</v>
      </c>
    </row>
    <row r="62" spans="1:6">
      <c r="B62" s="8" t="str">
        <f t="shared" si="0"/>
        <v>40-44</v>
      </c>
      <c r="C62" s="307">
        <f>RAW_DATA_INPUTS!I153</f>
        <v>253.0848995729219</v>
      </c>
      <c r="D62" s="307">
        <f>RAW_DATA_INPUTS!J153</f>
        <v>294.07051357293415</v>
      </c>
      <c r="E62" s="307">
        <f>RAW_DATA_INPUTS!K153</f>
        <v>344.8457453205188</v>
      </c>
      <c r="F62" s="307">
        <f>RAW_DATA_INPUTS!L153</f>
        <v>371.53899999999999</v>
      </c>
    </row>
    <row r="63" spans="1:6">
      <c r="B63" s="8" t="str">
        <f t="shared" si="0"/>
        <v>45-49</v>
      </c>
      <c r="C63" s="307">
        <f>RAW_DATA_INPUTS!I154</f>
        <v>272.53059023845913</v>
      </c>
      <c r="D63" s="307">
        <f>RAW_DATA_INPUTS!J154</f>
        <v>261.40690841662052</v>
      </c>
      <c r="E63" s="307">
        <f>RAW_DATA_INPUTS!K154</f>
        <v>318.59444806835324</v>
      </c>
      <c r="F63" s="307">
        <f>RAW_DATA_INPUTS!L154</f>
        <v>306.54500000000002</v>
      </c>
    </row>
    <row r="64" spans="1:6">
      <c r="B64" s="8" t="str">
        <f t="shared" si="0"/>
        <v>50-54</v>
      </c>
      <c r="C64" s="307">
        <f>RAW_DATA_INPUTS!I155</f>
        <v>122.69538132392398</v>
      </c>
      <c r="D64" s="307">
        <f>RAW_DATA_INPUTS!J155</f>
        <v>179.47666715525537</v>
      </c>
      <c r="E64" s="307">
        <f>RAW_DATA_INPUTS!K155</f>
        <v>227.98038223137755</v>
      </c>
      <c r="F64" s="307">
        <f>RAW_DATA_INPUTS!L155</f>
        <v>236.822</v>
      </c>
    </row>
    <row r="65" spans="1:6">
      <c r="B65" s="8" t="str">
        <f t="shared" si="0"/>
        <v>55-59</v>
      </c>
      <c r="C65" s="307">
        <f>RAW_DATA_INPUTS!I156</f>
        <v>32.092494830313903</v>
      </c>
      <c r="D65" s="307">
        <f>RAW_DATA_INPUTS!J156</f>
        <v>65.36422880985225</v>
      </c>
      <c r="E65" s="307">
        <f>RAW_DATA_INPUTS!K156</f>
        <v>107.68812381154729</v>
      </c>
      <c r="F65" s="307">
        <f>RAW_DATA_INPUTS!L156</f>
        <v>94.126999999999995</v>
      </c>
    </row>
    <row r="66" spans="1:6">
      <c r="B66" s="8" t="str">
        <f t="shared" si="0"/>
        <v>60-64</v>
      </c>
      <c r="C66" s="307">
        <f>RAW_DATA_INPUTS!I157</f>
        <v>6.7161447418434737</v>
      </c>
      <c r="D66" s="307">
        <f>RAW_DATA_INPUTS!J157</f>
        <v>12.514838447459075</v>
      </c>
      <c r="E66" s="307">
        <f>RAW_DATA_INPUTS!K157</f>
        <v>10.075938716072534</v>
      </c>
      <c r="F66" s="307">
        <f>RAW_DATA_INPUTS!L157</f>
        <v>12.114000000000001</v>
      </c>
    </row>
    <row r="67" spans="1:6">
      <c r="B67" s="8" t="str">
        <f t="shared" si="0"/>
        <v>65 plus</v>
      </c>
      <c r="C67" s="307">
        <f>RAW_DATA_INPUTS!I158</f>
        <v>5.36385770318845</v>
      </c>
      <c r="D67" s="307">
        <f>RAW_DATA_INPUTS!J158</f>
        <v>0</v>
      </c>
      <c r="E67" s="307">
        <f>RAW_DATA_INPUTS!K158</f>
        <v>5.0829801709904956</v>
      </c>
      <c r="F67" s="307">
        <f>RAW_DATA_INPUTS!L158</f>
        <v>5.0469999999999997</v>
      </c>
    </row>
    <row r="68" spans="1:6">
      <c r="B68" s="8" t="str">
        <f t="shared" si="0"/>
        <v>Total</v>
      </c>
      <c r="C68" s="307">
        <f>RAW_DATA_INPUTS!I159</f>
        <v>1867.3415108783634</v>
      </c>
      <c r="D68" s="307">
        <f>RAW_DATA_INPUTS!J159</f>
        <v>2187.6568486938768</v>
      </c>
      <c r="E68" s="307">
        <f>RAW_DATA_INPUTS!K159</f>
        <v>2619.3191498958099</v>
      </c>
      <c r="F68" s="307">
        <f>RAW_DATA_INPUTS!L159</f>
        <v>2856.7690000000002</v>
      </c>
    </row>
    <row r="69" spans="1:6">
      <c r="A69">
        <f>SUM(C69:F69)</f>
        <v>0</v>
      </c>
      <c r="C69">
        <f>SUM(C58:C67)-C68</f>
        <v>0</v>
      </c>
      <c r="D69">
        <f>SUM(D58:D67)-D68</f>
        <v>0</v>
      </c>
      <c r="E69">
        <f>SUM(E58:E67)-E68</f>
        <v>0</v>
      </c>
      <c r="F69">
        <f>SUM(F58:F67)-F68</f>
        <v>0</v>
      </c>
    </row>
    <row r="71" spans="1:6">
      <c r="B71" s="76" t="s">
        <v>106</v>
      </c>
    </row>
    <row r="73" spans="1:6">
      <c r="B73" s="1183" t="str">
        <f>B56</f>
        <v>Age group</v>
      </c>
      <c r="C73" s="1160" t="str">
        <f>C56</f>
        <v>Year</v>
      </c>
      <c r="D73" s="1160"/>
      <c r="E73" s="1160"/>
      <c r="F73" s="1160"/>
    </row>
    <row r="74" spans="1:6">
      <c r="B74" s="1184"/>
      <c r="C74" s="8" t="str">
        <f>C57</f>
        <v>2011/12</v>
      </c>
      <c r="D74" s="8" t="str">
        <f>D57</f>
        <v>2012/13</v>
      </c>
      <c r="E74" s="8" t="str">
        <f>E57</f>
        <v>2013/14</v>
      </c>
      <c r="F74" s="8" t="str">
        <f>F57</f>
        <v>2014/15</v>
      </c>
    </row>
    <row r="75" spans="1:6">
      <c r="B75" s="8" t="str">
        <f t="shared" ref="B75:B85" si="1">B58</f>
        <v>20-24</v>
      </c>
      <c r="C75" s="307">
        <f>RAW_DATA_INPUTS!I183</f>
        <v>904.189706606301</v>
      </c>
      <c r="D75" s="307">
        <f>RAW_DATA_INPUTS!J183</f>
        <v>1016.6782497257994</v>
      </c>
      <c r="E75" s="307">
        <f>RAW_DATA_INPUTS!K183</f>
        <v>1309.242795905026</v>
      </c>
      <c r="F75" s="307">
        <f>RAW_DATA_INPUTS!L183</f>
        <v>1561.931</v>
      </c>
    </row>
    <row r="76" spans="1:6">
      <c r="B76" s="8" t="str">
        <f t="shared" si="1"/>
        <v>25-29</v>
      </c>
      <c r="C76" s="307">
        <f>RAW_DATA_INPUTS!I184</f>
        <v>2303.0075285271901</v>
      </c>
      <c r="D76" s="307">
        <f>RAW_DATA_INPUTS!J184</f>
        <v>2567.3912531437481</v>
      </c>
      <c r="E76" s="307">
        <f>RAW_DATA_INPUTS!K184</f>
        <v>2989.9055600401325</v>
      </c>
      <c r="F76" s="307">
        <f>RAW_DATA_INPUTS!L184</f>
        <v>3361.9630000000002</v>
      </c>
    </row>
    <row r="77" spans="1:6">
      <c r="B77" s="8" t="str">
        <f t="shared" si="1"/>
        <v>30-34</v>
      </c>
      <c r="C77" s="307">
        <f>RAW_DATA_INPUTS!I185</f>
        <v>2142.2234039471632</v>
      </c>
      <c r="D77" s="307">
        <f>RAW_DATA_INPUTS!J185</f>
        <v>2388.2011788106602</v>
      </c>
      <c r="E77" s="307">
        <f>RAW_DATA_INPUTS!K185</f>
        <v>2689.2843642980574</v>
      </c>
      <c r="F77" s="307">
        <f>RAW_DATA_INPUTS!L185</f>
        <v>2821.3910000000001</v>
      </c>
    </row>
    <row r="78" spans="1:6">
      <c r="B78" s="8" t="str">
        <f t="shared" si="1"/>
        <v>35-39</v>
      </c>
      <c r="C78" s="307">
        <f>RAW_DATA_INPUTS!I186</f>
        <v>1810.2221588203868</v>
      </c>
      <c r="D78" s="307">
        <f>RAW_DATA_INPUTS!J186</f>
        <v>1991.1377675980341</v>
      </c>
      <c r="E78" s="307">
        <f>RAW_DATA_INPUTS!K186</f>
        <v>2093.8428407787019</v>
      </c>
      <c r="F78" s="307">
        <f>RAW_DATA_INPUTS!L186</f>
        <v>2476.9380000000001</v>
      </c>
    </row>
    <row r="79" spans="1:6">
      <c r="B79" s="8" t="str">
        <f t="shared" si="1"/>
        <v>40-44</v>
      </c>
      <c r="C79" s="307">
        <f>RAW_DATA_INPUTS!I187</f>
        <v>1465.0632887940467</v>
      </c>
      <c r="D79" s="307">
        <f>RAW_DATA_INPUTS!J187</f>
        <v>1699.6726178513691</v>
      </c>
      <c r="E79" s="307">
        <f>RAW_DATA_INPUTS!K187</f>
        <v>1965.6352935969571</v>
      </c>
      <c r="F79" s="307">
        <f>RAW_DATA_INPUTS!L187</f>
        <v>2050.35</v>
      </c>
    </row>
    <row r="80" spans="1:6">
      <c r="B80" s="8" t="str">
        <f t="shared" si="1"/>
        <v>45-49</v>
      </c>
      <c r="C80" s="307">
        <f>RAW_DATA_INPUTS!I188</f>
        <v>1338.7682548559826</v>
      </c>
      <c r="D80" s="307">
        <f>RAW_DATA_INPUTS!J188</f>
        <v>1536.7641898652307</v>
      </c>
      <c r="E80" s="307">
        <f>RAW_DATA_INPUTS!K188</f>
        <v>1796.092992292015</v>
      </c>
      <c r="F80" s="307">
        <f>RAW_DATA_INPUTS!L188</f>
        <v>1952.296</v>
      </c>
    </row>
    <row r="81" spans="1:6">
      <c r="B81" s="8" t="str">
        <f t="shared" si="1"/>
        <v>50-54</v>
      </c>
      <c r="C81" s="307">
        <f>RAW_DATA_INPUTS!I189</f>
        <v>1063.9727854537855</v>
      </c>
      <c r="D81" s="307">
        <f>RAW_DATA_INPUTS!J189</f>
        <v>1259.7191910110728</v>
      </c>
      <c r="E81" s="307">
        <f>RAW_DATA_INPUTS!K189</f>
        <v>1546.3816307365655</v>
      </c>
      <c r="F81" s="307">
        <f>RAW_DATA_INPUTS!L189</f>
        <v>1629.9839999999999</v>
      </c>
    </row>
    <row r="82" spans="1:6">
      <c r="B82" s="8" t="str">
        <f t="shared" si="1"/>
        <v>55-59</v>
      </c>
      <c r="C82" s="307">
        <f>RAW_DATA_INPUTS!I190</f>
        <v>396.29947567170694</v>
      </c>
      <c r="D82" s="307">
        <f>RAW_DATA_INPUTS!J190</f>
        <v>552.3258294659438</v>
      </c>
      <c r="E82" s="307">
        <f>RAW_DATA_INPUTS!K190</f>
        <v>844.16988135993063</v>
      </c>
      <c r="F82" s="307">
        <f>RAW_DATA_INPUTS!L190</f>
        <v>903.65499999999997</v>
      </c>
    </row>
    <row r="83" spans="1:6">
      <c r="B83" s="8" t="str">
        <f t="shared" si="1"/>
        <v>60-64</v>
      </c>
      <c r="C83" s="307">
        <f>RAW_DATA_INPUTS!I191</f>
        <v>57.316857960911797</v>
      </c>
      <c r="D83" s="307">
        <f>RAW_DATA_INPUTS!J191</f>
        <v>59.712824089451772</v>
      </c>
      <c r="E83" s="307">
        <f>RAW_DATA_INPUTS!K191</f>
        <v>85.001363090097172</v>
      </c>
      <c r="F83" s="307">
        <f>RAW_DATA_INPUTS!L191</f>
        <v>124.572</v>
      </c>
    </row>
    <row r="84" spans="1:6">
      <c r="B84" s="8" t="str">
        <f t="shared" si="1"/>
        <v>65 plus</v>
      </c>
      <c r="C84" s="307">
        <f>RAW_DATA_INPUTS!I192</f>
        <v>10.43728890794058</v>
      </c>
      <c r="D84" s="307">
        <f>RAW_DATA_INPUTS!J192</f>
        <v>15.437053503142595</v>
      </c>
      <c r="E84" s="307">
        <f>RAW_DATA_INPUTS!K192</f>
        <v>18.099950563052968</v>
      </c>
      <c r="F84" s="307">
        <f>RAW_DATA_INPUTS!L192</f>
        <v>13.587999999999999</v>
      </c>
    </row>
    <row r="85" spans="1:6">
      <c r="B85" s="8" t="str">
        <f t="shared" si="1"/>
        <v>Total</v>
      </c>
      <c r="C85" s="307">
        <f>RAW_DATA_INPUTS!I193</f>
        <v>11491.500749545414</v>
      </c>
      <c r="D85" s="307">
        <f>RAW_DATA_INPUTS!J193</f>
        <v>13087.040155064453</v>
      </c>
      <c r="E85" s="307">
        <f>RAW_DATA_INPUTS!K193</f>
        <v>15337.656672660536</v>
      </c>
      <c r="F85" s="307">
        <f>RAW_DATA_INPUTS!L193</f>
        <v>16896.668000000001</v>
      </c>
    </row>
    <row r="86" spans="1:6">
      <c r="A86">
        <f>SUM(C86:F86)</f>
        <v>0</v>
      </c>
      <c r="C86">
        <f>SUM(C75:C84)-C85</f>
        <v>0</v>
      </c>
      <c r="D86">
        <f>SUM(D75:D84)-D85</f>
        <v>0</v>
      </c>
      <c r="E86">
        <f>SUM(E75:E84)-E85</f>
        <v>0</v>
      </c>
      <c r="F86">
        <f>SUM(F75:F84)-F85</f>
        <v>0</v>
      </c>
    </row>
    <row r="88" spans="1:6">
      <c r="B88" s="76" t="s">
        <v>107</v>
      </c>
    </row>
    <row r="90" spans="1:6">
      <c r="B90" s="1140" t="str">
        <f>B73</f>
        <v>Age group</v>
      </c>
      <c r="C90" s="1160" t="str">
        <f>C73</f>
        <v>Year</v>
      </c>
      <c r="D90" s="1160"/>
      <c r="E90" s="1160"/>
      <c r="F90" s="1160"/>
    </row>
    <row r="91" spans="1:6">
      <c r="B91" s="1140"/>
      <c r="C91" s="8" t="str">
        <f>C74</f>
        <v>2011/12</v>
      </c>
      <c r="D91" s="8" t="str">
        <f>D74</f>
        <v>2012/13</v>
      </c>
      <c r="E91" s="8" t="str">
        <f>E74</f>
        <v>2013/14</v>
      </c>
      <c r="F91" s="8" t="str">
        <f>F74</f>
        <v>2014/15</v>
      </c>
    </row>
    <row r="92" spans="1:6">
      <c r="B92" s="8" t="str">
        <f t="shared" ref="B92:B102" si="2">B75</f>
        <v>20-24</v>
      </c>
      <c r="C92" s="164">
        <f t="shared" ref="C92:F102" si="3">C58/C22</f>
        <v>0.10395730507136712</v>
      </c>
      <c r="D92" s="164">
        <f t="shared" si="3"/>
        <v>9.6937869992842499E-2</v>
      </c>
      <c r="E92" s="164">
        <f t="shared" si="3"/>
        <v>0.1176454956689508</v>
      </c>
      <c r="F92" s="164">
        <f t="shared" si="3"/>
        <v>0.11971743935596919</v>
      </c>
    </row>
    <row r="93" spans="1:6">
      <c r="B93" s="8" t="str">
        <f t="shared" si="2"/>
        <v>25-29</v>
      </c>
      <c r="C93" s="164">
        <f t="shared" si="3"/>
        <v>9.3332074891833344E-2</v>
      </c>
      <c r="D93" s="164">
        <f t="shared" si="3"/>
        <v>0.10542009081758955</v>
      </c>
      <c r="E93" s="164">
        <f t="shared" si="3"/>
        <v>0.10407852855862286</v>
      </c>
      <c r="F93" s="164">
        <f t="shared" si="3"/>
        <v>0.11013252279393052</v>
      </c>
    </row>
    <row r="94" spans="1:6">
      <c r="B94" s="8" t="str">
        <f t="shared" si="2"/>
        <v>30-34</v>
      </c>
      <c r="C94" s="164">
        <f t="shared" si="3"/>
        <v>7.1671036687951287E-2</v>
      </c>
      <c r="D94" s="164">
        <f t="shared" si="3"/>
        <v>7.8491927221877436E-2</v>
      </c>
      <c r="E94" s="164">
        <f t="shared" si="3"/>
        <v>8.6027908950810847E-2</v>
      </c>
      <c r="F94" s="164">
        <f t="shared" si="3"/>
        <v>9.9505509159959052E-2</v>
      </c>
    </row>
    <row r="95" spans="1:6">
      <c r="B95" s="8" t="str">
        <f t="shared" si="2"/>
        <v>35-39</v>
      </c>
      <c r="C95" s="164">
        <f t="shared" si="3"/>
        <v>6.2588885352109866E-2</v>
      </c>
      <c r="D95" s="164">
        <f t="shared" si="3"/>
        <v>6.7555233756486588E-2</v>
      </c>
      <c r="E95" s="164">
        <f t="shared" si="3"/>
        <v>7.8395402853947027E-2</v>
      </c>
      <c r="F95" s="164">
        <f t="shared" si="3"/>
        <v>7.5249394733217775E-2</v>
      </c>
    </row>
    <row r="96" spans="1:6">
      <c r="B96" s="8" t="str">
        <f t="shared" si="2"/>
        <v>40-44</v>
      </c>
      <c r="C96" s="164">
        <f t="shared" si="3"/>
        <v>6.4205462527096621E-2</v>
      </c>
      <c r="D96" s="164">
        <f t="shared" si="3"/>
        <v>7.0076320448641649E-2</v>
      </c>
      <c r="E96" s="164">
        <f t="shared" si="3"/>
        <v>7.8240561741837397E-2</v>
      </c>
      <c r="F96" s="164">
        <f t="shared" si="3"/>
        <v>8.1221717478652838E-2</v>
      </c>
    </row>
    <row r="97" spans="2:6">
      <c r="B97" s="8" t="str">
        <f t="shared" si="2"/>
        <v>45-49</v>
      </c>
      <c r="C97" s="164">
        <f t="shared" si="3"/>
        <v>8.1690907979739061E-2</v>
      </c>
      <c r="D97" s="164">
        <f t="shared" si="3"/>
        <v>7.5820225661196547E-2</v>
      </c>
      <c r="E97" s="164">
        <f t="shared" si="3"/>
        <v>9.0875586435385292E-2</v>
      </c>
      <c r="F97" s="164">
        <f t="shared" si="3"/>
        <v>8.5891246543139663E-2</v>
      </c>
    </row>
    <row r="98" spans="2:6">
      <c r="B98" s="8" t="str">
        <f t="shared" si="2"/>
        <v>50-54</v>
      </c>
      <c r="C98" s="164">
        <f t="shared" si="3"/>
        <v>4.9417293531618389E-2</v>
      </c>
      <c r="D98" s="164">
        <f t="shared" si="3"/>
        <v>7.2774549663735991E-2</v>
      </c>
      <c r="E98" s="164">
        <f t="shared" si="3"/>
        <v>9.065485967025734E-2</v>
      </c>
      <c r="F98" s="164">
        <f t="shared" si="3"/>
        <v>9.0600185774337746E-2</v>
      </c>
    </row>
    <row r="99" spans="2:6">
      <c r="B99" s="8" t="str">
        <f t="shared" si="2"/>
        <v>55-59</v>
      </c>
      <c r="C99" s="164">
        <f t="shared" si="3"/>
        <v>1.3130528265392764E-2</v>
      </c>
      <c r="D99" s="164">
        <f t="shared" si="3"/>
        <v>3.0009333148091365E-2</v>
      </c>
      <c r="E99" s="164">
        <f t="shared" si="3"/>
        <v>5.460520384212908E-2</v>
      </c>
      <c r="F99" s="164">
        <f t="shared" si="3"/>
        <v>5.5490968944582719E-2</v>
      </c>
    </row>
    <row r="100" spans="2:6">
      <c r="B100" s="8" t="str">
        <f t="shared" si="2"/>
        <v>60-64</v>
      </c>
      <c r="C100" s="164">
        <f t="shared" si="3"/>
        <v>9.2565746200055053E-3</v>
      </c>
      <c r="D100" s="164">
        <f t="shared" si="3"/>
        <v>1.6717456572735667E-2</v>
      </c>
      <c r="E100" s="164">
        <f t="shared" si="3"/>
        <v>1.4307697912154707E-2</v>
      </c>
      <c r="F100" s="164">
        <f t="shared" si="3"/>
        <v>1.8950599226269908E-2</v>
      </c>
    </row>
    <row r="101" spans="2:6">
      <c r="B101" s="8" t="str">
        <f t="shared" si="2"/>
        <v>65 plus</v>
      </c>
      <c r="C101" s="164">
        <f t="shared" si="3"/>
        <v>5.180118886291684E-2</v>
      </c>
      <c r="D101" s="164">
        <f t="shared" si="3"/>
        <v>0</v>
      </c>
      <c r="E101" s="164">
        <f t="shared" si="3"/>
        <v>3.5357648362818996E-2</v>
      </c>
      <c r="F101" s="164">
        <f t="shared" si="3"/>
        <v>3.4453098867491753E-2</v>
      </c>
    </row>
    <row r="102" spans="2:6">
      <c r="B102" s="8" t="str">
        <f t="shared" si="2"/>
        <v>Total</v>
      </c>
      <c r="C102" s="164">
        <f t="shared" si="3"/>
        <v>6.6435700238109519E-2</v>
      </c>
      <c r="D102" s="164">
        <f t="shared" si="3"/>
        <v>7.4586582956593026E-2</v>
      </c>
      <c r="E102" s="164">
        <f t="shared" si="3"/>
        <v>8.5744278990124545E-2</v>
      </c>
      <c r="F102" s="164">
        <f t="shared" si="3"/>
        <v>8.986842098640406E-2</v>
      </c>
    </row>
    <row r="104" spans="2:6">
      <c r="B104" s="76" t="s">
        <v>108</v>
      </c>
    </row>
    <row r="106" spans="2:6">
      <c r="B106" s="1140" t="str">
        <f>B90</f>
        <v>Age group</v>
      </c>
      <c r="C106" s="1160" t="str">
        <f>C90</f>
        <v>Year</v>
      </c>
      <c r="D106" s="1160"/>
      <c r="E106" s="1160"/>
      <c r="F106" s="1160"/>
    </row>
    <row r="107" spans="2:6">
      <c r="B107" s="1140"/>
      <c r="C107" s="8" t="str">
        <f>C91</f>
        <v>2011/12</v>
      </c>
      <c r="D107" s="8" t="str">
        <f>D91</f>
        <v>2012/13</v>
      </c>
      <c r="E107" s="8" t="str">
        <f>E91</f>
        <v>2013/14</v>
      </c>
      <c r="F107" s="8" t="str">
        <f>F91</f>
        <v>2014/15</v>
      </c>
    </row>
    <row r="108" spans="2:6">
      <c r="B108" s="8" t="str">
        <f>B92</f>
        <v>20-24</v>
      </c>
      <c r="C108" s="164">
        <f t="shared" ref="C108:F118" si="4">C75/C39</f>
        <v>7.7645241414555866E-2</v>
      </c>
      <c r="D108" s="164">
        <f t="shared" si="4"/>
        <v>8.0747118609690194E-2</v>
      </c>
      <c r="E108" s="164">
        <f t="shared" si="4"/>
        <v>9.5273533212862152E-2</v>
      </c>
      <c r="F108" s="164">
        <f t="shared" si="4"/>
        <v>0.10453001010479095</v>
      </c>
    </row>
    <row r="109" spans="2:6">
      <c r="B109" s="8" t="str">
        <f t="shared" ref="B109:B118" si="5">B93</f>
        <v>25-29</v>
      </c>
      <c r="C109" s="164">
        <f t="shared" si="4"/>
        <v>7.454853221532233E-2</v>
      </c>
      <c r="D109" s="164">
        <f t="shared" si="4"/>
        <v>7.939297144201983E-2</v>
      </c>
      <c r="E109" s="164">
        <f t="shared" si="4"/>
        <v>8.8270568763546609E-2</v>
      </c>
      <c r="F109" s="164">
        <f t="shared" si="4"/>
        <v>9.6151566967472055E-2</v>
      </c>
    </row>
    <row r="110" spans="2:6">
      <c r="B110" s="8" t="str">
        <f t="shared" si="5"/>
        <v>30-34</v>
      </c>
      <c r="C110" s="164">
        <f t="shared" si="4"/>
        <v>6.7940060152941906E-2</v>
      </c>
      <c r="D110" s="164">
        <f t="shared" si="4"/>
        <v>7.3261788204902714E-2</v>
      </c>
      <c r="E110" s="164">
        <f t="shared" si="4"/>
        <v>8.1429141498105609E-2</v>
      </c>
      <c r="F110" s="164">
        <f t="shared" si="4"/>
        <v>8.4751444134489859E-2</v>
      </c>
    </row>
    <row r="111" spans="2:6">
      <c r="B111" s="8" t="str">
        <f t="shared" si="5"/>
        <v>35-39</v>
      </c>
      <c r="C111" s="164">
        <f t="shared" si="4"/>
        <v>6.5494460620006884E-2</v>
      </c>
      <c r="D111" s="164">
        <f t="shared" si="4"/>
        <v>7.0231651684352539E-2</v>
      </c>
      <c r="E111" s="164">
        <f t="shared" si="4"/>
        <v>7.2577511365305977E-2</v>
      </c>
      <c r="F111" s="164">
        <f t="shared" si="4"/>
        <v>8.3309108510021504E-2</v>
      </c>
    </row>
    <row r="112" spans="2:6">
      <c r="B112" s="8" t="str">
        <f t="shared" si="5"/>
        <v>40-44</v>
      </c>
      <c r="C112" s="164">
        <f t="shared" si="4"/>
        <v>6.0801785644079592E-2</v>
      </c>
      <c r="D112" s="164">
        <f t="shared" si="4"/>
        <v>6.6930265897488572E-2</v>
      </c>
      <c r="E112" s="164">
        <f t="shared" si="4"/>
        <v>7.3339671971930434E-2</v>
      </c>
      <c r="F112" s="164">
        <f t="shared" si="4"/>
        <v>7.3089677310687717E-2</v>
      </c>
    </row>
    <row r="113" spans="2:11">
      <c r="B113" s="8" t="str">
        <f t="shared" si="5"/>
        <v>45-49</v>
      </c>
      <c r="C113" s="164">
        <f t="shared" si="4"/>
        <v>6.0112707931836401E-2</v>
      </c>
      <c r="D113" s="164">
        <f t="shared" si="4"/>
        <v>6.6250655758616384E-2</v>
      </c>
      <c r="E113" s="164">
        <f t="shared" si="4"/>
        <v>7.5774999404801119E-2</v>
      </c>
      <c r="F113" s="164">
        <f t="shared" si="4"/>
        <v>8.1014028987835884E-2</v>
      </c>
    </row>
    <row r="114" spans="2:11">
      <c r="B114" s="8" t="str">
        <f t="shared" si="5"/>
        <v>50-54</v>
      </c>
      <c r="C114" s="164">
        <f t="shared" si="4"/>
        <v>5.5019896895753116E-2</v>
      </c>
      <c r="D114" s="164">
        <f t="shared" si="4"/>
        <v>6.8653730020775794E-2</v>
      </c>
      <c r="E114" s="164">
        <f t="shared" si="4"/>
        <v>8.5407212926763079E-2</v>
      </c>
      <c r="F114" s="164">
        <f t="shared" si="4"/>
        <v>8.7920575979280324E-2</v>
      </c>
    </row>
    <row r="115" spans="2:11">
      <c r="B115" s="8" t="str">
        <f t="shared" si="5"/>
        <v>55-59</v>
      </c>
      <c r="C115" s="164">
        <f t="shared" si="4"/>
        <v>2.0979853949302955E-2</v>
      </c>
      <c r="D115" s="164">
        <f t="shared" si="4"/>
        <v>3.1470492079410176E-2</v>
      </c>
      <c r="E115" s="164">
        <f t="shared" si="4"/>
        <v>5.2381233406739003E-2</v>
      </c>
      <c r="F115" s="164">
        <f t="shared" si="4"/>
        <v>6.2930978890434752E-2</v>
      </c>
    </row>
    <row r="116" spans="2:11">
      <c r="B116" s="8" t="str">
        <f t="shared" si="5"/>
        <v>60-64</v>
      </c>
      <c r="C116" s="164">
        <f t="shared" si="4"/>
        <v>1.2045281553067355E-2</v>
      </c>
      <c r="D116" s="164">
        <f t="shared" si="4"/>
        <v>1.2207988461420875E-2</v>
      </c>
      <c r="E116" s="164">
        <f t="shared" si="4"/>
        <v>1.7305743213783205E-2</v>
      </c>
      <c r="F116" s="164">
        <f t="shared" si="4"/>
        <v>2.5588803142337566E-2</v>
      </c>
    </row>
    <row r="117" spans="2:11">
      <c r="B117" s="8" t="str">
        <f t="shared" si="5"/>
        <v>65 plus</v>
      </c>
      <c r="C117" s="164">
        <f t="shared" si="4"/>
        <v>1.766436255187814E-2</v>
      </c>
      <c r="D117" s="164">
        <f t="shared" si="4"/>
        <v>2.1412694024582964E-2</v>
      </c>
      <c r="E117" s="164">
        <f t="shared" si="4"/>
        <v>2.4265303019567766E-2</v>
      </c>
      <c r="F117" s="164">
        <f t="shared" si="4"/>
        <v>1.7256860262358124E-2</v>
      </c>
    </row>
    <row r="118" spans="2:11">
      <c r="B118" s="8" t="str">
        <f t="shared" si="5"/>
        <v>Total</v>
      </c>
      <c r="C118" s="164">
        <f t="shared" si="4"/>
        <v>5.9960317556089798E-2</v>
      </c>
      <c r="D118" s="164">
        <f t="shared" si="4"/>
        <v>6.6777280543085099E-2</v>
      </c>
      <c r="E118" s="164">
        <f t="shared" si="4"/>
        <v>7.6736584055087403E-2</v>
      </c>
      <c r="F118" s="164">
        <f t="shared" si="4"/>
        <v>8.2975316315295394E-2</v>
      </c>
    </row>
    <row r="120" spans="2:11">
      <c r="B120" s="76" t="s">
        <v>109</v>
      </c>
    </row>
    <row r="122" spans="2:11">
      <c r="B122" s="1140" t="str">
        <f>B106</f>
        <v>Age group</v>
      </c>
      <c r="C122" s="1183" t="str">
        <f>C107</f>
        <v>2011/12</v>
      </c>
      <c r="D122" s="1183" t="str">
        <f>D107</f>
        <v>2012/13</v>
      </c>
      <c r="E122" s="1183" t="str">
        <f>E107</f>
        <v>2013/14</v>
      </c>
      <c r="F122" s="1183" t="str">
        <f>F107</f>
        <v>2014/15</v>
      </c>
      <c r="G122" s="1209" t="s">
        <v>8</v>
      </c>
    </row>
    <row r="123" spans="2:11">
      <c r="B123" s="1140"/>
      <c r="C123" s="1184"/>
      <c r="D123" s="1184"/>
      <c r="E123" s="1184"/>
      <c r="F123" s="1184"/>
      <c r="G123" s="1210"/>
    </row>
    <row r="124" spans="2:11">
      <c r="B124" s="141" t="str">
        <f>B108</f>
        <v>20-24</v>
      </c>
      <c r="C124" s="954">
        <f>C92*H$14</f>
        <v>1.0395730507136713E-2</v>
      </c>
      <c r="D124" s="954">
        <f t="shared" ref="D124:F134" si="6">D92*I$14</f>
        <v>1.93875739985685E-2</v>
      </c>
      <c r="E124" s="954">
        <f t="shared" si="6"/>
        <v>3.5293648700685236E-2</v>
      </c>
      <c r="F124" s="954">
        <f t="shared" si="6"/>
        <v>4.7886975742387677E-2</v>
      </c>
      <c r="G124" s="952">
        <f>SUM(C124:F124)</f>
        <v>0.11296392894877813</v>
      </c>
    </row>
    <row r="125" spans="2:11">
      <c r="B125" s="141" t="str">
        <f t="shared" ref="B125:B132" si="7">B109</f>
        <v>25-29</v>
      </c>
      <c r="C125" s="954">
        <f t="shared" ref="C125:C134" si="8">C93*H$14</f>
        <v>9.3332074891833341E-3</v>
      </c>
      <c r="D125" s="954">
        <f t="shared" si="6"/>
        <v>2.1084018163517911E-2</v>
      </c>
      <c r="E125" s="954">
        <f t="shared" si="6"/>
        <v>3.1223558567586858E-2</v>
      </c>
      <c r="F125" s="954">
        <f t="shared" si="6"/>
        <v>4.4053009117572206E-2</v>
      </c>
      <c r="G125" s="952">
        <f t="shared" ref="G125:G134" si="9">SUM(C125:F125)</f>
        <v>0.1056937933378603</v>
      </c>
      <c r="J125" s="187"/>
      <c r="K125" s="187"/>
    </row>
    <row r="126" spans="2:11">
      <c r="B126" s="141" t="str">
        <f t="shared" si="7"/>
        <v>30-34</v>
      </c>
      <c r="C126" s="954">
        <f t="shared" si="8"/>
        <v>7.1671036687951288E-3</v>
      </c>
      <c r="D126" s="954">
        <f t="shared" si="6"/>
        <v>1.5698385444375487E-2</v>
      </c>
      <c r="E126" s="954">
        <f t="shared" si="6"/>
        <v>2.5808372685243254E-2</v>
      </c>
      <c r="F126" s="954">
        <f t="shared" si="6"/>
        <v>3.9802203663983626E-2</v>
      </c>
      <c r="G126" s="952">
        <f t="shared" si="9"/>
        <v>8.8476065462397502E-2</v>
      </c>
      <c r="J126" s="187"/>
      <c r="K126" s="187"/>
    </row>
    <row r="127" spans="2:11">
      <c r="B127" s="141" t="str">
        <f t="shared" si="7"/>
        <v>35-39</v>
      </c>
      <c r="C127" s="954">
        <f t="shared" si="8"/>
        <v>6.2588885352109873E-3</v>
      </c>
      <c r="D127" s="954">
        <f t="shared" si="6"/>
        <v>1.3511046751297318E-2</v>
      </c>
      <c r="E127" s="954">
        <f t="shared" si="6"/>
        <v>2.3518620856184107E-2</v>
      </c>
      <c r="F127" s="954">
        <f t="shared" si="6"/>
        <v>3.0099757893287112E-2</v>
      </c>
      <c r="G127" s="952">
        <f t="shared" si="9"/>
        <v>7.3388314035979521E-2</v>
      </c>
      <c r="J127" s="187"/>
      <c r="K127" s="187"/>
    </row>
    <row r="128" spans="2:11">
      <c r="B128" s="141" t="str">
        <f t="shared" si="7"/>
        <v>40-44</v>
      </c>
      <c r="C128" s="954">
        <f t="shared" si="8"/>
        <v>6.4205462527096623E-3</v>
      </c>
      <c r="D128" s="954">
        <f t="shared" si="6"/>
        <v>1.401526408972833E-2</v>
      </c>
      <c r="E128" s="954">
        <f t="shared" si="6"/>
        <v>2.3472168522551219E-2</v>
      </c>
      <c r="F128" s="954">
        <f t="shared" si="6"/>
        <v>3.2488686991461138E-2</v>
      </c>
      <c r="G128" s="952">
        <f t="shared" si="9"/>
        <v>7.6396665856450358E-2</v>
      </c>
      <c r="H128" s="12"/>
      <c r="J128" s="187"/>
      <c r="K128" s="187"/>
    </row>
    <row r="129" spans="2:11">
      <c r="B129" s="141" t="str">
        <f t="shared" si="7"/>
        <v>45-49</v>
      </c>
      <c r="C129" s="954">
        <f t="shared" si="8"/>
        <v>8.1690907979739061E-3</v>
      </c>
      <c r="D129" s="954">
        <f t="shared" si="6"/>
        <v>1.5164045132239311E-2</v>
      </c>
      <c r="E129" s="954">
        <f t="shared" si="6"/>
        <v>2.7262675930615588E-2</v>
      </c>
      <c r="F129" s="954">
        <f t="shared" si="6"/>
        <v>3.4356498617255864E-2</v>
      </c>
      <c r="G129" s="952">
        <f t="shared" si="9"/>
        <v>8.4952310478084658E-2</v>
      </c>
      <c r="H129" s="12"/>
      <c r="J129" s="187"/>
      <c r="K129" s="187"/>
    </row>
    <row r="130" spans="2:11">
      <c r="B130" s="141" t="str">
        <f t="shared" si="7"/>
        <v>50-54</v>
      </c>
      <c r="C130" s="954">
        <f t="shared" si="8"/>
        <v>4.9417293531618389E-3</v>
      </c>
      <c r="D130" s="954">
        <f t="shared" si="6"/>
        <v>1.4554909932747198E-2</v>
      </c>
      <c r="E130" s="954">
        <f t="shared" si="6"/>
        <v>2.7196457901077203E-2</v>
      </c>
      <c r="F130" s="954">
        <f t="shared" si="6"/>
        <v>3.6240074309735103E-2</v>
      </c>
      <c r="G130" s="952">
        <f t="shared" si="9"/>
        <v>8.2933171496721331E-2</v>
      </c>
      <c r="H130" s="12"/>
      <c r="J130" s="187"/>
      <c r="K130" s="187"/>
    </row>
    <row r="131" spans="2:11">
      <c r="B131" s="141" t="str">
        <f t="shared" si="7"/>
        <v>55-59</v>
      </c>
      <c r="C131" s="954">
        <f t="shared" si="8"/>
        <v>1.3130528265392766E-3</v>
      </c>
      <c r="D131" s="954">
        <f t="shared" si="6"/>
        <v>6.0018666296182731E-3</v>
      </c>
      <c r="E131" s="954">
        <f t="shared" si="6"/>
        <v>1.6381561152638724E-2</v>
      </c>
      <c r="F131" s="954">
        <f t="shared" si="6"/>
        <v>2.2196387577833088E-2</v>
      </c>
      <c r="G131" s="952">
        <f t="shared" si="9"/>
        <v>4.5892868186629361E-2</v>
      </c>
      <c r="J131" s="187"/>
      <c r="K131" s="187"/>
    </row>
    <row r="132" spans="2:11">
      <c r="B132" s="141" t="str">
        <f t="shared" si="7"/>
        <v>60-64</v>
      </c>
      <c r="C132" s="954">
        <f t="shared" si="8"/>
        <v>9.2565746200055053E-4</v>
      </c>
      <c r="D132" s="954">
        <f t="shared" si="6"/>
        <v>3.3434913145471336E-3</v>
      </c>
      <c r="E132" s="954">
        <f t="shared" si="6"/>
        <v>4.2923093736464118E-3</v>
      </c>
      <c r="F132" s="954">
        <f t="shared" si="6"/>
        <v>7.5802396905079632E-3</v>
      </c>
      <c r="G132" s="952">
        <f t="shared" si="9"/>
        <v>1.614169784070206E-2</v>
      </c>
      <c r="J132" s="187"/>
      <c r="K132" s="187"/>
    </row>
    <row r="133" spans="2:11">
      <c r="B133" s="141" t="str">
        <f>B117</f>
        <v>65 plus</v>
      </c>
      <c r="C133" s="954">
        <f t="shared" si="8"/>
        <v>5.1801188862916842E-3</v>
      </c>
      <c r="D133" s="954">
        <f t="shared" si="6"/>
        <v>0</v>
      </c>
      <c r="E133" s="954">
        <f t="shared" si="6"/>
        <v>1.0607294508845698E-2</v>
      </c>
      <c r="F133" s="954">
        <f t="shared" si="6"/>
        <v>1.3781239546996702E-2</v>
      </c>
      <c r="G133" s="952">
        <f t="shared" si="9"/>
        <v>2.9568652942134083E-2</v>
      </c>
      <c r="J133" s="187"/>
      <c r="K133" s="187"/>
    </row>
    <row r="134" spans="2:11">
      <c r="B134" s="141" t="str">
        <f>B118</f>
        <v>Total</v>
      </c>
      <c r="C134" s="954">
        <f t="shared" si="8"/>
        <v>6.643570023810952E-3</v>
      </c>
      <c r="D134" s="954">
        <f t="shared" si="6"/>
        <v>1.4917316591318605E-2</v>
      </c>
      <c r="E134" s="954">
        <f t="shared" si="6"/>
        <v>2.5723283697037361E-2</v>
      </c>
      <c r="F134" s="954">
        <f t="shared" si="6"/>
        <v>3.5947368394561627E-2</v>
      </c>
      <c r="G134" s="952">
        <f t="shared" si="9"/>
        <v>8.3231538706728544E-2</v>
      </c>
      <c r="J134" s="187"/>
      <c r="K134" s="187"/>
    </row>
    <row r="135" spans="2:11">
      <c r="B135" s="5"/>
      <c r="C135" s="5"/>
      <c r="D135" s="5"/>
      <c r="E135" s="5"/>
      <c r="F135" s="5"/>
      <c r="G135" s="5"/>
      <c r="J135" s="187"/>
      <c r="K135" s="187"/>
    </row>
    <row r="136" spans="2:11">
      <c r="B136" s="76" t="s">
        <v>111</v>
      </c>
      <c r="C136" s="5"/>
      <c r="D136" s="5"/>
      <c r="E136" s="5"/>
      <c r="F136" s="5"/>
      <c r="G136" s="5"/>
    </row>
    <row r="137" spans="2:11">
      <c r="B137" s="5"/>
      <c r="C137" s="5"/>
      <c r="D137" s="5"/>
      <c r="E137" s="5"/>
      <c r="F137" s="5"/>
      <c r="G137" s="5"/>
    </row>
    <row r="138" spans="2:11">
      <c r="B138" s="1140" t="str">
        <f>B122</f>
        <v>Age group</v>
      </c>
      <c r="C138" s="1183" t="str">
        <f>C122</f>
        <v>2011/12</v>
      </c>
      <c r="D138" s="1183" t="str">
        <f>D122</f>
        <v>2012/13</v>
      </c>
      <c r="E138" s="1183" t="str">
        <f>E122</f>
        <v>2013/14</v>
      </c>
      <c r="F138" s="1183" t="str">
        <f>F122</f>
        <v>2014/15</v>
      </c>
      <c r="G138" s="1209" t="s">
        <v>8</v>
      </c>
    </row>
    <row r="139" spans="2:11">
      <c r="B139" s="1140"/>
      <c r="C139" s="1184"/>
      <c r="D139" s="1184"/>
      <c r="E139" s="1184"/>
      <c r="F139" s="1184"/>
      <c r="G139" s="1210"/>
    </row>
    <row r="140" spans="2:11">
      <c r="B140" s="141" t="str">
        <f>B124</f>
        <v>20-24</v>
      </c>
      <c r="C140" s="954">
        <f>C108*H$14</f>
        <v>7.7645241414555869E-3</v>
      </c>
      <c r="D140" s="954">
        <f t="shared" ref="D140:F150" si="10">D108*I$14</f>
        <v>1.614942372193804E-2</v>
      </c>
      <c r="E140" s="954">
        <f t="shared" si="10"/>
        <v>2.8582059963858646E-2</v>
      </c>
      <c r="F140" s="954">
        <f t="shared" si="10"/>
        <v>4.181200404191638E-2</v>
      </c>
      <c r="G140" s="952">
        <f>SUM(C140:F140)</f>
        <v>9.4308011869168651E-2</v>
      </c>
    </row>
    <row r="141" spans="2:11">
      <c r="B141" s="141" t="str">
        <f t="shared" ref="B141:B148" si="11">B125</f>
        <v>25-29</v>
      </c>
      <c r="C141" s="954">
        <f t="shared" ref="C141:C150" si="12">C109*H$14</f>
        <v>7.4548532215322335E-3</v>
      </c>
      <c r="D141" s="954">
        <f t="shared" si="10"/>
        <v>1.5878594288403967E-2</v>
      </c>
      <c r="E141" s="954">
        <f t="shared" si="10"/>
        <v>2.6481170629063983E-2</v>
      </c>
      <c r="F141" s="954">
        <f t="shared" si="10"/>
        <v>3.8460626786988826E-2</v>
      </c>
      <c r="G141" s="952">
        <f t="shared" ref="G141:G150" si="13">SUM(C141:F141)</f>
        <v>8.827524492598901E-2</v>
      </c>
    </row>
    <row r="142" spans="2:11">
      <c r="B142" s="141" t="str">
        <f t="shared" si="11"/>
        <v>30-34</v>
      </c>
      <c r="C142" s="954">
        <f t="shared" si="12"/>
        <v>6.7940060152941913E-3</v>
      </c>
      <c r="D142" s="954">
        <f t="shared" si="10"/>
        <v>1.4652357640980544E-2</v>
      </c>
      <c r="E142" s="954">
        <f t="shared" si="10"/>
        <v>2.4428742449431683E-2</v>
      </c>
      <c r="F142" s="954">
        <f t="shared" si="10"/>
        <v>3.3900577653795942E-2</v>
      </c>
      <c r="G142" s="952">
        <f t="shared" si="13"/>
        <v>7.9775683759502364E-2</v>
      </c>
    </row>
    <row r="143" spans="2:11">
      <c r="B143" s="141" t="str">
        <f t="shared" si="11"/>
        <v>35-39</v>
      </c>
      <c r="C143" s="954">
        <f t="shared" si="12"/>
        <v>6.5494460620006889E-3</v>
      </c>
      <c r="D143" s="954">
        <f t="shared" si="10"/>
        <v>1.4046330336870508E-2</v>
      </c>
      <c r="E143" s="954">
        <f t="shared" si="10"/>
        <v>2.1773253409591794E-2</v>
      </c>
      <c r="F143" s="954">
        <f t="shared" si="10"/>
        <v>3.3323643404008604E-2</v>
      </c>
      <c r="G143" s="952">
        <f t="shared" si="13"/>
        <v>7.5692673212471598E-2</v>
      </c>
    </row>
    <row r="144" spans="2:11">
      <c r="B144" s="141" t="str">
        <f t="shared" si="11"/>
        <v>40-44</v>
      </c>
      <c r="C144" s="954">
        <f t="shared" si="12"/>
        <v>6.0801785644079599E-3</v>
      </c>
      <c r="D144" s="954">
        <f t="shared" si="10"/>
        <v>1.3386053179497715E-2</v>
      </c>
      <c r="E144" s="954">
        <f t="shared" si="10"/>
        <v>2.200190159157913E-2</v>
      </c>
      <c r="F144" s="954">
        <f t="shared" si="10"/>
        <v>2.9235870924275088E-2</v>
      </c>
      <c r="G144" s="952">
        <f t="shared" si="13"/>
        <v>7.0704004259759895E-2</v>
      </c>
    </row>
    <row r="145" spans="2:8">
      <c r="B145" s="141" t="str">
        <f t="shared" si="11"/>
        <v>45-49</v>
      </c>
      <c r="C145" s="954">
        <f t="shared" si="12"/>
        <v>6.0112707931836403E-3</v>
      </c>
      <c r="D145" s="954">
        <f t="shared" si="10"/>
        <v>1.3250131151723278E-2</v>
      </c>
      <c r="E145" s="954">
        <f t="shared" si="10"/>
        <v>2.2732499821440336E-2</v>
      </c>
      <c r="F145" s="954">
        <f t="shared" si="10"/>
        <v>3.2405611595134352E-2</v>
      </c>
      <c r="G145" s="952">
        <f t="shared" si="13"/>
        <v>7.4399513361481595E-2</v>
      </c>
      <c r="H145" s="12"/>
    </row>
    <row r="146" spans="2:8">
      <c r="B146" s="141" t="str">
        <f t="shared" si="11"/>
        <v>50-54</v>
      </c>
      <c r="C146" s="954">
        <f t="shared" si="12"/>
        <v>5.5019896895753123E-3</v>
      </c>
      <c r="D146" s="954">
        <f t="shared" si="10"/>
        <v>1.3730746004155159E-2</v>
      </c>
      <c r="E146" s="954">
        <f t="shared" si="10"/>
        <v>2.5622163878028924E-2</v>
      </c>
      <c r="F146" s="954">
        <f t="shared" si="10"/>
        <v>3.516823039171213E-2</v>
      </c>
      <c r="G146" s="952">
        <f t="shared" si="13"/>
        <v>8.0023129963471523E-2</v>
      </c>
      <c r="H146" s="12"/>
    </row>
    <row r="147" spans="2:8">
      <c r="B147" s="141" t="str">
        <f t="shared" si="11"/>
        <v>55-59</v>
      </c>
      <c r="C147" s="954">
        <f t="shared" si="12"/>
        <v>2.0979853949302956E-3</v>
      </c>
      <c r="D147" s="954">
        <f t="shared" si="10"/>
        <v>6.2940984158820351E-3</v>
      </c>
      <c r="E147" s="954">
        <f t="shared" si="10"/>
        <v>1.5714370022021699E-2</v>
      </c>
      <c r="F147" s="954">
        <f t="shared" si="10"/>
        <v>2.5172391556173901E-2</v>
      </c>
      <c r="G147" s="952">
        <f t="shared" si="13"/>
        <v>4.9278845389007932E-2</v>
      </c>
    </row>
    <row r="148" spans="2:8">
      <c r="B148" s="141" t="str">
        <f t="shared" si="11"/>
        <v>60-64</v>
      </c>
      <c r="C148" s="954">
        <f t="shared" si="12"/>
        <v>1.2045281553067356E-3</v>
      </c>
      <c r="D148" s="954">
        <f t="shared" si="10"/>
        <v>2.4415976922841751E-3</v>
      </c>
      <c r="E148" s="954">
        <f t="shared" si="10"/>
        <v>5.1917229641349613E-3</v>
      </c>
      <c r="F148" s="954">
        <f t="shared" si="10"/>
        <v>1.0235521256935026E-2</v>
      </c>
      <c r="G148" s="952">
        <f t="shared" si="13"/>
        <v>1.9073370068660899E-2</v>
      </c>
    </row>
    <row r="149" spans="2:8">
      <c r="B149" s="141" t="str">
        <f>B133</f>
        <v>65 plus</v>
      </c>
      <c r="C149" s="954">
        <f t="shared" si="12"/>
        <v>1.7664362551878142E-3</v>
      </c>
      <c r="D149" s="954">
        <f t="shared" si="10"/>
        <v>4.2825388049165932E-3</v>
      </c>
      <c r="E149" s="954">
        <f t="shared" si="10"/>
        <v>7.2795909058703291E-3</v>
      </c>
      <c r="F149" s="954">
        <f t="shared" si="10"/>
        <v>6.90274410494325E-3</v>
      </c>
      <c r="G149" s="952">
        <f t="shared" si="13"/>
        <v>2.0231310070917986E-2</v>
      </c>
    </row>
    <row r="150" spans="2:8">
      <c r="B150" s="141" t="str">
        <f>B134</f>
        <v>Total</v>
      </c>
      <c r="C150" s="954">
        <f t="shared" si="12"/>
        <v>5.9960317556089805E-3</v>
      </c>
      <c r="D150" s="954">
        <f t="shared" si="10"/>
        <v>1.335545610861702E-2</v>
      </c>
      <c r="E150" s="954">
        <f t="shared" si="10"/>
        <v>2.302097521652622E-2</v>
      </c>
      <c r="F150" s="954">
        <f t="shared" si="10"/>
        <v>3.3190126526118156E-2</v>
      </c>
      <c r="G150" s="952">
        <f t="shared" si="13"/>
        <v>7.5562589606870373E-2</v>
      </c>
    </row>
  </sheetData>
  <mergeCells count="25">
    <mergeCell ref="G122:G123"/>
    <mergeCell ref="B138:B139"/>
    <mergeCell ref="C138:C139"/>
    <mergeCell ref="D138:D139"/>
    <mergeCell ref="E138:E139"/>
    <mergeCell ref="F138:F139"/>
    <mergeCell ref="G138:G139"/>
    <mergeCell ref="B106:B107"/>
    <mergeCell ref="C106:F106"/>
    <mergeCell ref="B122:B123"/>
    <mergeCell ref="C122:C123"/>
    <mergeCell ref="D122:D123"/>
    <mergeCell ref="E122:E123"/>
    <mergeCell ref="F122:F123"/>
    <mergeCell ref="B56:B57"/>
    <mergeCell ref="C56:F56"/>
    <mergeCell ref="B73:B74"/>
    <mergeCell ref="C73:F73"/>
    <mergeCell ref="B90:B91"/>
    <mergeCell ref="C90:F90"/>
    <mergeCell ref="A5:T5"/>
    <mergeCell ref="B20:B21"/>
    <mergeCell ref="C20:F20"/>
    <mergeCell ref="B37:B38"/>
    <mergeCell ref="C37:F37"/>
  </mergeCells>
  <hyperlinks>
    <hyperlink ref="A2" location="'Title_&amp;_Contents'!A1" display="Contents"/>
    <hyperlink ref="B2" location="Map_of_sheets!A1" display="Map of sheets"/>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T153"/>
  <sheetViews>
    <sheetView showGridLines="0" workbookViewId="0"/>
  </sheetViews>
  <sheetFormatPr defaultRowHeight="12.75"/>
  <cols>
    <col min="2" max="7" width="12.7109375" customWidth="1"/>
  </cols>
  <sheetData>
    <row r="1" spans="1:20" s="66" customFormat="1" ht="15">
      <c r="A1" s="65" t="str">
        <f>ModelBanner</f>
        <v>TSM_201718 for publication</v>
      </c>
    </row>
    <row r="2" spans="1:20" s="66" customFormat="1" ht="15">
      <c r="A2" s="1003" t="s">
        <v>13</v>
      </c>
      <c r="B2" s="1003" t="s">
        <v>30</v>
      </c>
    </row>
    <row r="3" spans="1:20" s="66" customFormat="1" ht="15">
      <c r="A3" s="67"/>
    </row>
    <row r="4" spans="1:20" s="57" customFormat="1">
      <c r="A4" s="58" t="s">
        <v>26</v>
      </c>
      <c r="B4" s="58"/>
      <c r="C4" s="58"/>
      <c r="D4" s="292"/>
      <c r="E4" s="58"/>
      <c r="F4" s="58"/>
      <c r="G4" s="58"/>
      <c r="H4" s="58"/>
      <c r="I4" s="58"/>
      <c r="J4" s="58"/>
      <c r="K4" s="58"/>
      <c r="L4" s="58"/>
      <c r="M4" s="58"/>
      <c r="N4" s="58"/>
    </row>
    <row r="5" spans="1:20" s="47" customFormat="1" ht="44.45" customHeight="1">
      <c r="A5" s="1199" t="s">
        <v>1478</v>
      </c>
      <c r="B5" s="1199"/>
      <c r="C5" s="1199"/>
      <c r="D5" s="1199"/>
      <c r="E5" s="1199"/>
      <c r="F5" s="1199"/>
      <c r="G5" s="1199"/>
      <c r="H5" s="1199"/>
      <c r="I5" s="1199"/>
      <c r="J5" s="1199"/>
      <c r="K5" s="1199"/>
      <c r="L5" s="1199"/>
      <c r="M5" s="1199"/>
      <c r="N5" s="1199"/>
      <c r="O5" s="1199"/>
      <c r="P5" s="1199"/>
      <c r="Q5" s="1199"/>
      <c r="R5" s="1199"/>
      <c r="S5" s="1199"/>
      <c r="T5" s="1199"/>
    </row>
    <row r="6" spans="1:20" s="46" customFormat="1">
      <c r="A6" s="56" t="s">
        <v>1420</v>
      </c>
      <c r="B6" s="61"/>
      <c r="C6" s="61"/>
      <c r="D6" s="292"/>
      <c r="E6" s="61"/>
      <c r="F6" s="61"/>
      <c r="G6" s="61"/>
      <c r="H6" s="61"/>
      <c r="I6" s="61"/>
      <c r="J6" s="61"/>
      <c r="K6" s="61"/>
      <c r="L6" s="61"/>
      <c r="M6" s="61"/>
      <c r="N6" s="61"/>
      <c r="O6" s="45"/>
    </row>
    <row r="7" spans="1:20" s="46" customFormat="1">
      <c r="A7" s="54" t="s">
        <v>166</v>
      </c>
      <c r="B7" s="56"/>
      <c r="C7" s="61"/>
      <c r="D7" s="292"/>
      <c r="E7" s="61"/>
      <c r="F7" s="61"/>
      <c r="G7" s="61"/>
      <c r="H7" s="61"/>
      <c r="I7" s="61"/>
      <c r="J7" s="61"/>
      <c r="K7" s="61"/>
      <c r="L7" s="61"/>
      <c r="M7" s="61"/>
      <c r="N7" s="61"/>
      <c r="O7" s="45"/>
    </row>
    <row r="8" spans="1:20" s="46" customFormat="1">
      <c r="A8" s="56" t="s">
        <v>24</v>
      </c>
      <c r="B8" s="61"/>
      <c r="C8" s="61"/>
      <c r="D8" s="292"/>
      <c r="E8" s="61"/>
      <c r="F8" s="61"/>
      <c r="G8" s="61"/>
      <c r="H8" s="61"/>
      <c r="I8" s="61"/>
      <c r="J8" s="61"/>
      <c r="K8" s="61"/>
      <c r="L8" s="61"/>
      <c r="M8" s="61"/>
      <c r="N8" s="61"/>
      <c r="O8" s="45"/>
    </row>
    <row r="9" spans="1:20" s="46" customFormat="1">
      <c r="A9" s="54" t="s">
        <v>1477</v>
      </c>
      <c r="B9" s="61"/>
      <c r="C9" s="61"/>
      <c r="D9" s="292"/>
      <c r="E9" s="61"/>
      <c r="F9" s="61"/>
      <c r="G9" s="61"/>
      <c r="H9" s="61"/>
      <c r="I9" s="61"/>
      <c r="J9" s="61"/>
      <c r="K9" s="61"/>
      <c r="L9" s="61"/>
      <c r="M9" s="61"/>
      <c r="N9" s="61"/>
      <c r="O9" s="45"/>
    </row>
    <row r="10" spans="1:20" s="50" customFormat="1" ht="13.5" customHeight="1">
      <c r="A10" s="55">
        <f>SUM(A13:A2227)</f>
        <v>0</v>
      </c>
      <c r="B10" s="73"/>
      <c r="C10" s="48"/>
      <c r="D10" s="48"/>
      <c r="E10" s="48"/>
      <c r="F10" s="72"/>
      <c r="G10" s="48"/>
      <c r="H10" s="72"/>
      <c r="I10" s="49"/>
      <c r="J10" s="49"/>
      <c r="K10" s="49"/>
      <c r="L10" s="49"/>
      <c r="M10" s="49"/>
      <c r="N10" s="49"/>
      <c r="O10" s="49"/>
    </row>
    <row r="12" spans="1:20">
      <c r="H12" s="76" t="s">
        <v>110</v>
      </c>
    </row>
    <row r="14" spans="1:20">
      <c r="H14" s="5">
        <f>Calculation_PRIM_wastage_rates!H14</f>
        <v>0.1</v>
      </c>
      <c r="I14" s="5">
        <f>Calculation_PRIM_wastage_rates!I14</f>
        <v>0.2</v>
      </c>
      <c r="J14" s="5">
        <f>Calculation_PRIM_wastage_rates!J14</f>
        <v>0.3</v>
      </c>
      <c r="K14" s="5">
        <f>Calculation_PRIM_wastage_rates!K14</f>
        <v>0.4</v>
      </c>
    </row>
    <row r="16" spans="1:20" ht="18">
      <c r="B16" s="39" t="s">
        <v>1137</v>
      </c>
    </row>
    <row r="18" spans="2:8">
      <c r="B18" s="76" t="str">
        <f>RAW_DATA_INPUTS!B128</f>
        <v xml:space="preserve">MALE SECONDARY Starting Stock figures </v>
      </c>
      <c r="G18" s="219"/>
      <c r="H18" s="150"/>
    </row>
    <row r="20" spans="2:8">
      <c r="B20" s="1183" t="str">
        <f>RAW_DATA_INPUTS!B131</f>
        <v>Age group</v>
      </c>
      <c r="C20" s="1160" t="s">
        <v>74</v>
      </c>
      <c r="D20" s="1160"/>
      <c r="E20" s="1160"/>
      <c r="F20" s="1160"/>
    </row>
    <row r="21" spans="2:8">
      <c r="B21" s="1184"/>
      <c r="C21" s="8" t="str">
        <f>RAW_DATA_INPUTS!C131</f>
        <v>2011/12</v>
      </c>
      <c r="D21" s="8" t="str">
        <f>RAW_DATA_INPUTS!D131</f>
        <v>2012/13</v>
      </c>
      <c r="E21" s="8" t="str">
        <f>RAW_DATA_INPUTS!E131</f>
        <v>2013/14</v>
      </c>
      <c r="F21" s="8" t="str">
        <f>RAW_DATA_INPUTS!F131</f>
        <v>2014/15</v>
      </c>
    </row>
    <row r="22" spans="2:8">
      <c r="B22" s="8" t="str">
        <f>RAW_DATA_INPUTS!B132</f>
        <v>20-24</v>
      </c>
      <c r="C22" s="307">
        <f>RAW_DATA_INPUTS!C132</f>
        <v>3046.4540000000002</v>
      </c>
      <c r="D22" s="307">
        <f>RAW_DATA_INPUTS!D132</f>
        <v>2847.4160000000002</v>
      </c>
      <c r="E22" s="307">
        <f>RAW_DATA_INPUTS!E132</f>
        <v>2849.462</v>
      </c>
      <c r="F22" s="307">
        <f>RAW_DATA_INPUTS!F132</f>
        <v>2951.1770000000001</v>
      </c>
    </row>
    <row r="23" spans="2:8">
      <c r="B23" s="8" t="str">
        <f>RAW_DATA_INPUTS!B133</f>
        <v>25-29</v>
      </c>
      <c r="C23" s="307">
        <f>RAW_DATA_INPUTS!C133</f>
        <v>12693.795</v>
      </c>
      <c r="D23" s="307">
        <f>RAW_DATA_INPUTS!D133</f>
        <v>12966.096</v>
      </c>
      <c r="E23" s="307">
        <f>RAW_DATA_INPUTS!E133</f>
        <v>12529.004999999999</v>
      </c>
      <c r="F23" s="307">
        <f>RAW_DATA_INPUTS!F133</f>
        <v>11900.496999999999</v>
      </c>
    </row>
    <row r="24" spans="2:8">
      <c r="B24" s="8" t="str">
        <f>RAW_DATA_INPUTS!B134</f>
        <v>30-34</v>
      </c>
      <c r="C24" s="307">
        <f>RAW_DATA_INPUTS!C134</f>
        <v>14688.977000000001</v>
      </c>
      <c r="D24" s="307">
        <f>RAW_DATA_INPUTS!D134</f>
        <v>15165.879000000001</v>
      </c>
      <c r="E24" s="307">
        <f>RAW_DATA_INPUTS!E134</f>
        <v>15137.415999999999</v>
      </c>
      <c r="F24" s="307">
        <f>RAW_DATA_INPUTS!F134</f>
        <v>14990.661</v>
      </c>
    </row>
    <row r="25" spans="2:8">
      <c r="B25" s="8" t="str">
        <f>RAW_DATA_INPUTS!B135</f>
        <v>35-39</v>
      </c>
      <c r="C25" s="307">
        <f>RAW_DATA_INPUTS!C135</f>
        <v>13231.441000000001</v>
      </c>
      <c r="D25" s="307">
        <f>RAW_DATA_INPUTS!D135</f>
        <v>12941.513000000001</v>
      </c>
      <c r="E25" s="307">
        <f>RAW_DATA_INPUTS!E135</f>
        <v>12907.572</v>
      </c>
      <c r="F25" s="307">
        <f>RAW_DATA_INPUTS!F135</f>
        <v>13075.121999999999</v>
      </c>
    </row>
    <row r="26" spans="2:8">
      <c r="B26" s="8" t="str">
        <f>RAW_DATA_INPUTS!B136</f>
        <v>40-44</v>
      </c>
      <c r="C26" s="307">
        <f>RAW_DATA_INPUTS!C136</f>
        <v>11885.812</v>
      </c>
      <c r="D26" s="307">
        <f>RAW_DATA_INPUTS!D136</f>
        <v>12417.732</v>
      </c>
      <c r="E26" s="307">
        <f>RAW_DATA_INPUTS!E136</f>
        <v>12479.237999999999</v>
      </c>
      <c r="F26" s="307">
        <f>RAW_DATA_INPUTS!F136</f>
        <v>12168.439</v>
      </c>
    </row>
    <row r="27" spans="2:8">
      <c r="B27" s="8" t="str">
        <f>RAW_DATA_INPUTS!B137</f>
        <v>45-49</v>
      </c>
      <c r="C27" s="307">
        <f>RAW_DATA_INPUTS!C137</f>
        <v>9776.2890000000007</v>
      </c>
      <c r="D27" s="307">
        <f>RAW_DATA_INPUTS!D137</f>
        <v>9685.9500000000007</v>
      </c>
      <c r="E27" s="307">
        <f>RAW_DATA_INPUTS!E137</f>
        <v>9668.9339999999993</v>
      </c>
      <c r="F27" s="307">
        <f>RAW_DATA_INPUTS!F137</f>
        <v>9735.4269999999997</v>
      </c>
    </row>
    <row r="28" spans="2:8">
      <c r="B28" s="8" t="str">
        <f>RAW_DATA_INPUTS!B138</f>
        <v>50-54</v>
      </c>
      <c r="C28" s="307">
        <f>RAW_DATA_INPUTS!C138</f>
        <v>9477.0570000000007</v>
      </c>
      <c r="D28" s="307">
        <f>RAW_DATA_INPUTS!D138</f>
        <v>8960.25</v>
      </c>
      <c r="E28" s="307">
        <f>RAW_DATA_INPUTS!E138</f>
        <v>8700.4279999999999</v>
      </c>
      <c r="F28" s="307">
        <f>RAW_DATA_INPUTS!F138</f>
        <v>8323.4709999999995</v>
      </c>
    </row>
    <row r="29" spans="2:8">
      <c r="B29" s="8" t="str">
        <f>RAW_DATA_INPUTS!B139</f>
        <v>55-59</v>
      </c>
      <c r="C29" s="307">
        <f>RAW_DATA_INPUTS!C139</f>
        <v>7856.07</v>
      </c>
      <c r="D29" s="307">
        <f>RAW_DATA_INPUTS!D139</f>
        <v>7091.9709999999995</v>
      </c>
      <c r="E29" s="307">
        <f>RAW_DATA_INPUTS!E139</f>
        <v>6334.81</v>
      </c>
      <c r="F29" s="307">
        <f>RAW_DATA_INPUTS!F139</f>
        <v>5894.2539999999999</v>
      </c>
    </row>
    <row r="30" spans="2:8">
      <c r="B30" s="8" t="str">
        <f>RAW_DATA_INPUTS!B140</f>
        <v>60-64</v>
      </c>
      <c r="C30" s="307">
        <f>RAW_DATA_INPUTS!C140</f>
        <v>2324.6170000000002</v>
      </c>
      <c r="D30" s="307">
        <f>RAW_DATA_INPUTS!D140</f>
        <v>2180.3069999999998</v>
      </c>
      <c r="E30" s="307">
        <f>RAW_DATA_INPUTS!E140</f>
        <v>2043.1769999999999</v>
      </c>
      <c r="F30" s="307">
        <f>RAW_DATA_INPUTS!F140</f>
        <v>1931.3789999999999</v>
      </c>
    </row>
    <row r="31" spans="2:8">
      <c r="B31" s="8" t="str">
        <f>RAW_DATA_INPUTS!B141</f>
        <v>65 plus</v>
      </c>
      <c r="C31" s="307">
        <f>RAW_DATA_INPUTS!C141</f>
        <v>244.374</v>
      </c>
      <c r="D31" s="307">
        <f>RAW_DATA_INPUTS!D141</f>
        <v>334.64499999999998</v>
      </c>
      <c r="E31" s="307">
        <f>RAW_DATA_INPUTS!E141</f>
        <v>371.55399999999997</v>
      </c>
      <c r="F31" s="307">
        <f>RAW_DATA_INPUTS!F141</f>
        <v>369.15699999999998</v>
      </c>
    </row>
    <row r="32" spans="2:8">
      <c r="B32" s="8" t="str">
        <f>RAW_DATA_INPUTS!B142</f>
        <v>Total</v>
      </c>
      <c r="C32" s="307">
        <f>RAW_DATA_INPUTS!C142</f>
        <v>85224.885999999984</v>
      </c>
      <c r="D32" s="307">
        <f>RAW_DATA_INPUTS!D142</f>
        <v>84591.759000000005</v>
      </c>
      <c r="E32" s="307">
        <f>RAW_DATA_INPUTS!E142</f>
        <v>83021.59599999999</v>
      </c>
      <c r="F32" s="307">
        <f>RAW_DATA_INPUTS!F142</f>
        <v>81339.584000000003</v>
      </c>
    </row>
    <row r="33" spans="1:6">
      <c r="A33">
        <f>SUM(C33:F33)</f>
        <v>0</v>
      </c>
      <c r="C33">
        <f>SUM(C22:C31)-C32</f>
        <v>0</v>
      </c>
      <c r="D33">
        <f>SUM(D22:D31)-D32</f>
        <v>0</v>
      </c>
      <c r="E33">
        <f>SUM(E22:E31)-E32</f>
        <v>0</v>
      </c>
      <c r="F33">
        <f>SUM(F22:F31)-F32</f>
        <v>0</v>
      </c>
    </row>
    <row r="35" spans="1:6">
      <c r="B35" s="76" t="str">
        <f>RAW_DATA_INPUTS!B162</f>
        <v xml:space="preserve">FEMALE SECONDARY Starting Stock figures </v>
      </c>
    </row>
    <row r="37" spans="1:6">
      <c r="B37" s="1183" t="str">
        <f>RAW_DATA_INPUTS!B148</f>
        <v>Age group</v>
      </c>
      <c r="C37" s="1160" t="str">
        <f>C20</f>
        <v>Year</v>
      </c>
      <c r="D37" s="1160"/>
      <c r="E37" s="1160"/>
      <c r="F37" s="1160"/>
    </row>
    <row r="38" spans="1:6">
      <c r="B38" s="1184"/>
      <c r="C38" s="8" t="str">
        <f>C21</f>
        <v>2011/12</v>
      </c>
      <c r="D38" s="8" t="str">
        <f>D21</f>
        <v>2012/13</v>
      </c>
      <c r="E38" s="8" t="str">
        <f>E21</f>
        <v>2013/14</v>
      </c>
      <c r="F38" s="8" t="str">
        <f>F21</f>
        <v>2014/15</v>
      </c>
    </row>
    <row r="39" spans="1:6">
      <c r="B39" s="8" t="str">
        <f>RAW_DATA_INPUTS!B166</f>
        <v>20-24</v>
      </c>
      <c r="C39" s="307">
        <f>RAW_DATA_INPUTS!C166</f>
        <v>7436.009</v>
      </c>
      <c r="D39" s="307">
        <f>RAW_DATA_INPUTS!D166</f>
        <v>7261.9359999999997</v>
      </c>
      <c r="E39" s="307">
        <f>RAW_DATA_INPUTS!E166</f>
        <v>6785.817</v>
      </c>
      <c r="F39" s="307">
        <f>RAW_DATA_INPUTS!F166</f>
        <v>7031.68</v>
      </c>
    </row>
    <row r="40" spans="1:6">
      <c r="B40" s="8" t="str">
        <f>RAW_DATA_INPUTS!B167</f>
        <v>25-29</v>
      </c>
      <c r="C40" s="307">
        <f>RAW_DATA_INPUTS!C167</f>
        <v>25499.097000000002</v>
      </c>
      <c r="D40" s="307">
        <f>RAW_DATA_INPUTS!D167</f>
        <v>25717.121999999999</v>
      </c>
      <c r="E40" s="307">
        <f>RAW_DATA_INPUTS!E167</f>
        <v>25266.185000000001</v>
      </c>
      <c r="F40" s="307">
        <f>RAW_DATA_INPUTS!F167</f>
        <v>24314.041000000001</v>
      </c>
    </row>
    <row r="41" spans="1:6">
      <c r="B41" s="8" t="str">
        <f>RAW_DATA_INPUTS!B168</f>
        <v>30-34</v>
      </c>
      <c r="C41" s="307">
        <f>RAW_DATA_INPUTS!C168</f>
        <v>24676.074000000001</v>
      </c>
      <c r="D41" s="307">
        <f>RAW_DATA_INPUTS!D168</f>
        <v>25438.483</v>
      </c>
      <c r="E41" s="307">
        <f>RAW_DATA_INPUTS!E168</f>
        <v>25433.401000000002</v>
      </c>
      <c r="F41" s="307">
        <f>RAW_DATA_INPUTS!F168</f>
        <v>25085.696</v>
      </c>
    </row>
    <row r="42" spans="1:6">
      <c r="B42" s="8" t="str">
        <f>RAW_DATA_INPUTS!B169</f>
        <v>35-39</v>
      </c>
      <c r="C42" s="307">
        <f>RAW_DATA_INPUTS!C169</f>
        <v>19314.273000000001</v>
      </c>
      <c r="D42" s="307">
        <f>RAW_DATA_INPUTS!D169</f>
        <v>19924.441999999999</v>
      </c>
      <c r="E42" s="307">
        <f>RAW_DATA_INPUTS!E169</f>
        <v>20565.948</v>
      </c>
      <c r="F42" s="307">
        <f>RAW_DATA_INPUTS!F169</f>
        <v>21242.754000000001</v>
      </c>
    </row>
    <row r="43" spans="1:6">
      <c r="B43" s="8" t="str">
        <f>RAW_DATA_INPUTS!B170</f>
        <v>40-44</v>
      </c>
      <c r="C43" s="307">
        <f>RAW_DATA_INPUTS!C170</f>
        <v>15692.370999999999</v>
      </c>
      <c r="D43" s="307">
        <f>RAW_DATA_INPUTS!D170</f>
        <v>16790.264999999999</v>
      </c>
      <c r="E43" s="307">
        <f>RAW_DATA_INPUTS!E170</f>
        <v>17890.313999999998</v>
      </c>
      <c r="F43" s="307">
        <f>RAW_DATA_INPUTS!F170</f>
        <v>18518.737000000001</v>
      </c>
    </row>
    <row r="44" spans="1:6">
      <c r="B44" s="8" t="str">
        <f>RAW_DATA_INPUTS!B171</f>
        <v>45-49</v>
      </c>
      <c r="C44" s="307">
        <f>RAW_DATA_INPUTS!C171</f>
        <v>14060.19</v>
      </c>
      <c r="D44" s="307">
        <f>RAW_DATA_INPUTS!D171</f>
        <v>14073.81</v>
      </c>
      <c r="E44" s="307">
        <f>RAW_DATA_INPUTS!E171</f>
        <v>13867.227999999999</v>
      </c>
      <c r="F44" s="307">
        <f>RAW_DATA_INPUTS!F171</f>
        <v>14219.995000000001</v>
      </c>
    </row>
    <row r="45" spans="1:6">
      <c r="B45" s="8" t="str">
        <f>RAW_DATA_INPUTS!B172</f>
        <v>50-54</v>
      </c>
      <c r="C45" s="307">
        <f>RAW_DATA_INPUTS!C172</f>
        <v>13937.48</v>
      </c>
      <c r="D45" s="307">
        <f>RAW_DATA_INPUTS!D172</f>
        <v>12985.324000000001</v>
      </c>
      <c r="E45" s="307">
        <f>RAW_DATA_INPUTS!E172</f>
        <v>12412.347</v>
      </c>
      <c r="F45" s="307">
        <f>RAW_DATA_INPUTS!F172</f>
        <v>12169.743</v>
      </c>
    </row>
    <row r="46" spans="1:6">
      <c r="B46" s="8" t="str">
        <f>RAW_DATA_INPUTS!B173</f>
        <v>55-59</v>
      </c>
      <c r="C46" s="307">
        <f>RAW_DATA_INPUTS!C173</f>
        <v>10670.638999999999</v>
      </c>
      <c r="D46" s="307">
        <f>RAW_DATA_INPUTS!D173</f>
        <v>10436.875</v>
      </c>
      <c r="E46" s="307">
        <f>RAW_DATA_INPUTS!E173</f>
        <v>9836.0300000000007</v>
      </c>
      <c r="F46" s="307">
        <f>RAW_DATA_INPUTS!F173</f>
        <v>9013.4740000000002</v>
      </c>
    </row>
    <row r="47" spans="1:6">
      <c r="B47" s="8" t="str">
        <f>RAW_DATA_INPUTS!B174</f>
        <v>60-64</v>
      </c>
      <c r="C47" s="307">
        <f>RAW_DATA_INPUTS!C174</f>
        <v>2463.6509999999998</v>
      </c>
      <c r="D47" s="307">
        <f>RAW_DATA_INPUTS!D174</f>
        <v>2439.056</v>
      </c>
      <c r="E47" s="307">
        <f>RAW_DATA_INPUTS!E174</f>
        <v>2418.21</v>
      </c>
      <c r="F47" s="307">
        <f>RAW_DATA_INPUTS!F174</f>
        <v>2420.5250000000001</v>
      </c>
    </row>
    <row r="48" spans="1:6">
      <c r="B48" s="8" t="str">
        <f>RAW_DATA_INPUTS!B175</f>
        <v>65 plus</v>
      </c>
      <c r="C48" s="307">
        <f>RAW_DATA_INPUTS!C175</f>
        <v>208.93100000000001</v>
      </c>
      <c r="D48" s="307">
        <f>RAW_DATA_INPUTS!D175</f>
        <v>285.01900000000001</v>
      </c>
      <c r="E48" s="307">
        <f>RAW_DATA_INPUTS!E175</f>
        <v>327.072</v>
      </c>
      <c r="F48" s="307">
        <f>RAW_DATA_INPUTS!F175</f>
        <v>307.44400000000002</v>
      </c>
    </row>
    <row r="49" spans="1:6">
      <c r="B49" s="8" t="str">
        <f>RAW_DATA_INPUTS!B176</f>
        <v>Total</v>
      </c>
      <c r="C49" s="307">
        <f>RAW_DATA_INPUTS!C176</f>
        <v>133958.71500000003</v>
      </c>
      <c r="D49" s="307">
        <f>RAW_DATA_INPUTS!D176</f>
        <v>135352.33199999999</v>
      </c>
      <c r="E49" s="307">
        <f>RAW_DATA_INPUTS!E176</f>
        <v>134802.552</v>
      </c>
      <c r="F49" s="307">
        <f>RAW_DATA_INPUTS!F176</f>
        <v>134324.08899999998</v>
      </c>
    </row>
    <row r="50" spans="1:6">
      <c r="A50">
        <f>SUM(C50:F50)</f>
        <v>0</v>
      </c>
      <c r="C50">
        <f>SUM(C39:C48)-C49</f>
        <v>0</v>
      </c>
      <c r="D50">
        <f>SUM(D39:D48)-D49</f>
        <v>0</v>
      </c>
      <c r="E50">
        <f>SUM(E39:E48)-E49</f>
        <v>0</v>
      </c>
      <c r="F50">
        <f>SUM(F39:F48)-F49</f>
        <v>0</v>
      </c>
    </row>
    <row r="52" spans="1:6" ht="17.25" customHeight="1">
      <c r="B52" s="184" t="str">
        <f>Calculation_PRIM_wastage_rates!B52</f>
        <v>2. Calculation of wastage rates</v>
      </c>
    </row>
    <row r="54" spans="1:6">
      <c r="B54" s="76" t="s">
        <v>105</v>
      </c>
    </row>
    <row r="56" spans="1:6">
      <c r="B56" s="1183" t="str">
        <f>B37</f>
        <v>Age group</v>
      </c>
      <c r="C56" s="1160" t="str">
        <f>C37</f>
        <v>Year</v>
      </c>
      <c r="D56" s="1160"/>
      <c r="E56" s="1160"/>
      <c r="F56" s="1160"/>
    </row>
    <row r="57" spans="1:6">
      <c r="B57" s="1184"/>
      <c r="C57" s="8" t="str">
        <f>Calculation_PRIM_wastage_rates!C57</f>
        <v>2011/12</v>
      </c>
      <c r="D57" s="8" t="str">
        <f>Calculation_PRIM_wastage_rates!D57</f>
        <v>2012/13</v>
      </c>
      <c r="E57" s="8" t="str">
        <f>Calculation_PRIM_wastage_rates!E57</f>
        <v>2013/14</v>
      </c>
      <c r="F57" s="8" t="str">
        <f>Calculation_PRIM_wastage_rates!F57</f>
        <v>2014/15</v>
      </c>
    </row>
    <row r="58" spans="1:6">
      <c r="B58" s="8" t="str">
        <f t="shared" ref="B58:B68" si="0">B39</f>
        <v>20-24</v>
      </c>
      <c r="C58" s="307">
        <f>RAW_DATA_INPUTS!C149</f>
        <v>321.05023066797236</v>
      </c>
      <c r="D58" s="307">
        <f>RAW_DATA_INPUTS!D149</f>
        <v>304.28882757196914</v>
      </c>
      <c r="E58" s="307">
        <f>RAW_DATA_INPUTS!E149</f>
        <v>386.32170463090353</v>
      </c>
      <c r="F58" s="307">
        <f>RAW_DATA_INPUTS!F149</f>
        <v>409.69400000000002</v>
      </c>
    </row>
    <row r="59" spans="1:6">
      <c r="B59" s="8" t="str">
        <f t="shared" si="0"/>
        <v>25-29</v>
      </c>
      <c r="C59" s="307">
        <f>RAW_DATA_INPUTS!C150</f>
        <v>1007.9901520191529</v>
      </c>
      <c r="D59" s="307">
        <f>RAW_DATA_INPUTS!D150</f>
        <v>1093.7234481026185</v>
      </c>
      <c r="E59" s="307">
        <f>RAW_DATA_INPUTS!E150</f>
        <v>1192.6222712089859</v>
      </c>
      <c r="F59" s="307">
        <f>RAW_DATA_INPUTS!F150</f>
        <v>1336.36</v>
      </c>
    </row>
    <row r="60" spans="1:6">
      <c r="B60" s="8" t="str">
        <f t="shared" si="0"/>
        <v>30-34</v>
      </c>
      <c r="C60" s="307">
        <f>RAW_DATA_INPUTS!C151</f>
        <v>838.32614754479994</v>
      </c>
      <c r="D60" s="307">
        <f>RAW_DATA_INPUTS!D151</f>
        <v>954.24885446498297</v>
      </c>
      <c r="E60" s="307">
        <f>RAW_DATA_INPUTS!E151</f>
        <v>1028.0186273458346</v>
      </c>
      <c r="F60" s="307">
        <f>RAW_DATA_INPUTS!F151</f>
        <v>1110.662</v>
      </c>
    </row>
    <row r="61" spans="1:6">
      <c r="B61" s="8" t="str">
        <f t="shared" si="0"/>
        <v>35-39</v>
      </c>
      <c r="C61" s="307">
        <f>RAW_DATA_INPUTS!C152</f>
        <v>655.53303942762625</v>
      </c>
      <c r="D61" s="307">
        <f>RAW_DATA_INPUTS!D152</f>
        <v>752.40965941390675</v>
      </c>
      <c r="E61" s="307">
        <f>RAW_DATA_INPUTS!E152</f>
        <v>916.44946269878619</v>
      </c>
      <c r="F61" s="307">
        <f>RAW_DATA_INPUTS!F152</f>
        <v>919.23400000000004</v>
      </c>
    </row>
    <row r="62" spans="1:6">
      <c r="B62" s="8" t="str">
        <f t="shared" si="0"/>
        <v>40-44</v>
      </c>
      <c r="C62" s="307">
        <f>RAW_DATA_INPUTS!C153</f>
        <v>633.18046677098664</v>
      </c>
      <c r="D62" s="307">
        <f>RAW_DATA_INPUTS!D153</f>
        <v>747.04471496309725</v>
      </c>
      <c r="E62" s="307">
        <f>RAW_DATA_INPUTS!E153</f>
        <v>891.5273077246801</v>
      </c>
      <c r="F62" s="307">
        <f>RAW_DATA_INPUTS!F153</f>
        <v>920.59</v>
      </c>
    </row>
    <row r="63" spans="1:6">
      <c r="B63" s="8" t="str">
        <f t="shared" si="0"/>
        <v>45-49</v>
      </c>
      <c r="C63" s="307">
        <f>RAW_DATA_INPUTS!C154</f>
        <v>608.46202083010769</v>
      </c>
      <c r="D63" s="307">
        <f>RAW_DATA_INPUTS!D154</f>
        <v>670.33886737548596</v>
      </c>
      <c r="E63" s="307">
        <f>RAW_DATA_INPUTS!E154</f>
        <v>847.45701067005984</v>
      </c>
      <c r="F63" s="307">
        <f>RAW_DATA_INPUTS!F154</f>
        <v>814.78599999999994</v>
      </c>
    </row>
    <row r="64" spans="1:6">
      <c r="B64" s="8" t="str">
        <f t="shared" si="0"/>
        <v>50-54</v>
      </c>
      <c r="C64" s="307">
        <f>RAW_DATA_INPUTS!C155</f>
        <v>492.92786605664111</v>
      </c>
      <c r="D64" s="307">
        <f>RAW_DATA_INPUTS!D155</f>
        <v>614.7307422937929</v>
      </c>
      <c r="E64" s="307">
        <f>RAW_DATA_INPUTS!E155</f>
        <v>699.93400837241677</v>
      </c>
      <c r="F64" s="307">
        <f>RAW_DATA_INPUTS!F155</f>
        <v>751.13699999999994</v>
      </c>
    </row>
    <row r="65" spans="1:7">
      <c r="B65" s="8" t="str">
        <f t="shared" si="0"/>
        <v>55-59</v>
      </c>
      <c r="C65" s="307">
        <f>RAW_DATA_INPUTS!C156</f>
        <v>175.01796707824747</v>
      </c>
      <c r="D65" s="307">
        <f>RAW_DATA_INPUTS!D156</f>
        <v>222.04993962193771</v>
      </c>
      <c r="E65" s="307">
        <f>RAW_DATA_INPUTS!E156</f>
        <v>314.16842740083246</v>
      </c>
      <c r="F65" s="307">
        <f>RAW_DATA_INPUTS!F156</f>
        <v>370.68400000000003</v>
      </c>
    </row>
    <row r="66" spans="1:7">
      <c r="B66" s="8" t="str">
        <f t="shared" si="0"/>
        <v>60-64</v>
      </c>
      <c r="C66" s="307">
        <f>RAW_DATA_INPUTS!C157</f>
        <v>15.414314123493501</v>
      </c>
      <c r="D66" s="307">
        <f>RAW_DATA_INPUTS!D157</f>
        <v>31.939724081899918</v>
      </c>
      <c r="E66" s="307">
        <f>RAW_DATA_INPUTS!E157</f>
        <v>35.061188112868599</v>
      </c>
      <c r="F66" s="307">
        <f>RAW_DATA_INPUTS!F157</f>
        <v>47.604999999999997</v>
      </c>
    </row>
    <row r="67" spans="1:7">
      <c r="B67" s="8" t="str">
        <f t="shared" si="0"/>
        <v>65 plus</v>
      </c>
      <c r="C67" s="307">
        <f>RAW_DATA_INPUTS!C158</f>
        <v>5.3970735332917501</v>
      </c>
      <c r="D67" s="307">
        <f>RAW_DATA_INPUTS!D158</f>
        <v>7.3880538706397889</v>
      </c>
      <c r="E67" s="307">
        <f>RAW_DATA_INPUTS!E158</f>
        <v>5.8041923466106402</v>
      </c>
      <c r="F67" s="307">
        <f>RAW_DATA_INPUTS!F158</f>
        <v>8.641</v>
      </c>
    </row>
    <row r="68" spans="1:7">
      <c r="B68" s="8" t="str">
        <f t="shared" si="0"/>
        <v>Total</v>
      </c>
      <c r="C68" s="307">
        <f>RAW_DATA_INPUTS!C159</f>
        <v>4753.2992780523191</v>
      </c>
      <c r="D68" s="307">
        <f>RAW_DATA_INPUTS!D159</f>
        <v>5398.1628317603308</v>
      </c>
      <c r="E68" s="307">
        <f>RAW_DATA_INPUTS!E159</f>
        <v>6317.3642005119791</v>
      </c>
      <c r="F68" s="307">
        <f>RAW_DATA_INPUTS!F159</f>
        <v>6689.3929999999991</v>
      </c>
    </row>
    <row r="69" spans="1:7">
      <c r="A69">
        <f>SUM(C69:F69)</f>
        <v>0</v>
      </c>
      <c r="C69">
        <f>SUM(C58:C67)-C68</f>
        <v>0</v>
      </c>
      <c r="D69">
        <f>SUM(D58:D67)-D68</f>
        <v>0</v>
      </c>
      <c r="E69">
        <f>SUM(E58:E67)-E68</f>
        <v>0</v>
      </c>
      <c r="F69">
        <f>SUM(F58:F67)-F68</f>
        <v>0</v>
      </c>
    </row>
    <row r="71" spans="1:7">
      <c r="B71" s="76" t="s">
        <v>106</v>
      </c>
    </row>
    <row r="73" spans="1:7">
      <c r="B73" s="1183" t="str">
        <f>B56</f>
        <v>Age group</v>
      </c>
      <c r="C73" s="1160" t="str">
        <f>C56</f>
        <v>Year</v>
      </c>
      <c r="D73" s="1160"/>
      <c r="E73" s="1160"/>
      <c r="F73" s="1160"/>
    </row>
    <row r="74" spans="1:7">
      <c r="B74" s="1184"/>
      <c r="C74" s="8" t="str">
        <f>C57</f>
        <v>2011/12</v>
      </c>
      <c r="D74" s="8" t="str">
        <f>D57</f>
        <v>2012/13</v>
      </c>
      <c r="E74" s="8" t="str">
        <f>E57</f>
        <v>2013/14</v>
      </c>
      <c r="F74" s="8" t="str">
        <f>F57</f>
        <v>2014/15</v>
      </c>
    </row>
    <row r="75" spans="1:7">
      <c r="B75" s="8" t="str">
        <f t="shared" ref="B75:B85" si="1">B58</f>
        <v>20-24</v>
      </c>
      <c r="C75" s="307">
        <f>RAW_DATA_INPUTS!C183</f>
        <v>703.83296583139224</v>
      </c>
      <c r="D75" s="307">
        <f>RAW_DATA_INPUTS!D183</f>
        <v>716.31552772520888</v>
      </c>
      <c r="E75" s="307">
        <f>RAW_DATA_INPUTS!E183</f>
        <v>741.6728074149969</v>
      </c>
      <c r="F75" s="307">
        <f>RAW_DATA_INPUTS!F183</f>
        <v>892.77700000000004</v>
      </c>
      <c r="G75" s="5"/>
    </row>
    <row r="76" spans="1:7">
      <c r="B76" s="8" t="str">
        <f t="shared" si="1"/>
        <v>25-29</v>
      </c>
      <c r="C76" s="307">
        <f>RAW_DATA_INPUTS!C184</f>
        <v>2199.3409691506358</v>
      </c>
      <c r="D76" s="307">
        <f>RAW_DATA_INPUTS!D184</f>
        <v>2362.9624872424242</v>
      </c>
      <c r="E76" s="307">
        <f>RAW_DATA_INPUTS!E184</f>
        <v>2465.8752674012221</v>
      </c>
      <c r="F76" s="307">
        <f>RAW_DATA_INPUTS!F184</f>
        <v>2527.451</v>
      </c>
      <c r="G76" s="5"/>
    </row>
    <row r="77" spans="1:7">
      <c r="B77" s="8" t="str">
        <f t="shared" si="1"/>
        <v>30-34</v>
      </c>
      <c r="C77" s="307">
        <f>RAW_DATA_INPUTS!C185</f>
        <v>1922.8237933877367</v>
      </c>
      <c r="D77" s="307">
        <f>RAW_DATA_INPUTS!D185</f>
        <v>2151.1090630617505</v>
      </c>
      <c r="E77" s="307">
        <f>RAW_DATA_INPUTS!E185</f>
        <v>2217.5248302501286</v>
      </c>
      <c r="F77" s="307">
        <f>RAW_DATA_INPUTS!F185</f>
        <v>2473.8119999999999</v>
      </c>
      <c r="G77" s="5"/>
    </row>
    <row r="78" spans="1:7">
      <c r="B78" s="8" t="str">
        <f t="shared" si="1"/>
        <v>35-39</v>
      </c>
      <c r="C78" s="307">
        <f>RAW_DATA_INPUTS!C186</f>
        <v>1359.4836970573695</v>
      </c>
      <c r="D78" s="307">
        <f>RAW_DATA_INPUTS!D186</f>
        <v>1471.8978308775158</v>
      </c>
      <c r="E78" s="307">
        <f>RAW_DATA_INPUTS!E186</f>
        <v>1669.9734557552224</v>
      </c>
      <c r="F78" s="307">
        <f>RAW_DATA_INPUTS!F186</f>
        <v>1781.8869999999999</v>
      </c>
      <c r="G78" s="5"/>
    </row>
    <row r="79" spans="1:7">
      <c r="B79" s="8" t="str">
        <f t="shared" si="1"/>
        <v>40-44</v>
      </c>
      <c r="C79" s="307">
        <f>RAW_DATA_INPUTS!C187</f>
        <v>1041.5707456576533</v>
      </c>
      <c r="D79" s="307">
        <f>RAW_DATA_INPUTS!D187</f>
        <v>1193.2774641034214</v>
      </c>
      <c r="E79" s="307">
        <f>RAW_DATA_INPUTS!E187</f>
        <v>1325.0987522792677</v>
      </c>
      <c r="F79" s="307">
        <f>RAW_DATA_INPUTS!F187</f>
        <v>1527.3489999999999</v>
      </c>
      <c r="G79" s="5"/>
    </row>
    <row r="80" spans="1:7">
      <c r="B80" s="8" t="str">
        <f t="shared" si="1"/>
        <v>45-49</v>
      </c>
      <c r="C80" s="307">
        <f>RAW_DATA_INPUTS!C188</f>
        <v>973.83557757033668</v>
      </c>
      <c r="D80" s="307">
        <f>RAW_DATA_INPUTS!D188</f>
        <v>1040.615739995585</v>
      </c>
      <c r="E80" s="307">
        <f>RAW_DATA_INPUTS!E188</f>
        <v>1133.3595535268371</v>
      </c>
      <c r="F80" s="307">
        <f>RAW_DATA_INPUTS!F188</f>
        <v>1279.761</v>
      </c>
      <c r="G80" s="5"/>
    </row>
    <row r="81" spans="1:7">
      <c r="B81" s="8" t="str">
        <f t="shared" si="1"/>
        <v>50-54</v>
      </c>
      <c r="C81" s="307">
        <f>RAW_DATA_INPUTS!C189</f>
        <v>790.81736396199915</v>
      </c>
      <c r="D81" s="307">
        <f>RAW_DATA_INPUTS!D189</f>
        <v>948.53807778979399</v>
      </c>
      <c r="E81" s="307">
        <f>RAW_DATA_INPUTS!E189</f>
        <v>964.80348056563003</v>
      </c>
      <c r="F81" s="307">
        <f>RAW_DATA_INPUTS!F189</f>
        <v>1206.1669999999999</v>
      </c>
      <c r="G81" s="5"/>
    </row>
    <row r="82" spans="1:7">
      <c r="B82" s="8" t="str">
        <f t="shared" si="1"/>
        <v>55-59</v>
      </c>
      <c r="C82" s="307">
        <f>RAW_DATA_INPUTS!C190</f>
        <v>214.32752697624963</v>
      </c>
      <c r="D82" s="307">
        <f>RAW_DATA_INPUTS!D190</f>
        <v>361.82299663192845</v>
      </c>
      <c r="E82" s="307">
        <f>RAW_DATA_INPUTS!E190</f>
        <v>511.75457635715401</v>
      </c>
      <c r="F82" s="307">
        <f>RAW_DATA_INPUTS!F190</f>
        <v>601.91</v>
      </c>
      <c r="G82" s="5"/>
    </row>
    <row r="83" spans="1:7">
      <c r="B83" s="8" t="str">
        <f t="shared" si="1"/>
        <v>60-64</v>
      </c>
      <c r="C83" s="307">
        <f>RAW_DATA_INPUTS!C191</f>
        <v>37.142478710778931</v>
      </c>
      <c r="D83" s="307">
        <f>RAW_DATA_INPUTS!D191</f>
        <v>33.155234421959797</v>
      </c>
      <c r="E83" s="307">
        <f>RAW_DATA_INPUTS!E191</f>
        <v>61.024414776198583</v>
      </c>
      <c r="F83" s="307">
        <f>RAW_DATA_INPUTS!F191</f>
        <v>63.764000000000003</v>
      </c>
      <c r="G83" s="5"/>
    </row>
    <row r="84" spans="1:7">
      <c r="B84" s="8" t="str">
        <f t="shared" si="1"/>
        <v>65 plus</v>
      </c>
      <c r="C84" s="307">
        <f>RAW_DATA_INPUTS!C192</f>
        <v>6.8413264096340614</v>
      </c>
      <c r="D84" s="307">
        <f>RAW_DATA_INPUTS!D192</f>
        <v>5.1647238205799502</v>
      </c>
      <c r="E84" s="307">
        <f>RAW_DATA_INPUTS!E192</f>
        <v>14.913581263552176</v>
      </c>
      <c r="F84" s="307">
        <f>RAW_DATA_INPUTS!F192</f>
        <v>10.525</v>
      </c>
      <c r="G84" s="5"/>
    </row>
    <row r="85" spans="1:7">
      <c r="B85" s="8" t="str">
        <f t="shared" si="1"/>
        <v>Total</v>
      </c>
      <c r="C85" s="307">
        <f>RAW_DATA_INPUTS!C193</f>
        <v>9250.0164447137868</v>
      </c>
      <c r="D85" s="307">
        <f>RAW_DATA_INPUTS!D193</f>
        <v>10284.859145670169</v>
      </c>
      <c r="E85" s="307">
        <f>RAW_DATA_INPUTS!E193</f>
        <v>11106.000719590211</v>
      </c>
      <c r="F85" s="307">
        <f>RAW_DATA_INPUTS!F193</f>
        <v>12365.402999999998</v>
      </c>
      <c r="G85" s="5"/>
    </row>
    <row r="86" spans="1:7">
      <c r="A86">
        <f>SUM(C86:F86)</f>
        <v>0</v>
      </c>
      <c r="C86">
        <f>SUM(C75:C84)-C85</f>
        <v>0</v>
      </c>
      <c r="D86">
        <f>SUM(D75:D84)-D85</f>
        <v>0</v>
      </c>
      <c r="E86">
        <f>SUM(E75:E84)-E85</f>
        <v>0</v>
      </c>
      <c r="F86">
        <f>SUM(F75:F84)-F85</f>
        <v>0</v>
      </c>
    </row>
    <row r="88" spans="1:7">
      <c r="B88" s="76" t="s">
        <v>107</v>
      </c>
    </row>
    <row r="90" spans="1:7">
      <c r="B90" s="1140" t="str">
        <f>B73</f>
        <v>Age group</v>
      </c>
      <c r="C90" s="1160" t="str">
        <f>C73</f>
        <v>Year</v>
      </c>
      <c r="D90" s="1160"/>
      <c r="E90" s="1160"/>
      <c r="F90" s="1160"/>
    </row>
    <row r="91" spans="1:7">
      <c r="B91" s="1140"/>
      <c r="C91" s="8" t="str">
        <f>C74</f>
        <v>2011/12</v>
      </c>
      <c r="D91" s="8" t="str">
        <f>D74</f>
        <v>2012/13</v>
      </c>
      <c r="E91" s="8" t="str">
        <f>E74</f>
        <v>2013/14</v>
      </c>
      <c r="F91" s="8" t="str">
        <f>F74</f>
        <v>2014/15</v>
      </c>
    </row>
    <row r="92" spans="1:7">
      <c r="B92" s="8" t="str">
        <f t="shared" ref="B92:B102" si="2">B75</f>
        <v>20-24</v>
      </c>
      <c r="C92" s="164">
        <f t="shared" ref="C92:F102" si="3">C58/C22</f>
        <v>0.10538489360678754</v>
      </c>
      <c r="D92" s="164">
        <f t="shared" si="3"/>
        <v>0.10686490051751101</v>
      </c>
      <c r="E92" s="164">
        <f t="shared" si="3"/>
        <v>0.13557706845394096</v>
      </c>
      <c r="F92" s="164">
        <f t="shared" si="3"/>
        <v>0.13882393363732504</v>
      </c>
      <c r="G92" s="5"/>
    </row>
    <row r="93" spans="1:7">
      <c r="B93" s="8" t="str">
        <f t="shared" si="2"/>
        <v>25-29</v>
      </c>
      <c r="C93" s="164">
        <f t="shared" si="3"/>
        <v>7.9408100731038503E-2</v>
      </c>
      <c r="D93" s="164">
        <f t="shared" si="3"/>
        <v>8.4352564418975345E-2</v>
      </c>
      <c r="E93" s="164">
        <f t="shared" si="3"/>
        <v>9.5188905360719861E-2</v>
      </c>
      <c r="F93" s="164">
        <f t="shared" si="3"/>
        <v>0.11229446971836554</v>
      </c>
      <c r="G93" s="5"/>
    </row>
    <row r="94" spans="1:7">
      <c r="B94" s="8" t="str">
        <f t="shared" si="2"/>
        <v>30-34</v>
      </c>
      <c r="C94" s="164">
        <f t="shared" si="3"/>
        <v>5.7071785703306628E-2</v>
      </c>
      <c r="D94" s="164">
        <f t="shared" si="3"/>
        <v>6.2920774619458775E-2</v>
      </c>
      <c r="E94" s="164">
        <f t="shared" si="3"/>
        <v>6.7912424904345278E-2</v>
      </c>
      <c r="F94" s="164">
        <f t="shared" si="3"/>
        <v>7.4090261930411211E-2</v>
      </c>
      <c r="G94" s="5"/>
    </row>
    <row r="95" spans="1:7">
      <c r="B95" s="8" t="str">
        <f t="shared" si="2"/>
        <v>35-39</v>
      </c>
      <c r="C95" s="164">
        <f t="shared" si="3"/>
        <v>4.9543586328021735E-2</v>
      </c>
      <c r="D95" s="164">
        <f t="shared" si="3"/>
        <v>5.8139234524889533E-2</v>
      </c>
      <c r="E95" s="164">
        <f t="shared" si="3"/>
        <v>7.1000918119905596E-2</v>
      </c>
      <c r="F95" s="164">
        <f t="shared" si="3"/>
        <v>7.030404764100863E-2</v>
      </c>
      <c r="G95" s="5"/>
    </row>
    <row r="96" spans="1:7">
      <c r="B96" s="8" t="str">
        <f t="shared" si="2"/>
        <v>40-44</v>
      </c>
      <c r="C96" s="164">
        <f t="shared" si="3"/>
        <v>5.3271957083873334E-2</v>
      </c>
      <c r="D96" s="164">
        <f t="shared" si="3"/>
        <v>6.0159513425084167E-2</v>
      </c>
      <c r="E96" s="164">
        <f t="shared" si="3"/>
        <v>7.144084500389207E-2</v>
      </c>
      <c r="F96" s="164">
        <f t="shared" si="3"/>
        <v>7.5653910908375352E-2</v>
      </c>
      <c r="G96" s="5"/>
    </row>
    <row r="97" spans="2:7">
      <c r="B97" s="8" t="str">
        <f t="shared" si="2"/>
        <v>45-49</v>
      </c>
      <c r="C97" s="164">
        <f t="shared" si="3"/>
        <v>6.2238546838182425E-2</v>
      </c>
      <c r="D97" s="164">
        <f t="shared" si="3"/>
        <v>6.9207343355632223E-2</v>
      </c>
      <c r="E97" s="164">
        <f t="shared" si="3"/>
        <v>8.7647408770197402E-2</v>
      </c>
      <c r="F97" s="164">
        <f t="shared" si="3"/>
        <v>8.3692887841488608E-2</v>
      </c>
      <c r="G97" s="5"/>
    </row>
    <row r="98" spans="2:7">
      <c r="B98" s="8" t="str">
        <f t="shared" si="2"/>
        <v>50-54</v>
      </c>
      <c r="C98" s="164">
        <f t="shared" si="3"/>
        <v>5.2012757341930206E-2</v>
      </c>
      <c r="D98" s="164">
        <f t="shared" si="3"/>
        <v>6.8606427532021189E-2</v>
      </c>
      <c r="E98" s="164">
        <f t="shared" si="3"/>
        <v>8.0448227187492019E-2</v>
      </c>
      <c r="F98" s="164">
        <f t="shared" si="3"/>
        <v>9.0243241070942642E-2</v>
      </c>
      <c r="G98" s="5"/>
    </row>
    <row r="99" spans="2:7">
      <c r="B99" s="8" t="str">
        <f t="shared" si="2"/>
        <v>55-59</v>
      </c>
      <c r="C99" s="164">
        <f t="shared" si="3"/>
        <v>2.2278055959054268E-2</v>
      </c>
      <c r="D99" s="164">
        <f t="shared" si="3"/>
        <v>3.1310046194765566E-2</v>
      </c>
      <c r="E99" s="164">
        <f t="shared" si="3"/>
        <v>4.9593977941064127E-2</v>
      </c>
      <c r="F99" s="164">
        <f t="shared" si="3"/>
        <v>6.2889044143669415E-2</v>
      </c>
      <c r="G99" s="5"/>
    </row>
    <row r="100" spans="2:7">
      <c r="B100" s="8" t="str">
        <f t="shared" si="2"/>
        <v>60-64</v>
      </c>
      <c r="C100" s="164">
        <f t="shared" si="3"/>
        <v>6.6309048430315612E-3</v>
      </c>
      <c r="D100" s="164">
        <f t="shared" si="3"/>
        <v>1.4649186597070927E-2</v>
      </c>
      <c r="E100" s="164">
        <f t="shared" si="3"/>
        <v>1.7160132535198176E-2</v>
      </c>
      <c r="F100" s="164">
        <f t="shared" si="3"/>
        <v>2.4648191784212212E-2</v>
      </c>
      <c r="G100" s="5"/>
    </row>
    <row r="101" spans="2:7">
      <c r="B101" s="8" t="str">
        <f t="shared" si="2"/>
        <v>65 plus</v>
      </c>
      <c r="C101" s="164">
        <f t="shared" si="3"/>
        <v>2.2085301764065531E-2</v>
      </c>
      <c r="D101" s="164">
        <f t="shared" si="3"/>
        <v>2.2077287485663281E-2</v>
      </c>
      <c r="E101" s="164">
        <f t="shared" si="3"/>
        <v>1.5621396476987574E-2</v>
      </c>
      <c r="F101" s="164">
        <f t="shared" si="3"/>
        <v>2.3407384933781562E-2</v>
      </c>
      <c r="G101" s="5"/>
    </row>
    <row r="102" spans="2:7">
      <c r="B102" s="8" t="str">
        <f t="shared" si="2"/>
        <v>Total</v>
      </c>
      <c r="C102" s="164">
        <f t="shared" si="3"/>
        <v>5.5773606761437264E-2</v>
      </c>
      <c r="D102" s="164">
        <f t="shared" si="3"/>
        <v>6.3814287533142916E-2</v>
      </c>
      <c r="E102" s="164">
        <f t="shared" si="3"/>
        <v>7.6093022838442895E-2</v>
      </c>
      <c r="F102" s="164">
        <f t="shared" si="3"/>
        <v>8.2240314875473161E-2</v>
      </c>
      <c r="G102" s="5"/>
    </row>
    <row r="103" spans="2:7">
      <c r="B103" s="5"/>
      <c r="C103" s="5"/>
      <c r="D103" s="5"/>
      <c r="E103" s="5"/>
      <c r="F103" s="5"/>
      <c r="G103" s="5"/>
    </row>
    <row r="104" spans="2:7">
      <c r="B104" s="76" t="s">
        <v>108</v>
      </c>
      <c r="C104" s="5"/>
      <c r="D104" s="5"/>
      <c r="E104" s="5"/>
      <c r="F104" s="5"/>
      <c r="G104" s="5"/>
    </row>
    <row r="105" spans="2:7">
      <c r="B105" s="5"/>
      <c r="C105" s="5"/>
      <c r="D105" s="5"/>
      <c r="E105" s="5"/>
      <c r="F105" s="5"/>
      <c r="G105" s="5"/>
    </row>
    <row r="106" spans="2:7">
      <c r="B106" s="1140" t="str">
        <f>B90</f>
        <v>Age group</v>
      </c>
      <c r="C106" s="1160" t="str">
        <f>C90</f>
        <v>Year</v>
      </c>
      <c r="D106" s="1160"/>
      <c r="E106" s="1160"/>
      <c r="F106" s="1160"/>
      <c r="G106" s="5"/>
    </row>
    <row r="107" spans="2:7">
      <c r="B107" s="1140"/>
      <c r="C107" s="8" t="str">
        <f>C91</f>
        <v>2011/12</v>
      </c>
      <c r="D107" s="8" t="str">
        <f>D91</f>
        <v>2012/13</v>
      </c>
      <c r="E107" s="8" t="str">
        <f>E91</f>
        <v>2013/14</v>
      </c>
      <c r="F107" s="8" t="str">
        <f>F91</f>
        <v>2014/15</v>
      </c>
      <c r="G107" s="5"/>
    </row>
    <row r="108" spans="2:7">
      <c r="B108" s="8" t="str">
        <f>B92</f>
        <v>20-24</v>
      </c>
      <c r="C108" s="164">
        <f t="shared" ref="C108:F118" si="4">C75/C39</f>
        <v>9.4651978747119891E-2</v>
      </c>
      <c r="D108" s="164">
        <f t="shared" si="4"/>
        <v>9.8639746718396981E-2</v>
      </c>
      <c r="E108" s="164">
        <f t="shared" si="4"/>
        <v>0.10929749614747891</v>
      </c>
      <c r="F108" s="164">
        <f t="shared" si="4"/>
        <v>0.12696496427596249</v>
      </c>
      <c r="G108" s="5"/>
    </row>
    <row r="109" spans="2:7">
      <c r="B109" s="8" t="str">
        <f t="shared" ref="B109:B118" si="5">B93</f>
        <v>25-29</v>
      </c>
      <c r="C109" s="164">
        <f t="shared" si="4"/>
        <v>8.6251719782494088E-2</v>
      </c>
      <c r="D109" s="164">
        <f t="shared" si="4"/>
        <v>9.1882850936524874E-2</v>
      </c>
      <c r="E109" s="164">
        <f t="shared" si="4"/>
        <v>9.7595868446353179E-2</v>
      </c>
      <c r="F109" s="164">
        <f t="shared" si="4"/>
        <v>0.10395026478733008</v>
      </c>
      <c r="G109" s="5"/>
    </row>
    <row r="110" spans="2:7">
      <c r="B110" s="8" t="str">
        <f t="shared" si="5"/>
        <v>30-34</v>
      </c>
      <c r="C110" s="164">
        <f t="shared" si="4"/>
        <v>7.7922597954104722E-2</v>
      </c>
      <c r="D110" s="164">
        <f t="shared" si="4"/>
        <v>8.4561216290364116E-2</v>
      </c>
      <c r="E110" s="164">
        <f t="shared" si="4"/>
        <v>8.7189473018183E-2</v>
      </c>
      <c r="F110" s="164">
        <f t="shared" si="4"/>
        <v>9.8614445459276875E-2</v>
      </c>
      <c r="G110" s="5"/>
    </row>
    <row r="111" spans="2:7">
      <c r="B111" s="8" t="str">
        <f t="shared" si="5"/>
        <v>35-39</v>
      </c>
      <c r="C111" s="164">
        <f t="shared" si="4"/>
        <v>7.0387515857178229E-2</v>
      </c>
      <c r="D111" s="164">
        <f t="shared" si="4"/>
        <v>7.3873980053118474E-2</v>
      </c>
      <c r="E111" s="164">
        <f t="shared" si="4"/>
        <v>8.12008984830275E-2</v>
      </c>
      <c r="F111" s="164">
        <f t="shared" si="4"/>
        <v>8.3882108694569441E-2</v>
      </c>
      <c r="G111" s="5"/>
    </row>
    <row r="112" spans="2:7">
      <c r="B112" s="8" t="str">
        <f t="shared" si="5"/>
        <v>40-44</v>
      </c>
      <c r="C112" s="164">
        <f t="shared" si="4"/>
        <v>6.6374338566023788E-2</v>
      </c>
      <c r="D112" s="164">
        <f t="shared" si="4"/>
        <v>7.1069602778956825E-2</v>
      </c>
      <c r="E112" s="164">
        <f t="shared" si="4"/>
        <v>7.406794270236218E-2</v>
      </c>
      <c r="F112" s="164">
        <f t="shared" si="4"/>
        <v>8.2475872949650933E-2</v>
      </c>
      <c r="G112" s="5"/>
    </row>
    <row r="113" spans="2:7">
      <c r="B113" s="8" t="str">
        <f t="shared" si="5"/>
        <v>45-49</v>
      </c>
      <c r="C113" s="164">
        <f t="shared" si="4"/>
        <v>6.9261907383210086E-2</v>
      </c>
      <c r="D113" s="164">
        <f t="shared" si="4"/>
        <v>7.3939874134693093E-2</v>
      </c>
      <c r="E113" s="164">
        <f t="shared" si="4"/>
        <v>8.1729351643085202E-2</v>
      </c>
      <c r="F113" s="164">
        <f t="shared" si="4"/>
        <v>8.999728902858263E-2</v>
      </c>
      <c r="G113" s="5"/>
    </row>
    <row r="114" spans="2:7">
      <c r="B114" s="8" t="str">
        <f t="shared" si="5"/>
        <v>50-54</v>
      </c>
      <c r="C114" s="164">
        <f t="shared" si="4"/>
        <v>5.6740340718838642E-2</v>
      </c>
      <c r="D114" s="164">
        <f t="shared" si="4"/>
        <v>7.3046931889400216E-2</v>
      </c>
      <c r="E114" s="164">
        <f t="shared" si="4"/>
        <v>7.7729335198704161E-2</v>
      </c>
      <c r="F114" s="164">
        <f t="shared" si="4"/>
        <v>9.9111953309120815E-2</v>
      </c>
      <c r="G114" s="5"/>
    </row>
    <row r="115" spans="2:7">
      <c r="B115" s="8" t="str">
        <f t="shared" si="5"/>
        <v>55-59</v>
      </c>
      <c r="C115" s="164">
        <f t="shared" si="4"/>
        <v>2.0085725604272589E-2</v>
      </c>
      <c r="D115" s="164">
        <f t="shared" si="4"/>
        <v>3.4667752237324719E-2</v>
      </c>
      <c r="E115" s="164">
        <f t="shared" si="4"/>
        <v>5.2028570099639182E-2</v>
      </c>
      <c r="F115" s="164">
        <f t="shared" si="4"/>
        <v>6.6778913435596526E-2</v>
      </c>
      <c r="G115" s="5"/>
    </row>
    <row r="116" spans="2:7">
      <c r="B116" s="8" t="str">
        <f t="shared" si="5"/>
        <v>60-64</v>
      </c>
      <c r="C116" s="164">
        <f t="shared" si="4"/>
        <v>1.5076193304481412E-2</v>
      </c>
      <c r="D116" s="164">
        <f t="shared" si="4"/>
        <v>1.3593469941633072E-2</v>
      </c>
      <c r="E116" s="164">
        <f t="shared" si="4"/>
        <v>2.5235366149423989E-2</v>
      </c>
      <c r="F116" s="164">
        <f t="shared" si="4"/>
        <v>2.6343045413701572E-2</v>
      </c>
      <c r="G116" s="5"/>
    </row>
    <row r="117" spans="2:7">
      <c r="B117" s="8" t="str">
        <f t="shared" si="5"/>
        <v>65 plus</v>
      </c>
      <c r="C117" s="164">
        <f t="shared" si="4"/>
        <v>3.2744429546759747E-2</v>
      </c>
      <c r="D117" s="164">
        <f t="shared" si="4"/>
        <v>1.8120629924952197E-2</v>
      </c>
      <c r="E117" s="164">
        <f t="shared" si="4"/>
        <v>4.559724239174303E-2</v>
      </c>
      <c r="F117" s="164">
        <f t="shared" si="4"/>
        <v>3.4233876738527992E-2</v>
      </c>
      <c r="G117" s="5"/>
    </row>
    <row r="118" spans="2:7">
      <c r="B118" s="8" t="str">
        <f t="shared" si="5"/>
        <v>Total</v>
      </c>
      <c r="C118" s="164">
        <f t="shared" si="4"/>
        <v>6.9051247951384009E-2</v>
      </c>
      <c r="D118" s="164">
        <f t="shared" si="4"/>
        <v>7.598582893769551E-2</v>
      </c>
      <c r="E118" s="164">
        <f t="shared" si="4"/>
        <v>8.2387169640454658E-2</v>
      </c>
      <c r="F118" s="164">
        <f t="shared" si="4"/>
        <v>9.2056481395529882E-2</v>
      </c>
      <c r="G118" s="5"/>
    </row>
    <row r="119" spans="2:7">
      <c r="B119" s="5"/>
      <c r="C119" s="5"/>
      <c r="D119" s="5"/>
      <c r="E119" s="5"/>
      <c r="F119" s="5"/>
      <c r="G119" s="5"/>
    </row>
    <row r="120" spans="2:7">
      <c r="B120" s="76" t="s">
        <v>109</v>
      </c>
      <c r="C120" s="5"/>
      <c r="D120" s="5"/>
      <c r="E120" s="5"/>
      <c r="F120" s="5"/>
      <c r="G120" s="5"/>
    </row>
    <row r="121" spans="2:7">
      <c r="B121" s="5"/>
      <c r="C121" s="5"/>
      <c r="D121" s="5"/>
      <c r="E121" s="5"/>
      <c r="F121" s="5"/>
      <c r="G121" s="5"/>
    </row>
    <row r="122" spans="2:7">
      <c r="B122" s="1140" t="str">
        <f>B106</f>
        <v>Age group</v>
      </c>
      <c r="C122" s="1183" t="str">
        <f>C107</f>
        <v>2011/12</v>
      </c>
      <c r="D122" s="1183" t="str">
        <f>D107</f>
        <v>2012/13</v>
      </c>
      <c r="E122" s="1183" t="str">
        <f>E107</f>
        <v>2013/14</v>
      </c>
      <c r="F122" s="1183" t="str">
        <f>F107</f>
        <v>2014/15</v>
      </c>
      <c r="G122" s="1209" t="s">
        <v>8</v>
      </c>
    </row>
    <row r="123" spans="2:7">
      <c r="B123" s="1140"/>
      <c r="C123" s="1184"/>
      <c r="D123" s="1184"/>
      <c r="E123" s="1184"/>
      <c r="F123" s="1184"/>
      <c r="G123" s="1210"/>
    </row>
    <row r="124" spans="2:7">
      <c r="B124" s="141" t="str">
        <f>B108</f>
        <v>20-24</v>
      </c>
      <c r="C124" s="954">
        <f>C92*H$14</f>
        <v>1.0538489360678756E-2</v>
      </c>
      <c r="D124" s="954">
        <f t="shared" ref="D124:F134" si="6">D92*I$14</f>
        <v>2.1372980103502203E-2</v>
      </c>
      <c r="E124" s="954">
        <f t="shared" si="6"/>
        <v>4.0673120536182286E-2</v>
      </c>
      <c r="F124" s="954">
        <f t="shared" si="6"/>
        <v>5.5529573454930016E-2</v>
      </c>
      <c r="G124" s="952">
        <f>SUM(C124:F124)</f>
        <v>0.12811416345529325</v>
      </c>
    </row>
    <row r="125" spans="2:7">
      <c r="B125" s="141" t="str">
        <f t="shared" ref="B125:B132" si="7">B109</f>
        <v>25-29</v>
      </c>
      <c r="C125" s="954">
        <f t="shared" ref="C125:C134" si="8">C93*H$14</f>
        <v>7.9408100731038506E-3</v>
      </c>
      <c r="D125" s="954">
        <f t="shared" si="6"/>
        <v>1.6870512883795069E-2</v>
      </c>
      <c r="E125" s="954">
        <f t="shared" si="6"/>
        <v>2.8556671608215956E-2</v>
      </c>
      <c r="F125" s="954">
        <f t="shared" si="6"/>
        <v>4.4917787887346218E-2</v>
      </c>
      <c r="G125" s="952">
        <f t="shared" ref="G125:G134" si="9">SUM(C125:F125)</f>
        <v>9.8285782452461085E-2</v>
      </c>
    </row>
    <row r="126" spans="2:7">
      <c r="B126" s="141" t="str">
        <f t="shared" si="7"/>
        <v>30-34</v>
      </c>
      <c r="C126" s="954">
        <f t="shared" si="8"/>
        <v>5.7071785703306632E-3</v>
      </c>
      <c r="D126" s="954">
        <f t="shared" si="6"/>
        <v>1.2584154923891755E-2</v>
      </c>
      <c r="E126" s="954">
        <f t="shared" si="6"/>
        <v>2.0373727471303584E-2</v>
      </c>
      <c r="F126" s="954">
        <f t="shared" si="6"/>
        <v>2.9636104772164485E-2</v>
      </c>
      <c r="G126" s="952">
        <f t="shared" si="9"/>
        <v>6.8301165737690489E-2</v>
      </c>
    </row>
    <row r="127" spans="2:7">
      <c r="B127" s="141" t="str">
        <f t="shared" si="7"/>
        <v>35-39</v>
      </c>
      <c r="C127" s="954">
        <f t="shared" si="8"/>
        <v>4.9543586328021742E-3</v>
      </c>
      <c r="D127" s="954">
        <f t="shared" si="6"/>
        <v>1.1627846904977908E-2</v>
      </c>
      <c r="E127" s="954">
        <f t="shared" si="6"/>
        <v>2.1300275435971679E-2</v>
      </c>
      <c r="F127" s="954">
        <f t="shared" si="6"/>
        <v>2.8121619056403452E-2</v>
      </c>
      <c r="G127" s="952">
        <f t="shared" si="9"/>
        <v>6.6004100030155208E-2</v>
      </c>
    </row>
    <row r="128" spans="2:7">
      <c r="B128" s="141" t="str">
        <f t="shared" si="7"/>
        <v>40-44</v>
      </c>
      <c r="C128" s="954">
        <f t="shared" si="8"/>
        <v>5.3271957083873339E-3</v>
      </c>
      <c r="D128" s="954">
        <f t="shared" si="6"/>
        <v>1.2031902685016834E-2</v>
      </c>
      <c r="E128" s="954">
        <f t="shared" si="6"/>
        <v>2.143225350116762E-2</v>
      </c>
      <c r="F128" s="954">
        <f t="shared" si="6"/>
        <v>3.0261564363350143E-2</v>
      </c>
      <c r="G128" s="952">
        <f t="shared" si="9"/>
        <v>6.9052916257921926E-2</v>
      </c>
    </row>
    <row r="129" spans="2:7">
      <c r="B129" s="141" t="str">
        <f t="shared" si="7"/>
        <v>45-49</v>
      </c>
      <c r="C129" s="954">
        <f t="shared" si="8"/>
        <v>6.2238546838182425E-3</v>
      </c>
      <c r="D129" s="954">
        <f t="shared" si="6"/>
        <v>1.3841468671126445E-2</v>
      </c>
      <c r="E129" s="954">
        <f t="shared" si="6"/>
        <v>2.6294222631059221E-2</v>
      </c>
      <c r="F129" s="954">
        <f t="shared" si="6"/>
        <v>3.3477155136595445E-2</v>
      </c>
      <c r="G129" s="952">
        <f t="shared" si="9"/>
        <v>7.9836701122599357E-2</v>
      </c>
    </row>
    <row r="130" spans="2:7">
      <c r="B130" s="141" t="str">
        <f t="shared" si="7"/>
        <v>50-54</v>
      </c>
      <c r="C130" s="954">
        <f t="shared" si="8"/>
        <v>5.2012757341930206E-3</v>
      </c>
      <c r="D130" s="954">
        <f t="shared" si="6"/>
        <v>1.3721285506404238E-2</v>
      </c>
      <c r="E130" s="954">
        <f t="shared" si="6"/>
        <v>2.4134468156247604E-2</v>
      </c>
      <c r="F130" s="954">
        <f t="shared" si="6"/>
        <v>3.6097296428377057E-2</v>
      </c>
      <c r="G130" s="952">
        <f t="shared" si="9"/>
        <v>7.9154325825221916E-2</v>
      </c>
    </row>
    <row r="131" spans="2:7">
      <c r="B131" s="141" t="str">
        <f t="shared" si="7"/>
        <v>55-59</v>
      </c>
      <c r="C131" s="954">
        <f t="shared" si="8"/>
        <v>2.2278055959054268E-3</v>
      </c>
      <c r="D131" s="954">
        <f t="shared" si="6"/>
        <v>6.2620092389531132E-3</v>
      </c>
      <c r="E131" s="954">
        <f t="shared" si="6"/>
        <v>1.4878193382319237E-2</v>
      </c>
      <c r="F131" s="954">
        <f t="shared" si="6"/>
        <v>2.5155617657467766E-2</v>
      </c>
      <c r="G131" s="952">
        <f t="shared" si="9"/>
        <v>4.8523625874645544E-2</v>
      </c>
    </row>
    <row r="132" spans="2:7">
      <c r="B132" s="141" t="str">
        <f t="shared" si="7"/>
        <v>60-64</v>
      </c>
      <c r="C132" s="954">
        <f t="shared" si="8"/>
        <v>6.6309048430315614E-4</v>
      </c>
      <c r="D132" s="954">
        <f t="shared" si="6"/>
        <v>2.9298373194141854E-3</v>
      </c>
      <c r="E132" s="954">
        <f t="shared" si="6"/>
        <v>5.1480397605594523E-3</v>
      </c>
      <c r="F132" s="954">
        <f t="shared" si="6"/>
        <v>9.8592767136848856E-3</v>
      </c>
      <c r="G132" s="952">
        <f t="shared" si="9"/>
        <v>1.860024427796168E-2</v>
      </c>
    </row>
    <row r="133" spans="2:7">
      <c r="B133" s="141" t="str">
        <f>B117</f>
        <v>65 plus</v>
      </c>
      <c r="C133" s="954">
        <f t="shared" si="8"/>
        <v>2.2085301764065532E-3</v>
      </c>
      <c r="D133" s="954">
        <f t="shared" si="6"/>
        <v>4.4154574971326565E-3</v>
      </c>
      <c r="E133" s="954">
        <f t="shared" si="6"/>
        <v>4.6864189430962716E-3</v>
      </c>
      <c r="F133" s="954">
        <f t="shared" si="6"/>
        <v>9.3629539735126249E-3</v>
      </c>
      <c r="G133" s="952">
        <f t="shared" si="9"/>
        <v>2.0673360590148106E-2</v>
      </c>
    </row>
    <row r="134" spans="2:7">
      <c r="B134" s="141" t="str">
        <f>B118</f>
        <v>Total</v>
      </c>
      <c r="C134" s="954">
        <f t="shared" si="8"/>
        <v>5.5773606761437269E-3</v>
      </c>
      <c r="D134" s="954">
        <f t="shared" si="6"/>
        <v>1.2762857506628584E-2</v>
      </c>
      <c r="E134" s="954">
        <f t="shared" si="6"/>
        <v>2.2827906851532867E-2</v>
      </c>
      <c r="F134" s="954">
        <f t="shared" si="6"/>
        <v>3.2896125950189266E-2</v>
      </c>
      <c r="G134" s="952">
        <f t="shared" si="9"/>
        <v>7.4064250984494442E-2</v>
      </c>
    </row>
    <row r="135" spans="2:7">
      <c r="B135" s="5"/>
      <c r="C135" s="5"/>
      <c r="D135" s="5"/>
      <c r="E135" s="5"/>
      <c r="F135" s="5"/>
      <c r="G135" s="5"/>
    </row>
    <row r="136" spans="2:7">
      <c r="B136" s="76" t="s">
        <v>111</v>
      </c>
      <c r="C136" s="5"/>
      <c r="D136" s="5"/>
      <c r="E136" s="5"/>
      <c r="F136" s="5"/>
      <c r="G136" s="5"/>
    </row>
    <row r="137" spans="2:7">
      <c r="B137" s="5"/>
      <c r="C137" s="5"/>
      <c r="D137" s="5"/>
      <c r="E137" s="5"/>
      <c r="F137" s="5"/>
      <c r="G137" s="5"/>
    </row>
    <row r="138" spans="2:7">
      <c r="B138" s="1140" t="str">
        <f>B122</f>
        <v>Age group</v>
      </c>
      <c r="C138" s="1183" t="str">
        <f>C122</f>
        <v>2011/12</v>
      </c>
      <c r="D138" s="1183" t="str">
        <f>D122</f>
        <v>2012/13</v>
      </c>
      <c r="E138" s="1183" t="str">
        <f>E122</f>
        <v>2013/14</v>
      </c>
      <c r="F138" s="1183" t="str">
        <f>F122</f>
        <v>2014/15</v>
      </c>
      <c r="G138" s="1209" t="s">
        <v>8</v>
      </c>
    </row>
    <row r="139" spans="2:7">
      <c r="B139" s="1140"/>
      <c r="C139" s="1184"/>
      <c r="D139" s="1184"/>
      <c r="E139" s="1184"/>
      <c r="F139" s="1184"/>
      <c r="G139" s="1210"/>
    </row>
    <row r="140" spans="2:7">
      <c r="B140" s="141" t="str">
        <f>B124</f>
        <v>20-24</v>
      </c>
      <c r="C140" s="954">
        <f>C108*H$14</f>
        <v>9.4651978747119902E-3</v>
      </c>
      <c r="D140" s="954">
        <f t="shared" ref="D140:F150" si="10">D108*I$14</f>
        <v>1.9727949343679399E-2</v>
      </c>
      <c r="E140" s="954">
        <f t="shared" si="10"/>
        <v>3.2789248844243675E-2</v>
      </c>
      <c r="F140" s="954">
        <f t="shared" si="10"/>
        <v>5.0785985710385E-2</v>
      </c>
      <c r="G140" s="952">
        <f>SUM(C140:F140)</f>
        <v>0.11276838177302007</v>
      </c>
    </row>
    <row r="141" spans="2:7">
      <c r="B141" s="141" t="str">
        <f t="shared" ref="B141:B148" si="11">B125</f>
        <v>25-29</v>
      </c>
      <c r="C141" s="954">
        <f t="shared" ref="C141:C150" si="12">C109*H$14</f>
        <v>8.6251719782494095E-3</v>
      </c>
      <c r="D141" s="954">
        <f t="shared" si="10"/>
        <v>1.8376570187304975E-2</v>
      </c>
      <c r="E141" s="954">
        <f t="shared" si="10"/>
        <v>2.9278760533905952E-2</v>
      </c>
      <c r="F141" s="954">
        <f t="shared" si="10"/>
        <v>4.1580105914932032E-2</v>
      </c>
      <c r="G141" s="952">
        <f t="shared" ref="G141:G150" si="13">SUM(C141:F141)</f>
        <v>9.7860608614392358E-2</v>
      </c>
    </row>
    <row r="142" spans="2:7">
      <c r="B142" s="141" t="str">
        <f t="shared" si="11"/>
        <v>30-34</v>
      </c>
      <c r="C142" s="954">
        <f t="shared" si="12"/>
        <v>7.7922597954104729E-3</v>
      </c>
      <c r="D142" s="954">
        <f t="shared" si="10"/>
        <v>1.6912243258072824E-2</v>
      </c>
      <c r="E142" s="954">
        <f t="shared" si="10"/>
        <v>2.6156841905454899E-2</v>
      </c>
      <c r="F142" s="954">
        <f t="shared" si="10"/>
        <v>3.9445778183710756E-2</v>
      </c>
      <c r="G142" s="952">
        <f t="shared" si="13"/>
        <v>9.0307123142648951E-2</v>
      </c>
    </row>
    <row r="143" spans="2:7">
      <c r="B143" s="141" t="str">
        <f t="shared" si="11"/>
        <v>35-39</v>
      </c>
      <c r="C143" s="954">
        <f t="shared" si="12"/>
        <v>7.0387515857178234E-3</v>
      </c>
      <c r="D143" s="954">
        <f t="shared" si="10"/>
        <v>1.4774796010623696E-2</v>
      </c>
      <c r="E143" s="954">
        <f t="shared" si="10"/>
        <v>2.4360269544908251E-2</v>
      </c>
      <c r="F143" s="954">
        <f t="shared" si="10"/>
        <v>3.3552843477827776E-2</v>
      </c>
      <c r="G143" s="952">
        <f t="shared" si="13"/>
        <v>7.9726660619077544E-2</v>
      </c>
    </row>
    <row r="144" spans="2:7">
      <c r="B144" s="141" t="str">
        <f t="shared" si="11"/>
        <v>40-44</v>
      </c>
      <c r="C144" s="954">
        <f t="shared" si="12"/>
        <v>6.6374338566023792E-3</v>
      </c>
      <c r="D144" s="954">
        <f t="shared" si="10"/>
        <v>1.4213920555791366E-2</v>
      </c>
      <c r="E144" s="954">
        <f t="shared" si="10"/>
        <v>2.2220382810708653E-2</v>
      </c>
      <c r="F144" s="954">
        <f t="shared" si="10"/>
        <v>3.2990349179860372E-2</v>
      </c>
      <c r="G144" s="952">
        <f t="shared" si="13"/>
        <v>7.6062086402962775E-2</v>
      </c>
    </row>
    <row r="145" spans="2:7">
      <c r="B145" s="141" t="str">
        <f t="shared" si="11"/>
        <v>45-49</v>
      </c>
      <c r="C145" s="954">
        <f t="shared" si="12"/>
        <v>6.926190738321009E-3</v>
      </c>
      <c r="D145" s="954">
        <f t="shared" si="10"/>
        <v>1.4787974826938619E-2</v>
      </c>
      <c r="E145" s="954">
        <f t="shared" si="10"/>
        <v>2.4518805492925559E-2</v>
      </c>
      <c r="F145" s="954">
        <f t="shared" si="10"/>
        <v>3.5998915611433056E-2</v>
      </c>
      <c r="G145" s="952">
        <f t="shared" si="13"/>
        <v>8.2231886669618254E-2</v>
      </c>
    </row>
    <row r="146" spans="2:7">
      <c r="B146" s="141" t="str">
        <f t="shared" si="11"/>
        <v>50-54</v>
      </c>
      <c r="C146" s="954">
        <f t="shared" si="12"/>
        <v>5.6740340718838649E-3</v>
      </c>
      <c r="D146" s="954">
        <f t="shared" si="10"/>
        <v>1.4609386377880043E-2</v>
      </c>
      <c r="E146" s="954">
        <f t="shared" si="10"/>
        <v>2.3318800559611247E-2</v>
      </c>
      <c r="F146" s="954">
        <f t="shared" si="10"/>
        <v>3.9644781323648327E-2</v>
      </c>
      <c r="G146" s="952">
        <f t="shared" si="13"/>
        <v>8.3247002333023484E-2</v>
      </c>
    </row>
    <row r="147" spans="2:7">
      <c r="B147" s="141" t="str">
        <f t="shared" si="11"/>
        <v>55-59</v>
      </c>
      <c r="C147" s="954">
        <f t="shared" si="12"/>
        <v>2.008572560427259E-3</v>
      </c>
      <c r="D147" s="954">
        <f t="shared" si="10"/>
        <v>6.9335504474649437E-3</v>
      </c>
      <c r="E147" s="954">
        <f t="shared" si="10"/>
        <v>1.5608571029891754E-2</v>
      </c>
      <c r="F147" s="954">
        <f t="shared" si="10"/>
        <v>2.6711565374238612E-2</v>
      </c>
      <c r="G147" s="952">
        <f t="shared" si="13"/>
        <v>5.1262259412022566E-2</v>
      </c>
    </row>
    <row r="148" spans="2:7">
      <c r="B148" s="141" t="str">
        <f t="shared" si="11"/>
        <v>60-64</v>
      </c>
      <c r="C148" s="954">
        <f t="shared" si="12"/>
        <v>1.5076193304481413E-3</v>
      </c>
      <c r="D148" s="954">
        <f t="shared" si="10"/>
        <v>2.7186939883266144E-3</v>
      </c>
      <c r="E148" s="954">
        <f t="shared" si="10"/>
        <v>7.5706098448271968E-3</v>
      </c>
      <c r="F148" s="954">
        <f t="shared" si="10"/>
        <v>1.053721816548063E-2</v>
      </c>
      <c r="G148" s="952">
        <f t="shared" si="13"/>
        <v>2.2334141329082582E-2</v>
      </c>
    </row>
    <row r="149" spans="2:7">
      <c r="B149" s="141" t="str">
        <f>B133</f>
        <v>65 plus</v>
      </c>
      <c r="C149" s="954">
        <f t="shared" si="12"/>
        <v>3.2744429546759748E-3</v>
      </c>
      <c r="D149" s="954">
        <f t="shared" si="10"/>
        <v>3.6241259849904396E-3</v>
      </c>
      <c r="E149" s="954">
        <f t="shared" si="10"/>
        <v>1.3679172717522909E-2</v>
      </c>
      <c r="F149" s="954">
        <f t="shared" si="10"/>
        <v>1.3693550695411198E-2</v>
      </c>
      <c r="G149" s="952">
        <f t="shared" si="13"/>
        <v>3.427129235260052E-2</v>
      </c>
    </row>
    <row r="150" spans="2:7">
      <c r="B150" s="141" t="str">
        <f>B134</f>
        <v>Total</v>
      </c>
      <c r="C150" s="954">
        <f t="shared" si="12"/>
        <v>6.9051247951384016E-3</v>
      </c>
      <c r="D150" s="954">
        <f t="shared" si="10"/>
        <v>1.5197165787539102E-2</v>
      </c>
      <c r="E150" s="954">
        <f t="shared" si="10"/>
        <v>2.4716150892136395E-2</v>
      </c>
      <c r="F150" s="954">
        <f t="shared" si="10"/>
        <v>3.6822592558211957E-2</v>
      </c>
      <c r="G150" s="952">
        <f t="shared" si="13"/>
        <v>8.3641034033025863E-2</v>
      </c>
    </row>
    <row r="151" spans="2:7">
      <c r="B151" s="5"/>
      <c r="C151" s="5"/>
      <c r="D151" s="5"/>
      <c r="E151" s="5"/>
      <c r="F151" s="5"/>
      <c r="G151" s="5"/>
    </row>
    <row r="152" spans="2:7">
      <c r="B152" s="5"/>
      <c r="C152" s="5"/>
      <c r="D152" s="5"/>
      <c r="E152" s="5"/>
      <c r="F152" s="5"/>
      <c r="G152" s="5"/>
    </row>
    <row r="153" spans="2:7">
      <c r="B153" s="5"/>
      <c r="C153" s="5"/>
      <c r="D153" s="5"/>
      <c r="E153" s="5"/>
      <c r="F153" s="5"/>
      <c r="G153" s="5"/>
    </row>
  </sheetData>
  <mergeCells count="25">
    <mergeCell ref="B56:B57"/>
    <mergeCell ref="C56:F56"/>
    <mergeCell ref="A5:T5"/>
    <mergeCell ref="C20:F20"/>
    <mergeCell ref="B37:B38"/>
    <mergeCell ref="B20:B21"/>
    <mergeCell ref="C37:F37"/>
    <mergeCell ref="B73:B74"/>
    <mergeCell ref="C73:F73"/>
    <mergeCell ref="B90:B91"/>
    <mergeCell ref="C90:F90"/>
    <mergeCell ref="B106:B107"/>
    <mergeCell ref="C106:F106"/>
    <mergeCell ref="F138:F139"/>
    <mergeCell ref="B122:B123"/>
    <mergeCell ref="C122:C123"/>
    <mergeCell ref="G138:G139"/>
    <mergeCell ref="E122:E123"/>
    <mergeCell ref="F122:F123"/>
    <mergeCell ref="G122:G123"/>
    <mergeCell ref="D122:D123"/>
    <mergeCell ref="B138:B139"/>
    <mergeCell ref="C138:C139"/>
    <mergeCell ref="D138:D139"/>
    <mergeCell ref="E138:E139"/>
  </mergeCells>
  <hyperlinks>
    <hyperlink ref="A2" location="'Title_&amp;_Contents'!A1" display="Contents"/>
    <hyperlink ref="B2" location="Map_of_sheets!A1" display="Map of sheets"/>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P93"/>
  <sheetViews>
    <sheetView showGridLines="0" workbookViewId="0"/>
  </sheetViews>
  <sheetFormatPr defaultRowHeight="12.75"/>
  <cols>
    <col min="2" max="2" width="25.7109375" customWidth="1"/>
    <col min="3" max="17" width="12.7109375" customWidth="1"/>
  </cols>
  <sheetData>
    <row r="1" spans="1:15" s="66" customFormat="1" ht="15">
      <c r="A1" s="65" t="str">
        <f>ModelBanner</f>
        <v>TSM_201718 for publication</v>
      </c>
    </row>
    <row r="2" spans="1:15" s="66" customFormat="1" ht="15">
      <c r="A2" s="1003" t="s">
        <v>13</v>
      </c>
      <c r="B2" s="1003" t="s">
        <v>30</v>
      </c>
    </row>
    <row r="3" spans="1:15" s="66" customFormat="1" ht="15">
      <c r="A3" s="67"/>
    </row>
    <row r="4" spans="1:15" s="57" customFormat="1">
      <c r="A4" s="58" t="s">
        <v>26</v>
      </c>
      <c r="B4" s="58"/>
    </row>
    <row r="5" spans="1:15" s="69" customFormat="1" ht="13.15" customHeight="1">
      <c r="A5" s="54" t="s">
        <v>632</v>
      </c>
      <c r="B5" s="54"/>
      <c r="C5" s="54"/>
      <c r="D5" s="54"/>
      <c r="E5" s="54"/>
      <c r="F5" s="54"/>
      <c r="G5" s="54"/>
      <c r="H5" s="54"/>
      <c r="I5" s="54"/>
      <c r="J5" s="54"/>
      <c r="K5" s="54"/>
      <c r="L5" s="54"/>
      <c r="M5" s="54"/>
      <c r="N5" s="54"/>
      <c r="O5" s="54"/>
    </row>
    <row r="6" spans="1:15" s="46" customFormat="1" ht="13.5" customHeight="1">
      <c r="A6" s="56" t="s">
        <v>1420</v>
      </c>
      <c r="B6" s="61"/>
      <c r="C6" s="45"/>
      <c r="D6" s="45"/>
      <c r="E6" s="45"/>
      <c r="F6" s="45"/>
      <c r="G6" s="45"/>
      <c r="H6" s="45"/>
      <c r="I6" s="45"/>
    </row>
    <row r="7" spans="1:15" s="46" customFormat="1" ht="15" customHeight="1">
      <c r="A7" s="54" t="s">
        <v>173</v>
      </c>
      <c r="B7" s="56"/>
      <c r="C7" s="45"/>
      <c r="D7" s="45"/>
      <c r="E7" s="45"/>
      <c r="F7" s="45"/>
      <c r="G7" s="45"/>
      <c r="H7" s="45"/>
      <c r="I7" s="45"/>
    </row>
    <row r="8" spans="1:15" s="46" customFormat="1" ht="15.75" customHeight="1">
      <c r="A8" s="56" t="s">
        <v>24</v>
      </c>
      <c r="B8" s="61"/>
      <c r="C8" s="45"/>
      <c r="D8" s="45"/>
      <c r="E8" s="45"/>
      <c r="F8" s="45"/>
      <c r="G8" s="45"/>
      <c r="H8" s="45"/>
      <c r="I8" s="45"/>
    </row>
    <row r="9" spans="1:15" s="46" customFormat="1" ht="15.75" customHeight="1">
      <c r="A9" s="54" t="s">
        <v>1451</v>
      </c>
      <c r="B9" s="61"/>
      <c r="C9" s="45"/>
      <c r="D9" s="45"/>
      <c r="E9" s="45"/>
      <c r="F9" s="45"/>
      <c r="G9" s="45"/>
      <c r="H9" s="45"/>
      <c r="I9" s="45"/>
    </row>
    <row r="10" spans="1:15" s="50" customFormat="1" ht="13.5" customHeight="1">
      <c r="A10" s="55">
        <f>SUM(A13:A2224)</f>
        <v>0</v>
      </c>
      <c r="B10" s="73"/>
      <c r="C10" s="48"/>
      <c r="D10" s="72"/>
      <c r="E10" s="49"/>
      <c r="F10" s="49"/>
      <c r="G10" s="49"/>
      <c r="H10" s="49"/>
      <c r="I10" s="49"/>
    </row>
    <row r="12" spans="1:15" ht="18">
      <c r="B12" s="39" t="s">
        <v>1452</v>
      </c>
    </row>
    <row r="14" spans="1:15">
      <c r="B14" s="76" t="str">
        <f>Calculation_PRIM_wastage_rates!B120</f>
        <v>MALE weighted wastage rates</v>
      </c>
    </row>
    <row r="16" spans="1:15">
      <c r="B16" s="8" t="str">
        <f>Calculation_PRIM_wastage_rates!B122</f>
        <v>Age group</v>
      </c>
      <c r="C16" s="8" t="str">
        <f>Calculation_PRIM_wastage_rates!G122</f>
        <v>Total</v>
      </c>
    </row>
    <row r="17" spans="2:3">
      <c r="B17" s="8" t="str">
        <f>Calculation_PRIM_wastage_rates!B124</f>
        <v>20-24</v>
      </c>
      <c r="C17" s="163">
        <f>Calculation_PRIM_wastage_rates!G124</f>
        <v>0.11296392894877813</v>
      </c>
    </row>
    <row r="18" spans="2:3">
      <c r="B18" s="8" t="str">
        <f>Calculation_PRIM_wastage_rates!B125</f>
        <v>25-29</v>
      </c>
      <c r="C18" s="163">
        <f>Calculation_PRIM_wastage_rates!G125</f>
        <v>0.1056937933378603</v>
      </c>
    </row>
    <row r="19" spans="2:3">
      <c r="B19" s="8" t="str">
        <f>Calculation_PRIM_wastage_rates!B126</f>
        <v>30-34</v>
      </c>
      <c r="C19" s="163">
        <f>Calculation_PRIM_wastage_rates!G126</f>
        <v>8.8476065462397502E-2</v>
      </c>
    </row>
    <row r="20" spans="2:3">
      <c r="B20" s="8" t="str">
        <f>Calculation_PRIM_wastage_rates!B127</f>
        <v>35-39</v>
      </c>
      <c r="C20" s="163">
        <f>Calculation_PRIM_wastage_rates!G127</f>
        <v>7.3388314035979521E-2</v>
      </c>
    </row>
    <row r="21" spans="2:3">
      <c r="B21" s="8" t="str">
        <f>Calculation_PRIM_wastage_rates!B128</f>
        <v>40-44</v>
      </c>
      <c r="C21" s="163">
        <f>Calculation_PRIM_wastage_rates!G128</f>
        <v>7.6396665856450358E-2</v>
      </c>
    </row>
    <row r="22" spans="2:3">
      <c r="B22" s="8" t="str">
        <f>Calculation_PRIM_wastage_rates!B129</f>
        <v>45-49</v>
      </c>
      <c r="C22" s="163">
        <f>Calculation_PRIM_wastage_rates!G129</f>
        <v>8.4952310478084658E-2</v>
      </c>
    </row>
    <row r="23" spans="2:3">
      <c r="B23" s="8" t="str">
        <f>Calculation_PRIM_wastage_rates!B130</f>
        <v>50-54</v>
      </c>
      <c r="C23" s="163">
        <f>Calculation_PRIM_wastage_rates!G130</f>
        <v>8.2933171496721331E-2</v>
      </c>
    </row>
    <row r="24" spans="2:3">
      <c r="B24" s="8" t="str">
        <f>Calculation_PRIM_wastage_rates!B131</f>
        <v>55-59</v>
      </c>
      <c r="C24" s="163">
        <f>Calculation_PRIM_wastage_rates!G131</f>
        <v>4.5892868186629361E-2</v>
      </c>
    </row>
    <row r="25" spans="2:3">
      <c r="B25" s="8" t="str">
        <f>Calculation_PRIM_wastage_rates!B132</f>
        <v>60-64</v>
      </c>
      <c r="C25" s="163">
        <f>Calculation_PRIM_wastage_rates!G132</f>
        <v>1.614169784070206E-2</v>
      </c>
    </row>
    <row r="26" spans="2:3">
      <c r="B26" s="8" t="str">
        <f>Calculation_PRIM_wastage_rates!B133</f>
        <v>65 plus</v>
      </c>
      <c r="C26" s="163">
        <f>Calculation_PRIM_wastage_rates!G133</f>
        <v>2.9568652942134083E-2</v>
      </c>
    </row>
    <row r="27" spans="2:3">
      <c r="B27" s="8" t="str">
        <f>Calculation_PRIM_wastage_rates!B134</f>
        <v>Total</v>
      </c>
      <c r="C27" s="163">
        <f>Calculation_PRIM_wastage_rates!G134</f>
        <v>8.3231538706728544E-2</v>
      </c>
    </row>
    <row r="29" spans="2:3">
      <c r="B29" s="76" t="str">
        <f>Calculation_PRIM_wastage_rates!B136</f>
        <v>FEMALE weighted wastage rates</v>
      </c>
    </row>
    <row r="31" spans="2:3">
      <c r="B31" s="8" t="str">
        <f>Calculation_PRIM_wastage_rates!B138</f>
        <v>Age group</v>
      </c>
      <c r="C31" s="8" t="str">
        <f>Calculation_PRIM_wastage_rates!G138</f>
        <v>Total</v>
      </c>
    </row>
    <row r="32" spans="2:3">
      <c r="B32" s="8" t="str">
        <f>Calculation_PRIM_wastage_rates!B140</f>
        <v>20-24</v>
      </c>
      <c r="C32" s="163">
        <f>Calculation_PRIM_wastage_rates!G140</f>
        <v>9.4308011869168651E-2</v>
      </c>
    </row>
    <row r="33" spans="2:9">
      <c r="B33" s="8" t="str">
        <f>Calculation_PRIM_wastage_rates!B141</f>
        <v>25-29</v>
      </c>
      <c r="C33" s="163">
        <f>Calculation_PRIM_wastage_rates!G141</f>
        <v>8.827524492598901E-2</v>
      </c>
    </row>
    <row r="34" spans="2:9">
      <c r="B34" s="8" t="str">
        <f>Calculation_PRIM_wastage_rates!B142</f>
        <v>30-34</v>
      </c>
      <c r="C34" s="163">
        <f>Calculation_PRIM_wastage_rates!G142</f>
        <v>7.9775683759502364E-2</v>
      </c>
    </row>
    <row r="35" spans="2:9">
      <c r="B35" s="8" t="str">
        <f>Calculation_PRIM_wastage_rates!B143</f>
        <v>35-39</v>
      </c>
      <c r="C35" s="163">
        <f>Calculation_PRIM_wastage_rates!G143</f>
        <v>7.5692673212471598E-2</v>
      </c>
    </row>
    <row r="36" spans="2:9">
      <c r="B36" s="8" t="str">
        <f>Calculation_PRIM_wastage_rates!B144</f>
        <v>40-44</v>
      </c>
      <c r="C36" s="163">
        <f>Calculation_PRIM_wastage_rates!G144</f>
        <v>7.0704004259759895E-2</v>
      </c>
    </row>
    <row r="37" spans="2:9">
      <c r="B37" s="8" t="str">
        <f>Calculation_PRIM_wastage_rates!B145</f>
        <v>45-49</v>
      </c>
      <c r="C37" s="163">
        <f>Calculation_PRIM_wastage_rates!G145</f>
        <v>7.4399513361481595E-2</v>
      </c>
    </row>
    <row r="38" spans="2:9">
      <c r="B38" s="8" t="str">
        <f>Calculation_PRIM_wastage_rates!B146</f>
        <v>50-54</v>
      </c>
      <c r="C38" s="163">
        <f>Calculation_PRIM_wastage_rates!G146</f>
        <v>8.0023129963471523E-2</v>
      </c>
    </row>
    <row r="39" spans="2:9">
      <c r="B39" s="8" t="str">
        <f>Calculation_PRIM_wastage_rates!B147</f>
        <v>55-59</v>
      </c>
      <c r="C39" s="163">
        <f>Calculation_PRIM_wastage_rates!G147</f>
        <v>4.9278845389007932E-2</v>
      </c>
    </row>
    <row r="40" spans="2:9">
      <c r="B40" s="8" t="str">
        <f>Calculation_PRIM_wastage_rates!B148</f>
        <v>60-64</v>
      </c>
      <c r="C40" s="163">
        <f>Calculation_PRIM_wastage_rates!G148</f>
        <v>1.9073370068660899E-2</v>
      </c>
    </row>
    <row r="41" spans="2:9">
      <c r="B41" s="8" t="str">
        <f>Calculation_PRIM_wastage_rates!B149</f>
        <v>65 plus</v>
      </c>
      <c r="C41" s="163">
        <f>Calculation_PRIM_wastage_rates!G149</f>
        <v>2.0231310070917986E-2</v>
      </c>
    </row>
    <row r="42" spans="2:9">
      <c r="B42" s="8" t="str">
        <f>Calculation_PRIM_wastage_rates!B150</f>
        <v>Total</v>
      </c>
      <c r="C42" s="163">
        <f>Calculation_PRIM_wastage_rates!G150</f>
        <v>7.5562589606870373E-2</v>
      </c>
    </row>
    <row r="44" spans="2:9" ht="18">
      <c r="B44" s="39" t="s">
        <v>631</v>
      </c>
    </row>
    <row r="46" spans="2:9">
      <c r="B46" s="8"/>
      <c r="C46" s="8" t="str">
        <f>RAW_DATA_INPUTS!C205</f>
        <v>2014/15</v>
      </c>
      <c r="D46" s="8" t="str">
        <f>RAW_DATA_INPUTS!D205</f>
        <v>2015/16</v>
      </c>
      <c r="E46" s="8" t="str">
        <f>RAW_DATA_INPUTS!E205</f>
        <v>2016/17</v>
      </c>
      <c r="F46" s="8" t="str">
        <f>RAW_DATA_INPUTS!F205</f>
        <v>2017/18</v>
      </c>
      <c r="G46" s="8" t="str">
        <f>RAW_DATA_INPUTS!G205</f>
        <v>2018/19</v>
      </c>
      <c r="H46" s="8" t="str">
        <f>RAW_DATA_INPUTS!H205</f>
        <v>2019/20</v>
      </c>
      <c r="I46" s="8" t="str">
        <f>RAW_DATA_INPUTS!I205</f>
        <v>2020/21</v>
      </c>
    </row>
    <row r="47" spans="2:9">
      <c r="B47" s="8" t="str">
        <f>Data_selected_by_user_testing!C16</f>
        <v>Male scalar selected</v>
      </c>
      <c r="C47" s="261">
        <f>Data_selected_by_user_testing!D16</f>
        <v>1</v>
      </c>
      <c r="D47" s="261">
        <f>Data_selected_by_user_testing!E16</f>
        <v>1</v>
      </c>
      <c r="E47" s="261">
        <f>Data_selected_by_user_testing!F16</f>
        <v>1</v>
      </c>
      <c r="F47" s="261">
        <f>Data_selected_by_user_testing!G16</f>
        <v>1</v>
      </c>
      <c r="G47" s="261">
        <f>Data_selected_by_user_testing!H16</f>
        <v>1</v>
      </c>
      <c r="H47" s="261">
        <f>Data_selected_by_user_testing!I16</f>
        <v>1</v>
      </c>
      <c r="I47" s="261">
        <f>Data_selected_by_user_testing!J16</f>
        <v>1</v>
      </c>
    </row>
    <row r="48" spans="2:9">
      <c r="B48" s="8" t="str">
        <f>Data_selected_by_user_testing!C17</f>
        <v>Female scalar selected</v>
      </c>
      <c r="C48" s="261">
        <f>Data_selected_by_user_testing!D17</f>
        <v>1</v>
      </c>
      <c r="D48" s="261">
        <f>Data_selected_by_user_testing!E17</f>
        <v>1</v>
      </c>
      <c r="E48" s="261">
        <f>Data_selected_by_user_testing!F17</f>
        <v>1</v>
      </c>
      <c r="F48" s="261">
        <f>Data_selected_by_user_testing!G17</f>
        <v>1</v>
      </c>
      <c r="G48" s="261">
        <f>Data_selected_by_user_testing!H17</f>
        <v>1</v>
      </c>
      <c r="H48" s="261">
        <f>Data_selected_by_user_testing!I17</f>
        <v>1</v>
      </c>
      <c r="I48" s="261">
        <f>Data_selected_by_user_testing!J17</f>
        <v>1</v>
      </c>
    </row>
    <row r="50" spans="2:16" ht="18">
      <c r="B50" s="39" t="s">
        <v>143</v>
      </c>
    </row>
    <row r="52" spans="2:16">
      <c r="B52" s="76" t="s">
        <v>144</v>
      </c>
      <c r="C52" s="76"/>
      <c r="D52" s="262" t="s">
        <v>633</v>
      </c>
    </row>
    <row r="53" spans="2:16">
      <c r="B53" s="76"/>
      <c r="C53" s="76"/>
    </row>
    <row r="54" spans="2:16">
      <c r="B54" s="8" t="str">
        <f t="shared" ref="B54:B65" si="0">B16</f>
        <v>Age group</v>
      </c>
      <c r="C54" s="8" t="str">
        <f>C46</f>
        <v>2014/15</v>
      </c>
      <c r="D54" s="8" t="str">
        <f t="shared" ref="D54:I54" si="1">D46</f>
        <v>2015/16</v>
      </c>
      <c r="E54" s="8" t="str">
        <f t="shared" si="1"/>
        <v>2016/17</v>
      </c>
      <c r="F54" s="8" t="str">
        <f t="shared" si="1"/>
        <v>2017/18</v>
      </c>
      <c r="G54" s="8" t="str">
        <f t="shared" si="1"/>
        <v>2018/19</v>
      </c>
      <c r="H54" s="8" t="str">
        <f t="shared" si="1"/>
        <v>2019/20</v>
      </c>
      <c r="I54" s="8" t="str">
        <f t="shared" si="1"/>
        <v>2020/21</v>
      </c>
      <c r="J54" s="8" t="s">
        <v>139</v>
      </c>
      <c r="K54" s="8" t="s">
        <v>140</v>
      </c>
      <c r="L54" s="8" t="s">
        <v>141</v>
      </c>
      <c r="M54" s="8" t="s">
        <v>170</v>
      </c>
      <c r="N54" s="8" t="s">
        <v>171</v>
      </c>
      <c r="O54" s="8" t="s">
        <v>172</v>
      </c>
      <c r="P54" s="8" t="s">
        <v>1099</v>
      </c>
    </row>
    <row r="55" spans="2:16">
      <c r="B55" s="8" t="str">
        <f t="shared" si="0"/>
        <v>20-24</v>
      </c>
      <c r="C55" s="164">
        <f>C$47*$C17</f>
        <v>0.11296392894877813</v>
      </c>
      <c r="D55" s="164">
        <f t="shared" ref="D55:I55" si="2">D$47*$C17</f>
        <v>0.11296392894877813</v>
      </c>
      <c r="E55" s="164">
        <f t="shared" si="2"/>
        <v>0.11296392894877813</v>
      </c>
      <c r="F55" s="164">
        <f t="shared" si="2"/>
        <v>0.11296392894877813</v>
      </c>
      <c r="G55" s="164">
        <f t="shared" si="2"/>
        <v>0.11296392894877813</v>
      </c>
      <c r="H55" s="164">
        <f t="shared" si="2"/>
        <v>0.11296392894877813</v>
      </c>
      <c r="I55" s="164">
        <f t="shared" si="2"/>
        <v>0.11296392894877813</v>
      </c>
      <c r="J55" s="185">
        <f>I55</f>
        <v>0.11296392894877813</v>
      </c>
      <c r="K55" s="185">
        <f t="shared" ref="K55:P65" si="3">J55</f>
        <v>0.11296392894877813</v>
      </c>
      <c r="L55" s="185">
        <f t="shared" si="3"/>
        <v>0.11296392894877813</v>
      </c>
      <c r="M55" s="185">
        <f t="shared" si="3"/>
        <v>0.11296392894877813</v>
      </c>
      <c r="N55" s="185">
        <f t="shared" si="3"/>
        <v>0.11296392894877813</v>
      </c>
      <c r="O55" s="185">
        <f t="shared" si="3"/>
        <v>0.11296392894877813</v>
      </c>
      <c r="P55" s="185">
        <f t="shared" si="3"/>
        <v>0.11296392894877813</v>
      </c>
    </row>
    <row r="56" spans="2:16">
      <c r="B56" s="8" t="str">
        <f t="shared" si="0"/>
        <v>25-29</v>
      </c>
      <c r="C56" s="164">
        <f t="shared" ref="C56:I56" si="4">C$47*$C18</f>
        <v>0.1056937933378603</v>
      </c>
      <c r="D56" s="164">
        <f t="shared" si="4"/>
        <v>0.1056937933378603</v>
      </c>
      <c r="E56" s="164">
        <f t="shared" si="4"/>
        <v>0.1056937933378603</v>
      </c>
      <c r="F56" s="164">
        <f t="shared" si="4"/>
        <v>0.1056937933378603</v>
      </c>
      <c r="G56" s="164">
        <f t="shared" si="4"/>
        <v>0.1056937933378603</v>
      </c>
      <c r="H56" s="164">
        <f t="shared" si="4"/>
        <v>0.1056937933378603</v>
      </c>
      <c r="I56" s="164">
        <f t="shared" si="4"/>
        <v>0.1056937933378603</v>
      </c>
      <c r="J56" s="185">
        <f t="shared" ref="J56:J65" si="5">I56</f>
        <v>0.1056937933378603</v>
      </c>
      <c r="K56" s="185">
        <f t="shared" si="3"/>
        <v>0.1056937933378603</v>
      </c>
      <c r="L56" s="185">
        <f t="shared" si="3"/>
        <v>0.1056937933378603</v>
      </c>
      <c r="M56" s="185">
        <f t="shared" si="3"/>
        <v>0.1056937933378603</v>
      </c>
      <c r="N56" s="185">
        <f t="shared" si="3"/>
        <v>0.1056937933378603</v>
      </c>
      <c r="O56" s="185">
        <f t="shared" si="3"/>
        <v>0.1056937933378603</v>
      </c>
      <c r="P56" s="185">
        <f t="shared" si="3"/>
        <v>0.1056937933378603</v>
      </c>
    </row>
    <row r="57" spans="2:16">
      <c r="B57" s="8" t="str">
        <f t="shared" si="0"/>
        <v>30-34</v>
      </c>
      <c r="C57" s="164">
        <f t="shared" ref="C57:I57" si="6">C$47*$C19</f>
        <v>8.8476065462397502E-2</v>
      </c>
      <c r="D57" s="164">
        <f t="shared" si="6"/>
        <v>8.8476065462397502E-2</v>
      </c>
      <c r="E57" s="164">
        <f t="shared" si="6"/>
        <v>8.8476065462397502E-2</v>
      </c>
      <c r="F57" s="164">
        <f t="shared" si="6"/>
        <v>8.8476065462397502E-2</v>
      </c>
      <c r="G57" s="164">
        <f t="shared" si="6"/>
        <v>8.8476065462397502E-2</v>
      </c>
      <c r="H57" s="164">
        <f t="shared" si="6"/>
        <v>8.8476065462397502E-2</v>
      </c>
      <c r="I57" s="164">
        <f t="shared" si="6"/>
        <v>8.8476065462397502E-2</v>
      </c>
      <c r="J57" s="185">
        <f t="shared" si="5"/>
        <v>8.8476065462397502E-2</v>
      </c>
      <c r="K57" s="185">
        <f t="shared" si="3"/>
        <v>8.8476065462397502E-2</v>
      </c>
      <c r="L57" s="185">
        <f t="shared" si="3"/>
        <v>8.8476065462397502E-2</v>
      </c>
      <c r="M57" s="185">
        <f t="shared" si="3"/>
        <v>8.8476065462397502E-2</v>
      </c>
      <c r="N57" s="185">
        <f t="shared" si="3"/>
        <v>8.8476065462397502E-2</v>
      </c>
      <c r="O57" s="185">
        <f t="shared" si="3"/>
        <v>8.8476065462397502E-2</v>
      </c>
      <c r="P57" s="185">
        <f t="shared" si="3"/>
        <v>8.8476065462397502E-2</v>
      </c>
    </row>
    <row r="58" spans="2:16" ht="12" customHeight="1">
      <c r="B58" s="8" t="str">
        <f t="shared" si="0"/>
        <v>35-39</v>
      </c>
      <c r="C58" s="164">
        <f t="shared" ref="C58:I58" si="7">C$47*$C20</f>
        <v>7.3388314035979521E-2</v>
      </c>
      <c r="D58" s="164">
        <f t="shared" si="7"/>
        <v>7.3388314035979521E-2</v>
      </c>
      <c r="E58" s="164">
        <f t="shared" si="7"/>
        <v>7.3388314035979521E-2</v>
      </c>
      <c r="F58" s="164">
        <f t="shared" si="7"/>
        <v>7.3388314035979521E-2</v>
      </c>
      <c r="G58" s="164">
        <f t="shared" si="7"/>
        <v>7.3388314035979521E-2</v>
      </c>
      <c r="H58" s="164">
        <f t="shared" si="7"/>
        <v>7.3388314035979521E-2</v>
      </c>
      <c r="I58" s="164">
        <f t="shared" si="7"/>
        <v>7.3388314035979521E-2</v>
      </c>
      <c r="J58" s="185">
        <f t="shared" si="5"/>
        <v>7.3388314035979521E-2</v>
      </c>
      <c r="K58" s="185">
        <f t="shared" si="3"/>
        <v>7.3388314035979521E-2</v>
      </c>
      <c r="L58" s="185">
        <f t="shared" si="3"/>
        <v>7.3388314035979521E-2</v>
      </c>
      <c r="M58" s="185">
        <f t="shared" si="3"/>
        <v>7.3388314035979521E-2</v>
      </c>
      <c r="N58" s="185">
        <f t="shared" si="3"/>
        <v>7.3388314035979521E-2</v>
      </c>
      <c r="O58" s="185">
        <f t="shared" si="3"/>
        <v>7.3388314035979521E-2</v>
      </c>
      <c r="P58" s="185">
        <f t="shared" si="3"/>
        <v>7.3388314035979521E-2</v>
      </c>
    </row>
    <row r="59" spans="2:16">
      <c r="B59" s="8" t="str">
        <f t="shared" si="0"/>
        <v>40-44</v>
      </c>
      <c r="C59" s="164">
        <f t="shared" ref="C59:I59" si="8">C$47*$C21</f>
        <v>7.6396665856450358E-2</v>
      </c>
      <c r="D59" s="164">
        <f t="shared" si="8"/>
        <v>7.6396665856450358E-2</v>
      </c>
      <c r="E59" s="164">
        <f t="shared" si="8"/>
        <v>7.6396665856450358E-2</v>
      </c>
      <c r="F59" s="164">
        <f t="shared" si="8"/>
        <v>7.6396665856450358E-2</v>
      </c>
      <c r="G59" s="164">
        <f t="shared" si="8"/>
        <v>7.6396665856450358E-2</v>
      </c>
      <c r="H59" s="164">
        <f t="shared" si="8"/>
        <v>7.6396665856450358E-2</v>
      </c>
      <c r="I59" s="164">
        <f t="shared" si="8"/>
        <v>7.6396665856450358E-2</v>
      </c>
      <c r="J59" s="185">
        <f t="shared" si="5"/>
        <v>7.6396665856450358E-2</v>
      </c>
      <c r="K59" s="185">
        <f t="shared" si="3"/>
        <v>7.6396665856450358E-2</v>
      </c>
      <c r="L59" s="185">
        <f t="shared" si="3"/>
        <v>7.6396665856450358E-2</v>
      </c>
      <c r="M59" s="185">
        <f t="shared" si="3"/>
        <v>7.6396665856450358E-2</v>
      </c>
      <c r="N59" s="185">
        <f t="shared" si="3"/>
        <v>7.6396665856450358E-2</v>
      </c>
      <c r="O59" s="185">
        <f t="shared" si="3"/>
        <v>7.6396665856450358E-2</v>
      </c>
      <c r="P59" s="185">
        <f t="shared" si="3"/>
        <v>7.6396665856450358E-2</v>
      </c>
    </row>
    <row r="60" spans="2:16">
      <c r="B60" s="8" t="str">
        <f t="shared" si="0"/>
        <v>45-49</v>
      </c>
      <c r="C60" s="164">
        <f t="shared" ref="C60:I60" si="9">C$47*$C22</f>
        <v>8.4952310478084658E-2</v>
      </c>
      <c r="D60" s="164">
        <f t="shared" si="9"/>
        <v>8.4952310478084658E-2</v>
      </c>
      <c r="E60" s="164">
        <f t="shared" si="9"/>
        <v>8.4952310478084658E-2</v>
      </c>
      <c r="F60" s="164">
        <f t="shared" si="9"/>
        <v>8.4952310478084658E-2</v>
      </c>
      <c r="G60" s="164">
        <f t="shared" si="9"/>
        <v>8.4952310478084658E-2</v>
      </c>
      <c r="H60" s="164">
        <f t="shared" si="9"/>
        <v>8.4952310478084658E-2</v>
      </c>
      <c r="I60" s="164">
        <f t="shared" si="9"/>
        <v>8.4952310478084658E-2</v>
      </c>
      <c r="J60" s="185">
        <f t="shared" si="5"/>
        <v>8.4952310478084658E-2</v>
      </c>
      <c r="K60" s="185">
        <f t="shared" si="3"/>
        <v>8.4952310478084658E-2</v>
      </c>
      <c r="L60" s="185">
        <f t="shared" si="3"/>
        <v>8.4952310478084658E-2</v>
      </c>
      <c r="M60" s="185">
        <f t="shared" si="3"/>
        <v>8.4952310478084658E-2</v>
      </c>
      <c r="N60" s="185">
        <f t="shared" si="3"/>
        <v>8.4952310478084658E-2</v>
      </c>
      <c r="O60" s="185">
        <f t="shared" si="3"/>
        <v>8.4952310478084658E-2</v>
      </c>
      <c r="P60" s="185">
        <f t="shared" si="3"/>
        <v>8.4952310478084658E-2</v>
      </c>
    </row>
    <row r="61" spans="2:16">
      <c r="B61" s="8" t="str">
        <f t="shared" si="0"/>
        <v>50-54</v>
      </c>
      <c r="C61" s="164">
        <f t="shared" ref="C61:I61" si="10">C$47*$C23</f>
        <v>8.2933171496721331E-2</v>
      </c>
      <c r="D61" s="164">
        <f t="shared" si="10"/>
        <v>8.2933171496721331E-2</v>
      </c>
      <c r="E61" s="164">
        <f t="shared" si="10"/>
        <v>8.2933171496721331E-2</v>
      </c>
      <c r="F61" s="164">
        <f t="shared" si="10"/>
        <v>8.2933171496721331E-2</v>
      </c>
      <c r="G61" s="164">
        <f t="shared" si="10"/>
        <v>8.2933171496721331E-2</v>
      </c>
      <c r="H61" s="164">
        <f t="shared" si="10"/>
        <v>8.2933171496721331E-2</v>
      </c>
      <c r="I61" s="164">
        <f t="shared" si="10"/>
        <v>8.2933171496721331E-2</v>
      </c>
      <c r="J61" s="185">
        <f t="shared" si="5"/>
        <v>8.2933171496721331E-2</v>
      </c>
      <c r="K61" s="185">
        <f t="shared" si="3"/>
        <v>8.2933171496721331E-2</v>
      </c>
      <c r="L61" s="185">
        <f t="shared" si="3"/>
        <v>8.2933171496721331E-2</v>
      </c>
      <c r="M61" s="185">
        <f t="shared" si="3"/>
        <v>8.2933171496721331E-2</v>
      </c>
      <c r="N61" s="185">
        <f t="shared" si="3"/>
        <v>8.2933171496721331E-2</v>
      </c>
      <c r="O61" s="185">
        <f t="shared" si="3"/>
        <v>8.2933171496721331E-2</v>
      </c>
      <c r="P61" s="185">
        <f t="shared" si="3"/>
        <v>8.2933171496721331E-2</v>
      </c>
    </row>
    <row r="62" spans="2:16">
      <c r="B62" s="8" t="str">
        <f t="shared" si="0"/>
        <v>55-59</v>
      </c>
      <c r="C62" s="164">
        <f t="shared" ref="C62:I62" si="11">C$47*$C24</f>
        <v>4.5892868186629361E-2</v>
      </c>
      <c r="D62" s="164">
        <f t="shared" si="11"/>
        <v>4.5892868186629361E-2</v>
      </c>
      <c r="E62" s="164">
        <f t="shared" si="11"/>
        <v>4.5892868186629361E-2</v>
      </c>
      <c r="F62" s="164">
        <f t="shared" si="11"/>
        <v>4.5892868186629361E-2</v>
      </c>
      <c r="G62" s="164">
        <f t="shared" si="11"/>
        <v>4.5892868186629361E-2</v>
      </c>
      <c r="H62" s="164">
        <f t="shared" si="11"/>
        <v>4.5892868186629361E-2</v>
      </c>
      <c r="I62" s="164">
        <f t="shared" si="11"/>
        <v>4.5892868186629361E-2</v>
      </c>
      <c r="J62" s="185">
        <f t="shared" si="5"/>
        <v>4.5892868186629361E-2</v>
      </c>
      <c r="K62" s="185">
        <f t="shared" si="3"/>
        <v>4.5892868186629361E-2</v>
      </c>
      <c r="L62" s="185">
        <f t="shared" si="3"/>
        <v>4.5892868186629361E-2</v>
      </c>
      <c r="M62" s="185">
        <f t="shared" si="3"/>
        <v>4.5892868186629361E-2</v>
      </c>
      <c r="N62" s="185">
        <f t="shared" si="3"/>
        <v>4.5892868186629361E-2</v>
      </c>
      <c r="O62" s="185">
        <f t="shared" si="3"/>
        <v>4.5892868186629361E-2</v>
      </c>
      <c r="P62" s="185">
        <f t="shared" si="3"/>
        <v>4.5892868186629361E-2</v>
      </c>
    </row>
    <row r="63" spans="2:16">
      <c r="B63" s="8" t="str">
        <f t="shared" si="0"/>
        <v>60-64</v>
      </c>
      <c r="C63" s="164">
        <f t="shared" ref="C63:I63" si="12">C$47*$C25</f>
        <v>1.614169784070206E-2</v>
      </c>
      <c r="D63" s="164">
        <f t="shared" si="12"/>
        <v>1.614169784070206E-2</v>
      </c>
      <c r="E63" s="164">
        <f t="shared" si="12"/>
        <v>1.614169784070206E-2</v>
      </c>
      <c r="F63" s="164">
        <f t="shared" si="12"/>
        <v>1.614169784070206E-2</v>
      </c>
      <c r="G63" s="164">
        <f t="shared" si="12"/>
        <v>1.614169784070206E-2</v>
      </c>
      <c r="H63" s="164">
        <f t="shared" si="12"/>
        <v>1.614169784070206E-2</v>
      </c>
      <c r="I63" s="164">
        <f t="shared" si="12"/>
        <v>1.614169784070206E-2</v>
      </c>
      <c r="J63" s="185">
        <f t="shared" si="5"/>
        <v>1.614169784070206E-2</v>
      </c>
      <c r="K63" s="185">
        <f t="shared" si="3"/>
        <v>1.614169784070206E-2</v>
      </c>
      <c r="L63" s="185">
        <f t="shared" si="3"/>
        <v>1.614169784070206E-2</v>
      </c>
      <c r="M63" s="185">
        <f t="shared" si="3"/>
        <v>1.614169784070206E-2</v>
      </c>
      <c r="N63" s="185">
        <f t="shared" si="3"/>
        <v>1.614169784070206E-2</v>
      </c>
      <c r="O63" s="185">
        <f t="shared" si="3"/>
        <v>1.614169784070206E-2</v>
      </c>
      <c r="P63" s="185">
        <f t="shared" si="3"/>
        <v>1.614169784070206E-2</v>
      </c>
    </row>
    <row r="64" spans="2:16">
      <c r="B64" s="8" t="str">
        <f t="shared" si="0"/>
        <v>65 plus</v>
      </c>
      <c r="C64" s="164">
        <f t="shared" ref="C64:I64" si="13">C$47*$C26</f>
        <v>2.9568652942134083E-2</v>
      </c>
      <c r="D64" s="164">
        <f t="shared" si="13"/>
        <v>2.9568652942134083E-2</v>
      </c>
      <c r="E64" s="164">
        <f t="shared" si="13"/>
        <v>2.9568652942134083E-2</v>
      </c>
      <c r="F64" s="164">
        <f t="shared" si="13"/>
        <v>2.9568652942134083E-2</v>
      </c>
      <c r="G64" s="164">
        <f t="shared" si="13"/>
        <v>2.9568652942134083E-2</v>
      </c>
      <c r="H64" s="164">
        <f t="shared" si="13"/>
        <v>2.9568652942134083E-2</v>
      </c>
      <c r="I64" s="164">
        <f t="shared" si="13"/>
        <v>2.9568652942134083E-2</v>
      </c>
      <c r="J64" s="185">
        <f t="shared" si="5"/>
        <v>2.9568652942134083E-2</v>
      </c>
      <c r="K64" s="185">
        <f t="shared" si="3"/>
        <v>2.9568652942134083E-2</v>
      </c>
      <c r="L64" s="185">
        <f t="shared" si="3"/>
        <v>2.9568652942134083E-2</v>
      </c>
      <c r="M64" s="185">
        <f t="shared" si="3"/>
        <v>2.9568652942134083E-2</v>
      </c>
      <c r="N64" s="185">
        <f t="shared" si="3"/>
        <v>2.9568652942134083E-2</v>
      </c>
      <c r="O64" s="185">
        <f t="shared" si="3"/>
        <v>2.9568652942134083E-2</v>
      </c>
      <c r="P64" s="185">
        <f t="shared" si="3"/>
        <v>2.9568652942134083E-2</v>
      </c>
    </row>
    <row r="65" spans="2:16">
      <c r="B65" s="8" t="str">
        <f t="shared" si="0"/>
        <v>Total</v>
      </c>
      <c r="C65" s="164">
        <f t="shared" ref="C65:I65" si="14">C$47*$C27</f>
        <v>8.3231538706728544E-2</v>
      </c>
      <c r="D65" s="164">
        <f t="shared" si="14"/>
        <v>8.3231538706728544E-2</v>
      </c>
      <c r="E65" s="164">
        <f t="shared" si="14"/>
        <v>8.3231538706728544E-2</v>
      </c>
      <c r="F65" s="164">
        <f t="shared" si="14"/>
        <v>8.3231538706728544E-2</v>
      </c>
      <c r="G65" s="164">
        <f t="shared" si="14"/>
        <v>8.3231538706728544E-2</v>
      </c>
      <c r="H65" s="164">
        <f t="shared" si="14"/>
        <v>8.3231538706728544E-2</v>
      </c>
      <c r="I65" s="164">
        <f t="shared" si="14"/>
        <v>8.3231538706728544E-2</v>
      </c>
      <c r="J65" s="185">
        <f t="shared" si="5"/>
        <v>8.3231538706728544E-2</v>
      </c>
      <c r="K65" s="185">
        <f t="shared" si="3"/>
        <v>8.3231538706728544E-2</v>
      </c>
      <c r="L65" s="185">
        <f t="shared" si="3"/>
        <v>8.3231538706728544E-2</v>
      </c>
      <c r="M65" s="185">
        <f t="shared" si="3"/>
        <v>8.3231538706728544E-2</v>
      </c>
      <c r="N65" s="185">
        <f t="shared" si="3"/>
        <v>8.3231538706728544E-2</v>
      </c>
      <c r="O65" s="185">
        <f t="shared" si="3"/>
        <v>8.3231538706728544E-2</v>
      </c>
      <c r="P65" s="185">
        <f t="shared" si="3"/>
        <v>8.3231538706728544E-2</v>
      </c>
    </row>
    <row r="66" spans="2:16">
      <c r="B66" s="76"/>
      <c r="C66" s="76"/>
    </row>
    <row r="67" spans="2:16">
      <c r="B67" s="76" t="s">
        <v>145</v>
      </c>
      <c r="C67" s="76"/>
    </row>
    <row r="68" spans="2:16">
      <c r="B68" s="76"/>
      <c r="C68" s="76"/>
    </row>
    <row r="69" spans="2:16">
      <c r="B69" s="141" t="str">
        <f t="shared" ref="B69:B80" si="15">B31</f>
        <v>Age group</v>
      </c>
      <c r="C69" s="141" t="str">
        <f>C54</f>
        <v>2014/15</v>
      </c>
      <c r="D69" s="141" t="str">
        <f t="shared" ref="D69:I69" si="16">D54</f>
        <v>2015/16</v>
      </c>
      <c r="E69" s="141" t="str">
        <f t="shared" si="16"/>
        <v>2016/17</v>
      </c>
      <c r="F69" s="141" t="str">
        <f t="shared" si="16"/>
        <v>2017/18</v>
      </c>
      <c r="G69" s="141" t="str">
        <f t="shared" si="16"/>
        <v>2018/19</v>
      </c>
      <c r="H69" s="141" t="str">
        <f t="shared" si="16"/>
        <v>2019/20</v>
      </c>
      <c r="I69" s="141" t="str">
        <f t="shared" si="16"/>
        <v>2020/21</v>
      </c>
      <c r="J69" s="186" t="str">
        <f>J54</f>
        <v>2021/22</v>
      </c>
      <c r="K69" s="186" t="str">
        <f t="shared" ref="K69:P69" si="17">K54</f>
        <v>2022/23</v>
      </c>
      <c r="L69" s="186" t="str">
        <f t="shared" si="17"/>
        <v>2023/24</v>
      </c>
      <c r="M69" s="186" t="str">
        <f t="shared" si="17"/>
        <v>2024/25</v>
      </c>
      <c r="N69" s="186" t="str">
        <f t="shared" si="17"/>
        <v>2025/26</v>
      </c>
      <c r="O69" s="186" t="str">
        <f t="shared" si="17"/>
        <v>2026/27</v>
      </c>
      <c r="P69" s="186" t="str">
        <f t="shared" si="17"/>
        <v>2027/28</v>
      </c>
    </row>
    <row r="70" spans="2:16">
      <c r="B70" s="141" t="str">
        <f t="shared" si="15"/>
        <v>20-24</v>
      </c>
      <c r="C70" s="165">
        <f>C$48*$C32</f>
        <v>9.4308011869168651E-2</v>
      </c>
      <c r="D70" s="165">
        <f t="shared" ref="D70:I70" si="18">D$48*$C32</f>
        <v>9.4308011869168651E-2</v>
      </c>
      <c r="E70" s="165">
        <f t="shared" si="18"/>
        <v>9.4308011869168651E-2</v>
      </c>
      <c r="F70" s="165">
        <f t="shared" si="18"/>
        <v>9.4308011869168651E-2</v>
      </c>
      <c r="G70" s="165">
        <f t="shared" si="18"/>
        <v>9.4308011869168651E-2</v>
      </c>
      <c r="H70" s="165">
        <f t="shared" si="18"/>
        <v>9.4308011869168651E-2</v>
      </c>
      <c r="I70" s="165">
        <f t="shared" si="18"/>
        <v>9.4308011869168651E-2</v>
      </c>
      <c r="J70" s="185">
        <f>I70</f>
        <v>9.4308011869168651E-2</v>
      </c>
      <c r="K70" s="185">
        <f t="shared" ref="K70:P70" si="19">J70</f>
        <v>9.4308011869168651E-2</v>
      </c>
      <c r="L70" s="185">
        <f t="shared" si="19"/>
        <v>9.4308011869168651E-2</v>
      </c>
      <c r="M70" s="185">
        <f t="shared" si="19"/>
        <v>9.4308011869168651E-2</v>
      </c>
      <c r="N70" s="185">
        <f t="shared" si="19"/>
        <v>9.4308011869168651E-2</v>
      </c>
      <c r="O70" s="185">
        <f t="shared" si="19"/>
        <v>9.4308011869168651E-2</v>
      </c>
      <c r="P70" s="185">
        <f t="shared" si="19"/>
        <v>9.4308011869168651E-2</v>
      </c>
    </row>
    <row r="71" spans="2:16">
      <c r="B71" s="141" t="str">
        <f t="shared" si="15"/>
        <v>25-29</v>
      </c>
      <c r="C71" s="165">
        <f t="shared" ref="C71:I80" si="20">C$48*$C33</f>
        <v>8.827524492598901E-2</v>
      </c>
      <c r="D71" s="165">
        <f t="shared" si="20"/>
        <v>8.827524492598901E-2</v>
      </c>
      <c r="E71" s="165">
        <f t="shared" si="20"/>
        <v>8.827524492598901E-2</v>
      </c>
      <c r="F71" s="165">
        <f t="shared" si="20"/>
        <v>8.827524492598901E-2</v>
      </c>
      <c r="G71" s="165">
        <f t="shared" si="20"/>
        <v>8.827524492598901E-2</v>
      </c>
      <c r="H71" s="165">
        <f t="shared" si="20"/>
        <v>8.827524492598901E-2</v>
      </c>
      <c r="I71" s="165">
        <f t="shared" si="20"/>
        <v>8.827524492598901E-2</v>
      </c>
      <c r="J71" s="185">
        <f t="shared" ref="J71:J80" si="21">I71</f>
        <v>8.827524492598901E-2</v>
      </c>
      <c r="K71" s="185">
        <f t="shared" ref="K71:P80" si="22">J71</f>
        <v>8.827524492598901E-2</v>
      </c>
      <c r="L71" s="185">
        <f t="shared" si="22"/>
        <v>8.827524492598901E-2</v>
      </c>
      <c r="M71" s="185">
        <f t="shared" si="22"/>
        <v>8.827524492598901E-2</v>
      </c>
      <c r="N71" s="185">
        <f t="shared" si="22"/>
        <v>8.827524492598901E-2</v>
      </c>
      <c r="O71" s="185">
        <f t="shared" si="22"/>
        <v>8.827524492598901E-2</v>
      </c>
      <c r="P71" s="185">
        <f t="shared" si="22"/>
        <v>8.827524492598901E-2</v>
      </c>
    </row>
    <row r="72" spans="2:16">
      <c r="B72" s="141" t="str">
        <f t="shared" si="15"/>
        <v>30-34</v>
      </c>
      <c r="C72" s="165">
        <f t="shared" si="20"/>
        <v>7.9775683759502364E-2</v>
      </c>
      <c r="D72" s="165">
        <f t="shared" si="20"/>
        <v>7.9775683759502364E-2</v>
      </c>
      <c r="E72" s="165">
        <f t="shared" si="20"/>
        <v>7.9775683759502364E-2</v>
      </c>
      <c r="F72" s="165">
        <f t="shared" si="20"/>
        <v>7.9775683759502364E-2</v>
      </c>
      <c r="G72" s="165">
        <f t="shared" si="20"/>
        <v>7.9775683759502364E-2</v>
      </c>
      <c r="H72" s="165">
        <f t="shared" si="20"/>
        <v>7.9775683759502364E-2</v>
      </c>
      <c r="I72" s="165">
        <f t="shared" si="20"/>
        <v>7.9775683759502364E-2</v>
      </c>
      <c r="J72" s="185">
        <f t="shared" si="21"/>
        <v>7.9775683759502364E-2</v>
      </c>
      <c r="K72" s="185">
        <f t="shared" si="22"/>
        <v>7.9775683759502364E-2</v>
      </c>
      <c r="L72" s="185">
        <f t="shared" si="22"/>
        <v>7.9775683759502364E-2</v>
      </c>
      <c r="M72" s="185">
        <f t="shared" si="22"/>
        <v>7.9775683759502364E-2</v>
      </c>
      <c r="N72" s="185">
        <f t="shared" si="22"/>
        <v>7.9775683759502364E-2</v>
      </c>
      <c r="O72" s="185">
        <f t="shared" si="22"/>
        <v>7.9775683759502364E-2</v>
      </c>
      <c r="P72" s="185">
        <f t="shared" si="22"/>
        <v>7.9775683759502364E-2</v>
      </c>
    </row>
    <row r="73" spans="2:16">
      <c r="B73" s="141" t="str">
        <f t="shared" si="15"/>
        <v>35-39</v>
      </c>
      <c r="C73" s="165">
        <f t="shared" si="20"/>
        <v>7.5692673212471598E-2</v>
      </c>
      <c r="D73" s="165">
        <f t="shared" si="20"/>
        <v>7.5692673212471598E-2</v>
      </c>
      <c r="E73" s="165">
        <f t="shared" si="20"/>
        <v>7.5692673212471598E-2</v>
      </c>
      <c r="F73" s="165">
        <f t="shared" si="20"/>
        <v>7.5692673212471598E-2</v>
      </c>
      <c r="G73" s="165">
        <f t="shared" si="20"/>
        <v>7.5692673212471598E-2</v>
      </c>
      <c r="H73" s="165">
        <f t="shared" si="20"/>
        <v>7.5692673212471598E-2</v>
      </c>
      <c r="I73" s="165">
        <f t="shared" si="20"/>
        <v>7.5692673212471598E-2</v>
      </c>
      <c r="J73" s="185">
        <f t="shared" si="21"/>
        <v>7.5692673212471598E-2</v>
      </c>
      <c r="K73" s="185">
        <f t="shared" si="22"/>
        <v>7.5692673212471598E-2</v>
      </c>
      <c r="L73" s="185">
        <f t="shared" si="22"/>
        <v>7.5692673212471598E-2</v>
      </c>
      <c r="M73" s="185">
        <f t="shared" si="22"/>
        <v>7.5692673212471598E-2</v>
      </c>
      <c r="N73" s="185">
        <f t="shared" si="22"/>
        <v>7.5692673212471598E-2</v>
      </c>
      <c r="O73" s="185">
        <f t="shared" si="22"/>
        <v>7.5692673212471598E-2</v>
      </c>
      <c r="P73" s="185">
        <f t="shared" si="22"/>
        <v>7.5692673212471598E-2</v>
      </c>
    </row>
    <row r="74" spans="2:16">
      <c r="B74" s="141" t="str">
        <f t="shared" si="15"/>
        <v>40-44</v>
      </c>
      <c r="C74" s="165">
        <f t="shared" si="20"/>
        <v>7.0704004259759895E-2</v>
      </c>
      <c r="D74" s="165">
        <f t="shared" si="20"/>
        <v>7.0704004259759895E-2</v>
      </c>
      <c r="E74" s="165">
        <f t="shared" si="20"/>
        <v>7.0704004259759895E-2</v>
      </c>
      <c r="F74" s="165">
        <f t="shared" si="20"/>
        <v>7.0704004259759895E-2</v>
      </c>
      <c r="G74" s="165">
        <f t="shared" si="20"/>
        <v>7.0704004259759895E-2</v>
      </c>
      <c r="H74" s="165">
        <f t="shared" si="20"/>
        <v>7.0704004259759895E-2</v>
      </c>
      <c r="I74" s="165">
        <f t="shared" si="20"/>
        <v>7.0704004259759895E-2</v>
      </c>
      <c r="J74" s="185">
        <f t="shared" si="21"/>
        <v>7.0704004259759895E-2</v>
      </c>
      <c r="K74" s="185">
        <f t="shared" si="22"/>
        <v>7.0704004259759895E-2</v>
      </c>
      <c r="L74" s="185">
        <f t="shared" si="22"/>
        <v>7.0704004259759895E-2</v>
      </c>
      <c r="M74" s="185">
        <f t="shared" si="22"/>
        <v>7.0704004259759895E-2</v>
      </c>
      <c r="N74" s="185">
        <f t="shared" si="22"/>
        <v>7.0704004259759895E-2</v>
      </c>
      <c r="O74" s="185">
        <f t="shared" si="22"/>
        <v>7.0704004259759895E-2</v>
      </c>
      <c r="P74" s="185">
        <f t="shared" si="22"/>
        <v>7.0704004259759895E-2</v>
      </c>
    </row>
    <row r="75" spans="2:16">
      <c r="B75" s="141" t="str">
        <f t="shared" si="15"/>
        <v>45-49</v>
      </c>
      <c r="C75" s="165">
        <f t="shared" si="20"/>
        <v>7.4399513361481595E-2</v>
      </c>
      <c r="D75" s="165">
        <f t="shared" si="20"/>
        <v>7.4399513361481595E-2</v>
      </c>
      <c r="E75" s="165">
        <f t="shared" si="20"/>
        <v>7.4399513361481595E-2</v>
      </c>
      <c r="F75" s="165">
        <f t="shared" si="20"/>
        <v>7.4399513361481595E-2</v>
      </c>
      <c r="G75" s="165">
        <f t="shared" si="20"/>
        <v>7.4399513361481595E-2</v>
      </c>
      <c r="H75" s="165">
        <f t="shared" si="20"/>
        <v>7.4399513361481595E-2</v>
      </c>
      <c r="I75" s="165">
        <f t="shared" si="20"/>
        <v>7.4399513361481595E-2</v>
      </c>
      <c r="J75" s="185">
        <f t="shared" si="21"/>
        <v>7.4399513361481595E-2</v>
      </c>
      <c r="K75" s="185">
        <f t="shared" si="22"/>
        <v>7.4399513361481595E-2</v>
      </c>
      <c r="L75" s="185">
        <f t="shared" si="22"/>
        <v>7.4399513361481595E-2</v>
      </c>
      <c r="M75" s="185">
        <f t="shared" si="22"/>
        <v>7.4399513361481595E-2</v>
      </c>
      <c r="N75" s="185">
        <f t="shared" si="22"/>
        <v>7.4399513361481595E-2</v>
      </c>
      <c r="O75" s="185">
        <f t="shared" si="22"/>
        <v>7.4399513361481595E-2</v>
      </c>
      <c r="P75" s="185">
        <f t="shared" si="22"/>
        <v>7.4399513361481595E-2</v>
      </c>
    </row>
    <row r="76" spans="2:16">
      <c r="B76" s="141" t="str">
        <f t="shared" si="15"/>
        <v>50-54</v>
      </c>
      <c r="C76" s="165">
        <f t="shared" si="20"/>
        <v>8.0023129963471523E-2</v>
      </c>
      <c r="D76" s="165">
        <f t="shared" si="20"/>
        <v>8.0023129963471523E-2</v>
      </c>
      <c r="E76" s="165">
        <f t="shared" si="20"/>
        <v>8.0023129963471523E-2</v>
      </c>
      <c r="F76" s="165">
        <f t="shared" si="20"/>
        <v>8.0023129963471523E-2</v>
      </c>
      <c r="G76" s="165">
        <f t="shared" si="20"/>
        <v>8.0023129963471523E-2</v>
      </c>
      <c r="H76" s="165">
        <f t="shared" si="20"/>
        <v>8.0023129963471523E-2</v>
      </c>
      <c r="I76" s="165">
        <f t="shared" si="20"/>
        <v>8.0023129963471523E-2</v>
      </c>
      <c r="J76" s="185">
        <f t="shared" si="21"/>
        <v>8.0023129963471523E-2</v>
      </c>
      <c r="K76" s="185">
        <f t="shared" si="22"/>
        <v>8.0023129963471523E-2</v>
      </c>
      <c r="L76" s="185">
        <f t="shared" si="22"/>
        <v>8.0023129963471523E-2</v>
      </c>
      <c r="M76" s="185">
        <f t="shared" si="22"/>
        <v>8.0023129963471523E-2</v>
      </c>
      <c r="N76" s="185">
        <f t="shared" si="22"/>
        <v>8.0023129963471523E-2</v>
      </c>
      <c r="O76" s="185">
        <f t="shared" si="22"/>
        <v>8.0023129963471523E-2</v>
      </c>
      <c r="P76" s="185">
        <f t="shared" si="22"/>
        <v>8.0023129963471523E-2</v>
      </c>
    </row>
    <row r="77" spans="2:16">
      <c r="B77" s="141" t="str">
        <f t="shared" si="15"/>
        <v>55-59</v>
      </c>
      <c r="C77" s="165">
        <f t="shared" si="20"/>
        <v>4.9278845389007932E-2</v>
      </c>
      <c r="D77" s="165">
        <f t="shared" si="20"/>
        <v>4.9278845389007932E-2</v>
      </c>
      <c r="E77" s="165">
        <f t="shared" si="20"/>
        <v>4.9278845389007932E-2</v>
      </c>
      <c r="F77" s="165">
        <f t="shared" si="20"/>
        <v>4.9278845389007932E-2</v>
      </c>
      <c r="G77" s="165">
        <f t="shared" si="20"/>
        <v>4.9278845389007932E-2</v>
      </c>
      <c r="H77" s="165">
        <f t="shared" si="20"/>
        <v>4.9278845389007932E-2</v>
      </c>
      <c r="I77" s="165">
        <f t="shared" si="20"/>
        <v>4.9278845389007932E-2</v>
      </c>
      <c r="J77" s="185">
        <f t="shared" si="21"/>
        <v>4.9278845389007932E-2</v>
      </c>
      <c r="K77" s="185">
        <f t="shared" si="22"/>
        <v>4.9278845389007932E-2</v>
      </c>
      <c r="L77" s="185">
        <f t="shared" si="22"/>
        <v>4.9278845389007932E-2</v>
      </c>
      <c r="M77" s="185">
        <f t="shared" si="22"/>
        <v>4.9278845389007932E-2</v>
      </c>
      <c r="N77" s="185">
        <f t="shared" si="22"/>
        <v>4.9278845389007932E-2</v>
      </c>
      <c r="O77" s="185">
        <f t="shared" si="22"/>
        <v>4.9278845389007932E-2</v>
      </c>
      <c r="P77" s="185">
        <f t="shared" si="22"/>
        <v>4.9278845389007932E-2</v>
      </c>
    </row>
    <row r="78" spans="2:16">
      <c r="B78" s="141" t="str">
        <f t="shared" si="15"/>
        <v>60-64</v>
      </c>
      <c r="C78" s="165">
        <f t="shared" si="20"/>
        <v>1.9073370068660899E-2</v>
      </c>
      <c r="D78" s="165">
        <f t="shared" si="20"/>
        <v>1.9073370068660899E-2</v>
      </c>
      <c r="E78" s="165">
        <f t="shared" si="20"/>
        <v>1.9073370068660899E-2</v>
      </c>
      <c r="F78" s="165">
        <f t="shared" si="20"/>
        <v>1.9073370068660899E-2</v>
      </c>
      <c r="G78" s="165">
        <f t="shared" si="20"/>
        <v>1.9073370068660899E-2</v>
      </c>
      <c r="H78" s="165">
        <f t="shared" si="20"/>
        <v>1.9073370068660899E-2</v>
      </c>
      <c r="I78" s="165">
        <f t="shared" si="20"/>
        <v>1.9073370068660899E-2</v>
      </c>
      <c r="J78" s="185">
        <f t="shared" si="21"/>
        <v>1.9073370068660899E-2</v>
      </c>
      <c r="K78" s="185">
        <f t="shared" si="22"/>
        <v>1.9073370068660899E-2</v>
      </c>
      <c r="L78" s="185">
        <f t="shared" si="22"/>
        <v>1.9073370068660899E-2</v>
      </c>
      <c r="M78" s="185">
        <f t="shared" si="22"/>
        <v>1.9073370068660899E-2</v>
      </c>
      <c r="N78" s="185">
        <f t="shared" si="22"/>
        <v>1.9073370068660899E-2</v>
      </c>
      <c r="O78" s="185">
        <f t="shared" si="22"/>
        <v>1.9073370068660899E-2</v>
      </c>
      <c r="P78" s="185">
        <f t="shared" si="22"/>
        <v>1.9073370068660899E-2</v>
      </c>
    </row>
    <row r="79" spans="2:16">
      <c r="B79" s="141" t="str">
        <f t="shared" si="15"/>
        <v>65 plus</v>
      </c>
      <c r="C79" s="165">
        <f t="shared" si="20"/>
        <v>2.0231310070917986E-2</v>
      </c>
      <c r="D79" s="165">
        <f t="shared" si="20"/>
        <v>2.0231310070917986E-2</v>
      </c>
      <c r="E79" s="165">
        <f t="shared" si="20"/>
        <v>2.0231310070917986E-2</v>
      </c>
      <c r="F79" s="165">
        <f t="shared" si="20"/>
        <v>2.0231310070917986E-2</v>
      </c>
      <c r="G79" s="165">
        <f t="shared" si="20"/>
        <v>2.0231310070917986E-2</v>
      </c>
      <c r="H79" s="165">
        <f t="shared" si="20"/>
        <v>2.0231310070917986E-2</v>
      </c>
      <c r="I79" s="165">
        <f t="shared" si="20"/>
        <v>2.0231310070917986E-2</v>
      </c>
      <c r="J79" s="185">
        <f t="shared" si="21"/>
        <v>2.0231310070917986E-2</v>
      </c>
      <c r="K79" s="185">
        <f t="shared" si="22"/>
        <v>2.0231310070917986E-2</v>
      </c>
      <c r="L79" s="185">
        <f t="shared" si="22"/>
        <v>2.0231310070917986E-2</v>
      </c>
      <c r="M79" s="185">
        <f t="shared" si="22"/>
        <v>2.0231310070917986E-2</v>
      </c>
      <c r="N79" s="185">
        <f t="shared" si="22"/>
        <v>2.0231310070917986E-2</v>
      </c>
      <c r="O79" s="185">
        <f t="shared" si="22"/>
        <v>2.0231310070917986E-2</v>
      </c>
      <c r="P79" s="185">
        <f t="shared" si="22"/>
        <v>2.0231310070917986E-2</v>
      </c>
    </row>
    <row r="80" spans="2:16">
      <c r="B80" s="141" t="str">
        <f t="shared" si="15"/>
        <v>Total</v>
      </c>
      <c r="C80" s="165">
        <f t="shared" si="20"/>
        <v>7.5562589606870373E-2</v>
      </c>
      <c r="D80" s="165">
        <f t="shared" si="20"/>
        <v>7.5562589606870373E-2</v>
      </c>
      <c r="E80" s="165">
        <f t="shared" si="20"/>
        <v>7.5562589606870373E-2</v>
      </c>
      <c r="F80" s="165">
        <f t="shared" si="20"/>
        <v>7.5562589606870373E-2</v>
      </c>
      <c r="G80" s="165">
        <f t="shared" si="20"/>
        <v>7.5562589606870373E-2</v>
      </c>
      <c r="H80" s="165">
        <f t="shared" si="20"/>
        <v>7.5562589606870373E-2</v>
      </c>
      <c r="I80" s="165">
        <f t="shared" si="20"/>
        <v>7.5562589606870373E-2</v>
      </c>
      <c r="J80" s="185">
        <f t="shared" si="21"/>
        <v>7.5562589606870373E-2</v>
      </c>
      <c r="K80" s="185">
        <f t="shared" si="22"/>
        <v>7.5562589606870373E-2</v>
      </c>
      <c r="L80" s="185">
        <f t="shared" si="22"/>
        <v>7.5562589606870373E-2</v>
      </c>
      <c r="M80" s="185">
        <f t="shared" si="22"/>
        <v>7.5562589606870373E-2</v>
      </c>
      <c r="N80" s="185">
        <f t="shared" si="22"/>
        <v>7.5562589606870373E-2</v>
      </c>
      <c r="O80" s="185">
        <f t="shared" si="22"/>
        <v>7.5562589606870373E-2</v>
      </c>
      <c r="P80" s="185">
        <f t="shared" si="22"/>
        <v>7.5562589606870373E-2</v>
      </c>
    </row>
    <row r="83" spans="5:6">
      <c r="E83" s="453"/>
      <c r="F83" s="453"/>
    </row>
    <row r="84" spans="5:6">
      <c r="E84" s="453"/>
      <c r="F84" s="453"/>
    </row>
    <row r="85" spans="5:6">
      <c r="E85" s="453"/>
      <c r="F85" s="453"/>
    </row>
    <row r="86" spans="5:6">
      <c r="E86" s="453"/>
      <c r="F86" s="453"/>
    </row>
    <row r="87" spans="5:6">
      <c r="E87" s="453"/>
      <c r="F87" s="453"/>
    </row>
    <row r="88" spans="5:6">
      <c r="E88" s="453"/>
      <c r="F88" s="453"/>
    </row>
    <row r="89" spans="5:6">
      <c r="E89" s="453"/>
      <c r="F89" s="453"/>
    </row>
    <row r="90" spans="5:6">
      <c r="E90" s="453"/>
      <c r="F90" s="453"/>
    </row>
    <row r="91" spans="5:6">
      <c r="E91" s="453"/>
      <c r="F91" s="453"/>
    </row>
    <row r="92" spans="5:6">
      <c r="E92" s="453"/>
      <c r="F92" s="453"/>
    </row>
    <row r="93" spans="5:6">
      <c r="E93" s="453"/>
      <c r="F93" s="453"/>
    </row>
  </sheetData>
  <hyperlinks>
    <hyperlink ref="A2" location="'Title_&amp;_Contents'!A1" display="Contents"/>
    <hyperlink ref="B2" location="Map_of_sheets!A1" display="Map of sheets"/>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P80"/>
  <sheetViews>
    <sheetView showGridLines="0" workbookViewId="0"/>
  </sheetViews>
  <sheetFormatPr defaultRowHeight="12.75"/>
  <cols>
    <col min="2" max="2" width="25.7109375" customWidth="1"/>
    <col min="3" max="18" width="12.7109375" customWidth="1"/>
  </cols>
  <sheetData>
    <row r="1" spans="1:15" s="66" customFormat="1" ht="15">
      <c r="A1" s="65" t="str">
        <f>ModelBanner</f>
        <v>TSM_201718 for publication</v>
      </c>
    </row>
    <row r="2" spans="1:15" s="66" customFormat="1" ht="15">
      <c r="A2" s="1003" t="s">
        <v>13</v>
      </c>
      <c r="B2" s="1003" t="s">
        <v>30</v>
      </c>
    </row>
    <row r="3" spans="1:15" s="66" customFormat="1" ht="15">
      <c r="A3" s="67"/>
    </row>
    <row r="4" spans="1:15" s="57" customFormat="1">
      <c r="A4" s="58" t="s">
        <v>26</v>
      </c>
      <c r="B4" s="58"/>
    </row>
    <row r="5" spans="1:15" s="47" customFormat="1">
      <c r="A5" s="60" t="s">
        <v>632</v>
      </c>
      <c r="B5" s="60"/>
      <c r="C5" s="60"/>
      <c r="D5" s="60"/>
      <c r="E5" s="60"/>
      <c r="F5" s="60"/>
      <c r="G5" s="60"/>
      <c r="H5" s="60"/>
      <c r="I5" s="60"/>
      <c r="J5" s="60"/>
      <c r="K5" s="60"/>
      <c r="L5" s="60"/>
      <c r="M5" s="60"/>
      <c r="N5" s="60"/>
      <c r="O5" s="60"/>
    </row>
    <row r="6" spans="1:15" s="46" customFormat="1">
      <c r="A6" s="56" t="s">
        <v>1420</v>
      </c>
      <c r="B6" s="61"/>
      <c r="C6" s="45"/>
      <c r="D6" s="45"/>
      <c r="E6" s="45"/>
      <c r="F6" s="45"/>
      <c r="G6" s="45"/>
      <c r="H6" s="45"/>
      <c r="I6" s="45"/>
    </row>
    <row r="7" spans="1:15" s="46" customFormat="1">
      <c r="A7" s="54" t="s">
        <v>167</v>
      </c>
      <c r="B7" s="56"/>
      <c r="C7" s="45"/>
      <c r="D7" s="45"/>
      <c r="E7" s="45"/>
      <c r="F7" s="45"/>
      <c r="G7" s="45"/>
      <c r="H7" s="45"/>
      <c r="I7" s="45"/>
    </row>
    <row r="8" spans="1:15" s="46" customFormat="1">
      <c r="A8" s="56" t="s">
        <v>24</v>
      </c>
      <c r="B8" s="61"/>
      <c r="C8" s="45"/>
      <c r="D8" s="45"/>
      <c r="E8" s="45"/>
      <c r="F8" s="45"/>
      <c r="G8" s="45"/>
      <c r="H8" s="45"/>
      <c r="I8" s="45"/>
    </row>
    <row r="9" spans="1:15" s="46" customFormat="1">
      <c r="A9" s="54" t="s">
        <v>1479</v>
      </c>
      <c r="B9" s="61"/>
      <c r="C9" s="45"/>
      <c r="D9" s="45"/>
      <c r="E9" s="45"/>
      <c r="F9" s="45"/>
      <c r="G9" s="45"/>
      <c r="H9" s="45"/>
      <c r="I9" s="45"/>
    </row>
    <row r="10" spans="1:15" s="50" customFormat="1">
      <c r="A10" s="55">
        <f>SUM(A13:A2226)</f>
        <v>0</v>
      </c>
      <c r="B10" s="73"/>
      <c r="C10" s="48"/>
      <c r="D10" s="72"/>
      <c r="E10" s="49"/>
      <c r="F10" s="49"/>
      <c r="G10" s="49"/>
      <c r="H10" s="49"/>
      <c r="I10" s="49"/>
    </row>
    <row r="12" spans="1:15" ht="18">
      <c r="B12" s="39" t="s">
        <v>1480</v>
      </c>
    </row>
    <row r="14" spans="1:15">
      <c r="B14" s="76" t="str">
        <f>Calculation_PRIM_wastage_rates!B120</f>
        <v>MALE weighted wastage rates</v>
      </c>
    </row>
    <row r="16" spans="1:15">
      <c r="B16" s="8" t="str">
        <f>Calculation_PRIM_wastage_rates!B122</f>
        <v>Age group</v>
      </c>
      <c r="C16" s="8" t="str">
        <f>Calculation_PRIM_wastage_rates!G122</f>
        <v>Total</v>
      </c>
    </row>
    <row r="17" spans="2:3">
      <c r="B17" s="8" t="str">
        <f>Calculation_PRIM_wastage_rates!B124</f>
        <v>20-24</v>
      </c>
      <c r="C17" s="163">
        <f>Calculation_SEC_wastage_rates!G124</f>
        <v>0.12811416345529325</v>
      </c>
    </row>
    <row r="18" spans="2:3">
      <c r="B18" s="8" t="str">
        <f>Calculation_PRIM_wastage_rates!B125</f>
        <v>25-29</v>
      </c>
      <c r="C18" s="163">
        <f>Calculation_SEC_wastage_rates!G125</f>
        <v>9.8285782452461085E-2</v>
      </c>
    </row>
    <row r="19" spans="2:3">
      <c r="B19" s="8" t="str">
        <f>Calculation_PRIM_wastage_rates!B126</f>
        <v>30-34</v>
      </c>
      <c r="C19" s="163">
        <f>Calculation_SEC_wastage_rates!G126</f>
        <v>6.8301165737690489E-2</v>
      </c>
    </row>
    <row r="20" spans="2:3">
      <c r="B20" s="8" t="str">
        <f>Calculation_PRIM_wastage_rates!B127</f>
        <v>35-39</v>
      </c>
      <c r="C20" s="163">
        <f>Calculation_SEC_wastage_rates!G127</f>
        <v>6.6004100030155208E-2</v>
      </c>
    </row>
    <row r="21" spans="2:3">
      <c r="B21" s="8" t="str">
        <f>Calculation_PRIM_wastage_rates!B128</f>
        <v>40-44</v>
      </c>
      <c r="C21" s="163">
        <f>Calculation_SEC_wastage_rates!G128</f>
        <v>6.9052916257921926E-2</v>
      </c>
    </row>
    <row r="22" spans="2:3">
      <c r="B22" s="8" t="str">
        <f>Calculation_PRIM_wastage_rates!B129</f>
        <v>45-49</v>
      </c>
      <c r="C22" s="163">
        <f>Calculation_SEC_wastage_rates!G129</f>
        <v>7.9836701122599357E-2</v>
      </c>
    </row>
    <row r="23" spans="2:3">
      <c r="B23" s="8" t="str">
        <f>Calculation_PRIM_wastage_rates!B130</f>
        <v>50-54</v>
      </c>
      <c r="C23" s="163">
        <f>Calculation_SEC_wastage_rates!G130</f>
        <v>7.9154325825221916E-2</v>
      </c>
    </row>
    <row r="24" spans="2:3">
      <c r="B24" s="8" t="str">
        <f>Calculation_PRIM_wastage_rates!B131</f>
        <v>55-59</v>
      </c>
      <c r="C24" s="163">
        <f>Calculation_SEC_wastage_rates!G131</f>
        <v>4.8523625874645544E-2</v>
      </c>
    </row>
    <row r="25" spans="2:3">
      <c r="B25" s="8" t="str">
        <f>Calculation_PRIM_wastage_rates!B132</f>
        <v>60-64</v>
      </c>
      <c r="C25" s="163">
        <f>Calculation_SEC_wastage_rates!G132</f>
        <v>1.860024427796168E-2</v>
      </c>
    </row>
    <row r="26" spans="2:3">
      <c r="B26" s="8" t="str">
        <f>Calculation_PRIM_wastage_rates!B133</f>
        <v>65 plus</v>
      </c>
      <c r="C26" s="163">
        <f>Calculation_SEC_wastage_rates!G133</f>
        <v>2.0673360590148106E-2</v>
      </c>
    </row>
    <row r="27" spans="2:3">
      <c r="B27" s="8" t="str">
        <f>Calculation_PRIM_wastage_rates!B134</f>
        <v>Total</v>
      </c>
      <c r="C27" s="163">
        <f>Calculation_SEC_wastage_rates!G134</f>
        <v>7.4064250984494442E-2</v>
      </c>
    </row>
    <row r="29" spans="2:3">
      <c r="B29" s="76" t="str">
        <f>Calculation_PRIM_wastage_rates!B136</f>
        <v>FEMALE weighted wastage rates</v>
      </c>
    </row>
    <row r="31" spans="2:3">
      <c r="B31" s="8" t="str">
        <f>Calculation_PRIM_wastage_rates!B138</f>
        <v>Age group</v>
      </c>
      <c r="C31" s="8" t="str">
        <f>Calculation_PRIM_wastage_rates!G138</f>
        <v>Total</v>
      </c>
    </row>
    <row r="32" spans="2:3">
      <c r="B32" s="8" t="str">
        <f>Calculation_PRIM_wastage_rates!B140</f>
        <v>20-24</v>
      </c>
      <c r="C32" s="163">
        <f>Calculation_SEC_wastage_rates!G140</f>
        <v>0.11276838177302007</v>
      </c>
    </row>
    <row r="33" spans="2:9">
      <c r="B33" s="8" t="str">
        <f>Calculation_PRIM_wastage_rates!B141</f>
        <v>25-29</v>
      </c>
      <c r="C33" s="163">
        <f>Calculation_SEC_wastage_rates!G141</f>
        <v>9.7860608614392358E-2</v>
      </c>
    </row>
    <row r="34" spans="2:9">
      <c r="B34" s="8" t="str">
        <f>Calculation_PRIM_wastage_rates!B142</f>
        <v>30-34</v>
      </c>
      <c r="C34" s="163">
        <f>Calculation_SEC_wastage_rates!G142</f>
        <v>9.0307123142648951E-2</v>
      </c>
    </row>
    <row r="35" spans="2:9">
      <c r="B35" s="8" t="str">
        <f>Calculation_PRIM_wastage_rates!B143</f>
        <v>35-39</v>
      </c>
      <c r="C35" s="163">
        <f>Calculation_SEC_wastage_rates!G143</f>
        <v>7.9726660619077544E-2</v>
      </c>
    </row>
    <row r="36" spans="2:9">
      <c r="B36" s="8" t="str">
        <f>Calculation_PRIM_wastage_rates!B144</f>
        <v>40-44</v>
      </c>
      <c r="C36" s="163">
        <f>Calculation_SEC_wastage_rates!G144</f>
        <v>7.6062086402962775E-2</v>
      </c>
    </row>
    <row r="37" spans="2:9">
      <c r="B37" s="8" t="str">
        <f>Calculation_PRIM_wastage_rates!B145</f>
        <v>45-49</v>
      </c>
      <c r="C37" s="163">
        <f>Calculation_SEC_wastage_rates!G145</f>
        <v>8.2231886669618254E-2</v>
      </c>
    </row>
    <row r="38" spans="2:9">
      <c r="B38" s="8" t="str">
        <f>Calculation_PRIM_wastage_rates!B146</f>
        <v>50-54</v>
      </c>
      <c r="C38" s="163">
        <f>Calculation_SEC_wastage_rates!G146</f>
        <v>8.3247002333023484E-2</v>
      </c>
    </row>
    <row r="39" spans="2:9">
      <c r="B39" s="8" t="str">
        <f>Calculation_PRIM_wastage_rates!B147</f>
        <v>55-59</v>
      </c>
      <c r="C39" s="163">
        <f>Calculation_SEC_wastage_rates!G147</f>
        <v>5.1262259412022566E-2</v>
      </c>
    </row>
    <row r="40" spans="2:9">
      <c r="B40" s="8" t="str">
        <f>Calculation_PRIM_wastage_rates!B148</f>
        <v>60-64</v>
      </c>
      <c r="C40" s="163">
        <f>Calculation_SEC_wastage_rates!G148</f>
        <v>2.2334141329082582E-2</v>
      </c>
    </row>
    <row r="41" spans="2:9">
      <c r="B41" s="8" t="str">
        <f>Calculation_PRIM_wastage_rates!B149</f>
        <v>65 plus</v>
      </c>
      <c r="C41" s="163">
        <f>Calculation_SEC_wastage_rates!G149</f>
        <v>3.427129235260052E-2</v>
      </c>
    </row>
    <row r="42" spans="2:9">
      <c r="B42" s="8" t="str">
        <f>Calculation_PRIM_wastage_rates!B150</f>
        <v>Total</v>
      </c>
      <c r="C42" s="163">
        <f>Calculation_SEC_wastage_rates!G150</f>
        <v>8.3641034033025863E-2</v>
      </c>
    </row>
    <row r="44" spans="2:9" ht="18">
      <c r="B44" s="39" t="s">
        <v>631</v>
      </c>
    </row>
    <row r="46" spans="2:9">
      <c r="B46" s="8"/>
      <c r="C46" s="8" t="str">
        <f>RAW_DATA_INPUTS!C205</f>
        <v>2014/15</v>
      </c>
      <c r="D46" s="8" t="str">
        <f>RAW_DATA_INPUTS!D205</f>
        <v>2015/16</v>
      </c>
      <c r="E46" s="8" t="str">
        <f>RAW_DATA_INPUTS!E205</f>
        <v>2016/17</v>
      </c>
      <c r="F46" s="8" t="str">
        <f>RAW_DATA_INPUTS!F205</f>
        <v>2017/18</v>
      </c>
      <c r="G46" s="8" t="str">
        <f>RAW_DATA_INPUTS!G205</f>
        <v>2018/19</v>
      </c>
      <c r="H46" s="8" t="str">
        <f>RAW_DATA_INPUTS!H205</f>
        <v>2019/20</v>
      </c>
      <c r="I46" s="8" t="str">
        <f>RAW_DATA_INPUTS!I205</f>
        <v>2020/21</v>
      </c>
    </row>
    <row r="47" spans="2:9">
      <c r="B47" s="8" t="str">
        <f>Projected_PRIM_wastage_rates!B47</f>
        <v>Male scalar selected</v>
      </c>
      <c r="C47" s="261">
        <f>Projected_PRIM_wastage_rates!C47</f>
        <v>1</v>
      </c>
      <c r="D47" s="261">
        <f>Projected_PRIM_wastage_rates!D47</f>
        <v>1</v>
      </c>
      <c r="E47" s="261">
        <f>Projected_PRIM_wastage_rates!E47</f>
        <v>1</v>
      </c>
      <c r="F47" s="261">
        <f>Projected_PRIM_wastage_rates!F47</f>
        <v>1</v>
      </c>
      <c r="G47" s="261">
        <f>Projected_PRIM_wastage_rates!G47</f>
        <v>1</v>
      </c>
      <c r="H47" s="261">
        <f>Projected_PRIM_wastage_rates!H47</f>
        <v>1</v>
      </c>
      <c r="I47" s="261">
        <f>Projected_PRIM_wastage_rates!I47</f>
        <v>1</v>
      </c>
    </row>
    <row r="48" spans="2:9">
      <c r="B48" s="8" t="str">
        <f>Projected_PRIM_wastage_rates!B48</f>
        <v>Female scalar selected</v>
      </c>
      <c r="C48" s="261">
        <f>Projected_PRIM_wastage_rates!C48</f>
        <v>1</v>
      </c>
      <c r="D48" s="261">
        <f>Projected_PRIM_wastage_rates!D48</f>
        <v>1</v>
      </c>
      <c r="E48" s="261">
        <f>Projected_PRIM_wastage_rates!E48</f>
        <v>1</v>
      </c>
      <c r="F48" s="261">
        <f>Projected_PRIM_wastage_rates!F48</f>
        <v>1</v>
      </c>
      <c r="G48" s="261">
        <f>Projected_PRIM_wastage_rates!G48</f>
        <v>1</v>
      </c>
      <c r="H48" s="261">
        <f>Projected_PRIM_wastage_rates!H48</f>
        <v>1</v>
      </c>
      <c r="I48" s="261">
        <f>Projected_PRIM_wastage_rates!I48</f>
        <v>1</v>
      </c>
    </row>
    <row r="50" spans="2:16" ht="18">
      <c r="B50" s="39" t="s">
        <v>143</v>
      </c>
    </row>
    <row r="52" spans="2:16">
      <c r="B52" s="76" t="s">
        <v>144</v>
      </c>
      <c r="C52" s="76"/>
      <c r="D52" s="262" t="s">
        <v>633</v>
      </c>
    </row>
    <row r="53" spans="2:16">
      <c r="B53" s="76"/>
      <c r="C53" s="76"/>
    </row>
    <row r="54" spans="2:16" s="5" customFormat="1">
      <c r="B54" s="8" t="str">
        <f t="shared" ref="B54:B65" si="0">B16</f>
        <v>Age group</v>
      </c>
      <c r="C54" s="8" t="str">
        <f>C46</f>
        <v>2014/15</v>
      </c>
      <c r="D54" s="8" t="str">
        <f t="shared" ref="D54:I54" si="1">D46</f>
        <v>2015/16</v>
      </c>
      <c r="E54" s="8" t="str">
        <f t="shared" si="1"/>
        <v>2016/17</v>
      </c>
      <c r="F54" s="8" t="str">
        <f t="shared" si="1"/>
        <v>2017/18</v>
      </c>
      <c r="G54" s="8" t="str">
        <f t="shared" si="1"/>
        <v>2018/19</v>
      </c>
      <c r="H54" s="8" t="str">
        <f t="shared" si="1"/>
        <v>2019/20</v>
      </c>
      <c r="I54" s="8" t="str">
        <f t="shared" si="1"/>
        <v>2020/21</v>
      </c>
      <c r="J54" s="8" t="str">
        <f>Projected_PRIM_wastage_rates!J54</f>
        <v>2021/22</v>
      </c>
      <c r="K54" s="8" t="str">
        <f>Projected_PRIM_wastage_rates!K54</f>
        <v>2022/23</v>
      </c>
      <c r="L54" s="8" t="str">
        <f>Projected_PRIM_wastage_rates!L54</f>
        <v>2023/24</v>
      </c>
      <c r="M54" s="8" t="str">
        <f>Projected_PRIM_wastage_rates!M54</f>
        <v>2024/25</v>
      </c>
      <c r="N54" s="8" t="str">
        <f>Projected_PRIM_wastage_rates!N54</f>
        <v>2025/26</v>
      </c>
      <c r="O54" s="8" t="str">
        <f>Projected_PRIM_wastage_rates!O54</f>
        <v>2026/27</v>
      </c>
      <c r="P54" s="8" t="str">
        <f>Projected_PRIM_wastage_rates!P54</f>
        <v>2027/28</v>
      </c>
    </row>
    <row r="55" spans="2:16">
      <c r="B55" s="8" t="str">
        <f t="shared" si="0"/>
        <v>20-24</v>
      </c>
      <c r="C55" s="164">
        <f>C$47*$C17</f>
        <v>0.12811416345529325</v>
      </c>
      <c r="D55" s="164">
        <f t="shared" ref="D55:I55" si="2">D$47*$C17</f>
        <v>0.12811416345529325</v>
      </c>
      <c r="E55" s="164">
        <f t="shared" si="2"/>
        <v>0.12811416345529325</v>
      </c>
      <c r="F55" s="164">
        <f t="shared" si="2"/>
        <v>0.12811416345529325</v>
      </c>
      <c r="G55" s="164">
        <f t="shared" si="2"/>
        <v>0.12811416345529325</v>
      </c>
      <c r="H55" s="164">
        <f t="shared" si="2"/>
        <v>0.12811416345529325</v>
      </c>
      <c r="I55" s="164">
        <f t="shared" si="2"/>
        <v>0.12811416345529325</v>
      </c>
      <c r="J55" s="185">
        <f>I55</f>
        <v>0.12811416345529325</v>
      </c>
      <c r="K55" s="185">
        <f t="shared" ref="K55:P55" si="3">J55</f>
        <v>0.12811416345529325</v>
      </c>
      <c r="L55" s="185">
        <f t="shared" si="3"/>
        <v>0.12811416345529325</v>
      </c>
      <c r="M55" s="185">
        <f t="shared" si="3"/>
        <v>0.12811416345529325</v>
      </c>
      <c r="N55" s="185">
        <f t="shared" si="3"/>
        <v>0.12811416345529325</v>
      </c>
      <c r="O55" s="185">
        <f t="shared" si="3"/>
        <v>0.12811416345529325</v>
      </c>
      <c r="P55" s="185">
        <f t="shared" si="3"/>
        <v>0.12811416345529325</v>
      </c>
    </row>
    <row r="56" spans="2:16">
      <c r="B56" s="8" t="str">
        <f t="shared" si="0"/>
        <v>25-29</v>
      </c>
      <c r="C56" s="164">
        <f t="shared" ref="C56:I65" si="4">C$47*$C18</f>
        <v>9.8285782452461085E-2</v>
      </c>
      <c r="D56" s="164">
        <f t="shared" si="4"/>
        <v>9.8285782452461085E-2</v>
      </c>
      <c r="E56" s="164">
        <f t="shared" si="4"/>
        <v>9.8285782452461085E-2</v>
      </c>
      <c r="F56" s="164">
        <f t="shared" si="4"/>
        <v>9.8285782452461085E-2</v>
      </c>
      <c r="G56" s="164">
        <f t="shared" si="4"/>
        <v>9.8285782452461085E-2</v>
      </c>
      <c r="H56" s="164">
        <f t="shared" si="4"/>
        <v>9.8285782452461085E-2</v>
      </c>
      <c r="I56" s="164">
        <f t="shared" si="4"/>
        <v>9.8285782452461085E-2</v>
      </c>
      <c r="J56" s="185">
        <f t="shared" ref="J56:J65" si="5">I56</f>
        <v>9.8285782452461085E-2</v>
      </c>
      <c r="K56" s="185">
        <f t="shared" ref="K56:K65" si="6">J56</f>
        <v>9.8285782452461085E-2</v>
      </c>
      <c r="L56" s="185">
        <f t="shared" ref="L56:P65" si="7">K56</f>
        <v>9.8285782452461085E-2</v>
      </c>
      <c r="M56" s="185">
        <f t="shared" si="7"/>
        <v>9.8285782452461085E-2</v>
      </c>
      <c r="N56" s="185">
        <f t="shared" si="7"/>
        <v>9.8285782452461085E-2</v>
      </c>
      <c r="O56" s="185">
        <f t="shared" si="7"/>
        <v>9.8285782452461085E-2</v>
      </c>
      <c r="P56" s="185">
        <f t="shared" si="7"/>
        <v>9.8285782452461085E-2</v>
      </c>
    </row>
    <row r="57" spans="2:16">
      <c r="B57" s="8" t="str">
        <f t="shared" si="0"/>
        <v>30-34</v>
      </c>
      <c r="C57" s="164">
        <f t="shared" si="4"/>
        <v>6.8301165737690489E-2</v>
      </c>
      <c r="D57" s="164">
        <f t="shared" si="4"/>
        <v>6.8301165737690489E-2</v>
      </c>
      <c r="E57" s="164">
        <f t="shared" si="4"/>
        <v>6.8301165737690489E-2</v>
      </c>
      <c r="F57" s="164">
        <f t="shared" si="4"/>
        <v>6.8301165737690489E-2</v>
      </c>
      <c r="G57" s="164">
        <f t="shared" si="4"/>
        <v>6.8301165737690489E-2</v>
      </c>
      <c r="H57" s="164">
        <f t="shared" si="4"/>
        <v>6.8301165737690489E-2</v>
      </c>
      <c r="I57" s="164">
        <f t="shared" si="4"/>
        <v>6.8301165737690489E-2</v>
      </c>
      <c r="J57" s="185">
        <f t="shared" si="5"/>
        <v>6.8301165737690489E-2</v>
      </c>
      <c r="K57" s="185">
        <f t="shared" si="6"/>
        <v>6.8301165737690489E-2</v>
      </c>
      <c r="L57" s="185">
        <f t="shared" si="7"/>
        <v>6.8301165737690489E-2</v>
      </c>
      <c r="M57" s="185">
        <f t="shared" si="7"/>
        <v>6.8301165737690489E-2</v>
      </c>
      <c r="N57" s="185">
        <f t="shared" si="7"/>
        <v>6.8301165737690489E-2</v>
      </c>
      <c r="O57" s="185">
        <f t="shared" si="7"/>
        <v>6.8301165737690489E-2</v>
      </c>
      <c r="P57" s="185">
        <f t="shared" si="7"/>
        <v>6.8301165737690489E-2</v>
      </c>
    </row>
    <row r="58" spans="2:16" ht="12" customHeight="1">
      <c r="B58" s="8" t="str">
        <f t="shared" si="0"/>
        <v>35-39</v>
      </c>
      <c r="C58" s="164">
        <f t="shared" si="4"/>
        <v>6.6004100030155208E-2</v>
      </c>
      <c r="D58" s="164">
        <f t="shared" si="4"/>
        <v>6.6004100030155208E-2</v>
      </c>
      <c r="E58" s="164">
        <f t="shared" si="4"/>
        <v>6.6004100030155208E-2</v>
      </c>
      <c r="F58" s="164">
        <f t="shared" si="4"/>
        <v>6.6004100030155208E-2</v>
      </c>
      <c r="G58" s="164">
        <f t="shared" si="4"/>
        <v>6.6004100030155208E-2</v>
      </c>
      <c r="H58" s="164">
        <f t="shared" si="4"/>
        <v>6.6004100030155208E-2</v>
      </c>
      <c r="I58" s="164">
        <f t="shared" si="4"/>
        <v>6.6004100030155208E-2</v>
      </c>
      <c r="J58" s="185">
        <f t="shared" si="5"/>
        <v>6.6004100030155208E-2</v>
      </c>
      <c r="K58" s="185">
        <f t="shared" si="6"/>
        <v>6.6004100030155208E-2</v>
      </c>
      <c r="L58" s="185">
        <f t="shared" si="7"/>
        <v>6.6004100030155208E-2</v>
      </c>
      <c r="M58" s="185">
        <f t="shared" si="7"/>
        <v>6.6004100030155208E-2</v>
      </c>
      <c r="N58" s="185">
        <f t="shared" si="7"/>
        <v>6.6004100030155208E-2</v>
      </c>
      <c r="O58" s="185">
        <f t="shared" si="7"/>
        <v>6.6004100030155208E-2</v>
      </c>
      <c r="P58" s="185">
        <f t="shared" si="7"/>
        <v>6.6004100030155208E-2</v>
      </c>
    </row>
    <row r="59" spans="2:16">
      <c r="B59" s="8" t="str">
        <f t="shared" si="0"/>
        <v>40-44</v>
      </c>
      <c r="C59" s="164">
        <f t="shared" si="4"/>
        <v>6.9052916257921926E-2</v>
      </c>
      <c r="D59" s="164">
        <f t="shared" si="4"/>
        <v>6.9052916257921926E-2</v>
      </c>
      <c r="E59" s="164">
        <f t="shared" si="4"/>
        <v>6.9052916257921926E-2</v>
      </c>
      <c r="F59" s="164">
        <f t="shared" si="4"/>
        <v>6.9052916257921926E-2</v>
      </c>
      <c r="G59" s="164">
        <f t="shared" si="4"/>
        <v>6.9052916257921926E-2</v>
      </c>
      <c r="H59" s="164">
        <f t="shared" si="4"/>
        <v>6.9052916257921926E-2</v>
      </c>
      <c r="I59" s="164">
        <f t="shared" si="4"/>
        <v>6.9052916257921926E-2</v>
      </c>
      <c r="J59" s="185">
        <f t="shared" si="5"/>
        <v>6.9052916257921926E-2</v>
      </c>
      <c r="K59" s="185">
        <f t="shared" si="6"/>
        <v>6.9052916257921926E-2</v>
      </c>
      <c r="L59" s="185">
        <f t="shared" si="7"/>
        <v>6.9052916257921926E-2</v>
      </c>
      <c r="M59" s="185">
        <f t="shared" si="7"/>
        <v>6.9052916257921926E-2</v>
      </c>
      <c r="N59" s="185">
        <f t="shared" si="7"/>
        <v>6.9052916257921926E-2</v>
      </c>
      <c r="O59" s="185">
        <f t="shared" si="7"/>
        <v>6.9052916257921926E-2</v>
      </c>
      <c r="P59" s="185">
        <f t="shared" si="7"/>
        <v>6.9052916257921926E-2</v>
      </c>
    </row>
    <row r="60" spans="2:16">
      <c r="B60" s="8" t="str">
        <f t="shared" si="0"/>
        <v>45-49</v>
      </c>
      <c r="C60" s="164">
        <f t="shared" si="4"/>
        <v>7.9836701122599357E-2</v>
      </c>
      <c r="D60" s="164">
        <f t="shared" si="4"/>
        <v>7.9836701122599357E-2</v>
      </c>
      <c r="E60" s="164">
        <f t="shared" si="4"/>
        <v>7.9836701122599357E-2</v>
      </c>
      <c r="F60" s="164">
        <f t="shared" si="4"/>
        <v>7.9836701122599357E-2</v>
      </c>
      <c r="G60" s="164">
        <f t="shared" si="4"/>
        <v>7.9836701122599357E-2</v>
      </c>
      <c r="H60" s="164">
        <f t="shared" si="4"/>
        <v>7.9836701122599357E-2</v>
      </c>
      <c r="I60" s="164">
        <f t="shared" si="4"/>
        <v>7.9836701122599357E-2</v>
      </c>
      <c r="J60" s="185">
        <f t="shared" si="5"/>
        <v>7.9836701122599357E-2</v>
      </c>
      <c r="K60" s="185">
        <f t="shared" si="6"/>
        <v>7.9836701122599357E-2</v>
      </c>
      <c r="L60" s="185">
        <f t="shared" si="7"/>
        <v>7.9836701122599357E-2</v>
      </c>
      <c r="M60" s="185">
        <f t="shared" si="7"/>
        <v>7.9836701122599357E-2</v>
      </c>
      <c r="N60" s="185">
        <f t="shared" si="7"/>
        <v>7.9836701122599357E-2</v>
      </c>
      <c r="O60" s="185">
        <f t="shared" si="7"/>
        <v>7.9836701122599357E-2</v>
      </c>
      <c r="P60" s="185">
        <f t="shared" si="7"/>
        <v>7.9836701122599357E-2</v>
      </c>
    </row>
    <row r="61" spans="2:16">
      <c r="B61" s="8" t="str">
        <f t="shared" si="0"/>
        <v>50-54</v>
      </c>
      <c r="C61" s="164">
        <f t="shared" si="4"/>
        <v>7.9154325825221916E-2</v>
      </c>
      <c r="D61" s="164">
        <f t="shared" si="4"/>
        <v>7.9154325825221916E-2</v>
      </c>
      <c r="E61" s="164">
        <f t="shared" si="4"/>
        <v>7.9154325825221916E-2</v>
      </c>
      <c r="F61" s="164">
        <f t="shared" si="4"/>
        <v>7.9154325825221916E-2</v>
      </c>
      <c r="G61" s="164">
        <f t="shared" si="4"/>
        <v>7.9154325825221916E-2</v>
      </c>
      <c r="H61" s="164">
        <f t="shared" si="4"/>
        <v>7.9154325825221916E-2</v>
      </c>
      <c r="I61" s="164">
        <f t="shared" si="4"/>
        <v>7.9154325825221916E-2</v>
      </c>
      <c r="J61" s="185">
        <f t="shared" si="5"/>
        <v>7.9154325825221916E-2</v>
      </c>
      <c r="K61" s="185">
        <f t="shared" si="6"/>
        <v>7.9154325825221916E-2</v>
      </c>
      <c r="L61" s="185">
        <f t="shared" si="7"/>
        <v>7.9154325825221916E-2</v>
      </c>
      <c r="M61" s="185">
        <f t="shared" si="7"/>
        <v>7.9154325825221916E-2</v>
      </c>
      <c r="N61" s="185">
        <f t="shared" si="7"/>
        <v>7.9154325825221916E-2</v>
      </c>
      <c r="O61" s="185">
        <f t="shared" si="7"/>
        <v>7.9154325825221916E-2</v>
      </c>
      <c r="P61" s="185">
        <f t="shared" si="7"/>
        <v>7.9154325825221916E-2</v>
      </c>
    </row>
    <row r="62" spans="2:16">
      <c r="B62" s="8" t="str">
        <f t="shared" si="0"/>
        <v>55-59</v>
      </c>
      <c r="C62" s="164">
        <f t="shared" si="4"/>
        <v>4.8523625874645544E-2</v>
      </c>
      <c r="D62" s="164">
        <f t="shared" si="4"/>
        <v>4.8523625874645544E-2</v>
      </c>
      <c r="E62" s="164">
        <f t="shared" si="4"/>
        <v>4.8523625874645544E-2</v>
      </c>
      <c r="F62" s="164">
        <f t="shared" si="4"/>
        <v>4.8523625874645544E-2</v>
      </c>
      <c r="G62" s="164">
        <f t="shared" si="4"/>
        <v>4.8523625874645544E-2</v>
      </c>
      <c r="H62" s="164">
        <f t="shared" si="4"/>
        <v>4.8523625874645544E-2</v>
      </c>
      <c r="I62" s="164">
        <f t="shared" si="4"/>
        <v>4.8523625874645544E-2</v>
      </c>
      <c r="J62" s="185">
        <f t="shared" si="5"/>
        <v>4.8523625874645544E-2</v>
      </c>
      <c r="K62" s="185">
        <f t="shared" si="6"/>
        <v>4.8523625874645544E-2</v>
      </c>
      <c r="L62" s="185">
        <f t="shared" si="7"/>
        <v>4.8523625874645544E-2</v>
      </c>
      <c r="M62" s="185">
        <f t="shared" si="7"/>
        <v>4.8523625874645544E-2</v>
      </c>
      <c r="N62" s="185">
        <f t="shared" si="7"/>
        <v>4.8523625874645544E-2</v>
      </c>
      <c r="O62" s="185">
        <f t="shared" si="7"/>
        <v>4.8523625874645544E-2</v>
      </c>
      <c r="P62" s="185">
        <f t="shared" si="7"/>
        <v>4.8523625874645544E-2</v>
      </c>
    </row>
    <row r="63" spans="2:16">
      <c r="B63" s="8" t="str">
        <f t="shared" si="0"/>
        <v>60-64</v>
      </c>
      <c r="C63" s="164">
        <f t="shared" si="4"/>
        <v>1.860024427796168E-2</v>
      </c>
      <c r="D63" s="164">
        <f t="shared" si="4"/>
        <v>1.860024427796168E-2</v>
      </c>
      <c r="E63" s="164">
        <f t="shared" si="4"/>
        <v>1.860024427796168E-2</v>
      </c>
      <c r="F63" s="164">
        <f t="shared" si="4"/>
        <v>1.860024427796168E-2</v>
      </c>
      <c r="G63" s="164">
        <f t="shared" si="4"/>
        <v>1.860024427796168E-2</v>
      </c>
      <c r="H63" s="164">
        <f t="shared" si="4"/>
        <v>1.860024427796168E-2</v>
      </c>
      <c r="I63" s="164">
        <f t="shared" si="4"/>
        <v>1.860024427796168E-2</v>
      </c>
      <c r="J63" s="185">
        <f t="shared" si="5"/>
        <v>1.860024427796168E-2</v>
      </c>
      <c r="K63" s="185">
        <f t="shared" si="6"/>
        <v>1.860024427796168E-2</v>
      </c>
      <c r="L63" s="185">
        <f t="shared" si="7"/>
        <v>1.860024427796168E-2</v>
      </c>
      <c r="M63" s="185">
        <f t="shared" si="7"/>
        <v>1.860024427796168E-2</v>
      </c>
      <c r="N63" s="185">
        <f t="shared" si="7"/>
        <v>1.860024427796168E-2</v>
      </c>
      <c r="O63" s="185">
        <f t="shared" si="7"/>
        <v>1.860024427796168E-2</v>
      </c>
      <c r="P63" s="185">
        <f t="shared" si="7"/>
        <v>1.860024427796168E-2</v>
      </c>
    </row>
    <row r="64" spans="2:16">
      <c r="B64" s="8" t="str">
        <f t="shared" si="0"/>
        <v>65 plus</v>
      </c>
      <c r="C64" s="164">
        <f t="shared" si="4"/>
        <v>2.0673360590148106E-2</v>
      </c>
      <c r="D64" s="164">
        <f t="shared" si="4"/>
        <v>2.0673360590148106E-2</v>
      </c>
      <c r="E64" s="164">
        <f t="shared" si="4"/>
        <v>2.0673360590148106E-2</v>
      </c>
      <c r="F64" s="164">
        <f t="shared" si="4"/>
        <v>2.0673360590148106E-2</v>
      </c>
      <c r="G64" s="164">
        <f t="shared" si="4"/>
        <v>2.0673360590148106E-2</v>
      </c>
      <c r="H64" s="164">
        <f t="shared" si="4"/>
        <v>2.0673360590148106E-2</v>
      </c>
      <c r="I64" s="164">
        <f t="shared" si="4"/>
        <v>2.0673360590148106E-2</v>
      </c>
      <c r="J64" s="185">
        <f t="shared" si="5"/>
        <v>2.0673360590148106E-2</v>
      </c>
      <c r="K64" s="185">
        <f t="shared" si="6"/>
        <v>2.0673360590148106E-2</v>
      </c>
      <c r="L64" s="185">
        <f t="shared" si="7"/>
        <v>2.0673360590148106E-2</v>
      </c>
      <c r="M64" s="185">
        <f t="shared" si="7"/>
        <v>2.0673360590148106E-2</v>
      </c>
      <c r="N64" s="185">
        <f t="shared" si="7"/>
        <v>2.0673360590148106E-2</v>
      </c>
      <c r="O64" s="185">
        <f t="shared" si="7"/>
        <v>2.0673360590148106E-2</v>
      </c>
      <c r="P64" s="185">
        <f t="shared" si="7"/>
        <v>2.0673360590148106E-2</v>
      </c>
    </row>
    <row r="65" spans="2:16">
      <c r="B65" s="8" t="str">
        <f t="shared" si="0"/>
        <v>Total</v>
      </c>
      <c r="C65" s="164">
        <f t="shared" si="4"/>
        <v>7.4064250984494442E-2</v>
      </c>
      <c r="D65" s="164">
        <f t="shared" si="4"/>
        <v>7.4064250984494442E-2</v>
      </c>
      <c r="E65" s="164">
        <f t="shared" si="4"/>
        <v>7.4064250984494442E-2</v>
      </c>
      <c r="F65" s="164">
        <f t="shared" si="4"/>
        <v>7.4064250984494442E-2</v>
      </c>
      <c r="G65" s="164">
        <f t="shared" si="4"/>
        <v>7.4064250984494442E-2</v>
      </c>
      <c r="H65" s="164">
        <f t="shared" si="4"/>
        <v>7.4064250984494442E-2</v>
      </c>
      <c r="I65" s="164">
        <f t="shared" si="4"/>
        <v>7.4064250984494442E-2</v>
      </c>
      <c r="J65" s="185">
        <f t="shared" si="5"/>
        <v>7.4064250984494442E-2</v>
      </c>
      <c r="K65" s="185">
        <f t="shared" si="6"/>
        <v>7.4064250984494442E-2</v>
      </c>
      <c r="L65" s="185">
        <f t="shared" si="7"/>
        <v>7.4064250984494442E-2</v>
      </c>
      <c r="M65" s="185">
        <f t="shared" si="7"/>
        <v>7.4064250984494442E-2</v>
      </c>
      <c r="N65" s="185">
        <f t="shared" si="7"/>
        <v>7.4064250984494442E-2</v>
      </c>
      <c r="O65" s="185">
        <f t="shared" si="7"/>
        <v>7.4064250984494442E-2</v>
      </c>
      <c r="P65" s="185">
        <f t="shared" si="7"/>
        <v>7.4064250984494442E-2</v>
      </c>
    </row>
    <row r="66" spans="2:16">
      <c r="B66" s="76"/>
      <c r="C66" s="76"/>
    </row>
    <row r="67" spans="2:16">
      <c r="B67" s="76" t="s">
        <v>145</v>
      </c>
      <c r="C67" s="76"/>
    </row>
    <row r="68" spans="2:16">
      <c r="B68" s="76"/>
      <c r="C68" s="76"/>
    </row>
    <row r="69" spans="2:16" s="5" customFormat="1">
      <c r="B69" s="141" t="str">
        <f>B31</f>
        <v>Age group</v>
      </c>
      <c r="C69" s="141" t="str">
        <f>C54</f>
        <v>2014/15</v>
      </c>
      <c r="D69" s="141" t="str">
        <f t="shared" ref="D69:P69" si="8">D54</f>
        <v>2015/16</v>
      </c>
      <c r="E69" s="141" t="str">
        <f t="shared" si="8"/>
        <v>2016/17</v>
      </c>
      <c r="F69" s="141" t="str">
        <f t="shared" si="8"/>
        <v>2017/18</v>
      </c>
      <c r="G69" s="141" t="str">
        <f t="shared" si="8"/>
        <v>2018/19</v>
      </c>
      <c r="H69" s="141" t="str">
        <f t="shared" si="8"/>
        <v>2019/20</v>
      </c>
      <c r="I69" s="141" t="str">
        <f t="shared" si="8"/>
        <v>2020/21</v>
      </c>
      <c r="J69" s="141" t="str">
        <f t="shared" si="8"/>
        <v>2021/22</v>
      </c>
      <c r="K69" s="141" t="str">
        <f t="shared" si="8"/>
        <v>2022/23</v>
      </c>
      <c r="L69" s="141" t="str">
        <f t="shared" si="8"/>
        <v>2023/24</v>
      </c>
      <c r="M69" s="141" t="str">
        <f t="shared" si="8"/>
        <v>2024/25</v>
      </c>
      <c r="N69" s="141" t="str">
        <f t="shared" si="8"/>
        <v>2025/26</v>
      </c>
      <c r="O69" s="141" t="str">
        <f t="shared" si="8"/>
        <v>2026/27</v>
      </c>
      <c r="P69" s="141" t="str">
        <f t="shared" si="8"/>
        <v>2027/28</v>
      </c>
    </row>
    <row r="70" spans="2:16">
      <c r="B70" s="141" t="str">
        <f t="shared" ref="B70:B80" si="9">B32</f>
        <v>20-24</v>
      </c>
      <c r="C70" s="165">
        <f>C$48*$C32</f>
        <v>0.11276838177302007</v>
      </c>
      <c r="D70" s="165">
        <f t="shared" ref="D70:I70" si="10">D$48*$C32</f>
        <v>0.11276838177302007</v>
      </c>
      <c r="E70" s="165">
        <f t="shared" si="10"/>
        <v>0.11276838177302007</v>
      </c>
      <c r="F70" s="165">
        <f t="shared" si="10"/>
        <v>0.11276838177302007</v>
      </c>
      <c r="G70" s="165">
        <f t="shared" si="10"/>
        <v>0.11276838177302007</v>
      </c>
      <c r="H70" s="165">
        <f t="shared" si="10"/>
        <v>0.11276838177302007</v>
      </c>
      <c r="I70" s="165">
        <f t="shared" si="10"/>
        <v>0.11276838177302007</v>
      </c>
      <c r="J70" s="260">
        <f>I70</f>
        <v>0.11276838177302007</v>
      </c>
      <c r="K70" s="260">
        <f t="shared" ref="K70:P70" si="11">J70</f>
        <v>0.11276838177302007</v>
      </c>
      <c r="L70" s="260">
        <f t="shared" si="11"/>
        <v>0.11276838177302007</v>
      </c>
      <c r="M70" s="260">
        <f t="shared" si="11"/>
        <v>0.11276838177302007</v>
      </c>
      <c r="N70" s="260">
        <f t="shared" si="11"/>
        <v>0.11276838177302007</v>
      </c>
      <c r="O70" s="260">
        <f t="shared" si="11"/>
        <v>0.11276838177302007</v>
      </c>
      <c r="P70" s="260">
        <f t="shared" si="11"/>
        <v>0.11276838177302007</v>
      </c>
    </row>
    <row r="71" spans="2:16">
      <c r="B71" s="141" t="str">
        <f t="shared" si="9"/>
        <v>25-29</v>
      </c>
      <c r="C71" s="165">
        <f t="shared" ref="C71:I80" si="12">C$48*$C33</f>
        <v>9.7860608614392358E-2</v>
      </c>
      <c r="D71" s="165">
        <f t="shared" si="12"/>
        <v>9.7860608614392358E-2</v>
      </c>
      <c r="E71" s="165">
        <f t="shared" si="12"/>
        <v>9.7860608614392358E-2</v>
      </c>
      <c r="F71" s="165">
        <f t="shared" si="12"/>
        <v>9.7860608614392358E-2</v>
      </c>
      <c r="G71" s="165">
        <f t="shared" si="12"/>
        <v>9.7860608614392358E-2</v>
      </c>
      <c r="H71" s="165">
        <f t="shared" si="12"/>
        <v>9.7860608614392358E-2</v>
      </c>
      <c r="I71" s="165">
        <f t="shared" si="12"/>
        <v>9.7860608614392358E-2</v>
      </c>
      <c r="J71" s="260">
        <f t="shared" ref="J71:J80" si="13">I71</f>
        <v>9.7860608614392358E-2</v>
      </c>
      <c r="K71" s="260">
        <f t="shared" ref="K71:N80" si="14">J71</f>
        <v>9.7860608614392358E-2</v>
      </c>
      <c r="L71" s="260">
        <f t="shared" si="14"/>
        <v>9.7860608614392358E-2</v>
      </c>
      <c r="M71" s="260">
        <f t="shared" si="14"/>
        <v>9.7860608614392358E-2</v>
      </c>
      <c r="N71" s="260">
        <f t="shared" si="14"/>
        <v>9.7860608614392358E-2</v>
      </c>
      <c r="O71" s="260">
        <f t="shared" ref="O71:O80" si="15">N71</f>
        <v>9.7860608614392358E-2</v>
      </c>
      <c r="P71" s="260">
        <f t="shared" ref="P71:P80" si="16">O71</f>
        <v>9.7860608614392358E-2</v>
      </c>
    </row>
    <row r="72" spans="2:16">
      <c r="B72" s="141" t="str">
        <f t="shared" si="9"/>
        <v>30-34</v>
      </c>
      <c r="C72" s="165">
        <f t="shared" si="12"/>
        <v>9.0307123142648951E-2</v>
      </c>
      <c r="D72" s="165">
        <f t="shared" si="12"/>
        <v>9.0307123142648951E-2</v>
      </c>
      <c r="E72" s="165">
        <f t="shared" si="12"/>
        <v>9.0307123142648951E-2</v>
      </c>
      <c r="F72" s="165">
        <f t="shared" si="12"/>
        <v>9.0307123142648951E-2</v>
      </c>
      <c r="G72" s="165">
        <f t="shared" si="12"/>
        <v>9.0307123142648951E-2</v>
      </c>
      <c r="H72" s="165">
        <f t="shared" si="12"/>
        <v>9.0307123142648951E-2</v>
      </c>
      <c r="I72" s="165">
        <f t="shared" si="12"/>
        <v>9.0307123142648951E-2</v>
      </c>
      <c r="J72" s="260">
        <f t="shared" si="13"/>
        <v>9.0307123142648951E-2</v>
      </c>
      <c r="K72" s="260">
        <f t="shared" si="14"/>
        <v>9.0307123142648951E-2</v>
      </c>
      <c r="L72" s="260">
        <f t="shared" si="14"/>
        <v>9.0307123142648951E-2</v>
      </c>
      <c r="M72" s="260">
        <f t="shared" si="14"/>
        <v>9.0307123142648951E-2</v>
      </c>
      <c r="N72" s="260">
        <f t="shared" si="14"/>
        <v>9.0307123142648951E-2</v>
      </c>
      <c r="O72" s="260">
        <f t="shared" si="15"/>
        <v>9.0307123142648951E-2</v>
      </c>
      <c r="P72" s="260">
        <f t="shared" si="16"/>
        <v>9.0307123142648951E-2</v>
      </c>
    </row>
    <row r="73" spans="2:16">
      <c r="B73" s="141" t="str">
        <f t="shared" si="9"/>
        <v>35-39</v>
      </c>
      <c r="C73" s="165">
        <f t="shared" si="12"/>
        <v>7.9726660619077544E-2</v>
      </c>
      <c r="D73" s="165">
        <f t="shared" si="12"/>
        <v>7.9726660619077544E-2</v>
      </c>
      <c r="E73" s="165">
        <f t="shared" si="12"/>
        <v>7.9726660619077544E-2</v>
      </c>
      <c r="F73" s="165">
        <f t="shared" si="12"/>
        <v>7.9726660619077544E-2</v>
      </c>
      <c r="G73" s="165">
        <f t="shared" si="12"/>
        <v>7.9726660619077544E-2</v>
      </c>
      <c r="H73" s="165">
        <f t="shared" si="12"/>
        <v>7.9726660619077544E-2</v>
      </c>
      <c r="I73" s="165">
        <f t="shared" si="12"/>
        <v>7.9726660619077544E-2</v>
      </c>
      <c r="J73" s="260">
        <f t="shared" si="13"/>
        <v>7.9726660619077544E-2</v>
      </c>
      <c r="K73" s="260">
        <f t="shared" si="14"/>
        <v>7.9726660619077544E-2</v>
      </c>
      <c r="L73" s="260">
        <f t="shared" si="14"/>
        <v>7.9726660619077544E-2</v>
      </c>
      <c r="M73" s="260">
        <f t="shared" si="14"/>
        <v>7.9726660619077544E-2</v>
      </c>
      <c r="N73" s="260">
        <f t="shared" si="14"/>
        <v>7.9726660619077544E-2</v>
      </c>
      <c r="O73" s="260">
        <f t="shared" si="15"/>
        <v>7.9726660619077544E-2</v>
      </c>
      <c r="P73" s="260">
        <f t="shared" si="16"/>
        <v>7.9726660619077544E-2</v>
      </c>
    </row>
    <row r="74" spans="2:16">
      <c r="B74" s="141" t="str">
        <f t="shared" si="9"/>
        <v>40-44</v>
      </c>
      <c r="C74" s="165">
        <f t="shared" si="12"/>
        <v>7.6062086402962775E-2</v>
      </c>
      <c r="D74" s="165">
        <f t="shared" si="12"/>
        <v>7.6062086402962775E-2</v>
      </c>
      <c r="E74" s="165">
        <f t="shared" si="12"/>
        <v>7.6062086402962775E-2</v>
      </c>
      <c r="F74" s="165">
        <f t="shared" si="12"/>
        <v>7.6062086402962775E-2</v>
      </c>
      <c r="G74" s="165">
        <f t="shared" si="12"/>
        <v>7.6062086402962775E-2</v>
      </c>
      <c r="H74" s="165">
        <f t="shared" si="12"/>
        <v>7.6062086402962775E-2</v>
      </c>
      <c r="I74" s="165">
        <f t="shared" si="12"/>
        <v>7.6062086402962775E-2</v>
      </c>
      <c r="J74" s="260">
        <f t="shared" si="13"/>
        <v>7.6062086402962775E-2</v>
      </c>
      <c r="K74" s="260">
        <f t="shared" si="14"/>
        <v>7.6062086402962775E-2</v>
      </c>
      <c r="L74" s="260">
        <f t="shared" si="14"/>
        <v>7.6062086402962775E-2</v>
      </c>
      <c r="M74" s="260">
        <f t="shared" si="14"/>
        <v>7.6062086402962775E-2</v>
      </c>
      <c r="N74" s="260">
        <f t="shared" si="14"/>
        <v>7.6062086402962775E-2</v>
      </c>
      <c r="O74" s="260">
        <f t="shared" si="15"/>
        <v>7.6062086402962775E-2</v>
      </c>
      <c r="P74" s="260">
        <f t="shared" si="16"/>
        <v>7.6062086402962775E-2</v>
      </c>
    </row>
    <row r="75" spans="2:16">
      <c r="B75" s="141" t="str">
        <f t="shared" si="9"/>
        <v>45-49</v>
      </c>
      <c r="C75" s="165">
        <f t="shared" si="12"/>
        <v>8.2231886669618254E-2</v>
      </c>
      <c r="D75" s="165">
        <f t="shared" si="12"/>
        <v>8.2231886669618254E-2</v>
      </c>
      <c r="E75" s="165">
        <f t="shared" si="12"/>
        <v>8.2231886669618254E-2</v>
      </c>
      <c r="F75" s="165">
        <f t="shared" si="12"/>
        <v>8.2231886669618254E-2</v>
      </c>
      <c r="G75" s="165">
        <f t="shared" si="12"/>
        <v>8.2231886669618254E-2</v>
      </c>
      <c r="H75" s="165">
        <f t="shared" si="12"/>
        <v>8.2231886669618254E-2</v>
      </c>
      <c r="I75" s="165">
        <f t="shared" si="12"/>
        <v>8.2231886669618254E-2</v>
      </c>
      <c r="J75" s="260">
        <f t="shared" si="13"/>
        <v>8.2231886669618254E-2</v>
      </c>
      <c r="K75" s="260">
        <f t="shared" si="14"/>
        <v>8.2231886669618254E-2</v>
      </c>
      <c r="L75" s="260">
        <f t="shared" si="14"/>
        <v>8.2231886669618254E-2</v>
      </c>
      <c r="M75" s="260">
        <f t="shared" si="14"/>
        <v>8.2231886669618254E-2</v>
      </c>
      <c r="N75" s="260">
        <f t="shared" si="14"/>
        <v>8.2231886669618254E-2</v>
      </c>
      <c r="O75" s="260">
        <f t="shared" si="15"/>
        <v>8.2231886669618254E-2</v>
      </c>
      <c r="P75" s="260">
        <f t="shared" si="16"/>
        <v>8.2231886669618254E-2</v>
      </c>
    </row>
    <row r="76" spans="2:16">
      <c r="B76" s="141" t="str">
        <f t="shared" si="9"/>
        <v>50-54</v>
      </c>
      <c r="C76" s="165">
        <f t="shared" si="12"/>
        <v>8.3247002333023484E-2</v>
      </c>
      <c r="D76" s="165">
        <f t="shared" si="12"/>
        <v>8.3247002333023484E-2</v>
      </c>
      <c r="E76" s="165">
        <f t="shared" si="12"/>
        <v>8.3247002333023484E-2</v>
      </c>
      <c r="F76" s="165">
        <f t="shared" si="12"/>
        <v>8.3247002333023484E-2</v>
      </c>
      <c r="G76" s="165">
        <f t="shared" si="12"/>
        <v>8.3247002333023484E-2</v>
      </c>
      <c r="H76" s="165">
        <f t="shared" si="12"/>
        <v>8.3247002333023484E-2</v>
      </c>
      <c r="I76" s="165">
        <f t="shared" si="12"/>
        <v>8.3247002333023484E-2</v>
      </c>
      <c r="J76" s="260">
        <f t="shared" si="13"/>
        <v>8.3247002333023484E-2</v>
      </c>
      <c r="K76" s="260">
        <f t="shared" si="14"/>
        <v>8.3247002333023484E-2</v>
      </c>
      <c r="L76" s="260">
        <f t="shared" si="14"/>
        <v>8.3247002333023484E-2</v>
      </c>
      <c r="M76" s="260">
        <f t="shared" si="14"/>
        <v>8.3247002333023484E-2</v>
      </c>
      <c r="N76" s="260">
        <f t="shared" si="14"/>
        <v>8.3247002333023484E-2</v>
      </c>
      <c r="O76" s="260">
        <f t="shared" si="15"/>
        <v>8.3247002333023484E-2</v>
      </c>
      <c r="P76" s="260">
        <f t="shared" si="16"/>
        <v>8.3247002333023484E-2</v>
      </c>
    </row>
    <row r="77" spans="2:16">
      <c r="B77" s="141" t="str">
        <f t="shared" si="9"/>
        <v>55-59</v>
      </c>
      <c r="C77" s="165">
        <f t="shared" si="12"/>
        <v>5.1262259412022566E-2</v>
      </c>
      <c r="D77" s="165">
        <f t="shared" si="12"/>
        <v>5.1262259412022566E-2</v>
      </c>
      <c r="E77" s="165">
        <f t="shared" si="12"/>
        <v>5.1262259412022566E-2</v>
      </c>
      <c r="F77" s="165">
        <f t="shared" si="12"/>
        <v>5.1262259412022566E-2</v>
      </c>
      <c r="G77" s="165">
        <f t="shared" si="12"/>
        <v>5.1262259412022566E-2</v>
      </c>
      <c r="H77" s="165">
        <f t="shared" si="12"/>
        <v>5.1262259412022566E-2</v>
      </c>
      <c r="I77" s="165">
        <f t="shared" si="12"/>
        <v>5.1262259412022566E-2</v>
      </c>
      <c r="J77" s="260">
        <f t="shared" si="13"/>
        <v>5.1262259412022566E-2</v>
      </c>
      <c r="K77" s="260">
        <f t="shared" si="14"/>
        <v>5.1262259412022566E-2</v>
      </c>
      <c r="L77" s="260">
        <f t="shared" si="14"/>
        <v>5.1262259412022566E-2</v>
      </c>
      <c r="M77" s="260">
        <f t="shared" si="14"/>
        <v>5.1262259412022566E-2</v>
      </c>
      <c r="N77" s="260">
        <f t="shared" si="14"/>
        <v>5.1262259412022566E-2</v>
      </c>
      <c r="O77" s="260">
        <f t="shared" si="15"/>
        <v>5.1262259412022566E-2</v>
      </c>
      <c r="P77" s="260">
        <f t="shared" si="16"/>
        <v>5.1262259412022566E-2</v>
      </c>
    </row>
    <row r="78" spans="2:16">
      <c r="B78" s="141" t="str">
        <f t="shared" si="9"/>
        <v>60-64</v>
      </c>
      <c r="C78" s="165">
        <f t="shared" si="12"/>
        <v>2.2334141329082582E-2</v>
      </c>
      <c r="D78" s="165">
        <f t="shared" si="12"/>
        <v>2.2334141329082582E-2</v>
      </c>
      <c r="E78" s="165">
        <f t="shared" si="12"/>
        <v>2.2334141329082582E-2</v>
      </c>
      <c r="F78" s="165">
        <f t="shared" si="12"/>
        <v>2.2334141329082582E-2</v>
      </c>
      <c r="G78" s="165">
        <f t="shared" si="12"/>
        <v>2.2334141329082582E-2</v>
      </c>
      <c r="H78" s="165">
        <f t="shared" si="12"/>
        <v>2.2334141329082582E-2</v>
      </c>
      <c r="I78" s="165">
        <f t="shared" si="12"/>
        <v>2.2334141329082582E-2</v>
      </c>
      <c r="J78" s="260">
        <f t="shared" si="13"/>
        <v>2.2334141329082582E-2</v>
      </c>
      <c r="K78" s="260">
        <f t="shared" si="14"/>
        <v>2.2334141329082582E-2</v>
      </c>
      <c r="L78" s="260">
        <f t="shared" si="14"/>
        <v>2.2334141329082582E-2</v>
      </c>
      <c r="M78" s="260">
        <f t="shared" si="14"/>
        <v>2.2334141329082582E-2</v>
      </c>
      <c r="N78" s="260">
        <f t="shared" si="14"/>
        <v>2.2334141329082582E-2</v>
      </c>
      <c r="O78" s="260">
        <f t="shared" si="15"/>
        <v>2.2334141329082582E-2</v>
      </c>
      <c r="P78" s="260">
        <f t="shared" si="16"/>
        <v>2.2334141329082582E-2</v>
      </c>
    </row>
    <row r="79" spans="2:16">
      <c r="B79" s="141" t="str">
        <f t="shared" si="9"/>
        <v>65 plus</v>
      </c>
      <c r="C79" s="165">
        <f t="shared" si="12"/>
        <v>3.427129235260052E-2</v>
      </c>
      <c r="D79" s="165">
        <f t="shared" si="12"/>
        <v>3.427129235260052E-2</v>
      </c>
      <c r="E79" s="165">
        <f t="shared" si="12"/>
        <v>3.427129235260052E-2</v>
      </c>
      <c r="F79" s="165">
        <f t="shared" si="12"/>
        <v>3.427129235260052E-2</v>
      </c>
      <c r="G79" s="165">
        <f t="shared" si="12"/>
        <v>3.427129235260052E-2</v>
      </c>
      <c r="H79" s="165">
        <f t="shared" si="12"/>
        <v>3.427129235260052E-2</v>
      </c>
      <c r="I79" s="165">
        <f t="shared" si="12"/>
        <v>3.427129235260052E-2</v>
      </c>
      <c r="J79" s="260">
        <f t="shared" si="13"/>
        <v>3.427129235260052E-2</v>
      </c>
      <c r="K79" s="260">
        <f t="shared" si="14"/>
        <v>3.427129235260052E-2</v>
      </c>
      <c r="L79" s="260">
        <f t="shared" si="14"/>
        <v>3.427129235260052E-2</v>
      </c>
      <c r="M79" s="260">
        <f t="shared" si="14"/>
        <v>3.427129235260052E-2</v>
      </c>
      <c r="N79" s="260">
        <f t="shared" si="14"/>
        <v>3.427129235260052E-2</v>
      </c>
      <c r="O79" s="260">
        <f t="shared" si="15"/>
        <v>3.427129235260052E-2</v>
      </c>
      <c r="P79" s="260">
        <f t="shared" si="16"/>
        <v>3.427129235260052E-2</v>
      </c>
    </row>
    <row r="80" spans="2:16">
      <c r="B80" s="141" t="str">
        <f t="shared" si="9"/>
        <v>Total</v>
      </c>
      <c r="C80" s="165">
        <f t="shared" si="12"/>
        <v>8.3641034033025863E-2</v>
      </c>
      <c r="D80" s="165">
        <f t="shared" si="12"/>
        <v>8.3641034033025863E-2</v>
      </c>
      <c r="E80" s="165">
        <f t="shared" si="12"/>
        <v>8.3641034033025863E-2</v>
      </c>
      <c r="F80" s="165">
        <f t="shared" si="12"/>
        <v>8.3641034033025863E-2</v>
      </c>
      <c r="G80" s="165">
        <f t="shared" si="12"/>
        <v>8.3641034033025863E-2</v>
      </c>
      <c r="H80" s="165">
        <f t="shared" si="12"/>
        <v>8.3641034033025863E-2</v>
      </c>
      <c r="I80" s="165">
        <f t="shared" si="12"/>
        <v>8.3641034033025863E-2</v>
      </c>
      <c r="J80" s="260">
        <f t="shared" si="13"/>
        <v>8.3641034033025863E-2</v>
      </c>
      <c r="K80" s="260">
        <f t="shared" si="14"/>
        <v>8.3641034033025863E-2</v>
      </c>
      <c r="L80" s="260">
        <f t="shared" si="14"/>
        <v>8.3641034033025863E-2</v>
      </c>
      <c r="M80" s="260">
        <f t="shared" si="14"/>
        <v>8.3641034033025863E-2</v>
      </c>
      <c r="N80" s="260">
        <f t="shared" si="14"/>
        <v>8.3641034033025863E-2</v>
      </c>
      <c r="O80" s="260">
        <f t="shared" si="15"/>
        <v>8.3641034033025863E-2</v>
      </c>
      <c r="P80" s="260">
        <f t="shared" si="16"/>
        <v>8.3641034033025863E-2</v>
      </c>
    </row>
  </sheetData>
  <hyperlinks>
    <hyperlink ref="A2" location="'Title_&amp;_Contents'!A1" display="Contents"/>
    <hyperlink ref="B2" location="Map_of_sheets!A1" display="Map of sheets"/>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110"/>
  <sheetViews>
    <sheetView showGridLines="0" workbookViewId="0"/>
  </sheetViews>
  <sheetFormatPr defaultRowHeight="12.75"/>
  <cols>
    <col min="2" max="2" width="15.7109375" customWidth="1"/>
    <col min="3" max="16" width="12.7109375" customWidth="1"/>
  </cols>
  <sheetData>
    <row r="1" spans="1:16" s="66" customFormat="1" ht="15">
      <c r="A1" s="65" t="str">
        <f>ModelBanner</f>
        <v>TSM_201718 for publication</v>
      </c>
    </row>
    <row r="2" spans="1:16" s="66" customFormat="1" ht="15">
      <c r="A2" s="1003" t="s">
        <v>13</v>
      </c>
      <c r="B2" s="1003" t="s">
        <v>30</v>
      </c>
    </row>
    <row r="3" spans="1:16" s="66" customFormat="1" ht="15">
      <c r="A3" s="67"/>
    </row>
    <row r="4" spans="1:16" s="57" customFormat="1">
      <c r="A4" s="58" t="s">
        <v>26</v>
      </c>
      <c r="B4" s="58"/>
    </row>
    <row r="5" spans="1:16" s="47" customFormat="1" ht="28.5" customHeight="1">
      <c r="A5" s="1213" t="s">
        <v>1481</v>
      </c>
      <c r="B5" s="1213"/>
      <c r="C5" s="1213"/>
      <c r="D5" s="1213"/>
      <c r="E5" s="1213"/>
      <c r="F5" s="1213"/>
      <c r="G5" s="1213"/>
      <c r="H5" s="1213"/>
      <c r="I5" s="1213"/>
      <c r="J5" s="1213"/>
      <c r="K5" s="1213"/>
      <c r="L5" s="1213"/>
      <c r="M5" s="1213"/>
      <c r="N5" s="1213"/>
      <c r="O5" s="1213"/>
      <c r="P5" s="1213"/>
    </row>
    <row r="6" spans="1:16" s="46" customFormat="1">
      <c r="A6" s="56" t="s">
        <v>1420</v>
      </c>
      <c r="B6" s="61"/>
      <c r="C6" s="45"/>
      <c r="D6" s="45"/>
      <c r="E6" s="45"/>
      <c r="F6" s="45"/>
      <c r="G6" s="45"/>
      <c r="H6" s="45"/>
      <c r="I6" s="45"/>
    </row>
    <row r="7" spans="1:16" s="46" customFormat="1">
      <c r="A7" s="54" t="s">
        <v>224</v>
      </c>
      <c r="B7" s="56"/>
      <c r="C7" s="45"/>
      <c r="D7" s="45"/>
      <c r="E7" s="45"/>
      <c r="F7" s="45"/>
      <c r="G7" s="45"/>
      <c r="H7" s="45"/>
      <c r="I7" s="45"/>
    </row>
    <row r="8" spans="1:16" s="46" customFormat="1">
      <c r="A8" s="56" t="s">
        <v>24</v>
      </c>
      <c r="B8" s="61"/>
      <c r="C8" s="45"/>
      <c r="D8" s="45"/>
      <c r="E8" s="45"/>
      <c r="F8" s="45"/>
      <c r="G8" s="45"/>
      <c r="H8" s="45"/>
      <c r="I8" s="45"/>
    </row>
    <row r="9" spans="1:16" s="46" customFormat="1">
      <c r="A9" s="54" t="s">
        <v>1479</v>
      </c>
      <c r="B9" s="61"/>
      <c r="C9" s="45"/>
      <c r="D9" s="45"/>
      <c r="E9" s="45"/>
      <c r="F9" s="45"/>
      <c r="G9" s="45"/>
      <c r="H9" s="45"/>
      <c r="I9" s="45"/>
    </row>
    <row r="10" spans="1:16" s="50" customFormat="1">
      <c r="A10" s="55">
        <f>SUM(A12:A2222)</f>
        <v>0</v>
      </c>
      <c r="B10" s="73"/>
      <c r="C10" s="48"/>
      <c r="D10" s="72"/>
      <c r="E10" s="49"/>
      <c r="F10" s="49"/>
      <c r="G10" s="49"/>
      <c r="H10" s="49"/>
      <c r="I10" s="49"/>
    </row>
    <row r="12" spans="1:16" ht="18">
      <c r="B12" s="39" t="s">
        <v>428</v>
      </c>
    </row>
    <row r="14" spans="1:16">
      <c r="B14" s="12" t="s">
        <v>1110</v>
      </c>
    </row>
    <row r="16" spans="1:16">
      <c r="B16" s="12" t="s">
        <v>429</v>
      </c>
    </row>
    <row r="18" spans="2:8">
      <c r="B18" t="str">
        <f>RAW_DATA_INPUTS!C397</f>
        <v xml:space="preserve">Group 1 subjects include Biology, Chemistry, Computing, Mathematics, and Physics. Group 2 subjects include Classics, English, Geography, History, and Modern Foreign Languages. All other subjects fall into Group 3. </v>
      </c>
    </row>
    <row r="20" spans="2:8">
      <c r="B20" s="12" t="s">
        <v>1482</v>
      </c>
    </row>
    <row r="22" spans="2:8">
      <c r="B22" s="1211"/>
      <c r="C22" s="1173" t="str">
        <f>RAW_DATA_INPUTS!C400</f>
        <v>Assumed wastage conversion rates</v>
      </c>
      <c r="D22" s="1174"/>
      <c r="E22" s="1174"/>
      <c r="F22" s="1174"/>
      <c r="G22" s="1174"/>
      <c r="H22" s="1175"/>
    </row>
    <row r="23" spans="2:8">
      <c r="B23" s="1212"/>
      <c r="C23" s="1173" t="str">
        <f>RAW_DATA_INPUTS!C401</f>
        <v>Male</v>
      </c>
      <c r="D23" s="1174"/>
      <c r="E23" s="1175"/>
      <c r="F23" s="1173" t="str">
        <f>RAW_DATA_INPUTS!F401</f>
        <v>Female</v>
      </c>
      <c r="G23" s="1174"/>
      <c r="H23" s="1175"/>
    </row>
    <row r="24" spans="2:8">
      <c r="B24" s="8" t="str">
        <f>RAW_DATA_INPUTS!B402</f>
        <v>Age group</v>
      </c>
      <c r="C24" s="8" t="str">
        <f>RAW_DATA_INPUTS!C402</f>
        <v>Group 1</v>
      </c>
      <c r="D24" s="8" t="str">
        <f>RAW_DATA_INPUTS!D402</f>
        <v>Group 2</v>
      </c>
      <c r="E24" s="8" t="str">
        <f>RAW_DATA_INPUTS!E402</f>
        <v>Group 3</v>
      </c>
      <c r="F24" s="8" t="str">
        <f>RAW_DATA_INPUTS!F402</f>
        <v>Group 1</v>
      </c>
      <c r="G24" s="8" t="str">
        <f>RAW_DATA_INPUTS!G402</f>
        <v>Group 2</v>
      </c>
      <c r="H24" s="8" t="str">
        <f>RAW_DATA_INPUTS!H402</f>
        <v>Group 3</v>
      </c>
    </row>
    <row r="25" spans="2:8">
      <c r="B25" s="8" t="str">
        <f>RAW_DATA_INPUTS!B403</f>
        <v>20-24</v>
      </c>
      <c r="C25" s="261">
        <f>RAW_DATA_INPUTS!C403</f>
        <v>1.1080000000000001</v>
      </c>
      <c r="D25" s="261">
        <f>RAW_DATA_INPUTS!D403</f>
        <v>0.97099999999999997</v>
      </c>
      <c r="E25" s="261">
        <f>RAW_DATA_INPUTS!E403</f>
        <v>0.84899999999999998</v>
      </c>
      <c r="F25" s="261">
        <f>RAW_DATA_INPUTS!F403</f>
        <v>1.0980000000000001</v>
      </c>
      <c r="G25" s="261">
        <f>RAW_DATA_INPUTS!G403</f>
        <v>0.94</v>
      </c>
      <c r="H25" s="261">
        <f>RAW_DATA_INPUTS!H403</f>
        <v>0.96</v>
      </c>
    </row>
    <row r="26" spans="2:8">
      <c r="B26" s="8" t="str">
        <f>RAW_DATA_INPUTS!B404</f>
        <v>25-29</v>
      </c>
      <c r="C26" s="261">
        <f>RAW_DATA_INPUTS!C404</f>
        <v>1.0720000000000001</v>
      </c>
      <c r="D26" s="261">
        <f>RAW_DATA_INPUTS!D404</f>
        <v>1.1000000000000001</v>
      </c>
      <c r="E26" s="261">
        <f>RAW_DATA_INPUTS!E404</f>
        <v>0.85799999999999998</v>
      </c>
      <c r="F26" s="261">
        <f>RAW_DATA_INPUTS!F404</f>
        <v>1.0649999999999999</v>
      </c>
      <c r="G26" s="261">
        <f>RAW_DATA_INPUTS!G404</f>
        <v>1.0169999999999999</v>
      </c>
      <c r="H26" s="261">
        <f>RAW_DATA_INPUTS!H404</f>
        <v>0.93799999999999994</v>
      </c>
    </row>
    <row r="27" spans="2:8">
      <c r="B27" s="8" t="str">
        <f>RAW_DATA_INPUTS!B405</f>
        <v>30-34</v>
      </c>
      <c r="C27" s="261">
        <f>RAW_DATA_INPUTS!C405</f>
        <v>1.0720000000000001</v>
      </c>
      <c r="D27" s="261">
        <f>RAW_DATA_INPUTS!D405</f>
        <v>1.04</v>
      </c>
      <c r="E27" s="261">
        <f>RAW_DATA_INPUTS!E405</f>
        <v>0.91200000000000003</v>
      </c>
      <c r="F27" s="261">
        <f>RAW_DATA_INPUTS!F405</f>
        <v>1.0309999999999999</v>
      </c>
      <c r="G27" s="261">
        <f>RAW_DATA_INPUTS!G405</f>
        <v>1.022</v>
      </c>
      <c r="H27" s="261">
        <f>RAW_DATA_INPUTS!H405</f>
        <v>0.96099999999999997</v>
      </c>
    </row>
    <row r="28" spans="2:8">
      <c r="B28" s="8" t="str">
        <f>RAW_DATA_INPUTS!B406</f>
        <v>35-39</v>
      </c>
      <c r="C28" s="261">
        <f>RAW_DATA_INPUTS!C406</f>
        <v>1.107</v>
      </c>
      <c r="D28" s="261">
        <f>RAW_DATA_INPUTS!D406</f>
        <v>0.92400000000000004</v>
      </c>
      <c r="E28" s="261">
        <f>RAW_DATA_INPUTS!E406</f>
        <v>0.94099999999999995</v>
      </c>
      <c r="F28" s="261">
        <f>RAW_DATA_INPUTS!F406</f>
        <v>0.97899999999999998</v>
      </c>
      <c r="G28" s="261">
        <f>RAW_DATA_INPUTS!G406</f>
        <v>1.018</v>
      </c>
      <c r="H28" s="261">
        <f>RAW_DATA_INPUTS!H406</f>
        <v>0.998</v>
      </c>
    </row>
    <row r="29" spans="2:8">
      <c r="B29" s="8" t="str">
        <f>RAW_DATA_INPUTS!B407</f>
        <v>40-44</v>
      </c>
      <c r="C29" s="261">
        <f>RAW_DATA_INPUTS!C407</f>
        <v>1.032</v>
      </c>
      <c r="D29" s="261">
        <f>RAW_DATA_INPUTS!D407</f>
        <v>0.93799999999999994</v>
      </c>
      <c r="E29" s="261">
        <f>RAW_DATA_INPUTS!E407</f>
        <v>1.0029999999999999</v>
      </c>
      <c r="F29" s="261">
        <f>RAW_DATA_INPUTS!F407</f>
        <v>1.0169999999999999</v>
      </c>
      <c r="G29" s="261">
        <f>RAW_DATA_INPUTS!G407</f>
        <v>0.98599999999999999</v>
      </c>
      <c r="H29" s="261">
        <f>RAW_DATA_INPUTS!H407</f>
        <v>1.0009999999999999</v>
      </c>
    </row>
    <row r="30" spans="2:8">
      <c r="B30" s="8" t="str">
        <f>RAW_DATA_INPUTS!B408</f>
        <v>45-49</v>
      </c>
      <c r="C30" s="261">
        <f>RAW_DATA_INPUTS!C408</f>
        <v>1.07</v>
      </c>
      <c r="D30" s="261">
        <f>RAW_DATA_INPUTS!D408</f>
        <v>0.91600000000000004</v>
      </c>
      <c r="E30" s="261">
        <f>RAW_DATA_INPUTS!E408</f>
        <v>0.96299999999999997</v>
      </c>
      <c r="F30" s="261">
        <f>RAW_DATA_INPUTS!F408</f>
        <v>1.0349999999999999</v>
      </c>
      <c r="G30" s="261">
        <f>RAW_DATA_INPUTS!G408</f>
        <v>1.0029999999999999</v>
      </c>
      <c r="H30" s="261">
        <f>RAW_DATA_INPUTS!H408</f>
        <v>0.96599999999999997</v>
      </c>
    </row>
    <row r="31" spans="2:8">
      <c r="B31" s="8" t="str">
        <f>RAW_DATA_INPUTS!B409</f>
        <v>50-54</v>
      </c>
      <c r="C31" s="261">
        <f>RAW_DATA_INPUTS!C409</f>
        <v>1.0189999999999999</v>
      </c>
      <c r="D31" s="261">
        <f>RAW_DATA_INPUTS!D409</f>
        <v>0.94399999999999995</v>
      </c>
      <c r="E31" s="261">
        <f>RAW_DATA_INPUTS!E409</f>
        <v>1.01</v>
      </c>
      <c r="F31" s="261">
        <f>RAW_DATA_INPUTS!F409</f>
        <v>0.96099999999999997</v>
      </c>
      <c r="G31" s="261">
        <f>RAW_DATA_INPUTS!G409</f>
        <v>0.97699999999999998</v>
      </c>
      <c r="H31" s="261">
        <f>RAW_DATA_INPUTS!H409</f>
        <v>1.056</v>
      </c>
    </row>
    <row r="32" spans="2:8">
      <c r="B32" s="8" t="str">
        <f>RAW_DATA_INPUTS!B410</f>
        <v>55-59</v>
      </c>
      <c r="C32" s="261">
        <f>RAW_DATA_INPUTS!C410</f>
        <v>0.95</v>
      </c>
      <c r="D32" s="261">
        <f>RAW_DATA_INPUTS!D410</f>
        <v>1.081</v>
      </c>
      <c r="E32" s="261">
        <f>RAW_DATA_INPUTS!E410</f>
        <v>1.006</v>
      </c>
      <c r="F32" s="261">
        <f>RAW_DATA_INPUTS!F410</f>
        <v>0.90700000000000003</v>
      </c>
      <c r="G32" s="261">
        <f>RAW_DATA_INPUTS!G410</f>
        <v>0.98399999999999999</v>
      </c>
      <c r="H32" s="261">
        <f>RAW_DATA_INPUTS!H410</f>
        <v>1.0840000000000001</v>
      </c>
    </row>
    <row r="33" spans="2:18">
      <c r="B33" s="8" t="str">
        <f>RAW_DATA_INPUTS!B411</f>
        <v>60-64</v>
      </c>
      <c r="C33" s="261">
        <f>RAW_DATA_INPUTS!C411</f>
        <v>0.94099999999999995</v>
      </c>
      <c r="D33" s="261">
        <f>RAW_DATA_INPUTS!D411</f>
        <v>1.006</v>
      </c>
      <c r="E33" s="261">
        <f>RAW_DATA_INPUTS!E411</f>
        <v>1.0649999999999999</v>
      </c>
      <c r="F33" s="261">
        <f>RAW_DATA_INPUTS!F411</f>
        <v>0.93799999999999994</v>
      </c>
      <c r="G33" s="261">
        <f>RAW_DATA_INPUTS!G411</f>
        <v>0.98199999999999998</v>
      </c>
      <c r="H33" s="261">
        <f>RAW_DATA_INPUTS!H411</f>
        <v>1.0649999999999999</v>
      </c>
    </row>
    <row r="34" spans="2:18">
      <c r="B34" s="8" t="str">
        <f>RAW_DATA_INPUTS!B412</f>
        <v>65 plus</v>
      </c>
      <c r="C34" s="261">
        <f>RAW_DATA_INPUTS!C412</f>
        <v>0.89300000000000002</v>
      </c>
      <c r="D34" s="261">
        <f>RAW_DATA_INPUTS!D412</f>
        <v>1.105</v>
      </c>
      <c r="E34" s="261">
        <f>RAW_DATA_INPUTS!E412</f>
        <v>1.107</v>
      </c>
      <c r="F34" s="261">
        <f>RAW_DATA_INPUTS!F412</f>
        <v>0.93799999999999994</v>
      </c>
      <c r="G34" s="261">
        <f>RAW_DATA_INPUTS!G412</f>
        <v>1.0249999999999999</v>
      </c>
      <c r="H34" s="261">
        <f>RAW_DATA_INPUTS!H412</f>
        <v>1.0169999999999999</v>
      </c>
    </row>
    <row r="35" spans="2:18">
      <c r="B35" s="8" t="str">
        <f>RAW_DATA_INPUTS!B413</f>
        <v>Total</v>
      </c>
      <c r="C35" s="261">
        <f>RAW_DATA_INPUTS!C413</f>
        <v>1.042</v>
      </c>
      <c r="D35" s="261">
        <f>RAW_DATA_INPUTS!D413</f>
        <v>1.002</v>
      </c>
      <c r="E35" s="261">
        <f>RAW_DATA_INPUTS!E413</f>
        <v>0.95199999999999996</v>
      </c>
      <c r="F35" s="261">
        <f>RAW_DATA_INPUTS!F413</f>
        <v>0.997</v>
      </c>
      <c r="G35" s="261">
        <f>RAW_DATA_INPUTS!G413</f>
        <v>1.008</v>
      </c>
      <c r="H35" s="261">
        <f>RAW_DATA_INPUTS!H413</f>
        <v>0.995</v>
      </c>
    </row>
    <row r="37" spans="2:18" ht="18">
      <c r="B37" s="39" t="s">
        <v>1483</v>
      </c>
    </row>
    <row r="39" spans="2:18">
      <c r="B39" s="5" t="str">
        <f>Projected_SEC_wastage_rates!B52</f>
        <v>Male projected wastage rates</v>
      </c>
      <c r="C39" s="12"/>
      <c r="E39" s="12"/>
      <c r="F39" s="262" t="str">
        <f>Projected_SEC_wastage_rates!D52</f>
        <v>As the Econometric Wastage Model only forecasts wastage 6 years into the future, the rate beyond that is considered to be constant.</v>
      </c>
      <c r="G39" s="12"/>
      <c r="H39" s="12"/>
      <c r="I39" s="12"/>
      <c r="J39" s="12"/>
      <c r="K39" s="12"/>
      <c r="L39" s="12"/>
      <c r="M39" s="12"/>
      <c r="N39" s="12"/>
      <c r="O39" s="12"/>
      <c r="P39" s="12"/>
      <c r="Q39" s="12"/>
      <c r="R39" s="12"/>
    </row>
    <row r="40" spans="2:18">
      <c r="B40" s="12"/>
      <c r="C40" s="12"/>
      <c r="D40" s="12"/>
      <c r="E40" s="12"/>
      <c r="F40" s="12"/>
      <c r="G40" s="12"/>
      <c r="H40" s="12"/>
      <c r="I40" s="12"/>
      <c r="J40" s="12"/>
      <c r="K40" s="12"/>
      <c r="L40" s="12"/>
      <c r="M40" s="12"/>
      <c r="N40" s="12"/>
      <c r="O40" s="12"/>
      <c r="P40" s="12"/>
      <c r="Q40" s="12"/>
      <c r="R40" s="12"/>
    </row>
    <row r="41" spans="2:18">
      <c r="B41" s="8" t="str">
        <f>Projected_SEC_wastage_rates!B54</f>
        <v>Age group</v>
      </c>
      <c r="C41" s="8" t="str">
        <f>Projected_SEC_wastage_rates!C54</f>
        <v>2014/15</v>
      </c>
      <c r="D41" s="8" t="str">
        <f>Projected_SEC_wastage_rates!D54</f>
        <v>2015/16</v>
      </c>
      <c r="E41" s="8" t="str">
        <f>Projected_SEC_wastage_rates!E54</f>
        <v>2016/17</v>
      </c>
      <c r="F41" s="8" t="str">
        <f>Projected_SEC_wastage_rates!F54</f>
        <v>2017/18</v>
      </c>
      <c r="G41" s="8" t="str">
        <f>Projected_SEC_wastage_rates!G54</f>
        <v>2018/19</v>
      </c>
      <c r="H41" s="8" t="str">
        <f>Projected_SEC_wastage_rates!H54</f>
        <v>2019/20</v>
      </c>
      <c r="I41" s="8" t="str">
        <f>Projected_SEC_wastage_rates!I54</f>
        <v>2020/21</v>
      </c>
      <c r="J41" s="8" t="str">
        <f>Projected_SEC_wastage_rates!J54</f>
        <v>2021/22</v>
      </c>
      <c r="K41" s="8" t="str">
        <f>Projected_SEC_wastage_rates!K54</f>
        <v>2022/23</v>
      </c>
      <c r="L41" s="8" t="str">
        <f>Projected_SEC_wastage_rates!L54</f>
        <v>2023/24</v>
      </c>
      <c r="M41" s="8" t="str">
        <f>Projected_SEC_wastage_rates!M54</f>
        <v>2024/25</v>
      </c>
      <c r="N41" s="8" t="str">
        <f>Projected_SEC_wastage_rates!N54</f>
        <v>2025/26</v>
      </c>
      <c r="O41" s="8" t="str">
        <f>Projected_SEC_wastage_rates!O54</f>
        <v>2026/27</v>
      </c>
      <c r="P41" s="8" t="str">
        <f>Projected_SEC_wastage_rates!P54</f>
        <v>2027/28</v>
      </c>
      <c r="Q41" s="12"/>
      <c r="R41" s="12"/>
    </row>
    <row r="42" spans="2:18">
      <c r="B42" s="8" t="str">
        <f>Projected_SEC_wastage_rates!B55</f>
        <v>20-24</v>
      </c>
      <c r="C42" s="953">
        <f>Projected_SEC_wastage_rates!C55</f>
        <v>0.12811416345529325</v>
      </c>
      <c r="D42" s="953">
        <f>Projected_SEC_wastage_rates!D55</f>
        <v>0.12811416345529325</v>
      </c>
      <c r="E42" s="953">
        <f>Projected_SEC_wastage_rates!E55</f>
        <v>0.12811416345529325</v>
      </c>
      <c r="F42" s="953">
        <f>Projected_SEC_wastage_rates!F55</f>
        <v>0.12811416345529325</v>
      </c>
      <c r="G42" s="953">
        <f>Projected_SEC_wastage_rates!G55</f>
        <v>0.12811416345529325</v>
      </c>
      <c r="H42" s="953">
        <f>Projected_SEC_wastage_rates!H55</f>
        <v>0.12811416345529325</v>
      </c>
      <c r="I42" s="953">
        <f>Projected_SEC_wastage_rates!I55</f>
        <v>0.12811416345529325</v>
      </c>
      <c r="J42" s="953">
        <f>Projected_SEC_wastage_rates!J55</f>
        <v>0.12811416345529325</v>
      </c>
      <c r="K42" s="953">
        <f>Projected_SEC_wastage_rates!K55</f>
        <v>0.12811416345529325</v>
      </c>
      <c r="L42" s="953">
        <f>Projected_SEC_wastage_rates!L55</f>
        <v>0.12811416345529325</v>
      </c>
      <c r="M42" s="953">
        <f>Projected_SEC_wastage_rates!M55</f>
        <v>0.12811416345529325</v>
      </c>
      <c r="N42" s="953">
        <f>Projected_SEC_wastage_rates!N55</f>
        <v>0.12811416345529325</v>
      </c>
      <c r="O42" s="953">
        <f>Projected_SEC_wastage_rates!O55</f>
        <v>0.12811416345529325</v>
      </c>
      <c r="P42" s="953">
        <f>Projected_SEC_wastage_rates!P55</f>
        <v>0.12811416345529325</v>
      </c>
      <c r="Q42" s="12"/>
      <c r="R42" s="12"/>
    </row>
    <row r="43" spans="2:18">
      <c r="B43" s="8" t="str">
        <f>Projected_SEC_wastage_rates!B56</f>
        <v>25-29</v>
      </c>
      <c r="C43" s="953">
        <f>Projected_SEC_wastage_rates!C56</f>
        <v>9.8285782452461085E-2</v>
      </c>
      <c r="D43" s="953">
        <f>Projected_SEC_wastage_rates!D56</f>
        <v>9.8285782452461085E-2</v>
      </c>
      <c r="E43" s="953">
        <f>Projected_SEC_wastage_rates!E56</f>
        <v>9.8285782452461085E-2</v>
      </c>
      <c r="F43" s="953">
        <f>Projected_SEC_wastage_rates!F56</f>
        <v>9.8285782452461085E-2</v>
      </c>
      <c r="G43" s="953">
        <f>Projected_SEC_wastage_rates!G56</f>
        <v>9.8285782452461085E-2</v>
      </c>
      <c r="H43" s="953">
        <f>Projected_SEC_wastage_rates!H56</f>
        <v>9.8285782452461085E-2</v>
      </c>
      <c r="I43" s="953">
        <f>Projected_SEC_wastage_rates!I56</f>
        <v>9.8285782452461085E-2</v>
      </c>
      <c r="J43" s="953">
        <f>Projected_SEC_wastage_rates!J56</f>
        <v>9.8285782452461085E-2</v>
      </c>
      <c r="K43" s="953">
        <f>Projected_SEC_wastage_rates!K56</f>
        <v>9.8285782452461085E-2</v>
      </c>
      <c r="L43" s="953">
        <f>Projected_SEC_wastage_rates!L56</f>
        <v>9.8285782452461085E-2</v>
      </c>
      <c r="M43" s="953">
        <f>Projected_SEC_wastage_rates!M56</f>
        <v>9.8285782452461085E-2</v>
      </c>
      <c r="N43" s="953">
        <f>Projected_SEC_wastage_rates!N56</f>
        <v>9.8285782452461085E-2</v>
      </c>
      <c r="O43" s="953">
        <f>Projected_SEC_wastage_rates!O56</f>
        <v>9.8285782452461085E-2</v>
      </c>
      <c r="P43" s="953">
        <f>Projected_SEC_wastage_rates!P56</f>
        <v>9.8285782452461085E-2</v>
      </c>
      <c r="Q43" s="12"/>
      <c r="R43" s="12"/>
    </row>
    <row r="44" spans="2:18">
      <c r="B44" s="8" t="str">
        <f>Projected_SEC_wastage_rates!B57</f>
        <v>30-34</v>
      </c>
      <c r="C44" s="953">
        <f>Projected_SEC_wastage_rates!C57</f>
        <v>6.8301165737690489E-2</v>
      </c>
      <c r="D44" s="953">
        <f>Projected_SEC_wastage_rates!D57</f>
        <v>6.8301165737690489E-2</v>
      </c>
      <c r="E44" s="953">
        <f>Projected_SEC_wastage_rates!E57</f>
        <v>6.8301165737690489E-2</v>
      </c>
      <c r="F44" s="953">
        <f>Projected_SEC_wastage_rates!F57</f>
        <v>6.8301165737690489E-2</v>
      </c>
      <c r="G44" s="953">
        <f>Projected_SEC_wastage_rates!G57</f>
        <v>6.8301165737690489E-2</v>
      </c>
      <c r="H44" s="953">
        <f>Projected_SEC_wastage_rates!H57</f>
        <v>6.8301165737690489E-2</v>
      </c>
      <c r="I44" s="953">
        <f>Projected_SEC_wastage_rates!I57</f>
        <v>6.8301165737690489E-2</v>
      </c>
      <c r="J44" s="953">
        <f>Projected_SEC_wastage_rates!J57</f>
        <v>6.8301165737690489E-2</v>
      </c>
      <c r="K44" s="953">
        <f>Projected_SEC_wastage_rates!K57</f>
        <v>6.8301165737690489E-2</v>
      </c>
      <c r="L44" s="953">
        <f>Projected_SEC_wastage_rates!L57</f>
        <v>6.8301165737690489E-2</v>
      </c>
      <c r="M44" s="953">
        <f>Projected_SEC_wastage_rates!M57</f>
        <v>6.8301165737690489E-2</v>
      </c>
      <c r="N44" s="953">
        <f>Projected_SEC_wastage_rates!N57</f>
        <v>6.8301165737690489E-2</v>
      </c>
      <c r="O44" s="953">
        <f>Projected_SEC_wastage_rates!O57</f>
        <v>6.8301165737690489E-2</v>
      </c>
      <c r="P44" s="953">
        <f>Projected_SEC_wastage_rates!P57</f>
        <v>6.8301165737690489E-2</v>
      </c>
      <c r="Q44" s="12"/>
      <c r="R44" s="12"/>
    </row>
    <row r="45" spans="2:18">
      <c r="B45" s="8" t="str">
        <f>Projected_SEC_wastage_rates!B58</f>
        <v>35-39</v>
      </c>
      <c r="C45" s="953">
        <f>Projected_SEC_wastage_rates!C58</f>
        <v>6.6004100030155208E-2</v>
      </c>
      <c r="D45" s="953">
        <f>Projected_SEC_wastage_rates!D58</f>
        <v>6.6004100030155208E-2</v>
      </c>
      <c r="E45" s="953">
        <f>Projected_SEC_wastage_rates!E58</f>
        <v>6.6004100030155208E-2</v>
      </c>
      <c r="F45" s="953">
        <f>Projected_SEC_wastage_rates!F58</f>
        <v>6.6004100030155208E-2</v>
      </c>
      <c r="G45" s="953">
        <f>Projected_SEC_wastage_rates!G58</f>
        <v>6.6004100030155208E-2</v>
      </c>
      <c r="H45" s="953">
        <f>Projected_SEC_wastage_rates!H58</f>
        <v>6.6004100030155208E-2</v>
      </c>
      <c r="I45" s="953">
        <f>Projected_SEC_wastage_rates!I58</f>
        <v>6.6004100030155208E-2</v>
      </c>
      <c r="J45" s="953">
        <f>Projected_SEC_wastage_rates!J58</f>
        <v>6.6004100030155208E-2</v>
      </c>
      <c r="K45" s="953">
        <f>Projected_SEC_wastage_rates!K58</f>
        <v>6.6004100030155208E-2</v>
      </c>
      <c r="L45" s="953">
        <f>Projected_SEC_wastage_rates!L58</f>
        <v>6.6004100030155208E-2</v>
      </c>
      <c r="M45" s="953">
        <f>Projected_SEC_wastage_rates!M58</f>
        <v>6.6004100030155208E-2</v>
      </c>
      <c r="N45" s="953">
        <f>Projected_SEC_wastage_rates!N58</f>
        <v>6.6004100030155208E-2</v>
      </c>
      <c r="O45" s="953">
        <f>Projected_SEC_wastage_rates!O58</f>
        <v>6.6004100030155208E-2</v>
      </c>
      <c r="P45" s="953">
        <f>Projected_SEC_wastage_rates!P58</f>
        <v>6.6004100030155208E-2</v>
      </c>
      <c r="Q45" s="12"/>
      <c r="R45" s="12"/>
    </row>
    <row r="46" spans="2:18">
      <c r="B46" s="8" t="str">
        <f>Projected_SEC_wastage_rates!B59</f>
        <v>40-44</v>
      </c>
      <c r="C46" s="953">
        <f>Projected_SEC_wastage_rates!C59</f>
        <v>6.9052916257921926E-2</v>
      </c>
      <c r="D46" s="953">
        <f>Projected_SEC_wastage_rates!D59</f>
        <v>6.9052916257921926E-2</v>
      </c>
      <c r="E46" s="953">
        <f>Projected_SEC_wastage_rates!E59</f>
        <v>6.9052916257921926E-2</v>
      </c>
      <c r="F46" s="953">
        <f>Projected_SEC_wastage_rates!F59</f>
        <v>6.9052916257921926E-2</v>
      </c>
      <c r="G46" s="953">
        <f>Projected_SEC_wastage_rates!G59</f>
        <v>6.9052916257921926E-2</v>
      </c>
      <c r="H46" s="953">
        <f>Projected_SEC_wastage_rates!H59</f>
        <v>6.9052916257921926E-2</v>
      </c>
      <c r="I46" s="953">
        <f>Projected_SEC_wastage_rates!I59</f>
        <v>6.9052916257921926E-2</v>
      </c>
      <c r="J46" s="953">
        <f>Projected_SEC_wastage_rates!J59</f>
        <v>6.9052916257921926E-2</v>
      </c>
      <c r="K46" s="953">
        <f>Projected_SEC_wastage_rates!K59</f>
        <v>6.9052916257921926E-2</v>
      </c>
      <c r="L46" s="953">
        <f>Projected_SEC_wastage_rates!L59</f>
        <v>6.9052916257921926E-2</v>
      </c>
      <c r="M46" s="953">
        <f>Projected_SEC_wastage_rates!M59</f>
        <v>6.9052916257921926E-2</v>
      </c>
      <c r="N46" s="953">
        <f>Projected_SEC_wastage_rates!N59</f>
        <v>6.9052916257921926E-2</v>
      </c>
      <c r="O46" s="953">
        <f>Projected_SEC_wastage_rates!O59</f>
        <v>6.9052916257921926E-2</v>
      </c>
      <c r="P46" s="953">
        <f>Projected_SEC_wastage_rates!P59</f>
        <v>6.9052916257921926E-2</v>
      </c>
      <c r="Q46" s="12"/>
      <c r="R46" s="12"/>
    </row>
    <row r="47" spans="2:18">
      <c r="B47" s="8" t="str">
        <f>Projected_SEC_wastage_rates!B60</f>
        <v>45-49</v>
      </c>
      <c r="C47" s="953">
        <f>Projected_SEC_wastage_rates!C60</f>
        <v>7.9836701122599357E-2</v>
      </c>
      <c r="D47" s="953">
        <f>Projected_SEC_wastage_rates!D60</f>
        <v>7.9836701122599357E-2</v>
      </c>
      <c r="E47" s="953">
        <f>Projected_SEC_wastage_rates!E60</f>
        <v>7.9836701122599357E-2</v>
      </c>
      <c r="F47" s="953">
        <f>Projected_SEC_wastage_rates!F60</f>
        <v>7.9836701122599357E-2</v>
      </c>
      <c r="G47" s="953">
        <f>Projected_SEC_wastage_rates!G60</f>
        <v>7.9836701122599357E-2</v>
      </c>
      <c r="H47" s="953">
        <f>Projected_SEC_wastage_rates!H60</f>
        <v>7.9836701122599357E-2</v>
      </c>
      <c r="I47" s="953">
        <f>Projected_SEC_wastage_rates!I60</f>
        <v>7.9836701122599357E-2</v>
      </c>
      <c r="J47" s="953">
        <f>Projected_SEC_wastage_rates!J60</f>
        <v>7.9836701122599357E-2</v>
      </c>
      <c r="K47" s="953">
        <f>Projected_SEC_wastage_rates!K60</f>
        <v>7.9836701122599357E-2</v>
      </c>
      <c r="L47" s="953">
        <f>Projected_SEC_wastage_rates!L60</f>
        <v>7.9836701122599357E-2</v>
      </c>
      <c r="M47" s="953">
        <f>Projected_SEC_wastage_rates!M60</f>
        <v>7.9836701122599357E-2</v>
      </c>
      <c r="N47" s="953">
        <f>Projected_SEC_wastage_rates!N60</f>
        <v>7.9836701122599357E-2</v>
      </c>
      <c r="O47" s="953">
        <f>Projected_SEC_wastage_rates!O60</f>
        <v>7.9836701122599357E-2</v>
      </c>
      <c r="P47" s="953">
        <f>Projected_SEC_wastage_rates!P60</f>
        <v>7.9836701122599357E-2</v>
      </c>
      <c r="Q47" s="12"/>
      <c r="R47" s="12"/>
    </row>
    <row r="48" spans="2:18">
      <c r="B48" s="8" t="str">
        <f>Projected_SEC_wastage_rates!B61</f>
        <v>50-54</v>
      </c>
      <c r="C48" s="953">
        <f>Projected_SEC_wastage_rates!C61</f>
        <v>7.9154325825221916E-2</v>
      </c>
      <c r="D48" s="953">
        <f>Projected_SEC_wastage_rates!D61</f>
        <v>7.9154325825221916E-2</v>
      </c>
      <c r="E48" s="953">
        <f>Projected_SEC_wastage_rates!E61</f>
        <v>7.9154325825221916E-2</v>
      </c>
      <c r="F48" s="953">
        <f>Projected_SEC_wastage_rates!F61</f>
        <v>7.9154325825221916E-2</v>
      </c>
      <c r="G48" s="953">
        <f>Projected_SEC_wastage_rates!G61</f>
        <v>7.9154325825221916E-2</v>
      </c>
      <c r="H48" s="953">
        <f>Projected_SEC_wastage_rates!H61</f>
        <v>7.9154325825221916E-2</v>
      </c>
      <c r="I48" s="953">
        <f>Projected_SEC_wastage_rates!I61</f>
        <v>7.9154325825221916E-2</v>
      </c>
      <c r="J48" s="953">
        <f>Projected_SEC_wastage_rates!J61</f>
        <v>7.9154325825221916E-2</v>
      </c>
      <c r="K48" s="953">
        <f>Projected_SEC_wastage_rates!K61</f>
        <v>7.9154325825221916E-2</v>
      </c>
      <c r="L48" s="953">
        <f>Projected_SEC_wastage_rates!L61</f>
        <v>7.9154325825221916E-2</v>
      </c>
      <c r="M48" s="953">
        <f>Projected_SEC_wastage_rates!M61</f>
        <v>7.9154325825221916E-2</v>
      </c>
      <c r="N48" s="953">
        <f>Projected_SEC_wastage_rates!N61</f>
        <v>7.9154325825221916E-2</v>
      </c>
      <c r="O48" s="953">
        <f>Projected_SEC_wastage_rates!O61</f>
        <v>7.9154325825221916E-2</v>
      </c>
      <c r="P48" s="953">
        <f>Projected_SEC_wastage_rates!P61</f>
        <v>7.9154325825221916E-2</v>
      </c>
      <c r="Q48" s="12"/>
      <c r="R48" s="12"/>
    </row>
    <row r="49" spans="2:18">
      <c r="B49" s="8" t="str">
        <f>Projected_SEC_wastage_rates!B62</f>
        <v>55-59</v>
      </c>
      <c r="C49" s="953">
        <f>Projected_SEC_wastage_rates!C62</f>
        <v>4.8523625874645544E-2</v>
      </c>
      <c r="D49" s="953">
        <f>Projected_SEC_wastage_rates!D62</f>
        <v>4.8523625874645544E-2</v>
      </c>
      <c r="E49" s="953">
        <f>Projected_SEC_wastage_rates!E62</f>
        <v>4.8523625874645544E-2</v>
      </c>
      <c r="F49" s="953">
        <f>Projected_SEC_wastage_rates!F62</f>
        <v>4.8523625874645544E-2</v>
      </c>
      <c r="G49" s="953">
        <f>Projected_SEC_wastage_rates!G62</f>
        <v>4.8523625874645544E-2</v>
      </c>
      <c r="H49" s="953">
        <f>Projected_SEC_wastage_rates!H62</f>
        <v>4.8523625874645544E-2</v>
      </c>
      <c r="I49" s="953">
        <f>Projected_SEC_wastage_rates!I62</f>
        <v>4.8523625874645544E-2</v>
      </c>
      <c r="J49" s="953">
        <f>Projected_SEC_wastage_rates!J62</f>
        <v>4.8523625874645544E-2</v>
      </c>
      <c r="K49" s="953">
        <f>Projected_SEC_wastage_rates!K62</f>
        <v>4.8523625874645544E-2</v>
      </c>
      <c r="L49" s="953">
        <f>Projected_SEC_wastage_rates!L62</f>
        <v>4.8523625874645544E-2</v>
      </c>
      <c r="M49" s="953">
        <f>Projected_SEC_wastage_rates!M62</f>
        <v>4.8523625874645544E-2</v>
      </c>
      <c r="N49" s="953">
        <f>Projected_SEC_wastage_rates!N62</f>
        <v>4.8523625874645544E-2</v>
      </c>
      <c r="O49" s="953">
        <f>Projected_SEC_wastage_rates!O62</f>
        <v>4.8523625874645544E-2</v>
      </c>
      <c r="P49" s="953">
        <f>Projected_SEC_wastage_rates!P62</f>
        <v>4.8523625874645544E-2</v>
      </c>
      <c r="Q49" s="12"/>
      <c r="R49" s="12"/>
    </row>
    <row r="50" spans="2:18">
      <c r="B50" s="8" t="str">
        <f>Projected_SEC_wastage_rates!B63</f>
        <v>60-64</v>
      </c>
      <c r="C50" s="953">
        <f>Projected_SEC_wastage_rates!C63</f>
        <v>1.860024427796168E-2</v>
      </c>
      <c r="D50" s="953">
        <f>Projected_SEC_wastage_rates!D63</f>
        <v>1.860024427796168E-2</v>
      </c>
      <c r="E50" s="953">
        <f>Projected_SEC_wastage_rates!E63</f>
        <v>1.860024427796168E-2</v>
      </c>
      <c r="F50" s="953">
        <f>Projected_SEC_wastage_rates!F63</f>
        <v>1.860024427796168E-2</v>
      </c>
      <c r="G50" s="953">
        <f>Projected_SEC_wastage_rates!G63</f>
        <v>1.860024427796168E-2</v>
      </c>
      <c r="H50" s="953">
        <f>Projected_SEC_wastage_rates!H63</f>
        <v>1.860024427796168E-2</v>
      </c>
      <c r="I50" s="953">
        <f>Projected_SEC_wastage_rates!I63</f>
        <v>1.860024427796168E-2</v>
      </c>
      <c r="J50" s="953">
        <f>Projected_SEC_wastage_rates!J63</f>
        <v>1.860024427796168E-2</v>
      </c>
      <c r="K50" s="953">
        <f>Projected_SEC_wastage_rates!K63</f>
        <v>1.860024427796168E-2</v>
      </c>
      <c r="L50" s="953">
        <f>Projected_SEC_wastage_rates!L63</f>
        <v>1.860024427796168E-2</v>
      </c>
      <c r="M50" s="953">
        <f>Projected_SEC_wastage_rates!M63</f>
        <v>1.860024427796168E-2</v>
      </c>
      <c r="N50" s="953">
        <f>Projected_SEC_wastage_rates!N63</f>
        <v>1.860024427796168E-2</v>
      </c>
      <c r="O50" s="953">
        <f>Projected_SEC_wastage_rates!O63</f>
        <v>1.860024427796168E-2</v>
      </c>
      <c r="P50" s="953">
        <f>Projected_SEC_wastage_rates!P63</f>
        <v>1.860024427796168E-2</v>
      </c>
      <c r="Q50" s="12"/>
      <c r="R50" s="12"/>
    </row>
    <row r="51" spans="2:18">
      <c r="B51" s="8" t="str">
        <f>Projected_SEC_wastage_rates!B64</f>
        <v>65 plus</v>
      </c>
      <c r="C51" s="953">
        <f>Projected_SEC_wastage_rates!C64</f>
        <v>2.0673360590148106E-2</v>
      </c>
      <c r="D51" s="953">
        <f>Projected_SEC_wastage_rates!D64</f>
        <v>2.0673360590148106E-2</v>
      </c>
      <c r="E51" s="953">
        <f>Projected_SEC_wastage_rates!E64</f>
        <v>2.0673360590148106E-2</v>
      </c>
      <c r="F51" s="953">
        <f>Projected_SEC_wastage_rates!F64</f>
        <v>2.0673360590148106E-2</v>
      </c>
      <c r="G51" s="953">
        <f>Projected_SEC_wastage_rates!G64</f>
        <v>2.0673360590148106E-2</v>
      </c>
      <c r="H51" s="953">
        <f>Projected_SEC_wastage_rates!H64</f>
        <v>2.0673360590148106E-2</v>
      </c>
      <c r="I51" s="953">
        <f>Projected_SEC_wastage_rates!I64</f>
        <v>2.0673360590148106E-2</v>
      </c>
      <c r="J51" s="953">
        <f>Projected_SEC_wastage_rates!J64</f>
        <v>2.0673360590148106E-2</v>
      </c>
      <c r="K51" s="953">
        <f>Projected_SEC_wastage_rates!K64</f>
        <v>2.0673360590148106E-2</v>
      </c>
      <c r="L51" s="953">
        <f>Projected_SEC_wastage_rates!L64</f>
        <v>2.0673360590148106E-2</v>
      </c>
      <c r="M51" s="953">
        <f>Projected_SEC_wastage_rates!M64</f>
        <v>2.0673360590148106E-2</v>
      </c>
      <c r="N51" s="953">
        <f>Projected_SEC_wastage_rates!N64</f>
        <v>2.0673360590148106E-2</v>
      </c>
      <c r="O51" s="953">
        <f>Projected_SEC_wastage_rates!O64</f>
        <v>2.0673360590148106E-2</v>
      </c>
      <c r="P51" s="953">
        <f>Projected_SEC_wastage_rates!P64</f>
        <v>2.0673360590148106E-2</v>
      </c>
      <c r="Q51" s="12"/>
      <c r="R51" s="12"/>
    </row>
    <row r="52" spans="2:18">
      <c r="B52" s="8" t="str">
        <f>Projected_SEC_wastage_rates!B65</f>
        <v>Total</v>
      </c>
      <c r="C52" s="953">
        <f>Projected_SEC_wastage_rates!C65</f>
        <v>7.4064250984494442E-2</v>
      </c>
      <c r="D52" s="953">
        <f>Projected_SEC_wastage_rates!D65</f>
        <v>7.4064250984494442E-2</v>
      </c>
      <c r="E52" s="953">
        <f>Projected_SEC_wastage_rates!E65</f>
        <v>7.4064250984494442E-2</v>
      </c>
      <c r="F52" s="953">
        <f>Projected_SEC_wastage_rates!F65</f>
        <v>7.4064250984494442E-2</v>
      </c>
      <c r="G52" s="953">
        <f>Projected_SEC_wastage_rates!G65</f>
        <v>7.4064250984494442E-2</v>
      </c>
      <c r="H52" s="953">
        <f>Projected_SEC_wastage_rates!H65</f>
        <v>7.4064250984494442E-2</v>
      </c>
      <c r="I52" s="953">
        <f>Projected_SEC_wastage_rates!I65</f>
        <v>7.4064250984494442E-2</v>
      </c>
      <c r="J52" s="953">
        <f>Projected_SEC_wastage_rates!J65</f>
        <v>7.4064250984494442E-2</v>
      </c>
      <c r="K52" s="953">
        <f>Projected_SEC_wastage_rates!K65</f>
        <v>7.4064250984494442E-2</v>
      </c>
      <c r="L52" s="953">
        <f>Projected_SEC_wastage_rates!L65</f>
        <v>7.4064250984494442E-2</v>
      </c>
      <c r="M52" s="953">
        <f>Projected_SEC_wastage_rates!M65</f>
        <v>7.4064250984494442E-2</v>
      </c>
      <c r="N52" s="953">
        <f>Projected_SEC_wastage_rates!N65</f>
        <v>7.4064250984494442E-2</v>
      </c>
      <c r="O52" s="953">
        <f>Projected_SEC_wastage_rates!O65</f>
        <v>7.4064250984494442E-2</v>
      </c>
      <c r="P52" s="953">
        <f>Projected_SEC_wastage_rates!P65</f>
        <v>7.4064250984494442E-2</v>
      </c>
      <c r="Q52" s="12"/>
      <c r="R52" s="12"/>
    </row>
    <row r="53" spans="2:18">
      <c r="B53" s="12"/>
      <c r="C53" s="12"/>
      <c r="D53" s="12"/>
      <c r="E53" s="12"/>
      <c r="F53" s="12"/>
      <c r="G53" s="12"/>
      <c r="H53" s="12"/>
      <c r="I53" s="12"/>
      <c r="J53" s="12"/>
      <c r="K53" s="12"/>
      <c r="L53" s="12"/>
      <c r="M53" s="12"/>
      <c r="N53" s="12"/>
      <c r="O53" s="12"/>
      <c r="P53" s="12"/>
      <c r="Q53" s="12"/>
      <c r="R53" s="12"/>
    </row>
    <row r="54" spans="2:18">
      <c r="B54" s="5" t="str">
        <f>Projected_SEC_wastage_rates!B67</f>
        <v>Female projected wastage rates</v>
      </c>
      <c r="C54" s="12"/>
      <c r="D54" s="12"/>
      <c r="E54" s="12"/>
      <c r="F54" s="12"/>
      <c r="G54" s="12"/>
      <c r="H54" s="12"/>
      <c r="I54" s="12"/>
      <c r="J54" s="12"/>
      <c r="K54" s="12"/>
      <c r="L54" s="12"/>
      <c r="M54" s="12"/>
      <c r="N54" s="12"/>
      <c r="O54" s="12"/>
      <c r="P54" s="12"/>
      <c r="Q54" s="12"/>
      <c r="R54" s="12"/>
    </row>
    <row r="55" spans="2:18">
      <c r="B55" s="12"/>
      <c r="C55" s="12"/>
      <c r="D55" s="12"/>
      <c r="E55" s="12"/>
      <c r="F55" s="12"/>
      <c r="G55" s="12"/>
      <c r="H55" s="12"/>
      <c r="I55" s="12"/>
      <c r="J55" s="12"/>
      <c r="K55" s="12"/>
      <c r="L55" s="12"/>
      <c r="M55" s="12"/>
      <c r="N55" s="12"/>
      <c r="O55" s="12"/>
      <c r="P55" s="12"/>
      <c r="Q55" s="12"/>
      <c r="R55" s="12"/>
    </row>
    <row r="56" spans="2:18">
      <c r="B56" s="8" t="str">
        <f>Projected_SEC_wastage_rates!B69</f>
        <v>Age group</v>
      </c>
      <c r="C56" s="8" t="str">
        <f>Projected_SEC_wastage_rates!C69</f>
        <v>2014/15</v>
      </c>
      <c r="D56" s="8" t="str">
        <f>Projected_SEC_wastage_rates!D69</f>
        <v>2015/16</v>
      </c>
      <c r="E56" s="8" t="str">
        <f>Projected_SEC_wastage_rates!E69</f>
        <v>2016/17</v>
      </c>
      <c r="F56" s="8" t="str">
        <f>Projected_SEC_wastage_rates!F69</f>
        <v>2017/18</v>
      </c>
      <c r="G56" s="8" t="str">
        <f>Projected_SEC_wastage_rates!G69</f>
        <v>2018/19</v>
      </c>
      <c r="H56" s="8" t="str">
        <f>Projected_SEC_wastage_rates!H69</f>
        <v>2019/20</v>
      </c>
      <c r="I56" s="8" t="str">
        <f>Projected_SEC_wastage_rates!I69</f>
        <v>2020/21</v>
      </c>
      <c r="J56" s="8" t="str">
        <f>Projected_SEC_wastage_rates!J69</f>
        <v>2021/22</v>
      </c>
      <c r="K56" s="8" t="str">
        <f>Projected_SEC_wastage_rates!K69</f>
        <v>2022/23</v>
      </c>
      <c r="L56" s="8" t="str">
        <f>Projected_SEC_wastage_rates!L69</f>
        <v>2023/24</v>
      </c>
      <c r="M56" s="8" t="str">
        <f>Projected_SEC_wastage_rates!M69</f>
        <v>2024/25</v>
      </c>
      <c r="N56" s="8" t="str">
        <f>Projected_SEC_wastage_rates!N69</f>
        <v>2025/26</v>
      </c>
      <c r="O56" s="8" t="str">
        <f>Projected_SEC_wastage_rates!O69</f>
        <v>2026/27</v>
      </c>
      <c r="P56" s="8" t="str">
        <f>Projected_SEC_wastage_rates!P69</f>
        <v>2027/28</v>
      </c>
      <c r="Q56" s="12"/>
      <c r="R56" s="12"/>
    </row>
    <row r="57" spans="2:18">
      <c r="B57" s="8" t="str">
        <f>Projected_SEC_wastage_rates!B70</f>
        <v>20-24</v>
      </c>
      <c r="C57" s="953">
        <f>Projected_SEC_wastage_rates!C70</f>
        <v>0.11276838177302007</v>
      </c>
      <c r="D57" s="953">
        <f>Projected_SEC_wastage_rates!D70</f>
        <v>0.11276838177302007</v>
      </c>
      <c r="E57" s="953">
        <f>Projected_SEC_wastage_rates!E70</f>
        <v>0.11276838177302007</v>
      </c>
      <c r="F57" s="953">
        <f>Projected_SEC_wastage_rates!F70</f>
        <v>0.11276838177302007</v>
      </c>
      <c r="G57" s="953">
        <f>Projected_SEC_wastage_rates!G70</f>
        <v>0.11276838177302007</v>
      </c>
      <c r="H57" s="953">
        <f>Projected_SEC_wastage_rates!H70</f>
        <v>0.11276838177302007</v>
      </c>
      <c r="I57" s="953">
        <f>Projected_SEC_wastage_rates!I70</f>
        <v>0.11276838177302007</v>
      </c>
      <c r="J57" s="953">
        <f>Projected_SEC_wastage_rates!J70</f>
        <v>0.11276838177302007</v>
      </c>
      <c r="K57" s="953">
        <f>Projected_SEC_wastage_rates!K70</f>
        <v>0.11276838177302007</v>
      </c>
      <c r="L57" s="953">
        <f>Projected_SEC_wastage_rates!L70</f>
        <v>0.11276838177302007</v>
      </c>
      <c r="M57" s="953">
        <f>Projected_SEC_wastage_rates!M70</f>
        <v>0.11276838177302007</v>
      </c>
      <c r="N57" s="953">
        <f>Projected_SEC_wastage_rates!N70</f>
        <v>0.11276838177302007</v>
      </c>
      <c r="O57" s="953">
        <f>Projected_SEC_wastage_rates!O70</f>
        <v>0.11276838177302007</v>
      </c>
      <c r="P57" s="953">
        <f>Projected_SEC_wastage_rates!P70</f>
        <v>0.11276838177302007</v>
      </c>
      <c r="Q57" s="12"/>
      <c r="R57" s="12"/>
    </row>
    <row r="58" spans="2:18">
      <c r="B58" s="8" t="str">
        <f>Projected_SEC_wastage_rates!B71</f>
        <v>25-29</v>
      </c>
      <c r="C58" s="953">
        <f>Projected_SEC_wastage_rates!C71</f>
        <v>9.7860608614392358E-2</v>
      </c>
      <c r="D58" s="953">
        <f>Projected_SEC_wastage_rates!D71</f>
        <v>9.7860608614392358E-2</v>
      </c>
      <c r="E58" s="953">
        <f>Projected_SEC_wastage_rates!E71</f>
        <v>9.7860608614392358E-2</v>
      </c>
      <c r="F58" s="953">
        <f>Projected_SEC_wastage_rates!F71</f>
        <v>9.7860608614392358E-2</v>
      </c>
      <c r="G58" s="953">
        <f>Projected_SEC_wastage_rates!G71</f>
        <v>9.7860608614392358E-2</v>
      </c>
      <c r="H58" s="953">
        <f>Projected_SEC_wastage_rates!H71</f>
        <v>9.7860608614392358E-2</v>
      </c>
      <c r="I58" s="953">
        <f>Projected_SEC_wastage_rates!I71</f>
        <v>9.7860608614392358E-2</v>
      </c>
      <c r="J58" s="953">
        <f>Projected_SEC_wastage_rates!J71</f>
        <v>9.7860608614392358E-2</v>
      </c>
      <c r="K58" s="953">
        <f>Projected_SEC_wastage_rates!K71</f>
        <v>9.7860608614392358E-2</v>
      </c>
      <c r="L58" s="953">
        <f>Projected_SEC_wastage_rates!L71</f>
        <v>9.7860608614392358E-2</v>
      </c>
      <c r="M58" s="953">
        <f>Projected_SEC_wastage_rates!M71</f>
        <v>9.7860608614392358E-2</v>
      </c>
      <c r="N58" s="953">
        <f>Projected_SEC_wastage_rates!N71</f>
        <v>9.7860608614392358E-2</v>
      </c>
      <c r="O58" s="953">
        <f>Projected_SEC_wastage_rates!O71</f>
        <v>9.7860608614392358E-2</v>
      </c>
      <c r="P58" s="953">
        <f>Projected_SEC_wastage_rates!P71</f>
        <v>9.7860608614392358E-2</v>
      </c>
      <c r="Q58" s="12"/>
      <c r="R58" s="12"/>
    </row>
    <row r="59" spans="2:18">
      <c r="B59" s="8" t="str">
        <f>Projected_SEC_wastage_rates!B72</f>
        <v>30-34</v>
      </c>
      <c r="C59" s="953">
        <f>Projected_SEC_wastage_rates!C72</f>
        <v>9.0307123142648951E-2</v>
      </c>
      <c r="D59" s="953">
        <f>Projected_SEC_wastage_rates!D72</f>
        <v>9.0307123142648951E-2</v>
      </c>
      <c r="E59" s="953">
        <f>Projected_SEC_wastage_rates!E72</f>
        <v>9.0307123142648951E-2</v>
      </c>
      <c r="F59" s="953">
        <f>Projected_SEC_wastage_rates!F72</f>
        <v>9.0307123142648951E-2</v>
      </c>
      <c r="G59" s="953">
        <f>Projected_SEC_wastage_rates!G72</f>
        <v>9.0307123142648951E-2</v>
      </c>
      <c r="H59" s="953">
        <f>Projected_SEC_wastage_rates!H72</f>
        <v>9.0307123142648951E-2</v>
      </c>
      <c r="I59" s="953">
        <f>Projected_SEC_wastage_rates!I72</f>
        <v>9.0307123142648951E-2</v>
      </c>
      <c r="J59" s="953">
        <f>Projected_SEC_wastage_rates!J72</f>
        <v>9.0307123142648951E-2</v>
      </c>
      <c r="K59" s="953">
        <f>Projected_SEC_wastage_rates!K72</f>
        <v>9.0307123142648951E-2</v>
      </c>
      <c r="L59" s="953">
        <f>Projected_SEC_wastage_rates!L72</f>
        <v>9.0307123142648951E-2</v>
      </c>
      <c r="M59" s="953">
        <f>Projected_SEC_wastage_rates!M72</f>
        <v>9.0307123142648951E-2</v>
      </c>
      <c r="N59" s="953">
        <f>Projected_SEC_wastage_rates!N72</f>
        <v>9.0307123142648951E-2</v>
      </c>
      <c r="O59" s="953">
        <f>Projected_SEC_wastage_rates!O72</f>
        <v>9.0307123142648951E-2</v>
      </c>
      <c r="P59" s="953">
        <f>Projected_SEC_wastage_rates!P72</f>
        <v>9.0307123142648951E-2</v>
      </c>
      <c r="Q59" s="12"/>
      <c r="R59" s="12"/>
    </row>
    <row r="60" spans="2:18">
      <c r="B60" s="8" t="str">
        <f>Projected_SEC_wastage_rates!B73</f>
        <v>35-39</v>
      </c>
      <c r="C60" s="953">
        <f>Projected_SEC_wastage_rates!C73</f>
        <v>7.9726660619077544E-2</v>
      </c>
      <c r="D60" s="953">
        <f>Projected_SEC_wastage_rates!D73</f>
        <v>7.9726660619077544E-2</v>
      </c>
      <c r="E60" s="953">
        <f>Projected_SEC_wastage_rates!E73</f>
        <v>7.9726660619077544E-2</v>
      </c>
      <c r="F60" s="953">
        <f>Projected_SEC_wastage_rates!F73</f>
        <v>7.9726660619077544E-2</v>
      </c>
      <c r="G60" s="953">
        <f>Projected_SEC_wastage_rates!G73</f>
        <v>7.9726660619077544E-2</v>
      </c>
      <c r="H60" s="953">
        <f>Projected_SEC_wastage_rates!H73</f>
        <v>7.9726660619077544E-2</v>
      </c>
      <c r="I60" s="953">
        <f>Projected_SEC_wastage_rates!I73</f>
        <v>7.9726660619077544E-2</v>
      </c>
      <c r="J60" s="953">
        <f>Projected_SEC_wastage_rates!J73</f>
        <v>7.9726660619077544E-2</v>
      </c>
      <c r="K60" s="953">
        <f>Projected_SEC_wastage_rates!K73</f>
        <v>7.9726660619077544E-2</v>
      </c>
      <c r="L60" s="953">
        <f>Projected_SEC_wastage_rates!L73</f>
        <v>7.9726660619077544E-2</v>
      </c>
      <c r="M60" s="953">
        <f>Projected_SEC_wastage_rates!M73</f>
        <v>7.9726660619077544E-2</v>
      </c>
      <c r="N60" s="953">
        <f>Projected_SEC_wastage_rates!N73</f>
        <v>7.9726660619077544E-2</v>
      </c>
      <c r="O60" s="953">
        <f>Projected_SEC_wastage_rates!O73</f>
        <v>7.9726660619077544E-2</v>
      </c>
      <c r="P60" s="953">
        <f>Projected_SEC_wastage_rates!P73</f>
        <v>7.9726660619077544E-2</v>
      </c>
      <c r="Q60" s="12"/>
      <c r="R60" s="12"/>
    </row>
    <row r="61" spans="2:18">
      <c r="B61" s="8" t="str">
        <f>Projected_SEC_wastage_rates!B74</f>
        <v>40-44</v>
      </c>
      <c r="C61" s="953">
        <f>Projected_SEC_wastage_rates!C74</f>
        <v>7.6062086402962775E-2</v>
      </c>
      <c r="D61" s="953">
        <f>Projected_SEC_wastage_rates!D74</f>
        <v>7.6062086402962775E-2</v>
      </c>
      <c r="E61" s="953">
        <f>Projected_SEC_wastage_rates!E74</f>
        <v>7.6062086402962775E-2</v>
      </c>
      <c r="F61" s="953">
        <f>Projected_SEC_wastage_rates!F74</f>
        <v>7.6062086402962775E-2</v>
      </c>
      <c r="G61" s="953">
        <f>Projected_SEC_wastage_rates!G74</f>
        <v>7.6062086402962775E-2</v>
      </c>
      <c r="H61" s="953">
        <f>Projected_SEC_wastage_rates!H74</f>
        <v>7.6062086402962775E-2</v>
      </c>
      <c r="I61" s="953">
        <f>Projected_SEC_wastage_rates!I74</f>
        <v>7.6062086402962775E-2</v>
      </c>
      <c r="J61" s="953">
        <f>Projected_SEC_wastage_rates!J74</f>
        <v>7.6062086402962775E-2</v>
      </c>
      <c r="K61" s="953">
        <f>Projected_SEC_wastage_rates!K74</f>
        <v>7.6062086402962775E-2</v>
      </c>
      <c r="L61" s="953">
        <f>Projected_SEC_wastage_rates!L74</f>
        <v>7.6062086402962775E-2</v>
      </c>
      <c r="M61" s="953">
        <f>Projected_SEC_wastage_rates!M74</f>
        <v>7.6062086402962775E-2</v>
      </c>
      <c r="N61" s="953">
        <f>Projected_SEC_wastage_rates!N74</f>
        <v>7.6062086402962775E-2</v>
      </c>
      <c r="O61" s="953">
        <f>Projected_SEC_wastage_rates!O74</f>
        <v>7.6062086402962775E-2</v>
      </c>
      <c r="P61" s="953">
        <f>Projected_SEC_wastage_rates!P74</f>
        <v>7.6062086402962775E-2</v>
      </c>
      <c r="Q61" s="12"/>
      <c r="R61" s="12"/>
    </row>
    <row r="62" spans="2:18">
      <c r="B62" s="8" t="str">
        <f>Projected_SEC_wastage_rates!B75</f>
        <v>45-49</v>
      </c>
      <c r="C62" s="953">
        <f>Projected_SEC_wastage_rates!C75</f>
        <v>8.2231886669618254E-2</v>
      </c>
      <c r="D62" s="953">
        <f>Projected_SEC_wastage_rates!D75</f>
        <v>8.2231886669618254E-2</v>
      </c>
      <c r="E62" s="953">
        <f>Projected_SEC_wastage_rates!E75</f>
        <v>8.2231886669618254E-2</v>
      </c>
      <c r="F62" s="953">
        <f>Projected_SEC_wastage_rates!F75</f>
        <v>8.2231886669618254E-2</v>
      </c>
      <c r="G62" s="953">
        <f>Projected_SEC_wastage_rates!G75</f>
        <v>8.2231886669618254E-2</v>
      </c>
      <c r="H62" s="953">
        <f>Projected_SEC_wastage_rates!H75</f>
        <v>8.2231886669618254E-2</v>
      </c>
      <c r="I62" s="953">
        <f>Projected_SEC_wastage_rates!I75</f>
        <v>8.2231886669618254E-2</v>
      </c>
      <c r="J62" s="953">
        <f>Projected_SEC_wastage_rates!J75</f>
        <v>8.2231886669618254E-2</v>
      </c>
      <c r="K62" s="953">
        <f>Projected_SEC_wastage_rates!K75</f>
        <v>8.2231886669618254E-2</v>
      </c>
      <c r="L62" s="953">
        <f>Projected_SEC_wastage_rates!L75</f>
        <v>8.2231886669618254E-2</v>
      </c>
      <c r="M62" s="953">
        <f>Projected_SEC_wastage_rates!M75</f>
        <v>8.2231886669618254E-2</v>
      </c>
      <c r="N62" s="953">
        <f>Projected_SEC_wastage_rates!N75</f>
        <v>8.2231886669618254E-2</v>
      </c>
      <c r="O62" s="953">
        <f>Projected_SEC_wastage_rates!O75</f>
        <v>8.2231886669618254E-2</v>
      </c>
      <c r="P62" s="953">
        <f>Projected_SEC_wastage_rates!P75</f>
        <v>8.2231886669618254E-2</v>
      </c>
      <c r="Q62" s="12"/>
      <c r="R62" s="12"/>
    </row>
    <row r="63" spans="2:18">
      <c r="B63" s="8" t="str">
        <f>Projected_SEC_wastage_rates!B76</f>
        <v>50-54</v>
      </c>
      <c r="C63" s="953">
        <f>Projected_SEC_wastage_rates!C76</f>
        <v>8.3247002333023484E-2</v>
      </c>
      <c r="D63" s="953">
        <f>Projected_SEC_wastage_rates!D76</f>
        <v>8.3247002333023484E-2</v>
      </c>
      <c r="E63" s="953">
        <f>Projected_SEC_wastage_rates!E76</f>
        <v>8.3247002333023484E-2</v>
      </c>
      <c r="F63" s="953">
        <f>Projected_SEC_wastage_rates!F76</f>
        <v>8.3247002333023484E-2</v>
      </c>
      <c r="G63" s="953">
        <f>Projected_SEC_wastage_rates!G76</f>
        <v>8.3247002333023484E-2</v>
      </c>
      <c r="H63" s="953">
        <f>Projected_SEC_wastage_rates!H76</f>
        <v>8.3247002333023484E-2</v>
      </c>
      <c r="I63" s="953">
        <f>Projected_SEC_wastage_rates!I76</f>
        <v>8.3247002333023484E-2</v>
      </c>
      <c r="J63" s="953">
        <f>Projected_SEC_wastage_rates!J76</f>
        <v>8.3247002333023484E-2</v>
      </c>
      <c r="K63" s="953">
        <f>Projected_SEC_wastage_rates!K76</f>
        <v>8.3247002333023484E-2</v>
      </c>
      <c r="L63" s="953">
        <f>Projected_SEC_wastage_rates!L76</f>
        <v>8.3247002333023484E-2</v>
      </c>
      <c r="M63" s="953">
        <f>Projected_SEC_wastage_rates!M76</f>
        <v>8.3247002333023484E-2</v>
      </c>
      <c r="N63" s="953">
        <f>Projected_SEC_wastage_rates!N76</f>
        <v>8.3247002333023484E-2</v>
      </c>
      <c r="O63" s="953">
        <f>Projected_SEC_wastage_rates!O76</f>
        <v>8.3247002333023484E-2</v>
      </c>
      <c r="P63" s="953">
        <f>Projected_SEC_wastage_rates!P76</f>
        <v>8.3247002333023484E-2</v>
      </c>
      <c r="Q63" s="12"/>
      <c r="R63" s="12"/>
    </row>
    <row r="64" spans="2:18">
      <c r="B64" s="8" t="str">
        <f>Projected_SEC_wastage_rates!B77</f>
        <v>55-59</v>
      </c>
      <c r="C64" s="953">
        <f>Projected_SEC_wastage_rates!C77</f>
        <v>5.1262259412022566E-2</v>
      </c>
      <c r="D64" s="953">
        <f>Projected_SEC_wastage_rates!D77</f>
        <v>5.1262259412022566E-2</v>
      </c>
      <c r="E64" s="953">
        <f>Projected_SEC_wastage_rates!E77</f>
        <v>5.1262259412022566E-2</v>
      </c>
      <c r="F64" s="953">
        <f>Projected_SEC_wastage_rates!F77</f>
        <v>5.1262259412022566E-2</v>
      </c>
      <c r="G64" s="953">
        <f>Projected_SEC_wastage_rates!G77</f>
        <v>5.1262259412022566E-2</v>
      </c>
      <c r="H64" s="953">
        <f>Projected_SEC_wastage_rates!H77</f>
        <v>5.1262259412022566E-2</v>
      </c>
      <c r="I64" s="953">
        <f>Projected_SEC_wastage_rates!I77</f>
        <v>5.1262259412022566E-2</v>
      </c>
      <c r="J64" s="953">
        <f>Projected_SEC_wastage_rates!J77</f>
        <v>5.1262259412022566E-2</v>
      </c>
      <c r="K64" s="953">
        <f>Projected_SEC_wastage_rates!K77</f>
        <v>5.1262259412022566E-2</v>
      </c>
      <c r="L64" s="953">
        <f>Projected_SEC_wastage_rates!L77</f>
        <v>5.1262259412022566E-2</v>
      </c>
      <c r="M64" s="953">
        <f>Projected_SEC_wastage_rates!M77</f>
        <v>5.1262259412022566E-2</v>
      </c>
      <c r="N64" s="953">
        <f>Projected_SEC_wastage_rates!N77</f>
        <v>5.1262259412022566E-2</v>
      </c>
      <c r="O64" s="953">
        <f>Projected_SEC_wastage_rates!O77</f>
        <v>5.1262259412022566E-2</v>
      </c>
      <c r="P64" s="953">
        <f>Projected_SEC_wastage_rates!P77</f>
        <v>5.1262259412022566E-2</v>
      </c>
      <c r="Q64" s="12"/>
      <c r="R64" s="12"/>
    </row>
    <row r="65" spans="2:18">
      <c r="B65" s="8" t="str">
        <f>Projected_SEC_wastage_rates!B78</f>
        <v>60-64</v>
      </c>
      <c r="C65" s="953">
        <f>Projected_SEC_wastage_rates!C78</f>
        <v>2.2334141329082582E-2</v>
      </c>
      <c r="D65" s="953">
        <f>Projected_SEC_wastage_rates!D78</f>
        <v>2.2334141329082582E-2</v>
      </c>
      <c r="E65" s="953">
        <f>Projected_SEC_wastage_rates!E78</f>
        <v>2.2334141329082582E-2</v>
      </c>
      <c r="F65" s="953">
        <f>Projected_SEC_wastage_rates!F78</f>
        <v>2.2334141329082582E-2</v>
      </c>
      <c r="G65" s="953">
        <f>Projected_SEC_wastage_rates!G78</f>
        <v>2.2334141329082582E-2</v>
      </c>
      <c r="H65" s="953">
        <f>Projected_SEC_wastage_rates!H78</f>
        <v>2.2334141329082582E-2</v>
      </c>
      <c r="I65" s="953">
        <f>Projected_SEC_wastage_rates!I78</f>
        <v>2.2334141329082582E-2</v>
      </c>
      <c r="J65" s="953">
        <f>Projected_SEC_wastage_rates!J78</f>
        <v>2.2334141329082582E-2</v>
      </c>
      <c r="K65" s="953">
        <f>Projected_SEC_wastage_rates!K78</f>
        <v>2.2334141329082582E-2</v>
      </c>
      <c r="L65" s="953">
        <f>Projected_SEC_wastage_rates!L78</f>
        <v>2.2334141329082582E-2</v>
      </c>
      <c r="M65" s="953">
        <f>Projected_SEC_wastage_rates!M78</f>
        <v>2.2334141329082582E-2</v>
      </c>
      <c r="N65" s="953">
        <f>Projected_SEC_wastage_rates!N78</f>
        <v>2.2334141329082582E-2</v>
      </c>
      <c r="O65" s="953">
        <f>Projected_SEC_wastage_rates!O78</f>
        <v>2.2334141329082582E-2</v>
      </c>
      <c r="P65" s="953">
        <f>Projected_SEC_wastage_rates!P78</f>
        <v>2.2334141329082582E-2</v>
      </c>
      <c r="Q65" s="12"/>
      <c r="R65" s="12"/>
    </row>
    <row r="66" spans="2:18">
      <c r="B66" s="8" t="str">
        <f>Projected_SEC_wastage_rates!B79</f>
        <v>65 plus</v>
      </c>
      <c r="C66" s="953">
        <f>Projected_SEC_wastage_rates!C79</f>
        <v>3.427129235260052E-2</v>
      </c>
      <c r="D66" s="953">
        <f>Projected_SEC_wastage_rates!D79</f>
        <v>3.427129235260052E-2</v>
      </c>
      <c r="E66" s="953">
        <f>Projected_SEC_wastage_rates!E79</f>
        <v>3.427129235260052E-2</v>
      </c>
      <c r="F66" s="953">
        <f>Projected_SEC_wastage_rates!F79</f>
        <v>3.427129235260052E-2</v>
      </c>
      <c r="G66" s="953">
        <f>Projected_SEC_wastage_rates!G79</f>
        <v>3.427129235260052E-2</v>
      </c>
      <c r="H66" s="953">
        <f>Projected_SEC_wastage_rates!H79</f>
        <v>3.427129235260052E-2</v>
      </c>
      <c r="I66" s="953">
        <f>Projected_SEC_wastage_rates!I79</f>
        <v>3.427129235260052E-2</v>
      </c>
      <c r="J66" s="953">
        <f>Projected_SEC_wastage_rates!J79</f>
        <v>3.427129235260052E-2</v>
      </c>
      <c r="K66" s="953">
        <f>Projected_SEC_wastage_rates!K79</f>
        <v>3.427129235260052E-2</v>
      </c>
      <c r="L66" s="953">
        <f>Projected_SEC_wastage_rates!L79</f>
        <v>3.427129235260052E-2</v>
      </c>
      <c r="M66" s="953">
        <f>Projected_SEC_wastage_rates!M79</f>
        <v>3.427129235260052E-2</v>
      </c>
      <c r="N66" s="953">
        <f>Projected_SEC_wastage_rates!N79</f>
        <v>3.427129235260052E-2</v>
      </c>
      <c r="O66" s="953">
        <f>Projected_SEC_wastage_rates!O79</f>
        <v>3.427129235260052E-2</v>
      </c>
      <c r="P66" s="953">
        <f>Projected_SEC_wastage_rates!P79</f>
        <v>3.427129235260052E-2</v>
      </c>
      <c r="Q66" s="12"/>
      <c r="R66" s="12"/>
    </row>
    <row r="67" spans="2:18">
      <c r="B67" s="8" t="str">
        <f>Projected_SEC_wastage_rates!B80</f>
        <v>Total</v>
      </c>
      <c r="C67" s="953">
        <f>Projected_SEC_wastage_rates!C80</f>
        <v>8.3641034033025863E-2</v>
      </c>
      <c r="D67" s="953">
        <f>Projected_SEC_wastage_rates!D80</f>
        <v>8.3641034033025863E-2</v>
      </c>
      <c r="E67" s="953">
        <f>Projected_SEC_wastage_rates!E80</f>
        <v>8.3641034033025863E-2</v>
      </c>
      <c r="F67" s="953">
        <f>Projected_SEC_wastage_rates!F80</f>
        <v>8.3641034033025863E-2</v>
      </c>
      <c r="G67" s="953">
        <f>Projected_SEC_wastage_rates!G80</f>
        <v>8.3641034033025863E-2</v>
      </c>
      <c r="H67" s="953">
        <f>Projected_SEC_wastage_rates!H80</f>
        <v>8.3641034033025863E-2</v>
      </c>
      <c r="I67" s="953">
        <f>Projected_SEC_wastage_rates!I80</f>
        <v>8.3641034033025863E-2</v>
      </c>
      <c r="J67" s="953">
        <f>Projected_SEC_wastage_rates!J80</f>
        <v>8.3641034033025863E-2</v>
      </c>
      <c r="K67" s="953">
        <f>Projected_SEC_wastage_rates!K80</f>
        <v>8.3641034033025863E-2</v>
      </c>
      <c r="L67" s="953">
        <f>Projected_SEC_wastage_rates!L80</f>
        <v>8.3641034033025863E-2</v>
      </c>
      <c r="M67" s="953">
        <f>Projected_SEC_wastage_rates!M80</f>
        <v>8.3641034033025863E-2</v>
      </c>
      <c r="N67" s="953">
        <f>Projected_SEC_wastage_rates!N80</f>
        <v>8.3641034033025863E-2</v>
      </c>
      <c r="O67" s="953">
        <f>Projected_SEC_wastage_rates!O80</f>
        <v>8.3641034033025863E-2</v>
      </c>
      <c r="P67" s="953">
        <f>Projected_SEC_wastage_rates!P80</f>
        <v>8.3641034033025863E-2</v>
      </c>
      <c r="Q67" s="12"/>
      <c r="R67" s="12"/>
    </row>
    <row r="69" spans="2:18" ht="18">
      <c r="B69" s="39" t="s">
        <v>1484</v>
      </c>
    </row>
    <row r="71" spans="2:18">
      <c r="B71" s="5" t="s">
        <v>430</v>
      </c>
      <c r="C71" s="12"/>
      <c r="E71" s="12"/>
      <c r="F71" s="262" t="str">
        <f>F39</f>
        <v>As the Econometric Wastage Model only forecasts wastage 6 years into the future, the rate beyond that is considered to be constant.</v>
      </c>
      <c r="G71" s="12"/>
      <c r="H71" s="12"/>
      <c r="I71" s="12"/>
      <c r="J71" s="12"/>
      <c r="K71" s="12"/>
      <c r="L71" s="12"/>
      <c r="M71" s="12"/>
      <c r="N71" s="12"/>
      <c r="O71" s="12"/>
      <c r="P71" s="12"/>
    </row>
    <row r="72" spans="2:18">
      <c r="B72" s="12"/>
      <c r="C72" s="12"/>
      <c r="D72" s="12"/>
      <c r="E72" s="12"/>
      <c r="F72" s="12"/>
      <c r="G72" s="12"/>
      <c r="H72" s="12"/>
      <c r="I72" s="12"/>
      <c r="J72" s="12"/>
      <c r="K72" s="12"/>
      <c r="L72" s="12"/>
      <c r="M72" s="12"/>
      <c r="N72" s="12"/>
      <c r="O72" s="12"/>
      <c r="P72" s="12"/>
    </row>
    <row r="73" spans="2:18">
      <c r="B73" s="8" t="str">
        <f>B56</f>
        <v>Age group</v>
      </c>
      <c r="C73" s="8" t="str">
        <f t="shared" ref="C73:P73" si="0">C56</f>
        <v>2014/15</v>
      </c>
      <c r="D73" s="8" t="str">
        <f t="shared" si="0"/>
        <v>2015/16</v>
      </c>
      <c r="E73" s="8" t="str">
        <f t="shared" si="0"/>
        <v>2016/17</v>
      </c>
      <c r="F73" s="8" t="str">
        <f t="shared" si="0"/>
        <v>2017/18</v>
      </c>
      <c r="G73" s="8" t="str">
        <f t="shared" si="0"/>
        <v>2018/19</v>
      </c>
      <c r="H73" s="8" t="str">
        <f t="shared" si="0"/>
        <v>2019/20</v>
      </c>
      <c r="I73" s="8" t="str">
        <f t="shared" si="0"/>
        <v>2020/21</v>
      </c>
      <c r="J73" s="8" t="str">
        <f t="shared" si="0"/>
        <v>2021/22</v>
      </c>
      <c r="K73" s="8" t="str">
        <f t="shared" si="0"/>
        <v>2022/23</v>
      </c>
      <c r="L73" s="8" t="str">
        <f t="shared" si="0"/>
        <v>2023/24</v>
      </c>
      <c r="M73" s="8" t="str">
        <f t="shared" si="0"/>
        <v>2024/25</v>
      </c>
      <c r="N73" s="8" t="str">
        <f t="shared" si="0"/>
        <v>2025/26</v>
      </c>
      <c r="O73" s="8" t="str">
        <f t="shared" si="0"/>
        <v>2026/27</v>
      </c>
      <c r="P73" s="8" t="str">
        <f t="shared" si="0"/>
        <v>2027/28</v>
      </c>
    </row>
    <row r="74" spans="2:18">
      <c r="B74" s="8" t="str">
        <f t="shared" ref="B74:B84" si="1">B57</f>
        <v>20-24</v>
      </c>
      <c r="C74" s="164">
        <f>C42*$C25</f>
        <v>0.14195049310846494</v>
      </c>
      <c r="D74" s="164">
        <f t="shared" ref="D74:P74" si="2">D42*$C25</f>
        <v>0.14195049310846494</v>
      </c>
      <c r="E74" s="164">
        <f t="shared" si="2"/>
        <v>0.14195049310846494</v>
      </c>
      <c r="F74" s="164">
        <f t="shared" si="2"/>
        <v>0.14195049310846494</v>
      </c>
      <c r="G74" s="164">
        <f t="shared" si="2"/>
        <v>0.14195049310846494</v>
      </c>
      <c r="H74" s="164">
        <f t="shared" si="2"/>
        <v>0.14195049310846494</v>
      </c>
      <c r="I74" s="164">
        <f t="shared" si="2"/>
        <v>0.14195049310846494</v>
      </c>
      <c r="J74" s="164">
        <f t="shared" si="2"/>
        <v>0.14195049310846494</v>
      </c>
      <c r="K74" s="164">
        <f t="shared" si="2"/>
        <v>0.14195049310846494</v>
      </c>
      <c r="L74" s="164">
        <f t="shared" si="2"/>
        <v>0.14195049310846494</v>
      </c>
      <c r="M74" s="164">
        <f t="shared" si="2"/>
        <v>0.14195049310846494</v>
      </c>
      <c r="N74" s="164">
        <f t="shared" si="2"/>
        <v>0.14195049310846494</v>
      </c>
      <c r="O74" s="164">
        <f t="shared" si="2"/>
        <v>0.14195049310846494</v>
      </c>
      <c r="P74" s="164">
        <f t="shared" si="2"/>
        <v>0.14195049310846494</v>
      </c>
    </row>
    <row r="75" spans="2:18">
      <c r="B75" s="8" t="str">
        <f t="shared" si="1"/>
        <v>25-29</v>
      </c>
      <c r="C75" s="164">
        <f t="shared" ref="C75:P84" si="3">C43*$C26</f>
        <v>0.10536235878903828</v>
      </c>
      <c r="D75" s="164">
        <f t="shared" si="3"/>
        <v>0.10536235878903828</v>
      </c>
      <c r="E75" s="164">
        <f t="shared" si="3"/>
        <v>0.10536235878903828</v>
      </c>
      <c r="F75" s="164">
        <f t="shared" si="3"/>
        <v>0.10536235878903828</v>
      </c>
      <c r="G75" s="164">
        <f t="shared" si="3"/>
        <v>0.10536235878903828</v>
      </c>
      <c r="H75" s="164">
        <f t="shared" si="3"/>
        <v>0.10536235878903828</v>
      </c>
      <c r="I75" s="164">
        <f t="shared" si="3"/>
        <v>0.10536235878903828</v>
      </c>
      <c r="J75" s="164">
        <f t="shared" si="3"/>
        <v>0.10536235878903828</v>
      </c>
      <c r="K75" s="164">
        <f t="shared" si="3"/>
        <v>0.10536235878903828</v>
      </c>
      <c r="L75" s="164">
        <f t="shared" si="3"/>
        <v>0.10536235878903828</v>
      </c>
      <c r="M75" s="164">
        <f t="shared" si="3"/>
        <v>0.10536235878903828</v>
      </c>
      <c r="N75" s="164">
        <f t="shared" si="3"/>
        <v>0.10536235878903828</v>
      </c>
      <c r="O75" s="164">
        <f t="shared" si="3"/>
        <v>0.10536235878903828</v>
      </c>
      <c r="P75" s="164">
        <f t="shared" si="3"/>
        <v>0.10536235878903828</v>
      </c>
    </row>
    <row r="76" spans="2:18">
      <c r="B76" s="8" t="str">
        <f t="shared" si="1"/>
        <v>30-34</v>
      </c>
      <c r="C76" s="164">
        <f t="shared" si="3"/>
        <v>7.3218849670804206E-2</v>
      </c>
      <c r="D76" s="164">
        <f t="shared" si="3"/>
        <v>7.3218849670804206E-2</v>
      </c>
      <c r="E76" s="164">
        <f t="shared" si="3"/>
        <v>7.3218849670804206E-2</v>
      </c>
      <c r="F76" s="164">
        <f t="shared" si="3"/>
        <v>7.3218849670804206E-2</v>
      </c>
      <c r="G76" s="164">
        <f t="shared" si="3"/>
        <v>7.3218849670804206E-2</v>
      </c>
      <c r="H76" s="164">
        <f t="shared" si="3"/>
        <v>7.3218849670804206E-2</v>
      </c>
      <c r="I76" s="164">
        <f t="shared" si="3"/>
        <v>7.3218849670804206E-2</v>
      </c>
      <c r="J76" s="164">
        <f t="shared" si="3"/>
        <v>7.3218849670804206E-2</v>
      </c>
      <c r="K76" s="164">
        <f t="shared" si="3"/>
        <v>7.3218849670804206E-2</v>
      </c>
      <c r="L76" s="164">
        <f t="shared" si="3"/>
        <v>7.3218849670804206E-2</v>
      </c>
      <c r="M76" s="164">
        <f t="shared" si="3"/>
        <v>7.3218849670804206E-2</v>
      </c>
      <c r="N76" s="164">
        <f t="shared" si="3"/>
        <v>7.3218849670804206E-2</v>
      </c>
      <c r="O76" s="164">
        <f t="shared" si="3"/>
        <v>7.3218849670804206E-2</v>
      </c>
      <c r="P76" s="164">
        <f t="shared" si="3"/>
        <v>7.3218849670804206E-2</v>
      </c>
    </row>
    <row r="77" spans="2:18">
      <c r="B77" s="8" t="str">
        <f t="shared" si="1"/>
        <v>35-39</v>
      </c>
      <c r="C77" s="164">
        <f t="shared" si="3"/>
        <v>7.3066538733381814E-2</v>
      </c>
      <c r="D77" s="164">
        <f t="shared" si="3"/>
        <v>7.3066538733381814E-2</v>
      </c>
      <c r="E77" s="164">
        <f t="shared" si="3"/>
        <v>7.3066538733381814E-2</v>
      </c>
      <c r="F77" s="164">
        <f t="shared" si="3"/>
        <v>7.3066538733381814E-2</v>
      </c>
      <c r="G77" s="164">
        <f t="shared" si="3"/>
        <v>7.3066538733381814E-2</v>
      </c>
      <c r="H77" s="164">
        <f t="shared" si="3"/>
        <v>7.3066538733381814E-2</v>
      </c>
      <c r="I77" s="164">
        <f t="shared" si="3"/>
        <v>7.3066538733381814E-2</v>
      </c>
      <c r="J77" s="164">
        <f t="shared" si="3"/>
        <v>7.3066538733381814E-2</v>
      </c>
      <c r="K77" s="164">
        <f t="shared" si="3"/>
        <v>7.3066538733381814E-2</v>
      </c>
      <c r="L77" s="164">
        <f t="shared" si="3"/>
        <v>7.3066538733381814E-2</v>
      </c>
      <c r="M77" s="164">
        <f t="shared" si="3"/>
        <v>7.3066538733381814E-2</v>
      </c>
      <c r="N77" s="164">
        <f t="shared" si="3"/>
        <v>7.3066538733381814E-2</v>
      </c>
      <c r="O77" s="164">
        <f t="shared" si="3"/>
        <v>7.3066538733381814E-2</v>
      </c>
      <c r="P77" s="164">
        <f t="shared" si="3"/>
        <v>7.3066538733381814E-2</v>
      </c>
    </row>
    <row r="78" spans="2:18">
      <c r="B78" s="8" t="str">
        <f t="shared" si="1"/>
        <v>40-44</v>
      </c>
      <c r="C78" s="164">
        <f t="shared" si="3"/>
        <v>7.1262609578175429E-2</v>
      </c>
      <c r="D78" s="164">
        <f t="shared" si="3"/>
        <v>7.1262609578175429E-2</v>
      </c>
      <c r="E78" s="164">
        <f t="shared" si="3"/>
        <v>7.1262609578175429E-2</v>
      </c>
      <c r="F78" s="164">
        <f t="shared" si="3"/>
        <v>7.1262609578175429E-2</v>
      </c>
      <c r="G78" s="164">
        <f t="shared" si="3"/>
        <v>7.1262609578175429E-2</v>
      </c>
      <c r="H78" s="164">
        <f t="shared" si="3"/>
        <v>7.1262609578175429E-2</v>
      </c>
      <c r="I78" s="164">
        <f t="shared" si="3"/>
        <v>7.1262609578175429E-2</v>
      </c>
      <c r="J78" s="164">
        <f t="shared" si="3"/>
        <v>7.1262609578175429E-2</v>
      </c>
      <c r="K78" s="164">
        <f t="shared" si="3"/>
        <v>7.1262609578175429E-2</v>
      </c>
      <c r="L78" s="164">
        <f t="shared" si="3"/>
        <v>7.1262609578175429E-2</v>
      </c>
      <c r="M78" s="164">
        <f t="shared" si="3"/>
        <v>7.1262609578175429E-2</v>
      </c>
      <c r="N78" s="164">
        <f t="shared" si="3"/>
        <v>7.1262609578175429E-2</v>
      </c>
      <c r="O78" s="164">
        <f t="shared" si="3"/>
        <v>7.1262609578175429E-2</v>
      </c>
      <c r="P78" s="164">
        <f t="shared" si="3"/>
        <v>7.1262609578175429E-2</v>
      </c>
    </row>
    <row r="79" spans="2:18">
      <c r="B79" s="8" t="str">
        <f t="shared" si="1"/>
        <v>45-49</v>
      </c>
      <c r="C79" s="164">
        <f t="shared" si="3"/>
        <v>8.5425270201181319E-2</v>
      </c>
      <c r="D79" s="164">
        <f t="shared" si="3"/>
        <v>8.5425270201181319E-2</v>
      </c>
      <c r="E79" s="164">
        <f t="shared" si="3"/>
        <v>8.5425270201181319E-2</v>
      </c>
      <c r="F79" s="164">
        <f t="shared" si="3"/>
        <v>8.5425270201181319E-2</v>
      </c>
      <c r="G79" s="164">
        <f t="shared" si="3"/>
        <v>8.5425270201181319E-2</v>
      </c>
      <c r="H79" s="164">
        <f t="shared" si="3"/>
        <v>8.5425270201181319E-2</v>
      </c>
      <c r="I79" s="164">
        <f t="shared" si="3"/>
        <v>8.5425270201181319E-2</v>
      </c>
      <c r="J79" s="164">
        <f t="shared" si="3"/>
        <v>8.5425270201181319E-2</v>
      </c>
      <c r="K79" s="164">
        <f t="shared" si="3"/>
        <v>8.5425270201181319E-2</v>
      </c>
      <c r="L79" s="164">
        <f t="shared" si="3"/>
        <v>8.5425270201181319E-2</v>
      </c>
      <c r="M79" s="164">
        <f t="shared" si="3"/>
        <v>8.5425270201181319E-2</v>
      </c>
      <c r="N79" s="164">
        <f t="shared" si="3"/>
        <v>8.5425270201181319E-2</v>
      </c>
      <c r="O79" s="164">
        <f t="shared" si="3"/>
        <v>8.5425270201181319E-2</v>
      </c>
      <c r="P79" s="164">
        <f t="shared" si="3"/>
        <v>8.5425270201181319E-2</v>
      </c>
    </row>
    <row r="80" spans="2:18">
      <c r="B80" s="8" t="str">
        <f t="shared" si="1"/>
        <v>50-54</v>
      </c>
      <c r="C80" s="164">
        <f t="shared" si="3"/>
        <v>8.0658258015901124E-2</v>
      </c>
      <c r="D80" s="164">
        <f t="shared" si="3"/>
        <v>8.0658258015901124E-2</v>
      </c>
      <c r="E80" s="164">
        <f t="shared" si="3"/>
        <v>8.0658258015901124E-2</v>
      </c>
      <c r="F80" s="164">
        <f t="shared" si="3"/>
        <v>8.0658258015901124E-2</v>
      </c>
      <c r="G80" s="164">
        <f t="shared" si="3"/>
        <v>8.0658258015901124E-2</v>
      </c>
      <c r="H80" s="164">
        <f t="shared" si="3"/>
        <v>8.0658258015901124E-2</v>
      </c>
      <c r="I80" s="164">
        <f t="shared" si="3"/>
        <v>8.0658258015901124E-2</v>
      </c>
      <c r="J80" s="164">
        <f t="shared" si="3"/>
        <v>8.0658258015901124E-2</v>
      </c>
      <c r="K80" s="164">
        <f t="shared" si="3"/>
        <v>8.0658258015901124E-2</v>
      </c>
      <c r="L80" s="164">
        <f t="shared" si="3"/>
        <v>8.0658258015901124E-2</v>
      </c>
      <c r="M80" s="164">
        <f t="shared" si="3"/>
        <v>8.0658258015901124E-2</v>
      </c>
      <c r="N80" s="164">
        <f t="shared" si="3"/>
        <v>8.0658258015901124E-2</v>
      </c>
      <c r="O80" s="164">
        <f t="shared" si="3"/>
        <v>8.0658258015901124E-2</v>
      </c>
      <c r="P80" s="164">
        <f t="shared" si="3"/>
        <v>8.0658258015901124E-2</v>
      </c>
    </row>
    <row r="81" spans="2:16">
      <c r="B81" s="8" t="str">
        <f t="shared" si="1"/>
        <v>55-59</v>
      </c>
      <c r="C81" s="164">
        <f t="shared" si="3"/>
        <v>4.6097444580913263E-2</v>
      </c>
      <c r="D81" s="164">
        <f t="shared" si="3"/>
        <v>4.6097444580913263E-2</v>
      </c>
      <c r="E81" s="164">
        <f t="shared" si="3"/>
        <v>4.6097444580913263E-2</v>
      </c>
      <c r="F81" s="164">
        <f t="shared" si="3"/>
        <v>4.6097444580913263E-2</v>
      </c>
      <c r="G81" s="164">
        <f t="shared" si="3"/>
        <v>4.6097444580913263E-2</v>
      </c>
      <c r="H81" s="164">
        <f t="shared" si="3"/>
        <v>4.6097444580913263E-2</v>
      </c>
      <c r="I81" s="164">
        <f t="shared" si="3"/>
        <v>4.6097444580913263E-2</v>
      </c>
      <c r="J81" s="164">
        <f t="shared" si="3"/>
        <v>4.6097444580913263E-2</v>
      </c>
      <c r="K81" s="164">
        <f t="shared" si="3"/>
        <v>4.6097444580913263E-2</v>
      </c>
      <c r="L81" s="164">
        <f t="shared" si="3"/>
        <v>4.6097444580913263E-2</v>
      </c>
      <c r="M81" s="164">
        <f t="shared" si="3"/>
        <v>4.6097444580913263E-2</v>
      </c>
      <c r="N81" s="164">
        <f t="shared" si="3"/>
        <v>4.6097444580913263E-2</v>
      </c>
      <c r="O81" s="164">
        <f t="shared" si="3"/>
        <v>4.6097444580913263E-2</v>
      </c>
      <c r="P81" s="164">
        <f t="shared" si="3"/>
        <v>4.6097444580913263E-2</v>
      </c>
    </row>
    <row r="82" spans="2:16">
      <c r="B82" s="8" t="str">
        <f t="shared" si="1"/>
        <v>60-64</v>
      </c>
      <c r="C82" s="164">
        <f t="shared" si="3"/>
        <v>1.7502829865561939E-2</v>
      </c>
      <c r="D82" s="164">
        <f t="shared" si="3"/>
        <v>1.7502829865561939E-2</v>
      </c>
      <c r="E82" s="164">
        <f t="shared" si="3"/>
        <v>1.7502829865561939E-2</v>
      </c>
      <c r="F82" s="164">
        <f t="shared" si="3"/>
        <v>1.7502829865561939E-2</v>
      </c>
      <c r="G82" s="164">
        <f t="shared" si="3"/>
        <v>1.7502829865561939E-2</v>
      </c>
      <c r="H82" s="164">
        <f t="shared" si="3"/>
        <v>1.7502829865561939E-2</v>
      </c>
      <c r="I82" s="164">
        <f t="shared" si="3"/>
        <v>1.7502829865561939E-2</v>
      </c>
      <c r="J82" s="164">
        <f t="shared" si="3"/>
        <v>1.7502829865561939E-2</v>
      </c>
      <c r="K82" s="164">
        <f t="shared" si="3"/>
        <v>1.7502829865561939E-2</v>
      </c>
      <c r="L82" s="164">
        <f t="shared" si="3"/>
        <v>1.7502829865561939E-2</v>
      </c>
      <c r="M82" s="164">
        <f t="shared" si="3"/>
        <v>1.7502829865561939E-2</v>
      </c>
      <c r="N82" s="164">
        <f t="shared" si="3"/>
        <v>1.7502829865561939E-2</v>
      </c>
      <c r="O82" s="164">
        <f t="shared" si="3"/>
        <v>1.7502829865561939E-2</v>
      </c>
      <c r="P82" s="164">
        <f t="shared" si="3"/>
        <v>1.7502829865561939E-2</v>
      </c>
    </row>
    <row r="83" spans="2:16">
      <c r="B83" s="8" t="str">
        <f t="shared" si="1"/>
        <v>65 plus</v>
      </c>
      <c r="C83" s="164">
        <f t="shared" si="3"/>
        <v>1.8461311007002257E-2</v>
      </c>
      <c r="D83" s="164">
        <f t="shared" si="3"/>
        <v>1.8461311007002257E-2</v>
      </c>
      <c r="E83" s="164">
        <f t="shared" si="3"/>
        <v>1.8461311007002257E-2</v>
      </c>
      <c r="F83" s="164">
        <f t="shared" si="3"/>
        <v>1.8461311007002257E-2</v>
      </c>
      <c r="G83" s="164">
        <f t="shared" si="3"/>
        <v>1.8461311007002257E-2</v>
      </c>
      <c r="H83" s="164">
        <f t="shared" si="3"/>
        <v>1.8461311007002257E-2</v>
      </c>
      <c r="I83" s="164">
        <f t="shared" si="3"/>
        <v>1.8461311007002257E-2</v>
      </c>
      <c r="J83" s="164">
        <f t="shared" si="3"/>
        <v>1.8461311007002257E-2</v>
      </c>
      <c r="K83" s="164">
        <f t="shared" si="3"/>
        <v>1.8461311007002257E-2</v>
      </c>
      <c r="L83" s="164">
        <f t="shared" si="3"/>
        <v>1.8461311007002257E-2</v>
      </c>
      <c r="M83" s="164">
        <f t="shared" si="3"/>
        <v>1.8461311007002257E-2</v>
      </c>
      <c r="N83" s="164">
        <f t="shared" si="3"/>
        <v>1.8461311007002257E-2</v>
      </c>
      <c r="O83" s="164">
        <f t="shared" si="3"/>
        <v>1.8461311007002257E-2</v>
      </c>
      <c r="P83" s="164">
        <f t="shared" si="3"/>
        <v>1.8461311007002257E-2</v>
      </c>
    </row>
    <row r="84" spans="2:16">
      <c r="B84" s="8" t="str">
        <f t="shared" si="1"/>
        <v>Total</v>
      </c>
      <c r="C84" s="164">
        <f t="shared" si="3"/>
        <v>7.7174949525843209E-2</v>
      </c>
      <c r="D84" s="164">
        <f t="shared" si="3"/>
        <v>7.7174949525843209E-2</v>
      </c>
      <c r="E84" s="164">
        <f t="shared" si="3"/>
        <v>7.7174949525843209E-2</v>
      </c>
      <c r="F84" s="164">
        <f t="shared" si="3"/>
        <v>7.7174949525843209E-2</v>
      </c>
      <c r="G84" s="164">
        <f t="shared" si="3"/>
        <v>7.7174949525843209E-2</v>
      </c>
      <c r="H84" s="164">
        <f t="shared" si="3"/>
        <v>7.7174949525843209E-2</v>
      </c>
      <c r="I84" s="164">
        <f t="shared" si="3"/>
        <v>7.7174949525843209E-2</v>
      </c>
      <c r="J84" s="164">
        <f t="shared" si="3"/>
        <v>7.7174949525843209E-2</v>
      </c>
      <c r="K84" s="164">
        <f t="shared" si="3"/>
        <v>7.7174949525843209E-2</v>
      </c>
      <c r="L84" s="164">
        <f t="shared" si="3"/>
        <v>7.7174949525843209E-2</v>
      </c>
      <c r="M84" s="164">
        <f t="shared" si="3"/>
        <v>7.7174949525843209E-2</v>
      </c>
      <c r="N84" s="164">
        <f t="shared" si="3"/>
        <v>7.7174949525843209E-2</v>
      </c>
      <c r="O84" s="164">
        <f t="shared" si="3"/>
        <v>7.7174949525843209E-2</v>
      </c>
      <c r="P84" s="164">
        <f t="shared" si="3"/>
        <v>7.7174949525843209E-2</v>
      </c>
    </row>
    <row r="85" spans="2:16">
      <c r="B85" s="12"/>
      <c r="C85" s="12"/>
      <c r="D85" s="12"/>
      <c r="E85" s="12"/>
      <c r="F85" s="12"/>
      <c r="G85" s="12"/>
      <c r="H85" s="12"/>
      <c r="I85" s="12"/>
      <c r="J85" s="12"/>
      <c r="K85" s="12"/>
      <c r="L85" s="12"/>
      <c r="M85" s="12"/>
      <c r="N85" s="12"/>
      <c r="O85" s="12"/>
      <c r="P85" s="12"/>
    </row>
    <row r="86" spans="2:16">
      <c r="B86" s="5" t="s">
        <v>431</v>
      </c>
      <c r="C86" s="12"/>
      <c r="D86" s="12"/>
      <c r="E86" s="12"/>
      <c r="F86" s="12"/>
      <c r="G86" s="12"/>
      <c r="H86" s="12"/>
      <c r="I86" s="12"/>
      <c r="J86" s="12"/>
      <c r="K86" s="12"/>
      <c r="L86" s="12"/>
      <c r="M86" s="12"/>
      <c r="N86" s="12"/>
      <c r="O86" s="12"/>
      <c r="P86" s="12"/>
    </row>
    <row r="87" spans="2:16">
      <c r="B87" s="12"/>
      <c r="C87" s="12"/>
      <c r="D87" s="12"/>
      <c r="E87" s="12"/>
      <c r="F87" s="12"/>
      <c r="G87" s="12"/>
      <c r="H87" s="12"/>
      <c r="I87" s="12"/>
      <c r="J87" s="12"/>
      <c r="K87" s="12"/>
      <c r="L87" s="12"/>
      <c r="M87" s="12"/>
      <c r="N87" s="12"/>
      <c r="O87" s="12"/>
      <c r="P87" s="12"/>
    </row>
    <row r="88" spans="2:16">
      <c r="B88" s="8" t="str">
        <f>B73</f>
        <v>Age group</v>
      </c>
      <c r="C88" s="8" t="str">
        <f>C73</f>
        <v>2014/15</v>
      </c>
      <c r="D88" s="8" t="str">
        <f t="shared" ref="D88:P88" si="4">D73</f>
        <v>2015/16</v>
      </c>
      <c r="E88" s="8" t="str">
        <f t="shared" si="4"/>
        <v>2016/17</v>
      </c>
      <c r="F88" s="8" t="str">
        <f t="shared" si="4"/>
        <v>2017/18</v>
      </c>
      <c r="G88" s="8" t="str">
        <f t="shared" si="4"/>
        <v>2018/19</v>
      </c>
      <c r="H88" s="8" t="str">
        <f t="shared" si="4"/>
        <v>2019/20</v>
      </c>
      <c r="I88" s="8" t="str">
        <f t="shared" si="4"/>
        <v>2020/21</v>
      </c>
      <c r="J88" s="8" t="str">
        <f t="shared" si="4"/>
        <v>2021/22</v>
      </c>
      <c r="K88" s="8" t="str">
        <f t="shared" si="4"/>
        <v>2022/23</v>
      </c>
      <c r="L88" s="8" t="str">
        <f t="shared" si="4"/>
        <v>2023/24</v>
      </c>
      <c r="M88" s="8" t="str">
        <f t="shared" si="4"/>
        <v>2024/25</v>
      </c>
      <c r="N88" s="8" t="str">
        <f t="shared" si="4"/>
        <v>2025/26</v>
      </c>
      <c r="O88" s="8" t="str">
        <f t="shared" si="4"/>
        <v>2026/27</v>
      </c>
      <c r="P88" s="8" t="str">
        <f t="shared" si="4"/>
        <v>2027/28</v>
      </c>
    </row>
    <row r="89" spans="2:16">
      <c r="B89" s="8" t="str">
        <f t="shared" ref="B89:B99" si="5">B74</f>
        <v>20-24</v>
      </c>
      <c r="C89" s="164">
        <f>C57*$F25</f>
        <v>0.12381968318677604</v>
      </c>
      <c r="D89" s="164">
        <f t="shared" ref="D89:P89" si="6">D57*$F25</f>
        <v>0.12381968318677604</v>
      </c>
      <c r="E89" s="164">
        <f t="shared" si="6"/>
        <v>0.12381968318677604</v>
      </c>
      <c r="F89" s="164">
        <f t="shared" si="6"/>
        <v>0.12381968318677604</v>
      </c>
      <c r="G89" s="164">
        <f t="shared" si="6"/>
        <v>0.12381968318677604</v>
      </c>
      <c r="H89" s="164">
        <f t="shared" si="6"/>
        <v>0.12381968318677604</v>
      </c>
      <c r="I89" s="164">
        <f t="shared" si="6"/>
        <v>0.12381968318677604</v>
      </c>
      <c r="J89" s="164">
        <f t="shared" si="6"/>
        <v>0.12381968318677604</v>
      </c>
      <c r="K89" s="164">
        <f t="shared" si="6"/>
        <v>0.12381968318677604</v>
      </c>
      <c r="L89" s="164">
        <f t="shared" si="6"/>
        <v>0.12381968318677604</v>
      </c>
      <c r="M89" s="164">
        <f t="shared" si="6"/>
        <v>0.12381968318677604</v>
      </c>
      <c r="N89" s="164">
        <f t="shared" si="6"/>
        <v>0.12381968318677604</v>
      </c>
      <c r="O89" s="164">
        <f t="shared" si="6"/>
        <v>0.12381968318677604</v>
      </c>
      <c r="P89" s="164">
        <f t="shared" si="6"/>
        <v>0.12381968318677604</v>
      </c>
    </row>
    <row r="90" spans="2:16">
      <c r="B90" s="8" t="str">
        <f t="shared" si="5"/>
        <v>25-29</v>
      </c>
      <c r="C90" s="164">
        <f t="shared" ref="C90:P99" si="7">C58*$F26</f>
        <v>0.10422154817432785</v>
      </c>
      <c r="D90" s="164">
        <f t="shared" si="7"/>
        <v>0.10422154817432785</v>
      </c>
      <c r="E90" s="164">
        <f t="shared" si="7"/>
        <v>0.10422154817432785</v>
      </c>
      <c r="F90" s="164">
        <f t="shared" si="7"/>
        <v>0.10422154817432785</v>
      </c>
      <c r="G90" s="164">
        <f t="shared" si="7"/>
        <v>0.10422154817432785</v>
      </c>
      <c r="H90" s="164">
        <f t="shared" si="7"/>
        <v>0.10422154817432785</v>
      </c>
      <c r="I90" s="164">
        <f t="shared" si="7"/>
        <v>0.10422154817432785</v>
      </c>
      <c r="J90" s="164">
        <f t="shared" si="7"/>
        <v>0.10422154817432785</v>
      </c>
      <c r="K90" s="164">
        <f t="shared" si="7"/>
        <v>0.10422154817432785</v>
      </c>
      <c r="L90" s="164">
        <f t="shared" si="7"/>
        <v>0.10422154817432785</v>
      </c>
      <c r="M90" s="164">
        <f t="shared" si="7"/>
        <v>0.10422154817432785</v>
      </c>
      <c r="N90" s="164">
        <f t="shared" si="7"/>
        <v>0.10422154817432785</v>
      </c>
      <c r="O90" s="164">
        <f t="shared" si="7"/>
        <v>0.10422154817432785</v>
      </c>
      <c r="P90" s="164">
        <f t="shared" si="7"/>
        <v>0.10422154817432785</v>
      </c>
    </row>
    <row r="91" spans="2:16">
      <c r="B91" s="8" t="str">
        <f t="shared" si="5"/>
        <v>30-34</v>
      </c>
      <c r="C91" s="164">
        <f t="shared" si="7"/>
        <v>9.3106643960071067E-2</v>
      </c>
      <c r="D91" s="164">
        <f t="shared" si="7"/>
        <v>9.3106643960071067E-2</v>
      </c>
      <c r="E91" s="164">
        <f t="shared" si="7"/>
        <v>9.3106643960071067E-2</v>
      </c>
      <c r="F91" s="164">
        <f t="shared" si="7"/>
        <v>9.3106643960071067E-2</v>
      </c>
      <c r="G91" s="164">
        <f t="shared" si="7"/>
        <v>9.3106643960071067E-2</v>
      </c>
      <c r="H91" s="164">
        <f t="shared" si="7"/>
        <v>9.3106643960071067E-2</v>
      </c>
      <c r="I91" s="164">
        <f t="shared" si="7"/>
        <v>9.3106643960071067E-2</v>
      </c>
      <c r="J91" s="164">
        <f t="shared" si="7"/>
        <v>9.3106643960071067E-2</v>
      </c>
      <c r="K91" s="164">
        <f t="shared" si="7"/>
        <v>9.3106643960071067E-2</v>
      </c>
      <c r="L91" s="164">
        <f t="shared" si="7"/>
        <v>9.3106643960071067E-2</v>
      </c>
      <c r="M91" s="164">
        <f t="shared" si="7"/>
        <v>9.3106643960071067E-2</v>
      </c>
      <c r="N91" s="164">
        <f t="shared" si="7"/>
        <v>9.3106643960071067E-2</v>
      </c>
      <c r="O91" s="164">
        <f t="shared" si="7"/>
        <v>9.3106643960071067E-2</v>
      </c>
      <c r="P91" s="164">
        <f t="shared" si="7"/>
        <v>9.3106643960071067E-2</v>
      </c>
    </row>
    <row r="92" spans="2:16">
      <c r="B92" s="8" t="str">
        <f t="shared" si="5"/>
        <v>35-39</v>
      </c>
      <c r="C92" s="164">
        <f t="shared" si="7"/>
        <v>7.8052400746076916E-2</v>
      </c>
      <c r="D92" s="164">
        <f t="shared" si="7"/>
        <v>7.8052400746076916E-2</v>
      </c>
      <c r="E92" s="164">
        <f t="shared" si="7"/>
        <v>7.8052400746076916E-2</v>
      </c>
      <c r="F92" s="164">
        <f t="shared" si="7"/>
        <v>7.8052400746076916E-2</v>
      </c>
      <c r="G92" s="164">
        <f t="shared" si="7"/>
        <v>7.8052400746076916E-2</v>
      </c>
      <c r="H92" s="164">
        <f t="shared" si="7"/>
        <v>7.8052400746076916E-2</v>
      </c>
      <c r="I92" s="164">
        <f t="shared" si="7"/>
        <v>7.8052400746076916E-2</v>
      </c>
      <c r="J92" s="164">
        <f t="shared" si="7"/>
        <v>7.8052400746076916E-2</v>
      </c>
      <c r="K92" s="164">
        <f t="shared" si="7"/>
        <v>7.8052400746076916E-2</v>
      </c>
      <c r="L92" s="164">
        <f t="shared" si="7"/>
        <v>7.8052400746076916E-2</v>
      </c>
      <c r="M92" s="164">
        <f t="shared" si="7"/>
        <v>7.8052400746076916E-2</v>
      </c>
      <c r="N92" s="164">
        <f t="shared" si="7"/>
        <v>7.8052400746076916E-2</v>
      </c>
      <c r="O92" s="164">
        <f t="shared" si="7"/>
        <v>7.8052400746076916E-2</v>
      </c>
      <c r="P92" s="164">
        <f t="shared" si="7"/>
        <v>7.8052400746076916E-2</v>
      </c>
    </row>
    <row r="93" spans="2:16">
      <c r="B93" s="8" t="str">
        <f t="shared" si="5"/>
        <v>40-44</v>
      </c>
      <c r="C93" s="164">
        <f t="shared" si="7"/>
        <v>7.7355141871813138E-2</v>
      </c>
      <c r="D93" s="164">
        <f t="shared" si="7"/>
        <v>7.7355141871813138E-2</v>
      </c>
      <c r="E93" s="164">
        <f t="shared" si="7"/>
        <v>7.7355141871813138E-2</v>
      </c>
      <c r="F93" s="164">
        <f t="shared" si="7"/>
        <v>7.7355141871813138E-2</v>
      </c>
      <c r="G93" s="164">
        <f t="shared" si="7"/>
        <v>7.7355141871813138E-2</v>
      </c>
      <c r="H93" s="164">
        <f t="shared" si="7"/>
        <v>7.7355141871813138E-2</v>
      </c>
      <c r="I93" s="164">
        <f t="shared" si="7"/>
        <v>7.7355141871813138E-2</v>
      </c>
      <c r="J93" s="164">
        <f t="shared" si="7"/>
        <v>7.7355141871813138E-2</v>
      </c>
      <c r="K93" s="164">
        <f t="shared" si="7"/>
        <v>7.7355141871813138E-2</v>
      </c>
      <c r="L93" s="164">
        <f t="shared" si="7"/>
        <v>7.7355141871813138E-2</v>
      </c>
      <c r="M93" s="164">
        <f t="shared" si="7"/>
        <v>7.7355141871813138E-2</v>
      </c>
      <c r="N93" s="164">
        <f t="shared" si="7"/>
        <v>7.7355141871813138E-2</v>
      </c>
      <c r="O93" s="164">
        <f t="shared" si="7"/>
        <v>7.7355141871813138E-2</v>
      </c>
      <c r="P93" s="164">
        <f t="shared" si="7"/>
        <v>7.7355141871813138E-2</v>
      </c>
    </row>
    <row r="94" spans="2:16">
      <c r="B94" s="8" t="str">
        <f t="shared" si="5"/>
        <v>45-49</v>
      </c>
      <c r="C94" s="164">
        <f t="shared" si="7"/>
        <v>8.5110002703054882E-2</v>
      </c>
      <c r="D94" s="164">
        <f t="shared" si="7"/>
        <v>8.5110002703054882E-2</v>
      </c>
      <c r="E94" s="164">
        <f t="shared" si="7"/>
        <v>8.5110002703054882E-2</v>
      </c>
      <c r="F94" s="164">
        <f t="shared" si="7"/>
        <v>8.5110002703054882E-2</v>
      </c>
      <c r="G94" s="164">
        <f t="shared" si="7"/>
        <v>8.5110002703054882E-2</v>
      </c>
      <c r="H94" s="164">
        <f t="shared" si="7"/>
        <v>8.5110002703054882E-2</v>
      </c>
      <c r="I94" s="164">
        <f t="shared" si="7"/>
        <v>8.5110002703054882E-2</v>
      </c>
      <c r="J94" s="164">
        <f t="shared" si="7"/>
        <v>8.5110002703054882E-2</v>
      </c>
      <c r="K94" s="164">
        <f t="shared" si="7"/>
        <v>8.5110002703054882E-2</v>
      </c>
      <c r="L94" s="164">
        <f t="shared" si="7"/>
        <v>8.5110002703054882E-2</v>
      </c>
      <c r="M94" s="164">
        <f t="shared" si="7"/>
        <v>8.5110002703054882E-2</v>
      </c>
      <c r="N94" s="164">
        <f t="shared" si="7"/>
        <v>8.5110002703054882E-2</v>
      </c>
      <c r="O94" s="164">
        <f t="shared" si="7"/>
        <v>8.5110002703054882E-2</v>
      </c>
      <c r="P94" s="164">
        <f t="shared" si="7"/>
        <v>8.5110002703054882E-2</v>
      </c>
    </row>
    <row r="95" spans="2:16">
      <c r="B95" s="8" t="str">
        <f t="shared" si="5"/>
        <v>50-54</v>
      </c>
      <c r="C95" s="164">
        <f t="shared" si="7"/>
        <v>8.000036924203556E-2</v>
      </c>
      <c r="D95" s="164">
        <f t="shared" si="7"/>
        <v>8.000036924203556E-2</v>
      </c>
      <c r="E95" s="164">
        <f t="shared" si="7"/>
        <v>8.000036924203556E-2</v>
      </c>
      <c r="F95" s="164">
        <f t="shared" si="7"/>
        <v>8.000036924203556E-2</v>
      </c>
      <c r="G95" s="164">
        <f t="shared" si="7"/>
        <v>8.000036924203556E-2</v>
      </c>
      <c r="H95" s="164">
        <f t="shared" si="7"/>
        <v>8.000036924203556E-2</v>
      </c>
      <c r="I95" s="164">
        <f t="shared" si="7"/>
        <v>8.000036924203556E-2</v>
      </c>
      <c r="J95" s="164">
        <f t="shared" si="7"/>
        <v>8.000036924203556E-2</v>
      </c>
      <c r="K95" s="164">
        <f t="shared" si="7"/>
        <v>8.000036924203556E-2</v>
      </c>
      <c r="L95" s="164">
        <f t="shared" si="7"/>
        <v>8.000036924203556E-2</v>
      </c>
      <c r="M95" s="164">
        <f t="shared" si="7"/>
        <v>8.000036924203556E-2</v>
      </c>
      <c r="N95" s="164">
        <f t="shared" si="7"/>
        <v>8.000036924203556E-2</v>
      </c>
      <c r="O95" s="164">
        <f t="shared" si="7"/>
        <v>8.000036924203556E-2</v>
      </c>
      <c r="P95" s="164">
        <f t="shared" si="7"/>
        <v>8.000036924203556E-2</v>
      </c>
    </row>
    <row r="96" spans="2:16">
      <c r="B96" s="8" t="str">
        <f t="shared" si="5"/>
        <v>55-59</v>
      </c>
      <c r="C96" s="164">
        <f t="shared" si="7"/>
        <v>4.6494869286704467E-2</v>
      </c>
      <c r="D96" s="164">
        <f t="shared" si="7"/>
        <v>4.6494869286704467E-2</v>
      </c>
      <c r="E96" s="164">
        <f t="shared" si="7"/>
        <v>4.6494869286704467E-2</v>
      </c>
      <c r="F96" s="164">
        <f t="shared" si="7"/>
        <v>4.6494869286704467E-2</v>
      </c>
      <c r="G96" s="164">
        <f t="shared" si="7"/>
        <v>4.6494869286704467E-2</v>
      </c>
      <c r="H96" s="164">
        <f t="shared" si="7"/>
        <v>4.6494869286704467E-2</v>
      </c>
      <c r="I96" s="164">
        <f t="shared" si="7"/>
        <v>4.6494869286704467E-2</v>
      </c>
      <c r="J96" s="164">
        <f t="shared" si="7"/>
        <v>4.6494869286704467E-2</v>
      </c>
      <c r="K96" s="164">
        <f t="shared" si="7"/>
        <v>4.6494869286704467E-2</v>
      </c>
      <c r="L96" s="164">
        <f t="shared" si="7"/>
        <v>4.6494869286704467E-2</v>
      </c>
      <c r="M96" s="164">
        <f t="shared" si="7"/>
        <v>4.6494869286704467E-2</v>
      </c>
      <c r="N96" s="164">
        <f t="shared" si="7"/>
        <v>4.6494869286704467E-2</v>
      </c>
      <c r="O96" s="164">
        <f t="shared" si="7"/>
        <v>4.6494869286704467E-2</v>
      </c>
      <c r="P96" s="164">
        <f t="shared" si="7"/>
        <v>4.6494869286704467E-2</v>
      </c>
    </row>
    <row r="97" spans="2:16">
      <c r="B97" s="8" t="str">
        <f t="shared" si="5"/>
        <v>60-64</v>
      </c>
      <c r="C97" s="164">
        <f t="shared" si="7"/>
        <v>2.0949424566679462E-2</v>
      </c>
      <c r="D97" s="164">
        <f t="shared" si="7"/>
        <v>2.0949424566679462E-2</v>
      </c>
      <c r="E97" s="164">
        <f t="shared" si="7"/>
        <v>2.0949424566679462E-2</v>
      </c>
      <c r="F97" s="164">
        <f t="shared" si="7"/>
        <v>2.0949424566679462E-2</v>
      </c>
      <c r="G97" s="164">
        <f t="shared" si="7"/>
        <v>2.0949424566679462E-2</v>
      </c>
      <c r="H97" s="164">
        <f t="shared" si="7"/>
        <v>2.0949424566679462E-2</v>
      </c>
      <c r="I97" s="164">
        <f t="shared" si="7"/>
        <v>2.0949424566679462E-2</v>
      </c>
      <c r="J97" s="164">
        <f t="shared" si="7"/>
        <v>2.0949424566679462E-2</v>
      </c>
      <c r="K97" s="164">
        <f t="shared" si="7"/>
        <v>2.0949424566679462E-2</v>
      </c>
      <c r="L97" s="164">
        <f t="shared" si="7"/>
        <v>2.0949424566679462E-2</v>
      </c>
      <c r="M97" s="164">
        <f t="shared" si="7"/>
        <v>2.0949424566679462E-2</v>
      </c>
      <c r="N97" s="164">
        <f t="shared" si="7"/>
        <v>2.0949424566679462E-2</v>
      </c>
      <c r="O97" s="164">
        <f t="shared" si="7"/>
        <v>2.0949424566679462E-2</v>
      </c>
      <c r="P97" s="164">
        <f t="shared" si="7"/>
        <v>2.0949424566679462E-2</v>
      </c>
    </row>
    <row r="98" spans="2:16">
      <c r="B98" s="8" t="str">
        <f t="shared" si="5"/>
        <v>65 plus</v>
      </c>
      <c r="C98" s="164">
        <f t="shared" si="7"/>
        <v>3.2146472226739282E-2</v>
      </c>
      <c r="D98" s="164">
        <f t="shared" si="7"/>
        <v>3.2146472226739282E-2</v>
      </c>
      <c r="E98" s="164">
        <f t="shared" si="7"/>
        <v>3.2146472226739282E-2</v>
      </c>
      <c r="F98" s="164">
        <f t="shared" si="7"/>
        <v>3.2146472226739282E-2</v>
      </c>
      <c r="G98" s="164">
        <f t="shared" si="7"/>
        <v>3.2146472226739282E-2</v>
      </c>
      <c r="H98" s="164">
        <f t="shared" si="7"/>
        <v>3.2146472226739282E-2</v>
      </c>
      <c r="I98" s="164">
        <f t="shared" si="7"/>
        <v>3.2146472226739282E-2</v>
      </c>
      <c r="J98" s="164">
        <f t="shared" si="7"/>
        <v>3.2146472226739282E-2</v>
      </c>
      <c r="K98" s="164">
        <f t="shared" si="7"/>
        <v>3.2146472226739282E-2</v>
      </c>
      <c r="L98" s="164">
        <f t="shared" si="7"/>
        <v>3.2146472226739282E-2</v>
      </c>
      <c r="M98" s="164">
        <f t="shared" si="7"/>
        <v>3.2146472226739282E-2</v>
      </c>
      <c r="N98" s="164">
        <f t="shared" si="7"/>
        <v>3.2146472226739282E-2</v>
      </c>
      <c r="O98" s="164">
        <f t="shared" si="7"/>
        <v>3.2146472226739282E-2</v>
      </c>
      <c r="P98" s="164">
        <f t="shared" si="7"/>
        <v>3.2146472226739282E-2</v>
      </c>
    </row>
    <row r="99" spans="2:16">
      <c r="B99" s="8" t="str">
        <f t="shared" si="5"/>
        <v>Total</v>
      </c>
      <c r="C99" s="164">
        <f t="shared" si="7"/>
        <v>8.3390110930926784E-2</v>
      </c>
      <c r="D99" s="164">
        <f t="shared" si="7"/>
        <v>8.3390110930926784E-2</v>
      </c>
      <c r="E99" s="164">
        <f t="shared" si="7"/>
        <v>8.3390110930926784E-2</v>
      </c>
      <c r="F99" s="164">
        <f t="shared" si="7"/>
        <v>8.3390110930926784E-2</v>
      </c>
      <c r="G99" s="164">
        <f t="shared" si="7"/>
        <v>8.3390110930926784E-2</v>
      </c>
      <c r="H99" s="164">
        <f t="shared" si="7"/>
        <v>8.3390110930926784E-2</v>
      </c>
      <c r="I99" s="164">
        <f t="shared" si="7"/>
        <v>8.3390110930926784E-2</v>
      </c>
      <c r="J99" s="164">
        <f t="shared" si="7"/>
        <v>8.3390110930926784E-2</v>
      </c>
      <c r="K99" s="164">
        <f t="shared" si="7"/>
        <v>8.3390110930926784E-2</v>
      </c>
      <c r="L99" s="164">
        <f t="shared" si="7"/>
        <v>8.3390110930926784E-2</v>
      </c>
      <c r="M99" s="164">
        <f t="shared" si="7"/>
        <v>8.3390110930926784E-2</v>
      </c>
      <c r="N99" s="164">
        <f t="shared" si="7"/>
        <v>8.3390110930926784E-2</v>
      </c>
      <c r="O99" s="164">
        <f t="shared" si="7"/>
        <v>8.3390110930926784E-2</v>
      </c>
      <c r="P99" s="164">
        <f t="shared" si="7"/>
        <v>8.3390110930926784E-2</v>
      </c>
    </row>
    <row r="102" spans="2:16">
      <c r="B102" s="76" t="s">
        <v>1328</v>
      </c>
    </row>
    <row r="104" spans="2:16">
      <c r="B104" s="140"/>
      <c r="C104" s="140" t="str">
        <f>C88</f>
        <v>2014/15</v>
      </c>
      <c r="D104" s="140" t="str">
        <f t="shared" ref="D104:P104" si="8">D88</f>
        <v>2015/16</v>
      </c>
      <c r="E104" s="140" t="str">
        <f t="shared" si="8"/>
        <v>2016/17</v>
      </c>
      <c r="F104" s="140" t="str">
        <f t="shared" si="8"/>
        <v>2017/18</v>
      </c>
      <c r="G104" s="140" t="str">
        <f t="shared" si="8"/>
        <v>2018/19</v>
      </c>
      <c r="H104" s="140" t="str">
        <f t="shared" si="8"/>
        <v>2019/20</v>
      </c>
      <c r="I104" s="140" t="str">
        <f t="shared" si="8"/>
        <v>2020/21</v>
      </c>
      <c r="J104" s="140" t="str">
        <f t="shared" si="8"/>
        <v>2021/22</v>
      </c>
      <c r="K104" s="140" t="str">
        <f t="shared" si="8"/>
        <v>2022/23</v>
      </c>
      <c r="L104" s="140" t="str">
        <f t="shared" si="8"/>
        <v>2023/24</v>
      </c>
      <c r="M104" s="140" t="str">
        <f t="shared" si="8"/>
        <v>2024/25</v>
      </c>
      <c r="N104" s="140" t="str">
        <f t="shared" si="8"/>
        <v>2025/26</v>
      </c>
      <c r="O104" s="140" t="str">
        <f t="shared" si="8"/>
        <v>2026/27</v>
      </c>
      <c r="P104" s="140" t="str">
        <f t="shared" si="8"/>
        <v>2027/28</v>
      </c>
    </row>
    <row r="105" spans="2:16">
      <c r="B105" s="767" t="s">
        <v>1050</v>
      </c>
      <c r="C105" s="975">
        <f>C84</f>
        <v>7.7174949525843209E-2</v>
      </c>
      <c r="D105" s="975">
        <f t="shared" ref="D105:P105" si="9">D84</f>
        <v>7.7174949525843209E-2</v>
      </c>
      <c r="E105" s="975">
        <f t="shared" si="9"/>
        <v>7.7174949525843209E-2</v>
      </c>
      <c r="F105" s="975">
        <f t="shared" si="9"/>
        <v>7.7174949525843209E-2</v>
      </c>
      <c r="G105" s="975">
        <f t="shared" si="9"/>
        <v>7.7174949525843209E-2</v>
      </c>
      <c r="H105" s="975">
        <f t="shared" si="9"/>
        <v>7.7174949525843209E-2</v>
      </c>
      <c r="I105" s="975">
        <f t="shared" si="9"/>
        <v>7.7174949525843209E-2</v>
      </c>
      <c r="J105" s="975">
        <f t="shared" si="9"/>
        <v>7.7174949525843209E-2</v>
      </c>
      <c r="K105" s="975">
        <f t="shared" si="9"/>
        <v>7.7174949525843209E-2</v>
      </c>
      <c r="L105" s="975">
        <f t="shared" si="9"/>
        <v>7.7174949525843209E-2</v>
      </c>
      <c r="M105" s="975">
        <f t="shared" si="9"/>
        <v>7.7174949525843209E-2</v>
      </c>
      <c r="N105" s="975">
        <f t="shared" si="9"/>
        <v>7.7174949525843209E-2</v>
      </c>
      <c r="O105" s="975">
        <f t="shared" si="9"/>
        <v>7.7174949525843209E-2</v>
      </c>
      <c r="P105" s="975">
        <f t="shared" si="9"/>
        <v>7.7174949525843209E-2</v>
      </c>
    </row>
    <row r="106" spans="2:16">
      <c r="B106" s="767" t="s">
        <v>1051</v>
      </c>
      <c r="C106" s="975">
        <f>C99</f>
        <v>8.3390110930926784E-2</v>
      </c>
      <c r="D106" s="975">
        <f t="shared" ref="D106:P106" si="10">D99</f>
        <v>8.3390110930926784E-2</v>
      </c>
      <c r="E106" s="975">
        <f t="shared" si="10"/>
        <v>8.3390110930926784E-2</v>
      </c>
      <c r="F106" s="975">
        <f t="shared" si="10"/>
        <v>8.3390110930926784E-2</v>
      </c>
      <c r="G106" s="975">
        <f t="shared" si="10"/>
        <v>8.3390110930926784E-2</v>
      </c>
      <c r="H106" s="975">
        <f t="shared" si="10"/>
        <v>8.3390110930926784E-2</v>
      </c>
      <c r="I106" s="975">
        <f t="shared" si="10"/>
        <v>8.3390110930926784E-2</v>
      </c>
      <c r="J106" s="975">
        <f t="shared" si="10"/>
        <v>8.3390110930926784E-2</v>
      </c>
      <c r="K106" s="975">
        <f t="shared" si="10"/>
        <v>8.3390110930926784E-2</v>
      </c>
      <c r="L106" s="975">
        <f t="shared" si="10"/>
        <v>8.3390110930926784E-2</v>
      </c>
      <c r="M106" s="975">
        <f t="shared" si="10"/>
        <v>8.3390110930926784E-2</v>
      </c>
      <c r="N106" s="975">
        <f t="shared" si="10"/>
        <v>8.3390110930926784E-2</v>
      </c>
      <c r="O106" s="975">
        <f t="shared" si="10"/>
        <v>8.3390110930926784E-2</v>
      </c>
      <c r="P106" s="975">
        <f t="shared" si="10"/>
        <v>8.3390110930926784E-2</v>
      </c>
    </row>
    <row r="107" spans="2:16">
      <c r="B107" s="767" t="s">
        <v>1052</v>
      </c>
      <c r="C107" s="975">
        <f>Group_2_rates!C84</f>
        <v>7.4212379486463434E-2</v>
      </c>
      <c r="D107" s="975">
        <f>Group_2_rates!D84</f>
        <v>7.4212379486463434E-2</v>
      </c>
      <c r="E107" s="975">
        <f>Group_2_rates!E84</f>
        <v>7.4212379486463434E-2</v>
      </c>
      <c r="F107" s="975">
        <f>Group_2_rates!F84</f>
        <v>7.4212379486463434E-2</v>
      </c>
      <c r="G107" s="975">
        <f>Group_2_rates!G84</f>
        <v>7.4212379486463434E-2</v>
      </c>
      <c r="H107" s="975">
        <f>Group_2_rates!H84</f>
        <v>7.4212379486463434E-2</v>
      </c>
      <c r="I107" s="975">
        <f>Group_2_rates!I84</f>
        <v>7.4212379486463434E-2</v>
      </c>
      <c r="J107" s="975">
        <f>Group_2_rates!J84</f>
        <v>7.4212379486463434E-2</v>
      </c>
      <c r="K107" s="975">
        <f>Group_2_rates!K84</f>
        <v>7.4212379486463434E-2</v>
      </c>
      <c r="L107" s="975">
        <f>Group_2_rates!L84</f>
        <v>7.4212379486463434E-2</v>
      </c>
      <c r="M107" s="975">
        <f>Group_2_rates!M84</f>
        <v>7.4212379486463434E-2</v>
      </c>
      <c r="N107" s="975">
        <f>Group_2_rates!N84</f>
        <v>7.4212379486463434E-2</v>
      </c>
      <c r="O107" s="975">
        <f>Group_2_rates!O84</f>
        <v>7.4212379486463434E-2</v>
      </c>
      <c r="P107" s="975">
        <f>Group_2_rates!P84</f>
        <v>7.4212379486463434E-2</v>
      </c>
    </row>
    <row r="108" spans="2:16">
      <c r="B108" s="767" t="s">
        <v>1053</v>
      </c>
      <c r="C108" s="975">
        <f>Group_2_rates!C99</f>
        <v>8.4310162305290065E-2</v>
      </c>
      <c r="D108" s="975">
        <f>Group_2_rates!D99</f>
        <v>8.4310162305290065E-2</v>
      </c>
      <c r="E108" s="975">
        <f>Group_2_rates!E99</f>
        <v>8.4310162305290065E-2</v>
      </c>
      <c r="F108" s="975">
        <f>Group_2_rates!F99</f>
        <v>8.4310162305290065E-2</v>
      </c>
      <c r="G108" s="975">
        <f>Group_2_rates!G99</f>
        <v>8.4310162305290065E-2</v>
      </c>
      <c r="H108" s="975">
        <f>Group_2_rates!H99</f>
        <v>8.4310162305290065E-2</v>
      </c>
      <c r="I108" s="975">
        <f>Group_2_rates!I99</f>
        <v>8.4310162305290065E-2</v>
      </c>
      <c r="J108" s="975">
        <f>Group_2_rates!J99</f>
        <v>8.4310162305290065E-2</v>
      </c>
      <c r="K108" s="975">
        <f>Group_2_rates!K99</f>
        <v>8.4310162305290065E-2</v>
      </c>
      <c r="L108" s="975">
        <f>Group_2_rates!L99</f>
        <v>8.4310162305290065E-2</v>
      </c>
      <c r="M108" s="975">
        <f>Group_2_rates!M99</f>
        <v>8.4310162305290065E-2</v>
      </c>
      <c r="N108" s="975">
        <f>Group_2_rates!N99</f>
        <v>8.4310162305290065E-2</v>
      </c>
      <c r="O108" s="975">
        <f>Group_2_rates!O99</f>
        <v>8.4310162305290065E-2</v>
      </c>
      <c r="P108" s="975">
        <f>Group_2_rates!P99</f>
        <v>8.4310162305290065E-2</v>
      </c>
    </row>
    <row r="109" spans="2:16">
      <c r="B109" s="767" t="s">
        <v>1054</v>
      </c>
      <c r="C109" s="975">
        <f>Group_3_rates!C84</f>
        <v>7.0509166937238701E-2</v>
      </c>
      <c r="D109" s="975">
        <f>Group_3_rates!D84</f>
        <v>7.0509166937238701E-2</v>
      </c>
      <c r="E109" s="975">
        <f>Group_3_rates!E84</f>
        <v>7.0509166937238701E-2</v>
      </c>
      <c r="F109" s="975">
        <f>Group_3_rates!F84</f>
        <v>7.0509166937238701E-2</v>
      </c>
      <c r="G109" s="975">
        <f>Group_3_rates!G84</f>
        <v>7.0509166937238701E-2</v>
      </c>
      <c r="H109" s="975">
        <f>Group_3_rates!H84</f>
        <v>7.0509166937238701E-2</v>
      </c>
      <c r="I109" s="975">
        <f>Group_3_rates!I84</f>
        <v>7.0509166937238701E-2</v>
      </c>
      <c r="J109" s="975">
        <f>Group_3_rates!J84</f>
        <v>7.0509166937238701E-2</v>
      </c>
      <c r="K109" s="975">
        <f>Group_3_rates!K84</f>
        <v>7.0509166937238701E-2</v>
      </c>
      <c r="L109" s="975">
        <f>Group_3_rates!L84</f>
        <v>7.0509166937238701E-2</v>
      </c>
      <c r="M109" s="975">
        <f>Group_3_rates!M84</f>
        <v>7.0509166937238701E-2</v>
      </c>
      <c r="N109" s="975">
        <f>Group_3_rates!N84</f>
        <v>7.0509166937238701E-2</v>
      </c>
      <c r="O109" s="975">
        <f>Group_3_rates!O84</f>
        <v>7.0509166937238701E-2</v>
      </c>
      <c r="P109" s="975">
        <f>Group_3_rates!P84</f>
        <v>7.0509166937238701E-2</v>
      </c>
    </row>
    <row r="110" spans="2:16">
      <c r="B110" s="767" t="s">
        <v>1055</v>
      </c>
      <c r="C110" s="975">
        <f>Group_3_rates!C99</f>
        <v>8.322282886286074E-2</v>
      </c>
      <c r="D110" s="975">
        <f>Group_3_rates!D99</f>
        <v>8.322282886286074E-2</v>
      </c>
      <c r="E110" s="975">
        <f>Group_3_rates!E99</f>
        <v>8.322282886286074E-2</v>
      </c>
      <c r="F110" s="975">
        <f>Group_3_rates!F99</f>
        <v>8.322282886286074E-2</v>
      </c>
      <c r="G110" s="975">
        <f>Group_3_rates!G99</f>
        <v>8.322282886286074E-2</v>
      </c>
      <c r="H110" s="975">
        <f>Group_3_rates!H99</f>
        <v>8.322282886286074E-2</v>
      </c>
      <c r="I110" s="975">
        <f>Group_3_rates!I99</f>
        <v>8.322282886286074E-2</v>
      </c>
      <c r="J110" s="975">
        <f>Group_3_rates!J99</f>
        <v>8.322282886286074E-2</v>
      </c>
      <c r="K110" s="975">
        <f>Group_3_rates!K99</f>
        <v>8.322282886286074E-2</v>
      </c>
      <c r="L110" s="975">
        <f>Group_3_rates!L99</f>
        <v>8.322282886286074E-2</v>
      </c>
      <c r="M110" s="975">
        <f>Group_3_rates!M99</f>
        <v>8.322282886286074E-2</v>
      </c>
      <c r="N110" s="975">
        <f>Group_3_rates!N99</f>
        <v>8.322282886286074E-2</v>
      </c>
      <c r="O110" s="975">
        <f>Group_3_rates!O99</f>
        <v>8.322282886286074E-2</v>
      </c>
      <c r="P110" s="975">
        <f>Group_3_rates!P99</f>
        <v>8.322282886286074E-2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9"/>
  <sheetViews>
    <sheetView showGridLines="0" workbookViewId="0"/>
  </sheetViews>
  <sheetFormatPr defaultRowHeight="12.75"/>
  <cols>
    <col min="2" max="2" width="15.7109375" customWidth="1"/>
    <col min="3" max="20" width="12.7109375" customWidth="1"/>
  </cols>
  <sheetData>
    <row r="1" spans="1:16" s="66" customFormat="1" ht="15">
      <c r="A1" s="65" t="str">
        <f>ModelBanner</f>
        <v>TSM_201718 for publication</v>
      </c>
    </row>
    <row r="2" spans="1:16" s="66" customFormat="1" ht="15">
      <c r="A2" s="1003" t="s">
        <v>13</v>
      </c>
      <c r="B2" s="1003" t="s">
        <v>30</v>
      </c>
    </row>
    <row r="3" spans="1:16" s="66" customFormat="1" ht="15">
      <c r="A3" s="67"/>
    </row>
    <row r="4" spans="1:16" s="57" customFormat="1">
      <c r="A4" s="58" t="s">
        <v>26</v>
      </c>
      <c r="B4" s="58"/>
    </row>
    <row r="5" spans="1:16" s="47" customFormat="1" ht="28.5" customHeight="1">
      <c r="A5" s="1213" t="s">
        <v>1481</v>
      </c>
      <c r="B5" s="1213"/>
      <c r="C5" s="1213"/>
      <c r="D5" s="1213"/>
      <c r="E5" s="1213"/>
      <c r="F5" s="1213"/>
      <c r="G5" s="1213"/>
      <c r="H5" s="1213"/>
      <c r="I5" s="1213"/>
      <c r="J5" s="1213"/>
      <c r="K5" s="1213"/>
      <c r="L5" s="1213"/>
      <c r="M5" s="1213"/>
      <c r="N5" s="1213"/>
      <c r="O5" s="1213"/>
      <c r="P5" s="1213"/>
    </row>
    <row r="6" spans="1:16" s="46" customFormat="1">
      <c r="A6" s="56" t="s">
        <v>1420</v>
      </c>
      <c r="B6" s="61"/>
      <c r="C6" s="45"/>
      <c r="D6" s="45"/>
      <c r="E6" s="45"/>
      <c r="F6" s="45"/>
      <c r="G6" s="45"/>
      <c r="H6" s="45"/>
      <c r="I6" s="45"/>
    </row>
    <row r="7" spans="1:16" s="46" customFormat="1">
      <c r="A7" s="54" t="s">
        <v>224</v>
      </c>
      <c r="B7" s="56"/>
      <c r="C7" s="45"/>
      <c r="D7" s="45"/>
      <c r="E7" s="45"/>
      <c r="F7" s="45"/>
      <c r="G7" s="45"/>
      <c r="H7" s="45"/>
      <c r="I7" s="45"/>
    </row>
    <row r="8" spans="1:16" s="46" customFormat="1">
      <c r="A8" s="56" t="s">
        <v>24</v>
      </c>
      <c r="B8" s="61"/>
      <c r="C8" s="45"/>
      <c r="D8" s="45"/>
      <c r="E8" s="45"/>
      <c r="F8" s="45"/>
      <c r="G8" s="45"/>
      <c r="H8" s="45"/>
      <c r="I8" s="45"/>
    </row>
    <row r="9" spans="1:16" s="46" customFormat="1">
      <c r="A9" s="54" t="s">
        <v>1479</v>
      </c>
      <c r="B9" s="61"/>
      <c r="C9" s="45"/>
      <c r="D9" s="45"/>
      <c r="E9" s="45"/>
      <c r="F9" s="45"/>
      <c r="G9" s="45"/>
      <c r="H9" s="45"/>
      <c r="I9" s="45"/>
    </row>
    <row r="10" spans="1:16" s="50" customFormat="1">
      <c r="A10" s="55">
        <f>SUM(A12:A2224)</f>
        <v>0</v>
      </c>
      <c r="B10" s="73"/>
      <c r="C10" s="48"/>
      <c r="D10" s="72"/>
      <c r="E10" s="49"/>
      <c r="F10" s="49"/>
      <c r="G10" s="49"/>
      <c r="H10" s="49"/>
      <c r="I10" s="49"/>
    </row>
    <row r="12" spans="1:16" ht="18">
      <c r="B12" s="39" t="s">
        <v>428</v>
      </c>
    </row>
    <row r="14" spans="1:16">
      <c r="B14" s="12" t="s">
        <v>1110</v>
      </c>
    </row>
    <row r="16" spans="1:16">
      <c r="B16" s="12" t="s">
        <v>429</v>
      </c>
    </row>
    <row r="18" spans="2:8">
      <c r="B18" t="str">
        <f>RAW_DATA_INPUTS!C397</f>
        <v xml:space="preserve">Group 1 subjects include Biology, Chemistry, Computing, Mathematics, and Physics. Group 2 subjects include Classics, English, Geography, History, and Modern Foreign Languages. All other subjects fall into Group 3. </v>
      </c>
    </row>
    <row r="20" spans="2:8">
      <c r="B20" s="12" t="s">
        <v>1482</v>
      </c>
    </row>
    <row r="22" spans="2:8">
      <c r="B22" s="1211"/>
      <c r="C22" s="1173" t="str">
        <f>RAW_DATA_INPUTS!C400</f>
        <v>Assumed wastage conversion rates</v>
      </c>
      <c r="D22" s="1174"/>
      <c r="E22" s="1174"/>
      <c r="F22" s="1174"/>
      <c r="G22" s="1174"/>
      <c r="H22" s="1175"/>
    </row>
    <row r="23" spans="2:8">
      <c r="B23" s="1212"/>
      <c r="C23" s="1173" t="str">
        <f>RAW_DATA_INPUTS!C401</f>
        <v>Male</v>
      </c>
      <c r="D23" s="1174"/>
      <c r="E23" s="1175"/>
      <c r="F23" s="1173" t="str">
        <f>RAW_DATA_INPUTS!F401</f>
        <v>Female</v>
      </c>
      <c r="G23" s="1174"/>
      <c r="H23" s="1175"/>
    </row>
    <row r="24" spans="2:8">
      <c r="B24" s="8" t="str">
        <f>RAW_DATA_INPUTS!B402</f>
        <v>Age group</v>
      </c>
      <c r="C24" s="8" t="str">
        <f>RAW_DATA_INPUTS!C402</f>
        <v>Group 1</v>
      </c>
      <c r="D24" s="8" t="str">
        <f>RAW_DATA_INPUTS!D402</f>
        <v>Group 2</v>
      </c>
      <c r="E24" s="8" t="str">
        <f>RAW_DATA_INPUTS!E402</f>
        <v>Group 3</v>
      </c>
      <c r="F24" s="8" t="str">
        <f>RAW_DATA_INPUTS!F402</f>
        <v>Group 1</v>
      </c>
      <c r="G24" s="8" t="str">
        <f>RAW_DATA_INPUTS!G402</f>
        <v>Group 2</v>
      </c>
      <c r="H24" s="8" t="str">
        <f>RAW_DATA_INPUTS!H402</f>
        <v>Group 3</v>
      </c>
    </row>
    <row r="25" spans="2:8">
      <c r="B25" s="8" t="str">
        <f>RAW_DATA_INPUTS!B403</f>
        <v>20-24</v>
      </c>
      <c r="C25" s="261">
        <f>RAW_DATA_INPUTS!C403</f>
        <v>1.1080000000000001</v>
      </c>
      <c r="D25" s="261">
        <f>RAW_DATA_INPUTS!D403</f>
        <v>0.97099999999999997</v>
      </c>
      <c r="E25" s="261">
        <f>RAW_DATA_INPUTS!E403</f>
        <v>0.84899999999999998</v>
      </c>
      <c r="F25" s="261">
        <f>RAW_DATA_INPUTS!F403</f>
        <v>1.0980000000000001</v>
      </c>
      <c r="G25" s="261">
        <f>RAW_DATA_INPUTS!G403</f>
        <v>0.94</v>
      </c>
      <c r="H25" s="261">
        <f>RAW_DATA_INPUTS!H403</f>
        <v>0.96</v>
      </c>
    </row>
    <row r="26" spans="2:8">
      <c r="B26" s="8" t="str">
        <f>RAW_DATA_INPUTS!B404</f>
        <v>25-29</v>
      </c>
      <c r="C26" s="261">
        <f>RAW_DATA_INPUTS!C404</f>
        <v>1.0720000000000001</v>
      </c>
      <c r="D26" s="261">
        <f>RAW_DATA_INPUTS!D404</f>
        <v>1.1000000000000001</v>
      </c>
      <c r="E26" s="261">
        <f>RAW_DATA_INPUTS!E404</f>
        <v>0.85799999999999998</v>
      </c>
      <c r="F26" s="261">
        <f>RAW_DATA_INPUTS!F404</f>
        <v>1.0649999999999999</v>
      </c>
      <c r="G26" s="261">
        <f>RAW_DATA_INPUTS!G404</f>
        <v>1.0169999999999999</v>
      </c>
      <c r="H26" s="261">
        <f>RAW_DATA_INPUTS!H404</f>
        <v>0.93799999999999994</v>
      </c>
    </row>
    <row r="27" spans="2:8">
      <c r="B27" s="8" t="str">
        <f>RAW_DATA_INPUTS!B405</f>
        <v>30-34</v>
      </c>
      <c r="C27" s="261">
        <f>RAW_DATA_INPUTS!C405</f>
        <v>1.0720000000000001</v>
      </c>
      <c r="D27" s="261">
        <f>RAW_DATA_INPUTS!D405</f>
        <v>1.04</v>
      </c>
      <c r="E27" s="261">
        <f>RAW_DATA_INPUTS!E405</f>
        <v>0.91200000000000003</v>
      </c>
      <c r="F27" s="261">
        <f>RAW_DATA_INPUTS!F405</f>
        <v>1.0309999999999999</v>
      </c>
      <c r="G27" s="261">
        <f>RAW_DATA_INPUTS!G405</f>
        <v>1.022</v>
      </c>
      <c r="H27" s="261">
        <f>RAW_DATA_INPUTS!H405</f>
        <v>0.96099999999999997</v>
      </c>
    </row>
    <row r="28" spans="2:8">
      <c r="B28" s="8" t="str">
        <f>RAW_DATA_INPUTS!B406</f>
        <v>35-39</v>
      </c>
      <c r="C28" s="261">
        <f>RAW_DATA_INPUTS!C406</f>
        <v>1.107</v>
      </c>
      <c r="D28" s="261">
        <f>RAW_DATA_INPUTS!D406</f>
        <v>0.92400000000000004</v>
      </c>
      <c r="E28" s="261">
        <f>RAW_DATA_INPUTS!E406</f>
        <v>0.94099999999999995</v>
      </c>
      <c r="F28" s="261">
        <f>RAW_DATA_INPUTS!F406</f>
        <v>0.97899999999999998</v>
      </c>
      <c r="G28" s="261">
        <f>RAW_DATA_INPUTS!G406</f>
        <v>1.018</v>
      </c>
      <c r="H28" s="261">
        <f>RAW_DATA_INPUTS!H406</f>
        <v>0.998</v>
      </c>
    </row>
    <row r="29" spans="2:8">
      <c r="B29" s="8" t="str">
        <f>RAW_DATA_INPUTS!B407</f>
        <v>40-44</v>
      </c>
      <c r="C29" s="261">
        <f>RAW_DATA_INPUTS!C407</f>
        <v>1.032</v>
      </c>
      <c r="D29" s="261">
        <f>RAW_DATA_INPUTS!D407</f>
        <v>0.93799999999999994</v>
      </c>
      <c r="E29" s="261">
        <f>RAW_DATA_INPUTS!E407</f>
        <v>1.0029999999999999</v>
      </c>
      <c r="F29" s="261">
        <f>RAW_DATA_INPUTS!F407</f>
        <v>1.0169999999999999</v>
      </c>
      <c r="G29" s="261">
        <f>RAW_DATA_INPUTS!G407</f>
        <v>0.98599999999999999</v>
      </c>
      <c r="H29" s="261">
        <f>RAW_DATA_INPUTS!H407</f>
        <v>1.0009999999999999</v>
      </c>
    </row>
    <row r="30" spans="2:8">
      <c r="B30" s="8" t="str">
        <f>RAW_DATA_INPUTS!B408</f>
        <v>45-49</v>
      </c>
      <c r="C30" s="261">
        <f>RAW_DATA_INPUTS!C408</f>
        <v>1.07</v>
      </c>
      <c r="D30" s="261">
        <f>RAW_DATA_INPUTS!D408</f>
        <v>0.91600000000000004</v>
      </c>
      <c r="E30" s="261">
        <f>RAW_DATA_INPUTS!E408</f>
        <v>0.96299999999999997</v>
      </c>
      <c r="F30" s="261">
        <f>RAW_DATA_INPUTS!F408</f>
        <v>1.0349999999999999</v>
      </c>
      <c r="G30" s="261">
        <f>RAW_DATA_INPUTS!G408</f>
        <v>1.0029999999999999</v>
      </c>
      <c r="H30" s="261">
        <f>RAW_DATA_INPUTS!H408</f>
        <v>0.96599999999999997</v>
      </c>
    </row>
    <row r="31" spans="2:8">
      <c r="B31" s="8" t="str">
        <f>RAW_DATA_INPUTS!B409</f>
        <v>50-54</v>
      </c>
      <c r="C31" s="261">
        <f>RAW_DATA_INPUTS!C409</f>
        <v>1.0189999999999999</v>
      </c>
      <c r="D31" s="261">
        <f>RAW_DATA_INPUTS!D409</f>
        <v>0.94399999999999995</v>
      </c>
      <c r="E31" s="261">
        <f>RAW_DATA_INPUTS!E409</f>
        <v>1.01</v>
      </c>
      <c r="F31" s="261">
        <f>RAW_DATA_INPUTS!F409</f>
        <v>0.96099999999999997</v>
      </c>
      <c r="G31" s="261">
        <f>RAW_DATA_INPUTS!G409</f>
        <v>0.97699999999999998</v>
      </c>
      <c r="H31" s="261">
        <f>RAW_DATA_INPUTS!H409</f>
        <v>1.056</v>
      </c>
    </row>
    <row r="32" spans="2:8">
      <c r="B32" s="8" t="str">
        <f>RAW_DATA_INPUTS!B410</f>
        <v>55-59</v>
      </c>
      <c r="C32" s="261">
        <f>RAW_DATA_INPUTS!C410</f>
        <v>0.95</v>
      </c>
      <c r="D32" s="261">
        <f>RAW_DATA_INPUTS!D410</f>
        <v>1.081</v>
      </c>
      <c r="E32" s="261">
        <f>RAW_DATA_INPUTS!E410</f>
        <v>1.006</v>
      </c>
      <c r="F32" s="261">
        <f>RAW_DATA_INPUTS!F410</f>
        <v>0.90700000000000003</v>
      </c>
      <c r="G32" s="261">
        <f>RAW_DATA_INPUTS!G410</f>
        <v>0.98399999999999999</v>
      </c>
      <c r="H32" s="261">
        <f>RAW_DATA_INPUTS!H410</f>
        <v>1.0840000000000001</v>
      </c>
    </row>
    <row r="33" spans="2:18">
      <c r="B33" s="8" t="str">
        <f>RAW_DATA_INPUTS!B411</f>
        <v>60-64</v>
      </c>
      <c r="C33" s="261">
        <f>RAW_DATA_INPUTS!C411</f>
        <v>0.94099999999999995</v>
      </c>
      <c r="D33" s="261">
        <f>RAW_DATA_INPUTS!D411</f>
        <v>1.006</v>
      </c>
      <c r="E33" s="261">
        <f>RAW_DATA_INPUTS!E411</f>
        <v>1.0649999999999999</v>
      </c>
      <c r="F33" s="261">
        <f>RAW_DATA_INPUTS!F411</f>
        <v>0.93799999999999994</v>
      </c>
      <c r="G33" s="261">
        <f>RAW_DATA_INPUTS!G411</f>
        <v>0.98199999999999998</v>
      </c>
      <c r="H33" s="261">
        <f>RAW_DATA_INPUTS!H411</f>
        <v>1.0649999999999999</v>
      </c>
    </row>
    <row r="34" spans="2:18">
      <c r="B34" s="8" t="str">
        <f>RAW_DATA_INPUTS!B412</f>
        <v>65 plus</v>
      </c>
      <c r="C34" s="261">
        <f>RAW_DATA_INPUTS!C412</f>
        <v>0.89300000000000002</v>
      </c>
      <c r="D34" s="261">
        <f>RAW_DATA_INPUTS!D412</f>
        <v>1.105</v>
      </c>
      <c r="E34" s="261">
        <f>RAW_DATA_INPUTS!E412</f>
        <v>1.107</v>
      </c>
      <c r="F34" s="261">
        <f>RAW_DATA_INPUTS!F412</f>
        <v>0.93799999999999994</v>
      </c>
      <c r="G34" s="261">
        <f>RAW_DATA_INPUTS!G412</f>
        <v>1.0249999999999999</v>
      </c>
      <c r="H34" s="261">
        <f>RAW_DATA_INPUTS!H412</f>
        <v>1.0169999999999999</v>
      </c>
    </row>
    <row r="35" spans="2:18">
      <c r="B35" s="8" t="str">
        <f>RAW_DATA_INPUTS!B413</f>
        <v>Total</v>
      </c>
      <c r="C35" s="261">
        <f>RAW_DATA_INPUTS!C413</f>
        <v>1.042</v>
      </c>
      <c r="D35" s="261">
        <f>RAW_DATA_INPUTS!D413</f>
        <v>1.002</v>
      </c>
      <c r="E35" s="261">
        <f>RAW_DATA_INPUTS!E413</f>
        <v>0.95199999999999996</v>
      </c>
      <c r="F35" s="261">
        <f>RAW_DATA_INPUTS!F413</f>
        <v>0.997</v>
      </c>
      <c r="G35" s="261">
        <f>RAW_DATA_INPUTS!G413</f>
        <v>1.008</v>
      </c>
      <c r="H35" s="261">
        <f>RAW_DATA_INPUTS!H413</f>
        <v>0.995</v>
      </c>
    </row>
    <row r="37" spans="2:18" ht="18">
      <c r="B37" s="39" t="s">
        <v>1483</v>
      </c>
    </row>
    <row r="39" spans="2:18">
      <c r="B39" s="5" t="str">
        <f>Projected_SEC_wastage_rates!B52</f>
        <v>Male projected wastage rates</v>
      </c>
      <c r="C39" s="12"/>
      <c r="E39" s="12"/>
      <c r="F39" s="262" t="str">
        <f>Projected_SEC_wastage_rates!D52</f>
        <v>As the Econometric Wastage Model only forecasts wastage 6 years into the future, the rate beyond that is considered to be constant.</v>
      </c>
      <c r="G39" s="12"/>
      <c r="H39" s="12"/>
      <c r="I39" s="12"/>
      <c r="J39" s="12"/>
      <c r="K39" s="12"/>
      <c r="L39" s="12"/>
      <c r="M39" s="12"/>
      <c r="N39" s="12"/>
      <c r="O39" s="12"/>
      <c r="P39" s="12"/>
      <c r="Q39" s="12"/>
      <c r="R39" s="12"/>
    </row>
    <row r="40" spans="2:18">
      <c r="B40" s="12"/>
      <c r="C40" s="12"/>
      <c r="D40" s="12"/>
      <c r="E40" s="12"/>
      <c r="F40" s="12"/>
      <c r="G40" s="12"/>
      <c r="H40" s="12"/>
      <c r="I40" s="12"/>
      <c r="J40" s="12"/>
      <c r="K40" s="12"/>
      <c r="L40" s="12"/>
      <c r="M40" s="12"/>
      <c r="N40" s="12"/>
      <c r="O40" s="12"/>
      <c r="P40" s="12"/>
      <c r="Q40" s="12"/>
      <c r="R40" s="12"/>
    </row>
    <row r="41" spans="2:18">
      <c r="B41" s="8" t="str">
        <f>Projected_SEC_wastage_rates!B54</f>
        <v>Age group</v>
      </c>
      <c r="C41" s="8" t="str">
        <f>Projected_SEC_wastage_rates!C54</f>
        <v>2014/15</v>
      </c>
      <c r="D41" s="8" t="str">
        <f>Projected_SEC_wastage_rates!D54</f>
        <v>2015/16</v>
      </c>
      <c r="E41" s="8" t="str">
        <f>Projected_SEC_wastage_rates!E54</f>
        <v>2016/17</v>
      </c>
      <c r="F41" s="8" t="str">
        <f>Projected_SEC_wastage_rates!F54</f>
        <v>2017/18</v>
      </c>
      <c r="G41" s="8" t="str">
        <f>Projected_SEC_wastage_rates!G54</f>
        <v>2018/19</v>
      </c>
      <c r="H41" s="8" t="str">
        <f>Projected_SEC_wastage_rates!H54</f>
        <v>2019/20</v>
      </c>
      <c r="I41" s="8" t="str">
        <f>Projected_SEC_wastage_rates!I54</f>
        <v>2020/21</v>
      </c>
      <c r="J41" s="8" t="str">
        <f>Projected_SEC_wastage_rates!J54</f>
        <v>2021/22</v>
      </c>
      <c r="K41" s="8" t="str">
        <f>Projected_SEC_wastage_rates!K54</f>
        <v>2022/23</v>
      </c>
      <c r="L41" s="8" t="str">
        <f>Projected_SEC_wastage_rates!L54</f>
        <v>2023/24</v>
      </c>
      <c r="M41" s="8" t="str">
        <f>Projected_SEC_wastage_rates!M54</f>
        <v>2024/25</v>
      </c>
      <c r="N41" s="8" t="str">
        <f>Projected_SEC_wastage_rates!N54</f>
        <v>2025/26</v>
      </c>
      <c r="O41" s="8" t="str">
        <f>Projected_SEC_wastage_rates!O54</f>
        <v>2026/27</v>
      </c>
      <c r="P41" s="8" t="str">
        <f>Projected_SEC_wastage_rates!P54</f>
        <v>2027/28</v>
      </c>
      <c r="Q41" s="12"/>
      <c r="R41" s="12"/>
    </row>
    <row r="42" spans="2:18">
      <c r="B42" s="8" t="str">
        <f>Projected_SEC_wastage_rates!B55</f>
        <v>20-24</v>
      </c>
      <c r="C42" s="953">
        <f>Projected_SEC_wastage_rates!C55</f>
        <v>0.12811416345529325</v>
      </c>
      <c r="D42" s="953">
        <f>Projected_SEC_wastage_rates!D55</f>
        <v>0.12811416345529325</v>
      </c>
      <c r="E42" s="953">
        <f>Projected_SEC_wastage_rates!E55</f>
        <v>0.12811416345529325</v>
      </c>
      <c r="F42" s="953">
        <f>Projected_SEC_wastage_rates!F55</f>
        <v>0.12811416345529325</v>
      </c>
      <c r="G42" s="953">
        <f>Projected_SEC_wastage_rates!G55</f>
        <v>0.12811416345529325</v>
      </c>
      <c r="H42" s="953">
        <f>Projected_SEC_wastage_rates!H55</f>
        <v>0.12811416345529325</v>
      </c>
      <c r="I42" s="953">
        <f>Projected_SEC_wastage_rates!I55</f>
        <v>0.12811416345529325</v>
      </c>
      <c r="J42" s="953">
        <f>Projected_SEC_wastage_rates!J55</f>
        <v>0.12811416345529325</v>
      </c>
      <c r="K42" s="953">
        <f>Projected_SEC_wastage_rates!K55</f>
        <v>0.12811416345529325</v>
      </c>
      <c r="L42" s="953">
        <f>Projected_SEC_wastage_rates!L55</f>
        <v>0.12811416345529325</v>
      </c>
      <c r="M42" s="953">
        <f>Projected_SEC_wastage_rates!M55</f>
        <v>0.12811416345529325</v>
      </c>
      <c r="N42" s="953">
        <f>Projected_SEC_wastage_rates!N55</f>
        <v>0.12811416345529325</v>
      </c>
      <c r="O42" s="953">
        <f>Projected_SEC_wastage_rates!O55</f>
        <v>0.12811416345529325</v>
      </c>
      <c r="P42" s="953">
        <f>Projected_SEC_wastage_rates!P55</f>
        <v>0.12811416345529325</v>
      </c>
      <c r="Q42" s="12"/>
      <c r="R42" s="12"/>
    </row>
    <row r="43" spans="2:18">
      <c r="B43" s="8" t="str">
        <f>Projected_SEC_wastage_rates!B56</f>
        <v>25-29</v>
      </c>
      <c r="C43" s="953">
        <f>Projected_SEC_wastage_rates!C56</f>
        <v>9.8285782452461085E-2</v>
      </c>
      <c r="D43" s="953">
        <f>Projected_SEC_wastage_rates!D56</f>
        <v>9.8285782452461085E-2</v>
      </c>
      <c r="E43" s="953">
        <f>Projected_SEC_wastage_rates!E56</f>
        <v>9.8285782452461085E-2</v>
      </c>
      <c r="F43" s="953">
        <f>Projected_SEC_wastage_rates!F56</f>
        <v>9.8285782452461085E-2</v>
      </c>
      <c r="G43" s="953">
        <f>Projected_SEC_wastage_rates!G56</f>
        <v>9.8285782452461085E-2</v>
      </c>
      <c r="H43" s="953">
        <f>Projected_SEC_wastage_rates!H56</f>
        <v>9.8285782452461085E-2</v>
      </c>
      <c r="I43" s="953">
        <f>Projected_SEC_wastage_rates!I56</f>
        <v>9.8285782452461085E-2</v>
      </c>
      <c r="J43" s="953">
        <f>Projected_SEC_wastage_rates!J56</f>
        <v>9.8285782452461085E-2</v>
      </c>
      <c r="K43" s="953">
        <f>Projected_SEC_wastage_rates!K56</f>
        <v>9.8285782452461085E-2</v>
      </c>
      <c r="L43" s="953">
        <f>Projected_SEC_wastage_rates!L56</f>
        <v>9.8285782452461085E-2</v>
      </c>
      <c r="M43" s="953">
        <f>Projected_SEC_wastage_rates!M56</f>
        <v>9.8285782452461085E-2</v>
      </c>
      <c r="N43" s="953">
        <f>Projected_SEC_wastage_rates!N56</f>
        <v>9.8285782452461085E-2</v>
      </c>
      <c r="O43" s="953">
        <f>Projected_SEC_wastage_rates!O56</f>
        <v>9.8285782452461085E-2</v>
      </c>
      <c r="P43" s="953">
        <f>Projected_SEC_wastage_rates!P56</f>
        <v>9.8285782452461085E-2</v>
      </c>
      <c r="Q43" s="12"/>
      <c r="R43" s="12"/>
    </row>
    <row r="44" spans="2:18">
      <c r="B44" s="8" t="str">
        <f>Projected_SEC_wastage_rates!B57</f>
        <v>30-34</v>
      </c>
      <c r="C44" s="953">
        <f>Projected_SEC_wastage_rates!C57</f>
        <v>6.8301165737690489E-2</v>
      </c>
      <c r="D44" s="953">
        <f>Projected_SEC_wastage_rates!D57</f>
        <v>6.8301165737690489E-2</v>
      </c>
      <c r="E44" s="953">
        <f>Projected_SEC_wastage_rates!E57</f>
        <v>6.8301165737690489E-2</v>
      </c>
      <c r="F44" s="953">
        <f>Projected_SEC_wastage_rates!F57</f>
        <v>6.8301165737690489E-2</v>
      </c>
      <c r="G44" s="953">
        <f>Projected_SEC_wastage_rates!G57</f>
        <v>6.8301165737690489E-2</v>
      </c>
      <c r="H44" s="953">
        <f>Projected_SEC_wastage_rates!H57</f>
        <v>6.8301165737690489E-2</v>
      </c>
      <c r="I44" s="953">
        <f>Projected_SEC_wastage_rates!I57</f>
        <v>6.8301165737690489E-2</v>
      </c>
      <c r="J44" s="953">
        <f>Projected_SEC_wastage_rates!J57</f>
        <v>6.8301165737690489E-2</v>
      </c>
      <c r="K44" s="953">
        <f>Projected_SEC_wastage_rates!K57</f>
        <v>6.8301165737690489E-2</v>
      </c>
      <c r="L44" s="953">
        <f>Projected_SEC_wastage_rates!L57</f>
        <v>6.8301165737690489E-2</v>
      </c>
      <c r="M44" s="953">
        <f>Projected_SEC_wastage_rates!M57</f>
        <v>6.8301165737690489E-2</v>
      </c>
      <c r="N44" s="953">
        <f>Projected_SEC_wastage_rates!N57</f>
        <v>6.8301165737690489E-2</v>
      </c>
      <c r="O44" s="953">
        <f>Projected_SEC_wastage_rates!O57</f>
        <v>6.8301165737690489E-2</v>
      </c>
      <c r="P44" s="953">
        <f>Projected_SEC_wastage_rates!P57</f>
        <v>6.8301165737690489E-2</v>
      </c>
      <c r="Q44" s="12"/>
      <c r="R44" s="12"/>
    </row>
    <row r="45" spans="2:18">
      <c r="B45" s="8" t="str">
        <f>Projected_SEC_wastage_rates!B58</f>
        <v>35-39</v>
      </c>
      <c r="C45" s="953">
        <f>Projected_SEC_wastage_rates!C58</f>
        <v>6.6004100030155208E-2</v>
      </c>
      <c r="D45" s="953">
        <f>Projected_SEC_wastage_rates!D58</f>
        <v>6.6004100030155208E-2</v>
      </c>
      <c r="E45" s="953">
        <f>Projected_SEC_wastage_rates!E58</f>
        <v>6.6004100030155208E-2</v>
      </c>
      <c r="F45" s="953">
        <f>Projected_SEC_wastage_rates!F58</f>
        <v>6.6004100030155208E-2</v>
      </c>
      <c r="G45" s="953">
        <f>Projected_SEC_wastage_rates!G58</f>
        <v>6.6004100030155208E-2</v>
      </c>
      <c r="H45" s="953">
        <f>Projected_SEC_wastage_rates!H58</f>
        <v>6.6004100030155208E-2</v>
      </c>
      <c r="I45" s="953">
        <f>Projected_SEC_wastage_rates!I58</f>
        <v>6.6004100030155208E-2</v>
      </c>
      <c r="J45" s="953">
        <f>Projected_SEC_wastage_rates!J58</f>
        <v>6.6004100030155208E-2</v>
      </c>
      <c r="K45" s="953">
        <f>Projected_SEC_wastage_rates!K58</f>
        <v>6.6004100030155208E-2</v>
      </c>
      <c r="L45" s="953">
        <f>Projected_SEC_wastage_rates!L58</f>
        <v>6.6004100030155208E-2</v>
      </c>
      <c r="M45" s="953">
        <f>Projected_SEC_wastage_rates!M58</f>
        <v>6.6004100030155208E-2</v>
      </c>
      <c r="N45" s="953">
        <f>Projected_SEC_wastage_rates!N58</f>
        <v>6.6004100030155208E-2</v>
      </c>
      <c r="O45" s="953">
        <f>Projected_SEC_wastage_rates!O58</f>
        <v>6.6004100030155208E-2</v>
      </c>
      <c r="P45" s="953">
        <f>Projected_SEC_wastage_rates!P58</f>
        <v>6.6004100030155208E-2</v>
      </c>
      <c r="Q45" s="12"/>
      <c r="R45" s="12"/>
    </row>
    <row r="46" spans="2:18">
      <c r="B46" s="8" t="str">
        <f>Projected_SEC_wastage_rates!B59</f>
        <v>40-44</v>
      </c>
      <c r="C46" s="953">
        <f>Projected_SEC_wastage_rates!C59</f>
        <v>6.9052916257921926E-2</v>
      </c>
      <c r="D46" s="953">
        <f>Projected_SEC_wastage_rates!D59</f>
        <v>6.9052916257921926E-2</v>
      </c>
      <c r="E46" s="953">
        <f>Projected_SEC_wastage_rates!E59</f>
        <v>6.9052916257921926E-2</v>
      </c>
      <c r="F46" s="953">
        <f>Projected_SEC_wastage_rates!F59</f>
        <v>6.9052916257921926E-2</v>
      </c>
      <c r="G46" s="953">
        <f>Projected_SEC_wastage_rates!G59</f>
        <v>6.9052916257921926E-2</v>
      </c>
      <c r="H46" s="953">
        <f>Projected_SEC_wastage_rates!H59</f>
        <v>6.9052916257921926E-2</v>
      </c>
      <c r="I46" s="953">
        <f>Projected_SEC_wastage_rates!I59</f>
        <v>6.9052916257921926E-2</v>
      </c>
      <c r="J46" s="953">
        <f>Projected_SEC_wastage_rates!J59</f>
        <v>6.9052916257921926E-2</v>
      </c>
      <c r="K46" s="953">
        <f>Projected_SEC_wastage_rates!K59</f>
        <v>6.9052916257921926E-2</v>
      </c>
      <c r="L46" s="953">
        <f>Projected_SEC_wastage_rates!L59</f>
        <v>6.9052916257921926E-2</v>
      </c>
      <c r="M46" s="953">
        <f>Projected_SEC_wastage_rates!M59</f>
        <v>6.9052916257921926E-2</v>
      </c>
      <c r="N46" s="953">
        <f>Projected_SEC_wastage_rates!N59</f>
        <v>6.9052916257921926E-2</v>
      </c>
      <c r="O46" s="953">
        <f>Projected_SEC_wastage_rates!O59</f>
        <v>6.9052916257921926E-2</v>
      </c>
      <c r="P46" s="953">
        <f>Projected_SEC_wastage_rates!P59</f>
        <v>6.9052916257921926E-2</v>
      </c>
      <c r="Q46" s="12"/>
      <c r="R46" s="12"/>
    </row>
    <row r="47" spans="2:18">
      <c r="B47" s="8" t="str">
        <f>Projected_SEC_wastage_rates!B60</f>
        <v>45-49</v>
      </c>
      <c r="C47" s="953">
        <f>Projected_SEC_wastage_rates!C60</f>
        <v>7.9836701122599357E-2</v>
      </c>
      <c r="D47" s="953">
        <f>Projected_SEC_wastage_rates!D60</f>
        <v>7.9836701122599357E-2</v>
      </c>
      <c r="E47" s="953">
        <f>Projected_SEC_wastage_rates!E60</f>
        <v>7.9836701122599357E-2</v>
      </c>
      <c r="F47" s="953">
        <f>Projected_SEC_wastage_rates!F60</f>
        <v>7.9836701122599357E-2</v>
      </c>
      <c r="G47" s="953">
        <f>Projected_SEC_wastage_rates!G60</f>
        <v>7.9836701122599357E-2</v>
      </c>
      <c r="H47" s="953">
        <f>Projected_SEC_wastage_rates!H60</f>
        <v>7.9836701122599357E-2</v>
      </c>
      <c r="I47" s="953">
        <f>Projected_SEC_wastage_rates!I60</f>
        <v>7.9836701122599357E-2</v>
      </c>
      <c r="J47" s="953">
        <f>Projected_SEC_wastage_rates!J60</f>
        <v>7.9836701122599357E-2</v>
      </c>
      <c r="K47" s="953">
        <f>Projected_SEC_wastage_rates!K60</f>
        <v>7.9836701122599357E-2</v>
      </c>
      <c r="L47" s="953">
        <f>Projected_SEC_wastage_rates!L60</f>
        <v>7.9836701122599357E-2</v>
      </c>
      <c r="M47" s="953">
        <f>Projected_SEC_wastage_rates!M60</f>
        <v>7.9836701122599357E-2</v>
      </c>
      <c r="N47" s="953">
        <f>Projected_SEC_wastage_rates!N60</f>
        <v>7.9836701122599357E-2</v>
      </c>
      <c r="O47" s="953">
        <f>Projected_SEC_wastage_rates!O60</f>
        <v>7.9836701122599357E-2</v>
      </c>
      <c r="P47" s="953">
        <f>Projected_SEC_wastage_rates!P60</f>
        <v>7.9836701122599357E-2</v>
      </c>
      <c r="Q47" s="12"/>
      <c r="R47" s="12"/>
    </row>
    <row r="48" spans="2:18">
      <c r="B48" s="8" t="str">
        <f>Projected_SEC_wastage_rates!B61</f>
        <v>50-54</v>
      </c>
      <c r="C48" s="953">
        <f>Projected_SEC_wastage_rates!C61</f>
        <v>7.9154325825221916E-2</v>
      </c>
      <c r="D48" s="953">
        <f>Projected_SEC_wastage_rates!D61</f>
        <v>7.9154325825221916E-2</v>
      </c>
      <c r="E48" s="953">
        <f>Projected_SEC_wastage_rates!E61</f>
        <v>7.9154325825221916E-2</v>
      </c>
      <c r="F48" s="953">
        <f>Projected_SEC_wastage_rates!F61</f>
        <v>7.9154325825221916E-2</v>
      </c>
      <c r="G48" s="953">
        <f>Projected_SEC_wastage_rates!G61</f>
        <v>7.9154325825221916E-2</v>
      </c>
      <c r="H48" s="953">
        <f>Projected_SEC_wastage_rates!H61</f>
        <v>7.9154325825221916E-2</v>
      </c>
      <c r="I48" s="953">
        <f>Projected_SEC_wastage_rates!I61</f>
        <v>7.9154325825221916E-2</v>
      </c>
      <c r="J48" s="953">
        <f>Projected_SEC_wastage_rates!J61</f>
        <v>7.9154325825221916E-2</v>
      </c>
      <c r="K48" s="953">
        <f>Projected_SEC_wastage_rates!K61</f>
        <v>7.9154325825221916E-2</v>
      </c>
      <c r="L48" s="953">
        <f>Projected_SEC_wastage_rates!L61</f>
        <v>7.9154325825221916E-2</v>
      </c>
      <c r="M48" s="953">
        <f>Projected_SEC_wastage_rates!M61</f>
        <v>7.9154325825221916E-2</v>
      </c>
      <c r="N48" s="953">
        <f>Projected_SEC_wastage_rates!N61</f>
        <v>7.9154325825221916E-2</v>
      </c>
      <c r="O48" s="953">
        <f>Projected_SEC_wastage_rates!O61</f>
        <v>7.9154325825221916E-2</v>
      </c>
      <c r="P48" s="953">
        <f>Projected_SEC_wastage_rates!P61</f>
        <v>7.9154325825221916E-2</v>
      </c>
      <c r="Q48" s="12"/>
      <c r="R48" s="12"/>
    </row>
    <row r="49" spans="2:18">
      <c r="B49" s="8" t="str">
        <f>Projected_SEC_wastage_rates!B62</f>
        <v>55-59</v>
      </c>
      <c r="C49" s="953">
        <f>Projected_SEC_wastage_rates!C62</f>
        <v>4.8523625874645544E-2</v>
      </c>
      <c r="D49" s="953">
        <f>Projected_SEC_wastage_rates!D62</f>
        <v>4.8523625874645544E-2</v>
      </c>
      <c r="E49" s="953">
        <f>Projected_SEC_wastage_rates!E62</f>
        <v>4.8523625874645544E-2</v>
      </c>
      <c r="F49" s="953">
        <f>Projected_SEC_wastage_rates!F62</f>
        <v>4.8523625874645544E-2</v>
      </c>
      <c r="G49" s="953">
        <f>Projected_SEC_wastage_rates!G62</f>
        <v>4.8523625874645544E-2</v>
      </c>
      <c r="H49" s="953">
        <f>Projected_SEC_wastage_rates!H62</f>
        <v>4.8523625874645544E-2</v>
      </c>
      <c r="I49" s="953">
        <f>Projected_SEC_wastage_rates!I62</f>
        <v>4.8523625874645544E-2</v>
      </c>
      <c r="J49" s="953">
        <f>Projected_SEC_wastage_rates!J62</f>
        <v>4.8523625874645544E-2</v>
      </c>
      <c r="K49" s="953">
        <f>Projected_SEC_wastage_rates!K62</f>
        <v>4.8523625874645544E-2</v>
      </c>
      <c r="L49" s="953">
        <f>Projected_SEC_wastage_rates!L62</f>
        <v>4.8523625874645544E-2</v>
      </c>
      <c r="M49" s="953">
        <f>Projected_SEC_wastage_rates!M62</f>
        <v>4.8523625874645544E-2</v>
      </c>
      <c r="N49" s="953">
        <f>Projected_SEC_wastage_rates!N62</f>
        <v>4.8523625874645544E-2</v>
      </c>
      <c r="O49" s="953">
        <f>Projected_SEC_wastage_rates!O62</f>
        <v>4.8523625874645544E-2</v>
      </c>
      <c r="P49" s="953">
        <f>Projected_SEC_wastage_rates!P62</f>
        <v>4.8523625874645544E-2</v>
      </c>
      <c r="Q49" s="12"/>
      <c r="R49" s="12"/>
    </row>
    <row r="50" spans="2:18">
      <c r="B50" s="8" t="str">
        <f>Projected_SEC_wastage_rates!B63</f>
        <v>60-64</v>
      </c>
      <c r="C50" s="953">
        <f>Projected_SEC_wastage_rates!C63</f>
        <v>1.860024427796168E-2</v>
      </c>
      <c r="D50" s="953">
        <f>Projected_SEC_wastage_rates!D63</f>
        <v>1.860024427796168E-2</v>
      </c>
      <c r="E50" s="953">
        <f>Projected_SEC_wastage_rates!E63</f>
        <v>1.860024427796168E-2</v>
      </c>
      <c r="F50" s="953">
        <f>Projected_SEC_wastage_rates!F63</f>
        <v>1.860024427796168E-2</v>
      </c>
      <c r="G50" s="953">
        <f>Projected_SEC_wastage_rates!G63</f>
        <v>1.860024427796168E-2</v>
      </c>
      <c r="H50" s="953">
        <f>Projected_SEC_wastage_rates!H63</f>
        <v>1.860024427796168E-2</v>
      </c>
      <c r="I50" s="953">
        <f>Projected_SEC_wastage_rates!I63</f>
        <v>1.860024427796168E-2</v>
      </c>
      <c r="J50" s="953">
        <f>Projected_SEC_wastage_rates!J63</f>
        <v>1.860024427796168E-2</v>
      </c>
      <c r="K50" s="953">
        <f>Projected_SEC_wastage_rates!K63</f>
        <v>1.860024427796168E-2</v>
      </c>
      <c r="L50" s="953">
        <f>Projected_SEC_wastage_rates!L63</f>
        <v>1.860024427796168E-2</v>
      </c>
      <c r="M50" s="953">
        <f>Projected_SEC_wastage_rates!M63</f>
        <v>1.860024427796168E-2</v>
      </c>
      <c r="N50" s="953">
        <f>Projected_SEC_wastage_rates!N63</f>
        <v>1.860024427796168E-2</v>
      </c>
      <c r="O50" s="953">
        <f>Projected_SEC_wastage_rates!O63</f>
        <v>1.860024427796168E-2</v>
      </c>
      <c r="P50" s="953">
        <f>Projected_SEC_wastage_rates!P63</f>
        <v>1.860024427796168E-2</v>
      </c>
      <c r="Q50" s="12"/>
      <c r="R50" s="12"/>
    </row>
    <row r="51" spans="2:18">
      <c r="B51" s="8" t="str">
        <f>Projected_SEC_wastage_rates!B64</f>
        <v>65 plus</v>
      </c>
      <c r="C51" s="953">
        <f>Projected_SEC_wastage_rates!C64</f>
        <v>2.0673360590148106E-2</v>
      </c>
      <c r="D51" s="953">
        <f>Projected_SEC_wastage_rates!D64</f>
        <v>2.0673360590148106E-2</v>
      </c>
      <c r="E51" s="953">
        <f>Projected_SEC_wastage_rates!E64</f>
        <v>2.0673360590148106E-2</v>
      </c>
      <c r="F51" s="953">
        <f>Projected_SEC_wastage_rates!F64</f>
        <v>2.0673360590148106E-2</v>
      </c>
      <c r="G51" s="953">
        <f>Projected_SEC_wastage_rates!G64</f>
        <v>2.0673360590148106E-2</v>
      </c>
      <c r="H51" s="953">
        <f>Projected_SEC_wastage_rates!H64</f>
        <v>2.0673360590148106E-2</v>
      </c>
      <c r="I51" s="953">
        <f>Projected_SEC_wastage_rates!I64</f>
        <v>2.0673360590148106E-2</v>
      </c>
      <c r="J51" s="953">
        <f>Projected_SEC_wastage_rates!J64</f>
        <v>2.0673360590148106E-2</v>
      </c>
      <c r="K51" s="953">
        <f>Projected_SEC_wastage_rates!K64</f>
        <v>2.0673360590148106E-2</v>
      </c>
      <c r="L51" s="953">
        <f>Projected_SEC_wastage_rates!L64</f>
        <v>2.0673360590148106E-2</v>
      </c>
      <c r="M51" s="953">
        <f>Projected_SEC_wastage_rates!M64</f>
        <v>2.0673360590148106E-2</v>
      </c>
      <c r="N51" s="953">
        <f>Projected_SEC_wastage_rates!N64</f>
        <v>2.0673360590148106E-2</v>
      </c>
      <c r="O51" s="953">
        <f>Projected_SEC_wastage_rates!O64</f>
        <v>2.0673360590148106E-2</v>
      </c>
      <c r="P51" s="953">
        <f>Projected_SEC_wastage_rates!P64</f>
        <v>2.0673360590148106E-2</v>
      </c>
      <c r="Q51" s="12"/>
      <c r="R51" s="12"/>
    </row>
    <row r="52" spans="2:18">
      <c r="B52" s="8" t="str">
        <f>Projected_SEC_wastage_rates!B65</f>
        <v>Total</v>
      </c>
      <c r="C52" s="953">
        <f>Projected_SEC_wastage_rates!C65</f>
        <v>7.4064250984494442E-2</v>
      </c>
      <c r="D52" s="953">
        <f>Projected_SEC_wastage_rates!D65</f>
        <v>7.4064250984494442E-2</v>
      </c>
      <c r="E52" s="953">
        <f>Projected_SEC_wastage_rates!E65</f>
        <v>7.4064250984494442E-2</v>
      </c>
      <c r="F52" s="953">
        <f>Projected_SEC_wastage_rates!F65</f>
        <v>7.4064250984494442E-2</v>
      </c>
      <c r="G52" s="953">
        <f>Projected_SEC_wastage_rates!G65</f>
        <v>7.4064250984494442E-2</v>
      </c>
      <c r="H52" s="953">
        <f>Projected_SEC_wastage_rates!H65</f>
        <v>7.4064250984494442E-2</v>
      </c>
      <c r="I52" s="953">
        <f>Projected_SEC_wastage_rates!I65</f>
        <v>7.4064250984494442E-2</v>
      </c>
      <c r="J52" s="953">
        <f>Projected_SEC_wastage_rates!J65</f>
        <v>7.4064250984494442E-2</v>
      </c>
      <c r="K52" s="953">
        <f>Projected_SEC_wastage_rates!K65</f>
        <v>7.4064250984494442E-2</v>
      </c>
      <c r="L52" s="953">
        <f>Projected_SEC_wastage_rates!L65</f>
        <v>7.4064250984494442E-2</v>
      </c>
      <c r="M52" s="953">
        <f>Projected_SEC_wastage_rates!M65</f>
        <v>7.4064250984494442E-2</v>
      </c>
      <c r="N52" s="953">
        <f>Projected_SEC_wastage_rates!N65</f>
        <v>7.4064250984494442E-2</v>
      </c>
      <c r="O52" s="953">
        <f>Projected_SEC_wastage_rates!O65</f>
        <v>7.4064250984494442E-2</v>
      </c>
      <c r="P52" s="953">
        <f>Projected_SEC_wastage_rates!P65</f>
        <v>7.4064250984494442E-2</v>
      </c>
      <c r="Q52" s="12"/>
      <c r="R52" s="12"/>
    </row>
    <row r="53" spans="2:18">
      <c r="B53" s="12"/>
      <c r="C53" s="955"/>
      <c r="D53" s="955"/>
      <c r="E53" s="955"/>
      <c r="F53" s="955"/>
      <c r="G53" s="955"/>
      <c r="H53" s="955"/>
      <c r="I53" s="955"/>
      <c r="J53" s="955"/>
      <c r="K53" s="955"/>
      <c r="L53" s="955"/>
      <c r="M53" s="955"/>
      <c r="N53" s="955"/>
      <c r="O53" s="955"/>
      <c r="P53" s="955"/>
      <c r="Q53" s="12"/>
      <c r="R53" s="12"/>
    </row>
    <row r="54" spans="2:18">
      <c r="B54" s="5" t="str">
        <f>Projected_SEC_wastage_rates!B67</f>
        <v>Female projected wastage rates</v>
      </c>
      <c r="C54" s="955"/>
      <c r="D54" s="955"/>
      <c r="E54" s="955"/>
      <c r="F54" s="955"/>
      <c r="G54" s="955"/>
      <c r="H54" s="955"/>
      <c r="I54" s="955"/>
      <c r="J54" s="955"/>
      <c r="K54" s="955"/>
      <c r="L54" s="955"/>
      <c r="M54" s="955"/>
      <c r="N54" s="955"/>
      <c r="O54" s="955"/>
      <c r="P54" s="955"/>
      <c r="Q54" s="12"/>
      <c r="R54" s="12"/>
    </row>
    <row r="55" spans="2:18">
      <c r="B55" s="12"/>
      <c r="C55" s="955"/>
      <c r="D55" s="955"/>
      <c r="E55" s="955"/>
      <c r="F55" s="955"/>
      <c r="G55" s="955"/>
      <c r="H55" s="955"/>
      <c r="I55" s="955"/>
      <c r="J55" s="955"/>
      <c r="K55" s="955"/>
      <c r="L55" s="955"/>
      <c r="M55" s="955"/>
      <c r="N55" s="955"/>
      <c r="O55" s="955"/>
      <c r="P55" s="955"/>
      <c r="Q55" s="12"/>
      <c r="R55" s="12"/>
    </row>
    <row r="56" spans="2:18">
      <c r="B56" s="8" t="str">
        <f>Projected_SEC_wastage_rates!B69</f>
        <v>Age group</v>
      </c>
      <c r="C56" s="956" t="str">
        <f>Projected_SEC_wastage_rates!C69</f>
        <v>2014/15</v>
      </c>
      <c r="D56" s="956" t="str">
        <f>Projected_SEC_wastage_rates!D69</f>
        <v>2015/16</v>
      </c>
      <c r="E56" s="956" t="str">
        <f>Projected_SEC_wastage_rates!E69</f>
        <v>2016/17</v>
      </c>
      <c r="F56" s="956" t="str">
        <f>Projected_SEC_wastage_rates!F69</f>
        <v>2017/18</v>
      </c>
      <c r="G56" s="956" t="str">
        <f>Projected_SEC_wastage_rates!G69</f>
        <v>2018/19</v>
      </c>
      <c r="H56" s="956" t="str">
        <f>Projected_SEC_wastage_rates!H69</f>
        <v>2019/20</v>
      </c>
      <c r="I56" s="956" t="str">
        <f>Projected_SEC_wastage_rates!I69</f>
        <v>2020/21</v>
      </c>
      <c r="J56" s="956" t="str">
        <f>Projected_SEC_wastage_rates!J69</f>
        <v>2021/22</v>
      </c>
      <c r="K56" s="956" t="str">
        <f>Projected_SEC_wastage_rates!K69</f>
        <v>2022/23</v>
      </c>
      <c r="L56" s="956" t="str">
        <f>Projected_SEC_wastage_rates!L69</f>
        <v>2023/24</v>
      </c>
      <c r="M56" s="956" t="str">
        <f>Projected_SEC_wastage_rates!M69</f>
        <v>2024/25</v>
      </c>
      <c r="N56" s="956" t="str">
        <f>Projected_SEC_wastage_rates!N69</f>
        <v>2025/26</v>
      </c>
      <c r="O56" s="956" t="str">
        <f>Projected_SEC_wastage_rates!O69</f>
        <v>2026/27</v>
      </c>
      <c r="P56" s="956" t="str">
        <f>Projected_SEC_wastage_rates!P69</f>
        <v>2027/28</v>
      </c>
      <c r="Q56" s="12"/>
      <c r="R56" s="12"/>
    </row>
    <row r="57" spans="2:18">
      <c r="B57" s="8" t="str">
        <f>Projected_SEC_wastage_rates!B70</f>
        <v>20-24</v>
      </c>
      <c r="C57" s="953">
        <f>Projected_SEC_wastage_rates!C70</f>
        <v>0.11276838177302007</v>
      </c>
      <c r="D57" s="953">
        <f>Projected_SEC_wastage_rates!D70</f>
        <v>0.11276838177302007</v>
      </c>
      <c r="E57" s="953">
        <f>Projected_SEC_wastage_rates!E70</f>
        <v>0.11276838177302007</v>
      </c>
      <c r="F57" s="953">
        <f>Projected_SEC_wastage_rates!F70</f>
        <v>0.11276838177302007</v>
      </c>
      <c r="G57" s="953">
        <f>Projected_SEC_wastage_rates!G70</f>
        <v>0.11276838177302007</v>
      </c>
      <c r="H57" s="953">
        <f>Projected_SEC_wastage_rates!H70</f>
        <v>0.11276838177302007</v>
      </c>
      <c r="I57" s="953">
        <f>Projected_SEC_wastage_rates!I70</f>
        <v>0.11276838177302007</v>
      </c>
      <c r="J57" s="953">
        <f>Projected_SEC_wastage_rates!J70</f>
        <v>0.11276838177302007</v>
      </c>
      <c r="K57" s="953">
        <f>Projected_SEC_wastage_rates!K70</f>
        <v>0.11276838177302007</v>
      </c>
      <c r="L57" s="953">
        <f>Projected_SEC_wastage_rates!L70</f>
        <v>0.11276838177302007</v>
      </c>
      <c r="M57" s="953">
        <f>Projected_SEC_wastage_rates!M70</f>
        <v>0.11276838177302007</v>
      </c>
      <c r="N57" s="953">
        <f>Projected_SEC_wastage_rates!N70</f>
        <v>0.11276838177302007</v>
      </c>
      <c r="O57" s="953">
        <f>Projected_SEC_wastage_rates!O70</f>
        <v>0.11276838177302007</v>
      </c>
      <c r="P57" s="953">
        <f>Projected_SEC_wastage_rates!P70</f>
        <v>0.11276838177302007</v>
      </c>
      <c r="Q57" s="12"/>
      <c r="R57" s="12"/>
    </row>
    <row r="58" spans="2:18">
      <c r="B58" s="8" t="str">
        <f>Projected_SEC_wastage_rates!B71</f>
        <v>25-29</v>
      </c>
      <c r="C58" s="953">
        <f>Projected_SEC_wastage_rates!C71</f>
        <v>9.7860608614392358E-2</v>
      </c>
      <c r="D58" s="953">
        <f>Projected_SEC_wastage_rates!D71</f>
        <v>9.7860608614392358E-2</v>
      </c>
      <c r="E58" s="953">
        <f>Projected_SEC_wastage_rates!E71</f>
        <v>9.7860608614392358E-2</v>
      </c>
      <c r="F58" s="953">
        <f>Projected_SEC_wastage_rates!F71</f>
        <v>9.7860608614392358E-2</v>
      </c>
      <c r="G58" s="953">
        <f>Projected_SEC_wastage_rates!G71</f>
        <v>9.7860608614392358E-2</v>
      </c>
      <c r="H58" s="953">
        <f>Projected_SEC_wastage_rates!H71</f>
        <v>9.7860608614392358E-2</v>
      </c>
      <c r="I58" s="953">
        <f>Projected_SEC_wastage_rates!I71</f>
        <v>9.7860608614392358E-2</v>
      </c>
      <c r="J58" s="953">
        <f>Projected_SEC_wastage_rates!J71</f>
        <v>9.7860608614392358E-2</v>
      </c>
      <c r="K58" s="953">
        <f>Projected_SEC_wastage_rates!K71</f>
        <v>9.7860608614392358E-2</v>
      </c>
      <c r="L58" s="953">
        <f>Projected_SEC_wastage_rates!L71</f>
        <v>9.7860608614392358E-2</v>
      </c>
      <c r="M58" s="953">
        <f>Projected_SEC_wastage_rates!M71</f>
        <v>9.7860608614392358E-2</v>
      </c>
      <c r="N58" s="953">
        <f>Projected_SEC_wastage_rates!N71</f>
        <v>9.7860608614392358E-2</v>
      </c>
      <c r="O58" s="953">
        <f>Projected_SEC_wastage_rates!O71</f>
        <v>9.7860608614392358E-2</v>
      </c>
      <c r="P58" s="953">
        <f>Projected_SEC_wastage_rates!P71</f>
        <v>9.7860608614392358E-2</v>
      </c>
      <c r="Q58" s="12"/>
      <c r="R58" s="12"/>
    </row>
    <row r="59" spans="2:18">
      <c r="B59" s="8" t="str">
        <f>Projected_SEC_wastage_rates!B72</f>
        <v>30-34</v>
      </c>
      <c r="C59" s="953">
        <f>Projected_SEC_wastage_rates!C72</f>
        <v>9.0307123142648951E-2</v>
      </c>
      <c r="D59" s="953">
        <f>Projected_SEC_wastage_rates!D72</f>
        <v>9.0307123142648951E-2</v>
      </c>
      <c r="E59" s="953">
        <f>Projected_SEC_wastage_rates!E72</f>
        <v>9.0307123142648951E-2</v>
      </c>
      <c r="F59" s="953">
        <f>Projected_SEC_wastage_rates!F72</f>
        <v>9.0307123142648951E-2</v>
      </c>
      <c r="G59" s="953">
        <f>Projected_SEC_wastage_rates!G72</f>
        <v>9.0307123142648951E-2</v>
      </c>
      <c r="H59" s="953">
        <f>Projected_SEC_wastage_rates!H72</f>
        <v>9.0307123142648951E-2</v>
      </c>
      <c r="I59" s="953">
        <f>Projected_SEC_wastage_rates!I72</f>
        <v>9.0307123142648951E-2</v>
      </c>
      <c r="J59" s="953">
        <f>Projected_SEC_wastage_rates!J72</f>
        <v>9.0307123142648951E-2</v>
      </c>
      <c r="K59" s="953">
        <f>Projected_SEC_wastage_rates!K72</f>
        <v>9.0307123142648951E-2</v>
      </c>
      <c r="L59" s="953">
        <f>Projected_SEC_wastage_rates!L72</f>
        <v>9.0307123142648951E-2</v>
      </c>
      <c r="M59" s="953">
        <f>Projected_SEC_wastage_rates!M72</f>
        <v>9.0307123142648951E-2</v>
      </c>
      <c r="N59" s="953">
        <f>Projected_SEC_wastage_rates!N72</f>
        <v>9.0307123142648951E-2</v>
      </c>
      <c r="O59" s="953">
        <f>Projected_SEC_wastage_rates!O72</f>
        <v>9.0307123142648951E-2</v>
      </c>
      <c r="P59" s="953">
        <f>Projected_SEC_wastage_rates!P72</f>
        <v>9.0307123142648951E-2</v>
      </c>
      <c r="Q59" s="12"/>
      <c r="R59" s="12"/>
    </row>
    <row r="60" spans="2:18">
      <c r="B60" s="8" t="str">
        <f>Projected_SEC_wastage_rates!B73</f>
        <v>35-39</v>
      </c>
      <c r="C60" s="953">
        <f>Projected_SEC_wastage_rates!C73</f>
        <v>7.9726660619077544E-2</v>
      </c>
      <c r="D60" s="953">
        <f>Projected_SEC_wastage_rates!D73</f>
        <v>7.9726660619077544E-2</v>
      </c>
      <c r="E60" s="953">
        <f>Projected_SEC_wastage_rates!E73</f>
        <v>7.9726660619077544E-2</v>
      </c>
      <c r="F60" s="953">
        <f>Projected_SEC_wastage_rates!F73</f>
        <v>7.9726660619077544E-2</v>
      </c>
      <c r="G60" s="953">
        <f>Projected_SEC_wastage_rates!G73</f>
        <v>7.9726660619077544E-2</v>
      </c>
      <c r="H60" s="953">
        <f>Projected_SEC_wastage_rates!H73</f>
        <v>7.9726660619077544E-2</v>
      </c>
      <c r="I60" s="953">
        <f>Projected_SEC_wastage_rates!I73</f>
        <v>7.9726660619077544E-2</v>
      </c>
      <c r="J60" s="953">
        <f>Projected_SEC_wastage_rates!J73</f>
        <v>7.9726660619077544E-2</v>
      </c>
      <c r="K60" s="953">
        <f>Projected_SEC_wastage_rates!K73</f>
        <v>7.9726660619077544E-2</v>
      </c>
      <c r="L60" s="953">
        <f>Projected_SEC_wastage_rates!L73</f>
        <v>7.9726660619077544E-2</v>
      </c>
      <c r="M60" s="953">
        <f>Projected_SEC_wastage_rates!M73</f>
        <v>7.9726660619077544E-2</v>
      </c>
      <c r="N60" s="953">
        <f>Projected_SEC_wastage_rates!N73</f>
        <v>7.9726660619077544E-2</v>
      </c>
      <c r="O60" s="953">
        <f>Projected_SEC_wastage_rates!O73</f>
        <v>7.9726660619077544E-2</v>
      </c>
      <c r="P60" s="953">
        <f>Projected_SEC_wastage_rates!P73</f>
        <v>7.9726660619077544E-2</v>
      </c>
      <c r="Q60" s="12"/>
      <c r="R60" s="12"/>
    </row>
    <row r="61" spans="2:18">
      <c r="B61" s="8" t="str">
        <f>Projected_SEC_wastage_rates!B74</f>
        <v>40-44</v>
      </c>
      <c r="C61" s="953">
        <f>Projected_SEC_wastage_rates!C74</f>
        <v>7.6062086402962775E-2</v>
      </c>
      <c r="D61" s="953">
        <f>Projected_SEC_wastage_rates!D74</f>
        <v>7.6062086402962775E-2</v>
      </c>
      <c r="E61" s="953">
        <f>Projected_SEC_wastage_rates!E74</f>
        <v>7.6062086402962775E-2</v>
      </c>
      <c r="F61" s="953">
        <f>Projected_SEC_wastage_rates!F74</f>
        <v>7.6062086402962775E-2</v>
      </c>
      <c r="G61" s="953">
        <f>Projected_SEC_wastage_rates!G74</f>
        <v>7.6062086402962775E-2</v>
      </c>
      <c r="H61" s="953">
        <f>Projected_SEC_wastage_rates!H74</f>
        <v>7.6062086402962775E-2</v>
      </c>
      <c r="I61" s="953">
        <f>Projected_SEC_wastage_rates!I74</f>
        <v>7.6062086402962775E-2</v>
      </c>
      <c r="J61" s="953">
        <f>Projected_SEC_wastage_rates!J74</f>
        <v>7.6062086402962775E-2</v>
      </c>
      <c r="K61" s="953">
        <f>Projected_SEC_wastage_rates!K74</f>
        <v>7.6062086402962775E-2</v>
      </c>
      <c r="L61" s="953">
        <f>Projected_SEC_wastage_rates!L74</f>
        <v>7.6062086402962775E-2</v>
      </c>
      <c r="M61" s="953">
        <f>Projected_SEC_wastage_rates!M74</f>
        <v>7.6062086402962775E-2</v>
      </c>
      <c r="N61" s="953">
        <f>Projected_SEC_wastage_rates!N74</f>
        <v>7.6062086402962775E-2</v>
      </c>
      <c r="O61" s="953">
        <f>Projected_SEC_wastage_rates!O74</f>
        <v>7.6062086402962775E-2</v>
      </c>
      <c r="P61" s="953">
        <f>Projected_SEC_wastage_rates!P74</f>
        <v>7.6062086402962775E-2</v>
      </c>
      <c r="Q61" s="12"/>
      <c r="R61" s="12"/>
    </row>
    <row r="62" spans="2:18">
      <c r="B62" s="8" t="str">
        <f>Projected_SEC_wastage_rates!B75</f>
        <v>45-49</v>
      </c>
      <c r="C62" s="953">
        <f>Projected_SEC_wastage_rates!C75</f>
        <v>8.2231886669618254E-2</v>
      </c>
      <c r="D62" s="953">
        <f>Projected_SEC_wastage_rates!D75</f>
        <v>8.2231886669618254E-2</v>
      </c>
      <c r="E62" s="953">
        <f>Projected_SEC_wastage_rates!E75</f>
        <v>8.2231886669618254E-2</v>
      </c>
      <c r="F62" s="953">
        <f>Projected_SEC_wastage_rates!F75</f>
        <v>8.2231886669618254E-2</v>
      </c>
      <c r="G62" s="953">
        <f>Projected_SEC_wastage_rates!G75</f>
        <v>8.2231886669618254E-2</v>
      </c>
      <c r="H62" s="953">
        <f>Projected_SEC_wastage_rates!H75</f>
        <v>8.2231886669618254E-2</v>
      </c>
      <c r="I62" s="953">
        <f>Projected_SEC_wastage_rates!I75</f>
        <v>8.2231886669618254E-2</v>
      </c>
      <c r="J62" s="953">
        <f>Projected_SEC_wastage_rates!J75</f>
        <v>8.2231886669618254E-2</v>
      </c>
      <c r="K62" s="953">
        <f>Projected_SEC_wastage_rates!K75</f>
        <v>8.2231886669618254E-2</v>
      </c>
      <c r="L62" s="953">
        <f>Projected_SEC_wastage_rates!L75</f>
        <v>8.2231886669618254E-2</v>
      </c>
      <c r="M62" s="953">
        <f>Projected_SEC_wastage_rates!M75</f>
        <v>8.2231886669618254E-2</v>
      </c>
      <c r="N62" s="953">
        <f>Projected_SEC_wastage_rates!N75</f>
        <v>8.2231886669618254E-2</v>
      </c>
      <c r="O62" s="953">
        <f>Projected_SEC_wastage_rates!O75</f>
        <v>8.2231886669618254E-2</v>
      </c>
      <c r="P62" s="953">
        <f>Projected_SEC_wastage_rates!P75</f>
        <v>8.2231886669618254E-2</v>
      </c>
      <c r="Q62" s="12"/>
      <c r="R62" s="12"/>
    </row>
    <row r="63" spans="2:18">
      <c r="B63" s="8" t="str">
        <f>Projected_SEC_wastage_rates!B76</f>
        <v>50-54</v>
      </c>
      <c r="C63" s="953">
        <f>Projected_SEC_wastage_rates!C76</f>
        <v>8.3247002333023484E-2</v>
      </c>
      <c r="D63" s="953">
        <f>Projected_SEC_wastage_rates!D76</f>
        <v>8.3247002333023484E-2</v>
      </c>
      <c r="E63" s="953">
        <f>Projected_SEC_wastage_rates!E76</f>
        <v>8.3247002333023484E-2</v>
      </c>
      <c r="F63" s="953">
        <f>Projected_SEC_wastage_rates!F76</f>
        <v>8.3247002333023484E-2</v>
      </c>
      <c r="G63" s="953">
        <f>Projected_SEC_wastage_rates!G76</f>
        <v>8.3247002333023484E-2</v>
      </c>
      <c r="H63" s="953">
        <f>Projected_SEC_wastage_rates!H76</f>
        <v>8.3247002333023484E-2</v>
      </c>
      <c r="I63" s="953">
        <f>Projected_SEC_wastage_rates!I76</f>
        <v>8.3247002333023484E-2</v>
      </c>
      <c r="J63" s="953">
        <f>Projected_SEC_wastage_rates!J76</f>
        <v>8.3247002333023484E-2</v>
      </c>
      <c r="K63" s="953">
        <f>Projected_SEC_wastage_rates!K76</f>
        <v>8.3247002333023484E-2</v>
      </c>
      <c r="L63" s="953">
        <f>Projected_SEC_wastage_rates!L76</f>
        <v>8.3247002333023484E-2</v>
      </c>
      <c r="M63" s="953">
        <f>Projected_SEC_wastage_rates!M76</f>
        <v>8.3247002333023484E-2</v>
      </c>
      <c r="N63" s="953">
        <f>Projected_SEC_wastage_rates!N76</f>
        <v>8.3247002333023484E-2</v>
      </c>
      <c r="O63" s="953">
        <f>Projected_SEC_wastage_rates!O76</f>
        <v>8.3247002333023484E-2</v>
      </c>
      <c r="P63" s="953">
        <f>Projected_SEC_wastage_rates!P76</f>
        <v>8.3247002333023484E-2</v>
      </c>
      <c r="Q63" s="12"/>
      <c r="R63" s="12"/>
    </row>
    <row r="64" spans="2:18">
      <c r="B64" s="8" t="str">
        <f>Projected_SEC_wastage_rates!B77</f>
        <v>55-59</v>
      </c>
      <c r="C64" s="953">
        <f>Projected_SEC_wastage_rates!C77</f>
        <v>5.1262259412022566E-2</v>
      </c>
      <c r="D64" s="953">
        <f>Projected_SEC_wastage_rates!D77</f>
        <v>5.1262259412022566E-2</v>
      </c>
      <c r="E64" s="953">
        <f>Projected_SEC_wastage_rates!E77</f>
        <v>5.1262259412022566E-2</v>
      </c>
      <c r="F64" s="953">
        <f>Projected_SEC_wastage_rates!F77</f>
        <v>5.1262259412022566E-2</v>
      </c>
      <c r="G64" s="953">
        <f>Projected_SEC_wastage_rates!G77</f>
        <v>5.1262259412022566E-2</v>
      </c>
      <c r="H64" s="953">
        <f>Projected_SEC_wastage_rates!H77</f>
        <v>5.1262259412022566E-2</v>
      </c>
      <c r="I64" s="953">
        <f>Projected_SEC_wastage_rates!I77</f>
        <v>5.1262259412022566E-2</v>
      </c>
      <c r="J64" s="953">
        <f>Projected_SEC_wastage_rates!J77</f>
        <v>5.1262259412022566E-2</v>
      </c>
      <c r="K64" s="953">
        <f>Projected_SEC_wastage_rates!K77</f>
        <v>5.1262259412022566E-2</v>
      </c>
      <c r="L64" s="953">
        <f>Projected_SEC_wastage_rates!L77</f>
        <v>5.1262259412022566E-2</v>
      </c>
      <c r="M64" s="953">
        <f>Projected_SEC_wastage_rates!M77</f>
        <v>5.1262259412022566E-2</v>
      </c>
      <c r="N64" s="953">
        <f>Projected_SEC_wastage_rates!N77</f>
        <v>5.1262259412022566E-2</v>
      </c>
      <c r="O64" s="953">
        <f>Projected_SEC_wastage_rates!O77</f>
        <v>5.1262259412022566E-2</v>
      </c>
      <c r="P64" s="953">
        <f>Projected_SEC_wastage_rates!P77</f>
        <v>5.1262259412022566E-2</v>
      </c>
      <c r="Q64" s="12"/>
      <c r="R64" s="12"/>
    </row>
    <row r="65" spans="2:18">
      <c r="B65" s="8" t="str">
        <f>Projected_SEC_wastage_rates!B78</f>
        <v>60-64</v>
      </c>
      <c r="C65" s="953">
        <f>Projected_SEC_wastage_rates!C78</f>
        <v>2.2334141329082582E-2</v>
      </c>
      <c r="D65" s="953">
        <f>Projected_SEC_wastage_rates!D78</f>
        <v>2.2334141329082582E-2</v>
      </c>
      <c r="E65" s="953">
        <f>Projected_SEC_wastage_rates!E78</f>
        <v>2.2334141329082582E-2</v>
      </c>
      <c r="F65" s="953">
        <f>Projected_SEC_wastage_rates!F78</f>
        <v>2.2334141329082582E-2</v>
      </c>
      <c r="G65" s="953">
        <f>Projected_SEC_wastage_rates!G78</f>
        <v>2.2334141329082582E-2</v>
      </c>
      <c r="H65" s="953">
        <f>Projected_SEC_wastage_rates!H78</f>
        <v>2.2334141329082582E-2</v>
      </c>
      <c r="I65" s="953">
        <f>Projected_SEC_wastage_rates!I78</f>
        <v>2.2334141329082582E-2</v>
      </c>
      <c r="J65" s="953">
        <f>Projected_SEC_wastage_rates!J78</f>
        <v>2.2334141329082582E-2</v>
      </c>
      <c r="K65" s="953">
        <f>Projected_SEC_wastage_rates!K78</f>
        <v>2.2334141329082582E-2</v>
      </c>
      <c r="L65" s="953">
        <f>Projected_SEC_wastage_rates!L78</f>
        <v>2.2334141329082582E-2</v>
      </c>
      <c r="M65" s="953">
        <f>Projected_SEC_wastage_rates!M78</f>
        <v>2.2334141329082582E-2</v>
      </c>
      <c r="N65" s="953">
        <f>Projected_SEC_wastage_rates!N78</f>
        <v>2.2334141329082582E-2</v>
      </c>
      <c r="O65" s="953">
        <f>Projected_SEC_wastage_rates!O78</f>
        <v>2.2334141329082582E-2</v>
      </c>
      <c r="P65" s="953">
        <f>Projected_SEC_wastage_rates!P78</f>
        <v>2.2334141329082582E-2</v>
      </c>
      <c r="Q65" s="12"/>
      <c r="R65" s="12"/>
    </row>
    <row r="66" spans="2:18">
      <c r="B66" s="8" t="str">
        <f>Projected_SEC_wastage_rates!B79</f>
        <v>65 plus</v>
      </c>
      <c r="C66" s="953">
        <f>Projected_SEC_wastage_rates!C79</f>
        <v>3.427129235260052E-2</v>
      </c>
      <c r="D66" s="953">
        <f>Projected_SEC_wastage_rates!D79</f>
        <v>3.427129235260052E-2</v>
      </c>
      <c r="E66" s="953">
        <f>Projected_SEC_wastage_rates!E79</f>
        <v>3.427129235260052E-2</v>
      </c>
      <c r="F66" s="953">
        <f>Projected_SEC_wastage_rates!F79</f>
        <v>3.427129235260052E-2</v>
      </c>
      <c r="G66" s="953">
        <f>Projected_SEC_wastage_rates!G79</f>
        <v>3.427129235260052E-2</v>
      </c>
      <c r="H66" s="953">
        <f>Projected_SEC_wastage_rates!H79</f>
        <v>3.427129235260052E-2</v>
      </c>
      <c r="I66" s="953">
        <f>Projected_SEC_wastage_rates!I79</f>
        <v>3.427129235260052E-2</v>
      </c>
      <c r="J66" s="953">
        <f>Projected_SEC_wastage_rates!J79</f>
        <v>3.427129235260052E-2</v>
      </c>
      <c r="K66" s="953">
        <f>Projected_SEC_wastage_rates!K79</f>
        <v>3.427129235260052E-2</v>
      </c>
      <c r="L66" s="953">
        <f>Projected_SEC_wastage_rates!L79</f>
        <v>3.427129235260052E-2</v>
      </c>
      <c r="M66" s="953">
        <f>Projected_SEC_wastage_rates!M79</f>
        <v>3.427129235260052E-2</v>
      </c>
      <c r="N66" s="953">
        <f>Projected_SEC_wastage_rates!N79</f>
        <v>3.427129235260052E-2</v>
      </c>
      <c r="O66" s="953">
        <f>Projected_SEC_wastage_rates!O79</f>
        <v>3.427129235260052E-2</v>
      </c>
      <c r="P66" s="953">
        <f>Projected_SEC_wastage_rates!P79</f>
        <v>3.427129235260052E-2</v>
      </c>
      <c r="Q66" s="12"/>
      <c r="R66" s="12"/>
    </row>
    <row r="67" spans="2:18">
      <c r="B67" s="8" t="str">
        <f>Projected_SEC_wastage_rates!B80</f>
        <v>Total</v>
      </c>
      <c r="C67" s="953">
        <f>Projected_SEC_wastage_rates!C80</f>
        <v>8.3641034033025863E-2</v>
      </c>
      <c r="D67" s="953">
        <f>Projected_SEC_wastage_rates!D80</f>
        <v>8.3641034033025863E-2</v>
      </c>
      <c r="E67" s="953">
        <f>Projected_SEC_wastage_rates!E80</f>
        <v>8.3641034033025863E-2</v>
      </c>
      <c r="F67" s="953">
        <f>Projected_SEC_wastage_rates!F80</f>
        <v>8.3641034033025863E-2</v>
      </c>
      <c r="G67" s="953">
        <f>Projected_SEC_wastage_rates!G80</f>
        <v>8.3641034033025863E-2</v>
      </c>
      <c r="H67" s="953">
        <f>Projected_SEC_wastage_rates!H80</f>
        <v>8.3641034033025863E-2</v>
      </c>
      <c r="I67" s="953">
        <f>Projected_SEC_wastage_rates!I80</f>
        <v>8.3641034033025863E-2</v>
      </c>
      <c r="J67" s="953">
        <f>Projected_SEC_wastage_rates!J80</f>
        <v>8.3641034033025863E-2</v>
      </c>
      <c r="K67" s="953">
        <f>Projected_SEC_wastage_rates!K80</f>
        <v>8.3641034033025863E-2</v>
      </c>
      <c r="L67" s="953">
        <f>Projected_SEC_wastage_rates!L80</f>
        <v>8.3641034033025863E-2</v>
      </c>
      <c r="M67" s="953">
        <f>Projected_SEC_wastage_rates!M80</f>
        <v>8.3641034033025863E-2</v>
      </c>
      <c r="N67" s="953">
        <f>Projected_SEC_wastage_rates!N80</f>
        <v>8.3641034033025863E-2</v>
      </c>
      <c r="O67" s="953">
        <f>Projected_SEC_wastage_rates!O80</f>
        <v>8.3641034033025863E-2</v>
      </c>
      <c r="P67" s="953">
        <f>Projected_SEC_wastage_rates!P80</f>
        <v>8.3641034033025863E-2</v>
      </c>
      <c r="Q67" s="12"/>
      <c r="R67" s="12"/>
    </row>
    <row r="69" spans="2:18" ht="18">
      <c r="B69" s="39" t="s">
        <v>1485</v>
      </c>
    </row>
    <row r="71" spans="2:18">
      <c r="B71" s="5" t="s">
        <v>432</v>
      </c>
      <c r="C71" s="12"/>
      <c r="E71" s="12"/>
      <c r="F71" s="262" t="str">
        <f>F39</f>
        <v>As the Econometric Wastage Model only forecasts wastage 6 years into the future, the rate beyond that is considered to be constant.</v>
      </c>
      <c r="G71" s="12"/>
      <c r="H71" s="12"/>
      <c r="I71" s="12"/>
      <c r="J71" s="12"/>
      <c r="K71" s="12"/>
      <c r="L71" s="12"/>
      <c r="M71" s="12"/>
      <c r="N71" s="12"/>
      <c r="O71" s="12"/>
      <c r="P71" s="12"/>
    </row>
    <row r="72" spans="2:18">
      <c r="B72" s="12"/>
      <c r="C72" s="12"/>
      <c r="D72" s="12"/>
      <c r="E72" s="12"/>
      <c r="F72" s="12"/>
      <c r="G72" s="12"/>
      <c r="H72" s="12"/>
      <c r="I72" s="12"/>
      <c r="J72" s="12"/>
      <c r="K72" s="12"/>
      <c r="L72" s="12"/>
      <c r="M72" s="12"/>
      <c r="N72" s="12"/>
      <c r="O72" s="12"/>
      <c r="P72" s="12"/>
    </row>
    <row r="73" spans="2:18">
      <c r="B73" s="8" t="str">
        <f>B56</f>
        <v>Age group</v>
      </c>
      <c r="C73" s="8" t="str">
        <f t="shared" ref="C73:P73" si="0">C56</f>
        <v>2014/15</v>
      </c>
      <c r="D73" s="8" t="str">
        <f t="shared" si="0"/>
        <v>2015/16</v>
      </c>
      <c r="E73" s="8" t="str">
        <f t="shared" si="0"/>
        <v>2016/17</v>
      </c>
      <c r="F73" s="8" t="str">
        <f t="shared" si="0"/>
        <v>2017/18</v>
      </c>
      <c r="G73" s="8" t="str">
        <f t="shared" si="0"/>
        <v>2018/19</v>
      </c>
      <c r="H73" s="8" t="str">
        <f t="shared" si="0"/>
        <v>2019/20</v>
      </c>
      <c r="I73" s="8" t="str">
        <f t="shared" si="0"/>
        <v>2020/21</v>
      </c>
      <c r="J73" s="8" t="str">
        <f t="shared" si="0"/>
        <v>2021/22</v>
      </c>
      <c r="K73" s="8" t="str">
        <f t="shared" si="0"/>
        <v>2022/23</v>
      </c>
      <c r="L73" s="8" t="str">
        <f t="shared" si="0"/>
        <v>2023/24</v>
      </c>
      <c r="M73" s="8" t="str">
        <f t="shared" si="0"/>
        <v>2024/25</v>
      </c>
      <c r="N73" s="8" t="str">
        <f t="shared" si="0"/>
        <v>2025/26</v>
      </c>
      <c r="O73" s="8" t="str">
        <f t="shared" si="0"/>
        <v>2026/27</v>
      </c>
      <c r="P73" s="8" t="str">
        <f t="shared" si="0"/>
        <v>2027/28</v>
      </c>
    </row>
    <row r="74" spans="2:18">
      <c r="B74" s="8" t="str">
        <f t="shared" ref="B74:B84" si="1">B57</f>
        <v>20-24</v>
      </c>
      <c r="C74" s="164">
        <f>C42*$D25</f>
        <v>0.12439885271508974</v>
      </c>
      <c r="D74" s="164">
        <f t="shared" ref="D74:P74" si="2">D42*$D25</f>
        <v>0.12439885271508974</v>
      </c>
      <c r="E74" s="164">
        <f t="shared" si="2"/>
        <v>0.12439885271508974</v>
      </c>
      <c r="F74" s="164">
        <f t="shared" si="2"/>
        <v>0.12439885271508974</v>
      </c>
      <c r="G74" s="164">
        <f t="shared" si="2"/>
        <v>0.12439885271508974</v>
      </c>
      <c r="H74" s="164">
        <f t="shared" si="2"/>
        <v>0.12439885271508974</v>
      </c>
      <c r="I74" s="164">
        <f t="shared" si="2"/>
        <v>0.12439885271508974</v>
      </c>
      <c r="J74" s="164">
        <f t="shared" si="2"/>
        <v>0.12439885271508974</v>
      </c>
      <c r="K74" s="164">
        <f t="shared" si="2"/>
        <v>0.12439885271508974</v>
      </c>
      <c r="L74" s="164">
        <f t="shared" si="2"/>
        <v>0.12439885271508974</v>
      </c>
      <c r="M74" s="164">
        <f t="shared" si="2"/>
        <v>0.12439885271508974</v>
      </c>
      <c r="N74" s="164">
        <f t="shared" si="2"/>
        <v>0.12439885271508974</v>
      </c>
      <c r="O74" s="164">
        <f t="shared" si="2"/>
        <v>0.12439885271508974</v>
      </c>
      <c r="P74" s="164">
        <f t="shared" si="2"/>
        <v>0.12439885271508974</v>
      </c>
    </row>
    <row r="75" spans="2:18">
      <c r="B75" s="8" t="str">
        <f t="shared" si="1"/>
        <v>25-29</v>
      </c>
      <c r="C75" s="164">
        <f t="shared" ref="C75:P84" si="3">C43*$D26</f>
        <v>0.1081143606977072</v>
      </c>
      <c r="D75" s="164">
        <f t="shared" si="3"/>
        <v>0.1081143606977072</v>
      </c>
      <c r="E75" s="164">
        <f t="shared" si="3"/>
        <v>0.1081143606977072</v>
      </c>
      <c r="F75" s="164">
        <f t="shared" si="3"/>
        <v>0.1081143606977072</v>
      </c>
      <c r="G75" s="164">
        <f t="shared" si="3"/>
        <v>0.1081143606977072</v>
      </c>
      <c r="H75" s="164">
        <f t="shared" si="3"/>
        <v>0.1081143606977072</v>
      </c>
      <c r="I75" s="164">
        <f t="shared" si="3"/>
        <v>0.1081143606977072</v>
      </c>
      <c r="J75" s="164">
        <f t="shared" si="3"/>
        <v>0.1081143606977072</v>
      </c>
      <c r="K75" s="164">
        <f t="shared" si="3"/>
        <v>0.1081143606977072</v>
      </c>
      <c r="L75" s="164">
        <f t="shared" si="3"/>
        <v>0.1081143606977072</v>
      </c>
      <c r="M75" s="164">
        <f t="shared" si="3"/>
        <v>0.1081143606977072</v>
      </c>
      <c r="N75" s="164">
        <f t="shared" si="3"/>
        <v>0.1081143606977072</v>
      </c>
      <c r="O75" s="164">
        <f t="shared" si="3"/>
        <v>0.1081143606977072</v>
      </c>
      <c r="P75" s="164">
        <f t="shared" si="3"/>
        <v>0.1081143606977072</v>
      </c>
    </row>
    <row r="76" spans="2:18">
      <c r="B76" s="8" t="str">
        <f t="shared" si="1"/>
        <v>30-34</v>
      </c>
      <c r="C76" s="164">
        <f t="shared" si="3"/>
        <v>7.1033212367198117E-2</v>
      </c>
      <c r="D76" s="164">
        <f t="shared" si="3"/>
        <v>7.1033212367198117E-2</v>
      </c>
      <c r="E76" s="164">
        <f t="shared" si="3"/>
        <v>7.1033212367198117E-2</v>
      </c>
      <c r="F76" s="164">
        <f t="shared" si="3"/>
        <v>7.1033212367198117E-2</v>
      </c>
      <c r="G76" s="164">
        <f t="shared" si="3"/>
        <v>7.1033212367198117E-2</v>
      </c>
      <c r="H76" s="164">
        <f t="shared" si="3"/>
        <v>7.1033212367198117E-2</v>
      </c>
      <c r="I76" s="164">
        <f t="shared" si="3"/>
        <v>7.1033212367198117E-2</v>
      </c>
      <c r="J76" s="164">
        <f t="shared" si="3"/>
        <v>7.1033212367198117E-2</v>
      </c>
      <c r="K76" s="164">
        <f t="shared" si="3"/>
        <v>7.1033212367198117E-2</v>
      </c>
      <c r="L76" s="164">
        <f t="shared" si="3"/>
        <v>7.1033212367198117E-2</v>
      </c>
      <c r="M76" s="164">
        <f t="shared" si="3"/>
        <v>7.1033212367198117E-2</v>
      </c>
      <c r="N76" s="164">
        <f t="shared" si="3"/>
        <v>7.1033212367198117E-2</v>
      </c>
      <c r="O76" s="164">
        <f t="shared" si="3"/>
        <v>7.1033212367198117E-2</v>
      </c>
      <c r="P76" s="164">
        <f t="shared" si="3"/>
        <v>7.1033212367198117E-2</v>
      </c>
    </row>
    <row r="77" spans="2:18">
      <c r="B77" s="8" t="str">
        <f t="shared" si="1"/>
        <v>35-39</v>
      </c>
      <c r="C77" s="164">
        <f t="shared" si="3"/>
        <v>6.0987788427863412E-2</v>
      </c>
      <c r="D77" s="164">
        <f t="shared" si="3"/>
        <v>6.0987788427863412E-2</v>
      </c>
      <c r="E77" s="164">
        <f t="shared" si="3"/>
        <v>6.0987788427863412E-2</v>
      </c>
      <c r="F77" s="164">
        <f t="shared" si="3"/>
        <v>6.0987788427863412E-2</v>
      </c>
      <c r="G77" s="164">
        <f t="shared" si="3"/>
        <v>6.0987788427863412E-2</v>
      </c>
      <c r="H77" s="164">
        <f t="shared" si="3"/>
        <v>6.0987788427863412E-2</v>
      </c>
      <c r="I77" s="164">
        <f t="shared" si="3"/>
        <v>6.0987788427863412E-2</v>
      </c>
      <c r="J77" s="164">
        <f t="shared" si="3"/>
        <v>6.0987788427863412E-2</v>
      </c>
      <c r="K77" s="164">
        <f t="shared" si="3"/>
        <v>6.0987788427863412E-2</v>
      </c>
      <c r="L77" s="164">
        <f t="shared" si="3"/>
        <v>6.0987788427863412E-2</v>
      </c>
      <c r="M77" s="164">
        <f t="shared" si="3"/>
        <v>6.0987788427863412E-2</v>
      </c>
      <c r="N77" s="164">
        <f t="shared" si="3"/>
        <v>6.0987788427863412E-2</v>
      </c>
      <c r="O77" s="164">
        <f t="shared" si="3"/>
        <v>6.0987788427863412E-2</v>
      </c>
      <c r="P77" s="164">
        <f t="shared" si="3"/>
        <v>6.0987788427863412E-2</v>
      </c>
    </row>
    <row r="78" spans="2:18">
      <c r="B78" s="8" t="str">
        <f t="shared" si="1"/>
        <v>40-44</v>
      </c>
      <c r="C78" s="164">
        <f t="shared" si="3"/>
        <v>6.4771635449930767E-2</v>
      </c>
      <c r="D78" s="164">
        <f t="shared" si="3"/>
        <v>6.4771635449930767E-2</v>
      </c>
      <c r="E78" s="164">
        <f t="shared" si="3"/>
        <v>6.4771635449930767E-2</v>
      </c>
      <c r="F78" s="164">
        <f t="shared" si="3"/>
        <v>6.4771635449930767E-2</v>
      </c>
      <c r="G78" s="164">
        <f t="shared" si="3"/>
        <v>6.4771635449930767E-2</v>
      </c>
      <c r="H78" s="164">
        <f t="shared" si="3"/>
        <v>6.4771635449930767E-2</v>
      </c>
      <c r="I78" s="164">
        <f t="shared" si="3"/>
        <v>6.4771635449930767E-2</v>
      </c>
      <c r="J78" s="164">
        <f t="shared" si="3"/>
        <v>6.4771635449930767E-2</v>
      </c>
      <c r="K78" s="164">
        <f t="shared" si="3"/>
        <v>6.4771635449930767E-2</v>
      </c>
      <c r="L78" s="164">
        <f t="shared" si="3"/>
        <v>6.4771635449930767E-2</v>
      </c>
      <c r="M78" s="164">
        <f t="shared" si="3"/>
        <v>6.4771635449930767E-2</v>
      </c>
      <c r="N78" s="164">
        <f t="shared" si="3"/>
        <v>6.4771635449930767E-2</v>
      </c>
      <c r="O78" s="164">
        <f t="shared" si="3"/>
        <v>6.4771635449930767E-2</v>
      </c>
      <c r="P78" s="164">
        <f t="shared" si="3"/>
        <v>6.4771635449930767E-2</v>
      </c>
    </row>
    <row r="79" spans="2:18">
      <c r="B79" s="8" t="str">
        <f t="shared" si="1"/>
        <v>45-49</v>
      </c>
      <c r="C79" s="164">
        <f t="shared" si="3"/>
        <v>7.313041822830102E-2</v>
      </c>
      <c r="D79" s="164">
        <f t="shared" si="3"/>
        <v>7.313041822830102E-2</v>
      </c>
      <c r="E79" s="164">
        <f t="shared" si="3"/>
        <v>7.313041822830102E-2</v>
      </c>
      <c r="F79" s="164">
        <f t="shared" si="3"/>
        <v>7.313041822830102E-2</v>
      </c>
      <c r="G79" s="164">
        <f t="shared" si="3"/>
        <v>7.313041822830102E-2</v>
      </c>
      <c r="H79" s="164">
        <f t="shared" si="3"/>
        <v>7.313041822830102E-2</v>
      </c>
      <c r="I79" s="164">
        <f t="shared" si="3"/>
        <v>7.313041822830102E-2</v>
      </c>
      <c r="J79" s="164">
        <f t="shared" si="3"/>
        <v>7.313041822830102E-2</v>
      </c>
      <c r="K79" s="164">
        <f t="shared" si="3"/>
        <v>7.313041822830102E-2</v>
      </c>
      <c r="L79" s="164">
        <f t="shared" si="3"/>
        <v>7.313041822830102E-2</v>
      </c>
      <c r="M79" s="164">
        <f t="shared" si="3"/>
        <v>7.313041822830102E-2</v>
      </c>
      <c r="N79" s="164">
        <f t="shared" si="3"/>
        <v>7.313041822830102E-2</v>
      </c>
      <c r="O79" s="164">
        <f t="shared" si="3"/>
        <v>7.313041822830102E-2</v>
      </c>
      <c r="P79" s="164">
        <f t="shared" si="3"/>
        <v>7.313041822830102E-2</v>
      </c>
    </row>
    <row r="80" spans="2:18">
      <c r="B80" s="8" t="str">
        <f t="shared" si="1"/>
        <v>50-54</v>
      </c>
      <c r="C80" s="164">
        <f t="shared" si="3"/>
        <v>7.472168357900949E-2</v>
      </c>
      <c r="D80" s="164">
        <f t="shared" si="3"/>
        <v>7.472168357900949E-2</v>
      </c>
      <c r="E80" s="164">
        <f t="shared" si="3"/>
        <v>7.472168357900949E-2</v>
      </c>
      <c r="F80" s="164">
        <f t="shared" si="3"/>
        <v>7.472168357900949E-2</v>
      </c>
      <c r="G80" s="164">
        <f t="shared" si="3"/>
        <v>7.472168357900949E-2</v>
      </c>
      <c r="H80" s="164">
        <f t="shared" si="3"/>
        <v>7.472168357900949E-2</v>
      </c>
      <c r="I80" s="164">
        <f t="shared" si="3"/>
        <v>7.472168357900949E-2</v>
      </c>
      <c r="J80" s="164">
        <f t="shared" si="3"/>
        <v>7.472168357900949E-2</v>
      </c>
      <c r="K80" s="164">
        <f t="shared" si="3"/>
        <v>7.472168357900949E-2</v>
      </c>
      <c r="L80" s="164">
        <f t="shared" si="3"/>
        <v>7.472168357900949E-2</v>
      </c>
      <c r="M80" s="164">
        <f t="shared" si="3"/>
        <v>7.472168357900949E-2</v>
      </c>
      <c r="N80" s="164">
        <f t="shared" si="3"/>
        <v>7.472168357900949E-2</v>
      </c>
      <c r="O80" s="164">
        <f t="shared" si="3"/>
        <v>7.472168357900949E-2</v>
      </c>
      <c r="P80" s="164">
        <f t="shared" si="3"/>
        <v>7.472168357900949E-2</v>
      </c>
    </row>
    <row r="81" spans="2:16">
      <c r="B81" s="8" t="str">
        <f t="shared" si="1"/>
        <v>55-59</v>
      </c>
      <c r="C81" s="164">
        <f t="shared" si="3"/>
        <v>5.2454039570491828E-2</v>
      </c>
      <c r="D81" s="164">
        <f t="shared" si="3"/>
        <v>5.2454039570491828E-2</v>
      </c>
      <c r="E81" s="164">
        <f t="shared" si="3"/>
        <v>5.2454039570491828E-2</v>
      </c>
      <c r="F81" s="164">
        <f t="shared" si="3"/>
        <v>5.2454039570491828E-2</v>
      </c>
      <c r="G81" s="164">
        <f t="shared" si="3"/>
        <v>5.2454039570491828E-2</v>
      </c>
      <c r="H81" s="164">
        <f t="shared" si="3"/>
        <v>5.2454039570491828E-2</v>
      </c>
      <c r="I81" s="164">
        <f t="shared" si="3"/>
        <v>5.2454039570491828E-2</v>
      </c>
      <c r="J81" s="164">
        <f t="shared" si="3"/>
        <v>5.2454039570491828E-2</v>
      </c>
      <c r="K81" s="164">
        <f t="shared" si="3"/>
        <v>5.2454039570491828E-2</v>
      </c>
      <c r="L81" s="164">
        <f t="shared" si="3"/>
        <v>5.2454039570491828E-2</v>
      </c>
      <c r="M81" s="164">
        <f t="shared" si="3"/>
        <v>5.2454039570491828E-2</v>
      </c>
      <c r="N81" s="164">
        <f t="shared" si="3"/>
        <v>5.2454039570491828E-2</v>
      </c>
      <c r="O81" s="164">
        <f t="shared" si="3"/>
        <v>5.2454039570491828E-2</v>
      </c>
      <c r="P81" s="164">
        <f t="shared" si="3"/>
        <v>5.2454039570491828E-2</v>
      </c>
    </row>
    <row r="82" spans="2:16">
      <c r="B82" s="8" t="str">
        <f t="shared" si="1"/>
        <v>60-64</v>
      </c>
      <c r="C82" s="164">
        <f t="shared" si="3"/>
        <v>1.8711845743629451E-2</v>
      </c>
      <c r="D82" s="164">
        <f t="shared" si="3"/>
        <v>1.8711845743629451E-2</v>
      </c>
      <c r="E82" s="164">
        <f t="shared" si="3"/>
        <v>1.8711845743629451E-2</v>
      </c>
      <c r="F82" s="164">
        <f t="shared" si="3"/>
        <v>1.8711845743629451E-2</v>
      </c>
      <c r="G82" s="164">
        <f t="shared" si="3"/>
        <v>1.8711845743629451E-2</v>
      </c>
      <c r="H82" s="164">
        <f t="shared" si="3"/>
        <v>1.8711845743629451E-2</v>
      </c>
      <c r="I82" s="164">
        <f t="shared" si="3"/>
        <v>1.8711845743629451E-2</v>
      </c>
      <c r="J82" s="164">
        <f t="shared" si="3"/>
        <v>1.8711845743629451E-2</v>
      </c>
      <c r="K82" s="164">
        <f t="shared" si="3"/>
        <v>1.8711845743629451E-2</v>
      </c>
      <c r="L82" s="164">
        <f t="shared" si="3"/>
        <v>1.8711845743629451E-2</v>
      </c>
      <c r="M82" s="164">
        <f t="shared" si="3"/>
        <v>1.8711845743629451E-2</v>
      </c>
      <c r="N82" s="164">
        <f t="shared" si="3"/>
        <v>1.8711845743629451E-2</v>
      </c>
      <c r="O82" s="164">
        <f t="shared" si="3"/>
        <v>1.8711845743629451E-2</v>
      </c>
      <c r="P82" s="164">
        <f t="shared" si="3"/>
        <v>1.8711845743629451E-2</v>
      </c>
    </row>
    <row r="83" spans="2:16">
      <c r="B83" s="8" t="str">
        <f t="shared" si="1"/>
        <v>65 plus</v>
      </c>
      <c r="C83" s="164">
        <f t="shared" si="3"/>
        <v>2.2844063452113657E-2</v>
      </c>
      <c r="D83" s="164">
        <f t="shared" si="3"/>
        <v>2.2844063452113657E-2</v>
      </c>
      <c r="E83" s="164">
        <f t="shared" si="3"/>
        <v>2.2844063452113657E-2</v>
      </c>
      <c r="F83" s="164">
        <f t="shared" si="3"/>
        <v>2.2844063452113657E-2</v>
      </c>
      <c r="G83" s="164">
        <f t="shared" si="3"/>
        <v>2.2844063452113657E-2</v>
      </c>
      <c r="H83" s="164">
        <f t="shared" si="3"/>
        <v>2.2844063452113657E-2</v>
      </c>
      <c r="I83" s="164">
        <f t="shared" si="3"/>
        <v>2.2844063452113657E-2</v>
      </c>
      <c r="J83" s="164">
        <f t="shared" si="3"/>
        <v>2.2844063452113657E-2</v>
      </c>
      <c r="K83" s="164">
        <f t="shared" si="3"/>
        <v>2.2844063452113657E-2</v>
      </c>
      <c r="L83" s="164">
        <f t="shared" si="3"/>
        <v>2.2844063452113657E-2</v>
      </c>
      <c r="M83" s="164">
        <f t="shared" si="3"/>
        <v>2.2844063452113657E-2</v>
      </c>
      <c r="N83" s="164">
        <f t="shared" si="3"/>
        <v>2.2844063452113657E-2</v>
      </c>
      <c r="O83" s="164">
        <f t="shared" si="3"/>
        <v>2.2844063452113657E-2</v>
      </c>
      <c r="P83" s="164">
        <f t="shared" si="3"/>
        <v>2.2844063452113657E-2</v>
      </c>
    </row>
    <row r="84" spans="2:16">
      <c r="B84" s="8" t="str">
        <f t="shared" si="1"/>
        <v>Total</v>
      </c>
      <c r="C84" s="164">
        <f t="shared" si="3"/>
        <v>7.4212379486463434E-2</v>
      </c>
      <c r="D84" s="164">
        <f t="shared" si="3"/>
        <v>7.4212379486463434E-2</v>
      </c>
      <c r="E84" s="164">
        <f t="shared" si="3"/>
        <v>7.4212379486463434E-2</v>
      </c>
      <c r="F84" s="164">
        <f t="shared" si="3"/>
        <v>7.4212379486463434E-2</v>
      </c>
      <c r="G84" s="164">
        <f t="shared" si="3"/>
        <v>7.4212379486463434E-2</v>
      </c>
      <c r="H84" s="164">
        <f t="shared" si="3"/>
        <v>7.4212379486463434E-2</v>
      </c>
      <c r="I84" s="164">
        <f t="shared" si="3"/>
        <v>7.4212379486463434E-2</v>
      </c>
      <c r="J84" s="164">
        <f t="shared" si="3"/>
        <v>7.4212379486463434E-2</v>
      </c>
      <c r="K84" s="164">
        <f t="shared" si="3"/>
        <v>7.4212379486463434E-2</v>
      </c>
      <c r="L84" s="164">
        <f t="shared" si="3"/>
        <v>7.4212379486463434E-2</v>
      </c>
      <c r="M84" s="164">
        <f t="shared" si="3"/>
        <v>7.4212379486463434E-2</v>
      </c>
      <c r="N84" s="164">
        <f t="shared" si="3"/>
        <v>7.4212379486463434E-2</v>
      </c>
      <c r="O84" s="164">
        <f t="shared" si="3"/>
        <v>7.4212379486463434E-2</v>
      </c>
      <c r="P84" s="164">
        <f t="shared" si="3"/>
        <v>7.4212379486463434E-2</v>
      </c>
    </row>
    <row r="85" spans="2:16">
      <c r="B85" s="12"/>
      <c r="C85" s="955"/>
      <c r="D85" s="955"/>
      <c r="E85" s="955"/>
      <c r="F85" s="955"/>
      <c r="G85" s="955"/>
      <c r="H85" s="955"/>
      <c r="I85" s="955"/>
      <c r="J85" s="955"/>
      <c r="K85" s="955"/>
      <c r="L85" s="955"/>
      <c r="M85" s="955"/>
      <c r="N85" s="955"/>
      <c r="O85" s="955"/>
      <c r="P85" s="955"/>
    </row>
    <row r="86" spans="2:16">
      <c r="B86" s="5" t="s">
        <v>433</v>
      </c>
      <c r="C86" s="955"/>
      <c r="D86" s="955"/>
      <c r="E86" s="955"/>
      <c r="F86" s="955"/>
      <c r="G86" s="955"/>
      <c r="H86" s="955"/>
      <c r="I86" s="955"/>
      <c r="J86" s="955"/>
      <c r="K86" s="955"/>
      <c r="L86" s="955"/>
      <c r="M86" s="955"/>
      <c r="N86" s="955"/>
      <c r="O86" s="955"/>
      <c r="P86" s="955"/>
    </row>
    <row r="87" spans="2:16">
      <c r="B87" s="12"/>
      <c r="C87" s="955"/>
      <c r="D87" s="955"/>
      <c r="E87" s="955"/>
      <c r="F87" s="955"/>
      <c r="G87" s="955"/>
      <c r="H87" s="955"/>
      <c r="I87" s="955"/>
      <c r="J87" s="955"/>
      <c r="K87" s="955"/>
      <c r="L87" s="955"/>
      <c r="M87" s="955"/>
      <c r="N87" s="955"/>
      <c r="O87" s="955"/>
      <c r="P87" s="955"/>
    </row>
    <row r="88" spans="2:16">
      <c r="B88" s="8" t="str">
        <f>B73</f>
        <v>Age group</v>
      </c>
      <c r="C88" s="956" t="str">
        <f>C73</f>
        <v>2014/15</v>
      </c>
      <c r="D88" s="956" t="str">
        <f t="shared" ref="D88:P88" si="4">D73</f>
        <v>2015/16</v>
      </c>
      <c r="E88" s="956" t="str">
        <f t="shared" si="4"/>
        <v>2016/17</v>
      </c>
      <c r="F88" s="956" t="str">
        <f t="shared" si="4"/>
        <v>2017/18</v>
      </c>
      <c r="G88" s="956" t="str">
        <f t="shared" si="4"/>
        <v>2018/19</v>
      </c>
      <c r="H88" s="956" t="str">
        <f t="shared" si="4"/>
        <v>2019/20</v>
      </c>
      <c r="I88" s="956" t="str">
        <f t="shared" si="4"/>
        <v>2020/21</v>
      </c>
      <c r="J88" s="956" t="str">
        <f t="shared" si="4"/>
        <v>2021/22</v>
      </c>
      <c r="K88" s="956" t="str">
        <f t="shared" si="4"/>
        <v>2022/23</v>
      </c>
      <c r="L88" s="956" t="str">
        <f t="shared" si="4"/>
        <v>2023/24</v>
      </c>
      <c r="M88" s="956" t="str">
        <f t="shared" si="4"/>
        <v>2024/25</v>
      </c>
      <c r="N88" s="956" t="str">
        <f t="shared" si="4"/>
        <v>2025/26</v>
      </c>
      <c r="O88" s="956" t="str">
        <f t="shared" si="4"/>
        <v>2026/27</v>
      </c>
      <c r="P88" s="956" t="str">
        <f t="shared" si="4"/>
        <v>2027/28</v>
      </c>
    </row>
    <row r="89" spans="2:16">
      <c r="B89" s="8" t="str">
        <f t="shared" ref="B89:B99" si="5">B74</f>
        <v>20-24</v>
      </c>
      <c r="C89" s="164">
        <f>C57*$G25</f>
        <v>0.10600227886663885</v>
      </c>
      <c r="D89" s="164">
        <f t="shared" ref="D89:P89" si="6">D57*$G25</f>
        <v>0.10600227886663885</v>
      </c>
      <c r="E89" s="164">
        <f t="shared" si="6"/>
        <v>0.10600227886663885</v>
      </c>
      <c r="F89" s="164">
        <f t="shared" si="6"/>
        <v>0.10600227886663885</v>
      </c>
      <c r="G89" s="164">
        <f t="shared" si="6"/>
        <v>0.10600227886663885</v>
      </c>
      <c r="H89" s="164">
        <f t="shared" si="6"/>
        <v>0.10600227886663885</v>
      </c>
      <c r="I89" s="164">
        <f t="shared" si="6"/>
        <v>0.10600227886663885</v>
      </c>
      <c r="J89" s="164">
        <f t="shared" si="6"/>
        <v>0.10600227886663885</v>
      </c>
      <c r="K89" s="164">
        <f t="shared" si="6"/>
        <v>0.10600227886663885</v>
      </c>
      <c r="L89" s="164">
        <f t="shared" si="6"/>
        <v>0.10600227886663885</v>
      </c>
      <c r="M89" s="164">
        <f t="shared" si="6"/>
        <v>0.10600227886663885</v>
      </c>
      <c r="N89" s="164">
        <f t="shared" si="6"/>
        <v>0.10600227886663885</v>
      </c>
      <c r="O89" s="164">
        <f t="shared" si="6"/>
        <v>0.10600227886663885</v>
      </c>
      <c r="P89" s="164">
        <f t="shared" si="6"/>
        <v>0.10600227886663885</v>
      </c>
    </row>
    <row r="90" spans="2:16">
      <c r="B90" s="8" t="str">
        <f t="shared" si="5"/>
        <v>25-29</v>
      </c>
      <c r="C90" s="164">
        <f t="shared" ref="C90:P99" si="7">C58*$G26</f>
        <v>9.9524238960837022E-2</v>
      </c>
      <c r="D90" s="164">
        <f t="shared" si="7"/>
        <v>9.9524238960837022E-2</v>
      </c>
      <c r="E90" s="164">
        <f t="shared" si="7"/>
        <v>9.9524238960837022E-2</v>
      </c>
      <c r="F90" s="164">
        <f t="shared" si="7"/>
        <v>9.9524238960837022E-2</v>
      </c>
      <c r="G90" s="164">
        <f t="shared" si="7"/>
        <v>9.9524238960837022E-2</v>
      </c>
      <c r="H90" s="164">
        <f t="shared" si="7"/>
        <v>9.9524238960837022E-2</v>
      </c>
      <c r="I90" s="164">
        <f t="shared" si="7"/>
        <v>9.9524238960837022E-2</v>
      </c>
      <c r="J90" s="164">
        <f t="shared" si="7"/>
        <v>9.9524238960837022E-2</v>
      </c>
      <c r="K90" s="164">
        <f t="shared" si="7"/>
        <v>9.9524238960837022E-2</v>
      </c>
      <c r="L90" s="164">
        <f t="shared" si="7"/>
        <v>9.9524238960837022E-2</v>
      </c>
      <c r="M90" s="164">
        <f t="shared" si="7"/>
        <v>9.9524238960837022E-2</v>
      </c>
      <c r="N90" s="164">
        <f t="shared" si="7"/>
        <v>9.9524238960837022E-2</v>
      </c>
      <c r="O90" s="164">
        <f t="shared" si="7"/>
        <v>9.9524238960837022E-2</v>
      </c>
      <c r="P90" s="164">
        <f t="shared" si="7"/>
        <v>9.9524238960837022E-2</v>
      </c>
    </row>
    <row r="91" spans="2:16">
      <c r="B91" s="8" t="str">
        <f t="shared" si="5"/>
        <v>30-34</v>
      </c>
      <c r="C91" s="164">
        <f t="shared" si="7"/>
        <v>9.2293879851787233E-2</v>
      </c>
      <c r="D91" s="164">
        <f t="shared" si="7"/>
        <v>9.2293879851787233E-2</v>
      </c>
      <c r="E91" s="164">
        <f t="shared" si="7"/>
        <v>9.2293879851787233E-2</v>
      </c>
      <c r="F91" s="164">
        <f t="shared" si="7"/>
        <v>9.2293879851787233E-2</v>
      </c>
      <c r="G91" s="164">
        <f t="shared" si="7"/>
        <v>9.2293879851787233E-2</v>
      </c>
      <c r="H91" s="164">
        <f t="shared" si="7"/>
        <v>9.2293879851787233E-2</v>
      </c>
      <c r="I91" s="164">
        <f t="shared" si="7"/>
        <v>9.2293879851787233E-2</v>
      </c>
      <c r="J91" s="164">
        <f t="shared" si="7"/>
        <v>9.2293879851787233E-2</v>
      </c>
      <c r="K91" s="164">
        <f t="shared" si="7"/>
        <v>9.2293879851787233E-2</v>
      </c>
      <c r="L91" s="164">
        <f t="shared" si="7"/>
        <v>9.2293879851787233E-2</v>
      </c>
      <c r="M91" s="164">
        <f t="shared" si="7"/>
        <v>9.2293879851787233E-2</v>
      </c>
      <c r="N91" s="164">
        <f t="shared" si="7"/>
        <v>9.2293879851787233E-2</v>
      </c>
      <c r="O91" s="164">
        <f t="shared" si="7"/>
        <v>9.2293879851787233E-2</v>
      </c>
      <c r="P91" s="164">
        <f t="shared" si="7"/>
        <v>9.2293879851787233E-2</v>
      </c>
    </row>
    <row r="92" spans="2:16">
      <c r="B92" s="8" t="str">
        <f t="shared" si="5"/>
        <v>35-39</v>
      </c>
      <c r="C92" s="164">
        <f t="shared" si="7"/>
        <v>8.1161740510220945E-2</v>
      </c>
      <c r="D92" s="164">
        <f t="shared" si="7"/>
        <v>8.1161740510220945E-2</v>
      </c>
      <c r="E92" s="164">
        <f t="shared" si="7"/>
        <v>8.1161740510220945E-2</v>
      </c>
      <c r="F92" s="164">
        <f t="shared" si="7"/>
        <v>8.1161740510220945E-2</v>
      </c>
      <c r="G92" s="164">
        <f t="shared" si="7"/>
        <v>8.1161740510220945E-2</v>
      </c>
      <c r="H92" s="164">
        <f t="shared" si="7"/>
        <v>8.1161740510220945E-2</v>
      </c>
      <c r="I92" s="164">
        <f t="shared" si="7"/>
        <v>8.1161740510220945E-2</v>
      </c>
      <c r="J92" s="164">
        <f t="shared" si="7"/>
        <v>8.1161740510220945E-2</v>
      </c>
      <c r="K92" s="164">
        <f t="shared" si="7"/>
        <v>8.1161740510220945E-2</v>
      </c>
      <c r="L92" s="164">
        <f t="shared" si="7"/>
        <v>8.1161740510220945E-2</v>
      </c>
      <c r="M92" s="164">
        <f t="shared" si="7"/>
        <v>8.1161740510220945E-2</v>
      </c>
      <c r="N92" s="164">
        <f t="shared" si="7"/>
        <v>8.1161740510220945E-2</v>
      </c>
      <c r="O92" s="164">
        <f t="shared" si="7"/>
        <v>8.1161740510220945E-2</v>
      </c>
      <c r="P92" s="164">
        <f t="shared" si="7"/>
        <v>8.1161740510220945E-2</v>
      </c>
    </row>
    <row r="93" spans="2:16">
      <c r="B93" s="8" t="str">
        <f t="shared" si="5"/>
        <v>40-44</v>
      </c>
      <c r="C93" s="164">
        <f t="shared" si="7"/>
        <v>7.4997217193321294E-2</v>
      </c>
      <c r="D93" s="164">
        <f t="shared" si="7"/>
        <v>7.4997217193321294E-2</v>
      </c>
      <c r="E93" s="164">
        <f t="shared" si="7"/>
        <v>7.4997217193321294E-2</v>
      </c>
      <c r="F93" s="164">
        <f t="shared" si="7"/>
        <v>7.4997217193321294E-2</v>
      </c>
      <c r="G93" s="164">
        <f t="shared" si="7"/>
        <v>7.4997217193321294E-2</v>
      </c>
      <c r="H93" s="164">
        <f t="shared" si="7"/>
        <v>7.4997217193321294E-2</v>
      </c>
      <c r="I93" s="164">
        <f t="shared" si="7"/>
        <v>7.4997217193321294E-2</v>
      </c>
      <c r="J93" s="164">
        <f t="shared" si="7"/>
        <v>7.4997217193321294E-2</v>
      </c>
      <c r="K93" s="164">
        <f t="shared" si="7"/>
        <v>7.4997217193321294E-2</v>
      </c>
      <c r="L93" s="164">
        <f t="shared" si="7"/>
        <v>7.4997217193321294E-2</v>
      </c>
      <c r="M93" s="164">
        <f t="shared" si="7"/>
        <v>7.4997217193321294E-2</v>
      </c>
      <c r="N93" s="164">
        <f t="shared" si="7"/>
        <v>7.4997217193321294E-2</v>
      </c>
      <c r="O93" s="164">
        <f t="shared" si="7"/>
        <v>7.4997217193321294E-2</v>
      </c>
      <c r="P93" s="164">
        <f t="shared" si="7"/>
        <v>7.4997217193321294E-2</v>
      </c>
    </row>
    <row r="94" spans="2:16">
      <c r="B94" s="8" t="str">
        <f t="shared" si="5"/>
        <v>45-49</v>
      </c>
      <c r="C94" s="164">
        <f t="shared" si="7"/>
        <v>8.2478582329627098E-2</v>
      </c>
      <c r="D94" s="164">
        <f t="shared" si="7"/>
        <v>8.2478582329627098E-2</v>
      </c>
      <c r="E94" s="164">
        <f t="shared" si="7"/>
        <v>8.2478582329627098E-2</v>
      </c>
      <c r="F94" s="164">
        <f t="shared" si="7"/>
        <v>8.2478582329627098E-2</v>
      </c>
      <c r="G94" s="164">
        <f t="shared" si="7"/>
        <v>8.2478582329627098E-2</v>
      </c>
      <c r="H94" s="164">
        <f t="shared" si="7"/>
        <v>8.2478582329627098E-2</v>
      </c>
      <c r="I94" s="164">
        <f t="shared" si="7"/>
        <v>8.2478582329627098E-2</v>
      </c>
      <c r="J94" s="164">
        <f t="shared" si="7"/>
        <v>8.2478582329627098E-2</v>
      </c>
      <c r="K94" s="164">
        <f t="shared" si="7"/>
        <v>8.2478582329627098E-2</v>
      </c>
      <c r="L94" s="164">
        <f t="shared" si="7"/>
        <v>8.2478582329627098E-2</v>
      </c>
      <c r="M94" s="164">
        <f t="shared" si="7"/>
        <v>8.2478582329627098E-2</v>
      </c>
      <c r="N94" s="164">
        <f t="shared" si="7"/>
        <v>8.2478582329627098E-2</v>
      </c>
      <c r="O94" s="164">
        <f t="shared" si="7"/>
        <v>8.2478582329627098E-2</v>
      </c>
      <c r="P94" s="164">
        <f t="shared" si="7"/>
        <v>8.2478582329627098E-2</v>
      </c>
    </row>
    <row r="95" spans="2:16">
      <c r="B95" s="8" t="str">
        <f t="shared" si="5"/>
        <v>50-54</v>
      </c>
      <c r="C95" s="164">
        <f t="shared" si="7"/>
        <v>8.1332321279363948E-2</v>
      </c>
      <c r="D95" s="164">
        <f t="shared" si="7"/>
        <v>8.1332321279363948E-2</v>
      </c>
      <c r="E95" s="164">
        <f t="shared" si="7"/>
        <v>8.1332321279363948E-2</v>
      </c>
      <c r="F95" s="164">
        <f t="shared" si="7"/>
        <v>8.1332321279363948E-2</v>
      </c>
      <c r="G95" s="164">
        <f t="shared" si="7"/>
        <v>8.1332321279363948E-2</v>
      </c>
      <c r="H95" s="164">
        <f t="shared" si="7"/>
        <v>8.1332321279363948E-2</v>
      </c>
      <c r="I95" s="164">
        <f t="shared" si="7"/>
        <v>8.1332321279363948E-2</v>
      </c>
      <c r="J95" s="164">
        <f t="shared" si="7"/>
        <v>8.1332321279363948E-2</v>
      </c>
      <c r="K95" s="164">
        <f t="shared" si="7"/>
        <v>8.1332321279363948E-2</v>
      </c>
      <c r="L95" s="164">
        <f t="shared" si="7"/>
        <v>8.1332321279363948E-2</v>
      </c>
      <c r="M95" s="164">
        <f t="shared" si="7"/>
        <v>8.1332321279363948E-2</v>
      </c>
      <c r="N95" s="164">
        <f t="shared" si="7"/>
        <v>8.1332321279363948E-2</v>
      </c>
      <c r="O95" s="164">
        <f t="shared" si="7"/>
        <v>8.1332321279363948E-2</v>
      </c>
      <c r="P95" s="164">
        <f t="shared" si="7"/>
        <v>8.1332321279363948E-2</v>
      </c>
    </row>
    <row r="96" spans="2:16">
      <c r="B96" s="8" t="str">
        <f t="shared" si="5"/>
        <v>55-59</v>
      </c>
      <c r="C96" s="164">
        <f t="shared" si="7"/>
        <v>5.0442063261430206E-2</v>
      </c>
      <c r="D96" s="164">
        <f t="shared" si="7"/>
        <v>5.0442063261430206E-2</v>
      </c>
      <c r="E96" s="164">
        <f t="shared" si="7"/>
        <v>5.0442063261430206E-2</v>
      </c>
      <c r="F96" s="164">
        <f t="shared" si="7"/>
        <v>5.0442063261430206E-2</v>
      </c>
      <c r="G96" s="164">
        <f t="shared" si="7"/>
        <v>5.0442063261430206E-2</v>
      </c>
      <c r="H96" s="164">
        <f t="shared" si="7"/>
        <v>5.0442063261430206E-2</v>
      </c>
      <c r="I96" s="164">
        <f t="shared" si="7"/>
        <v>5.0442063261430206E-2</v>
      </c>
      <c r="J96" s="164">
        <f t="shared" si="7"/>
        <v>5.0442063261430206E-2</v>
      </c>
      <c r="K96" s="164">
        <f t="shared" si="7"/>
        <v>5.0442063261430206E-2</v>
      </c>
      <c r="L96" s="164">
        <f t="shared" si="7"/>
        <v>5.0442063261430206E-2</v>
      </c>
      <c r="M96" s="164">
        <f t="shared" si="7"/>
        <v>5.0442063261430206E-2</v>
      </c>
      <c r="N96" s="164">
        <f t="shared" si="7"/>
        <v>5.0442063261430206E-2</v>
      </c>
      <c r="O96" s="164">
        <f t="shared" si="7"/>
        <v>5.0442063261430206E-2</v>
      </c>
      <c r="P96" s="164">
        <f t="shared" si="7"/>
        <v>5.0442063261430206E-2</v>
      </c>
    </row>
    <row r="97" spans="2:16">
      <c r="B97" s="8" t="str">
        <f t="shared" si="5"/>
        <v>60-64</v>
      </c>
      <c r="C97" s="164">
        <f t="shared" si="7"/>
        <v>2.1932126785159097E-2</v>
      </c>
      <c r="D97" s="164">
        <f t="shared" si="7"/>
        <v>2.1932126785159097E-2</v>
      </c>
      <c r="E97" s="164">
        <f t="shared" si="7"/>
        <v>2.1932126785159097E-2</v>
      </c>
      <c r="F97" s="164">
        <f t="shared" si="7"/>
        <v>2.1932126785159097E-2</v>
      </c>
      <c r="G97" s="164">
        <f t="shared" si="7"/>
        <v>2.1932126785159097E-2</v>
      </c>
      <c r="H97" s="164">
        <f t="shared" si="7"/>
        <v>2.1932126785159097E-2</v>
      </c>
      <c r="I97" s="164">
        <f t="shared" si="7"/>
        <v>2.1932126785159097E-2</v>
      </c>
      <c r="J97" s="164">
        <f t="shared" si="7"/>
        <v>2.1932126785159097E-2</v>
      </c>
      <c r="K97" s="164">
        <f t="shared" si="7"/>
        <v>2.1932126785159097E-2</v>
      </c>
      <c r="L97" s="164">
        <f t="shared" si="7"/>
        <v>2.1932126785159097E-2</v>
      </c>
      <c r="M97" s="164">
        <f t="shared" si="7"/>
        <v>2.1932126785159097E-2</v>
      </c>
      <c r="N97" s="164">
        <f t="shared" si="7"/>
        <v>2.1932126785159097E-2</v>
      </c>
      <c r="O97" s="164">
        <f t="shared" si="7"/>
        <v>2.1932126785159097E-2</v>
      </c>
      <c r="P97" s="164">
        <f t="shared" si="7"/>
        <v>2.1932126785159097E-2</v>
      </c>
    </row>
    <row r="98" spans="2:16">
      <c r="B98" s="8" t="str">
        <f t="shared" si="5"/>
        <v>65 plus</v>
      </c>
      <c r="C98" s="164">
        <f t="shared" si="7"/>
        <v>3.5128074661415529E-2</v>
      </c>
      <c r="D98" s="164">
        <f t="shared" si="7"/>
        <v>3.5128074661415529E-2</v>
      </c>
      <c r="E98" s="164">
        <f t="shared" si="7"/>
        <v>3.5128074661415529E-2</v>
      </c>
      <c r="F98" s="164">
        <f t="shared" si="7"/>
        <v>3.5128074661415529E-2</v>
      </c>
      <c r="G98" s="164">
        <f t="shared" si="7"/>
        <v>3.5128074661415529E-2</v>
      </c>
      <c r="H98" s="164">
        <f t="shared" si="7"/>
        <v>3.5128074661415529E-2</v>
      </c>
      <c r="I98" s="164">
        <f t="shared" si="7"/>
        <v>3.5128074661415529E-2</v>
      </c>
      <c r="J98" s="164">
        <f t="shared" si="7"/>
        <v>3.5128074661415529E-2</v>
      </c>
      <c r="K98" s="164">
        <f t="shared" si="7"/>
        <v>3.5128074661415529E-2</v>
      </c>
      <c r="L98" s="164">
        <f t="shared" si="7"/>
        <v>3.5128074661415529E-2</v>
      </c>
      <c r="M98" s="164">
        <f t="shared" si="7"/>
        <v>3.5128074661415529E-2</v>
      </c>
      <c r="N98" s="164">
        <f t="shared" si="7"/>
        <v>3.5128074661415529E-2</v>
      </c>
      <c r="O98" s="164">
        <f t="shared" si="7"/>
        <v>3.5128074661415529E-2</v>
      </c>
      <c r="P98" s="164">
        <f t="shared" si="7"/>
        <v>3.5128074661415529E-2</v>
      </c>
    </row>
    <row r="99" spans="2:16">
      <c r="B99" s="8" t="str">
        <f t="shared" si="5"/>
        <v>Total</v>
      </c>
      <c r="C99" s="164">
        <f t="shared" si="7"/>
        <v>8.4310162305290065E-2</v>
      </c>
      <c r="D99" s="164">
        <f t="shared" si="7"/>
        <v>8.4310162305290065E-2</v>
      </c>
      <c r="E99" s="164">
        <f t="shared" si="7"/>
        <v>8.4310162305290065E-2</v>
      </c>
      <c r="F99" s="164">
        <f t="shared" si="7"/>
        <v>8.4310162305290065E-2</v>
      </c>
      <c r="G99" s="164">
        <f t="shared" si="7"/>
        <v>8.4310162305290065E-2</v>
      </c>
      <c r="H99" s="164">
        <f t="shared" si="7"/>
        <v>8.4310162305290065E-2</v>
      </c>
      <c r="I99" s="164">
        <f t="shared" si="7"/>
        <v>8.4310162305290065E-2</v>
      </c>
      <c r="J99" s="164">
        <f t="shared" si="7"/>
        <v>8.4310162305290065E-2</v>
      </c>
      <c r="K99" s="164">
        <f t="shared" si="7"/>
        <v>8.4310162305290065E-2</v>
      </c>
      <c r="L99" s="164">
        <f t="shared" si="7"/>
        <v>8.4310162305290065E-2</v>
      </c>
      <c r="M99" s="164">
        <f t="shared" si="7"/>
        <v>8.4310162305290065E-2</v>
      </c>
      <c r="N99" s="164">
        <f t="shared" si="7"/>
        <v>8.4310162305290065E-2</v>
      </c>
      <c r="O99" s="164">
        <f t="shared" si="7"/>
        <v>8.4310162305290065E-2</v>
      </c>
      <c r="P99" s="164">
        <f t="shared" si="7"/>
        <v>8.4310162305290065E-2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99"/>
  <sheetViews>
    <sheetView showGridLines="0" workbookViewId="0"/>
  </sheetViews>
  <sheetFormatPr defaultRowHeight="12.75"/>
  <cols>
    <col min="2" max="2" width="15.7109375" customWidth="1"/>
    <col min="3" max="18" width="12.7109375" customWidth="1"/>
  </cols>
  <sheetData>
    <row r="1" spans="1:16" s="66" customFormat="1" ht="15">
      <c r="A1" s="65" t="str">
        <f>ModelBanner</f>
        <v>TSM_201718 for publication</v>
      </c>
    </row>
    <row r="2" spans="1:16" s="66" customFormat="1" ht="15">
      <c r="A2" s="1003" t="s">
        <v>13</v>
      </c>
      <c r="B2" s="1003" t="s">
        <v>30</v>
      </c>
    </row>
    <row r="3" spans="1:16" s="66" customFormat="1" ht="15">
      <c r="A3" s="67"/>
    </row>
    <row r="4" spans="1:16" s="57" customFormat="1">
      <c r="A4" s="58" t="s">
        <v>26</v>
      </c>
      <c r="B4" s="58"/>
    </row>
    <row r="5" spans="1:16" s="47" customFormat="1" ht="28.5" customHeight="1">
      <c r="A5" s="1213" t="s">
        <v>1481</v>
      </c>
      <c r="B5" s="1213"/>
      <c r="C5" s="1213"/>
      <c r="D5" s="1213"/>
      <c r="E5" s="1213"/>
      <c r="F5" s="1213"/>
      <c r="G5" s="1213"/>
      <c r="H5" s="1213"/>
      <c r="I5" s="1213"/>
      <c r="J5" s="1213"/>
      <c r="K5" s="1213"/>
      <c r="L5" s="1213"/>
      <c r="M5" s="1213"/>
      <c r="N5" s="1213"/>
      <c r="O5" s="1213"/>
      <c r="P5" s="1213"/>
    </row>
    <row r="6" spans="1:16" s="46" customFormat="1">
      <c r="A6" s="56" t="s">
        <v>1420</v>
      </c>
      <c r="B6" s="61"/>
      <c r="C6" s="45"/>
      <c r="D6" s="45"/>
      <c r="E6" s="45"/>
      <c r="F6" s="45"/>
      <c r="G6" s="45"/>
      <c r="H6" s="45"/>
      <c r="I6" s="45"/>
    </row>
    <row r="7" spans="1:16" s="46" customFormat="1">
      <c r="A7" s="54" t="s">
        <v>224</v>
      </c>
      <c r="B7" s="56"/>
      <c r="C7" s="45"/>
      <c r="D7" s="45"/>
      <c r="E7" s="45"/>
      <c r="F7" s="45"/>
      <c r="G7" s="45"/>
      <c r="H7" s="45"/>
      <c r="I7" s="45"/>
    </row>
    <row r="8" spans="1:16" s="46" customFormat="1">
      <c r="A8" s="56" t="s">
        <v>24</v>
      </c>
      <c r="B8" s="61"/>
      <c r="C8" s="45"/>
      <c r="D8" s="45"/>
      <c r="E8" s="45"/>
      <c r="F8" s="45"/>
      <c r="G8" s="45"/>
      <c r="H8" s="45"/>
      <c r="I8" s="45"/>
    </row>
    <row r="9" spans="1:16" s="46" customFormat="1">
      <c r="A9" s="54" t="s">
        <v>1479</v>
      </c>
      <c r="B9" s="61"/>
      <c r="C9" s="45"/>
      <c r="D9" s="45"/>
      <c r="E9" s="45"/>
      <c r="F9" s="45"/>
      <c r="G9" s="45"/>
      <c r="H9" s="45"/>
      <c r="I9" s="45"/>
    </row>
    <row r="10" spans="1:16" s="50" customFormat="1" ht="13.5" customHeight="1">
      <c r="A10" s="55">
        <f>SUM(A12:A2224)</f>
        <v>0</v>
      </c>
      <c r="B10" s="73"/>
      <c r="C10" s="48"/>
      <c r="D10" s="72"/>
      <c r="E10" s="49"/>
      <c r="F10" s="49"/>
      <c r="G10" s="49"/>
      <c r="H10" s="49"/>
      <c r="I10" s="49"/>
    </row>
    <row r="12" spans="1:16" ht="18">
      <c r="B12" s="39" t="s">
        <v>428</v>
      </c>
    </row>
    <row r="14" spans="1:16">
      <c r="B14" s="12" t="s">
        <v>1110</v>
      </c>
    </row>
    <row r="16" spans="1:16">
      <c r="B16" s="12" t="s">
        <v>429</v>
      </c>
    </row>
    <row r="18" spans="2:8">
      <c r="B18" t="str">
        <f>RAW_DATA_INPUTS!C397</f>
        <v xml:space="preserve">Group 1 subjects include Biology, Chemistry, Computing, Mathematics, and Physics. Group 2 subjects include Classics, English, Geography, History, and Modern Foreign Languages. All other subjects fall into Group 3. </v>
      </c>
    </row>
    <row r="20" spans="2:8">
      <c r="B20" s="12" t="s">
        <v>1482</v>
      </c>
    </row>
    <row r="22" spans="2:8">
      <c r="B22" s="1211"/>
      <c r="C22" s="1173" t="str">
        <f>RAW_DATA_INPUTS!C400</f>
        <v>Assumed wastage conversion rates</v>
      </c>
      <c r="D22" s="1174"/>
      <c r="E22" s="1174"/>
      <c r="F22" s="1174"/>
      <c r="G22" s="1174"/>
      <c r="H22" s="1175"/>
    </row>
    <row r="23" spans="2:8">
      <c r="B23" s="1212"/>
      <c r="C23" s="1173" t="str">
        <f>RAW_DATA_INPUTS!C401</f>
        <v>Male</v>
      </c>
      <c r="D23" s="1174"/>
      <c r="E23" s="1175"/>
      <c r="F23" s="1173" t="str">
        <f>RAW_DATA_INPUTS!F401</f>
        <v>Female</v>
      </c>
      <c r="G23" s="1174"/>
      <c r="H23" s="1175"/>
    </row>
    <row r="24" spans="2:8">
      <c r="B24" s="8" t="str">
        <f>RAW_DATA_INPUTS!B402</f>
        <v>Age group</v>
      </c>
      <c r="C24" s="8" t="str">
        <f>RAW_DATA_INPUTS!C402</f>
        <v>Group 1</v>
      </c>
      <c r="D24" s="8" t="str">
        <f>RAW_DATA_INPUTS!D402</f>
        <v>Group 2</v>
      </c>
      <c r="E24" s="8" t="str">
        <f>RAW_DATA_INPUTS!E402</f>
        <v>Group 3</v>
      </c>
      <c r="F24" s="8" t="str">
        <f>RAW_DATA_INPUTS!F402</f>
        <v>Group 1</v>
      </c>
      <c r="G24" s="8" t="str">
        <f>RAW_DATA_INPUTS!G402</f>
        <v>Group 2</v>
      </c>
      <c r="H24" s="8" t="str">
        <f>RAW_DATA_INPUTS!H402</f>
        <v>Group 3</v>
      </c>
    </row>
    <row r="25" spans="2:8">
      <c r="B25" s="8" t="str">
        <f>RAW_DATA_INPUTS!B403</f>
        <v>20-24</v>
      </c>
      <c r="C25" s="261">
        <f>RAW_DATA_INPUTS!C403</f>
        <v>1.1080000000000001</v>
      </c>
      <c r="D25" s="261">
        <f>RAW_DATA_INPUTS!D403</f>
        <v>0.97099999999999997</v>
      </c>
      <c r="E25" s="261">
        <f>RAW_DATA_INPUTS!E403</f>
        <v>0.84899999999999998</v>
      </c>
      <c r="F25" s="261">
        <f>RAW_DATA_INPUTS!F403</f>
        <v>1.0980000000000001</v>
      </c>
      <c r="G25" s="261">
        <f>RAW_DATA_INPUTS!G403</f>
        <v>0.94</v>
      </c>
      <c r="H25" s="261">
        <f>RAW_DATA_INPUTS!H403</f>
        <v>0.96</v>
      </c>
    </row>
    <row r="26" spans="2:8">
      <c r="B26" s="8" t="str">
        <f>RAW_DATA_INPUTS!B404</f>
        <v>25-29</v>
      </c>
      <c r="C26" s="261">
        <f>RAW_DATA_INPUTS!C404</f>
        <v>1.0720000000000001</v>
      </c>
      <c r="D26" s="261">
        <f>RAW_DATA_INPUTS!D404</f>
        <v>1.1000000000000001</v>
      </c>
      <c r="E26" s="261">
        <f>RAW_DATA_INPUTS!E404</f>
        <v>0.85799999999999998</v>
      </c>
      <c r="F26" s="261">
        <f>RAW_DATA_INPUTS!F404</f>
        <v>1.0649999999999999</v>
      </c>
      <c r="G26" s="261">
        <f>RAW_DATA_INPUTS!G404</f>
        <v>1.0169999999999999</v>
      </c>
      <c r="H26" s="261">
        <f>RAW_DATA_INPUTS!H404</f>
        <v>0.93799999999999994</v>
      </c>
    </row>
    <row r="27" spans="2:8">
      <c r="B27" s="8" t="str">
        <f>RAW_DATA_INPUTS!B405</f>
        <v>30-34</v>
      </c>
      <c r="C27" s="261">
        <f>RAW_DATA_INPUTS!C405</f>
        <v>1.0720000000000001</v>
      </c>
      <c r="D27" s="261">
        <f>RAW_DATA_INPUTS!D405</f>
        <v>1.04</v>
      </c>
      <c r="E27" s="261">
        <f>RAW_DATA_INPUTS!E405</f>
        <v>0.91200000000000003</v>
      </c>
      <c r="F27" s="261">
        <f>RAW_DATA_INPUTS!F405</f>
        <v>1.0309999999999999</v>
      </c>
      <c r="G27" s="261">
        <f>RAW_DATA_INPUTS!G405</f>
        <v>1.022</v>
      </c>
      <c r="H27" s="261">
        <f>RAW_DATA_INPUTS!H405</f>
        <v>0.96099999999999997</v>
      </c>
    </row>
    <row r="28" spans="2:8">
      <c r="B28" s="8" t="str">
        <f>RAW_DATA_INPUTS!B406</f>
        <v>35-39</v>
      </c>
      <c r="C28" s="261">
        <f>RAW_DATA_INPUTS!C406</f>
        <v>1.107</v>
      </c>
      <c r="D28" s="261">
        <f>RAW_DATA_INPUTS!D406</f>
        <v>0.92400000000000004</v>
      </c>
      <c r="E28" s="261">
        <f>RAW_DATA_INPUTS!E406</f>
        <v>0.94099999999999995</v>
      </c>
      <c r="F28" s="261">
        <f>RAW_DATA_INPUTS!F406</f>
        <v>0.97899999999999998</v>
      </c>
      <c r="G28" s="261">
        <f>RAW_DATA_INPUTS!G406</f>
        <v>1.018</v>
      </c>
      <c r="H28" s="261">
        <f>RAW_DATA_INPUTS!H406</f>
        <v>0.998</v>
      </c>
    </row>
    <row r="29" spans="2:8">
      <c r="B29" s="8" t="str">
        <f>RAW_DATA_INPUTS!B407</f>
        <v>40-44</v>
      </c>
      <c r="C29" s="261">
        <f>RAW_DATA_INPUTS!C407</f>
        <v>1.032</v>
      </c>
      <c r="D29" s="261">
        <f>RAW_DATA_INPUTS!D407</f>
        <v>0.93799999999999994</v>
      </c>
      <c r="E29" s="261">
        <f>RAW_DATA_INPUTS!E407</f>
        <v>1.0029999999999999</v>
      </c>
      <c r="F29" s="261">
        <f>RAW_DATA_INPUTS!F407</f>
        <v>1.0169999999999999</v>
      </c>
      <c r="G29" s="261">
        <f>RAW_DATA_INPUTS!G407</f>
        <v>0.98599999999999999</v>
      </c>
      <c r="H29" s="261">
        <f>RAW_DATA_INPUTS!H407</f>
        <v>1.0009999999999999</v>
      </c>
    </row>
    <row r="30" spans="2:8">
      <c r="B30" s="8" t="str">
        <f>RAW_DATA_INPUTS!B408</f>
        <v>45-49</v>
      </c>
      <c r="C30" s="261">
        <f>RAW_DATA_INPUTS!C408</f>
        <v>1.07</v>
      </c>
      <c r="D30" s="261">
        <f>RAW_DATA_INPUTS!D408</f>
        <v>0.91600000000000004</v>
      </c>
      <c r="E30" s="261">
        <f>RAW_DATA_INPUTS!E408</f>
        <v>0.96299999999999997</v>
      </c>
      <c r="F30" s="261">
        <f>RAW_DATA_INPUTS!F408</f>
        <v>1.0349999999999999</v>
      </c>
      <c r="G30" s="261">
        <f>RAW_DATA_INPUTS!G408</f>
        <v>1.0029999999999999</v>
      </c>
      <c r="H30" s="261">
        <f>RAW_DATA_INPUTS!H408</f>
        <v>0.96599999999999997</v>
      </c>
    </row>
    <row r="31" spans="2:8">
      <c r="B31" s="8" t="str">
        <f>RAW_DATA_INPUTS!B409</f>
        <v>50-54</v>
      </c>
      <c r="C31" s="261">
        <f>RAW_DATA_INPUTS!C409</f>
        <v>1.0189999999999999</v>
      </c>
      <c r="D31" s="261">
        <f>RAW_DATA_INPUTS!D409</f>
        <v>0.94399999999999995</v>
      </c>
      <c r="E31" s="261">
        <f>RAW_DATA_INPUTS!E409</f>
        <v>1.01</v>
      </c>
      <c r="F31" s="261">
        <f>RAW_DATA_INPUTS!F409</f>
        <v>0.96099999999999997</v>
      </c>
      <c r="G31" s="261">
        <f>RAW_DATA_INPUTS!G409</f>
        <v>0.97699999999999998</v>
      </c>
      <c r="H31" s="261">
        <f>RAW_DATA_INPUTS!H409</f>
        <v>1.056</v>
      </c>
    </row>
    <row r="32" spans="2:8">
      <c r="B32" s="8" t="str">
        <f>RAW_DATA_INPUTS!B410</f>
        <v>55-59</v>
      </c>
      <c r="C32" s="261">
        <f>RAW_DATA_INPUTS!C410</f>
        <v>0.95</v>
      </c>
      <c r="D32" s="261">
        <f>RAW_DATA_INPUTS!D410</f>
        <v>1.081</v>
      </c>
      <c r="E32" s="261">
        <f>RAW_DATA_INPUTS!E410</f>
        <v>1.006</v>
      </c>
      <c r="F32" s="261">
        <f>RAW_DATA_INPUTS!F410</f>
        <v>0.90700000000000003</v>
      </c>
      <c r="G32" s="261">
        <f>RAW_DATA_INPUTS!G410</f>
        <v>0.98399999999999999</v>
      </c>
      <c r="H32" s="261">
        <f>RAW_DATA_INPUTS!H410</f>
        <v>1.0840000000000001</v>
      </c>
    </row>
    <row r="33" spans="2:18">
      <c r="B33" s="8" t="str">
        <f>RAW_DATA_INPUTS!B411</f>
        <v>60-64</v>
      </c>
      <c r="C33" s="261">
        <f>RAW_DATA_INPUTS!C411</f>
        <v>0.94099999999999995</v>
      </c>
      <c r="D33" s="261">
        <f>RAW_DATA_INPUTS!D411</f>
        <v>1.006</v>
      </c>
      <c r="E33" s="261">
        <f>RAW_DATA_INPUTS!E411</f>
        <v>1.0649999999999999</v>
      </c>
      <c r="F33" s="261">
        <f>RAW_DATA_INPUTS!F411</f>
        <v>0.93799999999999994</v>
      </c>
      <c r="G33" s="261">
        <f>RAW_DATA_INPUTS!G411</f>
        <v>0.98199999999999998</v>
      </c>
      <c r="H33" s="261">
        <f>RAW_DATA_INPUTS!H411</f>
        <v>1.0649999999999999</v>
      </c>
    </row>
    <row r="34" spans="2:18">
      <c r="B34" s="8" t="str">
        <f>RAW_DATA_INPUTS!B412</f>
        <v>65 plus</v>
      </c>
      <c r="C34" s="261">
        <f>RAW_DATA_INPUTS!C412</f>
        <v>0.89300000000000002</v>
      </c>
      <c r="D34" s="261">
        <f>RAW_DATA_INPUTS!D412</f>
        <v>1.105</v>
      </c>
      <c r="E34" s="261">
        <f>RAW_DATA_INPUTS!E412</f>
        <v>1.107</v>
      </c>
      <c r="F34" s="261">
        <f>RAW_DATA_INPUTS!F412</f>
        <v>0.93799999999999994</v>
      </c>
      <c r="G34" s="261">
        <f>RAW_DATA_INPUTS!G412</f>
        <v>1.0249999999999999</v>
      </c>
      <c r="H34" s="261">
        <f>RAW_DATA_INPUTS!H412</f>
        <v>1.0169999999999999</v>
      </c>
    </row>
    <row r="35" spans="2:18">
      <c r="B35" s="8" t="str">
        <f>RAW_DATA_INPUTS!B413</f>
        <v>Total</v>
      </c>
      <c r="C35" s="261">
        <f>RAW_DATA_INPUTS!C413</f>
        <v>1.042</v>
      </c>
      <c r="D35" s="261">
        <f>RAW_DATA_INPUTS!D413</f>
        <v>1.002</v>
      </c>
      <c r="E35" s="261">
        <f>RAW_DATA_INPUTS!E413</f>
        <v>0.95199999999999996</v>
      </c>
      <c r="F35" s="261">
        <f>RAW_DATA_INPUTS!F413</f>
        <v>0.997</v>
      </c>
      <c r="G35" s="261">
        <f>RAW_DATA_INPUTS!G413</f>
        <v>1.008</v>
      </c>
      <c r="H35" s="261">
        <f>RAW_DATA_INPUTS!H413</f>
        <v>0.995</v>
      </c>
    </row>
    <row r="37" spans="2:18" ht="18">
      <c r="B37" s="39" t="s">
        <v>1483</v>
      </c>
    </row>
    <row r="39" spans="2:18">
      <c r="B39" s="5" t="str">
        <f>Projected_SEC_wastage_rates!B52</f>
        <v>Male projected wastage rates</v>
      </c>
      <c r="C39" s="12"/>
      <c r="E39" s="12"/>
      <c r="F39" s="262" t="str">
        <f>Projected_SEC_wastage_rates!D52</f>
        <v>As the Econometric Wastage Model only forecasts wastage 6 years into the future, the rate beyond that is considered to be constant.</v>
      </c>
      <c r="G39" s="12"/>
      <c r="H39" s="12"/>
      <c r="I39" s="12"/>
      <c r="J39" s="12"/>
      <c r="K39" s="12"/>
      <c r="L39" s="12"/>
      <c r="M39" s="12"/>
      <c r="N39" s="12"/>
      <c r="O39" s="12"/>
      <c r="P39" s="12"/>
      <c r="Q39" s="12"/>
      <c r="R39" s="12"/>
    </row>
    <row r="40" spans="2:18">
      <c r="B40" s="12"/>
      <c r="C40" s="12"/>
      <c r="D40" s="12"/>
      <c r="E40" s="12"/>
      <c r="F40" s="12"/>
      <c r="G40" s="12"/>
      <c r="H40" s="12"/>
      <c r="I40" s="12"/>
      <c r="J40" s="12"/>
      <c r="K40" s="12"/>
      <c r="L40" s="12"/>
      <c r="M40" s="12"/>
      <c r="N40" s="12"/>
      <c r="O40" s="12"/>
      <c r="P40" s="12"/>
      <c r="Q40" s="12"/>
      <c r="R40" s="12"/>
    </row>
    <row r="41" spans="2:18">
      <c r="B41" s="8" t="str">
        <f>Projected_SEC_wastage_rates!B54</f>
        <v>Age group</v>
      </c>
      <c r="C41" s="8" t="str">
        <f>Projected_SEC_wastage_rates!C54</f>
        <v>2014/15</v>
      </c>
      <c r="D41" s="8" t="str">
        <f>Projected_SEC_wastage_rates!D54</f>
        <v>2015/16</v>
      </c>
      <c r="E41" s="8" t="str">
        <f>Projected_SEC_wastage_rates!E54</f>
        <v>2016/17</v>
      </c>
      <c r="F41" s="8" t="str">
        <f>Projected_SEC_wastage_rates!F54</f>
        <v>2017/18</v>
      </c>
      <c r="G41" s="8" t="str">
        <f>Projected_SEC_wastage_rates!G54</f>
        <v>2018/19</v>
      </c>
      <c r="H41" s="8" t="str">
        <f>Projected_SEC_wastage_rates!H54</f>
        <v>2019/20</v>
      </c>
      <c r="I41" s="8" t="str">
        <f>Projected_SEC_wastage_rates!I54</f>
        <v>2020/21</v>
      </c>
      <c r="J41" s="8" t="str">
        <f>Projected_SEC_wastage_rates!J54</f>
        <v>2021/22</v>
      </c>
      <c r="K41" s="8" t="str">
        <f>Projected_SEC_wastage_rates!K54</f>
        <v>2022/23</v>
      </c>
      <c r="L41" s="8" t="str">
        <f>Projected_SEC_wastage_rates!L54</f>
        <v>2023/24</v>
      </c>
      <c r="M41" s="8" t="str">
        <f>Projected_SEC_wastage_rates!M54</f>
        <v>2024/25</v>
      </c>
      <c r="N41" s="8" t="str">
        <f>Projected_SEC_wastage_rates!N54</f>
        <v>2025/26</v>
      </c>
      <c r="O41" s="8" t="str">
        <f>Projected_SEC_wastage_rates!O54</f>
        <v>2026/27</v>
      </c>
      <c r="P41" s="8" t="str">
        <f>Projected_SEC_wastage_rates!P54</f>
        <v>2027/28</v>
      </c>
      <c r="Q41" s="12"/>
      <c r="R41" s="12"/>
    </row>
    <row r="42" spans="2:18">
      <c r="B42" s="8" t="str">
        <f>Projected_SEC_wastage_rates!B55</f>
        <v>20-24</v>
      </c>
      <c r="C42" s="953">
        <f>Projected_SEC_wastage_rates!C55</f>
        <v>0.12811416345529325</v>
      </c>
      <c r="D42" s="953">
        <f>Projected_SEC_wastage_rates!D55</f>
        <v>0.12811416345529325</v>
      </c>
      <c r="E42" s="953">
        <f>Projected_SEC_wastage_rates!E55</f>
        <v>0.12811416345529325</v>
      </c>
      <c r="F42" s="953">
        <f>Projected_SEC_wastage_rates!F55</f>
        <v>0.12811416345529325</v>
      </c>
      <c r="G42" s="953">
        <f>Projected_SEC_wastage_rates!G55</f>
        <v>0.12811416345529325</v>
      </c>
      <c r="H42" s="953">
        <f>Projected_SEC_wastage_rates!H55</f>
        <v>0.12811416345529325</v>
      </c>
      <c r="I42" s="953">
        <f>Projected_SEC_wastage_rates!I55</f>
        <v>0.12811416345529325</v>
      </c>
      <c r="J42" s="953">
        <f>Projected_SEC_wastage_rates!J55</f>
        <v>0.12811416345529325</v>
      </c>
      <c r="K42" s="953">
        <f>Projected_SEC_wastage_rates!K55</f>
        <v>0.12811416345529325</v>
      </c>
      <c r="L42" s="953">
        <f>Projected_SEC_wastage_rates!L55</f>
        <v>0.12811416345529325</v>
      </c>
      <c r="M42" s="953">
        <f>Projected_SEC_wastage_rates!M55</f>
        <v>0.12811416345529325</v>
      </c>
      <c r="N42" s="953">
        <f>Projected_SEC_wastage_rates!N55</f>
        <v>0.12811416345529325</v>
      </c>
      <c r="O42" s="953">
        <f>Projected_SEC_wastage_rates!O55</f>
        <v>0.12811416345529325</v>
      </c>
      <c r="P42" s="953">
        <f>Projected_SEC_wastage_rates!P55</f>
        <v>0.12811416345529325</v>
      </c>
      <c r="Q42" s="12"/>
      <c r="R42" s="12"/>
    </row>
    <row r="43" spans="2:18">
      <c r="B43" s="8" t="str">
        <f>Projected_SEC_wastage_rates!B56</f>
        <v>25-29</v>
      </c>
      <c r="C43" s="953">
        <f>Projected_SEC_wastage_rates!C56</f>
        <v>9.8285782452461085E-2</v>
      </c>
      <c r="D43" s="953">
        <f>Projected_SEC_wastage_rates!D56</f>
        <v>9.8285782452461085E-2</v>
      </c>
      <c r="E43" s="953">
        <f>Projected_SEC_wastage_rates!E56</f>
        <v>9.8285782452461085E-2</v>
      </c>
      <c r="F43" s="953">
        <f>Projected_SEC_wastage_rates!F56</f>
        <v>9.8285782452461085E-2</v>
      </c>
      <c r="G43" s="953">
        <f>Projected_SEC_wastage_rates!G56</f>
        <v>9.8285782452461085E-2</v>
      </c>
      <c r="H43" s="953">
        <f>Projected_SEC_wastage_rates!H56</f>
        <v>9.8285782452461085E-2</v>
      </c>
      <c r="I43" s="953">
        <f>Projected_SEC_wastage_rates!I56</f>
        <v>9.8285782452461085E-2</v>
      </c>
      <c r="J43" s="953">
        <f>Projected_SEC_wastage_rates!J56</f>
        <v>9.8285782452461085E-2</v>
      </c>
      <c r="K43" s="953">
        <f>Projected_SEC_wastage_rates!K56</f>
        <v>9.8285782452461085E-2</v>
      </c>
      <c r="L43" s="953">
        <f>Projected_SEC_wastage_rates!L56</f>
        <v>9.8285782452461085E-2</v>
      </c>
      <c r="M43" s="953">
        <f>Projected_SEC_wastage_rates!M56</f>
        <v>9.8285782452461085E-2</v>
      </c>
      <c r="N43" s="953">
        <f>Projected_SEC_wastage_rates!N56</f>
        <v>9.8285782452461085E-2</v>
      </c>
      <c r="O43" s="953">
        <f>Projected_SEC_wastage_rates!O56</f>
        <v>9.8285782452461085E-2</v>
      </c>
      <c r="P43" s="953">
        <f>Projected_SEC_wastage_rates!P56</f>
        <v>9.8285782452461085E-2</v>
      </c>
      <c r="Q43" s="12"/>
      <c r="R43" s="12"/>
    </row>
    <row r="44" spans="2:18">
      <c r="B44" s="8" t="str">
        <f>Projected_SEC_wastage_rates!B57</f>
        <v>30-34</v>
      </c>
      <c r="C44" s="953">
        <f>Projected_SEC_wastage_rates!C57</f>
        <v>6.8301165737690489E-2</v>
      </c>
      <c r="D44" s="953">
        <f>Projected_SEC_wastage_rates!D57</f>
        <v>6.8301165737690489E-2</v>
      </c>
      <c r="E44" s="953">
        <f>Projected_SEC_wastage_rates!E57</f>
        <v>6.8301165737690489E-2</v>
      </c>
      <c r="F44" s="953">
        <f>Projected_SEC_wastage_rates!F57</f>
        <v>6.8301165737690489E-2</v>
      </c>
      <c r="G44" s="953">
        <f>Projected_SEC_wastage_rates!G57</f>
        <v>6.8301165737690489E-2</v>
      </c>
      <c r="H44" s="953">
        <f>Projected_SEC_wastage_rates!H57</f>
        <v>6.8301165737690489E-2</v>
      </c>
      <c r="I44" s="953">
        <f>Projected_SEC_wastage_rates!I57</f>
        <v>6.8301165737690489E-2</v>
      </c>
      <c r="J44" s="953">
        <f>Projected_SEC_wastage_rates!J57</f>
        <v>6.8301165737690489E-2</v>
      </c>
      <c r="K44" s="953">
        <f>Projected_SEC_wastage_rates!K57</f>
        <v>6.8301165737690489E-2</v>
      </c>
      <c r="L44" s="953">
        <f>Projected_SEC_wastage_rates!L57</f>
        <v>6.8301165737690489E-2</v>
      </c>
      <c r="M44" s="953">
        <f>Projected_SEC_wastage_rates!M57</f>
        <v>6.8301165737690489E-2</v>
      </c>
      <c r="N44" s="953">
        <f>Projected_SEC_wastage_rates!N57</f>
        <v>6.8301165737690489E-2</v>
      </c>
      <c r="O44" s="953">
        <f>Projected_SEC_wastage_rates!O57</f>
        <v>6.8301165737690489E-2</v>
      </c>
      <c r="P44" s="953">
        <f>Projected_SEC_wastage_rates!P57</f>
        <v>6.8301165737690489E-2</v>
      </c>
      <c r="Q44" s="12"/>
      <c r="R44" s="12"/>
    </row>
    <row r="45" spans="2:18">
      <c r="B45" s="8" t="str">
        <f>Projected_SEC_wastage_rates!B58</f>
        <v>35-39</v>
      </c>
      <c r="C45" s="953">
        <f>Projected_SEC_wastage_rates!C58</f>
        <v>6.6004100030155208E-2</v>
      </c>
      <c r="D45" s="953">
        <f>Projected_SEC_wastage_rates!D58</f>
        <v>6.6004100030155208E-2</v>
      </c>
      <c r="E45" s="953">
        <f>Projected_SEC_wastage_rates!E58</f>
        <v>6.6004100030155208E-2</v>
      </c>
      <c r="F45" s="953">
        <f>Projected_SEC_wastage_rates!F58</f>
        <v>6.6004100030155208E-2</v>
      </c>
      <c r="G45" s="953">
        <f>Projected_SEC_wastage_rates!G58</f>
        <v>6.6004100030155208E-2</v>
      </c>
      <c r="H45" s="953">
        <f>Projected_SEC_wastage_rates!H58</f>
        <v>6.6004100030155208E-2</v>
      </c>
      <c r="I45" s="953">
        <f>Projected_SEC_wastage_rates!I58</f>
        <v>6.6004100030155208E-2</v>
      </c>
      <c r="J45" s="953">
        <f>Projected_SEC_wastage_rates!J58</f>
        <v>6.6004100030155208E-2</v>
      </c>
      <c r="K45" s="953">
        <f>Projected_SEC_wastage_rates!K58</f>
        <v>6.6004100030155208E-2</v>
      </c>
      <c r="L45" s="953">
        <f>Projected_SEC_wastage_rates!L58</f>
        <v>6.6004100030155208E-2</v>
      </c>
      <c r="M45" s="953">
        <f>Projected_SEC_wastage_rates!M58</f>
        <v>6.6004100030155208E-2</v>
      </c>
      <c r="N45" s="953">
        <f>Projected_SEC_wastage_rates!N58</f>
        <v>6.6004100030155208E-2</v>
      </c>
      <c r="O45" s="953">
        <f>Projected_SEC_wastage_rates!O58</f>
        <v>6.6004100030155208E-2</v>
      </c>
      <c r="P45" s="953">
        <f>Projected_SEC_wastage_rates!P58</f>
        <v>6.6004100030155208E-2</v>
      </c>
      <c r="Q45" s="12"/>
      <c r="R45" s="12"/>
    </row>
    <row r="46" spans="2:18">
      <c r="B46" s="8" t="str">
        <f>Projected_SEC_wastage_rates!B59</f>
        <v>40-44</v>
      </c>
      <c r="C46" s="953">
        <f>Projected_SEC_wastage_rates!C59</f>
        <v>6.9052916257921926E-2</v>
      </c>
      <c r="D46" s="953">
        <f>Projected_SEC_wastage_rates!D59</f>
        <v>6.9052916257921926E-2</v>
      </c>
      <c r="E46" s="953">
        <f>Projected_SEC_wastage_rates!E59</f>
        <v>6.9052916257921926E-2</v>
      </c>
      <c r="F46" s="953">
        <f>Projected_SEC_wastage_rates!F59</f>
        <v>6.9052916257921926E-2</v>
      </c>
      <c r="G46" s="953">
        <f>Projected_SEC_wastage_rates!G59</f>
        <v>6.9052916257921926E-2</v>
      </c>
      <c r="H46" s="953">
        <f>Projected_SEC_wastage_rates!H59</f>
        <v>6.9052916257921926E-2</v>
      </c>
      <c r="I46" s="953">
        <f>Projected_SEC_wastage_rates!I59</f>
        <v>6.9052916257921926E-2</v>
      </c>
      <c r="J46" s="953">
        <f>Projected_SEC_wastage_rates!J59</f>
        <v>6.9052916257921926E-2</v>
      </c>
      <c r="K46" s="953">
        <f>Projected_SEC_wastage_rates!K59</f>
        <v>6.9052916257921926E-2</v>
      </c>
      <c r="L46" s="953">
        <f>Projected_SEC_wastage_rates!L59</f>
        <v>6.9052916257921926E-2</v>
      </c>
      <c r="M46" s="953">
        <f>Projected_SEC_wastage_rates!M59</f>
        <v>6.9052916257921926E-2</v>
      </c>
      <c r="N46" s="953">
        <f>Projected_SEC_wastage_rates!N59</f>
        <v>6.9052916257921926E-2</v>
      </c>
      <c r="O46" s="953">
        <f>Projected_SEC_wastage_rates!O59</f>
        <v>6.9052916257921926E-2</v>
      </c>
      <c r="P46" s="953">
        <f>Projected_SEC_wastage_rates!P59</f>
        <v>6.9052916257921926E-2</v>
      </c>
      <c r="Q46" s="12"/>
      <c r="R46" s="12"/>
    </row>
    <row r="47" spans="2:18">
      <c r="B47" s="8" t="str">
        <f>Projected_SEC_wastage_rates!B60</f>
        <v>45-49</v>
      </c>
      <c r="C47" s="953">
        <f>Projected_SEC_wastage_rates!C60</f>
        <v>7.9836701122599357E-2</v>
      </c>
      <c r="D47" s="953">
        <f>Projected_SEC_wastage_rates!D60</f>
        <v>7.9836701122599357E-2</v>
      </c>
      <c r="E47" s="953">
        <f>Projected_SEC_wastage_rates!E60</f>
        <v>7.9836701122599357E-2</v>
      </c>
      <c r="F47" s="953">
        <f>Projected_SEC_wastage_rates!F60</f>
        <v>7.9836701122599357E-2</v>
      </c>
      <c r="G47" s="953">
        <f>Projected_SEC_wastage_rates!G60</f>
        <v>7.9836701122599357E-2</v>
      </c>
      <c r="H47" s="953">
        <f>Projected_SEC_wastage_rates!H60</f>
        <v>7.9836701122599357E-2</v>
      </c>
      <c r="I47" s="953">
        <f>Projected_SEC_wastage_rates!I60</f>
        <v>7.9836701122599357E-2</v>
      </c>
      <c r="J47" s="953">
        <f>Projected_SEC_wastage_rates!J60</f>
        <v>7.9836701122599357E-2</v>
      </c>
      <c r="K47" s="953">
        <f>Projected_SEC_wastage_rates!K60</f>
        <v>7.9836701122599357E-2</v>
      </c>
      <c r="L47" s="953">
        <f>Projected_SEC_wastage_rates!L60</f>
        <v>7.9836701122599357E-2</v>
      </c>
      <c r="M47" s="953">
        <f>Projected_SEC_wastage_rates!M60</f>
        <v>7.9836701122599357E-2</v>
      </c>
      <c r="N47" s="953">
        <f>Projected_SEC_wastage_rates!N60</f>
        <v>7.9836701122599357E-2</v>
      </c>
      <c r="O47" s="953">
        <f>Projected_SEC_wastage_rates!O60</f>
        <v>7.9836701122599357E-2</v>
      </c>
      <c r="P47" s="953">
        <f>Projected_SEC_wastage_rates!P60</f>
        <v>7.9836701122599357E-2</v>
      </c>
      <c r="Q47" s="12"/>
      <c r="R47" s="12"/>
    </row>
    <row r="48" spans="2:18">
      <c r="B48" s="8" t="str">
        <f>Projected_SEC_wastage_rates!B61</f>
        <v>50-54</v>
      </c>
      <c r="C48" s="953">
        <f>Projected_SEC_wastage_rates!C61</f>
        <v>7.9154325825221916E-2</v>
      </c>
      <c r="D48" s="953">
        <f>Projected_SEC_wastage_rates!D61</f>
        <v>7.9154325825221916E-2</v>
      </c>
      <c r="E48" s="953">
        <f>Projected_SEC_wastage_rates!E61</f>
        <v>7.9154325825221916E-2</v>
      </c>
      <c r="F48" s="953">
        <f>Projected_SEC_wastage_rates!F61</f>
        <v>7.9154325825221916E-2</v>
      </c>
      <c r="G48" s="953">
        <f>Projected_SEC_wastage_rates!G61</f>
        <v>7.9154325825221916E-2</v>
      </c>
      <c r="H48" s="953">
        <f>Projected_SEC_wastage_rates!H61</f>
        <v>7.9154325825221916E-2</v>
      </c>
      <c r="I48" s="953">
        <f>Projected_SEC_wastage_rates!I61</f>
        <v>7.9154325825221916E-2</v>
      </c>
      <c r="J48" s="953">
        <f>Projected_SEC_wastage_rates!J61</f>
        <v>7.9154325825221916E-2</v>
      </c>
      <c r="K48" s="953">
        <f>Projected_SEC_wastage_rates!K61</f>
        <v>7.9154325825221916E-2</v>
      </c>
      <c r="L48" s="953">
        <f>Projected_SEC_wastage_rates!L61</f>
        <v>7.9154325825221916E-2</v>
      </c>
      <c r="M48" s="953">
        <f>Projected_SEC_wastage_rates!M61</f>
        <v>7.9154325825221916E-2</v>
      </c>
      <c r="N48" s="953">
        <f>Projected_SEC_wastage_rates!N61</f>
        <v>7.9154325825221916E-2</v>
      </c>
      <c r="O48" s="953">
        <f>Projected_SEC_wastage_rates!O61</f>
        <v>7.9154325825221916E-2</v>
      </c>
      <c r="P48" s="953">
        <f>Projected_SEC_wastage_rates!P61</f>
        <v>7.9154325825221916E-2</v>
      </c>
      <c r="Q48" s="12"/>
      <c r="R48" s="12"/>
    </row>
    <row r="49" spans="2:18">
      <c r="B49" s="8" t="str">
        <f>Projected_SEC_wastage_rates!B62</f>
        <v>55-59</v>
      </c>
      <c r="C49" s="953">
        <f>Projected_SEC_wastage_rates!C62</f>
        <v>4.8523625874645544E-2</v>
      </c>
      <c r="D49" s="953">
        <f>Projected_SEC_wastage_rates!D62</f>
        <v>4.8523625874645544E-2</v>
      </c>
      <c r="E49" s="953">
        <f>Projected_SEC_wastage_rates!E62</f>
        <v>4.8523625874645544E-2</v>
      </c>
      <c r="F49" s="953">
        <f>Projected_SEC_wastage_rates!F62</f>
        <v>4.8523625874645544E-2</v>
      </c>
      <c r="G49" s="953">
        <f>Projected_SEC_wastage_rates!G62</f>
        <v>4.8523625874645544E-2</v>
      </c>
      <c r="H49" s="953">
        <f>Projected_SEC_wastage_rates!H62</f>
        <v>4.8523625874645544E-2</v>
      </c>
      <c r="I49" s="953">
        <f>Projected_SEC_wastage_rates!I62</f>
        <v>4.8523625874645544E-2</v>
      </c>
      <c r="J49" s="953">
        <f>Projected_SEC_wastage_rates!J62</f>
        <v>4.8523625874645544E-2</v>
      </c>
      <c r="K49" s="953">
        <f>Projected_SEC_wastage_rates!K62</f>
        <v>4.8523625874645544E-2</v>
      </c>
      <c r="L49" s="953">
        <f>Projected_SEC_wastage_rates!L62</f>
        <v>4.8523625874645544E-2</v>
      </c>
      <c r="M49" s="953">
        <f>Projected_SEC_wastage_rates!M62</f>
        <v>4.8523625874645544E-2</v>
      </c>
      <c r="N49" s="953">
        <f>Projected_SEC_wastage_rates!N62</f>
        <v>4.8523625874645544E-2</v>
      </c>
      <c r="O49" s="953">
        <f>Projected_SEC_wastage_rates!O62</f>
        <v>4.8523625874645544E-2</v>
      </c>
      <c r="P49" s="953">
        <f>Projected_SEC_wastage_rates!P62</f>
        <v>4.8523625874645544E-2</v>
      </c>
      <c r="Q49" s="12"/>
      <c r="R49" s="12"/>
    </row>
    <row r="50" spans="2:18">
      <c r="B50" s="8" t="str">
        <f>Projected_SEC_wastage_rates!B63</f>
        <v>60-64</v>
      </c>
      <c r="C50" s="953">
        <f>Projected_SEC_wastage_rates!C63</f>
        <v>1.860024427796168E-2</v>
      </c>
      <c r="D50" s="953">
        <f>Projected_SEC_wastage_rates!D63</f>
        <v>1.860024427796168E-2</v>
      </c>
      <c r="E50" s="953">
        <f>Projected_SEC_wastage_rates!E63</f>
        <v>1.860024427796168E-2</v>
      </c>
      <c r="F50" s="953">
        <f>Projected_SEC_wastage_rates!F63</f>
        <v>1.860024427796168E-2</v>
      </c>
      <c r="G50" s="953">
        <f>Projected_SEC_wastage_rates!G63</f>
        <v>1.860024427796168E-2</v>
      </c>
      <c r="H50" s="953">
        <f>Projected_SEC_wastage_rates!H63</f>
        <v>1.860024427796168E-2</v>
      </c>
      <c r="I50" s="953">
        <f>Projected_SEC_wastage_rates!I63</f>
        <v>1.860024427796168E-2</v>
      </c>
      <c r="J50" s="953">
        <f>Projected_SEC_wastage_rates!J63</f>
        <v>1.860024427796168E-2</v>
      </c>
      <c r="K50" s="953">
        <f>Projected_SEC_wastage_rates!K63</f>
        <v>1.860024427796168E-2</v>
      </c>
      <c r="L50" s="953">
        <f>Projected_SEC_wastage_rates!L63</f>
        <v>1.860024427796168E-2</v>
      </c>
      <c r="M50" s="953">
        <f>Projected_SEC_wastage_rates!M63</f>
        <v>1.860024427796168E-2</v>
      </c>
      <c r="N50" s="953">
        <f>Projected_SEC_wastage_rates!N63</f>
        <v>1.860024427796168E-2</v>
      </c>
      <c r="O50" s="953">
        <f>Projected_SEC_wastage_rates!O63</f>
        <v>1.860024427796168E-2</v>
      </c>
      <c r="P50" s="953">
        <f>Projected_SEC_wastage_rates!P63</f>
        <v>1.860024427796168E-2</v>
      </c>
      <c r="Q50" s="12"/>
      <c r="R50" s="12"/>
    </row>
    <row r="51" spans="2:18">
      <c r="B51" s="8" t="str">
        <f>Projected_SEC_wastage_rates!B64</f>
        <v>65 plus</v>
      </c>
      <c r="C51" s="953">
        <f>Projected_SEC_wastage_rates!C64</f>
        <v>2.0673360590148106E-2</v>
      </c>
      <c r="D51" s="953">
        <f>Projected_SEC_wastage_rates!D64</f>
        <v>2.0673360590148106E-2</v>
      </c>
      <c r="E51" s="953">
        <f>Projected_SEC_wastage_rates!E64</f>
        <v>2.0673360590148106E-2</v>
      </c>
      <c r="F51" s="953">
        <f>Projected_SEC_wastage_rates!F64</f>
        <v>2.0673360590148106E-2</v>
      </c>
      <c r="G51" s="953">
        <f>Projected_SEC_wastage_rates!G64</f>
        <v>2.0673360590148106E-2</v>
      </c>
      <c r="H51" s="953">
        <f>Projected_SEC_wastage_rates!H64</f>
        <v>2.0673360590148106E-2</v>
      </c>
      <c r="I51" s="953">
        <f>Projected_SEC_wastage_rates!I64</f>
        <v>2.0673360590148106E-2</v>
      </c>
      <c r="J51" s="953">
        <f>Projected_SEC_wastage_rates!J64</f>
        <v>2.0673360590148106E-2</v>
      </c>
      <c r="K51" s="953">
        <f>Projected_SEC_wastage_rates!K64</f>
        <v>2.0673360590148106E-2</v>
      </c>
      <c r="L51" s="953">
        <f>Projected_SEC_wastage_rates!L64</f>
        <v>2.0673360590148106E-2</v>
      </c>
      <c r="M51" s="953">
        <f>Projected_SEC_wastage_rates!M64</f>
        <v>2.0673360590148106E-2</v>
      </c>
      <c r="N51" s="953">
        <f>Projected_SEC_wastage_rates!N64</f>
        <v>2.0673360590148106E-2</v>
      </c>
      <c r="O51" s="953">
        <f>Projected_SEC_wastage_rates!O64</f>
        <v>2.0673360590148106E-2</v>
      </c>
      <c r="P51" s="953">
        <f>Projected_SEC_wastage_rates!P64</f>
        <v>2.0673360590148106E-2</v>
      </c>
      <c r="Q51" s="12"/>
      <c r="R51" s="12"/>
    </row>
    <row r="52" spans="2:18">
      <c r="B52" s="8" t="str">
        <f>Projected_SEC_wastage_rates!B65</f>
        <v>Total</v>
      </c>
      <c r="C52" s="953">
        <f>Projected_SEC_wastage_rates!C65</f>
        <v>7.4064250984494442E-2</v>
      </c>
      <c r="D52" s="953">
        <f>Projected_SEC_wastage_rates!D65</f>
        <v>7.4064250984494442E-2</v>
      </c>
      <c r="E52" s="953">
        <f>Projected_SEC_wastage_rates!E65</f>
        <v>7.4064250984494442E-2</v>
      </c>
      <c r="F52" s="953">
        <f>Projected_SEC_wastage_rates!F65</f>
        <v>7.4064250984494442E-2</v>
      </c>
      <c r="G52" s="953">
        <f>Projected_SEC_wastage_rates!G65</f>
        <v>7.4064250984494442E-2</v>
      </c>
      <c r="H52" s="953">
        <f>Projected_SEC_wastage_rates!H65</f>
        <v>7.4064250984494442E-2</v>
      </c>
      <c r="I52" s="953">
        <f>Projected_SEC_wastage_rates!I65</f>
        <v>7.4064250984494442E-2</v>
      </c>
      <c r="J52" s="953">
        <f>Projected_SEC_wastage_rates!J65</f>
        <v>7.4064250984494442E-2</v>
      </c>
      <c r="K52" s="953">
        <f>Projected_SEC_wastage_rates!K65</f>
        <v>7.4064250984494442E-2</v>
      </c>
      <c r="L52" s="953">
        <f>Projected_SEC_wastage_rates!L65</f>
        <v>7.4064250984494442E-2</v>
      </c>
      <c r="M52" s="953">
        <f>Projected_SEC_wastage_rates!M65</f>
        <v>7.4064250984494442E-2</v>
      </c>
      <c r="N52" s="953">
        <f>Projected_SEC_wastage_rates!N65</f>
        <v>7.4064250984494442E-2</v>
      </c>
      <c r="O52" s="953">
        <f>Projected_SEC_wastage_rates!O65</f>
        <v>7.4064250984494442E-2</v>
      </c>
      <c r="P52" s="953">
        <f>Projected_SEC_wastage_rates!P65</f>
        <v>7.4064250984494442E-2</v>
      </c>
      <c r="Q52" s="12"/>
      <c r="R52" s="12"/>
    </row>
    <row r="53" spans="2:18">
      <c r="B53" s="12"/>
      <c r="C53" s="955"/>
      <c r="D53" s="955"/>
      <c r="E53" s="955"/>
      <c r="F53" s="955"/>
      <c r="G53" s="955"/>
      <c r="H53" s="955"/>
      <c r="I53" s="955"/>
      <c r="J53" s="955"/>
      <c r="K53" s="955"/>
      <c r="L53" s="955"/>
      <c r="M53" s="955"/>
      <c r="N53" s="955"/>
      <c r="O53" s="955"/>
      <c r="P53" s="955"/>
      <c r="Q53" s="12"/>
      <c r="R53" s="12"/>
    </row>
    <row r="54" spans="2:18">
      <c r="B54" s="5" t="str">
        <f>Projected_SEC_wastage_rates!B67</f>
        <v>Female projected wastage rates</v>
      </c>
      <c r="C54" s="955"/>
      <c r="D54" s="955"/>
      <c r="E54" s="955"/>
      <c r="F54" s="955"/>
      <c r="G54" s="955"/>
      <c r="H54" s="955"/>
      <c r="I54" s="955"/>
      <c r="J54" s="955"/>
      <c r="K54" s="955"/>
      <c r="L54" s="955"/>
      <c r="M54" s="955"/>
      <c r="N54" s="955"/>
      <c r="O54" s="955"/>
      <c r="P54" s="955"/>
      <c r="Q54" s="12"/>
      <c r="R54" s="12"/>
    </row>
    <row r="55" spans="2:18">
      <c r="B55" s="12"/>
      <c r="C55" s="955"/>
      <c r="D55" s="955"/>
      <c r="E55" s="955"/>
      <c r="F55" s="955"/>
      <c r="G55" s="955"/>
      <c r="H55" s="955"/>
      <c r="I55" s="955"/>
      <c r="J55" s="955"/>
      <c r="K55" s="955"/>
      <c r="L55" s="955"/>
      <c r="M55" s="955"/>
      <c r="N55" s="955"/>
      <c r="O55" s="955"/>
      <c r="P55" s="955"/>
      <c r="Q55" s="12"/>
      <c r="R55" s="12"/>
    </row>
    <row r="56" spans="2:18">
      <c r="B56" s="8" t="str">
        <f>Projected_SEC_wastage_rates!B69</f>
        <v>Age group</v>
      </c>
      <c r="C56" s="956" t="str">
        <f>Projected_SEC_wastage_rates!C69</f>
        <v>2014/15</v>
      </c>
      <c r="D56" s="956" t="str">
        <f>Projected_SEC_wastage_rates!D69</f>
        <v>2015/16</v>
      </c>
      <c r="E56" s="956" t="str">
        <f>Projected_SEC_wastage_rates!E69</f>
        <v>2016/17</v>
      </c>
      <c r="F56" s="956" t="str">
        <f>Projected_SEC_wastage_rates!F69</f>
        <v>2017/18</v>
      </c>
      <c r="G56" s="956" t="str">
        <f>Projected_SEC_wastage_rates!G69</f>
        <v>2018/19</v>
      </c>
      <c r="H56" s="956" t="str">
        <f>Projected_SEC_wastage_rates!H69</f>
        <v>2019/20</v>
      </c>
      <c r="I56" s="956" t="str">
        <f>Projected_SEC_wastage_rates!I69</f>
        <v>2020/21</v>
      </c>
      <c r="J56" s="956" t="str">
        <f>Projected_SEC_wastage_rates!J69</f>
        <v>2021/22</v>
      </c>
      <c r="K56" s="956" t="str">
        <f>Projected_SEC_wastage_rates!K69</f>
        <v>2022/23</v>
      </c>
      <c r="L56" s="956" t="str">
        <f>Projected_SEC_wastage_rates!L69</f>
        <v>2023/24</v>
      </c>
      <c r="M56" s="956" t="str">
        <f>Projected_SEC_wastage_rates!M69</f>
        <v>2024/25</v>
      </c>
      <c r="N56" s="956" t="str">
        <f>Projected_SEC_wastage_rates!N69</f>
        <v>2025/26</v>
      </c>
      <c r="O56" s="956" t="str">
        <f>Projected_SEC_wastage_rates!O69</f>
        <v>2026/27</v>
      </c>
      <c r="P56" s="956" t="str">
        <f>Projected_SEC_wastage_rates!P69</f>
        <v>2027/28</v>
      </c>
      <c r="Q56" s="12"/>
      <c r="R56" s="12"/>
    </row>
    <row r="57" spans="2:18">
      <c r="B57" s="8" t="str">
        <f>Projected_SEC_wastage_rates!B70</f>
        <v>20-24</v>
      </c>
      <c r="C57" s="953">
        <f>Projected_SEC_wastage_rates!C70</f>
        <v>0.11276838177302007</v>
      </c>
      <c r="D57" s="953">
        <f>Projected_SEC_wastage_rates!D70</f>
        <v>0.11276838177302007</v>
      </c>
      <c r="E57" s="953">
        <f>Projected_SEC_wastage_rates!E70</f>
        <v>0.11276838177302007</v>
      </c>
      <c r="F57" s="953">
        <f>Projected_SEC_wastage_rates!F70</f>
        <v>0.11276838177302007</v>
      </c>
      <c r="G57" s="953">
        <f>Projected_SEC_wastage_rates!G70</f>
        <v>0.11276838177302007</v>
      </c>
      <c r="H57" s="953">
        <f>Projected_SEC_wastage_rates!H70</f>
        <v>0.11276838177302007</v>
      </c>
      <c r="I57" s="953">
        <f>Projected_SEC_wastage_rates!I70</f>
        <v>0.11276838177302007</v>
      </c>
      <c r="J57" s="953">
        <f>Projected_SEC_wastage_rates!J70</f>
        <v>0.11276838177302007</v>
      </c>
      <c r="K57" s="953">
        <f>Projected_SEC_wastage_rates!K70</f>
        <v>0.11276838177302007</v>
      </c>
      <c r="L57" s="953">
        <f>Projected_SEC_wastage_rates!L70</f>
        <v>0.11276838177302007</v>
      </c>
      <c r="M57" s="953">
        <f>Projected_SEC_wastage_rates!M70</f>
        <v>0.11276838177302007</v>
      </c>
      <c r="N57" s="953">
        <f>Projected_SEC_wastage_rates!N70</f>
        <v>0.11276838177302007</v>
      </c>
      <c r="O57" s="953">
        <f>Projected_SEC_wastage_rates!O70</f>
        <v>0.11276838177302007</v>
      </c>
      <c r="P57" s="953">
        <f>Projected_SEC_wastage_rates!P70</f>
        <v>0.11276838177302007</v>
      </c>
      <c r="Q57" s="12"/>
      <c r="R57" s="12"/>
    </row>
    <row r="58" spans="2:18">
      <c r="B58" s="8" t="str">
        <f>Projected_SEC_wastage_rates!B71</f>
        <v>25-29</v>
      </c>
      <c r="C58" s="953">
        <f>Projected_SEC_wastage_rates!C71</f>
        <v>9.7860608614392358E-2</v>
      </c>
      <c r="D58" s="953">
        <f>Projected_SEC_wastage_rates!D71</f>
        <v>9.7860608614392358E-2</v>
      </c>
      <c r="E58" s="953">
        <f>Projected_SEC_wastage_rates!E71</f>
        <v>9.7860608614392358E-2</v>
      </c>
      <c r="F58" s="953">
        <f>Projected_SEC_wastage_rates!F71</f>
        <v>9.7860608614392358E-2</v>
      </c>
      <c r="G58" s="953">
        <f>Projected_SEC_wastage_rates!G71</f>
        <v>9.7860608614392358E-2</v>
      </c>
      <c r="H58" s="953">
        <f>Projected_SEC_wastage_rates!H71</f>
        <v>9.7860608614392358E-2</v>
      </c>
      <c r="I58" s="953">
        <f>Projected_SEC_wastage_rates!I71</f>
        <v>9.7860608614392358E-2</v>
      </c>
      <c r="J58" s="953">
        <f>Projected_SEC_wastage_rates!J71</f>
        <v>9.7860608614392358E-2</v>
      </c>
      <c r="K58" s="953">
        <f>Projected_SEC_wastage_rates!K71</f>
        <v>9.7860608614392358E-2</v>
      </c>
      <c r="L58" s="953">
        <f>Projected_SEC_wastage_rates!L71</f>
        <v>9.7860608614392358E-2</v>
      </c>
      <c r="M58" s="953">
        <f>Projected_SEC_wastage_rates!M71</f>
        <v>9.7860608614392358E-2</v>
      </c>
      <c r="N58" s="953">
        <f>Projected_SEC_wastage_rates!N71</f>
        <v>9.7860608614392358E-2</v>
      </c>
      <c r="O58" s="953">
        <f>Projected_SEC_wastage_rates!O71</f>
        <v>9.7860608614392358E-2</v>
      </c>
      <c r="P58" s="953">
        <f>Projected_SEC_wastage_rates!P71</f>
        <v>9.7860608614392358E-2</v>
      </c>
      <c r="Q58" s="12"/>
      <c r="R58" s="12"/>
    </row>
    <row r="59" spans="2:18">
      <c r="B59" s="8" t="str">
        <f>Projected_SEC_wastage_rates!B72</f>
        <v>30-34</v>
      </c>
      <c r="C59" s="953">
        <f>Projected_SEC_wastage_rates!C72</f>
        <v>9.0307123142648951E-2</v>
      </c>
      <c r="D59" s="953">
        <f>Projected_SEC_wastage_rates!D72</f>
        <v>9.0307123142648951E-2</v>
      </c>
      <c r="E59" s="953">
        <f>Projected_SEC_wastage_rates!E72</f>
        <v>9.0307123142648951E-2</v>
      </c>
      <c r="F59" s="953">
        <f>Projected_SEC_wastage_rates!F72</f>
        <v>9.0307123142648951E-2</v>
      </c>
      <c r="G59" s="953">
        <f>Projected_SEC_wastage_rates!G72</f>
        <v>9.0307123142648951E-2</v>
      </c>
      <c r="H59" s="953">
        <f>Projected_SEC_wastage_rates!H72</f>
        <v>9.0307123142648951E-2</v>
      </c>
      <c r="I59" s="953">
        <f>Projected_SEC_wastage_rates!I72</f>
        <v>9.0307123142648951E-2</v>
      </c>
      <c r="J59" s="953">
        <f>Projected_SEC_wastage_rates!J72</f>
        <v>9.0307123142648951E-2</v>
      </c>
      <c r="K59" s="953">
        <f>Projected_SEC_wastage_rates!K72</f>
        <v>9.0307123142648951E-2</v>
      </c>
      <c r="L59" s="953">
        <f>Projected_SEC_wastage_rates!L72</f>
        <v>9.0307123142648951E-2</v>
      </c>
      <c r="M59" s="953">
        <f>Projected_SEC_wastage_rates!M72</f>
        <v>9.0307123142648951E-2</v>
      </c>
      <c r="N59" s="953">
        <f>Projected_SEC_wastage_rates!N72</f>
        <v>9.0307123142648951E-2</v>
      </c>
      <c r="O59" s="953">
        <f>Projected_SEC_wastage_rates!O72</f>
        <v>9.0307123142648951E-2</v>
      </c>
      <c r="P59" s="953">
        <f>Projected_SEC_wastage_rates!P72</f>
        <v>9.0307123142648951E-2</v>
      </c>
      <c r="Q59" s="12"/>
      <c r="R59" s="12"/>
    </row>
    <row r="60" spans="2:18">
      <c r="B60" s="8" t="str">
        <f>Projected_SEC_wastage_rates!B73</f>
        <v>35-39</v>
      </c>
      <c r="C60" s="953">
        <f>Projected_SEC_wastage_rates!C73</f>
        <v>7.9726660619077544E-2</v>
      </c>
      <c r="D60" s="953">
        <f>Projected_SEC_wastage_rates!D73</f>
        <v>7.9726660619077544E-2</v>
      </c>
      <c r="E60" s="953">
        <f>Projected_SEC_wastage_rates!E73</f>
        <v>7.9726660619077544E-2</v>
      </c>
      <c r="F60" s="953">
        <f>Projected_SEC_wastage_rates!F73</f>
        <v>7.9726660619077544E-2</v>
      </c>
      <c r="G60" s="953">
        <f>Projected_SEC_wastage_rates!G73</f>
        <v>7.9726660619077544E-2</v>
      </c>
      <c r="H60" s="953">
        <f>Projected_SEC_wastage_rates!H73</f>
        <v>7.9726660619077544E-2</v>
      </c>
      <c r="I60" s="953">
        <f>Projected_SEC_wastage_rates!I73</f>
        <v>7.9726660619077544E-2</v>
      </c>
      <c r="J60" s="953">
        <f>Projected_SEC_wastage_rates!J73</f>
        <v>7.9726660619077544E-2</v>
      </c>
      <c r="K60" s="953">
        <f>Projected_SEC_wastage_rates!K73</f>
        <v>7.9726660619077544E-2</v>
      </c>
      <c r="L60" s="953">
        <f>Projected_SEC_wastage_rates!L73</f>
        <v>7.9726660619077544E-2</v>
      </c>
      <c r="M60" s="953">
        <f>Projected_SEC_wastage_rates!M73</f>
        <v>7.9726660619077544E-2</v>
      </c>
      <c r="N60" s="953">
        <f>Projected_SEC_wastage_rates!N73</f>
        <v>7.9726660619077544E-2</v>
      </c>
      <c r="O60" s="953">
        <f>Projected_SEC_wastage_rates!O73</f>
        <v>7.9726660619077544E-2</v>
      </c>
      <c r="P60" s="953">
        <f>Projected_SEC_wastage_rates!P73</f>
        <v>7.9726660619077544E-2</v>
      </c>
      <c r="Q60" s="12"/>
      <c r="R60" s="12"/>
    </row>
    <row r="61" spans="2:18">
      <c r="B61" s="8" t="str">
        <f>Projected_SEC_wastage_rates!B74</f>
        <v>40-44</v>
      </c>
      <c r="C61" s="953">
        <f>Projected_SEC_wastage_rates!C74</f>
        <v>7.6062086402962775E-2</v>
      </c>
      <c r="D61" s="953">
        <f>Projected_SEC_wastage_rates!D74</f>
        <v>7.6062086402962775E-2</v>
      </c>
      <c r="E61" s="953">
        <f>Projected_SEC_wastage_rates!E74</f>
        <v>7.6062086402962775E-2</v>
      </c>
      <c r="F61" s="953">
        <f>Projected_SEC_wastage_rates!F74</f>
        <v>7.6062086402962775E-2</v>
      </c>
      <c r="G61" s="953">
        <f>Projected_SEC_wastage_rates!G74</f>
        <v>7.6062086402962775E-2</v>
      </c>
      <c r="H61" s="953">
        <f>Projected_SEC_wastage_rates!H74</f>
        <v>7.6062086402962775E-2</v>
      </c>
      <c r="I61" s="953">
        <f>Projected_SEC_wastage_rates!I74</f>
        <v>7.6062086402962775E-2</v>
      </c>
      <c r="J61" s="953">
        <f>Projected_SEC_wastage_rates!J74</f>
        <v>7.6062086402962775E-2</v>
      </c>
      <c r="K61" s="953">
        <f>Projected_SEC_wastage_rates!K74</f>
        <v>7.6062086402962775E-2</v>
      </c>
      <c r="L61" s="953">
        <f>Projected_SEC_wastage_rates!L74</f>
        <v>7.6062086402962775E-2</v>
      </c>
      <c r="M61" s="953">
        <f>Projected_SEC_wastage_rates!M74</f>
        <v>7.6062086402962775E-2</v>
      </c>
      <c r="N61" s="953">
        <f>Projected_SEC_wastage_rates!N74</f>
        <v>7.6062086402962775E-2</v>
      </c>
      <c r="O61" s="953">
        <f>Projected_SEC_wastage_rates!O74</f>
        <v>7.6062086402962775E-2</v>
      </c>
      <c r="P61" s="953">
        <f>Projected_SEC_wastage_rates!P74</f>
        <v>7.6062086402962775E-2</v>
      </c>
      <c r="Q61" s="12"/>
      <c r="R61" s="12"/>
    </row>
    <row r="62" spans="2:18">
      <c r="B62" s="8" t="str">
        <f>Projected_SEC_wastage_rates!B75</f>
        <v>45-49</v>
      </c>
      <c r="C62" s="953">
        <f>Projected_SEC_wastage_rates!C75</f>
        <v>8.2231886669618254E-2</v>
      </c>
      <c r="D62" s="953">
        <f>Projected_SEC_wastage_rates!D75</f>
        <v>8.2231886669618254E-2</v>
      </c>
      <c r="E62" s="953">
        <f>Projected_SEC_wastage_rates!E75</f>
        <v>8.2231886669618254E-2</v>
      </c>
      <c r="F62" s="953">
        <f>Projected_SEC_wastage_rates!F75</f>
        <v>8.2231886669618254E-2</v>
      </c>
      <c r="G62" s="953">
        <f>Projected_SEC_wastage_rates!G75</f>
        <v>8.2231886669618254E-2</v>
      </c>
      <c r="H62" s="953">
        <f>Projected_SEC_wastage_rates!H75</f>
        <v>8.2231886669618254E-2</v>
      </c>
      <c r="I62" s="953">
        <f>Projected_SEC_wastage_rates!I75</f>
        <v>8.2231886669618254E-2</v>
      </c>
      <c r="J62" s="953">
        <f>Projected_SEC_wastage_rates!J75</f>
        <v>8.2231886669618254E-2</v>
      </c>
      <c r="K62" s="953">
        <f>Projected_SEC_wastage_rates!K75</f>
        <v>8.2231886669618254E-2</v>
      </c>
      <c r="L62" s="953">
        <f>Projected_SEC_wastage_rates!L75</f>
        <v>8.2231886669618254E-2</v>
      </c>
      <c r="M62" s="953">
        <f>Projected_SEC_wastage_rates!M75</f>
        <v>8.2231886669618254E-2</v>
      </c>
      <c r="N62" s="953">
        <f>Projected_SEC_wastage_rates!N75</f>
        <v>8.2231886669618254E-2</v>
      </c>
      <c r="O62" s="953">
        <f>Projected_SEC_wastage_rates!O75</f>
        <v>8.2231886669618254E-2</v>
      </c>
      <c r="P62" s="953">
        <f>Projected_SEC_wastage_rates!P75</f>
        <v>8.2231886669618254E-2</v>
      </c>
      <c r="Q62" s="12"/>
      <c r="R62" s="12"/>
    </row>
    <row r="63" spans="2:18">
      <c r="B63" s="8" t="str">
        <f>Projected_SEC_wastage_rates!B76</f>
        <v>50-54</v>
      </c>
      <c r="C63" s="953">
        <f>Projected_SEC_wastage_rates!C76</f>
        <v>8.3247002333023484E-2</v>
      </c>
      <c r="D63" s="953">
        <f>Projected_SEC_wastage_rates!D76</f>
        <v>8.3247002333023484E-2</v>
      </c>
      <c r="E63" s="953">
        <f>Projected_SEC_wastage_rates!E76</f>
        <v>8.3247002333023484E-2</v>
      </c>
      <c r="F63" s="953">
        <f>Projected_SEC_wastage_rates!F76</f>
        <v>8.3247002333023484E-2</v>
      </c>
      <c r="G63" s="953">
        <f>Projected_SEC_wastage_rates!G76</f>
        <v>8.3247002333023484E-2</v>
      </c>
      <c r="H63" s="953">
        <f>Projected_SEC_wastage_rates!H76</f>
        <v>8.3247002333023484E-2</v>
      </c>
      <c r="I63" s="953">
        <f>Projected_SEC_wastage_rates!I76</f>
        <v>8.3247002333023484E-2</v>
      </c>
      <c r="J63" s="953">
        <f>Projected_SEC_wastage_rates!J76</f>
        <v>8.3247002333023484E-2</v>
      </c>
      <c r="K63" s="953">
        <f>Projected_SEC_wastage_rates!K76</f>
        <v>8.3247002333023484E-2</v>
      </c>
      <c r="L63" s="953">
        <f>Projected_SEC_wastage_rates!L76</f>
        <v>8.3247002333023484E-2</v>
      </c>
      <c r="M63" s="953">
        <f>Projected_SEC_wastage_rates!M76</f>
        <v>8.3247002333023484E-2</v>
      </c>
      <c r="N63" s="953">
        <f>Projected_SEC_wastage_rates!N76</f>
        <v>8.3247002333023484E-2</v>
      </c>
      <c r="O63" s="953">
        <f>Projected_SEC_wastage_rates!O76</f>
        <v>8.3247002333023484E-2</v>
      </c>
      <c r="P63" s="953">
        <f>Projected_SEC_wastage_rates!P76</f>
        <v>8.3247002333023484E-2</v>
      </c>
      <c r="Q63" s="12"/>
      <c r="R63" s="12"/>
    </row>
    <row r="64" spans="2:18">
      <c r="B64" s="8" t="str">
        <f>Projected_SEC_wastage_rates!B77</f>
        <v>55-59</v>
      </c>
      <c r="C64" s="953">
        <f>Projected_SEC_wastage_rates!C77</f>
        <v>5.1262259412022566E-2</v>
      </c>
      <c r="D64" s="953">
        <f>Projected_SEC_wastage_rates!D77</f>
        <v>5.1262259412022566E-2</v>
      </c>
      <c r="E64" s="953">
        <f>Projected_SEC_wastage_rates!E77</f>
        <v>5.1262259412022566E-2</v>
      </c>
      <c r="F64" s="953">
        <f>Projected_SEC_wastage_rates!F77</f>
        <v>5.1262259412022566E-2</v>
      </c>
      <c r="G64" s="953">
        <f>Projected_SEC_wastage_rates!G77</f>
        <v>5.1262259412022566E-2</v>
      </c>
      <c r="H64" s="953">
        <f>Projected_SEC_wastage_rates!H77</f>
        <v>5.1262259412022566E-2</v>
      </c>
      <c r="I64" s="953">
        <f>Projected_SEC_wastage_rates!I77</f>
        <v>5.1262259412022566E-2</v>
      </c>
      <c r="J64" s="953">
        <f>Projected_SEC_wastage_rates!J77</f>
        <v>5.1262259412022566E-2</v>
      </c>
      <c r="K64" s="953">
        <f>Projected_SEC_wastage_rates!K77</f>
        <v>5.1262259412022566E-2</v>
      </c>
      <c r="L64" s="953">
        <f>Projected_SEC_wastage_rates!L77</f>
        <v>5.1262259412022566E-2</v>
      </c>
      <c r="M64" s="953">
        <f>Projected_SEC_wastage_rates!M77</f>
        <v>5.1262259412022566E-2</v>
      </c>
      <c r="N64" s="953">
        <f>Projected_SEC_wastage_rates!N77</f>
        <v>5.1262259412022566E-2</v>
      </c>
      <c r="O64" s="953">
        <f>Projected_SEC_wastage_rates!O77</f>
        <v>5.1262259412022566E-2</v>
      </c>
      <c r="P64" s="953">
        <f>Projected_SEC_wastage_rates!P77</f>
        <v>5.1262259412022566E-2</v>
      </c>
      <c r="Q64" s="12"/>
      <c r="R64" s="12"/>
    </row>
    <row r="65" spans="2:18">
      <c r="B65" s="8" t="str">
        <f>Projected_SEC_wastage_rates!B78</f>
        <v>60-64</v>
      </c>
      <c r="C65" s="953">
        <f>Projected_SEC_wastage_rates!C78</f>
        <v>2.2334141329082582E-2</v>
      </c>
      <c r="D65" s="953">
        <f>Projected_SEC_wastage_rates!D78</f>
        <v>2.2334141329082582E-2</v>
      </c>
      <c r="E65" s="953">
        <f>Projected_SEC_wastage_rates!E78</f>
        <v>2.2334141329082582E-2</v>
      </c>
      <c r="F65" s="953">
        <f>Projected_SEC_wastage_rates!F78</f>
        <v>2.2334141329082582E-2</v>
      </c>
      <c r="G65" s="953">
        <f>Projected_SEC_wastage_rates!G78</f>
        <v>2.2334141329082582E-2</v>
      </c>
      <c r="H65" s="953">
        <f>Projected_SEC_wastage_rates!H78</f>
        <v>2.2334141329082582E-2</v>
      </c>
      <c r="I65" s="953">
        <f>Projected_SEC_wastage_rates!I78</f>
        <v>2.2334141329082582E-2</v>
      </c>
      <c r="J65" s="953">
        <f>Projected_SEC_wastage_rates!J78</f>
        <v>2.2334141329082582E-2</v>
      </c>
      <c r="K65" s="953">
        <f>Projected_SEC_wastage_rates!K78</f>
        <v>2.2334141329082582E-2</v>
      </c>
      <c r="L65" s="953">
        <f>Projected_SEC_wastage_rates!L78</f>
        <v>2.2334141329082582E-2</v>
      </c>
      <c r="M65" s="953">
        <f>Projected_SEC_wastage_rates!M78</f>
        <v>2.2334141329082582E-2</v>
      </c>
      <c r="N65" s="953">
        <f>Projected_SEC_wastage_rates!N78</f>
        <v>2.2334141329082582E-2</v>
      </c>
      <c r="O65" s="953">
        <f>Projected_SEC_wastage_rates!O78</f>
        <v>2.2334141329082582E-2</v>
      </c>
      <c r="P65" s="953">
        <f>Projected_SEC_wastage_rates!P78</f>
        <v>2.2334141329082582E-2</v>
      </c>
      <c r="Q65" s="12"/>
      <c r="R65" s="12"/>
    </row>
    <row r="66" spans="2:18">
      <c r="B66" s="8" t="str">
        <f>Projected_SEC_wastage_rates!B79</f>
        <v>65 plus</v>
      </c>
      <c r="C66" s="953">
        <f>Projected_SEC_wastage_rates!C79</f>
        <v>3.427129235260052E-2</v>
      </c>
      <c r="D66" s="953">
        <f>Projected_SEC_wastage_rates!D79</f>
        <v>3.427129235260052E-2</v>
      </c>
      <c r="E66" s="953">
        <f>Projected_SEC_wastage_rates!E79</f>
        <v>3.427129235260052E-2</v>
      </c>
      <c r="F66" s="953">
        <f>Projected_SEC_wastage_rates!F79</f>
        <v>3.427129235260052E-2</v>
      </c>
      <c r="G66" s="953">
        <f>Projected_SEC_wastage_rates!G79</f>
        <v>3.427129235260052E-2</v>
      </c>
      <c r="H66" s="953">
        <f>Projected_SEC_wastage_rates!H79</f>
        <v>3.427129235260052E-2</v>
      </c>
      <c r="I66" s="953">
        <f>Projected_SEC_wastage_rates!I79</f>
        <v>3.427129235260052E-2</v>
      </c>
      <c r="J66" s="953">
        <f>Projected_SEC_wastage_rates!J79</f>
        <v>3.427129235260052E-2</v>
      </c>
      <c r="K66" s="953">
        <f>Projected_SEC_wastage_rates!K79</f>
        <v>3.427129235260052E-2</v>
      </c>
      <c r="L66" s="953">
        <f>Projected_SEC_wastage_rates!L79</f>
        <v>3.427129235260052E-2</v>
      </c>
      <c r="M66" s="953">
        <f>Projected_SEC_wastage_rates!M79</f>
        <v>3.427129235260052E-2</v>
      </c>
      <c r="N66" s="953">
        <f>Projected_SEC_wastage_rates!N79</f>
        <v>3.427129235260052E-2</v>
      </c>
      <c r="O66" s="953">
        <f>Projected_SEC_wastage_rates!O79</f>
        <v>3.427129235260052E-2</v>
      </c>
      <c r="P66" s="953">
        <f>Projected_SEC_wastage_rates!P79</f>
        <v>3.427129235260052E-2</v>
      </c>
      <c r="Q66" s="12"/>
      <c r="R66" s="12"/>
    </row>
    <row r="67" spans="2:18">
      <c r="B67" s="8" t="str">
        <f>Projected_SEC_wastage_rates!B80</f>
        <v>Total</v>
      </c>
      <c r="C67" s="953">
        <f>Projected_SEC_wastage_rates!C80</f>
        <v>8.3641034033025863E-2</v>
      </c>
      <c r="D67" s="953">
        <f>Projected_SEC_wastage_rates!D80</f>
        <v>8.3641034033025863E-2</v>
      </c>
      <c r="E67" s="953">
        <f>Projected_SEC_wastage_rates!E80</f>
        <v>8.3641034033025863E-2</v>
      </c>
      <c r="F67" s="953">
        <f>Projected_SEC_wastage_rates!F80</f>
        <v>8.3641034033025863E-2</v>
      </c>
      <c r="G67" s="953">
        <f>Projected_SEC_wastage_rates!G80</f>
        <v>8.3641034033025863E-2</v>
      </c>
      <c r="H67" s="953">
        <f>Projected_SEC_wastage_rates!H80</f>
        <v>8.3641034033025863E-2</v>
      </c>
      <c r="I67" s="953">
        <f>Projected_SEC_wastage_rates!I80</f>
        <v>8.3641034033025863E-2</v>
      </c>
      <c r="J67" s="953">
        <f>Projected_SEC_wastage_rates!J80</f>
        <v>8.3641034033025863E-2</v>
      </c>
      <c r="K67" s="953">
        <f>Projected_SEC_wastage_rates!K80</f>
        <v>8.3641034033025863E-2</v>
      </c>
      <c r="L67" s="953">
        <f>Projected_SEC_wastage_rates!L80</f>
        <v>8.3641034033025863E-2</v>
      </c>
      <c r="M67" s="953">
        <f>Projected_SEC_wastage_rates!M80</f>
        <v>8.3641034033025863E-2</v>
      </c>
      <c r="N67" s="953">
        <f>Projected_SEC_wastage_rates!N80</f>
        <v>8.3641034033025863E-2</v>
      </c>
      <c r="O67" s="953">
        <f>Projected_SEC_wastage_rates!O80</f>
        <v>8.3641034033025863E-2</v>
      </c>
      <c r="P67" s="953">
        <f>Projected_SEC_wastage_rates!P80</f>
        <v>8.3641034033025863E-2</v>
      </c>
      <c r="Q67" s="12"/>
      <c r="R67" s="12"/>
    </row>
    <row r="68" spans="2:18">
      <c r="C68" s="453"/>
      <c r="D68" s="453"/>
      <c r="E68" s="453"/>
      <c r="F68" s="453"/>
      <c r="G68" s="453"/>
      <c r="H68" s="453"/>
      <c r="I68" s="453"/>
      <c r="J68" s="453"/>
      <c r="K68" s="453"/>
      <c r="L68" s="453"/>
      <c r="M68" s="453"/>
      <c r="N68" s="453"/>
      <c r="O68" s="453"/>
      <c r="P68" s="453"/>
    </row>
    <row r="69" spans="2:18" ht="18">
      <c r="B69" s="39" t="s">
        <v>1486</v>
      </c>
      <c r="C69" s="453"/>
      <c r="D69" s="453"/>
      <c r="E69" s="453"/>
      <c r="F69" s="453"/>
      <c r="G69" s="453"/>
      <c r="H69" s="453"/>
      <c r="I69" s="453"/>
      <c r="J69" s="453"/>
      <c r="K69" s="453"/>
      <c r="L69" s="453"/>
      <c r="M69" s="453"/>
      <c r="N69" s="453"/>
      <c r="O69" s="453"/>
      <c r="P69" s="453"/>
    </row>
    <row r="70" spans="2:18">
      <c r="C70" s="453"/>
      <c r="D70" s="453"/>
      <c r="E70" s="453"/>
      <c r="F70" s="453"/>
      <c r="G70" s="453"/>
      <c r="H70" s="453"/>
      <c r="I70" s="453"/>
      <c r="J70" s="453"/>
      <c r="K70" s="453"/>
      <c r="L70" s="453"/>
      <c r="M70" s="453"/>
      <c r="N70" s="453"/>
      <c r="O70" s="453"/>
      <c r="P70" s="453"/>
    </row>
    <row r="71" spans="2:18">
      <c r="B71" s="5" t="s">
        <v>434</v>
      </c>
      <c r="C71" s="955"/>
      <c r="D71" s="453"/>
      <c r="E71" s="955"/>
      <c r="F71" s="957" t="str">
        <f>F39</f>
        <v>As the Econometric Wastage Model only forecasts wastage 6 years into the future, the rate beyond that is considered to be constant.</v>
      </c>
      <c r="G71" s="955"/>
      <c r="H71" s="955"/>
      <c r="I71" s="955"/>
      <c r="J71" s="955"/>
      <c r="K71" s="955"/>
      <c r="L71" s="955"/>
      <c r="M71" s="955"/>
      <c r="N71" s="955"/>
      <c r="O71" s="955"/>
      <c r="P71" s="955"/>
    </row>
    <row r="72" spans="2:18">
      <c r="B72" s="12"/>
      <c r="C72" s="955"/>
      <c r="D72" s="955"/>
      <c r="E72" s="955"/>
      <c r="F72" s="955"/>
      <c r="G72" s="955"/>
      <c r="H72" s="955"/>
      <c r="I72" s="955"/>
      <c r="J72" s="955"/>
      <c r="K72" s="955"/>
      <c r="L72" s="955"/>
      <c r="M72" s="955"/>
      <c r="N72" s="955"/>
      <c r="O72" s="955"/>
      <c r="P72" s="955"/>
    </row>
    <row r="73" spans="2:18">
      <c r="B73" s="8" t="str">
        <f>B56</f>
        <v>Age group</v>
      </c>
      <c r="C73" s="956" t="str">
        <f t="shared" ref="C73:P73" si="0">C56</f>
        <v>2014/15</v>
      </c>
      <c r="D73" s="956" t="str">
        <f t="shared" si="0"/>
        <v>2015/16</v>
      </c>
      <c r="E73" s="956" t="str">
        <f t="shared" si="0"/>
        <v>2016/17</v>
      </c>
      <c r="F73" s="956" t="str">
        <f t="shared" si="0"/>
        <v>2017/18</v>
      </c>
      <c r="G73" s="956" t="str">
        <f t="shared" si="0"/>
        <v>2018/19</v>
      </c>
      <c r="H73" s="956" t="str">
        <f t="shared" si="0"/>
        <v>2019/20</v>
      </c>
      <c r="I73" s="956" t="str">
        <f t="shared" si="0"/>
        <v>2020/21</v>
      </c>
      <c r="J73" s="956" t="str">
        <f t="shared" si="0"/>
        <v>2021/22</v>
      </c>
      <c r="K73" s="956" t="str">
        <f t="shared" si="0"/>
        <v>2022/23</v>
      </c>
      <c r="L73" s="956" t="str">
        <f t="shared" si="0"/>
        <v>2023/24</v>
      </c>
      <c r="M73" s="956" t="str">
        <f t="shared" si="0"/>
        <v>2024/25</v>
      </c>
      <c r="N73" s="956" t="str">
        <f t="shared" si="0"/>
        <v>2025/26</v>
      </c>
      <c r="O73" s="956" t="str">
        <f t="shared" si="0"/>
        <v>2026/27</v>
      </c>
      <c r="P73" s="956" t="str">
        <f t="shared" si="0"/>
        <v>2027/28</v>
      </c>
    </row>
    <row r="74" spans="2:18">
      <c r="B74" s="8" t="str">
        <f t="shared" ref="B74:B84" si="1">B57</f>
        <v>20-24</v>
      </c>
      <c r="C74" s="164">
        <f>C42*$E25</f>
        <v>0.10876892477354397</v>
      </c>
      <c r="D74" s="164">
        <f t="shared" ref="D74:P74" si="2">D42*$E25</f>
        <v>0.10876892477354397</v>
      </c>
      <c r="E74" s="164">
        <f t="shared" si="2"/>
        <v>0.10876892477354397</v>
      </c>
      <c r="F74" s="164">
        <f t="shared" si="2"/>
        <v>0.10876892477354397</v>
      </c>
      <c r="G74" s="164">
        <f t="shared" si="2"/>
        <v>0.10876892477354397</v>
      </c>
      <c r="H74" s="164">
        <f t="shared" si="2"/>
        <v>0.10876892477354397</v>
      </c>
      <c r="I74" s="164">
        <f t="shared" si="2"/>
        <v>0.10876892477354397</v>
      </c>
      <c r="J74" s="164">
        <f t="shared" si="2"/>
        <v>0.10876892477354397</v>
      </c>
      <c r="K74" s="164">
        <f t="shared" si="2"/>
        <v>0.10876892477354397</v>
      </c>
      <c r="L74" s="164">
        <f t="shared" si="2"/>
        <v>0.10876892477354397</v>
      </c>
      <c r="M74" s="164">
        <f t="shared" si="2"/>
        <v>0.10876892477354397</v>
      </c>
      <c r="N74" s="164">
        <f t="shared" si="2"/>
        <v>0.10876892477354397</v>
      </c>
      <c r="O74" s="164">
        <f t="shared" si="2"/>
        <v>0.10876892477354397</v>
      </c>
      <c r="P74" s="164">
        <f t="shared" si="2"/>
        <v>0.10876892477354397</v>
      </c>
    </row>
    <row r="75" spans="2:18">
      <c r="B75" s="8" t="str">
        <f t="shared" si="1"/>
        <v>25-29</v>
      </c>
      <c r="C75" s="164">
        <f t="shared" ref="C75:P84" si="3">C43*$E26</f>
        <v>8.432920134421161E-2</v>
      </c>
      <c r="D75" s="164">
        <f t="shared" si="3"/>
        <v>8.432920134421161E-2</v>
      </c>
      <c r="E75" s="164">
        <f t="shared" si="3"/>
        <v>8.432920134421161E-2</v>
      </c>
      <c r="F75" s="164">
        <f t="shared" si="3"/>
        <v>8.432920134421161E-2</v>
      </c>
      <c r="G75" s="164">
        <f t="shared" si="3"/>
        <v>8.432920134421161E-2</v>
      </c>
      <c r="H75" s="164">
        <f t="shared" si="3"/>
        <v>8.432920134421161E-2</v>
      </c>
      <c r="I75" s="164">
        <f t="shared" si="3"/>
        <v>8.432920134421161E-2</v>
      </c>
      <c r="J75" s="164">
        <f t="shared" si="3"/>
        <v>8.432920134421161E-2</v>
      </c>
      <c r="K75" s="164">
        <f t="shared" si="3"/>
        <v>8.432920134421161E-2</v>
      </c>
      <c r="L75" s="164">
        <f t="shared" si="3"/>
        <v>8.432920134421161E-2</v>
      </c>
      <c r="M75" s="164">
        <f t="shared" si="3"/>
        <v>8.432920134421161E-2</v>
      </c>
      <c r="N75" s="164">
        <f t="shared" si="3"/>
        <v>8.432920134421161E-2</v>
      </c>
      <c r="O75" s="164">
        <f t="shared" si="3"/>
        <v>8.432920134421161E-2</v>
      </c>
      <c r="P75" s="164">
        <f t="shared" si="3"/>
        <v>8.432920134421161E-2</v>
      </c>
    </row>
    <row r="76" spans="2:18">
      <c r="B76" s="8" t="str">
        <f t="shared" si="1"/>
        <v>30-34</v>
      </c>
      <c r="C76" s="164">
        <f t="shared" si="3"/>
        <v>6.2290663152773727E-2</v>
      </c>
      <c r="D76" s="164">
        <f t="shared" si="3"/>
        <v>6.2290663152773727E-2</v>
      </c>
      <c r="E76" s="164">
        <f t="shared" si="3"/>
        <v>6.2290663152773727E-2</v>
      </c>
      <c r="F76" s="164">
        <f t="shared" si="3"/>
        <v>6.2290663152773727E-2</v>
      </c>
      <c r="G76" s="164">
        <f t="shared" si="3"/>
        <v>6.2290663152773727E-2</v>
      </c>
      <c r="H76" s="164">
        <f t="shared" si="3"/>
        <v>6.2290663152773727E-2</v>
      </c>
      <c r="I76" s="164">
        <f t="shared" si="3"/>
        <v>6.2290663152773727E-2</v>
      </c>
      <c r="J76" s="164">
        <f t="shared" si="3"/>
        <v>6.2290663152773727E-2</v>
      </c>
      <c r="K76" s="164">
        <f t="shared" si="3"/>
        <v>6.2290663152773727E-2</v>
      </c>
      <c r="L76" s="164">
        <f t="shared" si="3"/>
        <v>6.2290663152773727E-2</v>
      </c>
      <c r="M76" s="164">
        <f t="shared" si="3"/>
        <v>6.2290663152773727E-2</v>
      </c>
      <c r="N76" s="164">
        <f t="shared" si="3"/>
        <v>6.2290663152773727E-2</v>
      </c>
      <c r="O76" s="164">
        <f t="shared" si="3"/>
        <v>6.2290663152773727E-2</v>
      </c>
      <c r="P76" s="164">
        <f t="shared" si="3"/>
        <v>6.2290663152773727E-2</v>
      </c>
    </row>
    <row r="77" spans="2:18">
      <c r="B77" s="8" t="str">
        <f t="shared" si="1"/>
        <v>35-39</v>
      </c>
      <c r="C77" s="164">
        <f t="shared" si="3"/>
        <v>6.210985812837605E-2</v>
      </c>
      <c r="D77" s="164">
        <f t="shared" si="3"/>
        <v>6.210985812837605E-2</v>
      </c>
      <c r="E77" s="164">
        <f t="shared" si="3"/>
        <v>6.210985812837605E-2</v>
      </c>
      <c r="F77" s="164">
        <f t="shared" si="3"/>
        <v>6.210985812837605E-2</v>
      </c>
      <c r="G77" s="164">
        <f t="shared" si="3"/>
        <v>6.210985812837605E-2</v>
      </c>
      <c r="H77" s="164">
        <f t="shared" si="3"/>
        <v>6.210985812837605E-2</v>
      </c>
      <c r="I77" s="164">
        <f t="shared" si="3"/>
        <v>6.210985812837605E-2</v>
      </c>
      <c r="J77" s="164">
        <f t="shared" si="3"/>
        <v>6.210985812837605E-2</v>
      </c>
      <c r="K77" s="164">
        <f t="shared" si="3"/>
        <v>6.210985812837605E-2</v>
      </c>
      <c r="L77" s="164">
        <f t="shared" si="3"/>
        <v>6.210985812837605E-2</v>
      </c>
      <c r="M77" s="164">
        <f t="shared" si="3"/>
        <v>6.210985812837605E-2</v>
      </c>
      <c r="N77" s="164">
        <f t="shared" si="3"/>
        <v>6.210985812837605E-2</v>
      </c>
      <c r="O77" s="164">
        <f t="shared" si="3"/>
        <v>6.210985812837605E-2</v>
      </c>
      <c r="P77" s="164">
        <f t="shared" si="3"/>
        <v>6.210985812837605E-2</v>
      </c>
    </row>
    <row r="78" spans="2:18">
      <c r="B78" s="8" t="str">
        <f t="shared" si="1"/>
        <v>40-44</v>
      </c>
      <c r="C78" s="164">
        <f t="shared" si="3"/>
        <v>6.926007500669569E-2</v>
      </c>
      <c r="D78" s="164">
        <f t="shared" si="3"/>
        <v>6.926007500669569E-2</v>
      </c>
      <c r="E78" s="164">
        <f t="shared" si="3"/>
        <v>6.926007500669569E-2</v>
      </c>
      <c r="F78" s="164">
        <f t="shared" si="3"/>
        <v>6.926007500669569E-2</v>
      </c>
      <c r="G78" s="164">
        <f t="shared" si="3"/>
        <v>6.926007500669569E-2</v>
      </c>
      <c r="H78" s="164">
        <f t="shared" si="3"/>
        <v>6.926007500669569E-2</v>
      </c>
      <c r="I78" s="164">
        <f t="shared" si="3"/>
        <v>6.926007500669569E-2</v>
      </c>
      <c r="J78" s="164">
        <f t="shared" si="3"/>
        <v>6.926007500669569E-2</v>
      </c>
      <c r="K78" s="164">
        <f t="shared" si="3"/>
        <v>6.926007500669569E-2</v>
      </c>
      <c r="L78" s="164">
        <f t="shared" si="3"/>
        <v>6.926007500669569E-2</v>
      </c>
      <c r="M78" s="164">
        <f t="shared" si="3"/>
        <v>6.926007500669569E-2</v>
      </c>
      <c r="N78" s="164">
        <f t="shared" si="3"/>
        <v>6.926007500669569E-2</v>
      </c>
      <c r="O78" s="164">
        <f t="shared" si="3"/>
        <v>6.926007500669569E-2</v>
      </c>
      <c r="P78" s="164">
        <f t="shared" si="3"/>
        <v>6.926007500669569E-2</v>
      </c>
    </row>
    <row r="79" spans="2:18">
      <c r="B79" s="8" t="str">
        <f t="shared" si="1"/>
        <v>45-49</v>
      </c>
      <c r="C79" s="164">
        <f t="shared" si="3"/>
        <v>7.6882743181063182E-2</v>
      </c>
      <c r="D79" s="164">
        <f t="shared" si="3"/>
        <v>7.6882743181063182E-2</v>
      </c>
      <c r="E79" s="164">
        <f t="shared" si="3"/>
        <v>7.6882743181063182E-2</v>
      </c>
      <c r="F79" s="164">
        <f t="shared" si="3"/>
        <v>7.6882743181063182E-2</v>
      </c>
      <c r="G79" s="164">
        <f t="shared" si="3"/>
        <v>7.6882743181063182E-2</v>
      </c>
      <c r="H79" s="164">
        <f t="shared" si="3"/>
        <v>7.6882743181063182E-2</v>
      </c>
      <c r="I79" s="164">
        <f t="shared" si="3"/>
        <v>7.6882743181063182E-2</v>
      </c>
      <c r="J79" s="164">
        <f t="shared" si="3"/>
        <v>7.6882743181063182E-2</v>
      </c>
      <c r="K79" s="164">
        <f t="shared" si="3"/>
        <v>7.6882743181063182E-2</v>
      </c>
      <c r="L79" s="164">
        <f t="shared" si="3"/>
        <v>7.6882743181063182E-2</v>
      </c>
      <c r="M79" s="164">
        <f t="shared" si="3"/>
        <v>7.6882743181063182E-2</v>
      </c>
      <c r="N79" s="164">
        <f t="shared" si="3"/>
        <v>7.6882743181063182E-2</v>
      </c>
      <c r="O79" s="164">
        <f t="shared" si="3"/>
        <v>7.6882743181063182E-2</v>
      </c>
      <c r="P79" s="164">
        <f t="shared" si="3"/>
        <v>7.6882743181063182E-2</v>
      </c>
    </row>
    <row r="80" spans="2:18">
      <c r="B80" s="8" t="str">
        <f t="shared" si="1"/>
        <v>50-54</v>
      </c>
      <c r="C80" s="164">
        <f t="shared" si="3"/>
        <v>7.9945869083474133E-2</v>
      </c>
      <c r="D80" s="164">
        <f t="shared" si="3"/>
        <v>7.9945869083474133E-2</v>
      </c>
      <c r="E80" s="164">
        <f t="shared" si="3"/>
        <v>7.9945869083474133E-2</v>
      </c>
      <c r="F80" s="164">
        <f t="shared" si="3"/>
        <v>7.9945869083474133E-2</v>
      </c>
      <c r="G80" s="164">
        <f t="shared" si="3"/>
        <v>7.9945869083474133E-2</v>
      </c>
      <c r="H80" s="164">
        <f t="shared" si="3"/>
        <v>7.9945869083474133E-2</v>
      </c>
      <c r="I80" s="164">
        <f t="shared" si="3"/>
        <v>7.9945869083474133E-2</v>
      </c>
      <c r="J80" s="164">
        <f t="shared" si="3"/>
        <v>7.9945869083474133E-2</v>
      </c>
      <c r="K80" s="164">
        <f t="shared" si="3"/>
        <v>7.9945869083474133E-2</v>
      </c>
      <c r="L80" s="164">
        <f t="shared" si="3"/>
        <v>7.9945869083474133E-2</v>
      </c>
      <c r="M80" s="164">
        <f t="shared" si="3"/>
        <v>7.9945869083474133E-2</v>
      </c>
      <c r="N80" s="164">
        <f t="shared" si="3"/>
        <v>7.9945869083474133E-2</v>
      </c>
      <c r="O80" s="164">
        <f t="shared" si="3"/>
        <v>7.9945869083474133E-2</v>
      </c>
      <c r="P80" s="164">
        <f t="shared" si="3"/>
        <v>7.9945869083474133E-2</v>
      </c>
    </row>
    <row r="81" spans="2:16">
      <c r="B81" s="8" t="str">
        <f t="shared" si="1"/>
        <v>55-59</v>
      </c>
      <c r="C81" s="164">
        <f t="shared" si="3"/>
        <v>4.8814767629893417E-2</v>
      </c>
      <c r="D81" s="164">
        <f t="shared" si="3"/>
        <v>4.8814767629893417E-2</v>
      </c>
      <c r="E81" s="164">
        <f t="shared" si="3"/>
        <v>4.8814767629893417E-2</v>
      </c>
      <c r="F81" s="164">
        <f t="shared" si="3"/>
        <v>4.8814767629893417E-2</v>
      </c>
      <c r="G81" s="164">
        <f t="shared" si="3"/>
        <v>4.8814767629893417E-2</v>
      </c>
      <c r="H81" s="164">
        <f t="shared" si="3"/>
        <v>4.8814767629893417E-2</v>
      </c>
      <c r="I81" s="164">
        <f t="shared" si="3"/>
        <v>4.8814767629893417E-2</v>
      </c>
      <c r="J81" s="164">
        <f t="shared" si="3"/>
        <v>4.8814767629893417E-2</v>
      </c>
      <c r="K81" s="164">
        <f t="shared" si="3"/>
        <v>4.8814767629893417E-2</v>
      </c>
      <c r="L81" s="164">
        <f t="shared" si="3"/>
        <v>4.8814767629893417E-2</v>
      </c>
      <c r="M81" s="164">
        <f t="shared" si="3"/>
        <v>4.8814767629893417E-2</v>
      </c>
      <c r="N81" s="164">
        <f t="shared" si="3"/>
        <v>4.8814767629893417E-2</v>
      </c>
      <c r="O81" s="164">
        <f t="shared" si="3"/>
        <v>4.8814767629893417E-2</v>
      </c>
      <c r="P81" s="164">
        <f t="shared" si="3"/>
        <v>4.8814767629893417E-2</v>
      </c>
    </row>
    <row r="82" spans="2:16">
      <c r="B82" s="8" t="str">
        <f t="shared" si="1"/>
        <v>60-64</v>
      </c>
      <c r="C82" s="164">
        <f t="shared" si="3"/>
        <v>1.9809260156029188E-2</v>
      </c>
      <c r="D82" s="164">
        <f t="shared" si="3"/>
        <v>1.9809260156029188E-2</v>
      </c>
      <c r="E82" s="164">
        <f t="shared" si="3"/>
        <v>1.9809260156029188E-2</v>
      </c>
      <c r="F82" s="164">
        <f t="shared" si="3"/>
        <v>1.9809260156029188E-2</v>
      </c>
      <c r="G82" s="164">
        <f t="shared" si="3"/>
        <v>1.9809260156029188E-2</v>
      </c>
      <c r="H82" s="164">
        <f t="shared" si="3"/>
        <v>1.9809260156029188E-2</v>
      </c>
      <c r="I82" s="164">
        <f t="shared" si="3"/>
        <v>1.9809260156029188E-2</v>
      </c>
      <c r="J82" s="164">
        <f t="shared" si="3"/>
        <v>1.9809260156029188E-2</v>
      </c>
      <c r="K82" s="164">
        <f t="shared" si="3"/>
        <v>1.9809260156029188E-2</v>
      </c>
      <c r="L82" s="164">
        <f t="shared" si="3"/>
        <v>1.9809260156029188E-2</v>
      </c>
      <c r="M82" s="164">
        <f t="shared" si="3"/>
        <v>1.9809260156029188E-2</v>
      </c>
      <c r="N82" s="164">
        <f t="shared" si="3"/>
        <v>1.9809260156029188E-2</v>
      </c>
      <c r="O82" s="164">
        <f t="shared" si="3"/>
        <v>1.9809260156029188E-2</v>
      </c>
      <c r="P82" s="164">
        <f t="shared" si="3"/>
        <v>1.9809260156029188E-2</v>
      </c>
    </row>
    <row r="83" spans="2:16">
      <c r="B83" s="8" t="str">
        <f t="shared" si="1"/>
        <v>65 plus</v>
      </c>
      <c r="C83" s="164">
        <f t="shared" si="3"/>
        <v>2.2885410173293954E-2</v>
      </c>
      <c r="D83" s="164">
        <f t="shared" si="3"/>
        <v>2.2885410173293954E-2</v>
      </c>
      <c r="E83" s="164">
        <f t="shared" si="3"/>
        <v>2.2885410173293954E-2</v>
      </c>
      <c r="F83" s="164">
        <f t="shared" si="3"/>
        <v>2.2885410173293954E-2</v>
      </c>
      <c r="G83" s="164">
        <f t="shared" si="3"/>
        <v>2.2885410173293954E-2</v>
      </c>
      <c r="H83" s="164">
        <f t="shared" si="3"/>
        <v>2.2885410173293954E-2</v>
      </c>
      <c r="I83" s="164">
        <f t="shared" si="3"/>
        <v>2.2885410173293954E-2</v>
      </c>
      <c r="J83" s="164">
        <f t="shared" si="3"/>
        <v>2.2885410173293954E-2</v>
      </c>
      <c r="K83" s="164">
        <f t="shared" si="3"/>
        <v>2.2885410173293954E-2</v>
      </c>
      <c r="L83" s="164">
        <f t="shared" si="3"/>
        <v>2.2885410173293954E-2</v>
      </c>
      <c r="M83" s="164">
        <f t="shared" si="3"/>
        <v>2.2885410173293954E-2</v>
      </c>
      <c r="N83" s="164">
        <f t="shared" si="3"/>
        <v>2.2885410173293954E-2</v>
      </c>
      <c r="O83" s="164">
        <f t="shared" si="3"/>
        <v>2.2885410173293954E-2</v>
      </c>
      <c r="P83" s="164">
        <f t="shared" si="3"/>
        <v>2.2885410173293954E-2</v>
      </c>
    </row>
    <row r="84" spans="2:16">
      <c r="B84" s="8" t="str">
        <f t="shared" si="1"/>
        <v>Total</v>
      </c>
      <c r="C84" s="164">
        <f t="shared" si="3"/>
        <v>7.0509166937238701E-2</v>
      </c>
      <c r="D84" s="164">
        <f t="shared" si="3"/>
        <v>7.0509166937238701E-2</v>
      </c>
      <c r="E84" s="164">
        <f t="shared" si="3"/>
        <v>7.0509166937238701E-2</v>
      </c>
      <c r="F84" s="164">
        <f t="shared" si="3"/>
        <v>7.0509166937238701E-2</v>
      </c>
      <c r="G84" s="164">
        <f t="shared" si="3"/>
        <v>7.0509166937238701E-2</v>
      </c>
      <c r="H84" s="164">
        <f t="shared" si="3"/>
        <v>7.0509166937238701E-2</v>
      </c>
      <c r="I84" s="164">
        <f t="shared" si="3"/>
        <v>7.0509166937238701E-2</v>
      </c>
      <c r="J84" s="164">
        <f t="shared" si="3"/>
        <v>7.0509166937238701E-2</v>
      </c>
      <c r="K84" s="164">
        <f t="shared" si="3"/>
        <v>7.0509166937238701E-2</v>
      </c>
      <c r="L84" s="164">
        <f t="shared" si="3"/>
        <v>7.0509166937238701E-2</v>
      </c>
      <c r="M84" s="164">
        <f t="shared" si="3"/>
        <v>7.0509166937238701E-2</v>
      </c>
      <c r="N84" s="164">
        <f t="shared" si="3"/>
        <v>7.0509166937238701E-2</v>
      </c>
      <c r="O84" s="164">
        <f t="shared" si="3"/>
        <v>7.0509166937238701E-2</v>
      </c>
      <c r="P84" s="164">
        <f t="shared" si="3"/>
        <v>7.0509166937238701E-2</v>
      </c>
    </row>
    <row r="85" spans="2:16">
      <c r="B85" s="12"/>
      <c r="C85" s="955"/>
      <c r="D85" s="955"/>
      <c r="E85" s="955"/>
      <c r="F85" s="955"/>
      <c r="G85" s="955"/>
      <c r="H85" s="955"/>
      <c r="I85" s="955"/>
      <c r="J85" s="955"/>
      <c r="K85" s="955"/>
      <c r="L85" s="955"/>
      <c r="M85" s="955"/>
      <c r="N85" s="955"/>
      <c r="O85" s="955"/>
      <c r="P85" s="955"/>
    </row>
    <row r="86" spans="2:16">
      <c r="B86" s="5" t="s">
        <v>435</v>
      </c>
      <c r="C86" s="955"/>
      <c r="D86" s="955"/>
      <c r="E86" s="955"/>
      <c r="F86" s="955"/>
      <c r="G86" s="955"/>
      <c r="H86" s="955"/>
      <c r="I86" s="955"/>
      <c r="J86" s="955"/>
      <c r="K86" s="955"/>
      <c r="L86" s="955"/>
      <c r="M86" s="955"/>
      <c r="N86" s="955"/>
      <c r="O86" s="955"/>
      <c r="P86" s="955"/>
    </row>
    <row r="87" spans="2:16">
      <c r="B87" s="12"/>
      <c r="C87" s="955"/>
      <c r="D87" s="955"/>
      <c r="E87" s="955"/>
      <c r="F87" s="955"/>
      <c r="G87" s="955"/>
      <c r="H87" s="955"/>
      <c r="I87" s="955"/>
      <c r="J87" s="955"/>
      <c r="K87" s="955"/>
      <c r="L87" s="955"/>
      <c r="M87" s="955"/>
      <c r="N87" s="955"/>
      <c r="O87" s="955"/>
      <c r="P87" s="955"/>
    </row>
    <row r="88" spans="2:16">
      <c r="B88" s="8" t="str">
        <f>B73</f>
        <v>Age group</v>
      </c>
      <c r="C88" s="956" t="str">
        <f>C73</f>
        <v>2014/15</v>
      </c>
      <c r="D88" s="956" t="str">
        <f t="shared" ref="D88:P88" si="4">D73</f>
        <v>2015/16</v>
      </c>
      <c r="E88" s="956" t="str">
        <f t="shared" si="4"/>
        <v>2016/17</v>
      </c>
      <c r="F88" s="956" t="str">
        <f t="shared" si="4"/>
        <v>2017/18</v>
      </c>
      <c r="G88" s="956" t="str">
        <f t="shared" si="4"/>
        <v>2018/19</v>
      </c>
      <c r="H88" s="956" t="str">
        <f t="shared" si="4"/>
        <v>2019/20</v>
      </c>
      <c r="I88" s="956" t="str">
        <f t="shared" si="4"/>
        <v>2020/21</v>
      </c>
      <c r="J88" s="956" t="str">
        <f t="shared" si="4"/>
        <v>2021/22</v>
      </c>
      <c r="K88" s="956" t="str">
        <f t="shared" si="4"/>
        <v>2022/23</v>
      </c>
      <c r="L88" s="956" t="str">
        <f t="shared" si="4"/>
        <v>2023/24</v>
      </c>
      <c r="M88" s="956" t="str">
        <f t="shared" si="4"/>
        <v>2024/25</v>
      </c>
      <c r="N88" s="956" t="str">
        <f t="shared" si="4"/>
        <v>2025/26</v>
      </c>
      <c r="O88" s="956" t="str">
        <f t="shared" si="4"/>
        <v>2026/27</v>
      </c>
      <c r="P88" s="956" t="str">
        <f t="shared" si="4"/>
        <v>2027/28</v>
      </c>
    </row>
    <row r="89" spans="2:16">
      <c r="B89" s="8" t="str">
        <f t="shared" ref="B89:B99" si="5">B74</f>
        <v>20-24</v>
      </c>
      <c r="C89" s="164">
        <f>C57*$H25</f>
        <v>0.10825764650209926</v>
      </c>
      <c r="D89" s="164">
        <f t="shared" ref="D89:P89" si="6">D57*$H25</f>
        <v>0.10825764650209926</v>
      </c>
      <c r="E89" s="164">
        <f t="shared" si="6"/>
        <v>0.10825764650209926</v>
      </c>
      <c r="F89" s="164">
        <f t="shared" si="6"/>
        <v>0.10825764650209926</v>
      </c>
      <c r="G89" s="164">
        <f t="shared" si="6"/>
        <v>0.10825764650209926</v>
      </c>
      <c r="H89" s="164">
        <f t="shared" si="6"/>
        <v>0.10825764650209926</v>
      </c>
      <c r="I89" s="164">
        <f t="shared" si="6"/>
        <v>0.10825764650209926</v>
      </c>
      <c r="J89" s="164">
        <f t="shared" si="6"/>
        <v>0.10825764650209926</v>
      </c>
      <c r="K89" s="164">
        <f t="shared" si="6"/>
        <v>0.10825764650209926</v>
      </c>
      <c r="L89" s="164">
        <f t="shared" si="6"/>
        <v>0.10825764650209926</v>
      </c>
      <c r="M89" s="164">
        <f t="shared" si="6"/>
        <v>0.10825764650209926</v>
      </c>
      <c r="N89" s="164">
        <f t="shared" si="6"/>
        <v>0.10825764650209926</v>
      </c>
      <c r="O89" s="164">
        <f t="shared" si="6"/>
        <v>0.10825764650209926</v>
      </c>
      <c r="P89" s="164">
        <f t="shared" si="6"/>
        <v>0.10825764650209926</v>
      </c>
    </row>
    <row r="90" spans="2:16">
      <c r="B90" s="8" t="str">
        <f t="shared" si="5"/>
        <v>25-29</v>
      </c>
      <c r="C90" s="164">
        <f t="shared" ref="C90:P99" si="7">C58*$H26</f>
        <v>9.179325088030002E-2</v>
      </c>
      <c r="D90" s="164">
        <f t="shared" si="7"/>
        <v>9.179325088030002E-2</v>
      </c>
      <c r="E90" s="164">
        <f t="shared" si="7"/>
        <v>9.179325088030002E-2</v>
      </c>
      <c r="F90" s="164">
        <f t="shared" si="7"/>
        <v>9.179325088030002E-2</v>
      </c>
      <c r="G90" s="164">
        <f t="shared" si="7"/>
        <v>9.179325088030002E-2</v>
      </c>
      <c r="H90" s="164">
        <f t="shared" si="7"/>
        <v>9.179325088030002E-2</v>
      </c>
      <c r="I90" s="164">
        <f t="shared" si="7"/>
        <v>9.179325088030002E-2</v>
      </c>
      <c r="J90" s="164">
        <f t="shared" si="7"/>
        <v>9.179325088030002E-2</v>
      </c>
      <c r="K90" s="164">
        <f t="shared" si="7"/>
        <v>9.179325088030002E-2</v>
      </c>
      <c r="L90" s="164">
        <f t="shared" si="7"/>
        <v>9.179325088030002E-2</v>
      </c>
      <c r="M90" s="164">
        <f t="shared" si="7"/>
        <v>9.179325088030002E-2</v>
      </c>
      <c r="N90" s="164">
        <f t="shared" si="7"/>
        <v>9.179325088030002E-2</v>
      </c>
      <c r="O90" s="164">
        <f t="shared" si="7"/>
        <v>9.179325088030002E-2</v>
      </c>
      <c r="P90" s="164">
        <f t="shared" si="7"/>
        <v>9.179325088030002E-2</v>
      </c>
    </row>
    <row r="91" spans="2:16">
      <c r="B91" s="8" t="str">
        <f t="shared" si="5"/>
        <v>30-34</v>
      </c>
      <c r="C91" s="164">
        <f t="shared" si="7"/>
        <v>8.6785145340085634E-2</v>
      </c>
      <c r="D91" s="164">
        <f t="shared" si="7"/>
        <v>8.6785145340085634E-2</v>
      </c>
      <c r="E91" s="164">
        <f t="shared" si="7"/>
        <v>8.6785145340085634E-2</v>
      </c>
      <c r="F91" s="164">
        <f t="shared" si="7"/>
        <v>8.6785145340085634E-2</v>
      </c>
      <c r="G91" s="164">
        <f t="shared" si="7"/>
        <v>8.6785145340085634E-2</v>
      </c>
      <c r="H91" s="164">
        <f t="shared" si="7"/>
        <v>8.6785145340085634E-2</v>
      </c>
      <c r="I91" s="164">
        <f t="shared" si="7"/>
        <v>8.6785145340085634E-2</v>
      </c>
      <c r="J91" s="164">
        <f t="shared" si="7"/>
        <v>8.6785145340085634E-2</v>
      </c>
      <c r="K91" s="164">
        <f t="shared" si="7"/>
        <v>8.6785145340085634E-2</v>
      </c>
      <c r="L91" s="164">
        <f t="shared" si="7"/>
        <v>8.6785145340085634E-2</v>
      </c>
      <c r="M91" s="164">
        <f t="shared" si="7"/>
        <v>8.6785145340085634E-2</v>
      </c>
      <c r="N91" s="164">
        <f t="shared" si="7"/>
        <v>8.6785145340085634E-2</v>
      </c>
      <c r="O91" s="164">
        <f t="shared" si="7"/>
        <v>8.6785145340085634E-2</v>
      </c>
      <c r="P91" s="164">
        <f t="shared" si="7"/>
        <v>8.6785145340085634E-2</v>
      </c>
    </row>
    <row r="92" spans="2:16">
      <c r="B92" s="8" t="str">
        <f t="shared" si="5"/>
        <v>35-39</v>
      </c>
      <c r="C92" s="164">
        <f t="shared" si="7"/>
        <v>7.9567207297839393E-2</v>
      </c>
      <c r="D92" s="164">
        <f t="shared" si="7"/>
        <v>7.9567207297839393E-2</v>
      </c>
      <c r="E92" s="164">
        <f t="shared" si="7"/>
        <v>7.9567207297839393E-2</v>
      </c>
      <c r="F92" s="164">
        <f t="shared" si="7"/>
        <v>7.9567207297839393E-2</v>
      </c>
      <c r="G92" s="164">
        <f t="shared" si="7"/>
        <v>7.9567207297839393E-2</v>
      </c>
      <c r="H92" s="164">
        <f t="shared" si="7"/>
        <v>7.9567207297839393E-2</v>
      </c>
      <c r="I92" s="164">
        <f t="shared" si="7"/>
        <v>7.9567207297839393E-2</v>
      </c>
      <c r="J92" s="164">
        <f t="shared" si="7"/>
        <v>7.9567207297839393E-2</v>
      </c>
      <c r="K92" s="164">
        <f t="shared" si="7"/>
        <v>7.9567207297839393E-2</v>
      </c>
      <c r="L92" s="164">
        <f t="shared" si="7"/>
        <v>7.9567207297839393E-2</v>
      </c>
      <c r="M92" s="164">
        <f t="shared" si="7"/>
        <v>7.9567207297839393E-2</v>
      </c>
      <c r="N92" s="164">
        <f t="shared" si="7"/>
        <v>7.9567207297839393E-2</v>
      </c>
      <c r="O92" s="164">
        <f t="shared" si="7"/>
        <v>7.9567207297839393E-2</v>
      </c>
      <c r="P92" s="164">
        <f t="shared" si="7"/>
        <v>7.9567207297839393E-2</v>
      </c>
    </row>
    <row r="93" spans="2:16">
      <c r="B93" s="8" t="str">
        <f t="shared" si="5"/>
        <v>40-44</v>
      </c>
      <c r="C93" s="164">
        <f t="shared" si="7"/>
        <v>7.6138148489365731E-2</v>
      </c>
      <c r="D93" s="164">
        <f t="shared" si="7"/>
        <v>7.6138148489365731E-2</v>
      </c>
      <c r="E93" s="164">
        <f t="shared" si="7"/>
        <v>7.6138148489365731E-2</v>
      </c>
      <c r="F93" s="164">
        <f t="shared" si="7"/>
        <v>7.6138148489365731E-2</v>
      </c>
      <c r="G93" s="164">
        <f t="shared" si="7"/>
        <v>7.6138148489365731E-2</v>
      </c>
      <c r="H93" s="164">
        <f t="shared" si="7"/>
        <v>7.6138148489365731E-2</v>
      </c>
      <c r="I93" s="164">
        <f t="shared" si="7"/>
        <v>7.6138148489365731E-2</v>
      </c>
      <c r="J93" s="164">
        <f t="shared" si="7"/>
        <v>7.6138148489365731E-2</v>
      </c>
      <c r="K93" s="164">
        <f t="shared" si="7"/>
        <v>7.6138148489365731E-2</v>
      </c>
      <c r="L93" s="164">
        <f t="shared" si="7"/>
        <v>7.6138148489365731E-2</v>
      </c>
      <c r="M93" s="164">
        <f t="shared" si="7"/>
        <v>7.6138148489365731E-2</v>
      </c>
      <c r="N93" s="164">
        <f t="shared" si="7"/>
        <v>7.6138148489365731E-2</v>
      </c>
      <c r="O93" s="164">
        <f t="shared" si="7"/>
        <v>7.6138148489365731E-2</v>
      </c>
      <c r="P93" s="164">
        <f t="shared" si="7"/>
        <v>7.6138148489365731E-2</v>
      </c>
    </row>
    <row r="94" spans="2:16">
      <c r="B94" s="8" t="str">
        <f t="shared" si="5"/>
        <v>45-49</v>
      </c>
      <c r="C94" s="164">
        <f t="shared" si="7"/>
        <v>7.9436002522851226E-2</v>
      </c>
      <c r="D94" s="164">
        <f t="shared" si="7"/>
        <v>7.9436002522851226E-2</v>
      </c>
      <c r="E94" s="164">
        <f t="shared" si="7"/>
        <v>7.9436002522851226E-2</v>
      </c>
      <c r="F94" s="164">
        <f t="shared" si="7"/>
        <v>7.9436002522851226E-2</v>
      </c>
      <c r="G94" s="164">
        <f t="shared" si="7"/>
        <v>7.9436002522851226E-2</v>
      </c>
      <c r="H94" s="164">
        <f t="shared" si="7"/>
        <v>7.9436002522851226E-2</v>
      </c>
      <c r="I94" s="164">
        <f t="shared" si="7"/>
        <v>7.9436002522851226E-2</v>
      </c>
      <c r="J94" s="164">
        <f t="shared" si="7"/>
        <v>7.9436002522851226E-2</v>
      </c>
      <c r="K94" s="164">
        <f t="shared" si="7"/>
        <v>7.9436002522851226E-2</v>
      </c>
      <c r="L94" s="164">
        <f t="shared" si="7"/>
        <v>7.9436002522851226E-2</v>
      </c>
      <c r="M94" s="164">
        <f t="shared" si="7"/>
        <v>7.9436002522851226E-2</v>
      </c>
      <c r="N94" s="164">
        <f t="shared" si="7"/>
        <v>7.9436002522851226E-2</v>
      </c>
      <c r="O94" s="164">
        <f t="shared" si="7"/>
        <v>7.9436002522851226E-2</v>
      </c>
      <c r="P94" s="164">
        <f t="shared" si="7"/>
        <v>7.9436002522851226E-2</v>
      </c>
    </row>
    <row r="95" spans="2:16">
      <c r="B95" s="8" t="str">
        <f t="shared" si="5"/>
        <v>50-54</v>
      </c>
      <c r="C95" s="164">
        <f t="shared" si="7"/>
        <v>8.79088344636728E-2</v>
      </c>
      <c r="D95" s="164">
        <f t="shared" si="7"/>
        <v>8.79088344636728E-2</v>
      </c>
      <c r="E95" s="164">
        <f t="shared" si="7"/>
        <v>8.79088344636728E-2</v>
      </c>
      <c r="F95" s="164">
        <f t="shared" si="7"/>
        <v>8.79088344636728E-2</v>
      </c>
      <c r="G95" s="164">
        <f t="shared" si="7"/>
        <v>8.79088344636728E-2</v>
      </c>
      <c r="H95" s="164">
        <f t="shared" si="7"/>
        <v>8.79088344636728E-2</v>
      </c>
      <c r="I95" s="164">
        <f t="shared" si="7"/>
        <v>8.79088344636728E-2</v>
      </c>
      <c r="J95" s="164">
        <f t="shared" si="7"/>
        <v>8.79088344636728E-2</v>
      </c>
      <c r="K95" s="164">
        <f t="shared" si="7"/>
        <v>8.79088344636728E-2</v>
      </c>
      <c r="L95" s="164">
        <f t="shared" si="7"/>
        <v>8.79088344636728E-2</v>
      </c>
      <c r="M95" s="164">
        <f t="shared" si="7"/>
        <v>8.79088344636728E-2</v>
      </c>
      <c r="N95" s="164">
        <f t="shared" si="7"/>
        <v>8.79088344636728E-2</v>
      </c>
      <c r="O95" s="164">
        <f t="shared" si="7"/>
        <v>8.79088344636728E-2</v>
      </c>
      <c r="P95" s="164">
        <f t="shared" si="7"/>
        <v>8.79088344636728E-2</v>
      </c>
    </row>
    <row r="96" spans="2:16">
      <c r="B96" s="8" t="str">
        <f t="shared" si="5"/>
        <v>55-59</v>
      </c>
      <c r="C96" s="164">
        <f t="shared" si="7"/>
        <v>5.5568289202632466E-2</v>
      </c>
      <c r="D96" s="164">
        <f t="shared" si="7"/>
        <v>5.5568289202632466E-2</v>
      </c>
      <c r="E96" s="164">
        <f t="shared" si="7"/>
        <v>5.5568289202632466E-2</v>
      </c>
      <c r="F96" s="164">
        <f t="shared" si="7"/>
        <v>5.5568289202632466E-2</v>
      </c>
      <c r="G96" s="164">
        <f t="shared" si="7"/>
        <v>5.5568289202632466E-2</v>
      </c>
      <c r="H96" s="164">
        <f t="shared" si="7"/>
        <v>5.5568289202632466E-2</v>
      </c>
      <c r="I96" s="164">
        <f t="shared" si="7"/>
        <v>5.5568289202632466E-2</v>
      </c>
      <c r="J96" s="164">
        <f t="shared" si="7"/>
        <v>5.5568289202632466E-2</v>
      </c>
      <c r="K96" s="164">
        <f t="shared" si="7"/>
        <v>5.5568289202632466E-2</v>
      </c>
      <c r="L96" s="164">
        <f t="shared" si="7"/>
        <v>5.5568289202632466E-2</v>
      </c>
      <c r="M96" s="164">
        <f t="shared" si="7"/>
        <v>5.5568289202632466E-2</v>
      </c>
      <c r="N96" s="164">
        <f t="shared" si="7"/>
        <v>5.5568289202632466E-2</v>
      </c>
      <c r="O96" s="164">
        <f t="shared" si="7"/>
        <v>5.5568289202632466E-2</v>
      </c>
      <c r="P96" s="164">
        <f t="shared" si="7"/>
        <v>5.5568289202632466E-2</v>
      </c>
    </row>
    <row r="97" spans="2:16">
      <c r="B97" s="8" t="str">
        <f t="shared" si="5"/>
        <v>60-64</v>
      </c>
      <c r="C97" s="164">
        <f t="shared" si="7"/>
        <v>2.3785860515472948E-2</v>
      </c>
      <c r="D97" s="164">
        <f t="shared" si="7"/>
        <v>2.3785860515472948E-2</v>
      </c>
      <c r="E97" s="164">
        <f t="shared" si="7"/>
        <v>2.3785860515472948E-2</v>
      </c>
      <c r="F97" s="164">
        <f t="shared" si="7"/>
        <v>2.3785860515472948E-2</v>
      </c>
      <c r="G97" s="164">
        <f t="shared" si="7"/>
        <v>2.3785860515472948E-2</v>
      </c>
      <c r="H97" s="164">
        <f t="shared" si="7"/>
        <v>2.3785860515472948E-2</v>
      </c>
      <c r="I97" s="164">
        <f t="shared" si="7"/>
        <v>2.3785860515472948E-2</v>
      </c>
      <c r="J97" s="164">
        <f t="shared" si="7"/>
        <v>2.3785860515472948E-2</v>
      </c>
      <c r="K97" s="164">
        <f t="shared" si="7"/>
        <v>2.3785860515472948E-2</v>
      </c>
      <c r="L97" s="164">
        <f t="shared" si="7"/>
        <v>2.3785860515472948E-2</v>
      </c>
      <c r="M97" s="164">
        <f t="shared" si="7"/>
        <v>2.3785860515472948E-2</v>
      </c>
      <c r="N97" s="164">
        <f t="shared" si="7"/>
        <v>2.3785860515472948E-2</v>
      </c>
      <c r="O97" s="164">
        <f t="shared" si="7"/>
        <v>2.3785860515472948E-2</v>
      </c>
      <c r="P97" s="164">
        <f t="shared" si="7"/>
        <v>2.3785860515472948E-2</v>
      </c>
    </row>
    <row r="98" spans="2:16">
      <c r="B98" s="8" t="str">
        <f t="shared" si="5"/>
        <v>65 plus</v>
      </c>
      <c r="C98" s="164">
        <f t="shared" si="7"/>
        <v>3.4853904322594727E-2</v>
      </c>
      <c r="D98" s="164">
        <f t="shared" si="7"/>
        <v>3.4853904322594727E-2</v>
      </c>
      <c r="E98" s="164">
        <f t="shared" si="7"/>
        <v>3.4853904322594727E-2</v>
      </c>
      <c r="F98" s="164">
        <f t="shared" si="7"/>
        <v>3.4853904322594727E-2</v>
      </c>
      <c r="G98" s="164">
        <f t="shared" si="7"/>
        <v>3.4853904322594727E-2</v>
      </c>
      <c r="H98" s="164">
        <f t="shared" si="7"/>
        <v>3.4853904322594727E-2</v>
      </c>
      <c r="I98" s="164">
        <f t="shared" si="7"/>
        <v>3.4853904322594727E-2</v>
      </c>
      <c r="J98" s="164">
        <f t="shared" si="7"/>
        <v>3.4853904322594727E-2</v>
      </c>
      <c r="K98" s="164">
        <f t="shared" si="7"/>
        <v>3.4853904322594727E-2</v>
      </c>
      <c r="L98" s="164">
        <f t="shared" si="7"/>
        <v>3.4853904322594727E-2</v>
      </c>
      <c r="M98" s="164">
        <f t="shared" si="7"/>
        <v>3.4853904322594727E-2</v>
      </c>
      <c r="N98" s="164">
        <f t="shared" si="7"/>
        <v>3.4853904322594727E-2</v>
      </c>
      <c r="O98" s="164">
        <f t="shared" si="7"/>
        <v>3.4853904322594727E-2</v>
      </c>
      <c r="P98" s="164">
        <f t="shared" si="7"/>
        <v>3.4853904322594727E-2</v>
      </c>
    </row>
    <row r="99" spans="2:16">
      <c r="B99" s="8" t="str">
        <f t="shared" si="5"/>
        <v>Total</v>
      </c>
      <c r="C99" s="164">
        <f t="shared" si="7"/>
        <v>8.322282886286074E-2</v>
      </c>
      <c r="D99" s="164">
        <f t="shared" si="7"/>
        <v>8.322282886286074E-2</v>
      </c>
      <c r="E99" s="164">
        <f t="shared" si="7"/>
        <v>8.322282886286074E-2</v>
      </c>
      <c r="F99" s="164">
        <f t="shared" si="7"/>
        <v>8.322282886286074E-2</v>
      </c>
      <c r="G99" s="164">
        <f t="shared" si="7"/>
        <v>8.322282886286074E-2</v>
      </c>
      <c r="H99" s="164">
        <f t="shared" si="7"/>
        <v>8.322282886286074E-2</v>
      </c>
      <c r="I99" s="164">
        <f t="shared" si="7"/>
        <v>8.322282886286074E-2</v>
      </c>
      <c r="J99" s="164">
        <f t="shared" si="7"/>
        <v>8.322282886286074E-2</v>
      </c>
      <c r="K99" s="164">
        <f t="shared" si="7"/>
        <v>8.322282886286074E-2</v>
      </c>
      <c r="L99" s="164">
        <f t="shared" si="7"/>
        <v>8.322282886286074E-2</v>
      </c>
      <c r="M99" s="164">
        <f t="shared" si="7"/>
        <v>8.322282886286074E-2</v>
      </c>
      <c r="N99" s="164">
        <f t="shared" si="7"/>
        <v>8.322282886286074E-2</v>
      </c>
      <c r="O99" s="164">
        <f t="shared" si="7"/>
        <v>8.322282886286074E-2</v>
      </c>
      <c r="P99" s="164">
        <f t="shared" si="7"/>
        <v>8.322282886286074E-2</v>
      </c>
    </row>
  </sheetData>
  <mergeCells count="5">
    <mergeCell ref="B22:B23"/>
    <mergeCell ref="C22:H22"/>
    <mergeCell ref="C23:E23"/>
    <mergeCell ref="F23:H23"/>
    <mergeCell ref="A5:P5"/>
  </mergeCells>
  <hyperlinks>
    <hyperlink ref="A2" location="'Title_&amp;_Contents'!A1" display="Contents"/>
    <hyperlink ref="B2" location="Map_of_sheets!A1" display="Map of shee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N66"/>
  <sheetViews>
    <sheetView showGridLines="0" workbookViewId="0"/>
  </sheetViews>
  <sheetFormatPr defaultRowHeight="12.75"/>
  <cols>
    <col min="2" max="2" width="25.7109375" customWidth="1"/>
    <col min="3" max="40" width="12.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c r="A4" s="58" t="s">
        <v>26</v>
      </c>
      <c r="B4" s="58"/>
      <c r="C4" s="58"/>
      <c r="D4" s="58"/>
      <c r="E4" s="292"/>
      <c r="F4" s="58"/>
      <c r="G4" s="58"/>
      <c r="H4" s="58"/>
      <c r="I4" s="58"/>
      <c r="J4" s="58"/>
      <c r="K4" s="58"/>
      <c r="L4" s="58"/>
    </row>
    <row r="5" spans="1:17" s="47" customFormat="1" ht="26.25" customHeight="1">
      <c r="A5" s="1199" t="s">
        <v>634</v>
      </c>
      <c r="B5" s="1199"/>
      <c r="C5" s="1199"/>
      <c r="D5" s="1199"/>
      <c r="E5" s="1199"/>
      <c r="F5" s="1199"/>
      <c r="G5" s="1199"/>
      <c r="H5" s="1199"/>
      <c r="I5" s="1199"/>
      <c r="J5" s="1199"/>
      <c r="K5" s="1199"/>
      <c r="L5" s="1199"/>
      <c r="M5" s="1199"/>
      <c r="N5" s="1199"/>
      <c r="O5" s="1199"/>
      <c r="P5" s="59"/>
      <c r="Q5" s="59"/>
    </row>
    <row r="6" spans="1:17" s="46" customFormat="1">
      <c r="A6" s="56" t="s">
        <v>1420</v>
      </c>
      <c r="B6" s="61"/>
      <c r="C6" s="61"/>
      <c r="D6" s="61"/>
      <c r="E6" s="292"/>
      <c r="F6" s="61"/>
      <c r="G6" s="61"/>
      <c r="H6" s="61"/>
      <c r="I6" s="61"/>
      <c r="J6" s="61"/>
      <c r="K6" s="61"/>
      <c r="L6" s="61"/>
      <c r="M6" s="45"/>
      <c r="N6" s="45"/>
      <c r="O6" s="45"/>
      <c r="P6" s="45"/>
      <c r="Q6" s="45"/>
    </row>
    <row r="7" spans="1:17" s="46" customFormat="1">
      <c r="A7" s="54" t="s">
        <v>166</v>
      </c>
      <c r="B7" s="56"/>
      <c r="C7" s="61"/>
      <c r="D7" s="61"/>
      <c r="E7" s="292"/>
      <c r="F7" s="61"/>
      <c r="G7" s="61"/>
      <c r="H7" s="61"/>
      <c r="I7" s="61"/>
      <c r="J7" s="61"/>
      <c r="K7" s="61"/>
      <c r="L7" s="61"/>
      <c r="M7" s="45"/>
      <c r="N7" s="45"/>
      <c r="O7" s="45"/>
      <c r="P7" s="45"/>
      <c r="Q7" s="45"/>
    </row>
    <row r="8" spans="1:17" s="46" customFormat="1">
      <c r="A8" s="56" t="s">
        <v>24</v>
      </c>
      <c r="B8" s="61"/>
      <c r="C8" s="61"/>
      <c r="D8" s="61"/>
      <c r="E8" s="292"/>
      <c r="F8" s="61"/>
      <c r="G8" s="61"/>
      <c r="H8" s="61"/>
      <c r="I8" s="61"/>
      <c r="J8" s="61"/>
      <c r="K8" s="61"/>
      <c r="L8" s="61"/>
      <c r="M8" s="45"/>
      <c r="N8" s="45"/>
      <c r="O8" s="45"/>
      <c r="P8" s="45"/>
      <c r="Q8" s="45"/>
    </row>
    <row r="9" spans="1:17" s="46" customFormat="1">
      <c r="A9" s="54" t="s">
        <v>348</v>
      </c>
      <c r="B9" s="61"/>
      <c r="C9" s="61"/>
      <c r="D9" s="61"/>
      <c r="E9" s="292"/>
      <c r="F9" s="61"/>
      <c r="G9" s="61"/>
      <c r="H9" s="61"/>
      <c r="I9" s="61"/>
      <c r="J9" s="61"/>
      <c r="K9" s="61"/>
      <c r="L9" s="61"/>
      <c r="M9" s="45"/>
      <c r="N9" s="45"/>
      <c r="O9" s="45"/>
      <c r="P9" s="45"/>
      <c r="Q9" s="45"/>
    </row>
    <row r="10" spans="1:17" s="50" customFormat="1" ht="13.5" customHeight="1">
      <c r="A10" s="55">
        <f>SUM(A13:A2211)</f>
        <v>0</v>
      </c>
      <c r="B10" s="73"/>
      <c r="C10" s="71"/>
      <c r="D10" s="48"/>
      <c r="E10" s="48"/>
      <c r="F10" s="48"/>
      <c r="G10" s="72"/>
      <c r="H10" s="48"/>
      <c r="I10" s="48"/>
      <c r="J10" s="72"/>
      <c r="K10" s="49"/>
      <c r="L10" s="49"/>
      <c r="M10" s="49"/>
      <c r="N10" s="49"/>
      <c r="O10" s="49"/>
      <c r="P10" s="49"/>
      <c r="Q10" s="49"/>
    </row>
    <row r="12" spans="1:17" ht="15.75">
      <c r="B12" s="78" t="s">
        <v>1453</v>
      </c>
    </row>
    <row r="14" spans="1:17">
      <c r="B14" s="8" t="s">
        <v>70</v>
      </c>
      <c r="C14" s="459">
        <f>RAW_DATA_INPUTS!AQ50+RAW_DATA_INPUTS!AR50</f>
        <v>239231.65000000002</v>
      </c>
    </row>
    <row r="15" spans="1:17">
      <c r="B15" s="183" t="s">
        <v>95</v>
      </c>
      <c r="C15" s="459">
        <f>RAW_DATA_INPUTS!AQ66+RAW_DATA_INPUTS!AR66</f>
        <v>7989.6540000000005</v>
      </c>
    </row>
    <row r="16" spans="1:17">
      <c r="B16" s="8" t="s">
        <v>96</v>
      </c>
      <c r="C16" s="459">
        <f>C14*RAW_DATA_INPUTS!$C$389</f>
        <v>212916.16850000003</v>
      </c>
    </row>
    <row r="17" spans="2:40">
      <c r="B17" s="8" t="s">
        <v>97</v>
      </c>
      <c r="C17" s="459">
        <f>C15*RAW_DATA_INPUTS!$C$389</f>
        <v>7110.7920600000007</v>
      </c>
    </row>
    <row r="19" spans="2:40" ht="15.75">
      <c r="B19" s="78" t="s">
        <v>1610</v>
      </c>
    </row>
    <row r="22" spans="2:40" s="151" customFormat="1" ht="38.25" customHeight="1">
      <c r="B22" s="1183" t="s">
        <v>62</v>
      </c>
      <c r="C22" s="1104" t="str">
        <f>RAW_DATA_INPUTS!C38:D38</f>
        <v>Art &amp; Design</v>
      </c>
      <c r="D22" s="1104"/>
      <c r="E22" s="1104" t="str">
        <f>RAW_DATA_INPUTS!E38:F38</f>
        <v>Biology</v>
      </c>
      <c r="F22" s="1104"/>
      <c r="G22" s="1104" t="str">
        <f>RAW_DATA_INPUTS!G38:H38</f>
        <v>Business Studies</v>
      </c>
      <c r="H22" s="1104"/>
      <c r="I22" s="1104" t="str">
        <f>RAW_DATA_INPUTS!I38:J38</f>
        <v>Chemistry</v>
      </c>
      <c r="J22" s="1104"/>
      <c r="K22" s="1104" t="str">
        <f>RAW_DATA_INPUTS!K38:L38</f>
        <v>Classics</v>
      </c>
      <c r="L22" s="1104"/>
      <c r="M22" s="1104" t="str">
        <f>RAW_DATA_INPUTS!M38:N38</f>
        <v>Computing</v>
      </c>
      <c r="N22" s="1104"/>
      <c r="O22" s="1104" t="str">
        <f>RAW_DATA_INPUTS!O38:P38</f>
        <v>Design &amp; Technology</v>
      </c>
      <c r="P22" s="1104"/>
      <c r="Q22" s="1104" t="str">
        <f>RAW_DATA_INPUTS!Q38:R38</f>
        <v>Drama</v>
      </c>
      <c r="R22" s="1104"/>
      <c r="S22" s="1104" t="str">
        <f>RAW_DATA_INPUTS!S38:T38</f>
        <v>English</v>
      </c>
      <c r="T22" s="1104"/>
      <c r="U22" s="1104" t="str">
        <f>RAW_DATA_INPUTS!U38:V38</f>
        <v>Food</v>
      </c>
      <c r="V22" s="1104"/>
      <c r="W22" s="1104" t="str">
        <f>RAW_DATA_INPUTS!W38:X38</f>
        <v>Geography</v>
      </c>
      <c r="X22" s="1104"/>
      <c r="Y22" s="1104" t="str">
        <f>RAW_DATA_INPUTS!Y38:Z38</f>
        <v>History</v>
      </c>
      <c r="Z22" s="1104"/>
      <c r="AA22" s="1104" t="str">
        <f>RAW_DATA_INPUTS!AA38:AB38</f>
        <v>Mathematics</v>
      </c>
      <c r="AB22" s="1104"/>
      <c r="AC22" s="1104" t="str">
        <f>RAW_DATA_INPUTS!AC38:AD38</f>
        <v>Modern Foreign Languages</v>
      </c>
      <c r="AD22" s="1104"/>
      <c r="AE22" s="1104" t="str">
        <f>RAW_DATA_INPUTS!AE38:AF38</f>
        <v>Music</v>
      </c>
      <c r="AF22" s="1104"/>
      <c r="AG22" s="1104" t="str">
        <f>RAW_DATA_INPUTS!AG38:AH38</f>
        <v>Others</v>
      </c>
      <c r="AH22" s="1104"/>
      <c r="AI22" s="1104" t="str">
        <f>RAW_DATA_INPUTS!AI38:AJ38</f>
        <v>Physical Education</v>
      </c>
      <c r="AJ22" s="1104"/>
      <c r="AK22" s="1104" t="str">
        <f>RAW_DATA_INPUTS!AK38:AL38</f>
        <v>Physics</v>
      </c>
      <c r="AL22" s="1104"/>
      <c r="AM22" s="1104" t="str">
        <f>RAW_DATA_INPUTS!AM38:AN38</f>
        <v>Religious Education</v>
      </c>
      <c r="AN22" s="1104"/>
    </row>
    <row r="23" spans="2:40" s="5" customFormat="1">
      <c r="B23" s="1184"/>
      <c r="C23" s="77" t="s">
        <v>49</v>
      </c>
      <c r="D23" s="77" t="s">
        <v>50</v>
      </c>
      <c r="E23" s="77" t="s">
        <v>49</v>
      </c>
      <c r="F23" s="77" t="s">
        <v>50</v>
      </c>
      <c r="G23" s="77" t="s">
        <v>49</v>
      </c>
      <c r="H23" s="77" t="s">
        <v>50</v>
      </c>
      <c r="I23" s="77" t="s">
        <v>49</v>
      </c>
      <c r="J23" s="77" t="s">
        <v>50</v>
      </c>
      <c r="K23" s="77" t="s">
        <v>49</v>
      </c>
      <c r="L23" s="77" t="s">
        <v>50</v>
      </c>
      <c r="M23" s="77" t="s">
        <v>49</v>
      </c>
      <c r="N23" s="77" t="s">
        <v>50</v>
      </c>
      <c r="O23" s="77" t="s">
        <v>49</v>
      </c>
      <c r="P23" s="77" t="s">
        <v>50</v>
      </c>
      <c r="Q23" s="77" t="s">
        <v>49</v>
      </c>
      <c r="R23" s="77" t="s">
        <v>50</v>
      </c>
      <c r="S23" s="77" t="s">
        <v>49</v>
      </c>
      <c r="T23" s="77" t="s">
        <v>50</v>
      </c>
      <c r="U23" s="77" t="s">
        <v>49</v>
      </c>
      <c r="V23" s="77" t="s">
        <v>50</v>
      </c>
      <c r="W23" s="77" t="s">
        <v>49</v>
      </c>
      <c r="X23" s="77" t="s">
        <v>50</v>
      </c>
      <c r="Y23" s="77" t="s">
        <v>49</v>
      </c>
      <c r="Z23" s="77" t="s">
        <v>50</v>
      </c>
      <c r="AA23" s="77" t="s">
        <v>49</v>
      </c>
      <c r="AB23" s="77" t="s">
        <v>50</v>
      </c>
      <c r="AC23" s="77" t="s">
        <v>49</v>
      </c>
      <c r="AD23" s="77" t="s">
        <v>50</v>
      </c>
      <c r="AE23" s="77" t="s">
        <v>49</v>
      </c>
      <c r="AF23" s="77" t="s">
        <v>50</v>
      </c>
      <c r="AG23" s="77" t="s">
        <v>49</v>
      </c>
      <c r="AH23" s="77" t="s">
        <v>50</v>
      </c>
      <c r="AI23" s="77" t="s">
        <v>49</v>
      </c>
      <c r="AJ23" s="77" t="s">
        <v>50</v>
      </c>
      <c r="AK23" s="77" t="s">
        <v>49</v>
      </c>
      <c r="AL23" s="77" t="s">
        <v>50</v>
      </c>
      <c r="AM23" s="77" t="s">
        <v>49</v>
      </c>
      <c r="AN23" s="77" t="s">
        <v>50</v>
      </c>
    </row>
    <row r="24" spans="2:40" s="5" customFormat="1">
      <c r="B24" s="8" t="s">
        <v>1611</v>
      </c>
      <c r="C24" s="307">
        <f>RAW_DATA_INPUTS!C50</f>
        <v>1937.103173963834</v>
      </c>
      <c r="D24" s="307">
        <f>RAW_DATA_INPUTS!D50</f>
        <v>6466.3687062408226</v>
      </c>
      <c r="E24" s="307">
        <f>RAW_DATA_INPUTS!E50</f>
        <v>3688.1399116149519</v>
      </c>
      <c r="F24" s="307">
        <f>RAW_DATA_INPUTS!F50</f>
        <v>8507.3264614299787</v>
      </c>
      <c r="G24" s="307">
        <f>RAW_DATA_INPUTS!G50</f>
        <v>1835.5151403042867</v>
      </c>
      <c r="H24" s="307">
        <f>RAW_DATA_INPUTS!H50</f>
        <v>2355.2504617176319</v>
      </c>
      <c r="I24" s="307">
        <f>RAW_DATA_INPUTS!I50</f>
        <v>4373.3385793078687</v>
      </c>
      <c r="J24" s="307">
        <f>RAW_DATA_INPUTS!J50</f>
        <v>6242.4372228160955</v>
      </c>
      <c r="K24" s="307">
        <f>RAW_DATA_INPUTS!K50</f>
        <v>130.3135695865071</v>
      </c>
      <c r="L24" s="307">
        <f>RAW_DATA_INPUTS!L50</f>
        <v>193.38144692038176</v>
      </c>
      <c r="M24" s="307">
        <f>RAW_DATA_INPUTS!M50</f>
        <v>4546.7073356194687</v>
      </c>
      <c r="N24" s="307">
        <f>RAW_DATA_INPUTS!N50</f>
        <v>3085.6106039594933</v>
      </c>
      <c r="O24" s="307">
        <f>RAW_DATA_INPUTS!O50</f>
        <v>4607.1484116550373</v>
      </c>
      <c r="P24" s="307">
        <f>RAW_DATA_INPUTS!P50</f>
        <v>5845.2310138365765</v>
      </c>
      <c r="Q24" s="307">
        <f>RAW_DATA_INPUTS!Q50</f>
        <v>1146.2529903583759</v>
      </c>
      <c r="R24" s="307">
        <f>RAW_DATA_INPUTS!R50</f>
        <v>3864.9245314261802</v>
      </c>
      <c r="S24" s="307">
        <f>RAW_DATA_INPUTS!S50</f>
        <v>6138.8907110559649</v>
      </c>
      <c r="T24" s="307">
        <f>RAW_DATA_INPUTS!T50</f>
        <v>23445.735458798361</v>
      </c>
      <c r="U24" s="307">
        <f>RAW_DATA_INPUTS!U50</f>
        <v>212.35869581134955</v>
      </c>
      <c r="V24" s="307">
        <f>RAW_DATA_INPUTS!V50</f>
        <v>1919.8325832332009</v>
      </c>
      <c r="W24" s="307">
        <f>RAW_DATA_INPUTS!W50</f>
        <v>4609.7125228088362</v>
      </c>
      <c r="X24" s="307">
        <f>RAW_DATA_INPUTS!X50</f>
        <v>5937.0684211452508</v>
      </c>
      <c r="Y24" s="307">
        <f>RAW_DATA_INPUTS!Y50</f>
        <v>4998.223512356727</v>
      </c>
      <c r="Z24" s="307">
        <f>RAW_DATA_INPUTS!Z50</f>
        <v>6320.960173934528</v>
      </c>
      <c r="AA24" s="307">
        <f>RAW_DATA_INPUTS!AA50</f>
        <v>13927.187317149352</v>
      </c>
      <c r="AB24" s="307">
        <f>RAW_DATA_INPUTS!AB50</f>
        <v>16222.807833868581</v>
      </c>
      <c r="AC24" s="307">
        <f>RAW_DATA_INPUTS!AC50</f>
        <v>2777.5853963120321</v>
      </c>
      <c r="AD24" s="307">
        <f>RAW_DATA_INPUTS!AD50</f>
        <v>12276.91636224407</v>
      </c>
      <c r="AE24" s="307">
        <f>RAW_DATA_INPUTS!AE50</f>
        <v>2231.5688063857651</v>
      </c>
      <c r="AF24" s="307">
        <f>RAW_DATA_INPUTS!AF50</f>
        <v>2958.3509381146127</v>
      </c>
      <c r="AG24" s="307">
        <f>RAW_DATA_INPUTS!AG50</f>
        <v>5013.0870999694935</v>
      </c>
      <c r="AH24" s="307">
        <f>RAW_DATA_INPUTS!AH50</f>
        <v>9443.4853846765945</v>
      </c>
      <c r="AI24" s="307">
        <f>RAW_DATA_INPUTS!AI50</f>
        <v>8983.662380226755</v>
      </c>
      <c r="AJ24" s="307">
        <f>RAW_DATA_INPUTS!AJ50</f>
        <v>8182.8696784103349</v>
      </c>
      <c r="AK24" s="307">
        <f>RAW_DATA_INPUTS!AK50</f>
        <v>6480.5423405987131</v>
      </c>
      <c r="AL24" s="307">
        <f>RAW_DATA_INPUTS!AL50</f>
        <v>3784.7795158403806</v>
      </c>
      <c r="AM24" s="307">
        <f>RAW_DATA_INPUTS!AM50</f>
        <v>2306.8637480792449</v>
      </c>
      <c r="AN24" s="307">
        <f>RAW_DATA_INPUTS!AN50</f>
        <v>5115.5288600109616</v>
      </c>
    </row>
    <row r="25" spans="2:40" s="13" customFormat="1">
      <c r="B25" s="14" t="s">
        <v>1612</v>
      </c>
      <c r="C25" s="307">
        <f>RAW_DATA_INPUTS!C66</f>
        <v>130.70162052770081</v>
      </c>
      <c r="D25" s="307">
        <f>RAW_DATA_INPUTS!D66</f>
        <v>395.33494926954711</v>
      </c>
      <c r="E25" s="307">
        <f>RAW_DATA_INPUTS!E66</f>
        <v>157.29874889431503</v>
      </c>
      <c r="F25" s="307">
        <f>RAW_DATA_INPUTS!F66</f>
        <v>417.18884314816438</v>
      </c>
      <c r="G25" s="307">
        <f>RAW_DATA_INPUTS!G66</f>
        <v>151.6498865939617</v>
      </c>
      <c r="H25" s="307">
        <f>RAW_DATA_INPUTS!H66</f>
        <v>262.50530745313398</v>
      </c>
      <c r="I25" s="307">
        <f>RAW_DATA_INPUTS!I66</f>
        <v>197.89724125205274</v>
      </c>
      <c r="J25" s="307">
        <f>RAW_DATA_INPUTS!J66</f>
        <v>322.20145684903264</v>
      </c>
      <c r="K25" s="307">
        <f>RAW_DATA_INPUTS!K66</f>
        <v>5</v>
      </c>
      <c r="L25" s="307">
        <f>RAW_DATA_INPUTS!L66</f>
        <v>22</v>
      </c>
      <c r="M25" s="307">
        <f>RAW_DATA_INPUTS!M66</f>
        <v>211.14716603442923</v>
      </c>
      <c r="N25" s="307">
        <f>RAW_DATA_INPUTS!N66</f>
        <v>214.77852531071264</v>
      </c>
      <c r="O25" s="307">
        <f>RAW_DATA_INPUTS!O66</f>
        <v>395.17959474014896</v>
      </c>
      <c r="P25" s="307">
        <f>RAW_DATA_INPUTS!P66</f>
        <v>392.38907421990751</v>
      </c>
      <c r="Q25" s="307">
        <f>RAW_DATA_INPUTS!Q66</f>
        <v>111.33310712934346</v>
      </c>
      <c r="R25" s="307">
        <f>RAW_DATA_INPUTS!R66</f>
        <v>334.55418705695564</v>
      </c>
      <c r="S25" s="307">
        <f>RAW_DATA_INPUTS!S66</f>
        <v>586.7501915647216</v>
      </c>
      <c r="T25" s="307">
        <f>RAW_DATA_INPUTS!T66</f>
        <v>1962.2644842579662</v>
      </c>
      <c r="U25" s="307">
        <f>RAW_DATA_INPUTS!U66</f>
        <v>53.699073145439939</v>
      </c>
      <c r="V25" s="307">
        <f>RAW_DATA_INPUTS!V66</f>
        <v>161.59845845733528</v>
      </c>
      <c r="W25" s="307">
        <f>RAW_DATA_INPUTS!W66</f>
        <v>198.39575867745108</v>
      </c>
      <c r="X25" s="307">
        <f>RAW_DATA_INPUTS!X66</f>
        <v>303.74928166952895</v>
      </c>
      <c r="Y25" s="307">
        <f>RAW_DATA_INPUTS!Y66</f>
        <v>260.36360148977832</v>
      </c>
      <c r="Z25" s="307">
        <f>RAW_DATA_INPUTS!Z66</f>
        <v>304.6771877690432</v>
      </c>
      <c r="AA25" s="307">
        <f>RAW_DATA_INPUTS!AA66</f>
        <v>809.20013432030976</v>
      </c>
      <c r="AB25" s="307">
        <f>RAW_DATA_INPUTS!AB66</f>
        <v>1139.1043661612086</v>
      </c>
      <c r="AC25" s="307">
        <f>RAW_DATA_INPUTS!AC66</f>
        <v>115.46059581181696</v>
      </c>
      <c r="AD25" s="307">
        <f>RAW_DATA_INPUTS!AD66</f>
        <v>552.50218351564376</v>
      </c>
      <c r="AE25" s="307">
        <f>RAW_DATA_INPUTS!AE66</f>
        <v>176.11806059283373</v>
      </c>
      <c r="AF25" s="307">
        <f>RAW_DATA_INPUTS!AF66</f>
        <v>121.34348354059894</v>
      </c>
      <c r="AG25" s="307">
        <f>RAW_DATA_INPUTS!AG66</f>
        <v>616.63166669082455</v>
      </c>
      <c r="AH25" s="307">
        <f>RAW_DATA_INPUTS!AH66</f>
        <v>1764.2251382660477</v>
      </c>
      <c r="AI25" s="307">
        <f>RAW_DATA_INPUTS!AI66</f>
        <v>420.06767989308008</v>
      </c>
      <c r="AJ25" s="307">
        <f>RAW_DATA_INPUTS!AJ66</f>
        <v>305.53874344592776</v>
      </c>
      <c r="AK25" s="307">
        <f>RAW_DATA_INPUTS!AK66</f>
        <v>261.92717439406374</v>
      </c>
      <c r="AL25" s="307">
        <f>RAW_DATA_INPUTS!AL66</f>
        <v>121.73388066148524</v>
      </c>
      <c r="AM25" s="307">
        <f>RAW_DATA_INPUTS!AM66</f>
        <v>147.53834268335547</v>
      </c>
      <c r="AN25" s="307">
        <f>RAW_DATA_INPUTS!AN66</f>
        <v>279.94349760948387</v>
      </c>
    </row>
    <row r="26" spans="2:40" s="2" customFormat="1">
      <c r="B26" s="124"/>
      <c r="C26" s="148"/>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row>
    <row r="27" spans="2:40" s="2" customFormat="1" ht="15.75">
      <c r="B27" s="78" t="s">
        <v>1674</v>
      </c>
      <c r="C27" s="148"/>
      <c r="D27" s="148"/>
      <c r="E27" s="148"/>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row>
    <row r="28" spans="2:40" s="2" customFormat="1">
      <c r="B28" s="124"/>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row>
    <row r="30" spans="2:40" s="154" customFormat="1" ht="50.25" customHeight="1">
      <c r="B30" s="153"/>
      <c r="C30" s="152" t="str">
        <f>RAW_DATA_INPUTS!C38:D38</f>
        <v>Art &amp; Design</v>
      </c>
      <c r="D30" s="152" t="str">
        <f>RAW_DATA_INPUTS!E38</f>
        <v>Biology</v>
      </c>
      <c r="E30" s="152" t="str">
        <f>RAW_DATA_INPUTS!G38</f>
        <v>Business Studies</v>
      </c>
      <c r="F30" s="152" t="str">
        <f>RAW_DATA_INPUTS!I38</f>
        <v>Chemistry</v>
      </c>
      <c r="G30" s="152" t="str">
        <f>RAW_DATA_INPUTS!K38</f>
        <v>Classics</v>
      </c>
      <c r="H30" s="152" t="str">
        <f>RAW_DATA_INPUTS!M38</f>
        <v>Computing</v>
      </c>
      <c r="I30" s="152" t="str">
        <f>RAW_DATA_INPUTS!O38</f>
        <v>Design &amp; Technology</v>
      </c>
      <c r="J30" s="152" t="str">
        <f>RAW_DATA_INPUTS!Q38</f>
        <v>Drama</v>
      </c>
      <c r="K30" s="152" t="str">
        <f>RAW_DATA_INPUTS!S38</f>
        <v>English</v>
      </c>
      <c r="L30" s="152" t="str">
        <f>RAW_DATA_INPUTS!U38</f>
        <v>Food</v>
      </c>
      <c r="M30" s="152" t="str">
        <f>RAW_DATA_INPUTS!W38</f>
        <v>Geography</v>
      </c>
      <c r="N30" s="152" t="str">
        <f>RAW_DATA_INPUTS!Y38</f>
        <v>History</v>
      </c>
      <c r="O30" s="152" t="str">
        <f>RAW_DATA_INPUTS!AA38</f>
        <v>Mathematics</v>
      </c>
      <c r="P30" s="152" t="str">
        <f>RAW_DATA_INPUTS!AC38</f>
        <v>Modern Foreign Languages</v>
      </c>
      <c r="Q30" s="152" t="str">
        <f>RAW_DATA_INPUTS!AE38</f>
        <v>Music</v>
      </c>
      <c r="R30" s="152" t="str">
        <f>RAW_DATA_INPUTS!AG38</f>
        <v>Others</v>
      </c>
      <c r="S30" s="152" t="str">
        <f>RAW_DATA_INPUTS!AI38</f>
        <v>Physical Education</v>
      </c>
      <c r="T30" s="152" t="str">
        <f>RAW_DATA_INPUTS!AK38</f>
        <v>Physics</v>
      </c>
      <c r="U30" s="152" t="str">
        <f>RAW_DATA_INPUTS!AM38</f>
        <v>Religious Education</v>
      </c>
    </row>
    <row r="31" spans="2:40" s="519" customFormat="1" ht="12.75" customHeight="1">
      <c r="B31" s="152" t="s">
        <v>92</v>
      </c>
      <c r="C31" s="518">
        <f>RAW_DATA_INPUTS!$D$389</f>
        <v>0.93100000000000005</v>
      </c>
      <c r="D31" s="518">
        <f>RAW_DATA_INPUTS!$D$389</f>
        <v>0.93100000000000005</v>
      </c>
      <c r="E31" s="518">
        <f>RAW_DATA_INPUTS!$D$389</f>
        <v>0.93100000000000005</v>
      </c>
      <c r="F31" s="518">
        <f>RAW_DATA_INPUTS!$D$389</f>
        <v>0.93100000000000005</v>
      </c>
      <c r="G31" s="518">
        <f>RAW_DATA_INPUTS!$D$389</f>
        <v>0.93100000000000005</v>
      </c>
      <c r="H31" s="518">
        <f>RAW_DATA_INPUTS!$D$389</f>
        <v>0.93100000000000005</v>
      </c>
      <c r="I31" s="518">
        <f>RAW_DATA_INPUTS!$D$389</f>
        <v>0.93100000000000005</v>
      </c>
      <c r="J31" s="518">
        <f>RAW_DATA_INPUTS!$D$389</f>
        <v>0.93100000000000005</v>
      </c>
      <c r="K31" s="518">
        <f>RAW_DATA_INPUTS!$D$389</f>
        <v>0.93100000000000005</v>
      </c>
      <c r="L31" s="518">
        <f>RAW_DATA_INPUTS!$D$389</f>
        <v>0.93100000000000005</v>
      </c>
      <c r="M31" s="518">
        <f>RAW_DATA_INPUTS!$D$389</f>
        <v>0.93100000000000005</v>
      </c>
      <c r="N31" s="518">
        <f>RAW_DATA_INPUTS!$D$389</f>
        <v>0.93100000000000005</v>
      </c>
      <c r="O31" s="518">
        <f>RAW_DATA_INPUTS!$D$389</f>
        <v>0.93100000000000005</v>
      </c>
      <c r="P31" s="518">
        <f>RAW_DATA_INPUTS!$D$389</f>
        <v>0.93100000000000005</v>
      </c>
      <c r="Q31" s="518">
        <f>RAW_DATA_INPUTS!$D$389</f>
        <v>0.93100000000000005</v>
      </c>
      <c r="R31" s="518">
        <f>RAW_DATA_INPUTS!$D$389</f>
        <v>0.93100000000000005</v>
      </c>
      <c r="S31" s="518">
        <f>RAW_DATA_INPUTS!$D$389</f>
        <v>0.93100000000000005</v>
      </c>
      <c r="T31" s="518">
        <f>RAW_DATA_INPUTS!$D$389</f>
        <v>0.93100000000000005</v>
      </c>
      <c r="U31" s="518">
        <f>RAW_DATA_INPUTS!$D$389</f>
        <v>0.93100000000000005</v>
      </c>
    </row>
    <row r="32" spans="2:40" s="519" customFormat="1" ht="25.5">
      <c r="B32" s="152" t="s">
        <v>1613</v>
      </c>
      <c r="C32" s="520">
        <f>C24+D24</f>
        <v>8403.4718802046573</v>
      </c>
      <c r="D32" s="520">
        <f>E24+F24</f>
        <v>12195.46637304493</v>
      </c>
      <c r="E32" s="520">
        <f>G24+H24</f>
        <v>4190.7656020219183</v>
      </c>
      <c r="F32" s="520">
        <f>I24+J24</f>
        <v>10615.775802123964</v>
      </c>
      <c r="G32" s="520">
        <f>K24+L24</f>
        <v>323.69501650688886</v>
      </c>
      <c r="H32" s="520">
        <f>M24+N24</f>
        <v>7632.3179395789621</v>
      </c>
      <c r="I32" s="520">
        <f>O24+P24</f>
        <v>10452.379425491614</v>
      </c>
      <c r="J32" s="520">
        <f>Q24+R24</f>
        <v>5011.1775217845561</v>
      </c>
      <c r="K32" s="520">
        <f>S24+T24</f>
        <v>29584.626169854324</v>
      </c>
      <c r="L32" s="520">
        <f>U24+V24</f>
        <v>2132.1912790445504</v>
      </c>
      <c r="M32" s="520">
        <f>X24+W24</f>
        <v>10546.780943954087</v>
      </c>
      <c r="N32" s="520">
        <f>Y24+Z24</f>
        <v>11319.183686291255</v>
      </c>
      <c r="O32" s="520">
        <f>AB24+AA24</f>
        <v>30149.995151017931</v>
      </c>
      <c r="P32" s="520">
        <f>AC24+AD24</f>
        <v>15054.501758556102</v>
      </c>
      <c r="Q32" s="520">
        <f>AF24+AE24</f>
        <v>5189.9197445003774</v>
      </c>
      <c r="R32" s="520">
        <f>AG24+AH24</f>
        <v>14456.572484646087</v>
      </c>
      <c r="S32" s="520">
        <f>AJ24+AI24</f>
        <v>17166.532058637091</v>
      </c>
      <c r="T32" s="520">
        <f>AK24+AL24</f>
        <v>10265.321856439094</v>
      </c>
      <c r="U32" s="520">
        <f>AN24+AM24</f>
        <v>7422.3926080902065</v>
      </c>
    </row>
    <row r="33" spans="1:21" s="519" customFormat="1" ht="25.5">
      <c r="B33" s="152" t="s">
        <v>1614</v>
      </c>
      <c r="C33" s="520">
        <f>C25+D25</f>
        <v>526.03656979724792</v>
      </c>
      <c r="D33" s="520">
        <f>E25+F25</f>
        <v>574.48759204247938</v>
      </c>
      <c r="E33" s="520">
        <f>G25+H25</f>
        <v>414.15519404709568</v>
      </c>
      <c r="F33" s="520">
        <f>I25+J25</f>
        <v>520.09869810108535</v>
      </c>
      <c r="G33" s="520">
        <f>K25+L25</f>
        <v>27</v>
      </c>
      <c r="H33" s="520">
        <f>M25+N25</f>
        <v>425.9256913451419</v>
      </c>
      <c r="I33" s="520">
        <f>O25+P25</f>
        <v>787.56866896005647</v>
      </c>
      <c r="J33" s="520">
        <f>Q25+R25</f>
        <v>445.88729418629907</v>
      </c>
      <c r="K33" s="520">
        <f>S25+T25</f>
        <v>2549.0146758226879</v>
      </c>
      <c r="L33" s="520">
        <f>U25+V25</f>
        <v>215.29753160277522</v>
      </c>
      <c r="M33" s="520">
        <f>X25+W25</f>
        <v>502.14504034698007</v>
      </c>
      <c r="N33" s="520">
        <f>Y25+Z25</f>
        <v>565.04078925882152</v>
      </c>
      <c r="O33" s="520">
        <f>AB25+AA25</f>
        <v>1948.3045004815185</v>
      </c>
      <c r="P33" s="520">
        <f>AC25+AD25</f>
        <v>667.96277932746068</v>
      </c>
      <c r="Q33" s="520">
        <f>AF25+AE25</f>
        <v>297.46154413343265</v>
      </c>
      <c r="R33" s="520">
        <f>AG25+AH25</f>
        <v>2380.8568049568721</v>
      </c>
      <c r="S33" s="520">
        <f>AJ25+AI25</f>
        <v>725.60642333900785</v>
      </c>
      <c r="T33" s="520">
        <f>AK25+AL25</f>
        <v>383.66105505554901</v>
      </c>
      <c r="U33" s="520">
        <f>AN25+AM25</f>
        <v>427.48184029283937</v>
      </c>
    </row>
    <row r="34" spans="1:21" s="519" customFormat="1" ht="25.5">
      <c r="B34" s="152" t="s">
        <v>1675</v>
      </c>
      <c r="C34" s="520">
        <f>C32*C31</f>
        <v>7823.6323204705368</v>
      </c>
      <c r="D34" s="520">
        <f t="shared" ref="D34:U34" si="0">D32*D31</f>
        <v>11353.979193304831</v>
      </c>
      <c r="E34" s="520">
        <f t="shared" si="0"/>
        <v>3901.6027754824063</v>
      </c>
      <c r="F34" s="520">
        <f t="shared" si="0"/>
        <v>9883.2872717774117</v>
      </c>
      <c r="G34" s="520">
        <f t="shared" si="0"/>
        <v>301.36006036791355</v>
      </c>
      <c r="H34" s="520">
        <f t="shared" si="0"/>
        <v>7105.6880017480144</v>
      </c>
      <c r="I34" s="520">
        <f t="shared" si="0"/>
        <v>9731.1652451326936</v>
      </c>
      <c r="J34" s="520">
        <f t="shared" si="0"/>
        <v>4665.4062727814216</v>
      </c>
      <c r="K34" s="520">
        <f t="shared" si="0"/>
        <v>27543.286964134379</v>
      </c>
      <c r="L34" s="520">
        <f t="shared" si="0"/>
        <v>1985.0700807904766</v>
      </c>
      <c r="M34" s="520">
        <f t="shared" si="0"/>
        <v>9819.053058821255</v>
      </c>
      <c r="N34" s="520">
        <f t="shared" si="0"/>
        <v>10538.16001193716</v>
      </c>
      <c r="O34" s="520">
        <f t="shared" si="0"/>
        <v>28069.645485597695</v>
      </c>
      <c r="P34" s="520">
        <f t="shared" si="0"/>
        <v>14015.741137215731</v>
      </c>
      <c r="Q34" s="520">
        <f t="shared" si="0"/>
        <v>4831.8152821298518</v>
      </c>
      <c r="R34" s="520">
        <f t="shared" si="0"/>
        <v>13459.068983205509</v>
      </c>
      <c r="S34" s="520">
        <f t="shared" si="0"/>
        <v>15982.041346591132</v>
      </c>
      <c r="T34" s="520">
        <f t="shared" si="0"/>
        <v>9557.014648344797</v>
      </c>
      <c r="U34" s="520">
        <f t="shared" si="0"/>
        <v>6910.2475181319824</v>
      </c>
    </row>
    <row r="35" spans="1:21" s="519" customFormat="1" ht="25.5">
      <c r="B35" s="152" t="s">
        <v>1676</v>
      </c>
      <c r="C35" s="520">
        <f>C33*C31</f>
        <v>489.74004648123787</v>
      </c>
      <c r="D35" s="520">
        <f t="shared" ref="D35:U35" si="1">D33*D31</f>
        <v>534.84794819154831</v>
      </c>
      <c r="E35" s="520">
        <f t="shared" si="1"/>
        <v>385.5784856578461</v>
      </c>
      <c r="F35" s="520">
        <f t="shared" si="1"/>
        <v>484.21188793211047</v>
      </c>
      <c r="G35" s="520">
        <f t="shared" si="1"/>
        <v>25.137</v>
      </c>
      <c r="H35" s="520">
        <f t="shared" si="1"/>
        <v>396.53681864232715</v>
      </c>
      <c r="I35" s="520">
        <f t="shared" si="1"/>
        <v>733.22643080181263</v>
      </c>
      <c r="J35" s="520">
        <f t="shared" si="1"/>
        <v>415.12107088744443</v>
      </c>
      <c r="K35" s="520">
        <f t="shared" si="1"/>
        <v>2373.1326631909224</v>
      </c>
      <c r="L35" s="520">
        <f t="shared" si="1"/>
        <v>200.44200192218375</v>
      </c>
      <c r="M35" s="520">
        <f t="shared" si="1"/>
        <v>467.49703256303849</v>
      </c>
      <c r="N35" s="520">
        <f t="shared" si="1"/>
        <v>526.05297479996284</v>
      </c>
      <c r="O35" s="520">
        <f t="shared" si="1"/>
        <v>1813.8714899482939</v>
      </c>
      <c r="P35" s="520">
        <f t="shared" si="1"/>
        <v>621.87334755386598</v>
      </c>
      <c r="Q35" s="520">
        <f t="shared" si="1"/>
        <v>276.9366975882258</v>
      </c>
      <c r="R35" s="520">
        <f t="shared" si="1"/>
        <v>2216.577685414848</v>
      </c>
      <c r="S35" s="520">
        <f t="shared" si="1"/>
        <v>675.53958012861631</v>
      </c>
      <c r="T35" s="520">
        <f t="shared" si="1"/>
        <v>357.18844225671614</v>
      </c>
      <c r="U35" s="520">
        <f t="shared" si="1"/>
        <v>397.98559331263345</v>
      </c>
    </row>
    <row r="36" spans="1:21" s="519" customFormat="1">
      <c r="B36" s="152" t="s">
        <v>100</v>
      </c>
      <c r="C36" s="521">
        <f>C35/(C34+C35)</f>
        <v>5.8909913433939989E-2</v>
      </c>
      <c r="D36" s="521">
        <f t="shared" ref="D36:U36" si="2">D35/(D34+D35)</f>
        <v>4.4987444247105948E-2</v>
      </c>
      <c r="E36" s="521">
        <f t="shared" si="2"/>
        <v>8.9937528219950894E-2</v>
      </c>
      <c r="F36" s="521">
        <f t="shared" si="2"/>
        <v>4.670479162553192E-2</v>
      </c>
      <c r="G36" s="521">
        <f t="shared" si="2"/>
        <v>7.6989973421734165E-2</v>
      </c>
      <c r="H36" s="521">
        <f t="shared" si="2"/>
        <v>5.2855896502138587E-2</v>
      </c>
      <c r="I36" s="521">
        <f t="shared" si="2"/>
        <v>7.0068710490649042E-2</v>
      </c>
      <c r="J36" s="521">
        <f t="shared" si="2"/>
        <v>8.1708264281807358E-2</v>
      </c>
      <c r="K36" s="521">
        <f t="shared" si="2"/>
        <v>7.9325423722273622E-2</v>
      </c>
      <c r="L36" s="521">
        <f t="shared" si="2"/>
        <v>9.1713975643362672E-2</v>
      </c>
      <c r="M36" s="521">
        <f t="shared" si="2"/>
        <v>4.5447407382442052E-2</v>
      </c>
      <c r="N36" s="521">
        <f t="shared" si="2"/>
        <v>4.7545449046448432E-2</v>
      </c>
      <c r="O36" s="521">
        <f t="shared" si="2"/>
        <v>6.06980594497162E-2</v>
      </c>
      <c r="P36" s="521">
        <f t="shared" si="2"/>
        <v>4.2484610330523712E-2</v>
      </c>
      <c r="Q36" s="521">
        <f t="shared" si="2"/>
        <v>5.4208287794685298E-2</v>
      </c>
      <c r="R36" s="521">
        <f t="shared" si="2"/>
        <v>0.14140263124531968</v>
      </c>
      <c r="S36" s="521">
        <f t="shared" si="2"/>
        <v>4.0554482856812103E-2</v>
      </c>
      <c r="T36" s="521">
        <f t="shared" si="2"/>
        <v>3.6027952926980522E-2</v>
      </c>
      <c r="U36" s="521">
        <f t="shared" si="2"/>
        <v>5.4457156366481005E-2</v>
      </c>
    </row>
    <row r="38" spans="1:21">
      <c r="A38" s="309">
        <f>F38</f>
        <v>0</v>
      </c>
      <c r="B38" s="155" t="s">
        <v>93</v>
      </c>
      <c r="E38" s="315">
        <f>SUM(C34:U34)</f>
        <v>197477.26565796521</v>
      </c>
      <c r="F38" s="309">
        <f>SUM(C24:AN24)-SUM(C32:U32)</f>
        <v>0</v>
      </c>
    </row>
    <row r="39" spans="1:21">
      <c r="A39" s="309">
        <f>F39</f>
        <v>0</v>
      </c>
      <c r="B39" s="155" t="s">
        <v>94</v>
      </c>
      <c r="E39" s="315">
        <f>SUM(C35:U35)</f>
        <v>13391.497197273633</v>
      </c>
      <c r="F39" s="309">
        <f>SUM(C25:AN25)-SUM(C33:U33)</f>
        <v>0</v>
      </c>
    </row>
    <row r="41" spans="1:21" ht="15.75">
      <c r="B41" s="78" t="s">
        <v>155</v>
      </c>
    </row>
    <row r="43" spans="1:21" ht="51">
      <c r="B43" s="152" t="s">
        <v>62</v>
      </c>
      <c r="C43" s="152" t="s">
        <v>91</v>
      </c>
      <c r="D43" s="152" t="s">
        <v>100</v>
      </c>
      <c r="E43" s="169" t="s">
        <v>156</v>
      </c>
      <c r="G43" s="1140" t="str">
        <f t="shared" ref="G43:G62" si="3">B43</f>
        <v>Subject</v>
      </c>
      <c r="H43" s="1140"/>
      <c r="I43" s="152" t="str">
        <f>D43</f>
        <v>Unqualified teacher rate</v>
      </c>
    </row>
    <row r="44" spans="1:21">
      <c r="B44" s="152" t="str">
        <f>Teacher_need_by_subject!B570</f>
        <v>Art &amp; Design</v>
      </c>
      <c r="C44" s="521">
        <f>C31</f>
        <v>0.93100000000000005</v>
      </c>
      <c r="D44" s="521">
        <f>C36</f>
        <v>5.8909913433939989E-2</v>
      </c>
      <c r="E44" s="462">
        <f>C24+D24</f>
        <v>8403.4718802046573</v>
      </c>
      <c r="F44" s="494"/>
      <c r="G44" s="1104" t="str">
        <f t="shared" si="3"/>
        <v>Art &amp; Design</v>
      </c>
      <c r="H44" s="1104"/>
      <c r="I44" s="498">
        <f>D44</f>
        <v>5.8909913433939989E-2</v>
      </c>
      <c r="J44" s="309">
        <f>C33</f>
        <v>526.03656979724792</v>
      </c>
    </row>
    <row r="45" spans="1:21">
      <c r="B45" s="152" t="str">
        <f>Teacher_need_by_subject!B571</f>
        <v>Biology</v>
      </c>
      <c r="C45" s="521">
        <f>D31</f>
        <v>0.93100000000000005</v>
      </c>
      <c r="D45" s="521">
        <f>D36</f>
        <v>4.4987444247105948E-2</v>
      </c>
      <c r="E45" s="462">
        <f>E24+F24</f>
        <v>12195.46637304493</v>
      </c>
      <c r="F45" s="494"/>
      <c r="G45" s="1104" t="str">
        <f t="shared" si="3"/>
        <v>Biology</v>
      </c>
      <c r="H45" s="1104"/>
      <c r="I45" s="498">
        <f t="shared" ref="I45:I62" si="4">D45</f>
        <v>4.4987444247105948E-2</v>
      </c>
      <c r="J45" s="309">
        <f>D33</f>
        <v>574.48759204247938</v>
      </c>
    </row>
    <row r="46" spans="1:21">
      <c r="B46" s="152" t="str">
        <f>Teacher_need_by_subject!B572</f>
        <v>Business Studies</v>
      </c>
      <c r="C46" s="521">
        <f>E31</f>
        <v>0.93100000000000005</v>
      </c>
      <c r="D46" s="521">
        <f>E36</f>
        <v>8.9937528219950894E-2</v>
      </c>
      <c r="E46" s="462">
        <f>G24+H24</f>
        <v>4190.7656020219183</v>
      </c>
      <c r="F46" s="494"/>
      <c r="G46" s="1104" t="str">
        <f t="shared" si="3"/>
        <v>Business Studies</v>
      </c>
      <c r="H46" s="1104"/>
      <c r="I46" s="498">
        <f t="shared" si="4"/>
        <v>8.9937528219950894E-2</v>
      </c>
      <c r="J46" s="309">
        <f>E33</f>
        <v>414.15519404709568</v>
      </c>
    </row>
    <row r="47" spans="1:21">
      <c r="B47" s="152" t="str">
        <f>Teacher_need_by_subject!B573</f>
        <v>Chemistry</v>
      </c>
      <c r="C47" s="521">
        <f>F31</f>
        <v>0.93100000000000005</v>
      </c>
      <c r="D47" s="521">
        <f>F36</f>
        <v>4.670479162553192E-2</v>
      </c>
      <c r="E47" s="462">
        <f>I24+J24</f>
        <v>10615.775802123964</v>
      </c>
      <c r="F47" s="213"/>
      <c r="G47" s="1104" t="str">
        <f t="shared" si="3"/>
        <v>Chemistry</v>
      </c>
      <c r="H47" s="1104"/>
      <c r="I47" s="498">
        <f t="shared" si="4"/>
        <v>4.670479162553192E-2</v>
      </c>
      <c r="J47" s="309">
        <f>F33</f>
        <v>520.09869810108535</v>
      </c>
    </row>
    <row r="48" spans="1:21">
      <c r="B48" s="152" t="str">
        <f>Teacher_need_by_subject!B574</f>
        <v>Classics</v>
      </c>
      <c r="C48" s="521">
        <f>G31</f>
        <v>0.93100000000000005</v>
      </c>
      <c r="D48" s="521">
        <f>G36</f>
        <v>7.6989973421734165E-2</v>
      </c>
      <c r="E48" s="462">
        <f>K24+L24</f>
        <v>323.69501650688886</v>
      </c>
      <c r="F48" s="494"/>
      <c r="G48" s="1104" t="str">
        <f t="shared" si="3"/>
        <v>Classics</v>
      </c>
      <c r="H48" s="1104"/>
      <c r="I48" s="498">
        <f t="shared" si="4"/>
        <v>7.6989973421734165E-2</v>
      </c>
      <c r="J48" s="309">
        <f>G33</f>
        <v>27</v>
      </c>
    </row>
    <row r="49" spans="2:10">
      <c r="B49" s="152" t="str">
        <f>Teacher_need_by_subject!B575</f>
        <v>Computing</v>
      </c>
      <c r="C49" s="521">
        <f>H31</f>
        <v>0.93100000000000005</v>
      </c>
      <c r="D49" s="521">
        <f>H36</f>
        <v>5.2855896502138587E-2</v>
      </c>
      <c r="E49" s="462">
        <f>M24+N24</f>
        <v>7632.3179395789621</v>
      </c>
      <c r="F49" s="494"/>
      <c r="G49" s="1104" t="str">
        <f t="shared" si="3"/>
        <v>Computing</v>
      </c>
      <c r="H49" s="1104"/>
      <c r="I49" s="498">
        <f t="shared" si="4"/>
        <v>5.2855896502138587E-2</v>
      </c>
      <c r="J49" s="309">
        <f>H33</f>
        <v>425.9256913451419</v>
      </c>
    </row>
    <row r="50" spans="2:10">
      <c r="B50" s="152" t="str">
        <f>Teacher_need_by_subject!B576</f>
        <v>Design &amp; Technology</v>
      </c>
      <c r="C50" s="521">
        <f>I31</f>
        <v>0.93100000000000005</v>
      </c>
      <c r="D50" s="521">
        <f>I36</f>
        <v>7.0068710490649042E-2</v>
      </c>
      <c r="E50" s="462">
        <f>O24+P24</f>
        <v>10452.379425491614</v>
      </c>
      <c r="F50" s="494"/>
      <c r="G50" s="1104" t="str">
        <f t="shared" si="3"/>
        <v>Design &amp; Technology</v>
      </c>
      <c r="H50" s="1104"/>
      <c r="I50" s="498">
        <f t="shared" si="4"/>
        <v>7.0068710490649042E-2</v>
      </c>
      <c r="J50" s="309">
        <f>I33</f>
        <v>787.56866896005647</v>
      </c>
    </row>
    <row r="51" spans="2:10">
      <c r="B51" s="152" t="str">
        <f>Teacher_need_by_subject!B577</f>
        <v>Drama</v>
      </c>
      <c r="C51" s="521">
        <f>J31</f>
        <v>0.93100000000000005</v>
      </c>
      <c r="D51" s="521">
        <f>J36</f>
        <v>8.1708264281807358E-2</v>
      </c>
      <c r="E51" s="462">
        <f>Q24+R24</f>
        <v>5011.1775217845561</v>
      </c>
      <c r="F51" s="494"/>
      <c r="G51" s="1104" t="str">
        <f t="shared" si="3"/>
        <v>Drama</v>
      </c>
      <c r="H51" s="1104"/>
      <c r="I51" s="498">
        <f t="shared" si="4"/>
        <v>8.1708264281807358E-2</v>
      </c>
      <c r="J51" s="309">
        <f>J33</f>
        <v>445.88729418629907</v>
      </c>
    </row>
    <row r="52" spans="2:10">
      <c r="B52" s="152" t="str">
        <f>Teacher_need_by_subject!B578</f>
        <v>English</v>
      </c>
      <c r="C52" s="521">
        <f>K31</f>
        <v>0.93100000000000005</v>
      </c>
      <c r="D52" s="521">
        <f>K36</f>
        <v>7.9325423722273622E-2</v>
      </c>
      <c r="E52" s="462">
        <f>S24+T24</f>
        <v>29584.626169854324</v>
      </c>
      <c r="F52" s="494"/>
      <c r="G52" s="1104" t="str">
        <f t="shared" si="3"/>
        <v>English</v>
      </c>
      <c r="H52" s="1104"/>
      <c r="I52" s="498">
        <f t="shared" si="4"/>
        <v>7.9325423722273622E-2</v>
      </c>
      <c r="J52" s="309">
        <f>K33</f>
        <v>2549.0146758226879</v>
      </c>
    </row>
    <row r="53" spans="2:10">
      <c r="B53" s="152" t="str">
        <f>Teacher_need_by_subject!B579</f>
        <v>Food</v>
      </c>
      <c r="C53" s="521">
        <f>L31</f>
        <v>0.93100000000000005</v>
      </c>
      <c r="D53" s="521">
        <f>L36</f>
        <v>9.1713975643362672E-2</v>
      </c>
      <c r="E53" s="462">
        <f>U24+V24</f>
        <v>2132.1912790445504</v>
      </c>
      <c r="F53" s="494"/>
      <c r="G53" s="1104" t="str">
        <f t="shared" si="3"/>
        <v>Food</v>
      </c>
      <c r="H53" s="1104"/>
      <c r="I53" s="498">
        <f t="shared" si="4"/>
        <v>9.1713975643362672E-2</v>
      </c>
      <c r="J53" s="309">
        <f>L33</f>
        <v>215.29753160277522</v>
      </c>
    </row>
    <row r="54" spans="2:10">
      <c r="B54" s="152" t="str">
        <f>Teacher_need_by_subject!B580</f>
        <v>Geography</v>
      </c>
      <c r="C54" s="521">
        <f>M31</f>
        <v>0.93100000000000005</v>
      </c>
      <c r="D54" s="521">
        <f>M36</f>
        <v>4.5447407382442052E-2</v>
      </c>
      <c r="E54" s="462">
        <f>W24+X24</f>
        <v>10546.780943954087</v>
      </c>
      <c r="F54" s="494"/>
      <c r="G54" s="1104" t="str">
        <f t="shared" si="3"/>
        <v>Geography</v>
      </c>
      <c r="H54" s="1104"/>
      <c r="I54" s="498">
        <f t="shared" si="4"/>
        <v>4.5447407382442052E-2</v>
      </c>
      <c r="J54" s="309">
        <f>M33</f>
        <v>502.14504034698007</v>
      </c>
    </row>
    <row r="55" spans="2:10">
      <c r="B55" s="152" t="str">
        <f>Teacher_need_by_subject!B581</f>
        <v>History</v>
      </c>
      <c r="C55" s="521">
        <f>N31</f>
        <v>0.93100000000000005</v>
      </c>
      <c r="D55" s="521">
        <f>N36</f>
        <v>4.7545449046448432E-2</v>
      </c>
      <c r="E55" s="462">
        <f>Y24+Z24</f>
        <v>11319.183686291255</v>
      </c>
      <c r="F55" s="494"/>
      <c r="G55" s="1104" t="str">
        <f t="shared" si="3"/>
        <v>History</v>
      </c>
      <c r="H55" s="1104"/>
      <c r="I55" s="498">
        <f t="shared" si="4"/>
        <v>4.7545449046448432E-2</v>
      </c>
      <c r="J55" s="309">
        <f>N33</f>
        <v>565.04078925882152</v>
      </c>
    </row>
    <row r="56" spans="2:10">
      <c r="B56" s="152" t="str">
        <f>Teacher_need_by_subject!B582</f>
        <v>Mathematics</v>
      </c>
      <c r="C56" s="521">
        <f>O31</f>
        <v>0.93100000000000005</v>
      </c>
      <c r="D56" s="521">
        <f>O36</f>
        <v>6.06980594497162E-2</v>
      </c>
      <c r="E56" s="462">
        <f>AA24+AB24</f>
        <v>30149.995151017931</v>
      </c>
      <c r="F56" s="494"/>
      <c r="G56" s="1104" t="str">
        <f t="shared" si="3"/>
        <v>Mathematics</v>
      </c>
      <c r="H56" s="1104"/>
      <c r="I56" s="498">
        <f t="shared" si="4"/>
        <v>6.06980594497162E-2</v>
      </c>
      <c r="J56" s="309">
        <f>O33</f>
        <v>1948.3045004815185</v>
      </c>
    </row>
    <row r="57" spans="2:10" ht="25.5">
      <c r="B57" s="152" t="str">
        <f>Teacher_need_by_subject!B583</f>
        <v>Modern Foreign Languages</v>
      </c>
      <c r="C57" s="521">
        <f>P31</f>
        <v>0.93100000000000005</v>
      </c>
      <c r="D57" s="521">
        <f>P36</f>
        <v>4.2484610330523712E-2</v>
      </c>
      <c r="E57" s="462">
        <f>AD24+AC24</f>
        <v>15054.501758556102</v>
      </c>
      <c r="F57" s="494"/>
      <c r="G57" s="1104" t="str">
        <f t="shared" si="3"/>
        <v>Modern Foreign Languages</v>
      </c>
      <c r="H57" s="1104"/>
      <c r="I57" s="498">
        <f t="shared" si="4"/>
        <v>4.2484610330523712E-2</v>
      </c>
      <c r="J57" s="309">
        <f>P33</f>
        <v>667.96277932746068</v>
      </c>
    </row>
    <row r="58" spans="2:10">
      <c r="B58" s="152" t="str">
        <f>Teacher_need_by_subject!B584</f>
        <v>Music</v>
      </c>
      <c r="C58" s="521">
        <f>Q31</f>
        <v>0.93100000000000005</v>
      </c>
      <c r="D58" s="521">
        <f>Q36</f>
        <v>5.4208287794685298E-2</v>
      </c>
      <c r="E58" s="462">
        <f>AE24+AF24</f>
        <v>5189.9197445003774</v>
      </c>
      <c r="F58" s="494"/>
      <c r="G58" s="1104" t="str">
        <f t="shared" si="3"/>
        <v>Music</v>
      </c>
      <c r="H58" s="1104"/>
      <c r="I58" s="498">
        <f t="shared" si="4"/>
        <v>5.4208287794685298E-2</v>
      </c>
      <c r="J58" s="309">
        <f>Q33</f>
        <v>297.46154413343265</v>
      </c>
    </row>
    <row r="59" spans="2:10">
      <c r="B59" s="152" t="str">
        <f>Teacher_need_by_subject!B585</f>
        <v>Others</v>
      </c>
      <c r="C59" s="521">
        <f>R31</f>
        <v>0.93100000000000005</v>
      </c>
      <c r="D59" s="521">
        <f>R36</f>
        <v>0.14140263124531968</v>
      </c>
      <c r="E59" s="462">
        <f>AG24+AH24</f>
        <v>14456.572484646087</v>
      </c>
      <c r="F59" s="494"/>
      <c r="G59" s="1104" t="str">
        <f t="shared" si="3"/>
        <v>Others</v>
      </c>
      <c r="H59" s="1104"/>
      <c r="I59" s="498">
        <f t="shared" si="4"/>
        <v>0.14140263124531968</v>
      </c>
      <c r="J59" s="309">
        <f>R33</f>
        <v>2380.8568049568721</v>
      </c>
    </row>
    <row r="60" spans="2:10">
      <c r="B60" s="152" t="str">
        <f>Teacher_need_by_subject!B586</f>
        <v>Physical Education</v>
      </c>
      <c r="C60" s="521">
        <f>S31</f>
        <v>0.93100000000000005</v>
      </c>
      <c r="D60" s="521">
        <f>S36</f>
        <v>4.0554482856812103E-2</v>
      </c>
      <c r="E60" s="462">
        <f>AI24+AJ24</f>
        <v>17166.532058637091</v>
      </c>
      <c r="F60" s="494"/>
      <c r="G60" s="1104" t="str">
        <f t="shared" si="3"/>
        <v>Physical Education</v>
      </c>
      <c r="H60" s="1104"/>
      <c r="I60" s="498">
        <f t="shared" si="4"/>
        <v>4.0554482856812103E-2</v>
      </c>
      <c r="J60" s="309">
        <f>S33</f>
        <v>725.60642333900785</v>
      </c>
    </row>
    <row r="61" spans="2:10">
      <c r="B61" s="152" t="str">
        <f>Teacher_need_by_subject!B587</f>
        <v>Physics</v>
      </c>
      <c r="C61" s="521">
        <f>T31</f>
        <v>0.93100000000000005</v>
      </c>
      <c r="D61" s="521">
        <f>T36</f>
        <v>3.6027952926980522E-2</v>
      </c>
      <c r="E61" s="462">
        <f>AK24+AL24</f>
        <v>10265.321856439094</v>
      </c>
      <c r="F61" s="494"/>
      <c r="G61" s="1104" t="str">
        <f t="shared" si="3"/>
        <v>Physics</v>
      </c>
      <c r="H61" s="1104"/>
      <c r="I61" s="498">
        <f t="shared" si="4"/>
        <v>3.6027952926980522E-2</v>
      </c>
      <c r="J61" s="309">
        <f>T33</f>
        <v>383.66105505554901</v>
      </c>
    </row>
    <row r="62" spans="2:10">
      <c r="B62" s="152" t="str">
        <f>Teacher_need_by_subject!B588</f>
        <v>Religious Education</v>
      </c>
      <c r="C62" s="521">
        <f>U31</f>
        <v>0.93100000000000005</v>
      </c>
      <c r="D62" s="461">
        <f>U36</f>
        <v>5.4457156366481005E-2</v>
      </c>
      <c r="E62" s="462">
        <f>AN24+AM24</f>
        <v>7422.3926080902065</v>
      </c>
      <c r="F62" s="494"/>
      <c r="G62" s="1104" t="str">
        <f t="shared" si="3"/>
        <v>Religious Education</v>
      </c>
      <c r="H62" s="1104"/>
      <c r="I62" s="498">
        <f t="shared" si="4"/>
        <v>5.4457156366481005E-2</v>
      </c>
      <c r="J62" s="309">
        <f>U33</f>
        <v>427.48184029283937</v>
      </c>
    </row>
    <row r="64" spans="2:10">
      <c r="E64" s="768">
        <f>SUM(E44:E62)</f>
        <v>212113.0673017886</v>
      </c>
    </row>
    <row r="65" spans="1:5">
      <c r="E65" s="768">
        <f>SUM(C24:AN24)</f>
        <v>212113.06730178857</v>
      </c>
    </row>
    <row r="66" spans="1:5">
      <c r="A66">
        <f>E66</f>
        <v>0</v>
      </c>
      <c r="E66">
        <f>E64-E65</f>
        <v>0</v>
      </c>
    </row>
  </sheetData>
  <mergeCells count="41">
    <mergeCell ref="A5:O5"/>
    <mergeCell ref="AI22:AJ22"/>
    <mergeCell ref="W22:X22"/>
    <mergeCell ref="S22:T22"/>
    <mergeCell ref="AC22:AD22"/>
    <mergeCell ref="B22:B23"/>
    <mergeCell ref="C22:D22"/>
    <mergeCell ref="G22:H22"/>
    <mergeCell ref="O22:P22"/>
    <mergeCell ref="AE22:AF22"/>
    <mergeCell ref="K22:L22"/>
    <mergeCell ref="Q22:R22"/>
    <mergeCell ref="I22:J22"/>
    <mergeCell ref="E22:F22"/>
    <mergeCell ref="M22:N22"/>
    <mergeCell ref="AM22:AN22"/>
    <mergeCell ref="U22:V22"/>
    <mergeCell ref="AG22:AH22"/>
    <mergeCell ref="Y22:Z22"/>
    <mergeCell ref="AK22:AL22"/>
    <mergeCell ref="AA22:AB22"/>
    <mergeCell ref="G43:H43"/>
    <mergeCell ref="G44:H44"/>
    <mergeCell ref="G45:H45"/>
    <mergeCell ref="G46:H46"/>
    <mergeCell ref="G47:H47"/>
    <mergeCell ref="G48:H48"/>
    <mergeCell ref="G49:H49"/>
    <mergeCell ref="G50:H50"/>
    <mergeCell ref="G51:H51"/>
    <mergeCell ref="G62:H62"/>
    <mergeCell ref="G61:H61"/>
    <mergeCell ref="G60:H60"/>
    <mergeCell ref="G59:H59"/>
    <mergeCell ref="G58:H58"/>
    <mergeCell ref="G57:H57"/>
    <mergeCell ref="G56:H56"/>
    <mergeCell ref="G55:H55"/>
    <mergeCell ref="G54:H54"/>
    <mergeCell ref="G53:H53"/>
    <mergeCell ref="G52:H52"/>
  </mergeCells>
  <hyperlinks>
    <hyperlink ref="A2" location="'Title_&amp;_Contents'!A1" display="Contents"/>
    <hyperlink ref="B2" location="Map_of_sheets!A1" display="Map of sheets"/>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AR102"/>
  <sheetViews>
    <sheetView showGridLines="0" zoomScaleNormal="100" workbookViewId="0"/>
  </sheetViews>
  <sheetFormatPr defaultColWidth="9.140625" defaultRowHeight="12.75"/>
  <cols>
    <col min="1" max="1" width="8.42578125" style="4" customWidth="1"/>
    <col min="2" max="2" width="32.7109375" style="4" customWidth="1"/>
    <col min="3" max="46" width="14.7109375" style="4" customWidth="1"/>
    <col min="47" max="16384" width="9.140625" style="4"/>
  </cols>
  <sheetData>
    <row r="1" spans="1:17" s="66" customFormat="1" ht="15">
      <c r="A1" s="65" t="str">
        <f>ModelBanner</f>
        <v>TSM_201718 for publication</v>
      </c>
    </row>
    <row r="2" spans="1:17" s="80" customFormat="1">
      <c r="A2" s="1003" t="s">
        <v>13</v>
      </c>
      <c r="B2" s="1003" t="s">
        <v>30</v>
      </c>
    </row>
    <row r="3" spans="1:17" s="80" customFormat="1" ht="12">
      <c r="A3" s="79"/>
    </row>
    <row r="4" spans="1:17" s="82" customFormat="1">
      <c r="A4" s="299" t="s">
        <v>26</v>
      </c>
      <c r="B4" s="81"/>
    </row>
    <row r="5" spans="1:17" s="83" customFormat="1">
      <c r="A5" s="60" t="s">
        <v>1487</v>
      </c>
      <c r="C5" s="84"/>
      <c r="D5" s="84"/>
      <c r="E5" s="84"/>
      <c r="G5" s="84"/>
      <c r="H5" s="84"/>
      <c r="I5" s="84"/>
      <c r="J5" s="84"/>
      <c r="K5" s="84"/>
      <c r="L5" s="84"/>
      <c r="M5" s="84"/>
      <c r="N5" s="84"/>
      <c r="O5" s="84"/>
      <c r="P5" s="84"/>
      <c r="Q5" s="84"/>
    </row>
    <row r="6" spans="1:17" s="87" customFormat="1">
      <c r="A6" s="300" t="s">
        <v>1420</v>
      </c>
      <c r="B6" s="84"/>
      <c r="C6" s="86"/>
      <c r="D6" s="86"/>
      <c r="E6" s="86"/>
      <c r="F6" s="86"/>
      <c r="G6" s="86"/>
      <c r="H6" s="86"/>
      <c r="I6" s="86"/>
      <c r="J6" s="86"/>
      <c r="K6" s="86"/>
      <c r="L6" s="86"/>
      <c r="M6" s="86"/>
      <c r="N6" s="86"/>
      <c r="O6" s="86"/>
      <c r="P6" s="86"/>
      <c r="Q6" s="86"/>
    </row>
    <row r="7" spans="1:17" s="87" customFormat="1">
      <c r="A7" s="60" t="s">
        <v>166</v>
      </c>
      <c r="B7" s="85"/>
      <c r="C7" s="86"/>
      <c r="D7" s="86"/>
      <c r="E7" s="86"/>
      <c r="F7" s="86"/>
      <c r="G7" s="86"/>
      <c r="H7" s="86"/>
      <c r="I7" s="86"/>
      <c r="J7" s="86"/>
      <c r="K7" s="86"/>
      <c r="L7" s="86"/>
      <c r="M7" s="86"/>
      <c r="N7" s="86"/>
      <c r="O7" s="86"/>
      <c r="P7" s="86"/>
      <c r="Q7" s="86"/>
    </row>
    <row r="8" spans="1:17" s="87" customFormat="1">
      <c r="A8" s="300" t="s">
        <v>24</v>
      </c>
      <c r="B8" s="84"/>
      <c r="C8" s="86"/>
      <c r="D8" s="86"/>
      <c r="E8" s="86"/>
      <c r="F8" s="86"/>
      <c r="G8" s="86"/>
      <c r="H8" s="86"/>
      <c r="I8" s="86"/>
      <c r="J8" s="86"/>
      <c r="K8" s="86"/>
      <c r="L8" s="86"/>
      <c r="M8" s="86"/>
      <c r="N8" s="86"/>
      <c r="O8" s="86"/>
      <c r="P8" s="86"/>
      <c r="Q8" s="86"/>
    </row>
    <row r="9" spans="1:17" s="87" customFormat="1">
      <c r="A9" s="60" t="s">
        <v>349</v>
      </c>
      <c r="B9" s="84"/>
      <c r="C9" s="86"/>
      <c r="D9" s="86"/>
      <c r="E9" s="86"/>
      <c r="F9" s="86"/>
      <c r="G9" s="86"/>
      <c r="H9" s="86"/>
      <c r="I9" s="86"/>
      <c r="J9" s="86"/>
      <c r="K9" s="86"/>
      <c r="L9" s="86"/>
      <c r="M9" s="86"/>
      <c r="N9" s="86"/>
      <c r="O9" s="86"/>
      <c r="P9" s="86"/>
      <c r="Q9" s="86"/>
    </row>
    <row r="10" spans="1:17" s="94" customFormat="1" ht="13.5" customHeight="1">
      <c r="A10" s="88">
        <f>SUM(A11:A2224)</f>
        <v>0</v>
      </c>
      <c r="B10" s="89"/>
      <c r="C10" s="90"/>
      <c r="D10" s="91"/>
      <c r="E10" s="92"/>
      <c r="F10" s="91"/>
      <c r="G10" s="93"/>
      <c r="H10" s="91"/>
      <c r="I10" s="91"/>
      <c r="J10" s="93"/>
      <c r="M10" s="93"/>
      <c r="N10" s="95"/>
      <c r="O10" s="95"/>
      <c r="P10" s="95"/>
      <c r="Q10" s="95"/>
    </row>
    <row r="12" spans="1:17" ht="15.75">
      <c r="A12" s="179"/>
      <c r="B12" s="139" t="s">
        <v>69</v>
      </c>
      <c r="H12" s="51" t="s">
        <v>1436</v>
      </c>
      <c r="J12" s="469" t="str">
        <f>RAW_DATA_INPUTS!L26</f>
        <v>2015/16</v>
      </c>
    </row>
    <row r="13" spans="1:17">
      <c r="B13" s="134"/>
    </row>
    <row r="14" spans="1:17">
      <c r="B14" s="135" t="s">
        <v>1423</v>
      </c>
    </row>
    <row r="15" spans="1:17">
      <c r="B15" s="134"/>
    </row>
    <row r="16" spans="1:17">
      <c r="B16" s="134" t="s">
        <v>70</v>
      </c>
    </row>
    <row r="18" spans="1:44" s="501" customFormat="1" ht="38.25" customHeight="1">
      <c r="B18" s="1219" t="str">
        <f>RAW_DATA_INPUTS!B39</f>
        <v>Age group</v>
      </c>
      <c r="C18" s="1218" t="str">
        <f>RAW_DATA_INPUTS!C38</f>
        <v>Art &amp; Design</v>
      </c>
      <c r="D18" s="1218"/>
      <c r="E18" s="1215" t="str">
        <f>RAW_DATA_INPUTS!E38</f>
        <v>Biology</v>
      </c>
      <c r="F18" s="1216"/>
      <c r="G18" s="1215" t="str">
        <f>RAW_DATA_INPUTS!G38</f>
        <v>Business Studies</v>
      </c>
      <c r="H18" s="1216"/>
      <c r="I18" s="1215" t="str">
        <f>RAW_DATA_INPUTS!I38</f>
        <v>Chemistry</v>
      </c>
      <c r="J18" s="1216"/>
      <c r="K18" s="1215" t="str">
        <f>RAW_DATA_INPUTS!K38</f>
        <v>Classics</v>
      </c>
      <c r="L18" s="1216"/>
      <c r="M18" s="1215" t="str">
        <f>RAW_DATA_INPUTS!M38</f>
        <v>Computing</v>
      </c>
      <c r="N18" s="1216"/>
      <c r="O18" s="1215" t="str">
        <f>RAW_DATA_INPUTS!O38</f>
        <v>Design &amp; Technology</v>
      </c>
      <c r="P18" s="1216"/>
      <c r="Q18" s="1215" t="str">
        <f>RAW_DATA_INPUTS!Q38</f>
        <v>Drama</v>
      </c>
      <c r="R18" s="1216"/>
      <c r="S18" s="1215" t="str">
        <f>RAW_DATA_INPUTS!S38</f>
        <v>English</v>
      </c>
      <c r="T18" s="1216"/>
      <c r="U18" s="1215" t="str">
        <f>RAW_DATA_INPUTS!U38</f>
        <v>Food</v>
      </c>
      <c r="V18" s="1216"/>
      <c r="W18" s="1215" t="str">
        <f>RAW_DATA_INPUTS!W38</f>
        <v>Geography</v>
      </c>
      <c r="X18" s="1216"/>
      <c r="Y18" s="1215" t="str">
        <f>RAW_DATA_INPUTS!Y38</f>
        <v>History</v>
      </c>
      <c r="Z18" s="1216"/>
      <c r="AA18" s="1215" t="str">
        <f>RAW_DATA_INPUTS!AA38</f>
        <v>Mathematics</v>
      </c>
      <c r="AB18" s="1216"/>
      <c r="AC18" s="1215" t="str">
        <f>RAW_DATA_INPUTS!AC38</f>
        <v>Modern Foreign Languages</v>
      </c>
      <c r="AD18" s="1216"/>
      <c r="AE18" s="1215" t="str">
        <f>RAW_DATA_INPUTS!AE38</f>
        <v>Music</v>
      </c>
      <c r="AF18" s="1216"/>
      <c r="AG18" s="1215" t="str">
        <f>RAW_DATA_INPUTS!AG38</f>
        <v>Others</v>
      </c>
      <c r="AH18" s="1216"/>
      <c r="AI18" s="1215" t="str">
        <f>RAW_DATA_INPUTS!AI38</f>
        <v>Physical Education</v>
      </c>
      <c r="AJ18" s="1216"/>
      <c r="AK18" s="1215" t="str">
        <f>RAW_DATA_INPUTS!AK38</f>
        <v>Physics</v>
      </c>
      <c r="AL18" s="1216"/>
      <c r="AM18" s="1215" t="str">
        <f>RAW_DATA_INPUTS!AM38</f>
        <v>Religious Education</v>
      </c>
      <c r="AN18" s="1216"/>
      <c r="AO18" s="1215" t="str">
        <f>RAW_DATA_INPUTS!AO38</f>
        <v>Secondary total</v>
      </c>
      <c r="AP18" s="1216"/>
      <c r="AQ18" s="1215" t="str">
        <f>RAW_DATA_INPUTS!AQ38</f>
        <v>Primary</v>
      </c>
      <c r="AR18" s="1216"/>
    </row>
    <row r="19" spans="1:44" s="501" customFormat="1">
      <c r="B19" s="1220"/>
      <c r="C19" s="503" t="str">
        <f>RAW_DATA_INPUTS!C39</f>
        <v>Male</v>
      </c>
      <c r="D19" s="503" t="str">
        <f>RAW_DATA_INPUTS!D39</f>
        <v>Female</v>
      </c>
      <c r="E19" s="503" t="str">
        <f>RAW_DATA_INPUTS!E39</f>
        <v>Male</v>
      </c>
      <c r="F19" s="503" t="str">
        <f>RAW_DATA_INPUTS!F39</f>
        <v>Female</v>
      </c>
      <c r="G19" s="503" t="str">
        <f>RAW_DATA_INPUTS!G39</f>
        <v>Male</v>
      </c>
      <c r="H19" s="503" t="str">
        <f>RAW_DATA_INPUTS!H39</f>
        <v>Female</v>
      </c>
      <c r="I19" s="503" t="str">
        <f>RAW_DATA_INPUTS!I39</f>
        <v>Male</v>
      </c>
      <c r="J19" s="503" t="str">
        <f>RAW_DATA_INPUTS!J39</f>
        <v>Female</v>
      </c>
      <c r="K19" s="503" t="str">
        <f>RAW_DATA_INPUTS!K39</f>
        <v>Male</v>
      </c>
      <c r="L19" s="503" t="str">
        <f>RAW_DATA_INPUTS!L39</f>
        <v>Female</v>
      </c>
      <c r="M19" s="503" t="str">
        <f>RAW_DATA_INPUTS!M39</f>
        <v>Male</v>
      </c>
      <c r="N19" s="503" t="str">
        <f>RAW_DATA_INPUTS!N39</f>
        <v>Female</v>
      </c>
      <c r="O19" s="503" t="str">
        <f>RAW_DATA_INPUTS!O39</f>
        <v>Male</v>
      </c>
      <c r="P19" s="503" t="str">
        <f>RAW_DATA_INPUTS!P39</f>
        <v>Female</v>
      </c>
      <c r="Q19" s="503" t="str">
        <f>RAW_DATA_INPUTS!Q39</f>
        <v>Male</v>
      </c>
      <c r="R19" s="503" t="str">
        <f>RAW_DATA_INPUTS!R39</f>
        <v>Female</v>
      </c>
      <c r="S19" s="503" t="str">
        <f>RAW_DATA_INPUTS!S39</f>
        <v>Male</v>
      </c>
      <c r="T19" s="503" t="str">
        <f>RAW_DATA_INPUTS!T39</f>
        <v>Female</v>
      </c>
      <c r="U19" s="503" t="str">
        <f>RAW_DATA_INPUTS!U39</f>
        <v>Male</v>
      </c>
      <c r="V19" s="503" t="str">
        <f>RAW_DATA_INPUTS!V39</f>
        <v>Female</v>
      </c>
      <c r="W19" s="503" t="str">
        <f>RAW_DATA_INPUTS!W39</f>
        <v>Male</v>
      </c>
      <c r="X19" s="503" t="str">
        <f>RAW_DATA_INPUTS!X39</f>
        <v>Female</v>
      </c>
      <c r="Y19" s="503" t="str">
        <f>RAW_DATA_INPUTS!Y39</f>
        <v>Male</v>
      </c>
      <c r="Z19" s="503" t="str">
        <f>RAW_DATA_INPUTS!Z39</f>
        <v>Female</v>
      </c>
      <c r="AA19" s="503" t="str">
        <f>RAW_DATA_INPUTS!AA39</f>
        <v>Male</v>
      </c>
      <c r="AB19" s="503" t="str">
        <f>RAW_DATA_INPUTS!AB39</f>
        <v>Female</v>
      </c>
      <c r="AC19" s="503" t="str">
        <f>RAW_DATA_INPUTS!AC39</f>
        <v>Male</v>
      </c>
      <c r="AD19" s="503" t="str">
        <f>RAW_DATA_INPUTS!AD39</f>
        <v>Female</v>
      </c>
      <c r="AE19" s="503" t="str">
        <f>RAW_DATA_INPUTS!AE39</f>
        <v>Male</v>
      </c>
      <c r="AF19" s="503" t="str">
        <f>RAW_DATA_INPUTS!AF39</f>
        <v>Female</v>
      </c>
      <c r="AG19" s="503" t="str">
        <f>RAW_DATA_INPUTS!AG39</f>
        <v>Male</v>
      </c>
      <c r="AH19" s="503" t="str">
        <f>RAW_DATA_INPUTS!AH39</f>
        <v>Female</v>
      </c>
      <c r="AI19" s="503" t="str">
        <f>RAW_DATA_INPUTS!AI39</f>
        <v>Male</v>
      </c>
      <c r="AJ19" s="503" t="str">
        <f>RAW_DATA_INPUTS!AJ39</f>
        <v>Female</v>
      </c>
      <c r="AK19" s="503" t="str">
        <f>RAW_DATA_INPUTS!AK39</f>
        <v>Male</v>
      </c>
      <c r="AL19" s="503" t="str">
        <f>RAW_DATA_INPUTS!AL39</f>
        <v>Female</v>
      </c>
      <c r="AM19" s="503" t="str">
        <f>RAW_DATA_INPUTS!AM39</f>
        <v>Male</v>
      </c>
      <c r="AN19" s="503" t="str">
        <f>RAW_DATA_INPUTS!AN39</f>
        <v>Female</v>
      </c>
      <c r="AO19" s="503" t="str">
        <f>RAW_DATA_INPUTS!AO39</f>
        <v>Male</v>
      </c>
      <c r="AP19" s="503" t="str">
        <f>RAW_DATA_INPUTS!AP39</f>
        <v>Female</v>
      </c>
      <c r="AQ19" s="503" t="str">
        <f>RAW_DATA_INPUTS!AQ39</f>
        <v>Male</v>
      </c>
      <c r="AR19" s="503" t="str">
        <f>RAW_DATA_INPUTS!AR39</f>
        <v>Female</v>
      </c>
    </row>
    <row r="20" spans="1:44" s="501" customFormat="1">
      <c r="B20" s="503" t="str">
        <f>RAW_DATA_INPUTS!B40</f>
        <v>20-24</v>
      </c>
      <c r="C20" s="525">
        <f>RAW_DATA_INPUTS!C40</f>
        <v>18.986759241049899</v>
      </c>
      <c r="D20" s="525">
        <f>RAW_DATA_INPUTS!D40</f>
        <v>117.50343426928922</v>
      </c>
      <c r="E20" s="525">
        <f>RAW_DATA_INPUTS!E40</f>
        <v>165.88194546640213</v>
      </c>
      <c r="F20" s="525">
        <f>RAW_DATA_INPUTS!F40</f>
        <v>413.32321242793694</v>
      </c>
      <c r="G20" s="525">
        <f>RAW_DATA_INPUTS!G40</f>
        <v>33.141928512604039</v>
      </c>
      <c r="H20" s="525">
        <f>RAW_DATA_INPUTS!H40</f>
        <v>67.335503892353429</v>
      </c>
      <c r="I20" s="525">
        <f>RAW_DATA_INPUTS!I40</f>
        <v>146.75673666364327</v>
      </c>
      <c r="J20" s="525">
        <f>RAW_DATA_INPUTS!J40</f>
        <v>392.05408784527634</v>
      </c>
      <c r="K20" s="525">
        <f>RAW_DATA_INPUTS!K40</f>
        <v>5.7033033199250696</v>
      </c>
      <c r="L20" s="525">
        <f>RAW_DATA_INPUTS!L40</f>
        <v>5.9424309566605302</v>
      </c>
      <c r="M20" s="525">
        <f>RAW_DATA_INPUTS!M40</f>
        <v>121.14408373249928</v>
      </c>
      <c r="N20" s="525">
        <f>RAW_DATA_INPUTS!N40</f>
        <v>101.68122161593789</v>
      </c>
      <c r="O20" s="525">
        <f>RAW_DATA_INPUTS!O40</f>
        <v>77.198316567433054</v>
      </c>
      <c r="P20" s="525">
        <f>RAW_DATA_INPUTS!P40</f>
        <v>175.18375941079947</v>
      </c>
      <c r="Q20" s="525">
        <f>RAW_DATA_INPUTS!Q40</f>
        <v>27.710359407600947</v>
      </c>
      <c r="R20" s="525">
        <f>RAW_DATA_INPUTS!R40</f>
        <v>127.34696425482707</v>
      </c>
      <c r="S20" s="525">
        <f>RAW_DATA_INPUTS!S40</f>
        <v>256.06953473505121</v>
      </c>
      <c r="T20" s="525">
        <f>RAW_DATA_INPUTS!T40</f>
        <v>1314.6591635214154</v>
      </c>
      <c r="U20" s="525">
        <f>RAW_DATA_INPUTS!U40</f>
        <v>5.2592428911729998</v>
      </c>
      <c r="V20" s="525">
        <f>RAW_DATA_INPUTS!V40</f>
        <v>41.034139017909588</v>
      </c>
      <c r="W20" s="525">
        <f>RAW_DATA_INPUTS!W40</f>
        <v>191.99308224724848</v>
      </c>
      <c r="X20" s="525">
        <f>RAW_DATA_INPUTS!X40</f>
        <v>478.13009528320919</v>
      </c>
      <c r="Y20" s="525">
        <f>RAW_DATA_INPUTS!Y40</f>
        <v>208.77432160819072</v>
      </c>
      <c r="Z20" s="525">
        <f>RAW_DATA_INPUTS!Z40</f>
        <v>470.18679586773101</v>
      </c>
      <c r="AA20" s="525">
        <f>RAW_DATA_INPUTS!AA40</f>
        <v>717.84774500450499</v>
      </c>
      <c r="AB20" s="525">
        <f>RAW_DATA_INPUTS!AB40</f>
        <v>1336.3009715467845</v>
      </c>
      <c r="AC20" s="525">
        <f>RAW_DATA_INPUTS!AC40</f>
        <v>61.918451316735023</v>
      </c>
      <c r="AD20" s="525">
        <f>RAW_DATA_INPUTS!AD40</f>
        <v>323.38027874388354</v>
      </c>
      <c r="AE20" s="525">
        <f>RAW_DATA_INPUTS!AE40</f>
        <v>92.373931435929123</v>
      </c>
      <c r="AF20" s="525">
        <f>RAW_DATA_INPUTS!AF40</f>
        <v>144.02582623268145</v>
      </c>
      <c r="AG20" s="525">
        <f>RAW_DATA_INPUTS!AG40</f>
        <v>121.30990631798113</v>
      </c>
      <c r="AH20" s="525">
        <f>RAW_DATA_INPUTS!AH40</f>
        <v>380.19044506460386</v>
      </c>
      <c r="AI20" s="525">
        <f>RAW_DATA_INPUTS!AI40</f>
        <v>359.84435732044318</v>
      </c>
      <c r="AJ20" s="525">
        <f>RAW_DATA_INPUTS!AJ40</f>
        <v>630.61470640176026</v>
      </c>
      <c r="AK20" s="525">
        <f>RAW_DATA_INPUTS!AK40</f>
        <v>264.79881578836859</v>
      </c>
      <c r="AL20" s="525">
        <f>RAW_DATA_INPUTS!AL40</f>
        <v>234.4094365777849</v>
      </c>
      <c r="AM20" s="525">
        <f>RAW_DATA_INPUTS!AM40</f>
        <v>85.483383341991811</v>
      </c>
      <c r="AN20" s="525">
        <f>RAW_DATA_INPUTS!AN40</f>
        <v>303.08226254803066</v>
      </c>
      <c r="AO20" s="525">
        <f>RAW_DATA_INPUTS!AO40</f>
        <v>2962.196204918775</v>
      </c>
      <c r="AP20" s="525">
        <f>RAW_DATA_INPUTS!AP40</f>
        <v>7056.384735478875</v>
      </c>
      <c r="AQ20" s="525">
        <f>RAW_DATA_INPUTS!AQ40</f>
        <v>2201.1010000000001</v>
      </c>
      <c r="AR20" s="525">
        <f>RAW_DATA_INPUTS!AR40</f>
        <v>15881.828</v>
      </c>
    </row>
    <row r="21" spans="1:44" s="501" customFormat="1">
      <c r="B21" s="503" t="str">
        <f>RAW_DATA_INPUTS!B41</f>
        <v>25-29</v>
      </c>
      <c r="C21" s="525">
        <f>RAW_DATA_INPUTS!C41</f>
        <v>132.00384956713071</v>
      </c>
      <c r="D21" s="525">
        <f>RAW_DATA_INPUTS!D41</f>
        <v>806.01881149961878</v>
      </c>
      <c r="E21" s="525">
        <f>RAW_DATA_INPUTS!E41</f>
        <v>538.6694059754426</v>
      </c>
      <c r="F21" s="525">
        <f>RAW_DATA_INPUTS!F41</f>
        <v>1580.7177528014845</v>
      </c>
      <c r="G21" s="525">
        <f>RAW_DATA_INPUTS!G41</f>
        <v>198.28861888815428</v>
      </c>
      <c r="H21" s="525">
        <f>RAW_DATA_INPUTS!H41</f>
        <v>295.41041472466327</v>
      </c>
      <c r="I21" s="525">
        <f>RAW_DATA_INPUTS!I41</f>
        <v>703.77458035206166</v>
      </c>
      <c r="J21" s="525">
        <f>RAW_DATA_INPUTS!J41</f>
        <v>1195.0956876017569</v>
      </c>
      <c r="K21" s="525">
        <f>RAW_DATA_INPUTS!K41</f>
        <v>18.479143475464983</v>
      </c>
      <c r="L21" s="525">
        <f>RAW_DATA_INPUTS!L41</f>
        <v>38.932770191791001</v>
      </c>
      <c r="M21" s="525">
        <f>RAW_DATA_INPUTS!M41</f>
        <v>513.1694663298689</v>
      </c>
      <c r="N21" s="525">
        <f>RAW_DATA_INPUTS!N41</f>
        <v>380.10100925032708</v>
      </c>
      <c r="O21" s="525">
        <f>RAW_DATA_INPUTS!O41</f>
        <v>335.37644667749333</v>
      </c>
      <c r="P21" s="525">
        <f>RAW_DATA_INPUTS!P41</f>
        <v>827.10122836466951</v>
      </c>
      <c r="Q21" s="525">
        <f>RAW_DATA_INPUTS!Q41</f>
        <v>141.71036101186348</v>
      </c>
      <c r="R21" s="525">
        <f>RAW_DATA_INPUTS!R41</f>
        <v>712.28374211887808</v>
      </c>
      <c r="S21" s="525">
        <f>RAW_DATA_INPUTS!S41</f>
        <v>1019.4741295265808</v>
      </c>
      <c r="T21" s="525">
        <f>RAW_DATA_INPUTS!T41</f>
        <v>4514.7517295836569</v>
      </c>
      <c r="U21" s="525">
        <f>RAW_DATA_INPUTS!U41</f>
        <v>16.124080579926002</v>
      </c>
      <c r="V21" s="525">
        <f>RAW_DATA_INPUTS!V41</f>
        <v>211.45730988086808</v>
      </c>
      <c r="W21" s="525">
        <f>RAW_DATA_INPUTS!W41</f>
        <v>638.34647080583932</v>
      </c>
      <c r="X21" s="525">
        <f>RAW_DATA_INPUTS!X41</f>
        <v>1256.0458638026651</v>
      </c>
      <c r="Y21" s="525">
        <f>RAW_DATA_INPUTS!Y41</f>
        <v>815.70675135715101</v>
      </c>
      <c r="Z21" s="525">
        <f>RAW_DATA_INPUTS!Z41</f>
        <v>1250.678036325635</v>
      </c>
      <c r="AA21" s="525">
        <f>RAW_DATA_INPUTS!AA41</f>
        <v>2142.1572995284023</v>
      </c>
      <c r="AB21" s="525">
        <f>RAW_DATA_INPUTS!AB41</f>
        <v>2868.9498514443026</v>
      </c>
      <c r="AC21" s="525">
        <f>RAW_DATA_INPUTS!AC41</f>
        <v>388.42212695095361</v>
      </c>
      <c r="AD21" s="525">
        <f>RAW_DATA_INPUTS!AD41</f>
        <v>1707.2634996038846</v>
      </c>
      <c r="AE21" s="525">
        <f>RAW_DATA_INPUTS!AE41</f>
        <v>411.73593696020436</v>
      </c>
      <c r="AF21" s="525">
        <f>RAW_DATA_INPUTS!AF41</f>
        <v>569.46228995405409</v>
      </c>
      <c r="AG21" s="525">
        <f>RAW_DATA_INPUTS!AG41</f>
        <v>595.55313473885315</v>
      </c>
      <c r="AH21" s="525">
        <f>RAW_DATA_INPUTS!AH41</f>
        <v>1610.7443309171283</v>
      </c>
      <c r="AI21" s="525">
        <f>RAW_DATA_INPUTS!AI41</f>
        <v>1700.402099616952</v>
      </c>
      <c r="AJ21" s="525">
        <f>RAW_DATA_INPUTS!AJ41</f>
        <v>1884.9378975506008</v>
      </c>
      <c r="AK21" s="525">
        <f>RAW_DATA_INPUTS!AK41</f>
        <v>977.71119308287825</v>
      </c>
      <c r="AL21" s="525">
        <f>RAW_DATA_INPUTS!AL41</f>
        <v>559.26561301859203</v>
      </c>
      <c r="AM21" s="525">
        <f>RAW_DATA_INPUTS!AM41</f>
        <v>296.18238392438042</v>
      </c>
      <c r="AN21" s="525">
        <f>RAW_DATA_INPUTS!AN41</f>
        <v>1012.0368005332734</v>
      </c>
      <c r="AO21" s="525">
        <f>RAW_DATA_INPUTS!AO41</f>
        <v>11583.287479349599</v>
      </c>
      <c r="AP21" s="525">
        <f>RAW_DATA_INPUTS!AP41</f>
        <v>23281.254639167855</v>
      </c>
      <c r="AQ21" s="525">
        <f>RAW_DATA_INPUTS!AQ41</f>
        <v>6376.2039999999997</v>
      </c>
      <c r="AR21" s="525">
        <f>RAW_DATA_INPUTS!AR41</f>
        <v>36112.19</v>
      </c>
    </row>
    <row r="22" spans="1:44" s="501" customFormat="1">
      <c r="B22" s="503" t="str">
        <f>RAW_DATA_INPUTS!B42</f>
        <v>30-34</v>
      </c>
      <c r="C22" s="525">
        <f>RAW_DATA_INPUTS!C42</f>
        <v>296.82527009953958</v>
      </c>
      <c r="D22" s="525">
        <f>RAW_DATA_INPUTS!D42</f>
        <v>1194.8536090635239</v>
      </c>
      <c r="E22" s="525">
        <f>RAW_DATA_INPUTS!E42</f>
        <v>685.588312897121</v>
      </c>
      <c r="F22" s="525">
        <f>RAW_DATA_INPUTS!F42</f>
        <v>1661.7523461007875</v>
      </c>
      <c r="G22" s="525">
        <f>RAW_DATA_INPUTS!G42</f>
        <v>347.01336176290926</v>
      </c>
      <c r="H22" s="525">
        <f>RAW_DATA_INPUTS!H42</f>
        <v>459.67103240585345</v>
      </c>
      <c r="I22" s="525">
        <f>RAW_DATA_INPUTS!I42</f>
        <v>640.85175268294495</v>
      </c>
      <c r="J22" s="525">
        <f>RAW_DATA_INPUTS!J42</f>
        <v>1079.4745801635797</v>
      </c>
      <c r="K22" s="525">
        <f>RAW_DATA_INPUTS!K42</f>
        <v>17.317248173197143</v>
      </c>
      <c r="L22" s="525">
        <f>RAW_DATA_INPUTS!L42</f>
        <v>32.861604376554567</v>
      </c>
      <c r="M22" s="525">
        <f>RAW_DATA_INPUTS!M42</f>
        <v>958.27483727735171</v>
      </c>
      <c r="N22" s="525">
        <f>RAW_DATA_INPUTS!N42</f>
        <v>561.85458263406179</v>
      </c>
      <c r="O22" s="525">
        <f>RAW_DATA_INPUTS!O42</f>
        <v>632.34139871307934</v>
      </c>
      <c r="P22" s="525">
        <f>RAW_DATA_INPUTS!P42</f>
        <v>1029.456681363944</v>
      </c>
      <c r="Q22" s="525">
        <f>RAW_DATA_INPUTS!Q42</f>
        <v>227.83861672810889</v>
      </c>
      <c r="R22" s="525">
        <f>RAW_DATA_INPUTS!R42</f>
        <v>1006.6496751964177</v>
      </c>
      <c r="S22" s="525">
        <f>RAW_DATA_INPUTS!S42</f>
        <v>1120.5116466620566</v>
      </c>
      <c r="T22" s="525">
        <f>RAW_DATA_INPUTS!T42</f>
        <v>4313.8581569519747</v>
      </c>
      <c r="U22" s="525">
        <f>RAW_DATA_INPUTS!U42</f>
        <v>44.032401572863009</v>
      </c>
      <c r="V22" s="525">
        <f>RAW_DATA_INPUTS!V42</f>
        <v>210.88014182961322</v>
      </c>
      <c r="W22" s="525">
        <f>RAW_DATA_INPUTS!W42</f>
        <v>834.17147351426013</v>
      </c>
      <c r="X22" s="525">
        <f>RAW_DATA_INPUTS!X42</f>
        <v>1113.141468431746</v>
      </c>
      <c r="Y22" s="525">
        <f>RAW_DATA_INPUTS!Y42</f>
        <v>913.02266870770382</v>
      </c>
      <c r="Z22" s="525">
        <f>RAW_DATA_INPUTS!Z42</f>
        <v>1205.0412729023485</v>
      </c>
      <c r="AA22" s="525">
        <f>RAW_DATA_INPUTS!AA42</f>
        <v>2162.8319191687092</v>
      </c>
      <c r="AB22" s="525">
        <f>RAW_DATA_INPUTS!AB42</f>
        <v>2278.8914885942636</v>
      </c>
      <c r="AC22" s="525">
        <f>RAW_DATA_INPUTS!AC42</f>
        <v>416.54666050817889</v>
      </c>
      <c r="AD22" s="525">
        <f>RAW_DATA_INPUTS!AD42</f>
        <v>1705.054583859283</v>
      </c>
      <c r="AE22" s="525">
        <f>RAW_DATA_INPUTS!AE42</f>
        <v>428.13122359609969</v>
      </c>
      <c r="AF22" s="525">
        <f>RAW_DATA_INPUTS!AF42</f>
        <v>593.78804115827143</v>
      </c>
      <c r="AG22" s="525">
        <f>RAW_DATA_INPUTS!AG42</f>
        <v>877.08716020922418</v>
      </c>
      <c r="AH22" s="525">
        <f>RAW_DATA_INPUTS!AH42</f>
        <v>1906.8287563733245</v>
      </c>
      <c r="AI22" s="525">
        <f>RAW_DATA_INPUTS!AI42</f>
        <v>2385.3054708867126</v>
      </c>
      <c r="AJ22" s="525">
        <f>RAW_DATA_INPUTS!AJ42</f>
        <v>1919.5497628550436</v>
      </c>
      <c r="AK22" s="525">
        <f>RAW_DATA_INPUTS!AK42</f>
        <v>1042.5552869963301</v>
      </c>
      <c r="AL22" s="525">
        <f>RAW_DATA_INPUTS!AL42</f>
        <v>733.09357951527636</v>
      </c>
      <c r="AM22" s="525">
        <f>RAW_DATA_INPUTS!AM42</f>
        <v>393.01041425644451</v>
      </c>
      <c r="AN22" s="525">
        <f>RAW_DATA_INPUTS!AN42</f>
        <v>914.49560961387795</v>
      </c>
      <c r="AO22" s="525">
        <f>RAW_DATA_INPUTS!AO42</f>
        <v>14423.257124412836</v>
      </c>
      <c r="AP22" s="525">
        <f>RAW_DATA_INPUTS!AP42</f>
        <v>23921.196973389742</v>
      </c>
      <c r="AQ22" s="525">
        <f>RAW_DATA_INPUTS!AQ42</f>
        <v>5885.4409999999998</v>
      </c>
      <c r="AR22" s="525">
        <f>RAW_DATA_INPUTS!AR42</f>
        <v>33344.974000000002</v>
      </c>
    </row>
    <row r="23" spans="1:44" s="501" customFormat="1">
      <c r="B23" s="503" t="str">
        <f>RAW_DATA_INPUTS!B43</f>
        <v>35-39</v>
      </c>
      <c r="C23" s="525">
        <f>RAW_DATA_INPUTS!C43</f>
        <v>307.03922311793787</v>
      </c>
      <c r="D23" s="525">
        <f>RAW_DATA_INPUTS!D43</f>
        <v>1210.0356208348044</v>
      </c>
      <c r="E23" s="525">
        <f>RAW_DATA_INPUTS!E43</f>
        <v>688.51920916964445</v>
      </c>
      <c r="F23" s="525">
        <f>RAW_DATA_INPUTS!F43</f>
        <v>1569.9737933545555</v>
      </c>
      <c r="G23" s="525">
        <f>RAW_DATA_INPUTS!G43</f>
        <v>333.83867500837573</v>
      </c>
      <c r="H23" s="525">
        <f>RAW_DATA_INPUTS!H43</f>
        <v>429.54656775728188</v>
      </c>
      <c r="I23" s="525">
        <f>RAW_DATA_INPUTS!I43</f>
        <v>646.80667625740921</v>
      </c>
      <c r="J23" s="525">
        <f>RAW_DATA_INPUTS!J43</f>
        <v>934.2774188261576</v>
      </c>
      <c r="K23" s="525">
        <f>RAW_DATA_INPUTS!K43</f>
        <v>16.090246668647055</v>
      </c>
      <c r="L23" s="525">
        <f>RAW_DATA_INPUTS!L43</f>
        <v>26.193727628970933</v>
      </c>
      <c r="M23" s="525">
        <f>RAW_DATA_INPUTS!M43</f>
        <v>849.61634436288045</v>
      </c>
      <c r="N23" s="525">
        <f>RAW_DATA_INPUTS!N43</f>
        <v>566.15858138841668</v>
      </c>
      <c r="O23" s="525">
        <f>RAW_DATA_INPUTS!O43</f>
        <v>637.37078431356895</v>
      </c>
      <c r="P23" s="525">
        <f>RAW_DATA_INPUTS!P43</f>
        <v>864.02742783620329</v>
      </c>
      <c r="Q23" s="525">
        <f>RAW_DATA_INPUTS!Q43</f>
        <v>221.662827250818</v>
      </c>
      <c r="R23" s="525">
        <f>RAW_DATA_INPUTS!R43</f>
        <v>783.59952565432047</v>
      </c>
      <c r="S23" s="525">
        <f>RAW_DATA_INPUTS!S43</f>
        <v>1035.7680788518887</v>
      </c>
      <c r="T23" s="525">
        <f>RAW_DATA_INPUTS!T43</f>
        <v>3714.7609054030127</v>
      </c>
      <c r="U23" s="525">
        <f>RAW_DATA_INPUTS!U43</f>
        <v>32.206981030544199</v>
      </c>
      <c r="V23" s="525">
        <f>RAW_DATA_INPUTS!V43</f>
        <v>218.20766665423994</v>
      </c>
      <c r="W23" s="525">
        <f>RAW_DATA_INPUTS!W43</f>
        <v>854.46838103379923</v>
      </c>
      <c r="X23" s="525">
        <f>RAW_DATA_INPUTS!X43</f>
        <v>1066.2655385413264</v>
      </c>
      <c r="Y23" s="525">
        <f>RAW_DATA_INPUTS!Y43</f>
        <v>827.38737577483596</v>
      </c>
      <c r="Z23" s="525">
        <f>RAW_DATA_INPUTS!Z43</f>
        <v>1110.6951580521827</v>
      </c>
      <c r="AA23" s="525">
        <f>RAW_DATA_INPUTS!AA43</f>
        <v>1964.1558419202743</v>
      </c>
      <c r="AB23" s="525">
        <f>RAW_DATA_INPUTS!AB43</f>
        <v>2162.9168888365089</v>
      </c>
      <c r="AC23" s="525">
        <f>RAW_DATA_INPUTS!AC43</f>
        <v>465.45993339360496</v>
      </c>
      <c r="AD23" s="525">
        <f>RAW_DATA_INPUTS!AD43</f>
        <v>2052.9094496027205</v>
      </c>
      <c r="AE23" s="525">
        <f>RAW_DATA_INPUTS!AE43</f>
        <v>387.67386870888822</v>
      </c>
      <c r="AF23" s="525">
        <f>RAW_DATA_INPUTS!AF43</f>
        <v>617.91503134874893</v>
      </c>
      <c r="AG23" s="525">
        <f>RAW_DATA_INPUTS!AG43</f>
        <v>797.68580023658603</v>
      </c>
      <c r="AH23" s="525">
        <f>RAW_DATA_INPUTS!AH43</f>
        <v>1518.2786251403734</v>
      </c>
      <c r="AI23" s="525">
        <f>RAW_DATA_INPUTS!AI43</f>
        <v>1940.8167780298638</v>
      </c>
      <c r="AJ23" s="525">
        <f>RAW_DATA_INPUTS!AJ43</f>
        <v>1551.399395341856</v>
      </c>
      <c r="AK23" s="525">
        <f>RAW_DATA_INPUTS!AK43</f>
        <v>920.56134443202939</v>
      </c>
      <c r="AL23" s="525">
        <f>RAW_DATA_INPUTS!AL43</f>
        <v>597.1947945993021</v>
      </c>
      <c r="AM23" s="525">
        <f>RAW_DATA_INPUTS!AM43</f>
        <v>409.66381267742304</v>
      </c>
      <c r="AN23" s="525">
        <f>RAW_DATA_INPUTS!AN43</f>
        <v>831.40341177058588</v>
      </c>
      <c r="AO23" s="525">
        <f>RAW_DATA_INPUTS!AO43</f>
        <v>13336.792182239022</v>
      </c>
      <c r="AP23" s="525">
        <f>RAW_DATA_INPUTS!AP43</f>
        <v>21825.759528571565</v>
      </c>
      <c r="AQ23" s="525">
        <f>RAW_DATA_INPUTS!AQ43</f>
        <v>5055.6980000000003</v>
      </c>
      <c r="AR23" s="525">
        <f>RAW_DATA_INPUTS!AR43</f>
        <v>30412.830999999998</v>
      </c>
    </row>
    <row r="24" spans="1:44" s="501" customFormat="1">
      <c r="B24" s="503" t="str">
        <f>RAW_DATA_INPUTS!B44</f>
        <v>40-44</v>
      </c>
      <c r="C24" s="525">
        <f>RAW_DATA_INPUTS!C44</f>
        <v>380.25987418838093</v>
      </c>
      <c r="D24" s="525">
        <f>RAW_DATA_INPUTS!D44</f>
        <v>1157.5137154555598</v>
      </c>
      <c r="E24" s="525">
        <f>RAW_DATA_INPUTS!E44</f>
        <v>574.04167283423646</v>
      </c>
      <c r="F24" s="525">
        <f>RAW_DATA_INPUTS!F44</f>
        <v>1234.8550337476543</v>
      </c>
      <c r="G24" s="525">
        <f>RAW_DATA_INPUTS!G44</f>
        <v>295.84090757390499</v>
      </c>
      <c r="H24" s="525">
        <f>RAW_DATA_INPUTS!H44</f>
        <v>404.46458927989858</v>
      </c>
      <c r="I24" s="525">
        <f>RAW_DATA_INPUTS!I44</f>
        <v>703.69575344817713</v>
      </c>
      <c r="J24" s="525">
        <f>RAW_DATA_INPUTS!J44</f>
        <v>947.33374841259604</v>
      </c>
      <c r="K24" s="525">
        <f>RAW_DATA_INPUTS!K44</f>
        <v>12.785856494352569</v>
      </c>
      <c r="L24" s="525">
        <f>RAW_DATA_INPUTS!L44</f>
        <v>16.836463910189764</v>
      </c>
      <c r="M24" s="525">
        <f>RAW_DATA_INPUTS!M44</f>
        <v>697.76208111931851</v>
      </c>
      <c r="N24" s="525">
        <f>RAW_DATA_INPUTS!N44</f>
        <v>494.03414750598239</v>
      </c>
      <c r="O24" s="525">
        <f>RAW_DATA_INPUTS!O44</f>
        <v>700.44078105284098</v>
      </c>
      <c r="P24" s="525">
        <f>RAW_DATA_INPUTS!P44</f>
        <v>828.29627043571111</v>
      </c>
      <c r="Q24" s="525">
        <f>RAW_DATA_INPUTS!Q44</f>
        <v>164.43478033505522</v>
      </c>
      <c r="R24" s="525">
        <f>RAW_DATA_INPUTS!R44</f>
        <v>495.92361351030468</v>
      </c>
      <c r="S24" s="525">
        <f>RAW_DATA_INPUTS!S44</f>
        <v>912.29481562512603</v>
      </c>
      <c r="T24" s="525">
        <f>RAW_DATA_INPUTS!T44</f>
        <v>3087.8166330790818</v>
      </c>
      <c r="U24" s="525">
        <f>RAW_DATA_INPUTS!U44</f>
        <v>37.832111046600104</v>
      </c>
      <c r="V24" s="525">
        <f>RAW_DATA_INPUTS!V44</f>
        <v>263.00694890737896</v>
      </c>
      <c r="W24" s="525">
        <f>RAW_DATA_INPUTS!W44</f>
        <v>766.08579902490203</v>
      </c>
      <c r="X24" s="525">
        <f>RAW_DATA_INPUTS!X44</f>
        <v>806.13390708864551</v>
      </c>
      <c r="Y24" s="525">
        <f>RAW_DATA_INPUTS!Y44</f>
        <v>760.4031610450038</v>
      </c>
      <c r="Z24" s="525">
        <f>RAW_DATA_INPUTS!Z44</f>
        <v>871.6829380689154</v>
      </c>
      <c r="AA24" s="525">
        <f>RAW_DATA_INPUTS!AA44</f>
        <v>2056.1789917901187</v>
      </c>
      <c r="AB24" s="525">
        <f>RAW_DATA_INPUTS!AB44</f>
        <v>2129.3758622050791</v>
      </c>
      <c r="AC24" s="525">
        <f>RAW_DATA_INPUTS!AC44</f>
        <v>473.37712621364648</v>
      </c>
      <c r="AD24" s="525">
        <f>RAW_DATA_INPUTS!AD44</f>
        <v>2181.3536618253825</v>
      </c>
      <c r="AE24" s="525">
        <f>RAW_DATA_INPUTS!AE44</f>
        <v>305.18704920769733</v>
      </c>
      <c r="AF24" s="525">
        <f>RAW_DATA_INPUTS!AF44</f>
        <v>414.85418763807616</v>
      </c>
      <c r="AG24" s="525">
        <f>RAW_DATA_INPUTS!AG44</f>
        <v>748.04492302326366</v>
      </c>
      <c r="AH24" s="525">
        <f>RAW_DATA_INPUTS!AH44</f>
        <v>1282.4778918562354</v>
      </c>
      <c r="AI24" s="525">
        <f>RAW_DATA_INPUTS!AI44</f>
        <v>1197.9896784948221</v>
      </c>
      <c r="AJ24" s="525">
        <f>RAW_DATA_INPUTS!AJ44</f>
        <v>903.75193439288125</v>
      </c>
      <c r="AK24" s="525">
        <f>RAW_DATA_INPUTS!AK44</f>
        <v>890.03047560382208</v>
      </c>
      <c r="AL24" s="525">
        <f>RAW_DATA_INPUTS!AL44</f>
        <v>554.03747200682324</v>
      </c>
      <c r="AM24" s="525">
        <f>RAW_DATA_INPUTS!AM44</f>
        <v>363.08363902167213</v>
      </c>
      <c r="AN24" s="525">
        <f>RAW_DATA_INPUTS!AN44</f>
        <v>710.91822666128462</v>
      </c>
      <c r="AO24" s="525">
        <f>RAW_DATA_INPUTS!AO44</f>
        <v>12039.769477142943</v>
      </c>
      <c r="AP24" s="525">
        <f>RAW_DATA_INPUTS!AP44</f>
        <v>18784.667245987683</v>
      </c>
      <c r="AQ24" s="525">
        <f>RAW_DATA_INPUTS!AQ44</f>
        <v>4719.7929999999997</v>
      </c>
      <c r="AR24" s="525">
        <f>RAW_DATA_INPUTS!AR44</f>
        <v>28764.807000000001</v>
      </c>
    </row>
    <row r="25" spans="1:44" s="501" customFormat="1">
      <c r="B25" s="503" t="str">
        <f>RAW_DATA_INPUTS!B45</f>
        <v>45-49</v>
      </c>
      <c r="C25" s="525">
        <f>RAW_DATA_INPUTS!C45</f>
        <v>296.70334228464287</v>
      </c>
      <c r="D25" s="525">
        <f>RAW_DATA_INPUTS!D45</f>
        <v>850.19765623330716</v>
      </c>
      <c r="E25" s="525">
        <f>RAW_DATA_INPUTS!E45</f>
        <v>395.30588173425213</v>
      </c>
      <c r="F25" s="525">
        <f>RAW_DATA_INPUTS!F45</f>
        <v>848.37675620521986</v>
      </c>
      <c r="G25" s="525">
        <f>RAW_DATA_INPUTS!G45</f>
        <v>266.39880921317587</v>
      </c>
      <c r="H25" s="525">
        <f>RAW_DATA_INPUTS!H45</f>
        <v>294.06575174567968</v>
      </c>
      <c r="I25" s="525">
        <f>RAW_DATA_INPUTS!I45</f>
        <v>581.07302088901884</v>
      </c>
      <c r="J25" s="525">
        <f>RAW_DATA_INPUTS!J45</f>
        <v>695.39198769973689</v>
      </c>
      <c r="K25" s="525">
        <f>RAW_DATA_INPUTS!K45</f>
        <v>12.613575466774922</v>
      </c>
      <c r="L25" s="525">
        <f>RAW_DATA_INPUTS!L45</f>
        <v>18.001364114101399</v>
      </c>
      <c r="M25" s="525">
        <f>RAW_DATA_INPUTS!M45</f>
        <v>592.10739986449926</v>
      </c>
      <c r="N25" s="525">
        <f>RAW_DATA_INPUTS!N45</f>
        <v>397.23911287497702</v>
      </c>
      <c r="O25" s="525">
        <f>RAW_DATA_INPUTS!O45</f>
        <v>737.58717253076429</v>
      </c>
      <c r="P25" s="525">
        <f>RAW_DATA_INPUTS!P45</f>
        <v>799.55420749257576</v>
      </c>
      <c r="Q25" s="525">
        <f>RAW_DATA_INPUTS!Q45</f>
        <v>140.75306853486089</v>
      </c>
      <c r="R25" s="525">
        <f>RAW_DATA_INPUTS!R45</f>
        <v>301.11208843903404</v>
      </c>
      <c r="S25" s="525">
        <f>RAW_DATA_INPUTS!S45</f>
        <v>718.53009634524278</v>
      </c>
      <c r="T25" s="525">
        <f>RAW_DATA_INPUTS!T45</f>
        <v>2369.6743447528365</v>
      </c>
      <c r="U25" s="525">
        <f>RAW_DATA_INPUTS!U45</f>
        <v>30.402201628533405</v>
      </c>
      <c r="V25" s="525">
        <f>RAW_DATA_INPUTS!V45</f>
        <v>300.43253289179086</v>
      </c>
      <c r="W25" s="525">
        <f>RAW_DATA_INPUTS!W45</f>
        <v>519.76045428457803</v>
      </c>
      <c r="X25" s="525">
        <f>RAW_DATA_INPUTS!X45</f>
        <v>458.75600120459285</v>
      </c>
      <c r="Y25" s="525">
        <f>RAW_DATA_INPUTS!Y45</f>
        <v>628.09127464671121</v>
      </c>
      <c r="Z25" s="525">
        <f>RAW_DATA_INPUTS!Z45</f>
        <v>555.98474935421541</v>
      </c>
      <c r="AA25" s="525">
        <f>RAW_DATA_INPUTS!AA45</f>
        <v>1861.9473279891647</v>
      </c>
      <c r="AB25" s="525">
        <f>RAW_DATA_INPUTS!AB45</f>
        <v>2127.8983896285213</v>
      </c>
      <c r="AC25" s="525">
        <f>RAW_DATA_INPUTS!AC45</f>
        <v>397.16105637305009</v>
      </c>
      <c r="AD25" s="525">
        <f>RAW_DATA_INPUTS!AD45</f>
        <v>1736.0801268526466</v>
      </c>
      <c r="AE25" s="525">
        <f>RAW_DATA_INPUTS!AE45</f>
        <v>218.60415474495863</v>
      </c>
      <c r="AF25" s="525">
        <f>RAW_DATA_INPUTS!AF45</f>
        <v>241.22994994221338</v>
      </c>
      <c r="AG25" s="525">
        <f>RAW_DATA_INPUTS!AG45</f>
        <v>669.67501194221256</v>
      </c>
      <c r="AH25" s="525">
        <f>RAW_DATA_INPUTS!AH45</f>
        <v>1016.1428365855965</v>
      </c>
      <c r="AI25" s="525">
        <f>RAW_DATA_INPUTS!AI45</f>
        <v>560.71999453495721</v>
      </c>
      <c r="AJ25" s="525">
        <f>RAW_DATA_INPUTS!AJ45</f>
        <v>507.78725018815862</v>
      </c>
      <c r="AK25" s="525">
        <f>RAW_DATA_INPUTS!AK45</f>
        <v>926.52981492192725</v>
      </c>
      <c r="AL25" s="525">
        <f>RAW_DATA_INPUTS!AL45</f>
        <v>429.75777463387072</v>
      </c>
      <c r="AM25" s="525">
        <f>RAW_DATA_INPUTS!AM45</f>
        <v>266.5882171988257</v>
      </c>
      <c r="AN25" s="525">
        <f>RAW_DATA_INPUTS!AN45</f>
        <v>437.30627661916014</v>
      </c>
      <c r="AO25" s="525">
        <f>RAW_DATA_INPUTS!AO45</f>
        <v>9820.5518751281488</v>
      </c>
      <c r="AP25" s="525">
        <f>RAW_DATA_INPUTS!AP45</f>
        <v>14384.989157458236</v>
      </c>
      <c r="AQ25" s="525">
        <f>RAW_DATA_INPUTS!AQ45</f>
        <v>3577.8429999999998</v>
      </c>
      <c r="AR25" s="525">
        <f>RAW_DATA_INPUTS!AR45</f>
        <v>24094.242999999999</v>
      </c>
    </row>
    <row r="26" spans="1:44" s="501" customFormat="1">
      <c r="B26" s="503" t="str">
        <f>RAW_DATA_INPUTS!B46</f>
        <v>50-54</v>
      </c>
      <c r="C26" s="525">
        <f>RAW_DATA_INPUTS!C46</f>
        <v>264.71727904062766</v>
      </c>
      <c r="D26" s="525">
        <f>RAW_DATA_INPUTS!D46</f>
        <v>684.00804571242588</v>
      </c>
      <c r="E26" s="525">
        <f>RAW_DATA_INPUTS!E46</f>
        <v>316.04598702882896</v>
      </c>
      <c r="F26" s="525">
        <f>RAW_DATA_INPUTS!F46</f>
        <v>631.05748139781895</v>
      </c>
      <c r="G26" s="525">
        <f>RAW_DATA_INPUTS!G46</f>
        <v>194.23255339483228</v>
      </c>
      <c r="H26" s="525">
        <f>RAW_DATA_INPUTS!H46</f>
        <v>222.96117759283212</v>
      </c>
      <c r="I26" s="525">
        <f>RAW_DATA_INPUTS!I46</f>
        <v>465.4569024953912</v>
      </c>
      <c r="J26" s="525">
        <f>RAW_DATA_INPUTS!J46</f>
        <v>600.53827710393966</v>
      </c>
      <c r="K26" s="525">
        <f>RAW_DATA_INPUTS!K46</f>
        <v>21.378873561728259</v>
      </c>
      <c r="L26" s="525">
        <f>RAW_DATA_INPUTS!L46</f>
        <v>20.127832844027797</v>
      </c>
      <c r="M26" s="525">
        <f>RAW_DATA_INPUTS!M46</f>
        <v>442.37817359292507</v>
      </c>
      <c r="N26" s="525">
        <f>RAW_DATA_INPUTS!N46</f>
        <v>334.61343448011223</v>
      </c>
      <c r="O26" s="525">
        <f>RAW_DATA_INPUTS!O46</f>
        <v>741.14427430671253</v>
      </c>
      <c r="P26" s="525">
        <f>RAW_DATA_INPUTS!P46</f>
        <v>674.47313739021433</v>
      </c>
      <c r="Q26" s="525">
        <f>RAW_DATA_INPUTS!Q46</f>
        <v>105.59387101563055</v>
      </c>
      <c r="R26" s="525">
        <f>RAW_DATA_INPUTS!R46</f>
        <v>218.02812303970668</v>
      </c>
      <c r="S26" s="525">
        <f>RAW_DATA_INPUTS!S46</f>
        <v>527.50809165966268</v>
      </c>
      <c r="T26" s="525">
        <f>RAW_DATA_INPUTS!T46</f>
        <v>2028.5365657265961</v>
      </c>
      <c r="U26" s="525">
        <f>RAW_DATA_INPUTS!U46</f>
        <v>27.281479069661561</v>
      </c>
      <c r="V26" s="525">
        <f>RAW_DATA_INPUTS!V46</f>
        <v>314.38695071534715</v>
      </c>
      <c r="W26" s="525">
        <f>RAW_DATA_INPUTS!W46</f>
        <v>396.22217190305668</v>
      </c>
      <c r="X26" s="525">
        <f>RAW_DATA_INPUTS!X46</f>
        <v>344.16252456503207</v>
      </c>
      <c r="Y26" s="525">
        <f>RAW_DATA_INPUTS!Y46</f>
        <v>431.15225466976727</v>
      </c>
      <c r="Z26" s="525">
        <f>RAW_DATA_INPUTS!Z46</f>
        <v>388.07215589903166</v>
      </c>
      <c r="AA26" s="525">
        <f>RAW_DATA_INPUTS!AA46</f>
        <v>1567.6173969479762</v>
      </c>
      <c r="AB26" s="525">
        <f>RAW_DATA_INPUTS!AB46</f>
        <v>1777.5174674911302</v>
      </c>
      <c r="AC26" s="525">
        <f>RAW_DATA_INPUTS!AC46</f>
        <v>309.93032540418073</v>
      </c>
      <c r="AD26" s="525">
        <f>RAW_DATA_INPUTS!AD46</f>
        <v>1328.2145550834098</v>
      </c>
      <c r="AE26" s="525">
        <f>RAW_DATA_INPUTS!AE46</f>
        <v>206.18308958480063</v>
      </c>
      <c r="AF26" s="525">
        <f>RAW_DATA_INPUTS!AF46</f>
        <v>213.39142242983604</v>
      </c>
      <c r="AG26" s="525">
        <f>RAW_DATA_INPUTS!AG46</f>
        <v>561.38096019740169</v>
      </c>
      <c r="AH26" s="525">
        <f>RAW_DATA_INPUTS!AH46</f>
        <v>837.82138595045467</v>
      </c>
      <c r="AI26" s="525">
        <f>RAW_DATA_INPUTS!AI46</f>
        <v>408.66547208677395</v>
      </c>
      <c r="AJ26" s="525">
        <f>RAW_DATA_INPUTS!AJ46</f>
        <v>400.87192009101329</v>
      </c>
      <c r="AK26" s="525">
        <f>RAW_DATA_INPUTS!AK46</f>
        <v>831.80351232866951</v>
      </c>
      <c r="AL26" s="525">
        <f>RAW_DATA_INPUTS!AL46</f>
        <v>426.87616918198677</v>
      </c>
      <c r="AM26" s="525">
        <f>RAW_DATA_INPUTS!AM46</f>
        <v>255.68005645057963</v>
      </c>
      <c r="AN26" s="525">
        <f>RAW_DATA_INPUTS!AN46</f>
        <v>445.19099605388715</v>
      </c>
      <c r="AO26" s="525">
        <f>RAW_DATA_INPUTS!AO46</f>
        <v>8074.3727247392071</v>
      </c>
      <c r="AP26" s="525">
        <f>RAW_DATA_INPUTS!AP46</f>
        <v>11890.849622748803</v>
      </c>
      <c r="AQ26" s="525">
        <f>RAW_DATA_INPUTS!AQ46</f>
        <v>2816.739</v>
      </c>
      <c r="AR26" s="525">
        <f>RAW_DATA_INPUTS!AR46</f>
        <v>19230.936000000002</v>
      </c>
    </row>
    <row r="27" spans="1:44" s="501" customFormat="1">
      <c r="B27" s="503" t="str">
        <f>RAW_DATA_INPUTS!B47</f>
        <v>55-59</v>
      </c>
      <c r="C27" s="525">
        <f>RAW_DATA_INPUTS!C47</f>
        <v>177.10115054581973</v>
      </c>
      <c r="D27" s="525">
        <f>RAW_DATA_INPUTS!D47</f>
        <v>314.67270385712823</v>
      </c>
      <c r="E27" s="525">
        <f>RAW_DATA_INPUTS!E47</f>
        <v>252.42917756827995</v>
      </c>
      <c r="F27" s="525">
        <f>RAW_DATA_INPUTS!F47</f>
        <v>450.00630219418349</v>
      </c>
      <c r="G27" s="525">
        <f>RAW_DATA_INPUTS!G47</f>
        <v>132.6520063565614</v>
      </c>
      <c r="H27" s="525">
        <f>RAW_DATA_INPUTS!H47</f>
        <v>144.69175741763939</v>
      </c>
      <c r="I27" s="525">
        <f>RAW_DATA_INPUTS!I47</f>
        <v>370.22602013164038</v>
      </c>
      <c r="J27" s="525">
        <f>RAW_DATA_INPUTS!J47</f>
        <v>322.44394486180659</v>
      </c>
      <c r="K27" s="525">
        <f>RAW_DATA_INPUTS!K47</f>
        <v>14.452575272778159</v>
      </c>
      <c r="L27" s="525">
        <f>RAW_DATA_INPUTS!L47</f>
        <v>21.952809775693321</v>
      </c>
      <c r="M27" s="525">
        <f>RAW_DATA_INPUTS!M47</f>
        <v>287.68986198164623</v>
      </c>
      <c r="N27" s="525">
        <f>RAW_DATA_INPUTS!N47</f>
        <v>189.49278228077671</v>
      </c>
      <c r="O27" s="525">
        <f>RAW_DATA_INPUTS!O47</f>
        <v>572.55226286901222</v>
      </c>
      <c r="P27" s="525">
        <f>RAW_DATA_INPUTS!P47</f>
        <v>508.02499539654355</v>
      </c>
      <c r="Q27" s="525">
        <f>RAW_DATA_INPUTS!Q47</f>
        <v>82.318131417725269</v>
      </c>
      <c r="R27" s="525">
        <f>RAW_DATA_INPUTS!R47</f>
        <v>156.810522136017</v>
      </c>
      <c r="S27" s="525">
        <f>RAW_DATA_INPUTS!S47</f>
        <v>374.89110590965657</v>
      </c>
      <c r="T27" s="525">
        <f>RAW_DATA_INPUTS!T47</f>
        <v>1592.4699974300142</v>
      </c>
      <c r="U27" s="525">
        <f>RAW_DATA_INPUTS!U47</f>
        <v>7.9862939221474996</v>
      </c>
      <c r="V27" s="525">
        <f>RAW_DATA_INPUTS!V47</f>
        <v>273.16309906841639</v>
      </c>
      <c r="W27" s="525">
        <f>RAW_DATA_INPUTS!W47</f>
        <v>306.80603884032604</v>
      </c>
      <c r="X27" s="525">
        <f>RAW_DATA_INPUTS!X47</f>
        <v>316.46814497582551</v>
      </c>
      <c r="Y27" s="525">
        <f>RAW_DATA_INPUTS!Y47</f>
        <v>307.02229391014185</v>
      </c>
      <c r="Z27" s="525">
        <f>RAW_DATA_INPUTS!Z47</f>
        <v>347.44793211265517</v>
      </c>
      <c r="AA27" s="525">
        <f>RAW_DATA_INPUTS!AA47</f>
        <v>987.46049950443819</v>
      </c>
      <c r="AB27" s="525">
        <f>RAW_DATA_INPUTS!AB47</f>
        <v>1151.2030472126851</v>
      </c>
      <c r="AC27" s="525">
        <f>RAW_DATA_INPUTS!AC47</f>
        <v>200.37309073773108</v>
      </c>
      <c r="AD27" s="525">
        <f>RAW_DATA_INPUTS!AD47</f>
        <v>971.15703719948306</v>
      </c>
      <c r="AE27" s="525">
        <f>RAW_DATA_INPUTS!AE47</f>
        <v>138.56738934780984</v>
      </c>
      <c r="AF27" s="525">
        <f>RAW_DATA_INPUTS!AF47</f>
        <v>118.44857980124637</v>
      </c>
      <c r="AG27" s="525">
        <f>RAW_DATA_INPUTS!AG47</f>
        <v>448.8944374436918</v>
      </c>
      <c r="AH27" s="525">
        <f>RAW_DATA_INPUTS!AH47</f>
        <v>649.74006485339146</v>
      </c>
      <c r="AI27" s="525">
        <f>RAW_DATA_INPUTS!AI47</f>
        <v>343.23034293418812</v>
      </c>
      <c r="AJ27" s="525">
        <f>RAW_DATA_INPUTS!AJ47</f>
        <v>315.37814022808999</v>
      </c>
      <c r="AK27" s="525">
        <f>RAW_DATA_INPUTS!AK47</f>
        <v>416.15484322684466</v>
      </c>
      <c r="AL27" s="525">
        <f>RAW_DATA_INPUTS!AL47</f>
        <v>182.69298852483485</v>
      </c>
      <c r="AM27" s="525">
        <f>RAW_DATA_INPUTS!AM47</f>
        <v>158.20578676276835</v>
      </c>
      <c r="AN27" s="525">
        <f>RAW_DATA_INPUTS!AN47</f>
        <v>352.1914594630581</v>
      </c>
      <c r="AO27" s="525">
        <f>RAW_DATA_INPUTS!AO47</f>
        <v>5579.0133086832075</v>
      </c>
      <c r="AP27" s="525">
        <f>RAW_DATA_INPUTS!AP47</f>
        <v>8378.4563087894894</v>
      </c>
      <c r="AQ27" s="525">
        <f>RAW_DATA_INPUTS!AQ47</f>
        <v>1551.135</v>
      </c>
      <c r="AR27" s="525">
        <f>RAW_DATA_INPUTS!AR47</f>
        <v>13056.163</v>
      </c>
    </row>
    <row r="28" spans="1:44" s="501" customFormat="1">
      <c r="B28" s="503" t="str">
        <f>RAW_DATA_INPUTS!B48</f>
        <v>60-64</v>
      </c>
      <c r="C28" s="525">
        <f>RAW_DATA_INPUTS!C48</f>
        <v>53.409379966362053</v>
      </c>
      <c r="D28" s="525">
        <f>RAW_DATA_INPUTS!D48</f>
        <v>114.82801819979294</v>
      </c>
      <c r="E28" s="525">
        <f>RAW_DATA_INPUTS!E48</f>
        <v>61.703446951801567</v>
      </c>
      <c r="F28" s="525">
        <f>RAW_DATA_INPUTS!F48</f>
        <v>102.9684314014042</v>
      </c>
      <c r="G28" s="525">
        <f>RAW_DATA_INPUTS!G48</f>
        <v>28.317666861181401</v>
      </c>
      <c r="H28" s="525">
        <f>RAW_DATA_INPUTS!H48</f>
        <v>29.897678205847484</v>
      </c>
      <c r="I28" s="525">
        <f>RAW_DATA_INPUTS!I48</f>
        <v>91.46614934658372</v>
      </c>
      <c r="J28" s="525">
        <f>RAW_DATA_INPUTS!J48</f>
        <v>61.054929389727072</v>
      </c>
      <c r="K28" s="525">
        <f>RAW_DATA_INPUTS!K48</f>
        <v>6.2360660191480601</v>
      </c>
      <c r="L28" s="525">
        <f>RAW_DATA_INPUTS!L48</f>
        <v>7.1345316106430996</v>
      </c>
      <c r="M28" s="525">
        <f>RAW_DATA_INPUTS!M48</f>
        <v>75.651515924286343</v>
      </c>
      <c r="N28" s="525">
        <f>RAW_DATA_INPUTS!N48</f>
        <v>54.732501156734898</v>
      </c>
      <c r="O28" s="525">
        <f>RAW_DATA_INPUTS!O48</f>
        <v>148.6015798757947</v>
      </c>
      <c r="P28" s="525">
        <f>RAW_DATA_INPUTS!P48</f>
        <v>123.98811705246406</v>
      </c>
      <c r="Q28" s="525">
        <f>RAW_DATA_INPUTS!Q48</f>
        <v>28.042153972928539</v>
      </c>
      <c r="R28" s="525">
        <f>RAW_DATA_INPUTS!R48</f>
        <v>58.090902742275098</v>
      </c>
      <c r="S28" s="525">
        <f>RAW_DATA_INPUTS!S48</f>
        <v>149.6277575312242</v>
      </c>
      <c r="T28" s="525">
        <f>RAW_DATA_INPUTS!T48</f>
        <v>446.08143481301073</v>
      </c>
      <c r="U28" s="525">
        <f>RAW_DATA_INPUTS!U48</f>
        <v>5.8956334033392102</v>
      </c>
      <c r="V28" s="525">
        <f>RAW_DATA_INPUTS!V48</f>
        <v>73.788174983990984</v>
      </c>
      <c r="W28" s="525">
        <f>RAW_DATA_INPUTS!W48</f>
        <v>93.552332550369343</v>
      </c>
      <c r="X28" s="525">
        <f>RAW_DATA_INPUTS!X48</f>
        <v>89.308388358276957</v>
      </c>
      <c r="Y28" s="525">
        <f>RAW_DATA_INPUTS!Y48</f>
        <v>98.214043106718222</v>
      </c>
      <c r="Z28" s="525">
        <f>RAW_DATA_INPUTS!Z48</f>
        <v>109.3847316784026</v>
      </c>
      <c r="AA28" s="525">
        <f>RAW_DATA_INPUTS!AA48</f>
        <v>386.07617975832176</v>
      </c>
      <c r="AB28" s="525">
        <f>RAW_DATA_INPUTS!AB48</f>
        <v>333.63989829461832</v>
      </c>
      <c r="AC28" s="525">
        <f>RAW_DATA_INPUTS!AC48</f>
        <v>55.064330362944176</v>
      </c>
      <c r="AD28" s="525">
        <f>RAW_DATA_INPUTS!AD48</f>
        <v>236.87654532707489</v>
      </c>
      <c r="AE28" s="525">
        <f>RAW_DATA_INPUTS!AE48</f>
        <v>38.087204708290919</v>
      </c>
      <c r="AF28" s="525">
        <f>RAW_DATA_INPUTS!AF48</f>
        <v>37.5338700268236</v>
      </c>
      <c r="AG28" s="525">
        <f>RAW_DATA_INPUTS!AG48</f>
        <v>167.22706108821851</v>
      </c>
      <c r="AH28" s="525">
        <f>RAW_DATA_INPUTS!AH48</f>
        <v>218.13679217796911</v>
      </c>
      <c r="AI28" s="525">
        <f>RAW_DATA_INPUTS!AI48</f>
        <v>73.925584416228816</v>
      </c>
      <c r="AJ28" s="525">
        <f>RAW_DATA_INPUTS!AJ48</f>
        <v>63.093158021135601</v>
      </c>
      <c r="AK28" s="525">
        <f>RAW_DATA_INPUTS!AK48</f>
        <v>157.89045639886845</v>
      </c>
      <c r="AL28" s="525">
        <f>RAW_DATA_INPUTS!AL48</f>
        <v>62.408450953374903</v>
      </c>
      <c r="AM28" s="525">
        <f>RAW_DATA_INPUTS!AM48</f>
        <v>66.33691933840889</v>
      </c>
      <c r="AN28" s="525">
        <f>RAW_DATA_INPUTS!AN48</f>
        <v>93.528913497391699</v>
      </c>
      <c r="AO28" s="525">
        <f>RAW_DATA_INPUTS!AO48</f>
        <v>1785.325461581019</v>
      </c>
      <c r="AP28" s="525">
        <f>RAW_DATA_INPUTS!AP48</f>
        <v>2316.4754678909585</v>
      </c>
      <c r="AQ28" s="525">
        <f>RAW_DATA_INPUTS!AQ48</f>
        <v>578.90700000000004</v>
      </c>
      <c r="AR28" s="525">
        <f>RAW_DATA_INPUTS!AR48</f>
        <v>4723.0529999999999</v>
      </c>
    </row>
    <row r="29" spans="1:44" s="501" customFormat="1">
      <c r="B29" s="503" t="str">
        <f>RAW_DATA_INPUTS!B49</f>
        <v>65 plus</v>
      </c>
      <c r="C29" s="525">
        <f>RAW_DATA_INPUTS!C49</f>
        <v>10.057045912342609</v>
      </c>
      <c r="D29" s="525">
        <f>RAW_DATA_INPUTS!D49</f>
        <v>16.737091115373314</v>
      </c>
      <c r="E29" s="525">
        <f>RAW_DATA_INPUTS!E49</f>
        <v>9.9548719889419726</v>
      </c>
      <c r="F29" s="525">
        <f>RAW_DATA_INPUTS!F49</f>
        <v>14.295351798931604</v>
      </c>
      <c r="G29" s="525">
        <f>RAW_DATA_INPUTS!G49</f>
        <v>5.79061273258763</v>
      </c>
      <c r="H29" s="525">
        <f>RAW_DATA_INPUTS!H49</f>
        <v>7.2059886955826933</v>
      </c>
      <c r="I29" s="525">
        <f>RAW_DATA_INPUTS!I49</f>
        <v>23.230987040997984</v>
      </c>
      <c r="J29" s="525">
        <f>RAW_DATA_INPUTS!J49</f>
        <v>14.772560911518562</v>
      </c>
      <c r="K29" s="525">
        <f>RAW_DATA_INPUTS!K49</f>
        <v>5.2566811344908997</v>
      </c>
      <c r="L29" s="525">
        <f>RAW_DATA_INPUTS!L49</f>
        <v>5.3979115117493199</v>
      </c>
      <c r="M29" s="525">
        <f>RAW_DATA_INPUTS!M49</f>
        <v>8.9135714341932726</v>
      </c>
      <c r="N29" s="525">
        <f>RAW_DATA_INPUTS!N49</f>
        <v>5.7032307721668403</v>
      </c>
      <c r="O29" s="525">
        <f>RAW_DATA_INPUTS!O49</f>
        <v>24.535394748337943</v>
      </c>
      <c r="P29" s="525">
        <f>RAW_DATA_INPUTS!P49</f>
        <v>15.125189093452027</v>
      </c>
      <c r="Q29" s="525">
        <f>RAW_DATA_INPUTS!Q49</f>
        <v>6.1888206837841215</v>
      </c>
      <c r="R29" s="525">
        <f>RAW_DATA_INPUTS!R49</f>
        <v>5.0793743343998701</v>
      </c>
      <c r="S29" s="525">
        <f>RAW_DATA_INPUTS!S49</f>
        <v>24.215454209475425</v>
      </c>
      <c r="T29" s="525">
        <f>RAW_DATA_INPUTS!T49</f>
        <v>63.126527536764094</v>
      </c>
      <c r="U29" s="525">
        <f>RAW_DATA_INPUTS!U49</f>
        <v>5.33827066656153</v>
      </c>
      <c r="V29" s="525">
        <f>RAW_DATA_INPUTS!V49</f>
        <v>13.475619283645701</v>
      </c>
      <c r="W29" s="525">
        <f>RAW_DATA_INPUTS!W49</f>
        <v>8.3063186044572603</v>
      </c>
      <c r="X29" s="525">
        <f>RAW_DATA_INPUTS!X49</f>
        <v>8.656488893931737</v>
      </c>
      <c r="Y29" s="525">
        <f>RAW_DATA_INPUTS!Y49</f>
        <v>8.4493675305030873</v>
      </c>
      <c r="Z29" s="525">
        <f>RAW_DATA_INPUTS!Z49</f>
        <v>11.786403673411121</v>
      </c>
      <c r="AA29" s="525">
        <f>RAW_DATA_INPUTS!AA49</f>
        <v>80.914115537442555</v>
      </c>
      <c r="AB29" s="525">
        <f>RAW_DATA_INPUTS!AB49</f>
        <v>56.113968614689355</v>
      </c>
      <c r="AC29" s="525">
        <f>RAW_DATA_INPUTS!AC49</f>
        <v>9.3322950510075273</v>
      </c>
      <c r="AD29" s="525">
        <f>RAW_DATA_INPUTS!AD49</f>
        <v>34.626624146300848</v>
      </c>
      <c r="AE29" s="525">
        <f>RAW_DATA_INPUTS!AE49</f>
        <v>5.0249580910867646</v>
      </c>
      <c r="AF29" s="525">
        <f>RAW_DATA_INPUTS!AF49</f>
        <v>7.7017395826615074</v>
      </c>
      <c r="AG29" s="525">
        <f>RAW_DATA_INPUTS!AG49</f>
        <v>26.228704772060059</v>
      </c>
      <c r="AH29" s="525">
        <f>RAW_DATA_INPUTS!AH49</f>
        <v>23.124255757518576</v>
      </c>
      <c r="AI29" s="525">
        <f>RAW_DATA_INPUTS!AI49</f>
        <v>12.762601905811961</v>
      </c>
      <c r="AJ29" s="525">
        <f>RAW_DATA_INPUTS!AJ49</f>
        <v>5.4855133397952196</v>
      </c>
      <c r="AK29" s="525">
        <f>RAW_DATA_INPUTS!AK49</f>
        <v>52.50659781897496</v>
      </c>
      <c r="AL29" s="525">
        <f>RAW_DATA_INPUTS!AL49</f>
        <v>5.0432368285347398</v>
      </c>
      <c r="AM29" s="525">
        <f>RAW_DATA_INPUTS!AM49</f>
        <v>12.629135106750613</v>
      </c>
      <c r="AN29" s="525">
        <f>RAW_DATA_INPUTS!AN49</f>
        <v>15.374903250412228</v>
      </c>
      <c r="AO29" s="525">
        <f>RAW_DATA_INPUTS!AO49</f>
        <v>339.63580496980813</v>
      </c>
      <c r="AP29" s="525">
        <f>RAW_DATA_INPUTS!AP49</f>
        <v>328.83197914083934</v>
      </c>
      <c r="AQ29" s="525">
        <f>RAW_DATA_INPUTS!AQ49</f>
        <v>129.684</v>
      </c>
      <c r="AR29" s="525">
        <f>RAW_DATA_INPUTS!AR49</f>
        <v>718.08</v>
      </c>
    </row>
    <row r="30" spans="1:44" s="501" customFormat="1">
      <c r="B30" s="503" t="str">
        <f>RAW_DATA_INPUTS!B50</f>
        <v>Total</v>
      </c>
      <c r="C30" s="525">
        <f>RAW_DATA_INPUTS!C50</f>
        <v>1937.103173963834</v>
      </c>
      <c r="D30" s="525">
        <f>RAW_DATA_INPUTS!D50</f>
        <v>6466.3687062408226</v>
      </c>
      <c r="E30" s="525">
        <f>RAW_DATA_INPUTS!E50</f>
        <v>3688.1399116149519</v>
      </c>
      <c r="F30" s="525">
        <f>RAW_DATA_INPUTS!F50</f>
        <v>8507.3264614299787</v>
      </c>
      <c r="G30" s="525">
        <f>RAW_DATA_INPUTS!G50</f>
        <v>1835.5151403042867</v>
      </c>
      <c r="H30" s="525">
        <f>RAW_DATA_INPUTS!H50</f>
        <v>2355.2504617176319</v>
      </c>
      <c r="I30" s="525">
        <f>RAW_DATA_INPUTS!I50</f>
        <v>4373.3385793078687</v>
      </c>
      <c r="J30" s="525">
        <f>RAW_DATA_INPUTS!J50</f>
        <v>6242.4372228160955</v>
      </c>
      <c r="K30" s="525">
        <f>RAW_DATA_INPUTS!K50</f>
        <v>130.3135695865071</v>
      </c>
      <c r="L30" s="525">
        <f>RAW_DATA_INPUTS!L50</f>
        <v>193.38144692038176</v>
      </c>
      <c r="M30" s="525">
        <f>RAW_DATA_INPUTS!M50</f>
        <v>4546.7073356194687</v>
      </c>
      <c r="N30" s="525">
        <f>RAW_DATA_INPUTS!N50</f>
        <v>3085.6106039594933</v>
      </c>
      <c r="O30" s="525">
        <f>RAW_DATA_INPUTS!O50</f>
        <v>4607.1484116550373</v>
      </c>
      <c r="P30" s="525">
        <f>RAW_DATA_INPUTS!P50</f>
        <v>5845.2310138365765</v>
      </c>
      <c r="Q30" s="525">
        <f>RAW_DATA_INPUTS!Q50</f>
        <v>1146.2529903583759</v>
      </c>
      <c r="R30" s="525">
        <f>RAW_DATA_INPUTS!R50</f>
        <v>3864.9245314261802</v>
      </c>
      <c r="S30" s="525">
        <f>RAW_DATA_INPUTS!S50</f>
        <v>6138.8907110559649</v>
      </c>
      <c r="T30" s="525">
        <f>RAW_DATA_INPUTS!T50</f>
        <v>23445.735458798361</v>
      </c>
      <c r="U30" s="525">
        <f>RAW_DATA_INPUTS!U50</f>
        <v>212.35869581134955</v>
      </c>
      <c r="V30" s="525">
        <f>RAW_DATA_INPUTS!V50</f>
        <v>1919.8325832332009</v>
      </c>
      <c r="W30" s="525">
        <f>RAW_DATA_INPUTS!W50</f>
        <v>4609.7125228088362</v>
      </c>
      <c r="X30" s="525">
        <f>RAW_DATA_INPUTS!X50</f>
        <v>5937.0684211452508</v>
      </c>
      <c r="Y30" s="525">
        <f>RAW_DATA_INPUTS!Y50</f>
        <v>4998.223512356727</v>
      </c>
      <c r="Z30" s="525">
        <f>RAW_DATA_INPUTS!Z50</f>
        <v>6320.960173934528</v>
      </c>
      <c r="AA30" s="525">
        <f>RAW_DATA_INPUTS!AA50</f>
        <v>13927.187317149352</v>
      </c>
      <c r="AB30" s="525">
        <f>RAW_DATA_INPUTS!AB50</f>
        <v>16222.807833868581</v>
      </c>
      <c r="AC30" s="525">
        <f>RAW_DATA_INPUTS!AC50</f>
        <v>2777.5853963120321</v>
      </c>
      <c r="AD30" s="525">
        <f>RAW_DATA_INPUTS!AD50</f>
        <v>12276.91636224407</v>
      </c>
      <c r="AE30" s="525">
        <f>RAW_DATA_INPUTS!AE50</f>
        <v>2231.5688063857651</v>
      </c>
      <c r="AF30" s="525">
        <f>RAW_DATA_INPUTS!AF50</f>
        <v>2958.3509381146127</v>
      </c>
      <c r="AG30" s="525">
        <f>RAW_DATA_INPUTS!AG50</f>
        <v>5013.0870999694935</v>
      </c>
      <c r="AH30" s="525">
        <f>RAW_DATA_INPUTS!AH50</f>
        <v>9443.4853846765945</v>
      </c>
      <c r="AI30" s="525">
        <f>RAW_DATA_INPUTS!AI50</f>
        <v>8983.662380226755</v>
      </c>
      <c r="AJ30" s="525">
        <f>RAW_DATA_INPUTS!AJ50</f>
        <v>8182.8696784103349</v>
      </c>
      <c r="AK30" s="525">
        <f>RAW_DATA_INPUTS!AK50</f>
        <v>6480.5423405987131</v>
      </c>
      <c r="AL30" s="525">
        <f>RAW_DATA_INPUTS!AL50</f>
        <v>3784.7795158403806</v>
      </c>
      <c r="AM30" s="525">
        <f>RAW_DATA_INPUTS!AM50</f>
        <v>2306.8637480792449</v>
      </c>
      <c r="AN30" s="525">
        <f>RAW_DATA_INPUTS!AN50</f>
        <v>5115.5288600109616</v>
      </c>
      <c r="AO30" s="525">
        <f>RAW_DATA_INPUTS!AO50</f>
        <v>79944.201643164561</v>
      </c>
      <c r="AP30" s="525">
        <f>RAW_DATA_INPUTS!AP50</f>
        <v>132168.86565862407</v>
      </c>
      <c r="AQ30" s="525">
        <f>RAW_DATA_INPUTS!AQ50</f>
        <v>32892.544999999998</v>
      </c>
      <c r="AR30" s="525">
        <f>RAW_DATA_INPUTS!AR50</f>
        <v>206339.10500000001</v>
      </c>
    </row>
    <row r="31" spans="1:44">
      <c r="A31" s="4">
        <f>SUM(C31:AR31)</f>
        <v>0</v>
      </c>
      <c r="C31" s="4">
        <f>SUM(C20:C29)-C30</f>
        <v>0</v>
      </c>
      <c r="D31" s="4">
        <f t="shared" ref="D31:AR31" si="0">SUM(D20:D29)-D30</f>
        <v>0</v>
      </c>
      <c r="E31" s="4">
        <f t="shared" si="0"/>
        <v>0</v>
      </c>
      <c r="F31" s="4">
        <f t="shared" si="0"/>
        <v>0</v>
      </c>
      <c r="G31" s="4">
        <f t="shared" si="0"/>
        <v>0</v>
      </c>
      <c r="H31" s="4">
        <f t="shared" si="0"/>
        <v>0</v>
      </c>
      <c r="I31" s="4">
        <f t="shared" si="0"/>
        <v>0</v>
      </c>
      <c r="J31" s="4">
        <f t="shared" si="0"/>
        <v>0</v>
      </c>
      <c r="K31" s="4">
        <f t="shared" si="0"/>
        <v>0</v>
      </c>
      <c r="L31" s="4">
        <f t="shared" si="0"/>
        <v>0</v>
      </c>
      <c r="M31" s="4">
        <f t="shared" si="0"/>
        <v>0</v>
      </c>
      <c r="N31" s="4">
        <f t="shared" si="0"/>
        <v>0</v>
      </c>
      <c r="O31" s="4">
        <f t="shared" si="0"/>
        <v>0</v>
      </c>
      <c r="P31" s="4">
        <f t="shared" si="0"/>
        <v>0</v>
      </c>
      <c r="Q31" s="4">
        <f t="shared" si="0"/>
        <v>0</v>
      </c>
      <c r="R31" s="4">
        <f t="shared" si="0"/>
        <v>0</v>
      </c>
      <c r="S31" s="4">
        <f t="shared" si="0"/>
        <v>0</v>
      </c>
      <c r="T31" s="4">
        <f t="shared" si="0"/>
        <v>0</v>
      </c>
      <c r="U31" s="4">
        <f t="shared" si="0"/>
        <v>0</v>
      </c>
      <c r="V31" s="4">
        <f t="shared" si="0"/>
        <v>0</v>
      </c>
      <c r="W31" s="4">
        <f t="shared" si="0"/>
        <v>0</v>
      </c>
      <c r="X31" s="4">
        <f t="shared" si="0"/>
        <v>0</v>
      </c>
      <c r="Y31" s="4">
        <f t="shared" si="0"/>
        <v>0</v>
      </c>
      <c r="Z31" s="4">
        <f t="shared" si="0"/>
        <v>0</v>
      </c>
      <c r="AA31" s="4">
        <f t="shared" si="0"/>
        <v>0</v>
      </c>
      <c r="AB31" s="4">
        <f t="shared" si="0"/>
        <v>0</v>
      </c>
      <c r="AC31" s="4">
        <f t="shared" si="0"/>
        <v>0</v>
      </c>
      <c r="AD31" s="4">
        <f t="shared" si="0"/>
        <v>0</v>
      </c>
      <c r="AE31" s="4">
        <f t="shared" si="0"/>
        <v>0</v>
      </c>
      <c r="AF31" s="4">
        <f t="shared" si="0"/>
        <v>0</v>
      </c>
      <c r="AG31" s="4">
        <f t="shared" si="0"/>
        <v>0</v>
      </c>
      <c r="AH31" s="4">
        <f t="shared" si="0"/>
        <v>0</v>
      </c>
      <c r="AI31" s="4">
        <f t="shared" si="0"/>
        <v>0</v>
      </c>
      <c r="AJ31" s="4">
        <f t="shared" si="0"/>
        <v>0</v>
      </c>
      <c r="AK31" s="4">
        <f t="shared" si="0"/>
        <v>0</v>
      </c>
      <c r="AL31" s="4">
        <f t="shared" si="0"/>
        <v>0</v>
      </c>
      <c r="AM31" s="4">
        <f t="shared" si="0"/>
        <v>0</v>
      </c>
      <c r="AN31" s="4">
        <f t="shared" si="0"/>
        <v>0</v>
      </c>
      <c r="AO31" s="4">
        <f t="shared" si="0"/>
        <v>0</v>
      </c>
      <c r="AP31" s="4">
        <f t="shared" si="0"/>
        <v>0</v>
      </c>
      <c r="AQ31" s="4">
        <f t="shared" si="0"/>
        <v>0</v>
      </c>
      <c r="AR31" s="4">
        <f t="shared" si="0"/>
        <v>0</v>
      </c>
    </row>
    <row r="33" spans="1:44">
      <c r="B33" s="134" t="str">
        <f>RAW_DATA_INPUTS!B52</f>
        <v>Unqualified stocks</v>
      </c>
    </row>
    <row r="35" spans="1:44" s="501" customFormat="1" ht="39.75" customHeight="1">
      <c r="B35" s="1219" t="str">
        <f>RAW_DATA_INPUTS!B55</f>
        <v>Age group</v>
      </c>
      <c r="C35" s="1218" t="str">
        <f>RAW_DATA_INPUTS!C54</f>
        <v>Art &amp; Design</v>
      </c>
      <c r="D35" s="1218"/>
      <c r="E35" s="1218" t="str">
        <f>RAW_DATA_INPUTS!E54</f>
        <v>Biology</v>
      </c>
      <c r="F35" s="1218"/>
      <c r="G35" s="1218" t="str">
        <f>RAW_DATA_INPUTS!G54</f>
        <v>Business Studies</v>
      </c>
      <c r="H35" s="1218"/>
      <c r="I35" s="1218" t="str">
        <f>RAW_DATA_INPUTS!I54</f>
        <v>Chemistry</v>
      </c>
      <c r="J35" s="1218"/>
      <c r="K35" s="1218" t="str">
        <f>RAW_DATA_INPUTS!K54</f>
        <v>Classics</v>
      </c>
      <c r="L35" s="1218"/>
      <c r="M35" s="1218" t="str">
        <f>RAW_DATA_INPUTS!M54</f>
        <v>Computing</v>
      </c>
      <c r="N35" s="1218"/>
      <c r="O35" s="1215" t="str">
        <f>RAW_DATA_INPUTS!O54</f>
        <v>Design &amp; Technology</v>
      </c>
      <c r="P35" s="1216"/>
      <c r="Q35" s="1218" t="str">
        <f>RAW_DATA_INPUTS!Q54</f>
        <v>Drama</v>
      </c>
      <c r="R35" s="1218"/>
      <c r="S35" s="1218" t="str">
        <f>RAW_DATA_INPUTS!S54</f>
        <v>English</v>
      </c>
      <c r="T35" s="1218"/>
      <c r="U35" s="1218" t="str">
        <f>RAW_DATA_INPUTS!U54</f>
        <v>Food</v>
      </c>
      <c r="V35" s="1218"/>
      <c r="W35" s="1218" t="str">
        <f>RAW_DATA_INPUTS!W54</f>
        <v>Geography</v>
      </c>
      <c r="X35" s="1218"/>
      <c r="Y35" s="1218" t="str">
        <f>RAW_DATA_INPUTS!Y54</f>
        <v>History</v>
      </c>
      <c r="Z35" s="1218"/>
      <c r="AA35" s="1218" t="str">
        <f>RAW_DATA_INPUTS!AA54</f>
        <v>Mathematics</v>
      </c>
      <c r="AB35" s="1218"/>
      <c r="AC35" s="1215" t="str">
        <f>RAW_DATA_INPUTS!AC54</f>
        <v>Modern Foreign Languages</v>
      </c>
      <c r="AD35" s="1216"/>
      <c r="AE35" s="1218" t="str">
        <f>RAW_DATA_INPUTS!AE54</f>
        <v>Music</v>
      </c>
      <c r="AF35" s="1218"/>
      <c r="AG35" s="1218" t="str">
        <f>RAW_DATA_INPUTS!AG54</f>
        <v>Others</v>
      </c>
      <c r="AH35" s="1218"/>
      <c r="AI35" s="1218" t="str">
        <f>RAW_DATA_INPUTS!AI54</f>
        <v>Physical Education</v>
      </c>
      <c r="AJ35" s="1218"/>
      <c r="AK35" s="1218" t="str">
        <f>RAW_DATA_INPUTS!AK54</f>
        <v>Physics</v>
      </c>
      <c r="AL35" s="1218"/>
      <c r="AM35" s="1218" t="str">
        <f>RAW_DATA_INPUTS!AM54</f>
        <v>Religious Education</v>
      </c>
      <c r="AN35" s="1218"/>
      <c r="AO35" s="1218" t="str">
        <f>RAW_DATA_INPUTS!AO54</f>
        <v>Secondary total</v>
      </c>
      <c r="AP35" s="1218"/>
      <c r="AQ35" s="1218" t="str">
        <f>RAW_DATA_INPUTS!AQ54</f>
        <v>Primary</v>
      </c>
      <c r="AR35" s="1218"/>
    </row>
    <row r="36" spans="1:44" s="501" customFormat="1">
      <c r="B36" s="1220"/>
      <c r="C36" s="503" t="str">
        <f>RAW_DATA_INPUTS!C55</f>
        <v>Male</v>
      </c>
      <c r="D36" s="503" t="str">
        <f>RAW_DATA_INPUTS!D55</f>
        <v>Female</v>
      </c>
      <c r="E36" s="503" t="str">
        <f>RAW_DATA_INPUTS!E55</f>
        <v>Male</v>
      </c>
      <c r="F36" s="503" t="str">
        <f>RAW_DATA_INPUTS!F55</f>
        <v>Female</v>
      </c>
      <c r="G36" s="503" t="str">
        <f>RAW_DATA_INPUTS!G55</f>
        <v>Male</v>
      </c>
      <c r="H36" s="503" t="str">
        <f>RAW_DATA_INPUTS!H55</f>
        <v>Female</v>
      </c>
      <c r="I36" s="503" t="str">
        <f>RAW_DATA_INPUTS!I55</f>
        <v>Male</v>
      </c>
      <c r="J36" s="503" t="str">
        <f>RAW_DATA_INPUTS!J55</f>
        <v>Female</v>
      </c>
      <c r="K36" s="503" t="str">
        <f>RAW_DATA_INPUTS!K55</f>
        <v>Male</v>
      </c>
      <c r="L36" s="503" t="str">
        <f>RAW_DATA_INPUTS!L55</f>
        <v>Female</v>
      </c>
      <c r="M36" s="503" t="str">
        <f>RAW_DATA_INPUTS!M55</f>
        <v>Male</v>
      </c>
      <c r="N36" s="503" t="str">
        <f>RAW_DATA_INPUTS!N55</f>
        <v>Female</v>
      </c>
      <c r="O36" s="503" t="str">
        <f>RAW_DATA_INPUTS!O55</f>
        <v>Male</v>
      </c>
      <c r="P36" s="503" t="str">
        <f>RAW_DATA_INPUTS!P55</f>
        <v>Female</v>
      </c>
      <c r="Q36" s="503" t="str">
        <f>RAW_DATA_INPUTS!Q55</f>
        <v>Male</v>
      </c>
      <c r="R36" s="503" t="str">
        <f>RAW_DATA_INPUTS!R55</f>
        <v>Female</v>
      </c>
      <c r="S36" s="503" t="str">
        <f>RAW_DATA_INPUTS!S55</f>
        <v>Male</v>
      </c>
      <c r="T36" s="503" t="str">
        <f>RAW_DATA_INPUTS!T55</f>
        <v>Female</v>
      </c>
      <c r="U36" s="503" t="str">
        <f>RAW_DATA_INPUTS!U55</f>
        <v>Male</v>
      </c>
      <c r="V36" s="503" t="str">
        <f>RAW_DATA_INPUTS!V55</f>
        <v>Female</v>
      </c>
      <c r="W36" s="503" t="str">
        <f>RAW_DATA_INPUTS!W55</f>
        <v>Male</v>
      </c>
      <c r="X36" s="503" t="str">
        <f>RAW_DATA_INPUTS!X55</f>
        <v>Female</v>
      </c>
      <c r="Y36" s="503" t="str">
        <f>RAW_DATA_INPUTS!Y55</f>
        <v>Male</v>
      </c>
      <c r="Z36" s="503" t="str">
        <f>RAW_DATA_INPUTS!Z55</f>
        <v>Female</v>
      </c>
      <c r="AA36" s="503" t="str">
        <f>RAW_DATA_INPUTS!AA55</f>
        <v>Male</v>
      </c>
      <c r="AB36" s="503" t="str">
        <f>RAW_DATA_INPUTS!AB55</f>
        <v>Female</v>
      </c>
      <c r="AC36" s="503" t="str">
        <f>RAW_DATA_INPUTS!AC55</f>
        <v>Male</v>
      </c>
      <c r="AD36" s="503" t="str">
        <f>RAW_DATA_INPUTS!AD55</f>
        <v>Female</v>
      </c>
      <c r="AE36" s="503" t="str">
        <f>RAW_DATA_INPUTS!AE55</f>
        <v>Male</v>
      </c>
      <c r="AF36" s="503" t="str">
        <f>RAW_DATA_INPUTS!AF55</f>
        <v>Female</v>
      </c>
      <c r="AG36" s="503" t="str">
        <f>RAW_DATA_INPUTS!AG55</f>
        <v>Male</v>
      </c>
      <c r="AH36" s="503" t="str">
        <f>RAW_DATA_INPUTS!AH55</f>
        <v>Female</v>
      </c>
      <c r="AI36" s="503" t="str">
        <f>RAW_DATA_INPUTS!AI55</f>
        <v>Male</v>
      </c>
      <c r="AJ36" s="503" t="str">
        <f>RAW_DATA_INPUTS!AJ55</f>
        <v>Female</v>
      </c>
      <c r="AK36" s="503" t="str">
        <f>RAW_DATA_INPUTS!AK55</f>
        <v>Male</v>
      </c>
      <c r="AL36" s="503" t="str">
        <f>RAW_DATA_INPUTS!AL55</f>
        <v>Female</v>
      </c>
      <c r="AM36" s="503" t="str">
        <f>RAW_DATA_INPUTS!AM55</f>
        <v>Male</v>
      </c>
      <c r="AN36" s="503" t="str">
        <f>RAW_DATA_INPUTS!AN55</f>
        <v>Female</v>
      </c>
      <c r="AO36" s="503" t="str">
        <f>RAW_DATA_INPUTS!AO55</f>
        <v>Male</v>
      </c>
      <c r="AP36" s="503" t="str">
        <f>RAW_DATA_INPUTS!AP55</f>
        <v>Female</v>
      </c>
      <c r="AQ36" s="503" t="str">
        <f>RAW_DATA_INPUTS!AQ55</f>
        <v>Male</v>
      </c>
      <c r="AR36" s="503" t="str">
        <f>RAW_DATA_INPUTS!AR55</f>
        <v>Female</v>
      </c>
    </row>
    <row r="37" spans="1:44" s="501" customFormat="1">
      <c r="B37" s="503" t="str">
        <f>RAW_DATA_INPUTS!B56</f>
        <v>20-24</v>
      </c>
      <c r="C37" s="525">
        <f>RAW_DATA_INPUTS!C56</f>
        <v>6.5321327718445081</v>
      </c>
      <c r="D37" s="525">
        <f>RAW_DATA_INPUTS!D56</f>
        <v>30.278074427142169</v>
      </c>
      <c r="E37" s="525">
        <f>RAW_DATA_INPUTS!E56</f>
        <v>55.111424293927172</v>
      </c>
      <c r="F37" s="525">
        <f>RAW_DATA_INPUTS!F56</f>
        <v>132.87295065308408</v>
      </c>
      <c r="G37" s="525">
        <f>RAW_DATA_INPUTS!G56</f>
        <v>23.568730886109275</v>
      </c>
      <c r="H37" s="525">
        <f>RAW_DATA_INPUTS!H56</f>
        <v>29.158113567406534</v>
      </c>
      <c r="I37" s="525">
        <f>RAW_DATA_INPUTS!I56</f>
        <v>73.38984313428584</v>
      </c>
      <c r="J37" s="525">
        <f>RAW_DATA_INPUTS!J56</f>
        <v>95.605060704974733</v>
      </c>
      <c r="K37" s="525">
        <f>RAW_DATA_INPUTS!K56</f>
        <v>0</v>
      </c>
      <c r="L37" s="525">
        <f>RAW_DATA_INPUTS!L56</f>
        <v>0</v>
      </c>
      <c r="M37" s="525">
        <f>RAW_DATA_INPUTS!M56</f>
        <v>17.82514565318731</v>
      </c>
      <c r="N37" s="525">
        <f>RAW_DATA_INPUTS!N56</f>
        <v>33.070887876560455</v>
      </c>
      <c r="O37" s="525">
        <f>RAW_DATA_INPUTS!O56</f>
        <v>26.998542601632373</v>
      </c>
      <c r="P37" s="525">
        <f>RAW_DATA_INPUTS!P56</f>
        <v>29.793980210023818</v>
      </c>
      <c r="Q37" s="525">
        <f>RAW_DATA_INPUTS!Q56</f>
        <v>17.740484039781563</v>
      </c>
      <c r="R37" s="525">
        <f>RAW_DATA_INPUTS!R56</f>
        <v>54.83130732150817</v>
      </c>
      <c r="S37" s="525">
        <f>RAW_DATA_INPUTS!S56</f>
        <v>130.53597877687179</v>
      </c>
      <c r="T37" s="525">
        <f>RAW_DATA_INPUTS!T56</f>
        <v>523.93765245633722</v>
      </c>
      <c r="U37" s="525">
        <f>RAW_DATA_INPUTS!U56</f>
        <v>6</v>
      </c>
      <c r="V37" s="525">
        <f>RAW_DATA_INPUTS!V56</f>
        <v>5.6050546055774735</v>
      </c>
      <c r="W37" s="525">
        <f>RAW_DATA_INPUTS!W56</f>
        <v>53.457335587465515</v>
      </c>
      <c r="X37" s="525">
        <f>RAW_DATA_INPUTS!X56</f>
        <v>94.045164809629725</v>
      </c>
      <c r="Y37" s="525">
        <f>RAW_DATA_INPUTS!Y56</f>
        <v>61.245191147935031</v>
      </c>
      <c r="Z37" s="525">
        <f>RAW_DATA_INPUTS!Z56</f>
        <v>91.199680951066142</v>
      </c>
      <c r="AA37" s="525">
        <f>RAW_DATA_INPUTS!AA56</f>
        <v>234.67422674399194</v>
      </c>
      <c r="AB37" s="525">
        <f>RAW_DATA_INPUTS!AB56</f>
        <v>284.65138605726719</v>
      </c>
      <c r="AC37" s="525">
        <f>RAW_DATA_INPUTS!AC56</f>
        <v>21.928599687604674</v>
      </c>
      <c r="AD37" s="525">
        <f>RAW_DATA_INPUTS!AD56</f>
        <v>91.999595569629989</v>
      </c>
      <c r="AE37" s="525">
        <f>RAW_DATA_INPUTS!AE56</f>
        <v>30.940797405224767</v>
      </c>
      <c r="AF37" s="525">
        <f>RAW_DATA_INPUTS!AF56</f>
        <v>22.369103837801468</v>
      </c>
      <c r="AG37" s="525">
        <f>RAW_DATA_INPUTS!AG56</f>
        <v>54.156623095196842</v>
      </c>
      <c r="AH37" s="525">
        <f>RAW_DATA_INPUTS!AH56</f>
        <v>161.83847304931055</v>
      </c>
      <c r="AI37" s="525">
        <f>RAW_DATA_INPUTS!AI56</f>
        <v>64.48399078697804</v>
      </c>
      <c r="AJ37" s="525">
        <f>RAW_DATA_INPUTS!AJ56</f>
        <v>76.445004384667754</v>
      </c>
      <c r="AK37" s="525">
        <f>RAW_DATA_INPUTS!AK56</f>
        <v>39.747622088901053</v>
      </c>
      <c r="AL37" s="525">
        <f>RAW_DATA_INPUTS!AL56</f>
        <v>22.483895927303212</v>
      </c>
      <c r="AM37" s="525">
        <f>RAW_DATA_INPUTS!AM56</f>
        <v>26.86437977152519</v>
      </c>
      <c r="AN37" s="525">
        <f>RAW_DATA_INPUTS!AN56</f>
        <v>55.348852642002413</v>
      </c>
      <c r="AO37" s="525">
        <f>RAW_DATA_INPUTS!AO56</f>
        <v>945.20104847246296</v>
      </c>
      <c r="AP37" s="525">
        <f>RAW_DATA_INPUTS!AP56</f>
        <v>1835.5342390512928</v>
      </c>
      <c r="AQ37" s="525">
        <f>RAW_DATA_INPUTS!AQ56</f>
        <v>293.37700000000001</v>
      </c>
      <c r="AR37" s="525">
        <f>RAW_DATA_INPUTS!AR56</f>
        <v>1013.58</v>
      </c>
    </row>
    <row r="38" spans="1:44" s="501" customFormat="1">
      <c r="B38" s="503" t="str">
        <f>RAW_DATA_INPUTS!B57</f>
        <v>25-29</v>
      </c>
      <c r="C38" s="525">
        <f>RAW_DATA_INPUTS!C57</f>
        <v>28.165325241144725</v>
      </c>
      <c r="D38" s="525">
        <f>RAW_DATA_INPUTS!D57</f>
        <v>103.62465094575731</v>
      </c>
      <c r="E38" s="525">
        <f>RAW_DATA_INPUTS!E57</f>
        <v>43.517524879608743</v>
      </c>
      <c r="F38" s="525">
        <f>RAW_DATA_INPUTS!F57</f>
        <v>98.034390229211908</v>
      </c>
      <c r="G38" s="525">
        <f>RAW_DATA_INPUTS!G57</f>
        <v>28.711565040803791</v>
      </c>
      <c r="H38" s="525">
        <f>RAW_DATA_INPUTS!H57</f>
        <v>50.573376727472024</v>
      </c>
      <c r="I38" s="525">
        <f>RAW_DATA_INPUTS!I57</f>
        <v>66.568821426002089</v>
      </c>
      <c r="J38" s="525">
        <f>RAW_DATA_INPUTS!J57</f>
        <v>110.6570081112738</v>
      </c>
      <c r="K38" s="525">
        <f>RAW_DATA_INPUTS!K57</f>
        <v>0</v>
      </c>
      <c r="L38" s="525">
        <f>RAW_DATA_INPUTS!L57</f>
        <v>7</v>
      </c>
      <c r="M38" s="525">
        <f>RAW_DATA_INPUTS!M57</f>
        <v>48.350582758320627</v>
      </c>
      <c r="N38" s="525">
        <f>RAW_DATA_INPUTS!N57</f>
        <v>34.835427505086059</v>
      </c>
      <c r="O38" s="525">
        <f>RAW_DATA_INPUTS!O57</f>
        <v>62.660639781938698</v>
      </c>
      <c r="P38" s="525">
        <f>RAW_DATA_INPUTS!P57</f>
        <v>75.885171511146055</v>
      </c>
      <c r="Q38" s="525">
        <f>RAW_DATA_INPUTS!Q57</f>
        <v>34.34625071415276</v>
      </c>
      <c r="R38" s="525">
        <f>RAW_DATA_INPUTS!R57</f>
        <v>117.69685464634154</v>
      </c>
      <c r="S38" s="525">
        <f>RAW_DATA_INPUTS!S57</f>
        <v>207.37708137305572</v>
      </c>
      <c r="T38" s="525">
        <f>RAW_DATA_INPUTS!T57</f>
        <v>596.92071662063699</v>
      </c>
      <c r="U38" s="525">
        <f>RAW_DATA_INPUTS!U57</f>
        <v>0</v>
      </c>
      <c r="V38" s="525">
        <f>RAW_DATA_INPUTS!V57</f>
        <v>22.01469513064562</v>
      </c>
      <c r="W38" s="525">
        <f>RAW_DATA_INPUTS!W57</f>
        <v>62.458008953957631</v>
      </c>
      <c r="X38" s="525">
        <f>RAW_DATA_INPUTS!X57</f>
        <v>89.743357720701098</v>
      </c>
      <c r="Y38" s="525">
        <f>RAW_DATA_INPUTS!Y57</f>
        <v>98.089303418361922</v>
      </c>
      <c r="Z38" s="525">
        <f>RAW_DATA_INPUTS!Z57</f>
        <v>100.63499097833751</v>
      </c>
      <c r="AA38" s="525">
        <f>RAW_DATA_INPUTS!AA57</f>
        <v>209.40124861101413</v>
      </c>
      <c r="AB38" s="525">
        <f>RAW_DATA_INPUTS!AB57</f>
        <v>229.44109485070268</v>
      </c>
      <c r="AC38" s="525">
        <f>RAW_DATA_INPUTS!AC57</f>
        <v>30.673512628648162</v>
      </c>
      <c r="AD38" s="525">
        <f>RAW_DATA_INPUTS!AD57</f>
        <v>89.795666090817576</v>
      </c>
      <c r="AE38" s="525">
        <f>RAW_DATA_INPUTS!AE57</f>
        <v>41.672893348124248</v>
      </c>
      <c r="AF38" s="525">
        <f>RAW_DATA_INPUTS!AF57</f>
        <v>35.10578950218995</v>
      </c>
      <c r="AG38" s="525">
        <f>RAW_DATA_INPUTS!AG57</f>
        <v>115.8617144743683</v>
      </c>
      <c r="AH38" s="525">
        <f>RAW_DATA_INPUTS!AH57</f>
        <v>353.10405164518107</v>
      </c>
      <c r="AI38" s="525">
        <f>RAW_DATA_INPUTS!AI57</f>
        <v>154.79826750285042</v>
      </c>
      <c r="AJ38" s="525">
        <f>RAW_DATA_INPUTS!AJ57</f>
        <v>90.598421825094803</v>
      </c>
      <c r="AK38" s="525">
        <f>RAW_DATA_INPUTS!AK57</f>
        <v>77.366921478900295</v>
      </c>
      <c r="AL38" s="525">
        <f>RAW_DATA_INPUTS!AL57</f>
        <v>37.91024987130978</v>
      </c>
      <c r="AM38" s="525">
        <f>RAW_DATA_INPUTS!AM57</f>
        <v>30.978537277433588</v>
      </c>
      <c r="AN38" s="525">
        <f>RAW_DATA_INPUTS!AN57</f>
        <v>85.861937771401685</v>
      </c>
      <c r="AO38" s="525">
        <f>RAW_DATA_INPUTS!AO57</f>
        <v>1340.9981989086859</v>
      </c>
      <c r="AP38" s="525">
        <f>RAW_DATA_INPUTS!AP57</f>
        <v>2329.4378516833071</v>
      </c>
      <c r="AQ38" s="525">
        <f>RAW_DATA_INPUTS!AQ57</f>
        <v>580.82500000000005</v>
      </c>
      <c r="AR38" s="525">
        <f>RAW_DATA_INPUTS!AR57</f>
        <v>1530.5219999999999</v>
      </c>
    </row>
    <row r="39" spans="1:44" s="501" customFormat="1">
      <c r="B39" s="503" t="str">
        <f>RAW_DATA_INPUTS!B58</f>
        <v>30-34</v>
      </c>
      <c r="C39" s="525">
        <f>RAW_DATA_INPUTS!C58</f>
        <v>20.751714332095986</v>
      </c>
      <c r="D39" s="525">
        <f>RAW_DATA_INPUTS!D58</f>
        <v>71.445701896208718</v>
      </c>
      <c r="E39" s="525">
        <f>RAW_DATA_INPUTS!E58</f>
        <v>18.823377047734851</v>
      </c>
      <c r="F39" s="525">
        <f>RAW_DATA_INPUTS!F58</f>
        <v>60.823579520771716</v>
      </c>
      <c r="G39" s="525">
        <f>RAW_DATA_INPUTS!G58</f>
        <v>22.85023932420464</v>
      </c>
      <c r="H39" s="525">
        <f>RAW_DATA_INPUTS!H58</f>
        <v>36.720337604436367</v>
      </c>
      <c r="I39" s="525">
        <f>RAW_DATA_INPUTS!I58</f>
        <v>20.519940232717275</v>
      </c>
      <c r="J39" s="525">
        <f>RAW_DATA_INPUTS!J58</f>
        <v>40.541973819379308</v>
      </c>
      <c r="K39" s="525">
        <f>RAW_DATA_INPUTS!K58</f>
        <v>0</v>
      </c>
      <c r="L39" s="525">
        <f>RAW_DATA_INPUTS!L58</f>
        <v>0</v>
      </c>
      <c r="M39" s="525">
        <f>RAW_DATA_INPUTS!M58</f>
        <v>40.7192234820373</v>
      </c>
      <c r="N39" s="525">
        <f>RAW_DATA_INPUTS!N58</f>
        <v>26.977384303689366</v>
      </c>
      <c r="O39" s="525">
        <f>RAW_DATA_INPUTS!O58</f>
        <v>55.248176148660129</v>
      </c>
      <c r="P39" s="525">
        <f>RAW_DATA_INPUTS!P58</f>
        <v>46.273350142771804</v>
      </c>
      <c r="Q39" s="525">
        <f>RAW_DATA_INPUTS!Q58</f>
        <v>16.355166549501412</v>
      </c>
      <c r="R39" s="525">
        <f>RAW_DATA_INPUTS!R58</f>
        <v>58.590309194554891</v>
      </c>
      <c r="S39" s="525">
        <f>RAW_DATA_INPUTS!S58</f>
        <v>95.346659926470835</v>
      </c>
      <c r="T39" s="525">
        <f>RAW_DATA_INPUTS!T58</f>
        <v>251.39679883690164</v>
      </c>
      <c r="U39" s="525">
        <f>RAW_DATA_INPUTS!U58</f>
        <v>6</v>
      </c>
      <c r="V39" s="525">
        <f>RAW_DATA_INPUTS!V58</f>
        <v>11.002328712703203</v>
      </c>
      <c r="W39" s="525">
        <f>RAW_DATA_INPUTS!W58</f>
        <v>25.879679428083808</v>
      </c>
      <c r="X39" s="525">
        <f>RAW_DATA_INPUTS!X58</f>
        <v>36.536428807475168</v>
      </c>
      <c r="Y39" s="525">
        <f>RAW_DATA_INPUTS!Y58</f>
        <v>36.655505861632143</v>
      </c>
      <c r="Z39" s="525">
        <f>RAW_DATA_INPUTS!Z58</f>
        <v>33.632813733382015</v>
      </c>
      <c r="AA39" s="525">
        <f>RAW_DATA_INPUTS!AA58</f>
        <v>93.150747343699223</v>
      </c>
      <c r="AB39" s="525">
        <f>RAW_DATA_INPUTS!AB58</f>
        <v>106.00415897386412</v>
      </c>
      <c r="AC39" s="525">
        <f>RAW_DATA_INPUTS!AC58</f>
        <v>16.040817043754657</v>
      </c>
      <c r="AD39" s="525">
        <f>RAW_DATA_INPUTS!AD58</f>
        <v>53.785851814601408</v>
      </c>
      <c r="AE39" s="525">
        <f>RAW_DATA_INPUTS!AE58</f>
        <v>38.74141809522429</v>
      </c>
      <c r="AF39" s="525">
        <f>RAW_DATA_INPUTS!AF58</f>
        <v>23.781405714326347</v>
      </c>
      <c r="AG39" s="525">
        <f>RAW_DATA_INPUTS!AG58</f>
        <v>95.652993977496223</v>
      </c>
      <c r="AH39" s="525">
        <f>RAW_DATA_INPUTS!AH58</f>
        <v>249.95815225250286</v>
      </c>
      <c r="AI39" s="525">
        <f>RAW_DATA_INPUTS!AI58</f>
        <v>90.792836899825943</v>
      </c>
      <c r="AJ39" s="525">
        <f>RAW_DATA_INPUTS!AJ58</f>
        <v>41.70053802925483</v>
      </c>
      <c r="AK39" s="525">
        <f>RAW_DATA_INPUTS!AK58</f>
        <v>46.743386915207097</v>
      </c>
      <c r="AL39" s="525">
        <f>RAW_DATA_INPUTS!AL58</f>
        <v>13.56506798822539</v>
      </c>
      <c r="AM39" s="525">
        <f>RAW_DATA_INPUTS!AM58</f>
        <v>15.236066665483538</v>
      </c>
      <c r="AN39" s="525">
        <f>RAW_DATA_INPUTS!AN58</f>
        <v>39.349684171587093</v>
      </c>
      <c r="AO39" s="525">
        <f>RAW_DATA_INPUTS!AO58</f>
        <v>755.50794927382935</v>
      </c>
      <c r="AP39" s="525">
        <f>RAW_DATA_INPUTS!AP58</f>
        <v>1202.0858655166362</v>
      </c>
      <c r="AQ39" s="525">
        <f>RAW_DATA_INPUTS!AQ58</f>
        <v>311.971</v>
      </c>
      <c r="AR39" s="525">
        <f>RAW_DATA_INPUTS!AR58</f>
        <v>755.78</v>
      </c>
    </row>
    <row r="40" spans="1:44" s="501" customFormat="1">
      <c r="B40" s="503" t="str">
        <f>RAW_DATA_INPUTS!B59</f>
        <v>35-39</v>
      </c>
      <c r="C40" s="525">
        <f>RAW_DATA_INPUTS!C59</f>
        <v>14.174608185904324</v>
      </c>
      <c r="D40" s="525">
        <f>RAW_DATA_INPUTS!D59</f>
        <v>30.390008158850645</v>
      </c>
      <c r="E40" s="525">
        <f>RAW_DATA_INPUTS!E59</f>
        <v>15.661041723058425</v>
      </c>
      <c r="F40" s="525">
        <f>RAW_DATA_INPUTS!F59</f>
        <v>29.087499494295024</v>
      </c>
      <c r="G40" s="525">
        <f>RAW_DATA_INPUTS!G59</f>
        <v>19.652149089860949</v>
      </c>
      <c r="H40" s="525">
        <f>RAW_DATA_INPUTS!H59</f>
        <v>28.866100935403392</v>
      </c>
      <c r="I40" s="525">
        <f>RAW_DATA_INPUTS!I59</f>
        <v>5.2487112338050999</v>
      </c>
      <c r="J40" s="525">
        <f>RAW_DATA_INPUTS!J59</f>
        <v>9.3444804414975575</v>
      </c>
      <c r="K40" s="525">
        <f>RAW_DATA_INPUTS!K59</f>
        <v>5</v>
      </c>
      <c r="L40" s="525">
        <f>RAW_DATA_INPUTS!L59</f>
        <v>5</v>
      </c>
      <c r="M40" s="525">
        <f>RAW_DATA_INPUTS!M59</f>
        <v>25.646240373398122</v>
      </c>
      <c r="N40" s="525">
        <f>RAW_DATA_INPUTS!N59</f>
        <v>21.115557693929727</v>
      </c>
      <c r="O40" s="525">
        <f>RAW_DATA_INPUTS!O59</f>
        <v>34.974497596717022</v>
      </c>
      <c r="P40" s="525">
        <f>RAW_DATA_INPUTS!P59</f>
        <v>38.777814070718989</v>
      </c>
      <c r="Q40" s="525">
        <f>RAW_DATA_INPUTS!Q59</f>
        <v>12.245324501636997</v>
      </c>
      <c r="R40" s="525">
        <f>RAW_DATA_INPUTS!R59</f>
        <v>30.836846565476343</v>
      </c>
      <c r="S40" s="525">
        <f>RAW_DATA_INPUTS!S59</f>
        <v>69.426654191635677</v>
      </c>
      <c r="T40" s="525">
        <f>RAW_DATA_INPUTS!T59</f>
        <v>156.8377800032778</v>
      </c>
      <c r="U40" s="525">
        <f>RAW_DATA_INPUTS!U59</f>
        <v>0</v>
      </c>
      <c r="V40" s="525">
        <f>RAW_DATA_INPUTS!V59</f>
        <v>11.563436435575303</v>
      </c>
      <c r="W40" s="525">
        <f>RAW_DATA_INPUTS!W59</f>
        <v>15.151100245723326</v>
      </c>
      <c r="X40" s="525">
        <f>RAW_DATA_INPUTS!X59</f>
        <v>23.102260379944365</v>
      </c>
      <c r="Y40" s="525">
        <f>RAW_DATA_INPUTS!Y59</f>
        <v>23.36723634041104</v>
      </c>
      <c r="Z40" s="525">
        <f>RAW_DATA_INPUTS!Z59</f>
        <v>19.775731233256131</v>
      </c>
      <c r="AA40" s="525">
        <f>RAW_DATA_INPUTS!AA59</f>
        <v>76.347745625590534</v>
      </c>
      <c r="AB40" s="525">
        <f>RAW_DATA_INPUTS!AB59</f>
        <v>76.953529374842361</v>
      </c>
      <c r="AC40" s="525">
        <f>RAW_DATA_INPUTS!AC59</f>
        <v>15.799481779558906</v>
      </c>
      <c r="AD40" s="525">
        <f>RAW_DATA_INPUTS!AD59</f>
        <v>49.699108373799007</v>
      </c>
      <c r="AE40" s="525">
        <f>RAW_DATA_INPUTS!AE59</f>
        <v>11.826779717065866</v>
      </c>
      <c r="AF40" s="525">
        <f>RAW_DATA_INPUTS!AF59</f>
        <v>5.7790513844221865</v>
      </c>
      <c r="AG40" s="525">
        <f>RAW_DATA_INPUTS!AG59</f>
        <v>50.603630194402051</v>
      </c>
      <c r="AH40" s="525">
        <f>RAW_DATA_INPUTS!AH59</f>
        <v>182.41390848021402</v>
      </c>
      <c r="AI40" s="525">
        <f>RAW_DATA_INPUTS!AI59</f>
        <v>28.036647776996961</v>
      </c>
      <c r="AJ40" s="525">
        <f>RAW_DATA_INPUTS!AJ59</f>
        <v>26.268966097518437</v>
      </c>
      <c r="AK40" s="525">
        <f>RAW_DATA_INPUTS!AK59</f>
        <v>16.96580083998191</v>
      </c>
      <c r="AL40" s="525">
        <f>RAW_DATA_INPUTS!AL59</f>
        <v>23.860928684738752</v>
      </c>
      <c r="AM40" s="525">
        <f>RAW_DATA_INPUTS!AM59</f>
        <v>13.583012362915342</v>
      </c>
      <c r="AN40" s="525">
        <f>RAW_DATA_INPUTS!AN59</f>
        <v>16.519555957809903</v>
      </c>
      <c r="AO40" s="525">
        <f>RAW_DATA_INPUTS!AO59</f>
        <v>453.71066177866248</v>
      </c>
      <c r="AP40" s="525">
        <f>RAW_DATA_INPUTS!AP59</f>
        <v>786.19256376556973</v>
      </c>
      <c r="AQ40" s="525">
        <f>RAW_DATA_INPUTS!AQ59</f>
        <v>188.255</v>
      </c>
      <c r="AR40" s="525">
        <f>RAW_DATA_INPUTS!AR59</f>
        <v>572.601</v>
      </c>
    </row>
    <row r="41" spans="1:44" s="501" customFormat="1">
      <c r="B41" s="503" t="str">
        <f>RAW_DATA_INPUTS!B60</f>
        <v>40-44</v>
      </c>
      <c r="C41" s="525">
        <f>RAW_DATA_INPUTS!C60</f>
        <v>15.986535467935244</v>
      </c>
      <c r="D41" s="525">
        <f>RAW_DATA_INPUTS!D60</f>
        <v>36.346481739051576</v>
      </c>
      <c r="E41" s="525">
        <f>RAW_DATA_INPUTS!E60</f>
        <v>13.5708366177287</v>
      </c>
      <c r="F41" s="525">
        <f>RAW_DATA_INPUTS!F60</f>
        <v>17.01476066172906</v>
      </c>
      <c r="G41" s="525">
        <f>RAW_DATA_INPUTS!G60</f>
        <v>8.3961157799666353</v>
      </c>
      <c r="H41" s="525">
        <f>RAW_DATA_INPUTS!H60</f>
        <v>32.784689691321844</v>
      </c>
      <c r="I41" s="525">
        <f>RAW_DATA_INPUTS!I60</f>
        <v>7.1902110049579715</v>
      </c>
      <c r="J41" s="525">
        <f>RAW_DATA_INPUTS!J60</f>
        <v>27.861818191984653</v>
      </c>
      <c r="K41" s="525">
        <f>RAW_DATA_INPUTS!K60</f>
        <v>0</v>
      </c>
      <c r="L41" s="525">
        <f>RAW_DATA_INPUTS!L60</f>
        <v>0</v>
      </c>
      <c r="M41" s="525">
        <f>RAW_DATA_INPUTS!M60</f>
        <v>26.661824302209972</v>
      </c>
      <c r="N41" s="525">
        <f>RAW_DATA_INPUTS!N60</f>
        <v>28.490274817111146</v>
      </c>
      <c r="O41" s="525">
        <f>RAW_DATA_INPUTS!O60</f>
        <v>36.967235254542793</v>
      </c>
      <c r="P41" s="525">
        <f>RAW_DATA_INPUTS!P60</f>
        <v>41.300013416636084</v>
      </c>
      <c r="Q41" s="525">
        <f>RAW_DATA_INPUTS!Q60</f>
        <v>9.912738539349073</v>
      </c>
      <c r="R41" s="525">
        <f>RAW_DATA_INPUTS!R60</f>
        <v>23.348914834367271</v>
      </c>
      <c r="S41" s="525">
        <f>RAW_DATA_INPUTS!S60</f>
        <v>33.235247436849242</v>
      </c>
      <c r="T41" s="525">
        <f>RAW_DATA_INPUTS!T60</f>
        <v>150.40838400874048</v>
      </c>
      <c r="U41" s="525">
        <f>RAW_DATA_INPUTS!U60</f>
        <v>12.047253828105452</v>
      </c>
      <c r="V41" s="525">
        <f>RAW_DATA_INPUTS!V60</f>
        <v>22.420218422309894</v>
      </c>
      <c r="W41" s="525">
        <f>RAW_DATA_INPUTS!W60</f>
        <v>13.966906132885136</v>
      </c>
      <c r="X41" s="525">
        <f>RAW_DATA_INPUTS!X60</f>
        <v>19.573621309086171</v>
      </c>
      <c r="Y41" s="525">
        <f>RAW_DATA_INPUTS!Y60</f>
        <v>17.947546360706035</v>
      </c>
      <c r="Z41" s="525">
        <f>RAW_DATA_INPUTS!Z60</f>
        <v>24.178543273480486</v>
      </c>
      <c r="AA41" s="525">
        <f>RAW_DATA_INPUTS!AA60</f>
        <v>40.362591490991413</v>
      </c>
      <c r="AB41" s="525">
        <f>RAW_DATA_INPUTS!AB60</f>
        <v>144.09556122673649</v>
      </c>
      <c r="AC41" s="525">
        <f>RAW_DATA_INPUTS!AC60</f>
        <v>14.818184672250572</v>
      </c>
      <c r="AD41" s="525">
        <f>RAW_DATA_INPUTS!AD60</f>
        <v>63.438265129273546</v>
      </c>
      <c r="AE41" s="525">
        <f>RAW_DATA_INPUTS!AE60</f>
        <v>10.12382731291104</v>
      </c>
      <c r="AF41" s="525">
        <f>RAW_DATA_INPUTS!AF60</f>
        <v>11.438246881161922</v>
      </c>
      <c r="AG41" s="525">
        <f>RAW_DATA_INPUTS!AG60</f>
        <v>76.960634681674208</v>
      </c>
      <c r="AH41" s="525">
        <f>RAW_DATA_INPUTS!AH60</f>
        <v>217.50236523975499</v>
      </c>
      <c r="AI41" s="525">
        <f>RAW_DATA_INPUTS!AI60</f>
        <v>21.210186152975833</v>
      </c>
      <c r="AJ41" s="525">
        <f>RAW_DATA_INPUTS!AJ60</f>
        <v>16.000859150564498</v>
      </c>
      <c r="AK41" s="525">
        <f>RAW_DATA_INPUTS!AK60</f>
        <v>21.929894325903671</v>
      </c>
      <c r="AL41" s="525">
        <f>RAW_DATA_INPUTS!AL60</f>
        <v>7.3006649882273704</v>
      </c>
      <c r="AM41" s="525">
        <f>RAW_DATA_INPUTS!AM60</f>
        <v>12.974728332544327</v>
      </c>
      <c r="AN41" s="525">
        <f>RAW_DATA_INPUTS!AN60</f>
        <v>21.670493141099442</v>
      </c>
      <c r="AO41" s="525">
        <f>RAW_DATA_INPUTS!AO60</f>
        <v>394.26249769448731</v>
      </c>
      <c r="AP41" s="525">
        <f>RAW_DATA_INPUTS!AP60</f>
        <v>905.17417612263694</v>
      </c>
      <c r="AQ41" s="525">
        <f>RAW_DATA_INPUTS!AQ60</f>
        <v>119.755</v>
      </c>
      <c r="AR41" s="525">
        <f>RAW_DATA_INPUTS!AR60</f>
        <v>660.32799999999997</v>
      </c>
    </row>
    <row r="42" spans="1:44" s="501" customFormat="1">
      <c r="B42" s="503" t="str">
        <f>RAW_DATA_INPUTS!B61</f>
        <v>45-49</v>
      </c>
      <c r="C42" s="525">
        <f>RAW_DATA_INPUTS!C61</f>
        <v>8.5589328424229461</v>
      </c>
      <c r="D42" s="525">
        <f>RAW_DATA_INPUTS!D61</f>
        <v>48.965011172544344</v>
      </c>
      <c r="E42" s="525">
        <f>RAW_DATA_INPUTS!E61</f>
        <v>5.4690157503388503</v>
      </c>
      <c r="F42" s="525">
        <f>RAW_DATA_INPUTS!F61</f>
        <v>41.001622769566488</v>
      </c>
      <c r="G42" s="525">
        <f>RAW_DATA_INPUTS!G61</f>
        <v>14.191211827451671</v>
      </c>
      <c r="H42" s="525">
        <f>RAW_DATA_INPUTS!H61</f>
        <v>33.782148647373816</v>
      </c>
      <c r="I42" s="525">
        <f>RAW_DATA_INPUTS!I61</f>
        <v>5.4280804700210057</v>
      </c>
      <c r="J42" s="525">
        <f>RAW_DATA_INPUTS!J61</f>
        <v>19.506166380228056</v>
      </c>
      <c r="K42" s="525">
        <f>RAW_DATA_INPUTS!K61</f>
        <v>0</v>
      </c>
      <c r="L42" s="525">
        <f>RAW_DATA_INPUTS!L61</f>
        <v>5</v>
      </c>
      <c r="M42" s="525">
        <f>RAW_DATA_INPUTS!M61</f>
        <v>24.421947456266039</v>
      </c>
      <c r="N42" s="525">
        <f>RAW_DATA_INPUTS!N61</f>
        <v>22.955991500026322</v>
      </c>
      <c r="O42" s="525">
        <f>RAW_DATA_INPUTS!O61</f>
        <v>52.907134771636287</v>
      </c>
      <c r="P42" s="525">
        <f>RAW_DATA_INPUTS!P61</f>
        <v>64.318085066398496</v>
      </c>
      <c r="Q42" s="525">
        <f>RAW_DATA_INPUTS!Q61</f>
        <v>7.5611069675710443</v>
      </c>
      <c r="R42" s="525">
        <f>RAW_DATA_INPUTS!R61</f>
        <v>18.353953145462789</v>
      </c>
      <c r="S42" s="525">
        <f>RAW_DATA_INPUTS!S61</f>
        <v>17.962425686109952</v>
      </c>
      <c r="T42" s="525">
        <f>RAW_DATA_INPUTS!T61</f>
        <v>133.03318183460044</v>
      </c>
      <c r="U42" s="525">
        <f>RAW_DATA_INPUTS!U61</f>
        <v>5</v>
      </c>
      <c r="V42" s="525">
        <f>RAW_DATA_INPUTS!V61</f>
        <v>29.189646835636271</v>
      </c>
      <c r="W42" s="525">
        <f>RAW_DATA_INPUTS!W61</f>
        <v>5</v>
      </c>
      <c r="X42" s="525">
        <f>RAW_DATA_INPUTS!X61</f>
        <v>18.291658853317784</v>
      </c>
      <c r="Y42" s="525">
        <f>RAW_DATA_INPUTS!Y61</f>
        <v>16.858818360732151</v>
      </c>
      <c r="Z42" s="525">
        <f>RAW_DATA_INPUTS!Z61</f>
        <v>17.867712960157998</v>
      </c>
      <c r="AA42" s="525">
        <f>RAW_DATA_INPUTS!AA61</f>
        <v>55.334246957236509</v>
      </c>
      <c r="AB42" s="525">
        <f>RAW_DATA_INPUTS!AB61</f>
        <v>124.99637919174424</v>
      </c>
      <c r="AC42" s="525">
        <f>RAW_DATA_INPUTS!AC61</f>
        <v>5</v>
      </c>
      <c r="AD42" s="525">
        <f>RAW_DATA_INPUTS!AD61</f>
        <v>82.935561618079717</v>
      </c>
      <c r="AE42" s="525">
        <f>RAW_DATA_INPUTS!AE61</f>
        <v>17.652774657497012</v>
      </c>
      <c r="AF42" s="525">
        <f>RAW_DATA_INPUTS!AF61</f>
        <v>6.9676222706064941</v>
      </c>
      <c r="AG42" s="525">
        <f>RAW_DATA_INPUTS!AG61</f>
        <v>70.452707395089035</v>
      </c>
      <c r="AH42" s="525">
        <f>RAW_DATA_INPUTS!AH61</f>
        <v>245.22318559739193</v>
      </c>
      <c r="AI42" s="525">
        <f>RAW_DATA_INPUTS!AI61</f>
        <v>26.068569020487875</v>
      </c>
      <c r="AJ42" s="525">
        <f>RAW_DATA_INPUTS!AJ61</f>
        <v>21.08755510583773</v>
      </c>
      <c r="AK42" s="525">
        <f>RAW_DATA_INPUTS!AK61</f>
        <v>22.39920143788062</v>
      </c>
      <c r="AL42" s="525">
        <f>RAW_DATA_INPUTS!AL61</f>
        <v>11.221094357876501</v>
      </c>
      <c r="AM42" s="525">
        <f>RAW_DATA_INPUTS!AM61</f>
        <v>15.28700670743579</v>
      </c>
      <c r="AN42" s="525">
        <f>RAW_DATA_INPUTS!AN61</f>
        <v>18.337416278458917</v>
      </c>
      <c r="AO42" s="525">
        <f>RAW_DATA_INPUTS!AO61</f>
        <v>375.55318030817682</v>
      </c>
      <c r="AP42" s="525">
        <f>RAW_DATA_INPUTS!AP61</f>
        <v>963.03399358530839</v>
      </c>
      <c r="AQ42" s="525">
        <f>RAW_DATA_INPUTS!AQ61</f>
        <v>91.415999999999997</v>
      </c>
      <c r="AR42" s="525">
        <f>RAW_DATA_INPUTS!AR61</f>
        <v>624.79700000000003</v>
      </c>
    </row>
    <row r="43" spans="1:44" s="501" customFormat="1">
      <c r="B43" s="503" t="str">
        <f>RAW_DATA_INPUTS!B62</f>
        <v>50-54</v>
      </c>
      <c r="C43" s="525">
        <f>RAW_DATA_INPUTS!C62</f>
        <v>17.664542035243528</v>
      </c>
      <c r="D43" s="525">
        <f>RAW_DATA_INPUTS!D62</f>
        <v>43.668147082768357</v>
      </c>
      <c r="E43" s="525">
        <f>RAW_DATA_INPUTS!E62</f>
        <v>5.1455285819182981</v>
      </c>
      <c r="F43" s="525">
        <f>RAW_DATA_INPUTS!F62</f>
        <v>28.854065277899352</v>
      </c>
      <c r="G43" s="525">
        <f>RAW_DATA_INPUTS!G62</f>
        <v>19.856858976213665</v>
      </c>
      <c r="H43" s="525">
        <f>RAW_DATA_INPUTS!H62</f>
        <v>28.35131578001641</v>
      </c>
      <c r="I43" s="525">
        <f>RAW_DATA_INPUTS!I62</f>
        <v>5.04012827630791</v>
      </c>
      <c r="J43" s="525">
        <f>RAW_DATA_INPUTS!J62</f>
        <v>13.684949199694501</v>
      </c>
      <c r="K43" s="525">
        <f>RAW_DATA_INPUTS!K62</f>
        <v>0</v>
      </c>
      <c r="L43" s="525">
        <f>RAW_DATA_INPUTS!L62</f>
        <v>0</v>
      </c>
      <c r="M43" s="525">
        <f>RAW_DATA_INPUTS!M62</f>
        <v>7.4116656043672942</v>
      </c>
      <c r="N43" s="525">
        <f>RAW_DATA_INPUTS!N62</f>
        <v>20.419528196995749</v>
      </c>
      <c r="O43" s="525">
        <f>RAW_DATA_INPUTS!O62</f>
        <v>55.072022543548456</v>
      </c>
      <c r="P43" s="525">
        <f>RAW_DATA_INPUTS!P62</f>
        <v>51.684068263417764</v>
      </c>
      <c r="Q43" s="525">
        <f>RAW_DATA_INPUTS!Q62</f>
        <v>7.6894142315043723</v>
      </c>
      <c r="R43" s="525">
        <f>RAW_DATA_INPUTS!R62</f>
        <v>13.774987663842145</v>
      </c>
      <c r="S43" s="525">
        <f>RAW_DATA_INPUTS!S62</f>
        <v>22.747395429550679</v>
      </c>
      <c r="T43" s="525">
        <f>RAW_DATA_INPUTS!T62</f>
        <v>70.807531323878891</v>
      </c>
      <c r="U43" s="525">
        <f>RAW_DATA_INPUTS!U62</f>
        <v>14.339865704742083</v>
      </c>
      <c r="V43" s="525">
        <f>RAW_DATA_INPUTS!V62</f>
        <v>34.445389298889076</v>
      </c>
      <c r="W43" s="525">
        <f>RAW_DATA_INPUTS!W62</f>
        <v>13.576830397316701</v>
      </c>
      <c r="X43" s="525">
        <f>RAW_DATA_INPUTS!X62</f>
        <v>12.331780479185227</v>
      </c>
      <c r="Y43" s="525">
        <f>RAW_DATA_INPUTS!Y62</f>
        <v>0</v>
      </c>
      <c r="Z43" s="525">
        <f>RAW_DATA_INPUTS!Z62</f>
        <v>11.4426867603755</v>
      </c>
      <c r="AA43" s="525">
        <f>RAW_DATA_INPUTS!AA62</f>
        <v>38.959092507576301</v>
      </c>
      <c r="AB43" s="525">
        <f>RAW_DATA_INPUTS!AB62</f>
        <v>90.32375651385739</v>
      </c>
      <c r="AC43" s="525">
        <f>RAW_DATA_INPUTS!AC62</f>
        <v>6.2</v>
      </c>
      <c r="AD43" s="525">
        <f>RAW_DATA_INPUTS!AD62</f>
        <v>61.842660076739662</v>
      </c>
      <c r="AE43" s="525">
        <f>RAW_DATA_INPUTS!AE62</f>
        <v>15.159570056786499</v>
      </c>
      <c r="AF43" s="525">
        <f>RAW_DATA_INPUTS!AF62</f>
        <v>5</v>
      </c>
      <c r="AG43" s="525">
        <f>RAW_DATA_INPUTS!AG62</f>
        <v>82.911923046354943</v>
      </c>
      <c r="AH43" s="525">
        <f>RAW_DATA_INPUTS!AH62</f>
        <v>188.82788400684072</v>
      </c>
      <c r="AI43" s="525">
        <f>RAW_DATA_INPUTS!AI62</f>
        <v>19.142407358143085</v>
      </c>
      <c r="AJ43" s="525">
        <f>RAW_DATA_INPUTS!AJ62</f>
        <v>11.244170322142589</v>
      </c>
      <c r="AK43" s="525">
        <f>RAW_DATA_INPUTS!AK62</f>
        <v>14.313368712417931</v>
      </c>
      <c r="AL43" s="525">
        <f>RAW_DATA_INPUTS!AL62</f>
        <v>5.3919788438042398</v>
      </c>
      <c r="AM43" s="525">
        <f>RAW_DATA_INPUTS!AM62</f>
        <v>8.4430622474978581</v>
      </c>
      <c r="AN43" s="525">
        <f>RAW_DATA_INPUTS!AN62</f>
        <v>24.689585509924299</v>
      </c>
      <c r="AO43" s="525">
        <f>RAW_DATA_INPUTS!AO62</f>
        <v>353.6736757094896</v>
      </c>
      <c r="AP43" s="525">
        <f>RAW_DATA_INPUTS!AP62</f>
        <v>716.78448460027198</v>
      </c>
      <c r="AQ43" s="525">
        <f>RAW_DATA_INPUTS!AQ62</f>
        <v>73.358000000000004</v>
      </c>
      <c r="AR43" s="525">
        <f>RAW_DATA_INPUTS!AR62</f>
        <v>474.62900000000002</v>
      </c>
    </row>
    <row r="44" spans="1:44" s="501" customFormat="1">
      <c r="B44" s="503" t="str">
        <f>RAW_DATA_INPUTS!B63</f>
        <v>55-59</v>
      </c>
      <c r="C44" s="525">
        <f>RAW_DATA_INPUTS!C63</f>
        <v>7.8230004117074996</v>
      </c>
      <c r="D44" s="525">
        <f>RAW_DATA_INPUTS!D63</f>
        <v>18.750898877807018</v>
      </c>
      <c r="E44" s="525">
        <f>RAW_DATA_INPUTS!E63</f>
        <v>0</v>
      </c>
      <c r="F44" s="525">
        <f>RAW_DATA_INPUTS!F63</f>
        <v>9.4999745416068144</v>
      </c>
      <c r="G44" s="525">
        <f>RAW_DATA_INPUTS!G63</f>
        <v>6.5527233229571076</v>
      </c>
      <c r="H44" s="525">
        <f>RAW_DATA_INPUTS!H63</f>
        <v>10.3401962385981</v>
      </c>
      <c r="I44" s="525">
        <f>RAW_DATA_INPUTS!I63</f>
        <v>8.6813080132326093</v>
      </c>
      <c r="J44" s="525">
        <f>RAW_DATA_INPUTS!J63</f>
        <v>0</v>
      </c>
      <c r="K44" s="525">
        <f>RAW_DATA_INPUTS!K63</f>
        <v>0</v>
      </c>
      <c r="L44" s="525">
        <f>RAW_DATA_INPUTS!L63</f>
        <v>0</v>
      </c>
      <c r="M44" s="525">
        <f>RAW_DATA_INPUTS!M63</f>
        <v>15.1105364046426</v>
      </c>
      <c r="N44" s="525">
        <f>RAW_DATA_INPUTS!N63</f>
        <v>15.757029314377734</v>
      </c>
      <c r="O44" s="525">
        <f>RAW_DATA_INPUTS!O63</f>
        <v>44.825087264382113</v>
      </c>
      <c r="P44" s="525">
        <f>RAW_DATA_INPUTS!P63</f>
        <v>34.030674587510738</v>
      </c>
      <c r="Q44" s="525">
        <f>RAW_DATA_INPUTS!Q63</f>
        <v>5.4826215858462204</v>
      </c>
      <c r="R44" s="525">
        <f>RAW_DATA_INPUTS!R63</f>
        <v>12.121013685402501</v>
      </c>
      <c r="S44" s="525">
        <f>RAW_DATA_INPUTS!S63</f>
        <v>5</v>
      </c>
      <c r="T44" s="525">
        <f>RAW_DATA_INPUTS!T63</f>
        <v>50.208612361330715</v>
      </c>
      <c r="U44" s="525">
        <f>RAW_DATA_INPUTS!U63</f>
        <v>5</v>
      </c>
      <c r="V44" s="525">
        <f>RAW_DATA_INPUTS!V63</f>
        <v>15.357689015998451</v>
      </c>
      <c r="W44" s="525">
        <f>RAW_DATA_INPUTS!W63</f>
        <v>8.9058979320189717</v>
      </c>
      <c r="X44" s="525">
        <f>RAW_DATA_INPUTS!X63</f>
        <v>10.125009310189375</v>
      </c>
      <c r="Y44" s="525">
        <f>RAW_DATA_INPUTS!Y63</f>
        <v>6.2</v>
      </c>
      <c r="Z44" s="525">
        <f>RAW_DATA_INPUTS!Z63</f>
        <v>5.9450278789874096</v>
      </c>
      <c r="AA44" s="525">
        <f>RAW_DATA_INPUTS!AA63</f>
        <v>26.307608793828692</v>
      </c>
      <c r="AB44" s="525">
        <f>RAW_DATA_INPUTS!AB63</f>
        <v>54.499544926501741</v>
      </c>
      <c r="AC44" s="525">
        <f>RAW_DATA_INPUTS!AC63</f>
        <v>5</v>
      </c>
      <c r="AD44" s="525">
        <f>RAW_DATA_INPUTS!AD63</f>
        <v>38.275573450814264</v>
      </c>
      <c r="AE44" s="525">
        <f>RAW_DATA_INPUTS!AE63</f>
        <v>5</v>
      </c>
      <c r="AF44" s="525">
        <f>RAW_DATA_INPUTS!AF63</f>
        <v>5.6022639500905713</v>
      </c>
      <c r="AG44" s="525">
        <f>RAW_DATA_INPUTS!AG63</f>
        <v>34.980361723889828</v>
      </c>
      <c r="AH44" s="525">
        <f>RAW_DATA_INPUTS!AH63</f>
        <v>107.58890842813327</v>
      </c>
      <c r="AI44" s="525">
        <f>RAW_DATA_INPUTS!AI63</f>
        <v>7.907210039449625</v>
      </c>
      <c r="AJ44" s="525">
        <f>RAW_DATA_INPUTS!AJ63</f>
        <v>14.149429438894098</v>
      </c>
      <c r="AK44" s="525">
        <f>RAW_DATA_INPUTS!AK63</f>
        <v>10.149353143306801</v>
      </c>
      <c r="AL44" s="525">
        <f>RAW_DATA_INPUTS!AL63</f>
        <v>0</v>
      </c>
      <c r="AM44" s="525">
        <f>RAW_DATA_INPUTS!AM63</f>
        <v>12.409393749309523</v>
      </c>
      <c r="AN44" s="525">
        <f>RAW_DATA_INPUTS!AN63</f>
        <v>7.6709710233980308</v>
      </c>
      <c r="AO44" s="525">
        <f>RAW_DATA_INPUTS!AO63</f>
        <v>215.33510238457157</v>
      </c>
      <c r="AP44" s="525">
        <f>RAW_DATA_INPUTS!AP63</f>
        <v>409.92281702964078</v>
      </c>
      <c r="AQ44" s="525">
        <f>RAW_DATA_INPUTS!AQ63</f>
        <v>51.322000000000003</v>
      </c>
      <c r="AR44" s="525">
        <f>RAW_DATA_INPUTS!AR63</f>
        <v>317.72300000000001</v>
      </c>
    </row>
    <row r="45" spans="1:44" s="501" customFormat="1">
      <c r="B45" s="503" t="str">
        <f>RAW_DATA_INPUTS!B64</f>
        <v>60-64</v>
      </c>
      <c r="C45" s="525">
        <f>RAW_DATA_INPUTS!C64</f>
        <v>5.2410811779516102</v>
      </c>
      <c r="D45" s="525">
        <f>RAW_DATA_INPUTS!D64</f>
        <v>6.2449346762818001</v>
      </c>
      <c r="E45" s="525">
        <f>RAW_DATA_INPUTS!E64</f>
        <v>0</v>
      </c>
      <c r="F45" s="525">
        <f>RAW_DATA_INPUTS!F64</f>
        <v>0</v>
      </c>
      <c r="G45" s="525">
        <f>RAW_DATA_INPUTS!G64</f>
        <v>7.8702923463939651</v>
      </c>
      <c r="H45" s="525">
        <f>RAW_DATA_INPUTS!H64</f>
        <v>6.3560412752848876</v>
      </c>
      <c r="I45" s="525">
        <f>RAW_DATA_INPUTS!I64</f>
        <v>0</v>
      </c>
      <c r="J45" s="525">
        <f>RAW_DATA_INPUTS!J64</f>
        <v>5</v>
      </c>
      <c r="K45" s="525">
        <f>RAW_DATA_INPUTS!K64</f>
        <v>0</v>
      </c>
      <c r="L45" s="525">
        <f>RAW_DATA_INPUTS!L64</f>
        <v>5</v>
      </c>
      <c r="M45" s="525">
        <f>RAW_DATA_INPUTS!M64</f>
        <v>5</v>
      </c>
      <c r="N45" s="525">
        <f>RAW_DATA_INPUTS!N64</f>
        <v>5.4949438279176599</v>
      </c>
      <c r="O45" s="525">
        <f>RAW_DATA_INPUTS!O64</f>
        <v>18.176850127460447</v>
      </c>
      <c r="P45" s="525">
        <f>RAW_DATA_INPUTS!P64</f>
        <v>10.3259169512837</v>
      </c>
      <c r="Q45" s="525">
        <f>RAW_DATA_INPUTS!Q64</f>
        <v>0</v>
      </c>
      <c r="R45" s="525">
        <f>RAW_DATA_INPUTS!R64</f>
        <v>5</v>
      </c>
      <c r="S45" s="525">
        <f>RAW_DATA_INPUTS!S64</f>
        <v>0</v>
      </c>
      <c r="T45" s="525">
        <f>RAW_DATA_INPUTS!T64</f>
        <v>12.374783531256446</v>
      </c>
      <c r="U45" s="525">
        <f>RAW_DATA_INPUTS!U64</f>
        <v>5.3119536125924052</v>
      </c>
      <c r="V45" s="525">
        <f>RAW_DATA_INPUTS!V64</f>
        <v>5</v>
      </c>
      <c r="W45" s="525">
        <f>RAW_DATA_INPUTS!W64</f>
        <v>0</v>
      </c>
      <c r="X45" s="525">
        <f>RAW_DATA_INPUTS!X64</f>
        <v>0</v>
      </c>
      <c r="Y45" s="525">
        <f>RAW_DATA_INPUTS!Y64</f>
        <v>0</v>
      </c>
      <c r="Z45" s="525">
        <f>RAW_DATA_INPUTS!Z64</f>
        <v>0</v>
      </c>
      <c r="AA45" s="525">
        <f>RAW_DATA_INPUTS!AA64</f>
        <v>17.989578137847818</v>
      </c>
      <c r="AB45" s="525">
        <f>RAW_DATA_INPUTS!AB64</f>
        <v>22.330028697668627</v>
      </c>
      <c r="AC45" s="525">
        <f>RAW_DATA_INPUTS!AC64</f>
        <v>0</v>
      </c>
      <c r="AD45" s="525">
        <f>RAW_DATA_INPUTS!AD64</f>
        <v>15.407561288530273</v>
      </c>
      <c r="AE45" s="525">
        <f>RAW_DATA_INPUTS!AE64</f>
        <v>5</v>
      </c>
      <c r="AF45" s="525">
        <f>RAW_DATA_INPUTS!AF64</f>
        <v>5.3</v>
      </c>
      <c r="AG45" s="525">
        <f>RAW_DATA_INPUTS!AG64</f>
        <v>19.472259926875076</v>
      </c>
      <c r="AH45" s="525">
        <f>RAW_DATA_INPUTS!AH64</f>
        <v>42.075234951720887</v>
      </c>
      <c r="AI45" s="525">
        <f>RAW_DATA_INPUTS!AI64</f>
        <v>7.6275643553722601</v>
      </c>
      <c r="AJ45" s="525">
        <f>RAW_DATA_INPUTS!AJ64</f>
        <v>8.0437990919530424</v>
      </c>
      <c r="AK45" s="525">
        <f>RAW_DATA_INPUTS!AK64</f>
        <v>5.6825379441702903</v>
      </c>
      <c r="AL45" s="525">
        <f>RAW_DATA_INPUTS!AL64</f>
        <v>0</v>
      </c>
      <c r="AM45" s="525">
        <f>RAW_DATA_INPUTS!AM64</f>
        <v>5.6645097238631301</v>
      </c>
      <c r="AN45" s="525">
        <f>RAW_DATA_INPUTS!AN64</f>
        <v>5.2499976177810703</v>
      </c>
      <c r="AO45" s="525">
        <f>RAW_DATA_INPUTS!AO64</f>
        <v>103.03662735252701</v>
      </c>
      <c r="AP45" s="525">
        <f>RAW_DATA_INPUTS!AP64</f>
        <v>159.20324190967841</v>
      </c>
      <c r="AQ45" s="525">
        <f>RAW_DATA_INPUTS!AQ64</f>
        <v>22.123999999999999</v>
      </c>
      <c r="AR45" s="525">
        <f>RAW_DATA_INPUTS!AR64</f>
        <v>114.467</v>
      </c>
    </row>
    <row r="46" spans="1:44" s="501" customFormat="1">
      <c r="B46" s="503" t="str">
        <f>RAW_DATA_INPUTS!B65</f>
        <v>65 plus</v>
      </c>
      <c r="C46" s="525">
        <f>RAW_DATA_INPUTS!C65</f>
        <v>5.8037480614504604</v>
      </c>
      <c r="D46" s="525">
        <f>RAW_DATA_INPUTS!D65</f>
        <v>5.6210402931352199</v>
      </c>
      <c r="E46" s="525">
        <f>RAW_DATA_INPUTS!E65</f>
        <v>0</v>
      </c>
      <c r="F46" s="525">
        <f>RAW_DATA_INPUTS!F65</f>
        <v>0</v>
      </c>
      <c r="G46" s="525">
        <f>RAW_DATA_INPUTS!G65</f>
        <v>0</v>
      </c>
      <c r="H46" s="525">
        <f>RAW_DATA_INPUTS!H65</f>
        <v>5.5729869858205898</v>
      </c>
      <c r="I46" s="525">
        <f>RAW_DATA_INPUTS!I65</f>
        <v>5.8301974607229283</v>
      </c>
      <c r="J46" s="525">
        <f>RAW_DATA_INPUTS!J65</f>
        <v>0</v>
      </c>
      <c r="K46" s="525">
        <f>RAW_DATA_INPUTS!K65</f>
        <v>0</v>
      </c>
      <c r="L46" s="525">
        <f>RAW_DATA_INPUTS!L65</f>
        <v>0</v>
      </c>
      <c r="M46" s="525">
        <f>RAW_DATA_INPUTS!M65</f>
        <v>0</v>
      </c>
      <c r="N46" s="525">
        <f>RAW_DATA_INPUTS!N65</f>
        <v>5.6615002750184003</v>
      </c>
      <c r="O46" s="525">
        <f>RAW_DATA_INPUTS!O65</f>
        <v>7.3494086496306403</v>
      </c>
      <c r="P46" s="525">
        <f>RAW_DATA_INPUTS!P65</f>
        <v>0</v>
      </c>
      <c r="Q46" s="525">
        <f>RAW_DATA_INPUTS!Q65</f>
        <v>0</v>
      </c>
      <c r="R46" s="525">
        <f>RAW_DATA_INPUTS!R65</f>
        <v>0</v>
      </c>
      <c r="S46" s="525">
        <f>RAW_DATA_INPUTS!S65</f>
        <v>5.1187487441778199</v>
      </c>
      <c r="T46" s="525">
        <f>RAW_DATA_INPUTS!T65</f>
        <v>16.339043281005456</v>
      </c>
      <c r="U46" s="525">
        <f>RAW_DATA_INPUTS!U65</f>
        <v>0</v>
      </c>
      <c r="V46" s="525">
        <f>RAW_DATA_INPUTS!V65</f>
        <v>5</v>
      </c>
      <c r="W46" s="525">
        <f>RAW_DATA_INPUTS!W65</f>
        <v>0</v>
      </c>
      <c r="X46" s="525">
        <f>RAW_DATA_INPUTS!X65</f>
        <v>0</v>
      </c>
      <c r="Y46" s="525">
        <f>RAW_DATA_INPUTS!Y65</f>
        <v>0</v>
      </c>
      <c r="Z46" s="525">
        <f>RAW_DATA_INPUTS!Z65</f>
        <v>0</v>
      </c>
      <c r="AA46" s="525">
        <f>RAW_DATA_INPUTS!AA65</f>
        <v>16.673048108533216</v>
      </c>
      <c r="AB46" s="525">
        <f>RAW_DATA_INPUTS!AB65</f>
        <v>5.8089263480236548</v>
      </c>
      <c r="AC46" s="525">
        <f>RAW_DATA_INPUTS!AC65</f>
        <v>0</v>
      </c>
      <c r="AD46" s="525">
        <f>RAW_DATA_INPUTS!AD65</f>
        <v>5.3223401033583215</v>
      </c>
      <c r="AE46" s="525">
        <f>RAW_DATA_INPUTS!AE65</f>
        <v>0</v>
      </c>
      <c r="AF46" s="525">
        <f>RAW_DATA_INPUTS!AF65</f>
        <v>0</v>
      </c>
      <c r="AG46" s="525">
        <f>RAW_DATA_INPUTS!AG65</f>
        <v>15.578818175478109</v>
      </c>
      <c r="AH46" s="525">
        <f>RAW_DATA_INPUTS!AH65</f>
        <v>15.692974614997533</v>
      </c>
      <c r="AI46" s="525">
        <f>RAW_DATA_INPUTS!AI65</f>
        <v>0</v>
      </c>
      <c r="AJ46" s="525">
        <f>RAW_DATA_INPUTS!AJ65</f>
        <v>0</v>
      </c>
      <c r="AK46" s="525">
        <f>RAW_DATA_INPUTS!AK65</f>
        <v>6.6290875073941171</v>
      </c>
      <c r="AL46" s="525">
        <f>RAW_DATA_INPUTS!AL65</f>
        <v>0</v>
      </c>
      <c r="AM46" s="525">
        <f>RAW_DATA_INPUTS!AM65</f>
        <v>6.0976458453471896</v>
      </c>
      <c r="AN46" s="525">
        <f>RAW_DATA_INPUTS!AN65</f>
        <v>5.2450034960210496</v>
      </c>
      <c r="AO46" s="525">
        <f>RAW_DATA_INPUTS!AO65</f>
        <v>69.080702552734479</v>
      </c>
      <c r="AP46" s="525">
        <f>RAW_DATA_INPUTS!AP65</f>
        <v>70.263815397380228</v>
      </c>
      <c r="AQ46" s="525">
        <f>RAW_DATA_INPUTS!AQ65</f>
        <v>42.121000000000002</v>
      </c>
      <c r="AR46" s="525">
        <f>RAW_DATA_INPUTS!AR65</f>
        <v>150.703</v>
      </c>
    </row>
    <row r="47" spans="1:44" s="501" customFormat="1">
      <c r="B47" s="503" t="str">
        <f>RAW_DATA_INPUTS!B66</f>
        <v>Total</v>
      </c>
      <c r="C47" s="525">
        <f>RAW_DATA_INPUTS!C66</f>
        <v>130.70162052770081</v>
      </c>
      <c r="D47" s="525">
        <f>RAW_DATA_INPUTS!D66</f>
        <v>395.33494926954711</v>
      </c>
      <c r="E47" s="525">
        <f>RAW_DATA_INPUTS!E66</f>
        <v>157.29874889431503</v>
      </c>
      <c r="F47" s="525">
        <f>RAW_DATA_INPUTS!F66</f>
        <v>417.18884314816438</v>
      </c>
      <c r="G47" s="525">
        <f>RAW_DATA_INPUTS!G66</f>
        <v>151.6498865939617</v>
      </c>
      <c r="H47" s="525">
        <f>RAW_DATA_INPUTS!H66</f>
        <v>262.50530745313398</v>
      </c>
      <c r="I47" s="525">
        <f>RAW_DATA_INPUTS!I66</f>
        <v>197.89724125205274</v>
      </c>
      <c r="J47" s="525">
        <f>RAW_DATA_INPUTS!J66</f>
        <v>322.20145684903264</v>
      </c>
      <c r="K47" s="525">
        <f>RAW_DATA_INPUTS!K66</f>
        <v>5</v>
      </c>
      <c r="L47" s="525">
        <f>RAW_DATA_INPUTS!L66</f>
        <v>22</v>
      </c>
      <c r="M47" s="525">
        <f>RAW_DATA_INPUTS!M66</f>
        <v>211.14716603442923</v>
      </c>
      <c r="N47" s="525">
        <f>RAW_DATA_INPUTS!N66</f>
        <v>214.77852531071264</v>
      </c>
      <c r="O47" s="525">
        <f>RAW_DATA_INPUTS!O66</f>
        <v>395.17959474014896</v>
      </c>
      <c r="P47" s="525">
        <f>RAW_DATA_INPUTS!P66</f>
        <v>392.38907421990751</v>
      </c>
      <c r="Q47" s="525">
        <f>RAW_DATA_INPUTS!Q66</f>
        <v>111.33310712934346</v>
      </c>
      <c r="R47" s="525">
        <f>RAW_DATA_INPUTS!R66</f>
        <v>334.55418705695564</v>
      </c>
      <c r="S47" s="525">
        <f>RAW_DATA_INPUTS!S66</f>
        <v>586.7501915647216</v>
      </c>
      <c r="T47" s="525">
        <f>RAW_DATA_INPUTS!T66</f>
        <v>1962.2644842579662</v>
      </c>
      <c r="U47" s="525">
        <f>RAW_DATA_INPUTS!U66</f>
        <v>53.699073145439939</v>
      </c>
      <c r="V47" s="525">
        <f>RAW_DATA_INPUTS!V66</f>
        <v>161.59845845733528</v>
      </c>
      <c r="W47" s="525">
        <f>RAW_DATA_INPUTS!W66</f>
        <v>198.39575867745108</v>
      </c>
      <c r="X47" s="525">
        <f>RAW_DATA_INPUTS!X66</f>
        <v>303.74928166952895</v>
      </c>
      <c r="Y47" s="525">
        <f>RAW_DATA_INPUTS!Y66</f>
        <v>260.36360148977832</v>
      </c>
      <c r="Z47" s="525">
        <f>RAW_DATA_INPUTS!Z66</f>
        <v>304.6771877690432</v>
      </c>
      <c r="AA47" s="525">
        <f>RAW_DATA_INPUTS!AA66</f>
        <v>809.20013432030976</v>
      </c>
      <c r="AB47" s="525">
        <f>RAW_DATA_INPUTS!AB66</f>
        <v>1139.1043661612086</v>
      </c>
      <c r="AC47" s="525">
        <f>RAW_DATA_INPUTS!AC66</f>
        <v>115.46059581181696</v>
      </c>
      <c r="AD47" s="525">
        <f>RAW_DATA_INPUTS!AD66</f>
        <v>552.50218351564376</v>
      </c>
      <c r="AE47" s="525">
        <f>RAW_DATA_INPUTS!AE66</f>
        <v>176.11806059283373</v>
      </c>
      <c r="AF47" s="525">
        <f>RAW_DATA_INPUTS!AF66</f>
        <v>121.34348354059894</v>
      </c>
      <c r="AG47" s="525">
        <f>RAW_DATA_INPUTS!AG66</f>
        <v>616.63166669082455</v>
      </c>
      <c r="AH47" s="525">
        <f>RAW_DATA_INPUTS!AH66</f>
        <v>1764.2251382660477</v>
      </c>
      <c r="AI47" s="525">
        <f>RAW_DATA_INPUTS!AI66</f>
        <v>420.06767989308008</v>
      </c>
      <c r="AJ47" s="525">
        <f>RAW_DATA_INPUTS!AJ66</f>
        <v>305.53874344592776</v>
      </c>
      <c r="AK47" s="525">
        <f>RAW_DATA_INPUTS!AK66</f>
        <v>261.92717439406374</v>
      </c>
      <c r="AL47" s="525">
        <f>RAW_DATA_INPUTS!AL66</f>
        <v>121.73388066148524</v>
      </c>
      <c r="AM47" s="525">
        <f>RAW_DATA_INPUTS!AM66</f>
        <v>147.53834268335547</v>
      </c>
      <c r="AN47" s="525">
        <f>RAW_DATA_INPUTS!AN66</f>
        <v>279.94349760948387</v>
      </c>
      <c r="AO47" s="525">
        <f>RAW_DATA_INPUTS!AO66</f>
        <v>5006.3596444356281</v>
      </c>
      <c r="AP47" s="525">
        <f>RAW_DATA_INPUTS!AP66</f>
        <v>9377.6330486617207</v>
      </c>
      <c r="AQ47" s="525">
        <f>RAW_DATA_INPUTS!AQ66</f>
        <v>1774.5240000000001</v>
      </c>
      <c r="AR47" s="525">
        <f>RAW_DATA_INPUTS!AR66</f>
        <v>6215.13</v>
      </c>
    </row>
    <row r="48" spans="1:44">
      <c r="A48" s="4">
        <f>SUM(C48:AR48)</f>
        <v>0</v>
      </c>
      <c r="C48" s="4">
        <f t="shared" ref="C48:AR48" si="1">SUM(C37:C46)-C47</f>
        <v>0</v>
      </c>
      <c r="D48" s="4">
        <f t="shared" si="1"/>
        <v>0</v>
      </c>
      <c r="E48" s="4">
        <f t="shared" si="1"/>
        <v>0</v>
      </c>
      <c r="F48" s="4">
        <f t="shared" si="1"/>
        <v>0</v>
      </c>
      <c r="G48" s="4">
        <f t="shared" si="1"/>
        <v>0</v>
      </c>
      <c r="H48" s="4">
        <f t="shared" si="1"/>
        <v>0</v>
      </c>
      <c r="I48" s="4">
        <f t="shared" si="1"/>
        <v>0</v>
      </c>
      <c r="J48" s="4">
        <f t="shared" si="1"/>
        <v>0</v>
      </c>
      <c r="K48" s="4">
        <f t="shared" si="1"/>
        <v>0</v>
      </c>
      <c r="L48" s="4">
        <f t="shared" si="1"/>
        <v>0</v>
      </c>
      <c r="M48" s="4">
        <f t="shared" si="1"/>
        <v>0</v>
      </c>
      <c r="N48" s="4">
        <f t="shared" si="1"/>
        <v>0</v>
      </c>
      <c r="O48" s="4">
        <f t="shared" si="1"/>
        <v>0</v>
      </c>
      <c r="P48" s="4">
        <f t="shared" si="1"/>
        <v>0</v>
      </c>
      <c r="Q48" s="4">
        <f t="shared" si="1"/>
        <v>0</v>
      </c>
      <c r="R48" s="4">
        <f t="shared" si="1"/>
        <v>0</v>
      </c>
      <c r="S48" s="4">
        <f t="shared" si="1"/>
        <v>0</v>
      </c>
      <c r="T48" s="4">
        <f t="shared" si="1"/>
        <v>0</v>
      </c>
      <c r="U48" s="4">
        <f t="shared" si="1"/>
        <v>0</v>
      </c>
      <c r="V48" s="4">
        <f t="shared" si="1"/>
        <v>0</v>
      </c>
      <c r="W48" s="4">
        <f t="shared" si="1"/>
        <v>0</v>
      </c>
      <c r="X48" s="4">
        <f t="shared" si="1"/>
        <v>0</v>
      </c>
      <c r="Y48" s="4">
        <f t="shared" si="1"/>
        <v>0</v>
      </c>
      <c r="Z48" s="4">
        <f t="shared" si="1"/>
        <v>0</v>
      </c>
      <c r="AA48" s="4">
        <f t="shared" si="1"/>
        <v>0</v>
      </c>
      <c r="AB48" s="4">
        <f t="shared" si="1"/>
        <v>0</v>
      </c>
      <c r="AC48" s="4">
        <f t="shared" si="1"/>
        <v>0</v>
      </c>
      <c r="AD48" s="4">
        <f t="shared" si="1"/>
        <v>0</v>
      </c>
      <c r="AE48" s="4">
        <f t="shared" si="1"/>
        <v>0</v>
      </c>
      <c r="AF48" s="4">
        <f t="shared" si="1"/>
        <v>0</v>
      </c>
      <c r="AG48" s="4">
        <f t="shared" si="1"/>
        <v>0</v>
      </c>
      <c r="AH48" s="4">
        <f t="shared" si="1"/>
        <v>0</v>
      </c>
      <c r="AI48" s="4">
        <f t="shared" si="1"/>
        <v>0</v>
      </c>
      <c r="AJ48" s="4">
        <f t="shared" si="1"/>
        <v>0</v>
      </c>
      <c r="AK48" s="4">
        <f t="shared" si="1"/>
        <v>0</v>
      </c>
      <c r="AL48" s="4">
        <f t="shared" si="1"/>
        <v>0</v>
      </c>
      <c r="AM48" s="4">
        <f t="shared" si="1"/>
        <v>0</v>
      </c>
      <c r="AN48" s="4">
        <f t="shared" si="1"/>
        <v>0</v>
      </c>
      <c r="AO48" s="4">
        <f t="shared" si="1"/>
        <v>0</v>
      </c>
      <c r="AP48" s="4">
        <f t="shared" si="1"/>
        <v>0</v>
      </c>
      <c r="AQ48" s="944">
        <f>SUM(AQ37:AQ46)-AQ47</f>
        <v>0</v>
      </c>
      <c r="AR48" s="4">
        <f t="shared" si="1"/>
        <v>0</v>
      </c>
    </row>
    <row r="50" spans="2:44">
      <c r="B50" s="134" t="s">
        <v>71</v>
      </c>
    </row>
    <row r="52" spans="2:44" s="505" customFormat="1" ht="39" customHeight="1">
      <c r="B52" s="1219" t="str">
        <f>B35</f>
        <v>Age group</v>
      </c>
      <c r="C52" s="1217" t="str">
        <f>C35</f>
        <v>Art &amp; Design</v>
      </c>
      <c r="D52" s="1217"/>
      <c r="E52" s="1217" t="str">
        <f>E35</f>
        <v>Biology</v>
      </c>
      <c r="F52" s="1217"/>
      <c r="G52" s="1217" t="str">
        <f>G35</f>
        <v>Business Studies</v>
      </c>
      <c r="H52" s="1217"/>
      <c r="I52" s="1217" t="str">
        <f>I35</f>
        <v>Chemistry</v>
      </c>
      <c r="J52" s="1217"/>
      <c r="K52" s="1217" t="str">
        <f>K35</f>
        <v>Classics</v>
      </c>
      <c r="L52" s="1217"/>
      <c r="M52" s="1217" t="str">
        <f>M35</f>
        <v>Computing</v>
      </c>
      <c r="N52" s="1217"/>
      <c r="O52" s="1217" t="str">
        <f>O35</f>
        <v>Design &amp; Technology</v>
      </c>
      <c r="P52" s="1217"/>
      <c r="Q52" s="1217" t="str">
        <f>Q35</f>
        <v>Drama</v>
      </c>
      <c r="R52" s="1217"/>
      <c r="S52" s="1217" t="str">
        <f>S35</f>
        <v>English</v>
      </c>
      <c r="T52" s="1217"/>
      <c r="U52" s="1217" t="str">
        <f>U35</f>
        <v>Food</v>
      </c>
      <c r="V52" s="1217"/>
      <c r="W52" s="1217" t="str">
        <f>W35</f>
        <v>Geography</v>
      </c>
      <c r="X52" s="1217"/>
      <c r="Y52" s="1217" t="str">
        <f>Y35</f>
        <v>History</v>
      </c>
      <c r="Z52" s="1217"/>
      <c r="AA52" s="1217" t="str">
        <f>AA35</f>
        <v>Mathematics</v>
      </c>
      <c r="AB52" s="1217"/>
      <c r="AC52" s="1217" t="str">
        <f>AC35</f>
        <v>Modern Foreign Languages</v>
      </c>
      <c r="AD52" s="1217"/>
      <c r="AE52" s="1217" t="str">
        <f>AE35</f>
        <v>Music</v>
      </c>
      <c r="AF52" s="1217"/>
      <c r="AG52" s="1217" t="str">
        <f>AG35</f>
        <v>Others</v>
      </c>
      <c r="AH52" s="1217"/>
      <c r="AI52" s="1217" t="str">
        <f>AI35</f>
        <v>Physical Education</v>
      </c>
      <c r="AJ52" s="1217"/>
      <c r="AK52" s="1217" t="str">
        <f>AK35</f>
        <v>Physics</v>
      </c>
      <c r="AL52" s="1217"/>
      <c r="AM52" s="1217" t="str">
        <f>AM35</f>
        <v>Religious Education</v>
      </c>
      <c r="AN52" s="1217"/>
      <c r="AO52" s="1217" t="str">
        <f>AO35</f>
        <v>Secondary total</v>
      </c>
      <c r="AP52" s="1217"/>
      <c r="AQ52" s="1217" t="str">
        <f>AQ35</f>
        <v>Primary</v>
      </c>
      <c r="AR52" s="1217"/>
    </row>
    <row r="53" spans="2:44" s="501" customFormat="1">
      <c r="B53" s="1220"/>
      <c r="C53" s="503" t="str">
        <f>C36</f>
        <v>Male</v>
      </c>
      <c r="D53" s="503" t="str">
        <f t="shared" ref="D53:AR53" si="2">D36</f>
        <v>Female</v>
      </c>
      <c r="E53" s="503" t="str">
        <f t="shared" si="2"/>
        <v>Male</v>
      </c>
      <c r="F53" s="503" t="str">
        <f t="shared" si="2"/>
        <v>Female</v>
      </c>
      <c r="G53" s="503" t="str">
        <f t="shared" si="2"/>
        <v>Male</v>
      </c>
      <c r="H53" s="503" t="str">
        <f t="shared" si="2"/>
        <v>Female</v>
      </c>
      <c r="I53" s="503" t="str">
        <f t="shared" si="2"/>
        <v>Male</v>
      </c>
      <c r="J53" s="503" t="str">
        <f t="shared" si="2"/>
        <v>Female</v>
      </c>
      <c r="K53" s="503" t="str">
        <f t="shared" si="2"/>
        <v>Male</v>
      </c>
      <c r="L53" s="503" t="str">
        <f t="shared" si="2"/>
        <v>Female</v>
      </c>
      <c r="M53" s="503" t="str">
        <f t="shared" si="2"/>
        <v>Male</v>
      </c>
      <c r="N53" s="503" t="str">
        <f t="shared" si="2"/>
        <v>Female</v>
      </c>
      <c r="O53" s="503" t="str">
        <f t="shared" si="2"/>
        <v>Male</v>
      </c>
      <c r="P53" s="503" t="str">
        <f t="shared" si="2"/>
        <v>Female</v>
      </c>
      <c r="Q53" s="503" t="str">
        <f t="shared" si="2"/>
        <v>Male</v>
      </c>
      <c r="R53" s="503" t="str">
        <f t="shared" si="2"/>
        <v>Female</v>
      </c>
      <c r="S53" s="503" t="str">
        <f t="shared" si="2"/>
        <v>Male</v>
      </c>
      <c r="T53" s="503" t="str">
        <f t="shared" si="2"/>
        <v>Female</v>
      </c>
      <c r="U53" s="503" t="str">
        <f t="shared" si="2"/>
        <v>Male</v>
      </c>
      <c r="V53" s="503" t="str">
        <f t="shared" si="2"/>
        <v>Female</v>
      </c>
      <c r="W53" s="503" t="str">
        <f t="shared" si="2"/>
        <v>Male</v>
      </c>
      <c r="X53" s="503" t="str">
        <f t="shared" si="2"/>
        <v>Female</v>
      </c>
      <c r="Y53" s="503" t="str">
        <f t="shared" si="2"/>
        <v>Male</v>
      </c>
      <c r="Z53" s="503" t="str">
        <f t="shared" si="2"/>
        <v>Female</v>
      </c>
      <c r="AA53" s="503" t="str">
        <f t="shared" si="2"/>
        <v>Male</v>
      </c>
      <c r="AB53" s="503" t="str">
        <f t="shared" si="2"/>
        <v>Female</v>
      </c>
      <c r="AC53" s="503" t="str">
        <f t="shared" si="2"/>
        <v>Male</v>
      </c>
      <c r="AD53" s="503" t="str">
        <f t="shared" si="2"/>
        <v>Female</v>
      </c>
      <c r="AE53" s="503" t="str">
        <f t="shared" si="2"/>
        <v>Male</v>
      </c>
      <c r="AF53" s="503" t="str">
        <f t="shared" si="2"/>
        <v>Female</v>
      </c>
      <c r="AG53" s="503" t="str">
        <f t="shared" si="2"/>
        <v>Male</v>
      </c>
      <c r="AH53" s="503" t="str">
        <f t="shared" si="2"/>
        <v>Female</v>
      </c>
      <c r="AI53" s="503" t="str">
        <f t="shared" si="2"/>
        <v>Male</v>
      </c>
      <c r="AJ53" s="503" t="str">
        <f t="shared" si="2"/>
        <v>Female</v>
      </c>
      <c r="AK53" s="503" t="str">
        <f t="shared" si="2"/>
        <v>Male</v>
      </c>
      <c r="AL53" s="503" t="str">
        <f t="shared" si="2"/>
        <v>Female</v>
      </c>
      <c r="AM53" s="503" t="str">
        <f t="shared" si="2"/>
        <v>Male</v>
      </c>
      <c r="AN53" s="503" t="str">
        <f t="shared" si="2"/>
        <v>Female</v>
      </c>
      <c r="AO53" s="503" t="str">
        <f t="shared" si="2"/>
        <v>Male</v>
      </c>
      <c r="AP53" s="503" t="str">
        <f t="shared" si="2"/>
        <v>Female</v>
      </c>
      <c r="AQ53" s="503" t="str">
        <f t="shared" si="2"/>
        <v>Male</v>
      </c>
      <c r="AR53" s="503" t="str">
        <f t="shared" si="2"/>
        <v>Female</v>
      </c>
    </row>
    <row r="54" spans="2:44" s="501" customFormat="1">
      <c r="B54" s="503" t="str">
        <f t="shared" ref="B54:B64" si="3">B37</f>
        <v>20-24</v>
      </c>
      <c r="C54" s="522">
        <f t="shared" ref="C54:D64" si="4">C37+C20</f>
        <v>25.518892012894408</v>
      </c>
      <c r="D54" s="522">
        <f t="shared" si="4"/>
        <v>147.78150869643139</v>
      </c>
      <c r="E54" s="522">
        <f t="shared" ref="E54:AR54" si="5">E37+E20</f>
        <v>220.9933697603293</v>
      </c>
      <c r="F54" s="522">
        <f t="shared" si="5"/>
        <v>546.19616308102104</v>
      </c>
      <c r="G54" s="522">
        <f t="shared" si="5"/>
        <v>56.710659398713318</v>
      </c>
      <c r="H54" s="522">
        <f t="shared" si="5"/>
        <v>96.49361745975996</v>
      </c>
      <c r="I54" s="522">
        <f t="shared" si="5"/>
        <v>220.14657979792912</v>
      </c>
      <c r="J54" s="522">
        <f t="shared" si="5"/>
        <v>487.65914855025107</v>
      </c>
      <c r="K54" s="522">
        <f t="shared" si="5"/>
        <v>5.7033033199250696</v>
      </c>
      <c r="L54" s="522">
        <f t="shared" si="5"/>
        <v>5.9424309566605302</v>
      </c>
      <c r="M54" s="522">
        <f t="shared" si="5"/>
        <v>138.96922938568659</v>
      </c>
      <c r="N54" s="522">
        <f t="shared" si="5"/>
        <v>134.75210949249833</v>
      </c>
      <c r="O54" s="522">
        <f t="shared" si="5"/>
        <v>104.19685916906542</v>
      </c>
      <c r="P54" s="522">
        <f t="shared" si="5"/>
        <v>204.97773962082329</v>
      </c>
      <c r="Q54" s="522">
        <f t="shared" si="5"/>
        <v>45.45084344738251</v>
      </c>
      <c r="R54" s="522">
        <f t="shared" si="5"/>
        <v>182.17827157633525</v>
      </c>
      <c r="S54" s="522">
        <f t="shared" si="5"/>
        <v>386.60551351192299</v>
      </c>
      <c r="T54" s="522">
        <f t="shared" si="5"/>
        <v>1838.5968159777526</v>
      </c>
      <c r="U54" s="522">
        <f t="shared" si="5"/>
        <v>11.259242891172999</v>
      </c>
      <c r="V54" s="522">
        <f t="shared" si="5"/>
        <v>46.63919362348706</v>
      </c>
      <c r="W54" s="522">
        <f t="shared" si="5"/>
        <v>245.45041783471399</v>
      </c>
      <c r="X54" s="522">
        <f t="shared" si="5"/>
        <v>572.17526009283893</v>
      </c>
      <c r="Y54" s="522">
        <f t="shared" si="5"/>
        <v>270.01951275612578</v>
      </c>
      <c r="Z54" s="522">
        <f t="shared" si="5"/>
        <v>561.38647681879718</v>
      </c>
      <c r="AA54" s="522">
        <f t="shared" si="5"/>
        <v>952.52197174849698</v>
      </c>
      <c r="AB54" s="522">
        <f t="shared" si="5"/>
        <v>1620.9523576040517</v>
      </c>
      <c r="AC54" s="522">
        <f t="shared" si="5"/>
        <v>83.847051004339704</v>
      </c>
      <c r="AD54" s="522">
        <f t="shared" si="5"/>
        <v>415.37987431351354</v>
      </c>
      <c r="AE54" s="522">
        <f t="shared" si="5"/>
        <v>123.31472884115389</v>
      </c>
      <c r="AF54" s="522">
        <f t="shared" si="5"/>
        <v>166.39493007048293</v>
      </c>
      <c r="AG54" s="522">
        <f t="shared" si="5"/>
        <v>175.46652941317797</v>
      </c>
      <c r="AH54" s="522">
        <f t="shared" si="5"/>
        <v>542.02891811391441</v>
      </c>
      <c r="AI54" s="522">
        <f t="shared" si="5"/>
        <v>424.32834810742122</v>
      </c>
      <c r="AJ54" s="522">
        <f t="shared" si="5"/>
        <v>707.05971078642801</v>
      </c>
      <c r="AK54" s="522">
        <f t="shared" si="5"/>
        <v>304.54643787726963</v>
      </c>
      <c r="AL54" s="522">
        <f t="shared" si="5"/>
        <v>256.8933325050881</v>
      </c>
      <c r="AM54" s="522">
        <f t="shared" si="5"/>
        <v>112.347763113517</v>
      </c>
      <c r="AN54" s="522">
        <f t="shared" si="5"/>
        <v>358.4311151900331</v>
      </c>
      <c r="AO54" s="522">
        <f t="shared" si="5"/>
        <v>3907.3972533912379</v>
      </c>
      <c r="AP54" s="522">
        <f t="shared" si="5"/>
        <v>8891.9189745301683</v>
      </c>
      <c r="AQ54" s="522">
        <f t="shared" si="5"/>
        <v>2494.4780000000001</v>
      </c>
      <c r="AR54" s="522">
        <f t="shared" si="5"/>
        <v>16895.407999999999</v>
      </c>
    </row>
    <row r="55" spans="2:44" s="501" customFormat="1">
      <c r="B55" s="503" t="str">
        <f t="shared" si="3"/>
        <v>25-29</v>
      </c>
      <c r="C55" s="522">
        <f t="shared" si="4"/>
        <v>160.16917480827544</v>
      </c>
      <c r="D55" s="522">
        <f t="shared" si="4"/>
        <v>909.64346244537614</v>
      </c>
      <c r="E55" s="522">
        <f t="shared" ref="E55:AR55" si="6">E38+E21</f>
        <v>582.18693085505129</v>
      </c>
      <c r="F55" s="522">
        <f t="shared" si="6"/>
        <v>1678.7521430306965</v>
      </c>
      <c r="G55" s="522">
        <f t="shared" si="6"/>
        <v>227.00018392895805</v>
      </c>
      <c r="H55" s="522">
        <f t="shared" si="6"/>
        <v>345.98379145213528</v>
      </c>
      <c r="I55" s="522">
        <f t="shared" si="6"/>
        <v>770.34340177806371</v>
      </c>
      <c r="J55" s="522">
        <f t="shared" si="6"/>
        <v>1305.7526957130308</v>
      </c>
      <c r="K55" s="522">
        <f t="shared" si="6"/>
        <v>18.479143475464983</v>
      </c>
      <c r="L55" s="522">
        <f t="shared" si="6"/>
        <v>45.932770191791001</v>
      </c>
      <c r="M55" s="522">
        <f t="shared" si="6"/>
        <v>561.52004908818958</v>
      </c>
      <c r="N55" s="522">
        <f t="shared" si="6"/>
        <v>414.93643675541313</v>
      </c>
      <c r="O55" s="522">
        <f t="shared" si="6"/>
        <v>398.03708645943203</v>
      </c>
      <c r="P55" s="522">
        <f t="shared" si="6"/>
        <v>902.98639987581555</v>
      </c>
      <c r="Q55" s="522">
        <f t="shared" si="6"/>
        <v>176.05661172601623</v>
      </c>
      <c r="R55" s="522">
        <f t="shared" si="6"/>
        <v>829.98059676521962</v>
      </c>
      <c r="S55" s="522">
        <f t="shared" si="6"/>
        <v>1226.8512108996365</v>
      </c>
      <c r="T55" s="522">
        <f t="shared" si="6"/>
        <v>5111.6724462042939</v>
      </c>
      <c r="U55" s="522">
        <f t="shared" si="6"/>
        <v>16.124080579926002</v>
      </c>
      <c r="V55" s="522">
        <f t="shared" si="6"/>
        <v>233.47200501151372</v>
      </c>
      <c r="W55" s="522">
        <f t="shared" si="6"/>
        <v>700.804479759797</v>
      </c>
      <c r="X55" s="522">
        <f t="shared" si="6"/>
        <v>1345.7892215233662</v>
      </c>
      <c r="Y55" s="522">
        <f t="shared" si="6"/>
        <v>913.79605477551297</v>
      </c>
      <c r="Z55" s="522">
        <f t="shared" si="6"/>
        <v>1351.3130273039726</v>
      </c>
      <c r="AA55" s="522">
        <f t="shared" si="6"/>
        <v>2351.5585481394164</v>
      </c>
      <c r="AB55" s="522">
        <f t="shared" si="6"/>
        <v>3098.3909462950051</v>
      </c>
      <c r="AC55" s="522">
        <f t="shared" si="6"/>
        <v>419.09563957960177</v>
      </c>
      <c r="AD55" s="522">
        <f t="shared" si="6"/>
        <v>1797.0591656947022</v>
      </c>
      <c r="AE55" s="522">
        <f t="shared" si="6"/>
        <v>453.40883030832862</v>
      </c>
      <c r="AF55" s="522">
        <f t="shared" si="6"/>
        <v>604.56807945624405</v>
      </c>
      <c r="AG55" s="522">
        <f t="shared" si="6"/>
        <v>711.41484921322149</v>
      </c>
      <c r="AH55" s="522">
        <f t="shared" si="6"/>
        <v>1963.8483825623093</v>
      </c>
      <c r="AI55" s="522">
        <f t="shared" si="6"/>
        <v>1855.2003671198024</v>
      </c>
      <c r="AJ55" s="522">
        <f t="shared" si="6"/>
        <v>1975.5363193756957</v>
      </c>
      <c r="AK55" s="522">
        <f t="shared" si="6"/>
        <v>1055.0781145617786</v>
      </c>
      <c r="AL55" s="522">
        <f t="shared" si="6"/>
        <v>597.17586288990185</v>
      </c>
      <c r="AM55" s="522">
        <f t="shared" si="6"/>
        <v>327.16092120181401</v>
      </c>
      <c r="AN55" s="522">
        <f t="shared" si="6"/>
        <v>1097.8987383046751</v>
      </c>
      <c r="AO55" s="522">
        <f t="shared" si="6"/>
        <v>12924.285678258286</v>
      </c>
      <c r="AP55" s="522">
        <f t="shared" si="6"/>
        <v>25610.692490851161</v>
      </c>
      <c r="AQ55" s="522">
        <f t="shared" si="6"/>
        <v>6957.0289999999995</v>
      </c>
      <c r="AR55" s="522">
        <f t="shared" si="6"/>
        <v>37642.712</v>
      </c>
    </row>
    <row r="56" spans="2:44" s="501" customFormat="1">
      <c r="B56" s="503" t="str">
        <f t="shared" si="3"/>
        <v>30-34</v>
      </c>
      <c r="C56" s="522">
        <f t="shared" si="4"/>
        <v>317.57698443163554</v>
      </c>
      <c r="D56" s="522">
        <f t="shared" si="4"/>
        <v>1266.2993109597326</v>
      </c>
      <c r="E56" s="522">
        <f t="shared" ref="E56:AR56" si="7">E39+E22</f>
        <v>704.41168994485588</v>
      </c>
      <c r="F56" s="522">
        <f t="shared" si="7"/>
        <v>1722.5759256215592</v>
      </c>
      <c r="G56" s="522">
        <f t="shared" si="7"/>
        <v>369.86360108711392</v>
      </c>
      <c r="H56" s="522">
        <f t="shared" si="7"/>
        <v>496.39137001028985</v>
      </c>
      <c r="I56" s="522">
        <f t="shared" si="7"/>
        <v>661.37169291566227</v>
      </c>
      <c r="J56" s="522">
        <f t="shared" si="7"/>
        <v>1120.0165539829591</v>
      </c>
      <c r="K56" s="522">
        <f t="shared" si="7"/>
        <v>17.317248173197143</v>
      </c>
      <c r="L56" s="522">
        <f t="shared" si="7"/>
        <v>32.861604376554567</v>
      </c>
      <c r="M56" s="522">
        <f t="shared" si="7"/>
        <v>998.99406075938896</v>
      </c>
      <c r="N56" s="522">
        <f t="shared" si="7"/>
        <v>588.83196693775119</v>
      </c>
      <c r="O56" s="522">
        <f t="shared" si="7"/>
        <v>687.58957486173949</v>
      </c>
      <c r="P56" s="522">
        <f t="shared" si="7"/>
        <v>1075.7300315067157</v>
      </c>
      <c r="Q56" s="522">
        <f t="shared" si="7"/>
        <v>244.19378327761029</v>
      </c>
      <c r="R56" s="522">
        <f t="shared" si="7"/>
        <v>1065.2399843909725</v>
      </c>
      <c r="S56" s="522">
        <f t="shared" si="7"/>
        <v>1215.8583065885275</v>
      </c>
      <c r="T56" s="522">
        <f t="shared" si="7"/>
        <v>4565.254955788876</v>
      </c>
      <c r="U56" s="522">
        <f t="shared" si="7"/>
        <v>50.032401572863009</v>
      </c>
      <c r="V56" s="522">
        <f t="shared" si="7"/>
        <v>221.88247054231641</v>
      </c>
      <c r="W56" s="522">
        <f t="shared" si="7"/>
        <v>860.05115294234395</v>
      </c>
      <c r="X56" s="522">
        <f t="shared" si="7"/>
        <v>1149.6778972392212</v>
      </c>
      <c r="Y56" s="522">
        <f t="shared" si="7"/>
        <v>949.67817456933597</v>
      </c>
      <c r="Z56" s="522">
        <f t="shared" si="7"/>
        <v>1238.6740866357304</v>
      </c>
      <c r="AA56" s="522">
        <f t="shared" si="7"/>
        <v>2255.9826665124083</v>
      </c>
      <c r="AB56" s="522">
        <f t="shared" si="7"/>
        <v>2384.8956475681275</v>
      </c>
      <c r="AC56" s="522">
        <f t="shared" si="7"/>
        <v>432.58747755193355</v>
      </c>
      <c r="AD56" s="522">
        <f t="shared" si="7"/>
        <v>1758.8404356738843</v>
      </c>
      <c r="AE56" s="522">
        <f t="shared" si="7"/>
        <v>466.87264169132396</v>
      </c>
      <c r="AF56" s="522">
        <f t="shared" si="7"/>
        <v>617.56944687259772</v>
      </c>
      <c r="AG56" s="522">
        <f t="shared" si="7"/>
        <v>972.74015418672036</v>
      </c>
      <c r="AH56" s="522">
        <f t="shared" si="7"/>
        <v>2156.7869086258274</v>
      </c>
      <c r="AI56" s="522">
        <f t="shared" si="7"/>
        <v>2476.0983077865385</v>
      </c>
      <c r="AJ56" s="522">
        <f t="shared" si="7"/>
        <v>1961.2503008842984</v>
      </c>
      <c r="AK56" s="522">
        <f t="shared" si="7"/>
        <v>1089.2986739115372</v>
      </c>
      <c r="AL56" s="522">
        <f t="shared" si="7"/>
        <v>746.6586475035017</v>
      </c>
      <c r="AM56" s="522">
        <f t="shared" si="7"/>
        <v>408.24648092192803</v>
      </c>
      <c r="AN56" s="522">
        <f t="shared" si="7"/>
        <v>953.84529378546506</v>
      </c>
      <c r="AO56" s="522">
        <f t="shared" si="7"/>
        <v>15178.765073686665</v>
      </c>
      <c r="AP56" s="522">
        <f t="shared" si="7"/>
        <v>25123.28283890638</v>
      </c>
      <c r="AQ56" s="522">
        <f t="shared" si="7"/>
        <v>6197.4120000000003</v>
      </c>
      <c r="AR56" s="522">
        <f t="shared" si="7"/>
        <v>34100.754000000001</v>
      </c>
    </row>
    <row r="57" spans="2:44" s="501" customFormat="1">
      <c r="B57" s="503" t="str">
        <f t="shared" si="3"/>
        <v>35-39</v>
      </c>
      <c r="C57" s="522">
        <f t="shared" si="4"/>
        <v>321.2138313038422</v>
      </c>
      <c r="D57" s="522">
        <f t="shared" si="4"/>
        <v>1240.425628993655</v>
      </c>
      <c r="E57" s="522">
        <f t="shared" ref="E57:AR57" si="8">E40+E23</f>
        <v>704.18025089270293</v>
      </c>
      <c r="F57" s="522">
        <f t="shared" si="8"/>
        <v>1599.0612928488506</v>
      </c>
      <c r="G57" s="522">
        <f t="shared" si="8"/>
        <v>353.49082409823666</v>
      </c>
      <c r="H57" s="522">
        <f t="shared" si="8"/>
        <v>458.41266869268526</v>
      </c>
      <c r="I57" s="522">
        <f t="shared" si="8"/>
        <v>652.05538749121433</v>
      </c>
      <c r="J57" s="522">
        <f t="shared" si="8"/>
        <v>943.62189926765518</v>
      </c>
      <c r="K57" s="522">
        <f t="shared" si="8"/>
        <v>21.090246668647055</v>
      </c>
      <c r="L57" s="522">
        <f t="shared" si="8"/>
        <v>31.193727628970933</v>
      </c>
      <c r="M57" s="522">
        <f t="shared" si="8"/>
        <v>875.26258473627854</v>
      </c>
      <c r="N57" s="522">
        <f t="shared" si="8"/>
        <v>587.27413908234644</v>
      </c>
      <c r="O57" s="522">
        <f t="shared" si="8"/>
        <v>672.34528191028596</v>
      </c>
      <c r="P57" s="522">
        <f t="shared" si="8"/>
        <v>902.80524190692222</v>
      </c>
      <c r="Q57" s="522">
        <f t="shared" si="8"/>
        <v>233.90815175245498</v>
      </c>
      <c r="R57" s="522">
        <f t="shared" si="8"/>
        <v>814.43637221979679</v>
      </c>
      <c r="S57" s="522">
        <f t="shared" si="8"/>
        <v>1105.1947330435244</v>
      </c>
      <c r="T57" s="522">
        <f t="shared" si="8"/>
        <v>3871.5986854062903</v>
      </c>
      <c r="U57" s="522">
        <f t="shared" si="8"/>
        <v>32.206981030544199</v>
      </c>
      <c r="V57" s="522">
        <f t="shared" si="8"/>
        <v>229.77110308981526</v>
      </c>
      <c r="W57" s="522">
        <f t="shared" si="8"/>
        <v>869.61948127952257</v>
      </c>
      <c r="X57" s="522">
        <f t="shared" si="8"/>
        <v>1089.3677989212706</v>
      </c>
      <c r="Y57" s="522">
        <f t="shared" si="8"/>
        <v>850.75461211524703</v>
      </c>
      <c r="Z57" s="522">
        <f t="shared" si="8"/>
        <v>1130.4708892854389</v>
      </c>
      <c r="AA57" s="522">
        <f t="shared" si="8"/>
        <v>2040.5035875458648</v>
      </c>
      <c r="AB57" s="522">
        <f t="shared" si="8"/>
        <v>2239.8704182113511</v>
      </c>
      <c r="AC57" s="522">
        <f t="shared" si="8"/>
        <v>481.25941517316386</v>
      </c>
      <c r="AD57" s="522">
        <f t="shared" si="8"/>
        <v>2102.6085579765195</v>
      </c>
      <c r="AE57" s="522">
        <f t="shared" si="8"/>
        <v>399.50064842595407</v>
      </c>
      <c r="AF57" s="522">
        <f t="shared" si="8"/>
        <v>623.69408273317106</v>
      </c>
      <c r="AG57" s="522">
        <f t="shared" si="8"/>
        <v>848.28943043098809</v>
      </c>
      <c r="AH57" s="522">
        <f t="shared" si="8"/>
        <v>1700.6925336205875</v>
      </c>
      <c r="AI57" s="522">
        <f t="shared" si="8"/>
        <v>1968.8534258068607</v>
      </c>
      <c r="AJ57" s="522">
        <f t="shared" si="8"/>
        <v>1577.6683614393744</v>
      </c>
      <c r="AK57" s="522">
        <f t="shared" si="8"/>
        <v>937.52714527201124</v>
      </c>
      <c r="AL57" s="522">
        <f t="shared" si="8"/>
        <v>621.05572328404082</v>
      </c>
      <c r="AM57" s="522">
        <f t="shared" si="8"/>
        <v>423.24682504033836</v>
      </c>
      <c r="AN57" s="522">
        <f t="shared" si="8"/>
        <v>847.92296772839575</v>
      </c>
      <c r="AO57" s="522">
        <f t="shared" si="8"/>
        <v>13790.502844017685</v>
      </c>
      <c r="AP57" s="522">
        <f t="shared" si="8"/>
        <v>22611.952092337135</v>
      </c>
      <c r="AQ57" s="522">
        <f t="shared" si="8"/>
        <v>5243.9530000000004</v>
      </c>
      <c r="AR57" s="522">
        <f t="shared" si="8"/>
        <v>30985.431999999997</v>
      </c>
    </row>
    <row r="58" spans="2:44" s="501" customFormat="1">
      <c r="B58" s="503" t="str">
        <f t="shared" si="3"/>
        <v>40-44</v>
      </c>
      <c r="C58" s="522">
        <f t="shared" si="4"/>
        <v>396.24640965631619</v>
      </c>
      <c r="D58" s="522">
        <f t="shared" si="4"/>
        <v>1193.8601971946114</v>
      </c>
      <c r="E58" s="522">
        <f t="shared" ref="E58:AR58" si="9">E41+E24</f>
        <v>587.61250945196514</v>
      </c>
      <c r="F58" s="522">
        <f t="shared" si="9"/>
        <v>1251.8697944093833</v>
      </c>
      <c r="G58" s="522">
        <f t="shared" si="9"/>
        <v>304.23702335387162</v>
      </c>
      <c r="H58" s="522">
        <f t="shared" si="9"/>
        <v>437.24927897122041</v>
      </c>
      <c r="I58" s="522">
        <f t="shared" si="9"/>
        <v>710.8859644531351</v>
      </c>
      <c r="J58" s="522">
        <f t="shared" si="9"/>
        <v>975.19556660458068</v>
      </c>
      <c r="K58" s="522">
        <f t="shared" si="9"/>
        <v>12.785856494352569</v>
      </c>
      <c r="L58" s="522">
        <f t="shared" si="9"/>
        <v>16.836463910189764</v>
      </c>
      <c r="M58" s="522">
        <f t="shared" si="9"/>
        <v>724.4239054215285</v>
      </c>
      <c r="N58" s="522">
        <f t="shared" si="9"/>
        <v>522.52442232309352</v>
      </c>
      <c r="O58" s="522">
        <f t="shared" si="9"/>
        <v>737.40801630738372</v>
      </c>
      <c r="P58" s="522">
        <f t="shared" si="9"/>
        <v>869.59628385234714</v>
      </c>
      <c r="Q58" s="522">
        <f t="shared" si="9"/>
        <v>174.3475188744043</v>
      </c>
      <c r="R58" s="522">
        <f t="shared" si="9"/>
        <v>519.27252834467197</v>
      </c>
      <c r="S58" s="522">
        <f t="shared" si="9"/>
        <v>945.53006306197528</v>
      </c>
      <c r="T58" s="522">
        <f t="shared" si="9"/>
        <v>3238.2250170878224</v>
      </c>
      <c r="U58" s="522">
        <f t="shared" si="9"/>
        <v>49.879364874705558</v>
      </c>
      <c r="V58" s="522">
        <f t="shared" si="9"/>
        <v>285.42716732968887</v>
      </c>
      <c r="W58" s="522">
        <f t="shared" si="9"/>
        <v>780.05270515778716</v>
      </c>
      <c r="X58" s="522">
        <f t="shared" si="9"/>
        <v>825.70752839773172</v>
      </c>
      <c r="Y58" s="522">
        <f t="shared" si="9"/>
        <v>778.35070740570984</v>
      </c>
      <c r="Z58" s="522">
        <f t="shared" si="9"/>
        <v>895.8614813423959</v>
      </c>
      <c r="AA58" s="522">
        <f t="shared" si="9"/>
        <v>2096.54158328111</v>
      </c>
      <c r="AB58" s="522">
        <f t="shared" si="9"/>
        <v>2273.4714234318158</v>
      </c>
      <c r="AC58" s="522">
        <f t="shared" si="9"/>
        <v>488.19531088589707</v>
      </c>
      <c r="AD58" s="522">
        <f t="shared" si="9"/>
        <v>2244.791926954656</v>
      </c>
      <c r="AE58" s="522">
        <f t="shared" si="9"/>
        <v>315.31087652060836</v>
      </c>
      <c r="AF58" s="522">
        <f t="shared" si="9"/>
        <v>426.2924345192381</v>
      </c>
      <c r="AG58" s="522">
        <f t="shared" si="9"/>
        <v>825.00555770493793</v>
      </c>
      <c r="AH58" s="522">
        <f t="shared" si="9"/>
        <v>1499.9802570959903</v>
      </c>
      <c r="AI58" s="522">
        <f t="shared" si="9"/>
        <v>1219.199864647798</v>
      </c>
      <c r="AJ58" s="522">
        <f t="shared" si="9"/>
        <v>919.7527935434457</v>
      </c>
      <c r="AK58" s="522">
        <f t="shared" si="9"/>
        <v>911.96036992972574</v>
      </c>
      <c r="AL58" s="522">
        <f t="shared" si="9"/>
        <v>561.3381369950506</v>
      </c>
      <c r="AM58" s="522">
        <f t="shared" si="9"/>
        <v>376.05836735421644</v>
      </c>
      <c r="AN58" s="522">
        <f t="shared" si="9"/>
        <v>732.58871980238405</v>
      </c>
      <c r="AO58" s="522">
        <f t="shared" si="9"/>
        <v>12434.031974837431</v>
      </c>
      <c r="AP58" s="522">
        <f t="shared" si="9"/>
        <v>19689.841422110319</v>
      </c>
      <c r="AQ58" s="522">
        <f t="shared" si="9"/>
        <v>4839.5479999999998</v>
      </c>
      <c r="AR58" s="522">
        <f t="shared" si="9"/>
        <v>29425.135000000002</v>
      </c>
    </row>
    <row r="59" spans="2:44" s="501" customFormat="1">
      <c r="B59" s="503" t="str">
        <f t="shared" si="3"/>
        <v>45-49</v>
      </c>
      <c r="C59" s="522">
        <f t="shared" si="4"/>
        <v>305.26227512706583</v>
      </c>
      <c r="D59" s="522">
        <f t="shared" si="4"/>
        <v>899.16266740585149</v>
      </c>
      <c r="E59" s="522">
        <f t="shared" ref="E59:AR59" si="10">E42+E25</f>
        <v>400.77489748459095</v>
      </c>
      <c r="F59" s="522">
        <f t="shared" si="10"/>
        <v>889.3783789747863</v>
      </c>
      <c r="G59" s="522">
        <f t="shared" si="10"/>
        <v>280.59002104062756</v>
      </c>
      <c r="H59" s="522">
        <f t="shared" si="10"/>
        <v>327.84790039305346</v>
      </c>
      <c r="I59" s="522">
        <f t="shared" si="10"/>
        <v>586.50110135903981</v>
      </c>
      <c r="J59" s="522">
        <f t="shared" si="10"/>
        <v>714.89815407996491</v>
      </c>
      <c r="K59" s="522">
        <f t="shared" si="10"/>
        <v>12.613575466774922</v>
      </c>
      <c r="L59" s="522">
        <f t="shared" si="10"/>
        <v>23.001364114101399</v>
      </c>
      <c r="M59" s="522">
        <f t="shared" si="10"/>
        <v>616.52934732076528</v>
      </c>
      <c r="N59" s="522">
        <f t="shared" si="10"/>
        <v>420.19510437500333</v>
      </c>
      <c r="O59" s="522">
        <f t="shared" si="10"/>
        <v>790.49430730240056</v>
      </c>
      <c r="P59" s="522">
        <f t="shared" si="10"/>
        <v>863.87229255897421</v>
      </c>
      <c r="Q59" s="522">
        <f t="shared" si="10"/>
        <v>148.31417550243194</v>
      </c>
      <c r="R59" s="522">
        <f t="shared" si="10"/>
        <v>319.46604158449685</v>
      </c>
      <c r="S59" s="522">
        <f t="shared" si="10"/>
        <v>736.49252203135279</v>
      </c>
      <c r="T59" s="522">
        <f t="shared" si="10"/>
        <v>2502.7075265874369</v>
      </c>
      <c r="U59" s="522">
        <f t="shared" si="10"/>
        <v>35.402201628533405</v>
      </c>
      <c r="V59" s="522">
        <f t="shared" si="10"/>
        <v>329.62217972742712</v>
      </c>
      <c r="W59" s="522">
        <f t="shared" si="10"/>
        <v>524.76045428457803</v>
      </c>
      <c r="X59" s="522">
        <f t="shared" si="10"/>
        <v>477.04766005791066</v>
      </c>
      <c r="Y59" s="522">
        <f t="shared" si="10"/>
        <v>644.95009300744334</v>
      </c>
      <c r="Z59" s="522">
        <f t="shared" si="10"/>
        <v>573.85246231437338</v>
      </c>
      <c r="AA59" s="522">
        <f t="shared" si="10"/>
        <v>1917.2815749464012</v>
      </c>
      <c r="AB59" s="522">
        <f t="shared" si="10"/>
        <v>2252.8947688202657</v>
      </c>
      <c r="AC59" s="522">
        <f t="shared" si="10"/>
        <v>402.16105637305009</v>
      </c>
      <c r="AD59" s="522">
        <f t="shared" si="10"/>
        <v>1819.0156884707262</v>
      </c>
      <c r="AE59" s="522">
        <f t="shared" si="10"/>
        <v>236.25692940245565</v>
      </c>
      <c r="AF59" s="522">
        <f t="shared" si="10"/>
        <v>248.19757221281986</v>
      </c>
      <c r="AG59" s="522">
        <f t="shared" si="10"/>
        <v>740.12771933730164</v>
      </c>
      <c r="AH59" s="522">
        <f t="shared" si="10"/>
        <v>1261.3660221829884</v>
      </c>
      <c r="AI59" s="522">
        <f t="shared" si="10"/>
        <v>586.78856355544508</v>
      </c>
      <c r="AJ59" s="522">
        <f t="shared" si="10"/>
        <v>528.87480529399636</v>
      </c>
      <c r="AK59" s="522">
        <f t="shared" si="10"/>
        <v>948.92901635980786</v>
      </c>
      <c r="AL59" s="522">
        <f t="shared" si="10"/>
        <v>440.97886899174722</v>
      </c>
      <c r="AM59" s="522">
        <f t="shared" si="10"/>
        <v>281.87522390626151</v>
      </c>
      <c r="AN59" s="522">
        <f t="shared" si="10"/>
        <v>455.64369289761908</v>
      </c>
      <c r="AO59" s="522">
        <f t="shared" si="10"/>
        <v>10196.105055436326</v>
      </c>
      <c r="AP59" s="522">
        <f t="shared" si="10"/>
        <v>15348.023151043544</v>
      </c>
      <c r="AQ59" s="522">
        <f t="shared" si="10"/>
        <v>3669.259</v>
      </c>
      <c r="AR59" s="522">
        <f t="shared" si="10"/>
        <v>24719.039999999997</v>
      </c>
    </row>
    <row r="60" spans="2:44" s="501" customFormat="1">
      <c r="B60" s="503" t="str">
        <f t="shared" si="3"/>
        <v>50-54</v>
      </c>
      <c r="C60" s="522">
        <f t="shared" si="4"/>
        <v>282.38182107587119</v>
      </c>
      <c r="D60" s="522">
        <f t="shared" si="4"/>
        <v>727.6761927951942</v>
      </c>
      <c r="E60" s="522">
        <f t="shared" ref="E60:AR60" si="11">E43+E26</f>
        <v>321.19151561074727</v>
      </c>
      <c r="F60" s="522">
        <f t="shared" si="11"/>
        <v>659.91154667571834</v>
      </c>
      <c r="G60" s="522">
        <f t="shared" si="11"/>
        <v>214.08941237104594</v>
      </c>
      <c r="H60" s="522">
        <f t="shared" si="11"/>
        <v>251.31249337284854</v>
      </c>
      <c r="I60" s="522">
        <f t="shared" si="11"/>
        <v>470.49703077169909</v>
      </c>
      <c r="J60" s="522">
        <f t="shared" si="11"/>
        <v>614.22322630363419</v>
      </c>
      <c r="K60" s="522">
        <f t="shared" si="11"/>
        <v>21.378873561728259</v>
      </c>
      <c r="L60" s="522">
        <f t="shared" si="11"/>
        <v>20.127832844027797</v>
      </c>
      <c r="M60" s="522">
        <f t="shared" si="11"/>
        <v>449.78983919729234</v>
      </c>
      <c r="N60" s="522">
        <f t="shared" si="11"/>
        <v>355.032962677108</v>
      </c>
      <c r="O60" s="522">
        <f t="shared" si="11"/>
        <v>796.21629685026096</v>
      </c>
      <c r="P60" s="522">
        <f t="shared" si="11"/>
        <v>726.1572056536321</v>
      </c>
      <c r="Q60" s="522">
        <f t="shared" si="11"/>
        <v>113.28328524713493</v>
      </c>
      <c r="R60" s="522">
        <f t="shared" si="11"/>
        <v>231.80311070354884</v>
      </c>
      <c r="S60" s="522">
        <f t="shared" si="11"/>
        <v>550.25548708921337</v>
      </c>
      <c r="T60" s="522">
        <f t="shared" si="11"/>
        <v>2099.3440970504748</v>
      </c>
      <c r="U60" s="522">
        <f t="shared" si="11"/>
        <v>41.621344774403646</v>
      </c>
      <c r="V60" s="522">
        <f t="shared" si="11"/>
        <v>348.83234001423625</v>
      </c>
      <c r="W60" s="522">
        <f t="shared" si="11"/>
        <v>409.79900230037339</v>
      </c>
      <c r="X60" s="522">
        <f t="shared" si="11"/>
        <v>356.4943050442173</v>
      </c>
      <c r="Y60" s="522">
        <f t="shared" si="11"/>
        <v>431.15225466976727</v>
      </c>
      <c r="Z60" s="522">
        <f t="shared" si="11"/>
        <v>399.51484265940718</v>
      </c>
      <c r="AA60" s="522">
        <f t="shared" si="11"/>
        <v>1606.5764894555525</v>
      </c>
      <c r="AB60" s="522">
        <f t="shared" si="11"/>
        <v>1867.8412240049877</v>
      </c>
      <c r="AC60" s="522">
        <f t="shared" si="11"/>
        <v>316.13032540418072</v>
      </c>
      <c r="AD60" s="522">
        <f t="shared" si="11"/>
        <v>1390.0572151601496</v>
      </c>
      <c r="AE60" s="522">
        <f t="shared" si="11"/>
        <v>221.34265964158712</v>
      </c>
      <c r="AF60" s="522">
        <f t="shared" si="11"/>
        <v>218.39142242983604</v>
      </c>
      <c r="AG60" s="522">
        <f t="shared" si="11"/>
        <v>644.29288324375659</v>
      </c>
      <c r="AH60" s="522">
        <f t="shared" si="11"/>
        <v>1026.6492699572955</v>
      </c>
      <c r="AI60" s="522">
        <f t="shared" si="11"/>
        <v>427.80787944491703</v>
      </c>
      <c r="AJ60" s="522">
        <f t="shared" si="11"/>
        <v>412.11609041315586</v>
      </c>
      <c r="AK60" s="522">
        <f t="shared" si="11"/>
        <v>846.11688104108748</v>
      </c>
      <c r="AL60" s="522">
        <f t="shared" si="11"/>
        <v>432.26814802579099</v>
      </c>
      <c r="AM60" s="522">
        <f t="shared" si="11"/>
        <v>264.12311869807746</v>
      </c>
      <c r="AN60" s="522">
        <f t="shared" si="11"/>
        <v>469.88058156381146</v>
      </c>
      <c r="AO60" s="522">
        <f t="shared" si="11"/>
        <v>8428.0464004486967</v>
      </c>
      <c r="AP60" s="522">
        <f t="shared" si="11"/>
        <v>12607.634107349075</v>
      </c>
      <c r="AQ60" s="522">
        <f t="shared" si="11"/>
        <v>2890.0970000000002</v>
      </c>
      <c r="AR60" s="522">
        <f t="shared" si="11"/>
        <v>19705.565000000002</v>
      </c>
    </row>
    <row r="61" spans="2:44" s="501" customFormat="1">
      <c r="B61" s="503" t="str">
        <f t="shared" si="3"/>
        <v>55-59</v>
      </c>
      <c r="C61" s="522">
        <f t="shared" si="4"/>
        <v>184.92415095752725</v>
      </c>
      <c r="D61" s="522">
        <f t="shared" si="4"/>
        <v>333.42360273493523</v>
      </c>
      <c r="E61" s="522">
        <f t="shared" ref="E61:AR61" si="12">E44+E27</f>
        <v>252.42917756827995</v>
      </c>
      <c r="F61" s="522">
        <f t="shared" si="12"/>
        <v>459.50627673579032</v>
      </c>
      <c r="G61" s="522">
        <f t="shared" si="12"/>
        <v>139.20472967951852</v>
      </c>
      <c r="H61" s="522">
        <f t="shared" si="12"/>
        <v>155.0319536562375</v>
      </c>
      <c r="I61" s="522">
        <f t="shared" si="12"/>
        <v>378.90732814487296</v>
      </c>
      <c r="J61" s="522">
        <f t="shared" si="12"/>
        <v>322.44394486180659</v>
      </c>
      <c r="K61" s="522">
        <f t="shared" si="12"/>
        <v>14.452575272778159</v>
      </c>
      <c r="L61" s="522">
        <f t="shared" si="12"/>
        <v>21.952809775693321</v>
      </c>
      <c r="M61" s="522">
        <f t="shared" si="12"/>
        <v>302.8003983862888</v>
      </c>
      <c r="N61" s="522">
        <f t="shared" si="12"/>
        <v>205.24981159515445</v>
      </c>
      <c r="O61" s="522">
        <f t="shared" si="12"/>
        <v>617.37735013339432</v>
      </c>
      <c r="P61" s="522">
        <f t="shared" si="12"/>
        <v>542.05566998405425</v>
      </c>
      <c r="Q61" s="522">
        <f t="shared" si="12"/>
        <v>87.800753003571486</v>
      </c>
      <c r="R61" s="522">
        <f t="shared" si="12"/>
        <v>168.93153582141949</v>
      </c>
      <c r="S61" s="522">
        <f t="shared" si="12"/>
        <v>379.89110590965657</v>
      </c>
      <c r="T61" s="522">
        <f t="shared" si="12"/>
        <v>1642.678609791345</v>
      </c>
      <c r="U61" s="522">
        <f t="shared" si="12"/>
        <v>12.9862939221475</v>
      </c>
      <c r="V61" s="522">
        <f t="shared" si="12"/>
        <v>288.52078808441485</v>
      </c>
      <c r="W61" s="522">
        <f t="shared" si="12"/>
        <v>315.71193677234498</v>
      </c>
      <c r="X61" s="522">
        <f t="shared" si="12"/>
        <v>326.59315428601491</v>
      </c>
      <c r="Y61" s="522">
        <f t="shared" si="12"/>
        <v>313.22229391014184</v>
      </c>
      <c r="Z61" s="522">
        <f t="shared" si="12"/>
        <v>353.39295999164256</v>
      </c>
      <c r="AA61" s="522">
        <f t="shared" si="12"/>
        <v>1013.7681082982668</v>
      </c>
      <c r="AB61" s="522">
        <f t="shared" si="12"/>
        <v>1205.7025921391869</v>
      </c>
      <c r="AC61" s="522">
        <f t="shared" si="12"/>
        <v>205.37309073773108</v>
      </c>
      <c r="AD61" s="522">
        <f t="shared" si="12"/>
        <v>1009.4326106502973</v>
      </c>
      <c r="AE61" s="522">
        <f t="shared" si="12"/>
        <v>143.56738934780984</v>
      </c>
      <c r="AF61" s="522">
        <f t="shared" si="12"/>
        <v>124.05084375133694</v>
      </c>
      <c r="AG61" s="522">
        <f t="shared" si="12"/>
        <v>483.87479916758161</v>
      </c>
      <c r="AH61" s="522">
        <f t="shared" si="12"/>
        <v>757.32897328152467</v>
      </c>
      <c r="AI61" s="522">
        <f t="shared" si="12"/>
        <v>351.13755297363775</v>
      </c>
      <c r="AJ61" s="522">
        <f t="shared" si="12"/>
        <v>329.52756966698411</v>
      </c>
      <c r="AK61" s="522">
        <f t="shared" si="12"/>
        <v>426.30419637015149</v>
      </c>
      <c r="AL61" s="522">
        <f t="shared" si="12"/>
        <v>182.69298852483485</v>
      </c>
      <c r="AM61" s="522">
        <f t="shared" si="12"/>
        <v>170.61518051207787</v>
      </c>
      <c r="AN61" s="522">
        <f t="shared" si="12"/>
        <v>359.86243048645611</v>
      </c>
      <c r="AO61" s="522">
        <f t="shared" si="12"/>
        <v>5794.3484110677791</v>
      </c>
      <c r="AP61" s="522">
        <f t="shared" si="12"/>
        <v>8788.3791258191304</v>
      </c>
      <c r="AQ61" s="522">
        <f t="shared" si="12"/>
        <v>1602.4569999999999</v>
      </c>
      <c r="AR61" s="522">
        <f t="shared" si="12"/>
        <v>13373.886</v>
      </c>
    </row>
    <row r="62" spans="2:44" s="501" customFormat="1">
      <c r="B62" s="503" t="str">
        <f t="shared" si="3"/>
        <v>60-64</v>
      </c>
      <c r="C62" s="522">
        <f t="shared" si="4"/>
        <v>58.650461144313667</v>
      </c>
      <c r="D62" s="522">
        <f t="shared" si="4"/>
        <v>121.07295287607474</v>
      </c>
      <c r="E62" s="522">
        <f t="shared" ref="E62:AR62" si="13">E45+E28</f>
        <v>61.703446951801567</v>
      </c>
      <c r="F62" s="522">
        <f t="shared" si="13"/>
        <v>102.9684314014042</v>
      </c>
      <c r="G62" s="522">
        <f t="shared" si="13"/>
        <v>36.187959207575368</v>
      </c>
      <c r="H62" s="522">
        <f t="shared" si="13"/>
        <v>36.253719481132372</v>
      </c>
      <c r="I62" s="522">
        <f t="shared" si="13"/>
        <v>91.46614934658372</v>
      </c>
      <c r="J62" s="522">
        <f t="shared" si="13"/>
        <v>66.054929389727079</v>
      </c>
      <c r="K62" s="522">
        <f t="shared" si="13"/>
        <v>6.2360660191480601</v>
      </c>
      <c r="L62" s="522">
        <f t="shared" si="13"/>
        <v>12.1345316106431</v>
      </c>
      <c r="M62" s="522">
        <f t="shared" si="13"/>
        <v>80.651515924286343</v>
      </c>
      <c r="N62" s="522">
        <f t="shared" si="13"/>
        <v>60.227444984652557</v>
      </c>
      <c r="O62" s="522">
        <f t="shared" si="13"/>
        <v>166.77843000325515</v>
      </c>
      <c r="P62" s="522">
        <f t="shared" si="13"/>
        <v>134.31403400374776</v>
      </c>
      <c r="Q62" s="522">
        <f t="shared" si="13"/>
        <v>28.042153972928539</v>
      </c>
      <c r="R62" s="522">
        <f t="shared" si="13"/>
        <v>63.090902742275098</v>
      </c>
      <c r="S62" s="522">
        <f t="shared" si="13"/>
        <v>149.6277575312242</v>
      </c>
      <c r="T62" s="522">
        <f t="shared" si="13"/>
        <v>458.4562183442672</v>
      </c>
      <c r="U62" s="522">
        <f t="shared" si="13"/>
        <v>11.207587015931615</v>
      </c>
      <c r="V62" s="522">
        <f t="shared" si="13"/>
        <v>78.788174983990984</v>
      </c>
      <c r="W62" s="522">
        <f t="shared" si="13"/>
        <v>93.552332550369343</v>
      </c>
      <c r="X62" s="522">
        <f t="shared" si="13"/>
        <v>89.308388358276957</v>
      </c>
      <c r="Y62" s="522">
        <f t="shared" si="13"/>
        <v>98.214043106718222</v>
      </c>
      <c r="Z62" s="522">
        <f t="shared" si="13"/>
        <v>109.3847316784026</v>
      </c>
      <c r="AA62" s="522">
        <f t="shared" si="13"/>
        <v>404.0657578961696</v>
      </c>
      <c r="AB62" s="522">
        <f t="shared" si="13"/>
        <v>355.96992699228696</v>
      </c>
      <c r="AC62" s="522">
        <f t="shared" si="13"/>
        <v>55.064330362944176</v>
      </c>
      <c r="AD62" s="522">
        <f t="shared" si="13"/>
        <v>252.28410661560517</v>
      </c>
      <c r="AE62" s="522">
        <f t="shared" si="13"/>
        <v>43.087204708290919</v>
      </c>
      <c r="AF62" s="522">
        <f t="shared" si="13"/>
        <v>42.833870026823597</v>
      </c>
      <c r="AG62" s="522">
        <f t="shared" si="13"/>
        <v>186.69932101509357</v>
      </c>
      <c r="AH62" s="522">
        <f t="shared" si="13"/>
        <v>260.21202712969</v>
      </c>
      <c r="AI62" s="522">
        <f t="shared" si="13"/>
        <v>81.553148771601073</v>
      </c>
      <c r="AJ62" s="522">
        <f t="shared" si="13"/>
        <v>71.136957113088641</v>
      </c>
      <c r="AK62" s="522">
        <f t="shared" si="13"/>
        <v>163.57299434303874</v>
      </c>
      <c r="AL62" s="522">
        <f t="shared" si="13"/>
        <v>62.408450953374903</v>
      </c>
      <c r="AM62" s="522">
        <f t="shared" si="13"/>
        <v>72.001429062272024</v>
      </c>
      <c r="AN62" s="522">
        <f t="shared" si="13"/>
        <v>98.778911115172775</v>
      </c>
      <c r="AO62" s="522">
        <f t="shared" si="13"/>
        <v>1888.3620889335459</v>
      </c>
      <c r="AP62" s="522">
        <f t="shared" si="13"/>
        <v>2475.6787098006371</v>
      </c>
      <c r="AQ62" s="522">
        <f t="shared" si="13"/>
        <v>601.03100000000006</v>
      </c>
      <c r="AR62" s="522">
        <f t="shared" si="13"/>
        <v>4837.5199999999995</v>
      </c>
    </row>
    <row r="63" spans="2:44" s="501" customFormat="1">
      <c r="B63" s="503" t="str">
        <f t="shared" si="3"/>
        <v>65 plus</v>
      </c>
      <c r="C63" s="522">
        <f t="shared" si="4"/>
        <v>15.860793973793069</v>
      </c>
      <c r="D63" s="522">
        <f t="shared" si="4"/>
        <v>22.358131408508534</v>
      </c>
      <c r="E63" s="522">
        <f t="shared" ref="E63:AR63" si="14">E46+E29</f>
        <v>9.9548719889419726</v>
      </c>
      <c r="F63" s="522">
        <f t="shared" si="14"/>
        <v>14.295351798931604</v>
      </c>
      <c r="G63" s="522">
        <f t="shared" si="14"/>
        <v>5.79061273258763</v>
      </c>
      <c r="H63" s="522">
        <f t="shared" si="14"/>
        <v>12.778975681403283</v>
      </c>
      <c r="I63" s="522">
        <f t="shared" si="14"/>
        <v>29.061184501720913</v>
      </c>
      <c r="J63" s="522">
        <f t="shared" si="14"/>
        <v>14.772560911518562</v>
      </c>
      <c r="K63" s="522">
        <f t="shared" si="14"/>
        <v>5.2566811344908997</v>
      </c>
      <c r="L63" s="522">
        <f t="shared" si="14"/>
        <v>5.3979115117493199</v>
      </c>
      <c r="M63" s="522">
        <f t="shared" si="14"/>
        <v>8.9135714341932726</v>
      </c>
      <c r="N63" s="522">
        <f t="shared" si="14"/>
        <v>11.364731047185241</v>
      </c>
      <c r="O63" s="522">
        <f t="shared" si="14"/>
        <v>31.884803397968582</v>
      </c>
      <c r="P63" s="522">
        <f t="shared" si="14"/>
        <v>15.125189093452027</v>
      </c>
      <c r="Q63" s="522">
        <f t="shared" si="14"/>
        <v>6.1888206837841215</v>
      </c>
      <c r="R63" s="522">
        <f t="shared" si="14"/>
        <v>5.0793743343998701</v>
      </c>
      <c r="S63" s="522">
        <f t="shared" si="14"/>
        <v>29.334202953653246</v>
      </c>
      <c r="T63" s="522">
        <f t="shared" si="14"/>
        <v>79.465570817769546</v>
      </c>
      <c r="U63" s="522">
        <f t="shared" si="14"/>
        <v>5.33827066656153</v>
      </c>
      <c r="V63" s="522">
        <f t="shared" si="14"/>
        <v>18.475619283645699</v>
      </c>
      <c r="W63" s="522">
        <f t="shared" si="14"/>
        <v>8.3063186044572603</v>
      </c>
      <c r="X63" s="522">
        <f t="shared" si="14"/>
        <v>8.656488893931737</v>
      </c>
      <c r="Y63" s="522">
        <f t="shared" si="14"/>
        <v>8.4493675305030873</v>
      </c>
      <c r="Z63" s="522">
        <f t="shared" si="14"/>
        <v>11.786403673411121</v>
      </c>
      <c r="AA63" s="522">
        <f t="shared" si="14"/>
        <v>97.587163645975778</v>
      </c>
      <c r="AB63" s="522">
        <f t="shared" si="14"/>
        <v>61.922894962713009</v>
      </c>
      <c r="AC63" s="522">
        <f t="shared" si="14"/>
        <v>9.3322950510075273</v>
      </c>
      <c r="AD63" s="522">
        <f t="shared" si="14"/>
        <v>39.94896424965917</v>
      </c>
      <c r="AE63" s="522">
        <f t="shared" si="14"/>
        <v>5.0249580910867646</v>
      </c>
      <c r="AF63" s="522">
        <f t="shared" si="14"/>
        <v>7.7017395826615074</v>
      </c>
      <c r="AG63" s="522">
        <f t="shared" si="14"/>
        <v>41.807522947538168</v>
      </c>
      <c r="AH63" s="522">
        <f t="shared" si="14"/>
        <v>38.817230372516107</v>
      </c>
      <c r="AI63" s="522">
        <f t="shared" si="14"/>
        <v>12.762601905811961</v>
      </c>
      <c r="AJ63" s="522">
        <f t="shared" si="14"/>
        <v>5.4855133397952196</v>
      </c>
      <c r="AK63" s="522">
        <f t="shared" si="14"/>
        <v>59.135685326369078</v>
      </c>
      <c r="AL63" s="522">
        <f t="shared" si="14"/>
        <v>5.0432368285347398</v>
      </c>
      <c r="AM63" s="522">
        <f t="shared" si="14"/>
        <v>18.726780952097805</v>
      </c>
      <c r="AN63" s="522">
        <f t="shared" si="14"/>
        <v>20.619906746433276</v>
      </c>
      <c r="AO63" s="522">
        <f t="shared" si="14"/>
        <v>408.7165075225426</v>
      </c>
      <c r="AP63" s="522">
        <f t="shared" si="14"/>
        <v>399.09579453821959</v>
      </c>
      <c r="AQ63" s="522">
        <f t="shared" si="14"/>
        <v>171.80500000000001</v>
      </c>
      <c r="AR63" s="522">
        <f t="shared" si="14"/>
        <v>868.78300000000002</v>
      </c>
    </row>
    <row r="64" spans="2:44" s="501" customFormat="1">
      <c r="B64" s="503" t="str">
        <f t="shared" si="3"/>
        <v>Total</v>
      </c>
      <c r="C64" s="522">
        <f t="shared" si="4"/>
        <v>2067.8047944915347</v>
      </c>
      <c r="D64" s="522">
        <f t="shared" si="4"/>
        <v>6861.7036555103696</v>
      </c>
      <c r="E64" s="522">
        <f t="shared" ref="E64:AR64" si="15">E47+E30</f>
        <v>3845.4386605092668</v>
      </c>
      <c r="F64" s="522">
        <f t="shared" si="15"/>
        <v>8924.5153045781426</v>
      </c>
      <c r="G64" s="522">
        <f t="shared" si="15"/>
        <v>1987.1650268982485</v>
      </c>
      <c r="H64" s="522">
        <f t="shared" si="15"/>
        <v>2617.7557691707657</v>
      </c>
      <c r="I64" s="522">
        <f t="shared" si="15"/>
        <v>4571.2358205599212</v>
      </c>
      <c r="J64" s="522">
        <f t="shared" si="15"/>
        <v>6564.6386796651277</v>
      </c>
      <c r="K64" s="522">
        <f t="shared" si="15"/>
        <v>135.3135695865071</v>
      </c>
      <c r="L64" s="522">
        <f t="shared" si="15"/>
        <v>215.38144692038176</v>
      </c>
      <c r="M64" s="522">
        <f t="shared" si="15"/>
        <v>4757.8545016538983</v>
      </c>
      <c r="N64" s="522">
        <f t="shared" si="15"/>
        <v>3300.389129270206</v>
      </c>
      <c r="O64" s="522">
        <f t="shared" si="15"/>
        <v>5002.3280063951861</v>
      </c>
      <c r="P64" s="522">
        <f t="shared" si="15"/>
        <v>6237.6200880564838</v>
      </c>
      <c r="Q64" s="522">
        <f t="shared" si="15"/>
        <v>1257.5860974877194</v>
      </c>
      <c r="R64" s="522">
        <f t="shared" si="15"/>
        <v>4199.4787184831357</v>
      </c>
      <c r="S64" s="522">
        <f t="shared" si="15"/>
        <v>6725.6409026206866</v>
      </c>
      <c r="T64" s="522">
        <f t="shared" si="15"/>
        <v>25407.999943056326</v>
      </c>
      <c r="U64" s="522">
        <f t="shared" si="15"/>
        <v>266.05776895678946</v>
      </c>
      <c r="V64" s="522">
        <f t="shared" si="15"/>
        <v>2081.4310416905364</v>
      </c>
      <c r="W64" s="522">
        <f t="shared" si="15"/>
        <v>4808.1082814862875</v>
      </c>
      <c r="X64" s="522">
        <f t="shared" si="15"/>
        <v>6240.8177028147802</v>
      </c>
      <c r="Y64" s="522">
        <f t="shared" si="15"/>
        <v>5258.5871138465054</v>
      </c>
      <c r="Z64" s="522">
        <f t="shared" si="15"/>
        <v>6625.6373617035715</v>
      </c>
      <c r="AA64" s="522">
        <f t="shared" si="15"/>
        <v>14736.387451469662</v>
      </c>
      <c r="AB64" s="522">
        <f t="shared" si="15"/>
        <v>17361.91220002979</v>
      </c>
      <c r="AC64" s="522">
        <f t="shared" si="15"/>
        <v>2893.0459921238489</v>
      </c>
      <c r="AD64" s="522">
        <f t="shared" si="15"/>
        <v>12829.418545759714</v>
      </c>
      <c r="AE64" s="522">
        <f t="shared" si="15"/>
        <v>2407.686866978599</v>
      </c>
      <c r="AF64" s="522">
        <f t="shared" si="15"/>
        <v>3079.6944216552115</v>
      </c>
      <c r="AG64" s="522">
        <f t="shared" si="15"/>
        <v>5629.7187666603177</v>
      </c>
      <c r="AH64" s="522">
        <f t="shared" si="15"/>
        <v>11207.710522942642</v>
      </c>
      <c r="AI64" s="522">
        <f t="shared" si="15"/>
        <v>9403.7300601198349</v>
      </c>
      <c r="AJ64" s="522">
        <f t="shared" si="15"/>
        <v>8488.4084218562621</v>
      </c>
      <c r="AK64" s="522">
        <f t="shared" si="15"/>
        <v>6742.4695149927766</v>
      </c>
      <c r="AL64" s="522">
        <f t="shared" si="15"/>
        <v>3906.5133965018658</v>
      </c>
      <c r="AM64" s="522">
        <f t="shared" si="15"/>
        <v>2454.4020907626004</v>
      </c>
      <c r="AN64" s="522">
        <f t="shared" si="15"/>
        <v>5395.4723576204451</v>
      </c>
      <c r="AO64" s="522">
        <f t="shared" si="15"/>
        <v>84950.561287600183</v>
      </c>
      <c r="AP64" s="522">
        <f t="shared" si="15"/>
        <v>141546.49870728579</v>
      </c>
      <c r="AQ64" s="522">
        <f t="shared" si="15"/>
        <v>34667.068999999996</v>
      </c>
      <c r="AR64" s="522">
        <f t="shared" si="15"/>
        <v>212554.23500000002</v>
      </c>
    </row>
    <row r="65" spans="1:44">
      <c r="A65" s="4">
        <f>SUM(C65:AR65)</f>
        <v>0</v>
      </c>
      <c r="C65" s="4">
        <f t="shared" ref="C65:AR65" si="16">SUM(C54:C63)-C64</f>
        <v>0</v>
      </c>
      <c r="D65" s="4">
        <f t="shared" si="16"/>
        <v>0</v>
      </c>
      <c r="E65" s="4">
        <f t="shared" si="16"/>
        <v>0</v>
      </c>
      <c r="F65" s="4">
        <f t="shared" si="16"/>
        <v>0</v>
      </c>
      <c r="G65" s="4">
        <f t="shared" si="16"/>
        <v>0</v>
      </c>
      <c r="H65" s="4">
        <f t="shared" si="16"/>
        <v>0</v>
      </c>
      <c r="I65" s="4">
        <f t="shared" si="16"/>
        <v>0</v>
      </c>
      <c r="J65" s="4">
        <f t="shared" si="16"/>
        <v>0</v>
      </c>
      <c r="K65" s="4">
        <f t="shared" si="16"/>
        <v>0</v>
      </c>
      <c r="L65" s="4">
        <f t="shared" si="16"/>
        <v>0</v>
      </c>
      <c r="M65" s="4">
        <f t="shared" si="16"/>
        <v>0</v>
      </c>
      <c r="N65" s="4">
        <f t="shared" si="16"/>
        <v>0</v>
      </c>
      <c r="O65" s="4">
        <f t="shared" si="16"/>
        <v>0</v>
      </c>
      <c r="P65" s="4">
        <f t="shared" si="16"/>
        <v>0</v>
      </c>
      <c r="Q65" s="4">
        <f t="shared" si="16"/>
        <v>0</v>
      </c>
      <c r="R65" s="4">
        <f t="shared" si="16"/>
        <v>0</v>
      </c>
      <c r="S65" s="4">
        <f t="shared" si="16"/>
        <v>0</v>
      </c>
      <c r="T65" s="4">
        <f t="shared" si="16"/>
        <v>0</v>
      </c>
      <c r="U65" s="4">
        <f t="shared" si="16"/>
        <v>0</v>
      </c>
      <c r="V65" s="4">
        <f t="shared" si="16"/>
        <v>0</v>
      </c>
      <c r="W65" s="4">
        <f t="shared" si="16"/>
        <v>0</v>
      </c>
      <c r="X65" s="4">
        <f t="shared" si="16"/>
        <v>0</v>
      </c>
      <c r="Y65" s="4">
        <f t="shared" si="16"/>
        <v>0</v>
      </c>
      <c r="Z65" s="4">
        <f t="shared" si="16"/>
        <v>0</v>
      </c>
      <c r="AA65" s="4">
        <f t="shared" si="16"/>
        <v>0</v>
      </c>
      <c r="AB65" s="4">
        <f t="shared" si="16"/>
        <v>0</v>
      </c>
      <c r="AC65" s="4">
        <f t="shared" si="16"/>
        <v>0</v>
      </c>
      <c r="AD65" s="4">
        <f t="shared" si="16"/>
        <v>0</v>
      </c>
      <c r="AE65" s="4">
        <f t="shared" si="16"/>
        <v>0</v>
      </c>
      <c r="AF65" s="4">
        <f t="shared" si="16"/>
        <v>0</v>
      </c>
      <c r="AG65" s="4">
        <f t="shared" si="16"/>
        <v>0</v>
      </c>
      <c r="AH65" s="4">
        <f t="shared" si="16"/>
        <v>0</v>
      </c>
      <c r="AI65" s="4">
        <f t="shared" si="16"/>
        <v>0</v>
      </c>
      <c r="AJ65" s="4">
        <f t="shared" si="16"/>
        <v>0</v>
      </c>
      <c r="AK65" s="4">
        <f t="shared" si="16"/>
        <v>0</v>
      </c>
      <c r="AL65" s="4">
        <f t="shared" si="16"/>
        <v>0</v>
      </c>
      <c r="AM65" s="4">
        <f t="shared" si="16"/>
        <v>0</v>
      </c>
      <c r="AN65" s="4">
        <f t="shared" si="16"/>
        <v>0</v>
      </c>
      <c r="AO65" s="4">
        <f t="shared" si="16"/>
        <v>0</v>
      </c>
      <c r="AP65" s="4">
        <f t="shared" si="16"/>
        <v>0</v>
      </c>
      <c r="AQ65" s="4">
        <f t="shared" si="16"/>
        <v>0</v>
      </c>
      <c r="AR65" s="4">
        <f t="shared" si="16"/>
        <v>0</v>
      </c>
    </row>
    <row r="67" spans="1:44" ht="15.75">
      <c r="B67" s="139" t="s">
        <v>77</v>
      </c>
    </row>
    <row r="68" spans="1:44">
      <c r="B68" s="134"/>
    </row>
    <row r="69" spans="1:44">
      <c r="B69" s="135" t="s">
        <v>72</v>
      </c>
    </row>
    <row r="70" spans="1:44">
      <c r="B70" s="135"/>
    </row>
    <row r="71" spans="1:44" ht="18">
      <c r="B71" s="136" t="s">
        <v>75</v>
      </c>
      <c r="C71" s="137" t="str">
        <f>J12</f>
        <v>2015/16</v>
      </c>
    </row>
    <row r="73" spans="1:44" s="501" customFormat="1" ht="38.25" customHeight="1">
      <c r="B73" s="1218" t="str">
        <f>B52</f>
        <v>Age group</v>
      </c>
      <c r="C73" s="1217" t="str">
        <f>C52</f>
        <v>Art &amp; Design</v>
      </c>
      <c r="D73" s="1217"/>
      <c r="E73" s="1217" t="str">
        <f>E52</f>
        <v>Biology</v>
      </c>
      <c r="F73" s="1217"/>
      <c r="G73" s="1217" t="str">
        <f t="shared" ref="G73:AQ73" si="17">G52</f>
        <v>Business Studies</v>
      </c>
      <c r="H73" s="1217"/>
      <c r="I73" s="1217" t="str">
        <f t="shared" si="17"/>
        <v>Chemistry</v>
      </c>
      <c r="J73" s="1217"/>
      <c r="K73" s="1217" t="str">
        <f t="shared" si="17"/>
        <v>Classics</v>
      </c>
      <c r="L73" s="1217"/>
      <c r="M73" s="1217" t="str">
        <f t="shared" si="17"/>
        <v>Computing</v>
      </c>
      <c r="N73" s="1217"/>
      <c r="O73" s="1217" t="str">
        <f t="shared" si="17"/>
        <v>Design &amp; Technology</v>
      </c>
      <c r="P73" s="1217"/>
      <c r="Q73" s="1217" t="str">
        <f t="shared" si="17"/>
        <v>Drama</v>
      </c>
      <c r="R73" s="1217"/>
      <c r="S73" s="1217" t="str">
        <f t="shared" si="17"/>
        <v>English</v>
      </c>
      <c r="T73" s="1217"/>
      <c r="U73" s="1217" t="str">
        <f t="shared" si="17"/>
        <v>Food</v>
      </c>
      <c r="V73" s="1217"/>
      <c r="W73" s="1217" t="str">
        <f t="shared" si="17"/>
        <v>Geography</v>
      </c>
      <c r="X73" s="1217"/>
      <c r="Y73" s="1217" t="str">
        <f t="shared" si="17"/>
        <v>History</v>
      </c>
      <c r="Z73" s="1217"/>
      <c r="AA73" s="1217" t="str">
        <f t="shared" si="17"/>
        <v>Mathematics</v>
      </c>
      <c r="AB73" s="1217"/>
      <c r="AC73" s="1217" t="str">
        <f t="shared" si="17"/>
        <v>Modern Foreign Languages</v>
      </c>
      <c r="AD73" s="1217"/>
      <c r="AE73" s="1217" t="str">
        <f t="shared" si="17"/>
        <v>Music</v>
      </c>
      <c r="AF73" s="1217"/>
      <c r="AG73" s="1217" t="str">
        <f t="shared" si="17"/>
        <v>Others</v>
      </c>
      <c r="AH73" s="1217"/>
      <c r="AI73" s="1217" t="str">
        <f t="shared" si="17"/>
        <v>Physical Education</v>
      </c>
      <c r="AJ73" s="1217"/>
      <c r="AK73" s="1217" t="str">
        <f t="shared" si="17"/>
        <v>Physics</v>
      </c>
      <c r="AL73" s="1217"/>
      <c r="AM73" s="1217" t="str">
        <f t="shared" si="17"/>
        <v>Religious Education</v>
      </c>
      <c r="AN73" s="1217"/>
      <c r="AO73" s="1217" t="str">
        <f t="shared" si="17"/>
        <v>Secondary total</v>
      </c>
      <c r="AP73" s="1217"/>
      <c r="AQ73" s="1217" t="str">
        <f t="shared" si="17"/>
        <v>Primary</v>
      </c>
      <c r="AR73" s="1217"/>
    </row>
    <row r="74" spans="1:44" s="501" customFormat="1">
      <c r="B74" s="1218"/>
      <c r="C74" s="503" t="str">
        <f>C53</f>
        <v>Male</v>
      </c>
      <c r="D74" s="503" t="str">
        <f t="shared" ref="D74:AR74" si="18">D53</f>
        <v>Female</v>
      </c>
      <c r="E74" s="503" t="str">
        <f t="shared" si="18"/>
        <v>Male</v>
      </c>
      <c r="F74" s="503" t="str">
        <f t="shared" si="18"/>
        <v>Female</v>
      </c>
      <c r="G74" s="503" t="str">
        <f t="shared" si="18"/>
        <v>Male</v>
      </c>
      <c r="H74" s="503" t="str">
        <f t="shared" si="18"/>
        <v>Female</v>
      </c>
      <c r="I74" s="503" t="str">
        <f t="shared" si="18"/>
        <v>Male</v>
      </c>
      <c r="J74" s="503" t="str">
        <f t="shared" si="18"/>
        <v>Female</v>
      </c>
      <c r="K74" s="503" t="str">
        <f t="shared" si="18"/>
        <v>Male</v>
      </c>
      <c r="L74" s="503" t="str">
        <f t="shared" si="18"/>
        <v>Female</v>
      </c>
      <c r="M74" s="503" t="str">
        <f t="shared" si="18"/>
        <v>Male</v>
      </c>
      <c r="N74" s="503" t="str">
        <f t="shared" si="18"/>
        <v>Female</v>
      </c>
      <c r="O74" s="503" t="str">
        <f t="shared" si="18"/>
        <v>Male</v>
      </c>
      <c r="P74" s="503" t="str">
        <f t="shared" si="18"/>
        <v>Female</v>
      </c>
      <c r="Q74" s="503" t="str">
        <f t="shared" si="18"/>
        <v>Male</v>
      </c>
      <c r="R74" s="503" t="str">
        <f t="shared" si="18"/>
        <v>Female</v>
      </c>
      <c r="S74" s="503" t="str">
        <f t="shared" si="18"/>
        <v>Male</v>
      </c>
      <c r="T74" s="503" t="str">
        <f t="shared" si="18"/>
        <v>Female</v>
      </c>
      <c r="U74" s="503" t="str">
        <f t="shared" si="18"/>
        <v>Male</v>
      </c>
      <c r="V74" s="503" t="str">
        <f t="shared" si="18"/>
        <v>Female</v>
      </c>
      <c r="W74" s="503" t="str">
        <f t="shared" si="18"/>
        <v>Male</v>
      </c>
      <c r="X74" s="503" t="str">
        <f t="shared" si="18"/>
        <v>Female</v>
      </c>
      <c r="Y74" s="503" t="str">
        <f t="shared" si="18"/>
        <v>Male</v>
      </c>
      <c r="Z74" s="503" t="str">
        <f t="shared" si="18"/>
        <v>Female</v>
      </c>
      <c r="AA74" s="503" t="str">
        <f t="shared" si="18"/>
        <v>Male</v>
      </c>
      <c r="AB74" s="503" t="str">
        <f t="shared" si="18"/>
        <v>Female</v>
      </c>
      <c r="AC74" s="503" t="str">
        <f t="shared" si="18"/>
        <v>Male</v>
      </c>
      <c r="AD74" s="503" t="str">
        <f t="shared" si="18"/>
        <v>Female</v>
      </c>
      <c r="AE74" s="503" t="str">
        <f t="shared" si="18"/>
        <v>Male</v>
      </c>
      <c r="AF74" s="503" t="str">
        <f t="shared" si="18"/>
        <v>Female</v>
      </c>
      <c r="AG74" s="503" t="str">
        <f t="shared" si="18"/>
        <v>Male</v>
      </c>
      <c r="AH74" s="503" t="str">
        <f t="shared" si="18"/>
        <v>Female</v>
      </c>
      <c r="AI74" s="503" t="str">
        <f t="shared" si="18"/>
        <v>Male</v>
      </c>
      <c r="AJ74" s="503" t="str">
        <f t="shared" si="18"/>
        <v>Female</v>
      </c>
      <c r="AK74" s="503" t="str">
        <f t="shared" si="18"/>
        <v>Male</v>
      </c>
      <c r="AL74" s="503" t="str">
        <f t="shared" si="18"/>
        <v>Female</v>
      </c>
      <c r="AM74" s="503" t="str">
        <f t="shared" si="18"/>
        <v>Male</v>
      </c>
      <c r="AN74" s="503" t="str">
        <f t="shared" si="18"/>
        <v>Female</v>
      </c>
      <c r="AO74" s="503" t="str">
        <f t="shared" si="18"/>
        <v>Male</v>
      </c>
      <c r="AP74" s="503" t="str">
        <f t="shared" si="18"/>
        <v>Female</v>
      </c>
      <c r="AQ74" s="503" t="str">
        <f t="shared" si="18"/>
        <v>Male</v>
      </c>
      <c r="AR74" s="503" t="str">
        <f t="shared" si="18"/>
        <v>Female</v>
      </c>
    </row>
    <row r="75" spans="1:44" s="501" customFormat="1">
      <c r="B75" s="503" t="str">
        <f t="shared" ref="B75:B84" si="19">B54</f>
        <v>20-24</v>
      </c>
      <c r="C75" s="523">
        <f t="shared" ref="C75:D84" si="20">C54/($C$64+$D$64)</f>
        <v>2.8578159879437673E-3</v>
      </c>
      <c r="D75" s="523">
        <f t="shared" si="20"/>
        <v>1.6549792132891691E-2</v>
      </c>
      <c r="E75" s="523">
        <f t="shared" ref="E75:F84" si="21">E54/($E$64+$F$64)</f>
        <v>1.7305729555839991E-2</v>
      </c>
      <c r="F75" s="523">
        <f t="shared" si="21"/>
        <v>4.2771975887642311E-2</v>
      </c>
      <c r="G75" s="523">
        <f t="shared" ref="G75:H84" si="22">G54/($G$64+$H$64)</f>
        <v>1.2315230144050318E-2</v>
      </c>
      <c r="H75" s="523">
        <f t="shared" si="22"/>
        <v>2.0954457575498721E-2</v>
      </c>
      <c r="I75" s="523">
        <f t="shared" ref="I75:J84" si="23">I54/($J$64+$I$64)</f>
        <v>1.9769132616704696E-2</v>
      </c>
      <c r="J75" s="523">
        <f t="shared" si="23"/>
        <v>4.3791724533209835E-2</v>
      </c>
      <c r="K75" s="523">
        <f t="shared" ref="K75:L84" si="24">K54/($K$64+$L$64)</f>
        <v>1.6262858185819237E-2</v>
      </c>
      <c r="L75" s="523">
        <f t="shared" si="24"/>
        <v>1.6944725978288319E-2</v>
      </c>
      <c r="M75" s="523">
        <f t="shared" ref="M75:N84" si="25">M54/($M$64+$N$64)</f>
        <v>1.7245597893364991E-2</v>
      </c>
      <c r="N75" s="523">
        <f t="shared" si="25"/>
        <v>1.6722267985963737E-2</v>
      </c>
      <c r="O75" s="523">
        <f t="shared" ref="O75:P84" si="26">O54/($O$64+$P$64)</f>
        <v>9.2702260093620627E-3</v>
      </c>
      <c r="P75" s="523">
        <f t="shared" si="26"/>
        <v>1.8236537918000319E-2</v>
      </c>
      <c r="Q75" s="523">
        <f t="shared" ref="Q75:R84" si="27">Q54/($Q$64+$R$64)</f>
        <v>8.3288076979339386E-3</v>
      </c>
      <c r="R75" s="523">
        <f t="shared" si="27"/>
        <v>3.3383930321510075E-2</v>
      </c>
      <c r="S75" s="523">
        <f t="shared" ref="S75:T84" si="28">S54/($S$64+$T$64)</f>
        <v>1.2031176777278683E-2</v>
      </c>
      <c r="T75" s="523">
        <f t="shared" si="28"/>
        <v>5.7217195673770094E-2</v>
      </c>
      <c r="U75" s="523">
        <f>U54/($U$64+$V$64)</f>
        <v>4.7962924637192346E-3</v>
      </c>
      <c r="V75" s="523">
        <f>V54/($U$64+$V$64)</f>
        <v>1.9867695816887063E-2</v>
      </c>
      <c r="W75" s="523">
        <f>W54/($W$64+$X$64)</f>
        <v>2.2214866692334048E-2</v>
      </c>
      <c r="X75" s="523">
        <f>X54/($W$64+$X$64)</f>
        <v>5.17855998769308E-2</v>
      </c>
      <c r="Y75" s="523">
        <f t="shared" ref="Y75:Z84" si="29">Y54/($Y$64+$Z$64)</f>
        <v>2.2720835786268469E-2</v>
      </c>
      <c r="Z75" s="523">
        <f t="shared" si="29"/>
        <v>4.7237956332258919E-2</v>
      </c>
      <c r="AA75" s="523">
        <f t="shared" ref="AA75:AB84" si="30">AA54/($AA$64+$AB$64)</f>
        <v>2.9675153577924822E-2</v>
      </c>
      <c r="AB75" s="523">
        <f t="shared" si="30"/>
        <v>5.049963316447293E-2</v>
      </c>
      <c r="AC75" s="523">
        <f t="shared" ref="AC75:AD84" si="31">AC54/($AC$64+$AD$64)</f>
        <v>5.3329457860953489E-3</v>
      </c>
      <c r="AD75" s="523">
        <f t="shared" si="31"/>
        <v>2.6419514148856765E-2</v>
      </c>
      <c r="AE75" s="523">
        <f t="shared" ref="AE75:AF84" si="32">AE54/($AE$64+$AF$64)</f>
        <v>2.2472418509823556E-2</v>
      </c>
      <c r="AF75" s="523">
        <f t="shared" si="32"/>
        <v>3.0323194492633869E-2</v>
      </c>
      <c r="AG75" s="523">
        <f t="shared" ref="AG75:AH84" si="33">AG54/($AG$64+$AH$64)</f>
        <v>1.0421218488592425E-2</v>
      </c>
      <c r="AH75" s="523">
        <f t="shared" si="33"/>
        <v>3.2191904642391876E-2</v>
      </c>
      <c r="AI75" s="523">
        <f t="shared" ref="AI75:AJ84" si="34">AI54/($AI$64+$AJ$64)</f>
        <v>2.3715910120798277E-2</v>
      </c>
      <c r="AJ75" s="523">
        <f t="shared" si="34"/>
        <v>3.9517898405419499E-2</v>
      </c>
      <c r="AK75" s="523">
        <f t="shared" ref="AK75:AL84" si="35">AK54/($AK$64+$AL$64)</f>
        <v>2.8598640866306441E-2</v>
      </c>
      <c r="AL75" s="523">
        <f t="shared" si="35"/>
        <v>2.412374351993694E-2</v>
      </c>
      <c r="AM75" s="523">
        <f t="shared" ref="AM75:AN84" si="36">AM54/($AM$64+$AN$64)</f>
        <v>1.43120458616582E-2</v>
      </c>
      <c r="AN75" s="523">
        <f t="shared" si="36"/>
        <v>4.5660744964381494E-2</v>
      </c>
      <c r="AO75" s="523">
        <f t="shared" ref="AO75:AP84" si="37">AO54/($AO$64+$AP$64)</f>
        <v>1.7251425927910329E-2</v>
      </c>
      <c r="AP75" s="523">
        <f t="shared" si="37"/>
        <v>3.9258429997859293E-2</v>
      </c>
      <c r="AQ75" s="523">
        <f t="shared" ref="AQ75:AR84" si="38">AQ54/($AR$64+$AQ$64)</f>
        <v>1.0090060846859704E-2</v>
      </c>
      <c r="AR75" s="523">
        <f t="shared" si="38"/>
        <v>6.8341230009853843E-2</v>
      </c>
    </row>
    <row r="76" spans="1:44" s="501" customFormat="1">
      <c r="B76" s="503" t="str">
        <f t="shared" si="19"/>
        <v>25-29</v>
      </c>
      <c r="C76" s="523">
        <f t="shared" si="20"/>
        <v>1.7937065148109166E-2</v>
      </c>
      <c r="D76" s="523">
        <f t="shared" si="20"/>
        <v>0.10186937696947722</v>
      </c>
      <c r="E76" s="523">
        <f t="shared" si="21"/>
        <v>4.559037036834504E-2</v>
      </c>
      <c r="F76" s="523">
        <f t="shared" si="21"/>
        <v>0.1314610959147029</v>
      </c>
      <c r="G76" s="523">
        <f t="shared" si="22"/>
        <v>4.9295133180734946E-2</v>
      </c>
      <c r="H76" s="523">
        <f t="shared" si="22"/>
        <v>7.5133494532084885E-2</v>
      </c>
      <c r="I76" s="523">
        <f t="shared" si="23"/>
        <v>6.917673163095503E-2</v>
      </c>
      <c r="J76" s="523">
        <f t="shared" si="23"/>
        <v>0.11725641265862348</v>
      </c>
      <c r="K76" s="523">
        <f t="shared" si="24"/>
        <v>5.26929172234245E-2</v>
      </c>
      <c r="L76" s="523">
        <f t="shared" si="24"/>
        <v>0.13097639837972641</v>
      </c>
      <c r="M76" s="523">
        <f t="shared" si="25"/>
        <v>6.9682684565817166E-2</v>
      </c>
      <c r="N76" s="523">
        <f t="shared" si="25"/>
        <v>5.1492168239126446E-2</v>
      </c>
      <c r="O76" s="523">
        <f t="shared" si="26"/>
        <v>3.5412715709595984E-2</v>
      </c>
      <c r="P76" s="523">
        <f t="shared" si="26"/>
        <v>8.0337239308209366E-2</v>
      </c>
      <c r="Q76" s="523">
        <f t="shared" si="27"/>
        <v>3.2262144149499968E-2</v>
      </c>
      <c r="R76" s="523">
        <f t="shared" si="27"/>
        <v>0.15209286031130995</v>
      </c>
      <c r="S76" s="523">
        <f t="shared" si="28"/>
        <v>3.817965156178954E-2</v>
      </c>
      <c r="T76" s="523">
        <f t="shared" si="28"/>
        <v>0.15907542101292813</v>
      </c>
      <c r="U76" s="523">
        <f t="shared" ref="U76:V84" si="39">U55/($U$64+$V$64)</f>
        <v>6.8686506648267028E-3</v>
      </c>
      <c r="V76" s="523">
        <f t="shared" si="39"/>
        <v>9.9456067246230337E-2</v>
      </c>
      <c r="W76" s="523">
        <f t="shared" ref="W76:X84" si="40">W55/($W$64+$X$64)</f>
        <v>6.3427384775274917E-2</v>
      </c>
      <c r="X76" s="523">
        <f t="shared" si="40"/>
        <v>0.12180271851178466</v>
      </c>
      <c r="Y76" s="523">
        <f t="shared" si="29"/>
        <v>7.689151754542374E-2</v>
      </c>
      <c r="Z76" s="523">
        <f t="shared" si="29"/>
        <v>0.11370645430705947</v>
      </c>
      <c r="AA76" s="523">
        <f t="shared" si="30"/>
        <v>7.3261156312669815E-2</v>
      </c>
      <c r="AB76" s="523">
        <f t="shared" si="30"/>
        <v>9.652819557219959E-2</v>
      </c>
      <c r="AC76" s="523">
        <f t="shared" si="31"/>
        <v>2.6655848933211664E-2</v>
      </c>
      <c r="AD76" s="523">
        <f t="shared" si="31"/>
        <v>0.11429882136891806</v>
      </c>
      <c r="AE76" s="523">
        <f t="shared" si="32"/>
        <v>8.2627542439503682E-2</v>
      </c>
      <c r="AF76" s="523">
        <f t="shared" si="32"/>
        <v>0.11017424298699734</v>
      </c>
      <c r="AG76" s="523">
        <f t="shared" si="33"/>
        <v>4.2251987341827599E-2</v>
      </c>
      <c r="AH76" s="523">
        <f t="shared" si="33"/>
        <v>0.11663588002563892</v>
      </c>
      <c r="AI76" s="523">
        <f t="shared" si="34"/>
        <v>0.10368801744904138</v>
      </c>
      <c r="AJ76" s="523">
        <f t="shared" si="34"/>
        <v>0.11041365018305557</v>
      </c>
      <c r="AK76" s="523">
        <f t="shared" si="35"/>
        <v>9.9077829622856703E-2</v>
      </c>
      <c r="AL76" s="523">
        <f t="shared" si="35"/>
        <v>5.607820651541312E-2</v>
      </c>
      <c r="AM76" s="523">
        <f t="shared" si="36"/>
        <v>4.1677217050166221E-2</v>
      </c>
      <c r="AN76" s="523">
        <f t="shared" si="36"/>
        <v>0.13986194881509545</v>
      </c>
      <c r="AO76" s="523">
        <f t="shared" si="37"/>
        <v>5.7061604590143908E-2</v>
      </c>
      <c r="AP76" s="523">
        <f t="shared" si="37"/>
        <v>0.11307295773035383</v>
      </c>
      <c r="AQ76" s="523">
        <f t="shared" si="38"/>
        <v>2.8140895980388485E-2</v>
      </c>
      <c r="AR76" s="523">
        <f t="shared" si="38"/>
        <v>0.15226322081045249</v>
      </c>
    </row>
    <row r="77" spans="1:44" s="501" customFormat="1">
      <c r="B77" s="503" t="str">
        <f t="shared" si="19"/>
        <v>30-34</v>
      </c>
      <c r="C77" s="523">
        <f t="shared" si="20"/>
        <v>3.5564889849179528E-2</v>
      </c>
      <c r="D77" s="523">
        <f t="shared" si="20"/>
        <v>0.14181064031127744</v>
      </c>
      <c r="E77" s="523">
        <f t="shared" si="21"/>
        <v>5.5161646774192906E-2</v>
      </c>
      <c r="F77" s="523">
        <f t="shared" si="21"/>
        <v>0.13489288452652368</v>
      </c>
      <c r="G77" s="523">
        <f t="shared" si="22"/>
        <v>8.0319210137739516E-2</v>
      </c>
      <c r="H77" s="523">
        <f t="shared" si="22"/>
        <v>0.10779585404249163</v>
      </c>
      <c r="I77" s="523">
        <f t="shared" si="23"/>
        <v>5.9391087148323765E-2</v>
      </c>
      <c r="J77" s="523">
        <f t="shared" si="23"/>
        <v>0.10057733265226043</v>
      </c>
      <c r="K77" s="523">
        <f t="shared" si="24"/>
        <v>4.9379795429334176E-2</v>
      </c>
      <c r="L77" s="523">
        <f t="shared" si="24"/>
        <v>9.3704223983202939E-2</v>
      </c>
      <c r="M77" s="523">
        <f t="shared" si="25"/>
        <v>0.12397168744385881</v>
      </c>
      <c r="N77" s="523">
        <f t="shared" si="25"/>
        <v>7.307199855289373E-2</v>
      </c>
      <c r="O77" s="523">
        <f t="shared" si="26"/>
        <v>6.1173732216890896E-2</v>
      </c>
      <c r="P77" s="523">
        <f t="shared" si="26"/>
        <v>9.570596078087977E-2</v>
      </c>
      <c r="Q77" s="523">
        <f t="shared" si="27"/>
        <v>4.4748191841691785E-2</v>
      </c>
      <c r="R77" s="523">
        <f t="shared" si="27"/>
        <v>0.19520383581910192</v>
      </c>
      <c r="S77" s="523">
        <f t="shared" si="28"/>
        <v>3.7837552004384802E-2</v>
      </c>
      <c r="T77" s="523">
        <f t="shared" si="28"/>
        <v>0.14207089005922735</v>
      </c>
      <c r="U77" s="523">
        <f t="shared" si="39"/>
        <v>2.1313158702156478E-2</v>
      </c>
      <c r="V77" s="523">
        <f t="shared" si="39"/>
        <v>9.4519074824101837E-2</v>
      </c>
      <c r="W77" s="523">
        <f t="shared" si="40"/>
        <v>7.7840249284351501E-2</v>
      </c>
      <c r="X77" s="523">
        <f t="shared" si="40"/>
        <v>0.10405336218857361</v>
      </c>
      <c r="Y77" s="523">
        <f t="shared" si="29"/>
        <v>7.9910824347280682E-2</v>
      </c>
      <c r="Z77" s="523">
        <f t="shared" si="29"/>
        <v>0.10422843233768495</v>
      </c>
      <c r="AA77" s="523">
        <f t="shared" si="30"/>
        <v>7.0283556792922558E-2</v>
      </c>
      <c r="AB77" s="523">
        <f t="shared" si="30"/>
        <v>7.4299750250375607E-2</v>
      </c>
      <c r="AC77" s="523">
        <f t="shared" si="31"/>
        <v>2.7513973811777802E-2</v>
      </c>
      <c r="AD77" s="523">
        <f t="shared" si="31"/>
        <v>0.11186798554615444</v>
      </c>
      <c r="AE77" s="523">
        <f t="shared" si="32"/>
        <v>8.5081137455924966E-2</v>
      </c>
      <c r="AF77" s="523">
        <f t="shared" si="32"/>
        <v>0.11254356393126702</v>
      </c>
      <c r="AG77" s="523">
        <f t="shared" si="33"/>
        <v>5.77724863728089E-2</v>
      </c>
      <c r="AH77" s="523">
        <f t="shared" si="33"/>
        <v>0.12809478641479041</v>
      </c>
      <c r="AI77" s="523">
        <f t="shared" si="34"/>
        <v>0.13839029416639445</v>
      </c>
      <c r="AJ77" s="523">
        <f t="shared" si="34"/>
        <v>0.1096151979183479</v>
      </c>
      <c r="AK77" s="523">
        <f t="shared" si="35"/>
        <v>0.10229133457766515</v>
      </c>
      <c r="AL77" s="523">
        <f t="shared" si="35"/>
        <v>7.0115489310960316E-2</v>
      </c>
      <c r="AM77" s="523">
        <f t="shared" si="36"/>
        <v>5.2006752924057355E-2</v>
      </c>
      <c r="AN77" s="523">
        <f t="shared" si="36"/>
        <v>0.12151089804779523</v>
      </c>
      <c r="AO77" s="523">
        <f t="shared" si="37"/>
        <v>6.7015285205156233E-2</v>
      </c>
      <c r="AP77" s="523">
        <f t="shared" si="37"/>
        <v>0.11092101080461544</v>
      </c>
      <c r="AQ77" s="523">
        <f t="shared" si="38"/>
        <v>2.5068276478308681E-2</v>
      </c>
      <c r="AR77" s="523">
        <f t="shared" si="38"/>
        <v>0.13793614647384919</v>
      </c>
    </row>
    <row r="78" spans="1:44" s="501" customFormat="1">
      <c r="B78" s="503" t="str">
        <f t="shared" si="19"/>
        <v>35-39</v>
      </c>
      <c r="C78" s="523">
        <f t="shared" si="20"/>
        <v>3.5972173955865813E-2</v>
      </c>
      <c r="D78" s="523">
        <f t="shared" si="20"/>
        <v>0.13891309201833954</v>
      </c>
      <c r="E78" s="523">
        <f t="shared" si="21"/>
        <v>5.5143523055596451E-2</v>
      </c>
      <c r="F78" s="523">
        <f t="shared" si="21"/>
        <v>0.12522059963729126</v>
      </c>
      <c r="G78" s="523">
        <f t="shared" si="22"/>
        <v>7.676371424238039E-2</v>
      </c>
      <c r="H78" s="523">
        <f t="shared" si="22"/>
        <v>9.9548437203091242E-2</v>
      </c>
      <c r="I78" s="523">
        <f t="shared" si="23"/>
        <v>5.8554484201311423E-2</v>
      </c>
      <c r="J78" s="523">
        <f t="shared" si="23"/>
        <v>8.4737116896260387E-2</v>
      </c>
      <c r="K78" s="523">
        <f t="shared" si="24"/>
        <v>6.0138427054702015E-2</v>
      </c>
      <c r="L78" s="523">
        <f t="shared" si="24"/>
        <v>8.8948305965899518E-2</v>
      </c>
      <c r="M78" s="523">
        <f t="shared" si="25"/>
        <v>0.10861704173070591</v>
      </c>
      <c r="N78" s="523">
        <f t="shared" si="25"/>
        <v>7.2878677535714934E-2</v>
      </c>
      <c r="O78" s="523">
        <f t="shared" si="26"/>
        <v>5.9817472132471246E-2</v>
      </c>
      <c r="P78" s="523">
        <f t="shared" si="26"/>
        <v>8.0321121976761653E-2</v>
      </c>
      <c r="Q78" s="523">
        <f t="shared" si="27"/>
        <v>4.2863363298872761E-2</v>
      </c>
      <c r="R78" s="523">
        <f t="shared" si="27"/>
        <v>0.14924440146582757</v>
      </c>
      <c r="S78" s="523">
        <f t="shared" si="28"/>
        <v>3.4393697818160804E-2</v>
      </c>
      <c r="T78" s="523">
        <f t="shared" si="28"/>
        <v>0.12048428324694936</v>
      </c>
      <c r="U78" s="523">
        <f t="shared" si="39"/>
        <v>1.3719759124927648E-2</v>
      </c>
      <c r="V78" s="523">
        <f t="shared" si="39"/>
        <v>9.7879530691545785E-2</v>
      </c>
      <c r="W78" s="523">
        <f t="shared" si="40"/>
        <v>7.8706245522426943E-2</v>
      </c>
      <c r="X78" s="523">
        <f t="shared" si="40"/>
        <v>9.859490419875247E-2</v>
      </c>
      <c r="Y78" s="523">
        <f t="shared" si="29"/>
        <v>7.1586885106852446E-2</v>
      </c>
      <c r="Z78" s="523">
        <f t="shared" si="29"/>
        <v>9.5123656710726492E-2</v>
      </c>
      <c r="AA78" s="523">
        <f t="shared" si="30"/>
        <v>6.3570457304598815E-2</v>
      </c>
      <c r="AB78" s="523">
        <f t="shared" si="30"/>
        <v>6.9781591004205015E-2</v>
      </c>
      <c r="AC78" s="523">
        <f t="shared" si="31"/>
        <v>3.060966771548828E-2</v>
      </c>
      <c r="AD78" s="523">
        <f t="shared" si="31"/>
        <v>0.13373275881209629</v>
      </c>
      <c r="AE78" s="523">
        <f t="shared" si="32"/>
        <v>7.2803515449792522E-2</v>
      </c>
      <c r="AF78" s="523">
        <f t="shared" si="32"/>
        <v>0.11365969483933049</v>
      </c>
      <c r="AG78" s="523">
        <f t="shared" si="33"/>
        <v>5.0381172555528014E-2</v>
      </c>
      <c r="AH78" s="523">
        <f t="shared" si="33"/>
        <v>0.10100666226231804</v>
      </c>
      <c r="AI78" s="523">
        <f t="shared" si="34"/>
        <v>0.11004014013138863</v>
      </c>
      <c r="AJ78" s="523">
        <f t="shared" si="34"/>
        <v>8.8176623662323053E-2</v>
      </c>
      <c r="AK78" s="523">
        <f t="shared" si="35"/>
        <v>8.8039125714065428E-2</v>
      </c>
      <c r="AL78" s="523">
        <f t="shared" si="35"/>
        <v>5.8320661085263424E-2</v>
      </c>
      <c r="AM78" s="523">
        <f t="shared" si="36"/>
        <v>5.3917655348936284E-2</v>
      </c>
      <c r="AN78" s="523">
        <f t="shared" si="36"/>
        <v>0.10801739229129391</v>
      </c>
      <c r="AO78" s="523">
        <f t="shared" si="37"/>
        <v>6.0886012579276109E-2</v>
      </c>
      <c r="AP78" s="523">
        <f t="shared" si="37"/>
        <v>9.9833313919605329E-2</v>
      </c>
      <c r="AQ78" s="523">
        <f t="shared" si="38"/>
        <v>2.1211574064021604E-2</v>
      </c>
      <c r="AR78" s="523">
        <f t="shared" si="38"/>
        <v>0.12533479719854562</v>
      </c>
    </row>
    <row r="79" spans="1:44" s="501" customFormat="1">
      <c r="B79" s="503" t="str">
        <f t="shared" si="19"/>
        <v>40-44</v>
      </c>
      <c r="C79" s="523">
        <f t="shared" si="20"/>
        <v>4.4374940891201205E-2</v>
      </c>
      <c r="D79" s="523">
        <f t="shared" si="20"/>
        <v>0.13369831092934986</v>
      </c>
      <c r="E79" s="523">
        <f t="shared" si="21"/>
        <v>4.6015241014844402E-2</v>
      </c>
      <c r="F79" s="523">
        <f t="shared" si="21"/>
        <v>9.8032443799871929E-2</v>
      </c>
      <c r="G79" s="523">
        <f t="shared" si="22"/>
        <v>6.6067808074697656E-2</v>
      </c>
      <c r="H79" s="523">
        <f t="shared" si="22"/>
        <v>9.4952616632294248E-2</v>
      </c>
      <c r="I79" s="523">
        <f t="shared" si="23"/>
        <v>6.3837461928900913E-2</v>
      </c>
      <c r="J79" s="523">
        <f t="shared" si="23"/>
        <v>8.7572427884749657E-2</v>
      </c>
      <c r="K79" s="523">
        <f t="shared" si="24"/>
        <v>3.6458620432381905E-2</v>
      </c>
      <c r="L79" s="523">
        <f t="shared" si="24"/>
        <v>4.8008848480055426E-2</v>
      </c>
      <c r="M79" s="523">
        <f t="shared" si="25"/>
        <v>8.9898486394913449E-2</v>
      </c>
      <c r="N79" s="523">
        <f t="shared" si="25"/>
        <v>6.4843462949899844E-2</v>
      </c>
      <c r="O79" s="523">
        <f t="shared" si="26"/>
        <v>6.5605998365009133E-2</v>
      </c>
      <c r="P79" s="523">
        <f t="shared" si="26"/>
        <v>7.7366574698116489E-2</v>
      </c>
      <c r="Q79" s="523">
        <f t="shared" si="27"/>
        <v>3.1948955116705258E-2</v>
      </c>
      <c r="R79" s="523">
        <f t="shared" si="27"/>
        <v>9.5156012592144595E-2</v>
      </c>
      <c r="S79" s="523">
        <f t="shared" si="28"/>
        <v>2.9424927838178003E-2</v>
      </c>
      <c r="T79" s="523">
        <f t="shared" si="28"/>
        <v>0.10077367306865465</v>
      </c>
      <c r="U79" s="523">
        <f t="shared" si="39"/>
        <v>2.124796703970282E-2</v>
      </c>
      <c r="V79" s="523">
        <f t="shared" si="39"/>
        <v>0.12158829726263173</v>
      </c>
      <c r="W79" s="523">
        <f t="shared" si="40"/>
        <v>7.0599867015683673E-2</v>
      </c>
      <c r="X79" s="523">
        <f t="shared" si="40"/>
        <v>7.4731926847092942E-2</v>
      </c>
      <c r="Y79" s="523">
        <f t="shared" si="29"/>
        <v>6.5494446777494317E-2</v>
      </c>
      <c r="Z79" s="523">
        <f t="shared" si="29"/>
        <v>7.5382409949045479E-2</v>
      </c>
      <c r="AA79" s="523">
        <f t="shared" si="30"/>
        <v>6.5316281735913431E-2</v>
      </c>
      <c r="AB79" s="523">
        <f t="shared" si="30"/>
        <v>7.0828406741651556E-2</v>
      </c>
      <c r="AC79" s="523">
        <f t="shared" si="31"/>
        <v>3.1050813293907048E-2</v>
      </c>
      <c r="AD79" s="523">
        <f t="shared" si="31"/>
        <v>0.14277608459830132</v>
      </c>
      <c r="AE79" s="523">
        <f t="shared" si="32"/>
        <v>5.7461083882346921E-2</v>
      </c>
      <c r="AF79" s="523">
        <f t="shared" si="32"/>
        <v>7.7685951111549564E-2</v>
      </c>
      <c r="AG79" s="523">
        <f t="shared" si="33"/>
        <v>4.8998308679720805E-2</v>
      </c>
      <c r="AH79" s="523">
        <f t="shared" si="33"/>
        <v>8.9086061256525767E-2</v>
      </c>
      <c r="AI79" s="523">
        <f t="shared" si="34"/>
        <v>6.8141651478719353E-2</v>
      </c>
      <c r="AJ79" s="523">
        <f t="shared" si="34"/>
        <v>5.1405414420974432E-2</v>
      </c>
      <c r="AK79" s="523">
        <f t="shared" si="35"/>
        <v>8.5638260245994441E-2</v>
      </c>
      <c r="AL79" s="523">
        <f t="shared" si="35"/>
        <v>5.2712840433722111E-2</v>
      </c>
      <c r="AM79" s="523">
        <f t="shared" si="36"/>
        <v>4.790629070910539E-2</v>
      </c>
      <c r="AN79" s="523">
        <f t="shared" si="36"/>
        <v>9.3324896419621869E-2</v>
      </c>
      <c r="AO79" s="523">
        <f t="shared" si="37"/>
        <v>5.489710098275967E-2</v>
      </c>
      <c r="AP79" s="523">
        <f t="shared" si="37"/>
        <v>8.6931995596564879E-2</v>
      </c>
      <c r="AQ79" s="523">
        <f t="shared" si="38"/>
        <v>1.9575772482779235E-2</v>
      </c>
      <c r="AR79" s="523">
        <f t="shared" si="38"/>
        <v>0.11902346004938151</v>
      </c>
    </row>
    <row r="80" spans="1:44" s="501" customFormat="1">
      <c r="B80" s="503" t="str">
        <f t="shared" si="19"/>
        <v>45-49</v>
      </c>
      <c r="C80" s="523">
        <f t="shared" si="20"/>
        <v>3.4185787138932687E-2</v>
      </c>
      <c r="D80" s="523">
        <f t="shared" si="20"/>
        <v>0.10069565110335495</v>
      </c>
      <c r="E80" s="523">
        <f t="shared" si="21"/>
        <v>3.1384208477203204E-2</v>
      </c>
      <c r="F80" s="523">
        <f t="shared" si="21"/>
        <v>6.9646169548168643E-2</v>
      </c>
      <c r="G80" s="523">
        <f t="shared" si="22"/>
        <v>6.0932648674468605E-2</v>
      </c>
      <c r="H80" s="523">
        <f t="shared" si="22"/>
        <v>7.1195122546498624E-2</v>
      </c>
      <c r="I80" s="523">
        <f t="shared" si="23"/>
        <v>5.2667718314101601E-2</v>
      </c>
      <c r="J80" s="523">
        <f t="shared" si="23"/>
        <v>6.4197756006096993E-2</v>
      </c>
      <c r="K80" s="523">
        <f t="shared" si="24"/>
        <v>3.5967364442223683E-2</v>
      </c>
      <c r="L80" s="523">
        <f t="shared" si="24"/>
        <v>6.5587941178085071E-2</v>
      </c>
      <c r="M80" s="523">
        <f t="shared" si="25"/>
        <v>7.6509147099349098E-2</v>
      </c>
      <c r="N80" s="523">
        <f t="shared" si="25"/>
        <v>5.2144750595833768E-2</v>
      </c>
      <c r="O80" s="523">
        <f t="shared" si="26"/>
        <v>7.0328999801396688E-2</v>
      </c>
      <c r="P80" s="523">
        <f t="shared" si="26"/>
        <v>7.6857320451987149E-2</v>
      </c>
      <c r="Q80" s="523">
        <f t="shared" si="27"/>
        <v>2.7178378946200159E-2</v>
      </c>
      <c r="R80" s="523">
        <f t="shared" si="27"/>
        <v>5.8541734862583135E-2</v>
      </c>
      <c r="S80" s="523">
        <f t="shared" si="28"/>
        <v>2.2919672425804009E-2</v>
      </c>
      <c r="T80" s="523">
        <f t="shared" si="28"/>
        <v>7.7884343657377064E-2</v>
      </c>
      <c r="U80" s="523">
        <f t="shared" si="39"/>
        <v>1.5080881948387715E-2</v>
      </c>
      <c r="V80" s="523">
        <f t="shared" si="39"/>
        <v>0.1404148033559883</v>
      </c>
      <c r="W80" s="523">
        <f t="shared" si="40"/>
        <v>4.749425012260803E-2</v>
      </c>
      <c r="X80" s="523">
        <f t="shared" si="40"/>
        <v>4.3175930469235353E-2</v>
      </c>
      <c r="Y80" s="523">
        <f t="shared" si="29"/>
        <v>5.4269430397778734E-2</v>
      </c>
      <c r="Z80" s="523">
        <f t="shared" si="29"/>
        <v>4.8286908707840769E-2</v>
      </c>
      <c r="AA80" s="523">
        <f t="shared" si="30"/>
        <v>5.9731561975646164E-2</v>
      </c>
      <c r="AB80" s="523">
        <f t="shared" si="30"/>
        <v>7.0187355507319624E-2</v>
      </c>
      <c r="AC80" s="523">
        <f t="shared" si="31"/>
        <v>2.5578754234365467E-2</v>
      </c>
      <c r="AD80" s="523">
        <f t="shared" si="31"/>
        <v>0.11569532779595559</v>
      </c>
      <c r="AE80" s="523">
        <f t="shared" si="32"/>
        <v>4.3054585962856676E-2</v>
      </c>
      <c r="AF80" s="523">
        <f t="shared" si="32"/>
        <v>4.5230604391737726E-2</v>
      </c>
      <c r="AG80" s="523">
        <f t="shared" si="33"/>
        <v>4.3957287458028252E-2</v>
      </c>
      <c r="AH80" s="523">
        <f t="shared" si="33"/>
        <v>7.4914406498020253E-2</v>
      </c>
      <c r="AI80" s="523">
        <f t="shared" si="34"/>
        <v>3.2795887654600647E-2</v>
      </c>
      <c r="AJ80" s="523">
        <f t="shared" si="34"/>
        <v>2.9559060579972932E-2</v>
      </c>
      <c r="AK80" s="523">
        <f t="shared" si="35"/>
        <v>8.9109826191525035E-2</v>
      </c>
      <c r="AL80" s="523">
        <f t="shared" si="35"/>
        <v>4.1410421319743998E-2</v>
      </c>
      <c r="AM80" s="523">
        <f t="shared" si="36"/>
        <v>3.5908246145812374E-2</v>
      </c>
      <c r="AN80" s="523">
        <f t="shared" si="36"/>
        <v>5.8044710892347424E-2</v>
      </c>
      <c r="AO80" s="523">
        <f t="shared" si="37"/>
        <v>4.501650068069997E-2</v>
      </c>
      <c r="AP80" s="523">
        <f t="shared" si="37"/>
        <v>6.7762571184765419E-2</v>
      </c>
      <c r="AQ80" s="523">
        <f t="shared" si="38"/>
        <v>1.4842001642382729E-2</v>
      </c>
      <c r="AR80" s="523">
        <f t="shared" si="38"/>
        <v>9.9987499459188986E-2</v>
      </c>
    </row>
    <row r="81" spans="1:44" s="501" customFormat="1">
      <c r="B81" s="503" t="str">
        <f t="shared" si="19"/>
        <v>50-54</v>
      </c>
      <c r="C81" s="523">
        <f t="shared" si="20"/>
        <v>3.1623445193762145E-2</v>
      </c>
      <c r="D81" s="523">
        <f t="shared" si="20"/>
        <v>8.149118138692607E-2</v>
      </c>
      <c r="E81" s="523">
        <f t="shared" si="21"/>
        <v>2.5152127915955939E-2</v>
      </c>
      <c r="F81" s="523">
        <f t="shared" si="21"/>
        <v>5.1676893157163485E-2</v>
      </c>
      <c r="G81" s="523">
        <f t="shared" si="22"/>
        <v>4.6491442926402365E-2</v>
      </c>
      <c r="H81" s="523">
        <f t="shared" si="22"/>
        <v>5.4574770012848245E-2</v>
      </c>
      <c r="I81" s="523">
        <f t="shared" si="23"/>
        <v>4.2250568714849529E-2</v>
      </c>
      <c r="J81" s="523">
        <f t="shared" si="23"/>
        <v>5.5157161324979116E-2</v>
      </c>
      <c r="K81" s="523">
        <f t="shared" si="24"/>
        <v>6.0961441011262003E-2</v>
      </c>
      <c r="L81" s="523">
        <f t="shared" si="24"/>
        <v>5.7394122803659561E-2</v>
      </c>
      <c r="M81" s="523">
        <f t="shared" si="25"/>
        <v>5.5817354227314583E-2</v>
      </c>
      <c r="N81" s="523">
        <f t="shared" si="25"/>
        <v>4.4058355509957882E-2</v>
      </c>
      <c r="O81" s="523">
        <f t="shared" si="26"/>
        <v>7.0838075955465846E-2</v>
      </c>
      <c r="P81" s="523">
        <f t="shared" si="26"/>
        <v>6.4605031940679708E-2</v>
      </c>
      <c r="Q81" s="523">
        <f t="shared" si="27"/>
        <v>2.0759014061111334E-2</v>
      </c>
      <c r="R81" s="523">
        <f t="shared" si="27"/>
        <v>4.2477617276075769E-2</v>
      </c>
      <c r="S81" s="523">
        <f t="shared" si="28"/>
        <v>1.712396954119938E-2</v>
      </c>
      <c r="T81" s="523">
        <f t="shared" si="28"/>
        <v>6.5331659961367333E-2</v>
      </c>
      <c r="U81" s="523">
        <f t="shared" si="39"/>
        <v>1.7730156832111356E-2</v>
      </c>
      <c r="V81" s="523">
        <f t="shared" si="39"/>
        <v>0.14859808423029069</v>
      </c>
      <c r="W81" s="523">
        <f t="shared" si="40"/>
        <v>3.7089487510608608E-2</v>
      </c>
      <c r="X81" s="523">
        <f t="shared" si="40"/>
        <v>3.22650640931747E-2</v>
      </c>
      <c r="Y81" s="523">
        <f t="shared" si="29"/>
        <v>3.6279376542978914E-2</v>
      </c>
      <c r="Z81" s="523">
        <f t="shared" si="29"/>
        <v>3.3617241367440188E-2</v>
      </c>
      <c r="AA81" s="523">
        <f t="shared" si="30"/>
        <v>5.0051763080867812E-2</v>
      </c>
      <c r="AB81" s="523">
        <f t="shared" si="30"/>
        <v>5.8191282537850338E-2</v>
      </c>
      <c r="AC81" s="523">
        <f t="shared" si="31"/>
        <v>2.0106919283707652E-2</v>
      </c>
      <c r="AD81" s="523">
        <f t="shared" si="31"/>
        <v>8.8412170484517966E-2</v>
      </c>
      <c r="AE81" s="523">
        <f t="shared" si="32"/>
        <v>4.0336664794928916E-2</v>
      </c>
      <c r="AF81" s="523">
        <f t="shared" si="32"/>
        <v>3.9798842278774615E-2</v>
      </c>
      <c r="AG81" s="523">
        <f t="shared" si="33"/>
        <v>3.826551382410881E-2</v>
      </c>
      <c r="AH81" s="523">
        <f t="shared" si="33"/>
        <v>6.0974229040489401E-2</v>
      </c>
      <c r="AI81" s="523">
        <f t="shared" si="34"/>
        <v>2.3910382756978741E-2</v>
      </c>
      <c r="AJ81" s="523">
        <f t="shared" si="34"/>
        <v>2.3033361318341401E-2</v>
      </c>
      <c r="AK81" s="523">
        <f t="shared" si="35"/>
        <v>7.9455182534641747E-2</v>
      </c>
      <c r="AL81" s="523">
        <f t="shared" si="35"/>
        <v>4.0592435129104723E-2</v>
      </c>
      <c r="AM81" s="523">
        <f t="shared" si="36"/>
        <v>3.3646795300335382E-2</v>
      </c>
      <c r="AN81" s="523">
        <f t="shared" si="36"/>
        <v>5.9858356290093243E-2</v>
      </c>
      <c r="AO81" s="523">
        <f t="shared" si="37"/>
        <v>3.72104008795478E-2</v>
      </c>
      <c r="AP81" s="523">
        <f t="shared" si="37"/>
        <v>5.5663566262775063E-2</v>
      </c>
      <c r="AQ81" s="523">
        <f t="shared" si="38"/>
        <v>1.1690323419700109E-2</v>
      </c>
      <c r="AR81" s="523">
        <f t="shared" si="38"/>
        <v>7.9708199419577533E-2</v>
      </c>
    </row>
    <row r="82" spans="1:44" s="501" customFormat="1">
      <c r="B82" s="503" t="str">
        <f t="shared" si="19"/>
        <v>55-59</v>
      </c>
      <c r="C82" s="523">
        <f t="shared" si="20"/>
        <v>2.0709331537447376E-2</v>
      </c>
      <c r="D82" s="523">
        <f t="shared" si="20"/>
        <v>3.7339524857593266E-2</v>
      </c>
      <c r="E82" s="523">
        <f t="shared" si="21"/>
        <v>1.9767430505890009E-2</v>
      </c>
      <c r="F82" s="523">
        <f t="shared" si="21"/>
        <v>3.5983393361641219E-2</v>
      </c>
      <c r="G82" s="523">
        <f t="shared" si="22"/>
        <v>3.0229560038980578E-2</v>
      </c>
      <c r="H82" s="523">
        <f t="shared" si="22"/>
        <v>3.3666584187198256E-2</v>
      </c>
      <c r="I82" s="523">
        <f t="shared" si="23"/>
        <v>3.4025826003805583E-2</v>
      </c>
      <c r="J82" s="523">
        <f t="shared" si="23"/>
        <v>2.8955421943313943E-2</v>
      </c>
      <c r="K82" s="523">
        <f t="shared" si="24"/>
        <v>4.1211236523214921E-2</v>
      </c>
      <c r="L82" s="523">
        <f t="shared" si="24"/>
        <v>6.2598008931963517E-2</v>
      </c>
      <c r="M82" s="523">
        <f t="shared" si="25"/>
        <v>3.7576475998351545E-2</v>
      </c>
      <c r="N82" s="523">
        <f t="shared" si="25"/>
        <v>2.5470787555676919E-2</v>
      </c>
      <c r="O82" s="523">
        <f t="shared" si="26"/>
        <v>5.49270641594998E-2</v>
      </c>
      <c r="P82" s="523">
        <f t="shared" si="26"/>
        <v>4.8225816118459393E-2</v>
      </c>
      <c r="Q82" s="523">
        <f t="shared" si="27"/>
        <v>1.6089373310467274E-2</v>
      </c>
      <c r="R82" s="523">
        <f t="shared" si="27"/>
        <v>3.0956483296115153E-2</v>
      </c>
      <c r="S82" s="523">
        <f t="shared" si="28"/>
        <v>1.1822224183499703E-2</v>
      </c>
      <c r="T82" s="523">
        <f t="shared" si="28"/>
        <v>5.1120214409576842E-2</v>
      </c>
      <c r="U82" s="523">
        <f t="shared" si="39"/>
        <v>5.531993960204009E-3</v>
      </c>
      <c r="V82" s="523">
        <f t="shared" si="39"/>
        <v>0.12290613986136723</v>
      </c>
      <c r="W82" s="523">
        <f t="shared" si="40"/>
        <v>2.85739932750863E-2</v>
      </c>
      <c r="X82" s="523">
        <f t="shared" si="40"/>
        <v>2.955881456261511E-2</v>
      </c>
      <c r="Y82" s="523">
        <f t="shared" si="29"/>
        <v>2.6356140828082429E-2</v>
      </c>
      <c r="Z82" s="523">
        <f t="shared" si="29"/>
        <v>2.9736308054319659E-2</v>
      </c>
      <c r="AA82" s="523">
        <f t="shared" si="30"/>
        <v>3.1583233981395939E-2</v>
      </c>
      <c r="AB82" s="523">
        <f t="shared" si="30"/>
        <v>3.7562818131485147E-2</v>
      </c>
      <c r="AC82" s="523">
        <f t="shared" si="31"/>
        <v>1.3062398089236003E-2</v>
      </c>
      <c r="AD82" s="523">
        <f t="shared" si="31"/>
        <v>6.4203204797698935E-2</v>
      </c>
      <c r="AE82" s="523">
        <f t="shared" si="32"/>
        <v>2.6163188194191205E-2</v>
      </c>
      <c r="AF82" s="523">
        <f t="shared" si="32"/>
        <v>2.2606565359015136E-2</v>
      </c>
      <c r="AG82" s="523">
        <f t="shared" si="33"/>
        <v>2.8738044914396299E-2</v>
      </c>
      <c r="AH82" s="523">
        <f t="shared" si="33"/>
        <v>4.4978895546077938E-2</v>
      </c>
      <c r="AI82" s="523">
        <f t="shared" si="34"/>
        <v>1.9625242299983383E-2</v>
      </c>
      <c r="AJ82" s="523">
        <f t="shared" si="34"/>
        <v>1.8417450211384093E-2</v>
      </c>
      <c r="AK82" s="523">
        <f t="shared" si="35"/>
        <v>4.0032386183096749E-2</v>
      </c>
      <c r="AL82" s="523">
        <f t="shared" si="35"/>
        <v>1.7155909634114803E-2</v>
      </c>
      <c r="AM82" s="523">
        <f t="shared" si="36"/>
        <v>2.1734765521915066E-2</v>
      </c>
      <c r="AN82" s="523">
        <f t="shared" si="36"/>
        <v>4.5843081039414882E-2</v>
      </c>
      <c r="AO82" s="523">
        <f t="shared" si="37"/>
        <v>2.5582444254237155E-2</v>
      </c>
      <c r="AP82" s="523">
        <f t="shared" si="37"/>
        <v>3.8801294489286355E-2</v>
      </c>
      <c r="AQ82" s="523">
        <f t="shared" si="38"/>
        <v>6.4818726140203507E-3</v>
      </c>
      <c r="AR82" s="523">
        <f t="shared" si="38"/>
        <v>5.4096818452183233E-2</v>
      </c>
    </row>
    <row r="83" spans="1:44" s="501" customFormat="1">
      <c r="B83" s="503" t="str">
        <f t="shared" si="19"/>
        <v>60-64</v>
      </c>
      <c r="C83" s="523">
        <f t="shared" si="20"/>
        <v>6.5681623431691986E-3</v>
      </c>
      <c r="D83" s="523">
        <f t="shared" si="20"/>
        <v>1.3558747780349423E-2</v>
      </c>
      <c r="E83" s="523">
        <f t="shared" si="21"/>
        <v>4.8319239928739403E-3</v>
      </c>
      <c r="F83" s="523">
        <f t="shared" si="21"/>
        <v>8.0633361469364846E-3</v>
      </c>
      <c r="G83" s="523">
        <f t="shared" si="22"/>
        <v>7.8585410716438767E-3</v>
      </c>
      <c r="H83" s="523">
        <f t="shared" si="22"/>
        <v>7.8728215069584512E-3</v>
      </c>
      <c r="I83" s="523">
        <f t="shared" si="23"/>
        <v>8.2136476434549657E-3</v>
      </c>
      <c r="J83" s="523">
        <f t="shared" si="23"/>
        <v>5.9317235829473612E-3</v>
      </c>
      <c r="K83" s="523">
        <f t="shared" si="24"/>
        <v>1.778202063223662E-2</v>
      </c>
      <c r="L83" s="523">
        <f t="shared" si="24"/>
        <v>3.4601380229207605E-2</v>
      </c>
      <c r="M83" s="523">
        <f t="shared" si="25"/>
        <v>1.0008572539899415E-2</v>
      </c>
      <c r="N83" s="523">
        <f t="shared" si="25"/>
        <v>7.4740163915527815E-3</v>
      </c>
      <c r="O83" s="523">
        <f t="shared" si="26"/>
        <v>1.4838007133287505E-2</v>
      </c>
      <c r="P83" s="523">
        <f t="shared" si="26"/>
        <v>1.1949702336263338E-2</v>
      </c>
      <c r="Q83" s="523">
        <f t="shared" si="27"/>
        <v>5.1386880894028044E-3</v>
      </c>
      <c r="R83" s="523">
        <f t="shared" si="27"/>
        <v>1.1561325523866024E-2</v>
      </c>
      <c r="S83" s="523">
        <f t="shared" si="28"/>
        <v>4.6564209219184657E-3</v>
      </c>
      <c r="T83" s="523">
        <f t="shared" si="28"/>
        <v>1.4267173164286611E-2</v>
      </c>
      <c r="U83" s="523">
        <f t="shared" si="39"/>
        <v>4.7742877261430245E-3</v>
      </c>
      <c r="V83" s="523">
        <f t="shared" si="39"/>
        <v>3.3562747829355977E-2</v>
      </c>
      <c r="W83" s="523">
        <f t="shared" si="40"/>
        <v>8.4670974068695656E-3</v>
      </c>
      <c r="X83" s="523">
        <f t="shared" si="40"/>
        <v>8.0829927257338244E-3</v>
      </c>
      <c r="Y83" s="523">
        <f t="shared" si="29"/>
        <v>8.2642366196278242E-3</v>
      </c>
      <c r="Z83" s="523">
        <f t="shared" si="29"/>
        <v>9.204196025028347E-3</v>
      </c>
      <c r="AA83" s="523">
        <f t="shared" si="30"/>
        <v>1.2588385125792603E-2</v>
      </c>
      <c r="AB83" s="523">
        <f t="shared" si="30"/>
        <v>1.1089993266221442E-2</v>
      </c>
      <c r="AC83" s="523">
        <f t="shared" si="31"/>
        <v>3.5022709213473292E-3</v>
      </c>
      <c r="AD83" s="523">
        <f t="shared" si="31"/>
        <v>1.6046091629446646E-2</v>
      </c>
      <c r="AE83" s="523">
        <f t="shared" si="32"/>
        <v>7.8520522708233949E-3</v>
      </c>
      <c r="AF83" s="523">
        <f t="shared" si="32"/>
        <v>7.8058854987071461E-3</v>
      </c>
      <c r="AG83" s="523">
        <f t="shared" si="33"/>
        <v>1.1088350709830724E-2</v>
      </c>
      <c r="AH83" s="523">
        <f t="shared" si="33"/>
        <v>1.5454379801931512E-2</v>
      </c>
      <c r="AI83" s="523">
        <f t="shared" si="34"/>
        <v>4.558043682355511E-3</v>
      </c>
      <c r="AJ83" s="523">
        <f t="shared" si="34"/>
        <v>3.9758778518705004E-3</v>
      </c>
      <c r="AK83" s="523">
        <f t="shared" si="35"/>
        <v>1.5360433545862492E-2</v>
      </c>
      <c r="AL83" s="523">
        <f t="shared" si="35"/>
        <v>5.8605081322846767E-3</v>
      </c>
      <c r="AM83" s="523">
        <f t="shared" si="36"/>
        <v>9.1723032687616082E-3</v>
      </c>
      <c r="AN83" s="523">
        <f t="shared" si="36"/>
        <v>1.2583502037477776E-2</v>
      </c>
      <c r="AO83" s="523">
        <f t="shared" si="37"/>
        <v>8.3372476842577242E-3</v>
      </c>
      <c r="AP83" s="523">
        <f t="shared" si="37"/>
        <v>1.0930290706009758E-2</v>
      </c>
      <c r="AQ83" s="523">
        <f t="shared" si="38"/>
        <v>2.431145658870888E-3</v>
      </c>
      <c r="AR83" s="523">
        <f t="shared" si="38"/>
        <v>1.9567569306243929E-2</v>
      </c>
    </row>
    <row r="84" spans="1:44" s="501" customFormat="1">
      <c r="B84" s="502" t="str">
        <f t="shared" si="19"/>
        <v>65 plus</v>
      </c>
      <c r="C84" s="524">
        <f t="shared" si="20"/>
        <v>1.7762225169056967E-3</v>
      </c>
      <c r="D84" s="524">
        <f t="shared" si="20"/>
        <v>2.5038479479241398E-3</v>
      </c>
      <c r="E84" s="523">
        <f t="shared" si="21"/>
        <v>7.7955425807784665E-4</v>
      </c>
      <c r="F84" s="523">
        <f t="shared" si="21"/>
        <v>1.1194521012381545E-3</v>
      </c>
      <c r="G84" s="523">
        <f t="shared" si="22"/>
        <v>1.2574836764903275E-3</v>
      </c>
      <c r="H84" s="523">
        <f t="shared" si="22"/>
        <v>2.7750695934470886E-3</v>
      </c>
      <c r="I84" s="523">
        <f t="shared" si="23"/>
        <v>2.6096903751145549E-3</v>
      </c>
      <c r="J84" s="523">
        <f t="shared" si="23"/>
        <v>1.3265739400367719E-3</v>
      </c>
      <c r="K84" s="523">
        <f t="shared" si="24"/>
        <v>1.4989323734480956E-2</v>
      </c>
      <c r="L84" s="523">
        <f t="shared" si="24"/>
        <v>1.5392039400831595E-2</v>
      </c>
      <c r="M84" s="523">
        <f t="shared" si="25"/>
        <v>1.1061432047036633E-3</v>
      </c>
      <c r="N84" s="523">
        <f t="shared" si="25"/>
        <v>1.4103235851013797E-3</v>
      </c>
      <c r="O84" s="523">
        <f t="shared" si="26"/>
        <v>2.8367393808257668E-3</v>
      </c>
      <c r="P84" s="523">
        <f t="shared" si="26"/>
        <v>1.3456636068380258E-3</v>
      </c>
      <c r="Q84" s="523">
        <f t="shared" si="27"/>
        <v>1.1340933070231604E-3</v>
      </c>
      <c r="R84" s="523">
        <f t="shared" si="27"/>
        <v>9.3078871255741335E-4</v>
      </c>
      <c r="S84" s="523">
        <f t="shared" si="28"/>
        <v>9.1288139724134696E-4</v>
      </c>
      <c r="T84" s="523">
        <f t="shared" si="28"/>
        <v>2.472971276407982E-3</v>
      </c>
      <c r="U84" s="523">
        <f t="shared" si="39"/>
        <v>2.2740345523050601E-3</v>
      </c>
      <c r="V84" s="523">
        <f t="shared" si="39"/>
        <v>7.8703758671169136E-3</v>
      </c>
      <c r="W84" s="523">
        <f t="shared" si="40"/>
        <v>7.5177611075133845E-4</v>
      </c>
      <c r="X84" s="523">
        <f t="shared" si="40"/>
        <v>7.8346881011162183E-4</v>
      </c>
      <c r="Y84" s="523">
        <f t="shared" si="29"/>
        <v>7.1097340410275261E-4</v>
      </c>
      <c r="Z84" s="523">
        <f t="shared" si="29"/>
        <v>9.9176885270551673E-4</v>
      </c>
      <c r="AA84" s="523">
        <f t="shared" si="30"/>
        <v>3.0402595995896327E-3</v>
      </c>
      <c r="AB84" s="523">
        <f t="shared" si="30"/>
        <v>1.9291643368972138E-3</v>
      </c>
      <c r="AC84" s="523">
        <f t="shared" si="31"/>
        <v>5.9356438861866685E-4</v>
      </c>
      <c r="AD84" s="523">
        <f t="shared" si="31"/>
        <v>2.5408843602986934E-3</v>
      </c>
      <c r="AE84" s="523">
        <f t="shared" si="32"/>
        <v>9.1572971273112033E-4</v>
      </c>
      <c r="AF84" s="523">
        <f t="shared" si="32"/>
        <v>1.4035364370641361E-3</v>
      </c>
      <c r="AG84" s="523">
        <f t="shared" si="33"/>
        <v>2.4830110480911797E-3</v>
      </c>
      <c r="AH84" s="523">
        <f t="shared" si="33"/>
        <v>2.3054131188830341E-3</v>
      </c>
      <c r="AI84" s="523">
        <f t="shared" si="34"/>
        <v>7.1330779820805385E-4</v>
      </c>
      <c r="AJ84" s="523">
        <f t="shared" si="34"/>
        <v>3.0658790984214269E-4</v>
      </c>
      <c r="AK84" s="523">
        <f t="shared" si="35"/>
        <v>5.5531768449489476E-3</v>
      </c>
      <c r="AL84" s="523">
        <f t="shared" si="35"/>
        <v>4.7358859249281056E-4</v>
      </c>
      <c r="AM84" s="523">
        <f t="shared" si="36"/>
        <v>2.3856153464919734E-3</v>
      </c>
      <c r="AN84" s="523">
        <f t="shared" si="36"/>
        <v>2.626781725239015E-3</v>
      </c>
      <c r="AO84" s="523">
        <f t="shared" si="37"/>
        <v>1.8045113147683721E-3</v>
      </c>
      <c r="AP84" s="523">
        <f t="shared" si="37"/>
        <v>1.7620352094072686E-3</v>
      </c>
      <c r="AQ84" s="523">
        <f t="shared" si="38"/>
        <v>6.9494415416561351E-4</v>
      </c>
      <c r="AR84" s="523">
        <f t="shared" si="38"/>
        <v>3.5141914792262401E-3</v>
      </c>
    </row>
    <row r="85" spans="1:44" s="501" customFormat="1">
      <c r="B85" s="503" t="s">
        <v>8</v>
      </c>
      <c r="C85" s="523">
        <f>SUM(C75:C84)</f>
        <v>0.23156983456251659</v>
      </c>
      <c r="D85" s="523">
        <f t="shared" ref="D85:AR85" si="41">SUM(D75:D84)</f>
        <v>0.76843016543748366</v>
      </c>
      <c r="E85" s="523">
        <f t="shared" si="41"/>
        <v>0.30113175591881974</v>
      </c>
      <c r="F85" s="523">
        <f t="shared" si="41"/>
        <v>0.69886824408118009</v>
      </c>
      <c r="G85" s="523">
        <f t="shared" si="41"/>
        <v>0.43153077216758856</v>
      </c>
      <c r="H85" s="523">
        <f t="shared" si="41"/>
        <v>0.56846922783241138</v>
      </c>
      <c r="I85" s="523">
        <f t="shared" si="41"/>
        <v>0.4104963485775221</v>
      </c>
      <c r="J85" s="523">
        <f t="shared" si="41"/>
        <v>0.58950365142247796</v>
      </c>
      <c r="K85" s="523">
        <f t="shared" si="41"/>
        <v>0.38584400466907998</v>
      </c>
      <c r="L85" s="523">
        <f t="shared" si="41"/>
        <v>0.61415599533091991</v>
      </c>
      <c r="M85" s="523">
        <f t="shared" si="41"/>
        <v>0.59043319109827863</v>
      </c>
      <c r="N85" s="523">
        <f t="shared" si="41"/>
        <v>0.40956680890172148</v>
      </c>
      <c r="O85" s="523">
        <f t="shared" si="41"/>
        <v>0.44504903086380487</v>
      </c>
      <c r="P85" s="523">
        <f t="shared" si="41"/>
        <v>0.55495096913619535</v>
      </c>
      <c r="Q85" s="523">
        <f t="shared" si="41"/>
        <v>0.23045100981890843</v>
      </c>
      <c r="R85" s="523">
        <f t="shared" si="41"/>
        <v>0.76954899018109146</v>
      </c>
      <c r="S85" s="523">
        <f t="shared" si="41"/>
        <v>0.20930217446945473</v>
      </c>
      <c r="T85" s="523">
        <f t="shared" si="41"/>
        <v>0.79069782553054535</v>
      </c>
      <c r="U85" s="523">
        <f t="shared" si="41"/>
        <v>0.11333718301448405</v>
      </c>
      <c r="V85" s="523">
        <f t="shared" si="41"/>
        <v>0.88666281698551586</v>
      </c>
      <c r="W85" s="523">
        <f t="shared" si="41"/>
        <v>0.43516521771599492</v>
      </c>
      <c r="X85" s="523">
        <f t="shared" si="41"/>
        <v>0.56483478228400519</v>
      </c>
      <c r="Y85" s="523">
        <f t="shared" si="41"/>
        <v>0.44248466735589032</v>
      </c>
      <c r="Z85" s="523">
        <f t="shared" si="41"/>
        <v>0.55751533264410968</v>
      </c>
      <c r="AA85" s="523">
        <f t="shared" si="41"/>
        <v>0.45910180948732154</v>
      </c>
      <c r="AB85" s="523">
        <f t="shared" si="41"/>
        <v>0.5408981905126784</v>
      </c>
      <c r="AC85" s="523">
        <f t="shared" si="41"/>
        <v>0.18400715645775523</v>
      </c>
      <c r="AD85" s="523">
        <f t="shared" si="41"/>
        <v>0.81599284354224466</v>
      </c>
      <c r="AE85" s="523">
        <f t="shared" si="41"/>
        <v>0.43876791867292303</v>
      </c>
      <c r="AF85" s="523">
        <f t="shared" si="41"/>
        <v>0.56123208132707714</v>
      </c>
      <c r="AG85" s="523">
        <f t="shared" si="41"/>
        <v>0.33435738139293297</v>
      </c>
      <c r="AH85" s="523">
        <f t="shared" si="41"/>
        <v>0.66564261860706719</v>
      </c>
      <c r="AI85" s="523">
        <f t="shared" si="41"/>
        <v>0.52557887753846855</v>
      </c>
      <c r="AJ85" s="523">
        <f t="shared" si="41"/>
        <v>0.47442112246153145</v>
      </c>
      <c r="AK85" s="523">
        <f t="shared" si="41"/>
        <v>0.63315619632696307</v>
      </c>
      <c r="AL85" s="523">
        <f t="shared" si="41"/>
        <v>0.36684380367303687</v>
      </c>
      <c r="AM85" s="523">
        <f t="shared" si="41"/>
        <v>0.31266768747723983</v>
      </c>
      <c r="AN85" s="523">
        <f t="shared" si="41"/>
        <v>0.68733231252276039</v>
      </c>
      <c r="AO85" s="523">
        <f t="shared" si="41"/>
        <v>0.37506253409875728</v>
      </c>
      <c r="AP85" s="523">
        <f t="shared" si="41"/>
        <v>0.62493746590124266</v>
      </c>
      <c r="AQ85" s="523">
        <f t="shared" si="41"/>
        <v>0.14022686734149739</v>
      </c>
      <c r="AR85" s="523">
        <f t="shared" si="41"/>
        <v>0.85977313265850264</v>
      </c>
    </row>
    <row r="87" spans="1:44">
      <c r="A87" s="11">
        <f>50%-((SUM(C87:AR87))/42)</f>
        <v>0</v>
      </c>
      <c r="B87" s="51" t="s">
        <v>73</v>
      </c>
      <c r="C87" s="11">
        <f>SUM(C75:C84)</f>
        <v>0.23156983456251659</v>
      </c>
      <c r="D87" s="11">
        <f t="shared" ref="D87:AR87" si="42">SUM(D75:D84)</f>
        <v>0.76843016543748366</v>
      </c>
      <c r="E87" s="11">
        <f t="shared" si="42"/>
        <v>0.30113175591881974</v>
      </c>
      <c r="F87" s="11">
        <f t="shared" si="42"/>
        <v>0.69886824408118009</v>
      </c>
      <c r="G87" s="11">
        <f t="shared" si="42"/>
        <v>0.43153077216758856</v>
      </c>
      <c r="H87" s="11">
        <f t="shared" si="42"/>
        <v>0.56846922783241138</v>
      </c>
      <c r="I87" s="11">
        <f t="shared" si="42"/>
        <v>0.4104963485775221</v>
      </c>
      <c r="J87" s="11">
        <f t="shared" si="42"/>
        <v>0.58950365142247796</v>
      </c>
      <c r="K87" s="11">
        <f t="shared" si="42"/>
        <v>0.38584400466907998</v>
      </c>
      <c r="L87" s="11">
        <f t="shared" si="42"/>
        <v>0.61415599533091991</v>
      </c>
      <c r="M87" s="11">
        <f t="shared" si="42"/>
        <v>0.59043319109827863</v>
      </c>
      <c r="N87" s="11">
        <f t="shared" si="42"/>
        <v>0.40956680890172148</v>
      </c>
      <c r="O87" s="11">
        <f t="shared" si="42"/>
        <v>0.44504903086380487</v>
      </c>
      <c r="P87" s="11">
        <f t="shared" si="42"/>
        <v>0.55495096913619535</v>
      </c>
      <c r="Q87" s="11">
        <f t="shared" si="42"/>
        <v>0.23045100981890843</v>
      </c>
      <c r="R87" s="11">
        <f t="shared" si="42"/>
        <v>0.76954899018109146</v>
      </c>
      <c r="S87" s="11">
        <f t="shared" si="42"/>
        <v>0.20930217446945473</v>
      </c>
      <c r="T87" s="11">
        <f t="shared" si="42"/>
        <v>0.79069782553054535</v>
      </c>
      <c r="U87" s="11">
        <f t="shared" si="42"/>
        <v>0.11333718301448405</v>
      </c>
      <c r="V87" s="11">
        <f t="shared" si="42"/>
        <v>0.88666281698551586</v>
      </c>
      <c r="W87" s="11">
        <f t="shared" si="42"/>
        <v>0.43516521771599492</v>
      </c>
      <c r="X87" s="11">
        <f t="shared" si="42"/>
        <v>0.56483478228400519</v>
      </c>
      <c r="Y87" s="11">
        <f t="shared" si="42"/>
        <v>0.44248466735589032</v>
      </c>
      <c r="Z87" s="11">
        <f t="shared" si="42"/>
        <v>0.55751533264410968</v>
      </c>
      <c r="AA87" s="11">
        <f t="shared" si="42"/>
        <v>0.45910180948732154</v>
      </c>
      <c r="AB87" s="11">
        <f t="shared" si="42"/>
        <v>0.5408981905126784</v>
      </c>
      <c r="AC87" s="11">
        <f t="shared" si="42"/>
        <v>0.18400715645775523</v>
      </c>
      <c r="AD87" s="11">
        <f t="shared" si="42"/>
        <v>0.81599284354224466</v>
      </c>
      <c r="AE87" s="11">
        <f t="shared" si="42"/>
        <v>0.43876791867292303</v>
      </c>
      <c r="AF87" s="11">
        <f t="shared" si="42"/>
        <v>0.56123208132707714</v>
      </c>
      <c r="AG87" s="11">
        <f t="shared" si="42"/>
        <v>0.33435738139293297</v>
      </c>
      <c r="AH87" s="11">
        <f t="shared" si="42"/>
        <v>0.66564261860706719</v>
      </c>
      <c r="AI87" s="11">
        <f t="shared" si="42"/>
        <v>0.52557887753846855</v>
      </c>
      <c r="AJ87" s="11">
        <f t="shared" si="42"/>
        <v>0.47442112246153145</v>
      </c>
      <c r="AK87" s="11">
        <f t="shared" si="42"/>
        <v>0.63315619632696307</v>
      </c>
      <c r="AL87" s="11">
        <f t="shared" si="42"/>
        <v>0.36684380367303687</v>
      </c>
      <c r="AM87" s="11">
        <f t="shared" si="42"/>
        <v>0.31266768747723983</v>
      </c>
      <c r="AN87" s="11">
        <f t="shared" si="42"/>
        <v>0.68733231252276039</v>
      </c>
      <c r="AO87" s="11">
        <f t="shared" si="42"/>
        <v>0.37506253409875728</v>
      </c>
      <c r="AP87" s="11">
        <f t="shared" si="42"/>
        <v>0.62493746590124266</v>
      </c>
      <c r="AQ87" s="11">
        <f t="shared" si="42"/>
        <v>0.14022686734149739</v>
      </c>
      <c r="AR87" s="11">
        <f t="shared" si="42"/>
        <v>0.85977313265850264</v>
      </c>
    </row>
    <row r="88" spans="1:44">
      <c r="A88" s="51"/>
    </row>
    <row r="89" spans="1:44">
      <c r="A89" s="51"/>
      <c r="B89" s="500" t="s">
        <v>513</v>
      </c>
    </row>
    <row r="90" spans="1:44" s="501" customFormat="1">
      <c r="C90" s="1214" t="str">
        <f>C73</f>
        <v>Art &amp; Design</v>
      </c>
      <c r="D90" s="1214"/>
      <c r="E90" s="1214" t="str">
        <f>E73</f>
        <v>Biology</v>
      </c>
      <c r="F90" s="1214"/>
      <c r="G90" s="1214" t="str">
        <f>G73</f>
        <v>Business Studies</v>
      </c>
      <c r="H90" s="1214"/>
      <c r="I90" s="1214" t="str">
        <f>I73</f>
        <v>Chemistry</v>
      </c>
      <c r="J90" s="1214"/>
      <c r="K90" s="1214" t="str">
        <f>K73</f>
        <v>Classics</v>
      </c>
      <c r="L90" s="1214"/>
      <c r="M90" s="1214" t="str">
        <f>M73</f>
        <v>Computing</v>
      </c>
      <c r="N90" s="1214"/>
      <c r="O90" s="1214" t="str">
        <f>O73</f>
        <v>Design &amp; Technology</v>
      </c>
      <c r="P90" s="1214"/>
      <c r="Q90" s="1214" t="str">
        <f>Q73</f>
        <v>Drama</v>
      </c>
      <c r="R90" s="1214"/>
      <c r="S90" s="1214" t="str">
        <f>S73</f>
        <v>English</v>
      </c>
      <c r="T90" s="1214"/>
      <c r="U90" s="1214" t="str">
        <f>U73</f>
        <v>Food</v>
      </c>
      <c r="V90" s="1214"/>
      <c r="W90" s="1214" t="str">
        <f>W73</f>
        <v>Geography</v>
      </c>
      <c r="X90" s="1214"/>
      <c r="Y90" s="1214" t="str">
        <f>Y73</f>
        <v>History</v>
      </c>
      <c r="Z90" s="1214"/>
      <c r="AA90" s="1214" t="str">
        <f>AA73</f>
        <v>Mathematics</v>
      </c>
      <c r="AB90" s="1214"/>
      <c r="AC90" s="1214" t="str">
        <f>AC73</f>
        <v>Modern Foreign Languages</v>
      </c>
      <c r="AD90" s="1214"/>
      <c r="AE90" s="1214" t="str">
        <f>AE73</f>
        <v>Music</v>
      </c>
      <c r="AF90" s="1214"/>
      <c r="AG90" s="1214" t="str">
        <f>AG73</f>
        <v>Others</v>
      </c>
      <c r="AH90" s="1214"/>
      <c r="AI90" s="1214" t="str">
        <f>AI73</f>
        <v>Physical Education</v>
      </c>
      <c r="AJ90" s="1214"/>
      <c r="AK90" s="1214" t="str">
        <f>AK73</f>
        <v>Physics</v>
      </c>
      <c r="AL90" s="1214"/>
      <c r="AM90" s="1214" t="str">
        <f>AM73</f>
        <v>Religious Education</v>
      </c>
      <c r="AN90" s="1214"/>
      <c r="AO90" s="1214" t="str">
        <f>AO73</f>
        <v>Secondary total</v>
      </c>
      <c r="AP90" s="1214"/>
      <c r="AQ90" s="1214" t="str">
        <f>AQ73</f>
        <v>Primary</v>
      </c>
      <c r="AR90" s="1214"/>
    </row>
    <row r="91" spans="1:44" s="501" customFormat="1">
      <c r="C91" s="506" t="str">
        <f>C74</f>
        <v>Male</v>
      </c>
      <c r="D91" s="506" t="str">
        <f t="shared" ref="D91:AR91" si="43">D74</f>
        <v>Female</v>
      </c>
      <c r="E91" s="506" t="str">
        <f t="shared" si="43"/>
        <v>Male</v>
      </c>
      <c r="F91" s="506" t="str">
        <f t="shared" si="43"/>
        <v>Female</v>
      </c>
      <c r="G91" s="506" t="str">
        <f t="shared" si="43"/>
        <v>Male</v>
      </c>
      <c r="H91" s="506" t="str">
        <f t="shared" si="43"/>
        <v>Female</v>
      </c>
      <c r="I91" s="506" t="str">
        <f t="shared" si="43"/>
        <v>Male</v>
      </c>
      <c r="J91" s="506" t="str">
        <f t="shared" si="43"/>
        <v>Female</v>
      </c>
      <c r="K91" s="506" t="str">
        <f t="shared" si="43"/>
        <v>Male</v>
      </c>
      <c r="L91" s="506" t="str">
        <f t="shared" si="43"/>
        <v>Female</v>
      </c>
      <c r="M91" s="506" t="str">
        <f t="shared" si="43"/>
        <v>Male</v>
      </c>
      <c r="N91" s="506" t="str">
        <f t="shared" si="43"/>
        <v>Female</v>
      </c>
      <c r="O91" s="506" t="str">
        <f t="shared" si="43"/>
        <v>Male</v>
      </c>
      <c r="P91" s="506" t="str">
        <f t="shared" si="43"/>
        <v>Female</v>
      </c>
      <c r="Q91" s="506" t="str">
        <f t="shared" si="43"/>
        <v>Male</v>
      </c>
      <c r="R91" s="506" t="str">
        <f t="shared" si="43"/>
        <v>Female</v>
      </c>
      <c r="S91" s="506" t="str">
        <f t="shared" si="43"/>
        <v>Male</v>
      </c>
      <c r="T91" s="506" t="str">
        <f t="shared" si="43"/>
        <v>Female</v>
      </c>
      <c r="U91" s="506" t="str">
        <f t="shared" si="43"/>
        <v>Male</v>
      </c>
      <c r="V91" s="506" t="str">
        <f t="shared" si="43"/>
        <v>Female</v>
      </c>
      <c r="W91" s="506" t="str">
        <f t="shared" si="43"/>
        <v>Male</v>
      </c>
      <c r="X91" s="506" t="str">
        <f t="shared" si="43"/>
        <v>Female</v>
      </c>
      <c r="Y91" s="506" t="str">
        <f t="shared" si="43"/>
        <v>Male</v>
      </c>
      <c r="Z91" s="506" t="str">
        <f t="shared" si="43"/>
        <v>Female</v>
      </c>
      <c r="AA91" s="506" t="str">
        <f t="shared" si="43"/>
        <v>Male</v>
      </c>
      <c r="AB91" s="506" t="str">
        <f t="shared" si="43"/>
        <v>Female</v>
      </c>
      <c r="AC91" s="506" t="str">
        <f t="shared" si="43"/>
        <v>Male</v>
      </c>
      <c r="AD91" s="506" t="str">
        <f t="shared" si="43"/>
        <v>Female</v>
      </c>
      <c r="AE91" s="506" t="str">
        <f t="shared" si="43"/>
        <v>Male</v>
      </c>
      <c r="AF91" s="506" t="str">
        <f t="shared" si="43"/>
        <v>Female</v>
      </c>
      <c r="AG91" s="506" t="str">
        <f t="shared" si="43"/>
        <v>Male</v>
      </c>
      <c r="AH91" s="506" t="str">
        <f t="shared" si="43"/>
        <v>Female</v>
      </c>
      <c r="AI91" s="506" t="str">
        <f t="shared" si="43"/>
        <v>Male</v>
      </c>
      <c r="AJ91" s="506" t="str">
        <f t="shared" si="43"/>
        <v>Female</v>
      </c>
      <c r="AK91" s="506" t="str">
        <f t="shared" si="43"/>
        <v>Male</v>
      </c>
      <c r="AL91" s="506" t="str">
        <f t="shared" si="43"/>
        <v>Female</v>
      </c>
      <c r="AM91" s="506" t="str">
        <f t="shared" si="43"/>
        <v>Male</v>
      </c>
      <c r="AN91" s="506" t="str">
        <f t="shared" si="43"/>
        <v>Female</v>
      </c>
      <c r="AO91" s="506" t="str">
        <f t="shared" si="43"/>
        <v>Male</v>
      </c>
      <c r="AP91" s="506" t="str">
        <f t="shared" si="43"/>
        <v>Female</v>
      </c>
      <c r="AQ91" s="506" t="str">
        <f t="shared" si="43"/>
        <v>Male</v>
      </c>
      <c r="AR91" s="506" t="str">
        <f t="shared" si="43"/>
        <v>Female</v>
      </c>
    </row>
    <row r="92" spans="1:44" s="501" customFormat="1">
      <c r="B92" s="515"/>
      <c r="C92" s="516">
        <f>C85</f>
        <v>0.23156983456251659</v>
      </c>
      <c r="D92" s="516">
        <f t="shared" ref="D92:AR92" si="44">D85</f>
        <v>0.76843016543748366</v>
      </c>
      <c r="E92" s="516">
        <f t="shared" si="44"/>
        <v>0.30113175591881974</v>
      </c>
      <c r="F92" s="516">
        <f t="shared" si="44"/>
        <v>0.69886824408118009</v>
      </c>
      <c r="G92" s="516">
        <f t="shared" si="44"/>
        <v>0.43153077216758856</v>
      </c>
      <c r="H92" s="516">
        <f t="shared" si="44"/>
        <v>0.56846922783241138</v>
      </c>
      <c r="I92" s="516">
        <f t="shared" si="44"/>
        <v>0.4104963485775221</v>
      </c>
      <c r="J92" s="516">
        <f t="shared" si="44"/>
        <v>0.58950365142247796</v>
      </c>
      <c r="K92" s="516">
        <f t="shared" si="44"/>
        <v>0.38584400466907998</v>
      </c>
      <c r="L92" s="516">
        <f t="shared" si="44"/>
        <v>0.61415599533091991</v>
      </c>
      <c r="M92" s="516">
        <f t="shared" si="44"/>
        <v>0.59043319109827863</v>
      </c>
      <c r="N92" s="516">
        <f t="shared" si="44"/>
        <v>0.40956680890172148</v>
      </c>
      <c r="O92" s="516">
        <f t="shared" si="44"/>
        <v>0.44504903086380487</v>
      </c>
      <c r="P92" s="516">
        <f t="shared" si="44"/>
        <v>0.55495096913619535</v>
      </c>
      <c r="Q92" s="516">
        <f t="shared" si="44"/>
        <v>0.23045100981890843</v>
      </c>
      <c r="R92" s="516">
        <f t="shared" si="44"/>
        <v>0.76954899018109146</v>
      </c>
      <c r="S92" s="516">
        <f t="shared" si="44"/>
        <v>0.20930217446945473</v>
      </c>
      <c r="T92" s="516">
        <f t="shared" si="44"/>
        <v>0.79069782553054535</v>
      </c>
      <c r="U92" s="516">
        <f t="shared" si="44"/>
        <v>0.11333718301448405</v>
      </c>
      <c r="V92" s="516">
        <f t="shared" si="44"/>
        <v>0.88666281698551586</v>
      </c>
      <c r="W92" s="516">
        <f t="shared" si="44"/>
        <v>0.43516521771599492</v>
      </c>
      <c r="X92" s="516">
        <f t="shared" si="44"/>
        <v>0.56483478228400519</v>
      </c>
      <c r="Y92" s="516">
        <f t="shared" si="44"/>
        <v>0.44248466735589032</v>
      </c>
      <c r="Z92" s="516">
        <f t="shared" si="44"/>
        <v>0.55751533264410968</v>
      </c>
      <c r="AA92" s="516">
        <f t="shared" si="44"/>
        <v>0.45910180948732154</v>
      </c>
      <c r="AB92" s="516">
        <f t="shared" si="44"/>
        <v>0.5408981905126784</v>
      </c>
      <c r="AC92" s="516">
        <f t="shared" si="44"/>
        <v>0.18400715645775523</v>
      </c>
      <c r="AD92" s="516">
        <f t="shared" si="44"/>
        <v>0.81599284354224466</v>
      </c>
      <c r="AE92" s="516">
        <f t="shared" si="44"/>
        <v>0.43876791867292303</v>
      </c>
      <c r="AF92" s="516">
        <f t="shared" si="44"/>
        <v>0.56123208132707714</v>
      </c>
      <c r="AG92" s="516">
        <f t="shared" si="44"/>
        <v>0.33435738139293297</v>
      </c>
      <c r="AH92" s="516">
        <f t="shared" si="44"/>
        <v>0.66564261860706719</v>
      </c>
      <c r="AI92" s="516">
        <f t="shared" si="44"/>
        <v>0.52557887753846855</v>
      </c>
      <c r="AJ92" s="516">
        <f t="shared" si="44"/>
        <v>0.47442112246153145</v>
      </c>
      <c r="AK92" s="516">
        <f t="shared" si="44"/>
        <v>0.63315619632696307</v>
      </c>
      <c r="AL92" s="516">
        <f t="shared" si="44"/>
        <v>0.36684380367303687</v>
      </c>
      <c r="AM92" s="516">
        <f t="shared" si="44"/>
        <v>0.31266768747723983</v>
      </c>
      <c r="AN92" s="516">
        <f t="shared" si="44"/>
        <v>0.68733231252276039</v>
      </c>
      <c r="AO92" s="516">
        <f t="shared" si="44"/>
        <v>0.37506253409875728</v>
      </c>
      <c r="AP92" s="516">
        <f t="shared" si="44"/>
        <v>0.62493746590124266</v>
      </c>
      <c r="AQ92" s="516">
        <f t="shared" si="44"/>
        <v>0.14022686734149739</v>
      </c>
      <c r="AR92" s="516">
        <f t="shared" si="44"/>
        <v>0.85977313265850264</v>
      </c>
    </row>
    <row r="93" spans="1:44">
      <c r="B93" s="491"/>
    </row>
    <row r="94" spans="1:44">
      <c r="B94" s="500" t="s">
        <v>514</v>
      </c>
    </row>
    <row r="96" spans="1:44" s="507" customFormat="1" ht="38.25">
      <c r="B96" s="504"/>
      <c r="C96" s="504" t="str">
        <f>Stock_calculations!C30</f>
        <v>Art &amp; Design</v>
      </c>
      <c r="D96" s="504" t="str">
        <f>Stock_calculations!D30</f>
        <v>Biology</v>
      </c>
      <c r="E96" s="504" t="str">
        <f>Stock_calculations!E30</f>
        <v>Business Studies</v>
      </c>
      <c r="F96" s="504" t="str">
        <f>Stock_calculations!F30</f>
        <v>Chemistry</v>
      </c>
      <c r="G96" s="504" t="str">
        <f>Stock_calculations!G30</f>
        <v>Classics</v>
      </c>
      <c r="H96" s="504" t="str">
        <f>Stock_calculations!H30</f>
        <v>Computing</v>
      </c>
      <c r="I96" s="504" t="str">
        <f>Stock_calculations!I30</f>
        <v>Design &amp; Technology</v>
      </c>
      <c r="J96" s="504" t="str">
        <f>Stock_calculations!J30</f>
        <v>Drama</v>
      </c>
      <c r="K96" s="504" t="str">
        <f>Stock_calculations!K30</f>
        <v>English</v>
      </c>
      <c r="L96" s="504" t="str">
        <f>Stock_calculations!L30</f>
        <v>Food</v>
      </c>
      <c r="M96" s="504" t="str">
        <f>Stock_calculations!M30</f>
        <v>Geography</v>
      </c>
      <c r="N96" s="504" t="str">
        <f>Stock_calculations!N30</f>
        <v>History</v>
      </c>
      <c r="O96" s="504" t="str">
        <f>Stock_calculations!O30</f>
        <v>Mathematics</v>
      </c>
      <c r="P96" s="504" t="str">
        <f>Stock_calculations!P30</f>
        <v>Modern Foreign Languages</v>
      </c>
      <c r="Q96" s="504" t="str">
        <f>Stock_calculations!Q30</f>
        <v>Music</v>
      </c>
      <c r="R96" s="504" t="str">
        <f>Stock_calculations!R30</f>
        <v>Others</v>
      </c>
      <c r="S96" s="504" t="str">
        <f>Stock_calculations!S30</f>
        <v>Physical Education</v>
      </c>
      <c r="T96" s="504" t="str">
        <f>Stock_calculations!T30</f>
        <v>Physics</v>
      </c>
      <c r="U96" s="504" t="str">
        <f>Stock_calculations!U30</f>
        <v>Religious Education</v>
      </c>
      <c r="V96" s="504" t="s">
        <v>245</v>
      </c>
      <c r="W96" s="504" t="s">
        <v>43</v>
      </c>
    </row>
    <row r="97" spans="2:23" s="499" customFormat="1">
      <c r="B97" s="503" t="s">
        <v>439</v>
      </c>
      <c r="C97" s="514">
        <f>SUM(C75:D78)</f>
        <v>0.49147484637308414</v>
      </c>
      <c r="D97" s="514">
        <f>SUM(E75:F78)</f>
        <v>0.60754782572013455</v>
      </c>
      <c r="E97" s="514">
        <f>SUM(G75:H78)</f>
        <v>0.52212553105807158</v>
      </c>
      <c r="F97" s="514">
        <f>SUM(I75:J78)</f>
        <v>0.55325402233764898</v>
      </c>
      <c r="G97" s="514">
        <f>SUM(K75:L78)</f>
        <v>0.50904765220039705</v>
      </c>
      <c r="H97" s="514">
        <f>SUM(M75:N78)</f>
        <v>0.53368212394744574</v>
      </c>
      <c r="I97" s="514">
        <f>SUM(O75:P78)</f>
        <v>0.44027500605217129</v>
      </c>
      <c r="J97" s="514">
        <f>SUM(Q75:R78)</f>
        <v>0.65812753490574805</v>
      </c>
      <c r="K97" s="514">
        <f>SUM(S75:T78)</f>
        <v>0.60128986815448882</v>
      </c>
      <c r="L97" s="514">
        <f>SUM(U75:V78)</f>
        <v>0.35842022953439501</v>
      </c>
      <c r="M97" s="514">
        <f>SUM(W75:X78)</f>
        <v>0.61842533105042896</v>
      </c>
      <c r="N97" s="514">
        <f>SUM(Y75:Z78)</f>
        <v>0.61140656247355518</v>
      </c>
      <c r="O97" s="514">
        <f>SUM(AA75:AB78)</f>
        <v>0.52789949397936919</v>
      </c>
      <c r="P97" s="514">
        <f>SUM(AC75:AD78)</f>
        <v>0.47643151612259865</v>
      </c>
      <c r="Q97" s="514">
        <f>SUM(AE75:AF78)</f>
        <v>0.6296853101052734</v>
      </c>
      <c r="R97" s="514">
        <f>SUM(AG75:AH78)</f>
        <v>0.53875609810389613</v>
      </c>
      <c r="S97" s="514">
        <f>SUM(AI75:AJ78)</f>
        <v>0.72355773203676887</v>
      </c>
      <c r="T97" s="514">
        <f>SUM(AK75:AL78)</f>
        <v>0.52664503121246753</v>
      </c>
      <c r="U97" s="514">
        <f>SUM(AM75:AN78)</f>
        <v>0.57696465530338414</v>
      </c>
      <c r="V97" s="514">
        <f>SUM(AO75:AP78)</f>
        <v>0.56530004075492046</v>
      </c>
      <c r="W97" s="514">
        <f>SUM(AQ75:AR78)</f>
        <v>0.56838620186227962</v>
      </c>
    </row>
    <row r="98" spans="2:23" s="499" customFormat="1">
      <c r="B98" s="503" t="s">
        <v>478</v>
      </c>
      <c r="C98" s="514">
        <f>SUM(C79:D80)</f>
        <v>0.31295469006283871</v>
      </c>
      <c r="D98" s="514">
        <f>SUM(E79:F80)</f>
        <v>0.24507806284008821</v>
      </c>
      <c r="E98" s="514">
        <f>SUM(G79:H80)</f>
        <v>0.29314819592795915</v>
      </c>
      <c r="F98" s="514">
        <f>SUM(I79:J80)</f>
        <v>0.26827536413384917</v>
      </c>
      <c r="G98" s="514">
        <f>SUM(K79:L80)</f>
        <v>0.18602277453274607</v>
      </c>
      <c r="H98" s="514">
        <f>SUM(M79:N80)</f>
        <v>0.28339584703999615</v>
      </c>
      <c r="I98" s="514">
        <f>SUM(O79:P80)</f>
        <v>0.29015889331650946</v>
      </c>
      <c r="J98" s="514">
        <f>SUM(Q79:R80)</f>
        <v>0.21282508151763313</v>
      </c>
      <c r="K98" s="514">
        <f>SUM(S79:T80)</f>
        <v>0.23100261699001373</v>
      </c>
      <c r="L98" s="514">
        <f>SUM(U79:V80)</f>
        <v>0.29833194960671061</v>
      </c>
      <c r="M98" s="514">
        <f>SUM(W79:X80)</f>
        <v>0.23600197445461998</v>
      </c>
      <c r="N98" s="514">
        <f>SUM(Y79:Z80)</f>
        <v>0.2434331958321593</v>
      </c>
      <c r="O98" s="514">
        <f>SUM(AA79:AB80)</f>
        <v>0.2660636059605308</v>
      </c>
      <c r="P98" s="514">
        <f>SUM(AC79:AD80)</f>
        <v>0.31510097992252944</v>
      </c>
      <c r="Q98" s="514">
        <f>SUM(AE79:AF80)</f>
        <v>0.22343222534849091</v>
      </c>
      <c r="R98" s="514">
        <f>SUM(AG79:AH80)</f>
        <v>0.25695606389229508</v>
      </c>
      <c r="S98" s="514">
        <f>SUM(AI79:AJ80)</f>
        <v>0.18190201413426738</v>
      </c>
      <c r="T98" s="514">
        <f>SUM(AK79:AL80)</f>
        <v>0.26887134819098557</v>
      </c>
      <c r="U98" s="514">
        <f>SUM(AM79:AN80)</f>
        <v>0.23518414416688704</v>
      </c>
      <c r="V98" s="514">
        <f>SUM(AO79:AP80)</f>
        <v>0.25460816844478995</v>
      </c>
      <c r="W98" s="514">
        <f>SUM(AQ79:AR80)</f>
        <v>0.25342873363373247</v>
      </c>
    </row>
    <row r="99" spans="2:23" s="499" customFormat="1">
      <c r="B99" s="503" t="s">
        <v>479</v>
      </c>
      <c r="C99" s="514">
        <f>SUM(C81:D82)</f>
        <v>0.17116348297572884</v>
      </c>
      <c r="D99" s="514">
        <f>SUM(E81:F82)</f>
        <v>0.13257984494065067</v>
      </c>
      <c r="E99" s="514">
        <f>SUM(G81:H82)</f>
        <v>0.16496235716542945</v>
      </c>
      <c r="F99" s="514">
        <f>SUM(I81:J82)</f>
        <v>0.16038897798694815</v>
      </c>
      <c r="G99" s="514">
        <f>SUM(K81:L82)</f>
        <v>0.22216480927010002</v>
      </c>
      <c r="H99" s="514">
        <f>SUM(M81:N82)</f>
        <v>0.16292297329130093</v>
      </c>
      <c r="I99" s="514">
        <f>SUM(O81:P82)</f>
        <v>0.23859598817410474</v>
      </c>
      <c r="J99" s="514">
        <f>SUM(Q81:R82)</f>
        <v>0.11028248794376953</v>
      </c>
      <c r="K99" s="514">
        <f>SUM(S81:T82)</f>
        <v>0.14539806809564326</v>
      </c>
      <c r="L99" s="514">
        <f>SUM(U81:V82)</f>
        <v>0.29476637488397328</v>
      </c>
      <c r="M99" s="514">
        <f>SUM(W81:X82)</f>
        <v>0.12748735944148473</v>
      </c>
      <c r="N99" s="514">
        <f>SUM(Y81:Z82)</f>
        <v>0.12598906679282118</v>
      </c>
      <c r="O99" s="514">
        <f>SUM(AA81:AB82)</f>
        <v>0.17738909773159922</v>
      </c>
      <c r="P99" s="514">
        <f>SUM(AC81:AD82)</f>
        <v>0.18578469265516057</v>
      </c>
      <c r="Q99" s="514">
        <f>SUM(AE81:AF82)</f>
        <v>0.12890526062690988</v>
      </c>
      <c r="R99" s="514">
        <f>SUM(AG81:AH82)</f>
        <v>0.17295668332507247</v>
      </c>
      <c r="S99" s="514">
        <f>SUM(AI81:AJ82)</f>
        <v>8.4986436586687614E-2</v>
      </c>
      <c r="T99" s="514">
        <f>SUM(AK81:AL82)</f>
        <v>0.17723591348095805</v>
      </c>
      <c r="U99" s="514">
        <f>SUM(AM81:AN82)</f>
        <v>0.16108299815175858</v>
      </c>
      <c r="V99" s="514">
        <f>SUM(AO81:AP82)</f>
        <v>0.15725770588584637</v>
      </c>
      <c r="W99" s="514">
        <f>SUM(AQ81:AR82)</f>
        <v>0.15197721390548122</v>
      </c>
    </row>
    <row r="100" spans="2:23" s="499" customFormat="1">
      <c r="B100" s="503" t="s">
        <v>480</v>
      </c>
      <c r="C100" s="514">
        <f>SUM(C83:D84)</f>
        <v>2.4406980588348458E-2</v>
      </c>
      <c r="D100" s="514">
        <f>SUM(E83:F84)</f>
        <v>1.4794266499126428E-2</v>
      </c>
      <c r="E100" s="514">
        <f>SUM(G83:H84)</f>
        <v>1.9763915848539745E-2</v>
      </c>
      <c r="F100" s="514">
        <f>SUM(I83:J84)</f>
        <v>1.8081635541553655E-2</v>
      </c>
      <c r="G100" s="514">
        <f>SUM(K83:L84)</f>
        <v>8.2764763996756779E-2</v>
      </c>
      <c r="H100" s="514">
        <f>SUM(M83:N84)</f>
        <v>1.999905572125724E-2</v>
      </c>
      <c r="I100" s="514">
        <f>SUM(O83:P84)</f>
        <v>3.0970112457214635E-2</v>
      </c>
      <c r="J100" s="514">
        <f>SUM(Q83:R84)</f>
        <v>1.8764895632849402E-2</v>
      </c>
      <c r="K100" s="514">
        <f>SUM(S83:T84)</f>
        <v>2.2309446759854405E-2</v>
      </c>
      <c r="L100" s="514">
        <f>SUM(U83:V84)</f>
        <v>4.8481445974920968E-2</v>
      </c>
      <c r="M100" s="514">
        <f>SUM(W83:X84)</f>
        <v>1.808533505346635E-2</v>
      </c>
      <c r="N100" s="514">
        <f>SUM(Y83:Z84)</f>
        <v>1.917117490146444E-2</v>
      </c>
      <c r="O100" s="514">
        <f>SUM(AA83:AB84)</f>
        <v>2.8647802328500893E-2</v>
      </c>
      <c r="P100" s="514">
        <f>SUM(AC83:AD84)</f>
        <v>2.2682811299711336E-2</v>
      </c>
      <c r="Q100" s="514">
        <f>SUM(AE83:AF84)</f>
        <v>1.7977203919325797E-2</v>
      </c>
      <c r="R100" s="514">
        <f>SUM(AG83:AH84)</f>
        <v>3.1331154678736449E-2</v>
      </c>
      <c r="S100" s="514">
        <f>SUM(AI83:AJ84)</f>
        <v>9.5538172422762069E-3</v>
      </c>
      <c r="T100" s="514">
        <f>SUM(AK83:AL84)</f>
        <v>2.724770711558893E-2</v>
      </c>
      <c r="U100" s="514">
        <f>SUM(AM83:AN84)</f>
        <v>2.6768202377970375E-2</v>
      </c>
      <c r="V100" s="514">
        <f>SUM(AO83:AP84)</f>
        <v>2.2834084914443123E-2</v>
      </c>
      <c r="W100" s="514">
        <f>SUM(AQ83:AR84)</f>
        <v>2.6207850598506673E-2</v>
      </c>
    </row>
    <row r="101" spans="2:23" s="499" customFormat="1">
      <c r="B101" s="503" t="s">
        <v>8</v>
      </c>
      <c r="C101" s="514">
        <f>SUM(C97:C100)</f>
        <v>1.0000000000000002</v>
      </c>
      <c r="D101" s="514">
        <f t="shared" ref="D101:W101" si="45">SUM(D97:D100)</f>
        <v>0.99999999999999978</v>
      </c>
      <c r="E101" s="514">
        <f t="shared" si="45"/>
        <v>0.99999999999999989</v>
      </c>
      <c r="F101" s="514">
        <f t="shared" si="45"/>
        <v>0.99999999999999989</v>
      </c>
      <c r="G101" s="514">
        <f t="shared" si="45"/>
        <v>1</v>
      </c>
      <c r="H101" s="514">
        <f t="shared" si="45"/>
        <v>1</v>
      </c>
      <c r="I101" s="514">
        <f t="shared" si="45"/>
        <v>1.0000000000000002</v>
      </c>
      <c r="J101" s="514">
        <f t="shared" si="45"/>
        <v>1</v>
      </c>
      <c r="K101" s="514">
        <f t="shared" si="45"/>
        <v>1.0000000000000002</v>
      </c>
      <c r="L101" s="514">
        <f t="shared" si="45"/>
        <v>0.99999999999999989</v>
      </c>
      <c r="M101" s="514">
        <f t="shared" si="45"/>
        <v>1</v>
      </c>
      <c r="N101" s="514">
        <f t="shared" si="45"/>
        <v>1</v>
      </c>
      <c r="O101" s="514">
        <f t="shared" si="45"/>
        <v>1</v>
      </c>
      <c r="P101" s="514">
        <f t="shared" si="45"/>
        <v>1</v>
      </c>
      <c r="Q101" s="514">
        <f t="shared" si="45"/>
        <v>1</v>
      </c>
      <c r="R101" s="514">
        <f t="shared" si="45"/>
        <v>1.0000000000000002</v>
      </c>
      <c r="S101" s="514">
        <f t="shared" si="45"/>
        <v>1</v>
      </c>
      <c r="T101" s="514">
        <f t="shared" si="45"/>
        <v>1</v>
      </c>
      <c r="U101" s="514">
        <f t="shared" si="45"/>
        <v>1</v>
      </c>
      <c r="V101" s="514">
        <f t="shared" si="45"/>
        <v>0.99999999999999989</v>
      </c>
      <c r="W101" s="514">
        <f t="shared" si="45"/>
        <v>1</v>
      </c>
    </row>
    <row r="102" spans="2:23" s="499" customFormat="1">
      <c r="B102" s="503" t="s">
        <v>481</v>
      </c>
      <c r="C102" s="514">
        <f>C99+C100</f>
        <v>0.19557046356407728</v>
      </c>
      <c r="D102" s="514">
        <f t="shared" ref="D102:U102" si="46">D99+D100</f>
        <v>0.14737411143977711</v>
      </c>
      <c r="E102" s="514">
        <f t="shared" si="46"/>
        <v>0.18472627301396921</v>
      </c>
      <c r="F102" s="514">
        <f t="shared" si="46"/>
        <v>0.1784706135285018</v>
      </c>
      <c r="G102" s="514">
        <f t="shared" si="46"/>
        <v>0.30492957326685677</v>
      </c>
      <c r="H102" s="514">
        <f t="shared" si="46"/>
        <v>0.18292202901255816</v>
      </c>
      <c r="I102" s="514">
        <f t="shared" si="46"/>
        <v>0.26956610063131936</v>
      </c>
      <c r="J102" s="514">
        <f t="shared" si="46"/>
        <v>0.12904738357661893</v>
      </c>
      <c r="K102" s="514">
        <f t="shared" si="46"/>
        <v>0.16770751485549767</v>
      </c>
      <c r="L102" s="514">
        <f t="shared" si="46"/>
        <v>0.34324782085889427</v>
      </c>
      <c r="M102" s="514">
        <f t="shared" si="46"/>
        <v>0.14557269449495108</v>
      </c>
      <c r="N102" s="514">
        <f t="shared" si="46"/>
        <v>0.14516024169428562</v>
      </c>
      <c r="O102" s="514">
        <f t="shared" si="46"/>
        <v>0.20603690006010011</v>
      </c>
      <c r="P102" s="514">
        <f t="shared" si="46"/>
        <v>0.2084675039548719</v>
      </c>
      <c r="Q102" s="514">
        <f t="shared" si="46"/>
        <v>0.14688246454623569</v>
      </c>
      <c r="R102" s="514">
        <f t="shared" si="46"/>
        <v>0.20428783800380892</v>
      </c>
      <c r="S102" s="514">
        <f t="shared" si="46"/>
        <v>9.4540253828963819E-2</v>
      </c>
      <c r="T102" s="514">
        <f t="shared" si="46"/>
        <v>0.20448362059654698</v>
      </c>
      <c r="U102" s="514">
        <f t="shared" si="46"/>
        <v>0.18785120052972895</v>
      </c>
      <c r="V102" s="514">
        <f>V99+V100</f>
        <v>0.18009179080028948</v>
      </c>
      <c r="W102" s="514">
        <f>W99+W100</f>
        <v>0.17818506450398788</v>
      </c>
    </row>
  </sheetData>
  <mergeCells count="109">
    <mergeCell ref="AA73:AB73"/>
    <mergeCell ref="AC73:AD73"/>
    <mergeCell ref="U73:V73"/>
    <mergeCell ref="AK73:AL73"/>
    <mergeCell ref="AM73:AN73"/>
    <mergeCell ref="AG73:AH73"/>
    <mergeCell ref="B52:B53"/>
    <mergeCell ref="C52:D52"/>
    <mergeCell ref="E52:F52"/>
    <mergeCell ref="G52:H52"/>
    <mergeCell ref="I52:J52"/>
    <mergeCell ref="K52:L52"/>
    <mergeCell ref="M52:N52"/>
    <mergeCell ref="M35:N35"/>
    <mergeCell ref="Q73:R73"/>
    <mergeCell ref="B73:B74"/>
    <mergeCell ref="C73:D73"/>
    <mergeCell ref="E73:F73"/>
    <mergeCell ref="G73:H73"/>
    <mergeCell ref="I73:J73"/>
    <mergeCell ref="K73:L73"/>
    <mergeCell ref="Q52:R52"/>
    <mergeCell ref="B18:B19"/>
    <mergeCell ref="C18:D18"/>
    <mergeCell ref="AA18:AB18"/>
    <mergeCell ref="AM35:AN35"/>
    <mergeCell ref="O35:P35"/>
    <mergeCell ref="Q35:R35"/>
    <mergeCell ref="S35:T35"/>
    <mergeCell ref="W35:X35"/>
    <mergeCell ref="Y35:Z35"/>
    <mergeCell ref="B35:B36"/>
    <mergeCell ref="AC35:AD35"/>
    <mergeCell ref="M18:N18"/>
    <mergeCell ref="O18:P18"/>
    <mergeCell ref="Q18:R18"/>
    <mergeCell ref="S18:T18"/>
    <mergeCell ref="K18:L18"/>
    <mergeCell ref="Y18:Z18"/>
    <mergeCell ref="W18:X18"/>
    <mergeCell ref="U18:V18"/>
    <mergeCell ref="C35:D35"/>
    <mergeCell ref="E35:F35"/>
    <mergeCell ref="G35:H35"/>
    <mergeCell ref="I35:J35"/>
    <mergeCell ref="K35:L35"/>
    <mergeCell ref="AQ18:AR18"/>
    <mergeCell ref="AQ35:AR35"/>
    <mergeCell ref="AQ52:AR52"/>
    <mergeCell ref="AQ73:AR73"/>
    <mergeCell ref="AE18:AF18"/>
    <mergeCell ref="AG18:AH18"/>
    <mergeCell ref="AI18:AJ18"/>
    <mergeCell ref="AK18:AL18"/>
    <mergeCell ref="AM18:AN18"/>
    <mergeCell ref="AE35:AF35"/>
    <mergeCell ref="AO35:AP35"/>
    <mergeCell ref="AE52:AF52"/>
    <mergeCell ref="AG52:AH52"/>
    <mergeCell ref="AI52:AJ52"/>
    <mergeCell ref="AE73:AF73"/>
    <mergeCell ref="AI73:AJ73"/>
    <mergeCell ref="AO52:AP52"/>
    <mergeCell ref="AO73:AP73"/>
    <mergeCell ref="AO18:AP18"/>
    <mergeCell ref="AM52:AN52"/>
    <mergeCell ref="AG35:AH35"/>
    <mergeCell ref="AI35:AJ35"/>
    <mergeCell ref="AK35:AL35"/>
    <mergeCell ref="AK52:AL52"/>
    <mergeCell ref="AC18:AD18"/>
    <mergeCell ref="AA52:AB52"/>
    <mergeCell ref="AC52:AD52"/>
    <mergeCell ref="C90:D90"/>
    <mergeCell ref="E90:F90"/>
    <mergeCell ref="G90:H90"/>
    <mergeCell ref="I90:J90"/>
    <mergeCell ref="K90:L90"/>
    <mergeCell ref="O52:P52"/>
    <mergeCell ref="M73:N73"/>
    <mergeCell ref="O73:P73"/>
    <mergeCell ref="O90:P90"/>
    <mergeCell ref="E18:F18"/>
    <mergeCell ref="G18:H18"/>
    <mergeCell ref="I18:J18"/>
    <mergeCell ref="W73:X73"/>
    <mergeCell ref="Y73:Z73"/>
    <mergeCell ref="S73:T73"/>
    <mergeCell ref="U35:V35"/>
    <mergeCell ref="S52:T52"/>
    <mergeCell ref="W52:X52"/>
    <mergeCell ref="Y52:Z52"/>
    <mergeCell ref="AA35:AB35"/>
    <mergeCell ref="U52:V52"/>
    <mergeCell ref="AQ90:AR90"/>
    <mergeCell ref="AO90:AP90"/>
    <mergeCell ref="AM90:AN90"/>
    <mergeCell ref="AK90:AL90"/>
    <mergeCell ref="AI90:AJ90"/>
    <mergeCell ref="M90:N90"/>
    <mergeCell ref="W90:X90"/>
    <mergeCell ref="U90:V90"/>
    <mergeCell ref="S90:T90"/>
    <mergeCell ref="Q90:R90"/>
    <mergeCell ref="AG90:AH90"/>
    <mergeCell ref="AE90:AF90"/>
    <mergeCell ref="Y90:Z90"/>
    <mergeCell ref="AC90:AD90"/>
    <mergeCell ref="AA90:AB90"/>
  </mergeCells>
  <hyperlinks>
    <hyperlink ref="A2" location="'Title_&amp;_Contents'!A1" display="Contents"/>
    <hyperlink ref="B2" location="Map_of_sheets!A1" display="Map of sheets"/>
  </hyperlinks>
  <pageMargins left="0.75" right="0.75" top="1" bottom="1" header="0.5" footer="0.5"/>
  <pageSetup paperSize="8" scale="74" fitToHeight="6" orientation="portrait" r:id="rId1"/>
  <headerFooter alignWithMargins="0">
    <oddHeader>&amp;C&amp;"arial unicode ms,Bold"&amp;KFF8040PROTECT - POLICY</oddHeader>
    <oddFooter>&amp;C&amp;"arial unicode ms,Bold"&amp;KFF8040PROTECT - POLICY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O54"/>
  <sheetViews>
    <sheetView showGridLines="0" workbookViewId="0"/>
  </sheetViews>
  <sheetFormatPr defaultColWidth="9.140625" defaultRowHeight="12.75"/>
  <cols>
    <col min="1" max="1" width="4.5703125" style="24" customWidth="1"/>
    <col min="2" max="2" width="13.85546875" style="24" customWidth="1"/>
    <col min="3" max="3" width="4.5703125" style="24" customWidth="1"/>
    <col min="4" max="6" width="9.140625" style="24"/>
    <col min="7" max="7" width="49.5703125" style="24" customWidth="1"/>
    <col min="8" max="16384" width="9.140625" style="24"/>
  </cols>
  <sheetData>
    <row r="1" spans="1:15" s="734" customFormat="1">
      <c r="B1" s="736" t="str">
        <f>ModelBanner</f>
        <v>TSM_201718 for publication</v>
      </c>
    </row>
    <row r="2" spans="1:15" s="734" customFormat="1">
      <c r="B2" s="735" t="s">
        <v>9</v>
      </c>
    </row>
    <row r="3" spans="1:15" s="734" customFormat="1">
      <c r="A3" s="737"/>
      <c r="B3" s="736"/>
    </row>
    <row r="4" spans="1:15" s="734" customFormat="1">
      <c r="A4" s="805"/>
      <c r="B4" s="1002" t="s">
        <v>13</v>
      </c>
      <c r="C4" s="805"/>
      <c r="D4" s="1002" t="s">
        <v>28</v>
      </c>
    </row>
    <row r="5" spans="1:15" customFormat="1"/>
    <row r="6" spans="1:15" customFormat="1" ht="20.25">
      <c r="B6" s="15" t="s">
        <v>1257</v>
      </c>
    </row>
    <row r="7" spans="1:15" customFormat="1"/>
    <row r="8" spans="1:15" customFormat="1">
      <c r="B8" s="5" t="s">
        <v>1295</v>
      </c>
    </row>
    <row r="9" spans="1:15" customFormat="1">
      <c r="B9" s="5"/>
    </row>
    <row r="10" spans="1:15" customFormat="1" ht="13.15" customHeight="1">
      <c r="C10" s="852"/>
      <c r="D10" s="852"/>
      <c r="E10" s="852"/>
      <c r="F10" s="852"/>
      <c r="G10" s="852"/>
      <c r="H10" s="852"/>
      <c r="I10" s="852"/>
      <c r="J10" s="852"/>
      <c r="K10" s="852"/>
      <c r="L10" s="852"/>
      <c r="M10" s="852"/>
      <c r="N10" s="852"/>
      <c r="O10" s="852"/>
    </row>
    <row r="11" spans="1:15" customFormat="1">
      <c r="C11" s="852"/>
      <c r="D11" s="852"/>
      <c r="E11" s="852"/>
      <c r="F11" s="852"/>
      <c r="G11" s="852"/>
      <c r="H11" s="852"/>
      <c r="I11" s="852"/>
      <c r="J11" s="852"/>
      <c r="K11" s="852"/>
      <c r="L11" s="852"/>
      <c r="M11" s="852"/>
      <c r="N11" s="852"/>
      <c r="O11" s="852"/>
    </row>
    <row r="12" spans="1:15" customFormat="1">
      <c r="C12" s="852"/>
      <c r="D12" s="852"/>
      <c r="E12" s="852"/>
      <c r="F12" s="852"/>
      <c r="G12" s="852"/>
      <c r="H12" s="852"/>
      <c r="I12" s="852"/>
      <c r="J12" s="852"/>
      <c r="K12" s="852"/>
      <c r="L12" s="852"/>
      <c r="M12" s="852"/>
      <c r="N12" s="852"/>
      <c r="O12" s="852"/>
    </row>
    <row r="13" spans="1:15" customFormat="1">
      <c r="C13" s="852"/>
      <c r="D13" s="852"/>
      <c r="E13" s="852"/>
      <c r="F13" s="852"/>
      <c r="G13" s="852"/>
      <c r="H13" s="852"/>
      <c r="I13" s="852"/>
      <c r="J13" s="852"/>
      <c r="K13" s="852"/>
      <c r="L13" s="852"/>
      <c r="M13" s="852"/>
      <c r="N13" s="852"/>
      <c r="O13" s="852"/>
    </row>
    <row r="14" spans="1:15" customFormat="1"/>
    <row r="15" spans="1:15" customFormat="1" ht="13.15" customHeight="1">
      <c r="C15" s="1095"/>
      <c r="D15" s="1095"/>
      <c r="E15" s="1095"/>
      <c r="F15" s="1095"/>
      <c r="G15" s="1095"/>
      <c r="H15" s="1095"/>
      <c r="I15" s="1095"/>
      <c r="J15" s="1095"/>
      <c r="K15" s="1095"/>
      <c r="L15" s="1095"/>
      <c r="M15" s="1095"/>
      <c r="N15" s="1095"/>
      <c r="O15" s="1095"/>
    </row>
    <row r="16" spans="1:15" customFormat="1">
      <c r="C16" s="1095"/>
      <c r="D16" s="1095"/>
      <c r="E16" s="1095"/>
      <c r="F16" s="1095"/>
      <c r="G16" s="1095"/>
      <c r="H16" s="1095"/>
      <c r="I16" s="1095"/>
      <c r="J16" s="1095"/>
      <c r="K16" s="1095"/>
      <c r="L16" s="1095"/>
      <c r="M16" s="1095"/>
      <c r="N16" s="1095"/>
      <c r="O16" s="1095"/>
    </row>
    <row r="17" spans="2:15" customFormat="1">
      <c r="C17" s="1095"/>
      <c r="D17" s="1095"/>
      <c r="E17" s="1095"/>
      <c r="F17" s="1095"/>
      <c r="G17" s="1095"/>
      <c r="H17" s="1095"/>
      <c r="I17" s="1095"/>
      <c r="J17" s="1095"/>
      <c r="K17" s="1095"/>
      <c r="L17" s="1095"/>
      <c r="M17" s="1095"/>
      <c r="N17" s="1095"/>
      <c r="O17" s="1095"/>
    </row>
    <row r="18" spans="2:15" customFormat="1"/>
    <row r="19" spans="2:15" customFormat="1" ht="13.15" customHeight="1">
      <c r="C19" s="1095"/>
      <c r="D19" s="1095"/>
      <c r="E19" s="1095"/>
      <c r="F19" s="1095"/>
      <c r="G19" s="1095"/>
      <c r="H19" s="1095"/>
      <c r="I19" s="1095"/>
      <c r="J19" s="1095"/>
      <c r="K19" s="1095"/>
      <c r="L19" s="1095"/>
      <c r="M19" s="1095"/>
      <c r="N19" s="1095"/>
      <c r="O19" s="1095"/>
    </row>
    <row r="20" spans="2:15" customFormat="1">
      <c r="C20" s="1095"/>
      <c r="D20" s="1095"/>
      <c r="E20" s="1095"/>
      <c r="F20" s="1095"/>
      <c r="G20" s="1095"/>
      <c r="H20" s="1095"/>
      <c r="I20" s="1095"/>
      <c r="J20" s="1095"/>
      <c r="K20" s="1095"/>
      <c r="L20" s="1095"/>
      <c r="M20" s="1095"/>
      <c r="N20" s="1095"/>
      <c r="O20" s="1095"/>
    </row>
    <row r="21" spans="2:15" customFormat="1">
      <c r="C21" s="230"/>
      <c r="D21" s="230"/>
      <c r="E21" s="230"/>
      <c r="F21" s="230"/>
      <c r="G21" s="230"/>
      <c r="H21" s="230"/>
      <c r="I21" s="230"/>
      <c r="J21" s="230"/>
      <c r="K21" s="230"/>
      <c r="L21" s="230"/>
      <c r="M21" s="230"/>
      <c r="N21" s="230"/>
      <c r="O21" s="230"/>
    </row>
    <row r="22" spans="2:15" customFormat="1">
      <c r="B22" s="5"/>
    </row>
    <row r="23" spans="2:15" customFormat="1">
      <c r="B23" s="5"/>
    </row>
    <row r="24" spans="2:15" customFormat="1">
      <c r="C24" s="150"/>
    </row>
    <row r="25" spans="2:15" customFormat="1">
      <c r="C25" s="150"/>
    </row>
    <row r="26" spans="2:15" customFormat="1">
      <c r="C26" s="150"/>
    </row>
    <row r="27" spans="2:15" customFormat="1">
      <c r="C27" s="150"/>
    </row>
    <row r="28" spans="2:15" customFormat="1">
      <c r="C28" s="150"/>
    </row>
    <row r="29" spans="2:15" customFormat="1">
      <c r="C29" s="150"/>
    </row>
    <row r="30" spans="2:15" customFormat="1">
      <c r="C30" s="150"/>
    </row>
    <row r="31" spans="2:15" customFormat="1">
      <c r="C31" s="150"/>
    </row>
    <row r="32" spans="2:15" customFormat="1">
      <c r="C32" s="150"/>
    </row>
    <row r="33" spans="2:15" customFormat="1">
      <c r="C33" s="150"/>
    </row>
    <row r="34" spans="2:15" customFormat="1"/>
    <row r="35" spans="2:15" customFormat="1">
      <c r="B35" s="5"/>
    </row>
    <row r="36" spans="2:15" customFormat="1">
      <c r="C36" s="12"/>
    </row>
    <row r="37" spans="2:15" customFormat="1" ht="13.15" customHeight="1">
      <c r="C37" s="1016"/>
      <c r="D37" s="1016"/>
      <c r="E37" s="1016"/>
      <c r="F37" s="1016"/>
      <c r="G37" s="1016"/>
      <c r="H37" s="1016"/>
      <c r="I37" s="1016"/>
      <c r="J37" s="1016"/>
      <c r="K37" s="1016"/>
      <c r="L37" s="1016"/>
      <c r="M37" s="1016"/>
      <c r="N37" s="1016"/>
      <c r="O37" s="1016"/>
    </row>
    <row r="38" spans="2:15" customFormat="1">
      <c r="C38" s="1016"/>
      <c r="D38" s="1016"/>
      <c r="E38" s="1016"/>
      <c r="F38" s="1016"/>
      <c r="G38" s="1016"/>
      <c r="H38" s="1016"/>
      <c r="I38" s="1016"/>
      <c r="J38" s="1016"/>
      <c r="K38" s="1016"/>
      <c r="L38" s="1016"/>
      <c r="M38" s="1016"/>
      <c r="N38" s="1016"/>
      <c r="O38" s="1016"/>
    </row>
    <row r="39" spans="2:15" customFormat="1">
      <c r="C39" s="493"/>
      <c r="D39" s="493"/>
      <c r="E39" s="493"/>
      <c r="F39" s="493"/>
      <c r="G39" s="493"/>
      <c r="H39" s="493"/>
      <c r="I39" s="493"/>
      <c r="J39" s="493"/>
      <c r="K39" s="493"/>
      <c r="L39" s="493"/>
      <c r="M39" s="493"/>
      <c r="N39" s="493"/>
      <c r="O39" s="493"/>
    </row>
    <row r="40" spans="2:15" customFormat="1">
      <c r="B40" s="5"/>
    </row>
    <row r="41" spans="2:15" customFormat="1">
      <c r="B41" s="5"/>
    </row>
    <row r="42" spans="2:15" customFormat="1">
      <c r="C42" s="76"/>
    </row>
    <row r="43" spans="2:15" customFormat="1" ht="13.15" customHeight="1">
      <c r="D43" s="1099"/>
      <c r="E43" s="1099"/>
      <c r="F43" s="1099"/>
      <c r="G43" s="1099"/>
      <c r="H43" s="1099"/>
      <c r="I43" s="1099"/>
      <c r="J43" s="1099"/>
      <c r="K43" s="1099"/>
      <c r="L43" s="1099"/>
      <c r="M43" s="1099"/>
      <c r="N43" s="1099"/>
      <c r="O43" s="1099"/>
    </row>
    <row r="44" spans="2:15" customFormat="1">
      <c r="D44" s="1099"/>
      <c r="E44" s="1099"/>
      <c r="F44" s="1099"/>
      <c r="G44" s="1099"/>
      <c r="H44" s="1099"/>
      <c r="I44" s="1099"/>
      <c r="J44" s="1099"/>
      <c r="K44" s="1099"/>
      <c r="L44" s="1099"/>
      <c r="M44" s="1099"/>
      <c r="N44" s="1099"/>
      <c r="O44" s="1099"/>
    </row>
    <row r="45" spans="2:15" customFormat="1">
      <c r="D45" s="1099"/>
      <c r="E45" s="1099"/>
      <c r="F45" s="1099"/>
      <c r="G45" s="1099"/>
      <c r="H45" s="1099"/>
      <c r="I45" s="1099"/>
      <c r="J45" s="1099"/>
      <c r="K45" s="1099"/>
      <c r="L45" s="1099"/>
      <c r="M45" s="1099"/>
      <c r="N45" s="1099"/>
      <c r="O45" s="1099"/>
    </row>
    <row r="46" spans="2:15" customFormat="1">
      <c r="D46" s="493"/>
      <c r="E46" s="493"/>
      <c r="F46" s="493"/>
      <c r="G46" s="493"/>
      <c r="H46" s="493"/>
      <c r="I46" s="493"/>
      <c r="J46" s="493"/>
      <c r="K46" s="493"/>
      <c r="L46" s="493"/>
      <c r="M46" s="493"/>
      <c r="N46" s="493"/>
      <c r="O46" s="493"/>
    </row>
    <row r="47" spans="2:15" customFormat="1">
      <c r="D47" s="1095"/>
      <c r="E47" s="1095"/>
      <c r="F47" s="1095"/>
      <c r="G47" s="1095"/>
      <c r="H47" s="1095"/>
      <c r="I47" s="1095"/>
      <c r="J47" s="1095"/>
      <c r="K47" s="1095"/>
      <c r="L47" s="1095"/>
      <c r="M47" s="1095"/>
      <c r="N47" s="1095"/>
      <c r="O47" s="1095"/>
    </row>
    <row r="48" spans="2:15" customFormat="1">
      <c r="D48" s="493"/>
      <c r="E48" s="493"/>
      <c r="F48" s="493"/>
      <c r="G48" s="493"/>
      <c r="H48" s="493"/>
      <c r="I48" s="493"/>
      <c r="J48" s="493"/>
      <c r="K48" s="493"/>
      <c r="L48" s="493"/>
      <c r="M48" s="493"/>
      <c r="N48" s="493"/>
      <c r="O48" s="493"/>
    </row>
    <row r="49" spans="3:15" customFormat="1">
      <c r="C49" s="76"/>
    </row>
    <row r="50" spans="3:15" customFormat="1">
      <c r="D50" s="1096"/>
      <c r="E50" s="1096"/>
      <c r="F50" s="1096"/>
      <c r="G50" s="1096"/>
      <c r="H50" s="1096"/>
      <c r="I50" s="1096"/>
      <c r="J50" s="1096"/>
      <c r="K50" s="1096"/>
      <c r="L50" s="1096"/>
      <c r="M50" s="1096"/>
      <c r="N50" s="1096"/>
      <c r="O50" s="1096"/>
    </row>
    <row r="51" spans="3:15" customFormat="1">
      <c r="D51" s="1096"/>
      <c r="E51" s="1096"/>
      <c r="F51" s="1096"/>
      <c r="G51" s="1096"/>
      <c r="H51" s="1096"/>
      <c r="I51" s="1096"/>
      <c r="J51" s="1096"/>
      <c r="K51" s="1096"/>
      <c r="L51" s="1096"/>
      <c r="M51" s="1096"/>
      <c r="N51" s="1096"/>
      <c r="O51" s="1096"/>
    </row>
    <row r="52" spans="3:15" customFormat="1">
      <c r="D52" s="493"/>
      <c r="E52" s="493"/>
      <c r="F52" s="493"/>
      <c r="G52" s="493"/>
      <c r="H52" s="493"/>
      <c r="I52" s="493"/>
      <c r="J52" s="493"/>
      <c r="K52" s="493"/>
      <c r="L52" s="493"/>
      <c r="M52" s="493"/>
      <c r="N52" s="493"/>
      <c r="O52" s="493"/>
    </row>
    <row r="53" spans="3:15" customFormat="1">
      <c r="C53" s="76"/>
    </row>
    <row r="54" spans="3:15" customFormat="1">
      <c r="D54" s="1095"/>
      <c r="E54" s="1095"/>
      <c r="F54" s="1095"/>
      <c r="G54" s="1095"/>
      <c r="H54" s="1095"/>
      <c r="I54" s="1095"/>
      <c r="J54" s="1095"/>
      <c r="K54" s="1095"/>
      <c r="L54" s="1095"/>
      <c r="M54" s="1095"/>
      <c r="N54" s="1095"/>
      <c r="O54" s="1095"/>
    </row>
  </sheetData>
  <mergeCells count="6">
    <mergeCell ref="D50:O51"/>
    <mergeCell ref="D54:O54"/>
    <mergeCell ref="C15:O17"/>
    <mergeCell ref="C19:O20"/>
    <mergeCell ref="D43:O45"/>
    <mergeCell ref="D47:O47"/>
  </mergeCells>
  <hyperlinks>
    <hyperlink ref="B4" location="'Title_&amp;_Contents'!A1" display="Contents"/>
    <hyperlink ref="D4" location="Map_of_sheets!A1" display="Map of Sheets"/>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AF52"/>
  <sheetViews>
    <sheetView showGridLines="0" zoomScaleNormal="100" workbookViewId="0"/>
  </sheetViews>
  <sheetFormatPr defaultRowHeight="12.75"/>
  <cols>
    <col min="2" max="2" width="35.7109375" customWidth="1"/>
    <col min="3" max="30" width="9.85546875" customWidth="1"/>
  </cols>
  <sheetData>
    <row r="1" spans="1:32" s="66" customFormat="1" ht="15">
      <c r="A1" s="65" t="str">
        <f>ModelBanner</f>
        <v>TSM_201718 for publication</v>
      </c>
    </row>
    <row r="2" spans="1:32" s="66" customFormat="1" ht="15">
      <c r="A2" s="1003" t="s">
        <v>13</v>
      </c>
      <c r="B2" s="1003" t="s">
        <v>30</v>
      </c>
    </row>
    <row r="3" spans="1:32" s="66" customFormat="1" ht="15">
      <c r="A3" s="67"/>
    </row>
    <row r="4" spans="1:32" s="57" customFormat="1">
      <c r="A4" s="58" t="s">
        <v>26</v>
      </c>
      <c r="B4" s="58"/>
      <c r="C4" s="58"/>
      <c r="D4" s="58"/>
      <c r="E4" s="292"/>
      <c r="F4" s="58"/>
      <c r="G4" s="58"/>
      <c r="H4" s="58"/>
      <c r="I4" s="58"/>
      <c r="J4" s="58"/>
      <c r="K4" s="58"/>
    </row>
    <row r="5" spans="1:32" s="47" customFormat="1">
      <c r="A5" s="60" t="s">
        <v>1589</v>
      </c>
      <c r="B5" s="60"/>
      <c r="C5" s="60"/>
      <c r="D5" s="60"/>
      <c r="E5" s="60"/>
      <c r="F5" s="60"/>
      <c r="G5" s="60"/>
      <c r="H5" s="60"/>
      <c r="I5" s="60"/>
      <c r="J5" s="60"/>
      <c r="K5" s="60"/>
      <c r="L5" s="59"/>
      <c r="M5" s="59"/>
      <c r="N5" s="59"/>
      <c r="O5" s="59"/>
      <c r="P5" s="59"/>
      <c r="Q5" s="59"/>
    </row>
    <row r="6" spans="1:32" s="46" customFormat="1">
      <c r="A6" s="56" t="s">
        <v>1420</v>
      </c>
      <c r="B6" s="61"/>
      <c r="C6" s="61"/>
      <c r="D6" s="61"/>
      <c r="E6" s="292"/>
      <c r="F6" s="61"/>
      <c r="G6" s="61"/>
      <c r="H6" s="61"/>
      <c r="I6" s="61"/>
      <c r="J6" s="61"/>
      <c r="K6" s="61"/>
      <c r="L6" s="45"/>
      <c r="M6" s="45"/>
      <c r="N6" s="45"/>
      <c r="O6" s="45"/>
      <c r="P6" s="45"/>
      <c r="Q6" s="45"/>
    </row>
    <row r="7" spans="1:32" s="46" customFormat="1">
      <c r="A7" s="54" t="s">
        <v>388</v>
      </c>
      <c r="B7" s="333"/>
      <c r="C7" s="61"/>
      <c r="D7" s="61"/>
      <c r="E7" s="292"/>
      <c r="F7" s="61"/>
      <c r="G7" s="61"/>
      <c r="H7" s="61"/>
      <c r="I7" s="61"/>
      <c r="J7" s="61"/>
      <c r="K7" s="61"/>
      <c r="L7" s="45"/>
      <c r="M7" s="45"/>
      <c r="N7" s="45"/>
      <c r="O7" s="45"/>
      <c r="P7" s="45"/>
      <c r="Q7" s="45"/>
    </row>
    <row r="8" spans="1:32" s="46" customFormat="1">
      <c r="A8" s="56" t="s">
        <v>24</v>
      </c>
      <c r="B8" s="61"/>
      <c r="C8" s="61"/>
      <c r="D8" s="61"/>
      <c r="E8" s="292"/>
      <c r="F8" s="61"/>
      <c r="G8" s="61"/>
      <c r="H8" s="61"/>
      <c r="I8" s="61"/>
      <c r="J8" s="61"/>
      <c r="K8" s="61"/>
      <c r="L8" s="45"/>
      <c r="M8" s="45"/>
      <c r="N8" s="45"/>
      <c r="O8" s="45"/>
      <c r="P8" s="45"/>
      <c r="Q8" s="45"/>
    </row>
    <row r="9" spans="1:32" s="46" customFormat="1">
      <c r="A9" s="54" t="s">
        <v>616</v>
      </c>
      <c r="B9" s="61"/>
      <c r="C9" s="61"/>
      <c r="D9" s="61"/>
      <c r="E9" s="292"/>
      <c r="F9" s="61"/>
      <c r="G9" s="61"/>
      <c r="H9" s="61"/>
      <c r="I9" s="61"/>
      <c r="J9" s="61"/>
      <c r="K9" s="61"/>
      <c r="L9" s="45"/>
      <c r="M9" s="45"/>
      <c r="N9" s="45"/>
      <c r="O9" s="45"/>
      <c r="P9" s="45"/>
      <c r="Q9" s="45"/>
    </row>
    <row r="10" spans="1:32" s="50" customFormat="1" ht="13.5" customHeight="1">
      <c r="A10" s="55">
        <f>SUM(A13:A2198)</f>
        <v>0</v>
      </c>
      <c r="B10" s="63"/>
      <c r="C10" s="71"/>
      <c r="D10" s="48"/>
      <c r="E10" s="48"/>
      <c r="F10" s="48"/>
      <c r="G10" s="72"/>
      <c r="H10" s="48"/>
      <c r="I10" s="48"/>
      <c r="J10" s="72"/>
      <c r="K10" s="49"/>
      <c r="L10" s="49"/>
      <c r="M10" s="49"/>
      <c r="N10" s="49"/>
      <c r="O10" s="49"/>
      <c r="P10" s="49"/>
      <c r="Q10" s="49"/>
    </row>
    <row r="11" spans="1:32">
      <c r="R11" s="400"/>
    </row>
    <row r="12" spans="1:32">
      <c r="B12" s="223" t="s">
        <v>1433</v>
      </c>
      <c r="C12" s="38"/>
      <c r="D12" s="38"/>
      <c r="E12" s="38"/>
      <c r="F12" s="38"/>
      <c r="G12" s="38"/>
      <c r="H12" s="38"/>
      <c r="I12" s="38"/>
      <c r="J12" s="38"/>
      <c r="K12" s="38"/>
      <c r="L12" s="38"/>
      <c r="M12" s="399"/>
      <c r="N12" s="399"/>
      <c r="O12" s="399"/>
      <c r="P12" s="399"/>
      <c r="Q12" s="399"/>
      <c r="R12" s="399"/>
      <c r="S12" s="399"/>
      <c r="T12" s="399"/>
      <c r="U12" s="399"/>
      <c r="V12" s="399"/>
      <c r="W12" s="399"/>
      <c r="X12" s="399"/>
      <c r="Y12" s="399"/>
      <c r="Z12" s="38"/>
      <c r="AA12" s="38"/>
      <c r="AB12" s="38"/>
      <c r="AC12" s="38"/>
      <c r="AD12" s="38"/>
      <c r="AE12" s="38"/>
      <c r="AF12" s="38"/>
    </row>
    <row r="13" spans="1:32">
      <c r="B13" s="38"/>
      <c r="C13" s="38"/>
      <c r="D13" s="38"/>
      <c r="E13" s="38"/>
      <c r="F13" s="38"/>
      <c r="G13" s="38"/>
      <c r="H13" s="38"/>
      <c r="I13" s="38"/>
      <c r="J13" s="38"/>
      <c r="K13" s="38"/>
      <c r="L13" s="38"/>
      <c r="M13" s="399"/>
      <c r="N13" s="399"/>
      <c r="O13" s="399"/>
      <c r="P13" s="399"/>
      <c r="Q13" s="399"/>
      <c r="R13" s="399"/>
      <c r="S13" s="399"/>
      <c r="T13" s="399"/>
      <c r="U13" s="399"/>
      <c r="V13" s="399"/>
      <c r="W13" s="399"/>
      <c r="X13" s="399"/>
      <c r="Y13" s="399"/>
      <c r="Z13" s="38"/>
      <c r="AA13" s="38"/>
      <c r="AB13" s="38"/>
      <c r="AC13" s="38"/>
      <c r="AD13" s="38"/>
      <c r="AE13" s="38"/>
      <c r="AF13" s="38"/>
    </row>
    <row r="14" spans="1:32" ht="15.75">
      <c r="B14" s="78" t="s">
        <v>359</v>
      </c>
      <c r="C14" s="477" t="s">
        <v>617</v>
      </c>
      <c r="D14" s="38"/>
      <c r="E14" s="38"/>
      <c r="F14" s="38"/>
      <c r="G14" s="38"/>
      <c r="H14" s="38"/>
      <c r="I14" s="38"/>
      <c r="J14" s="38"/>
      <c r="K14" s="38"/>
      <c r="L14" s="38"/>
      <c r="M14" s="399"/>
      <c r="N14" s="399"/>
      <c r="O14" s="399"/>
      <c r="P14" s="399"/>
      <c r="Q14" s="399"/>
      <c r="R14" s="399"/>
      <c r="S14" s="399"/>
      <c r="T14" s="399"/>
      <c r="U14" s="399"/>
      <c r="V14" s="399"/>
      <c r="W14" s="399"/>
      <c r="X14" s="399"/>
      <c r="Y14" s="399"/>
      <c r="Z14" s="38"/>
      <c r="AA14" s="38"/>
      <c r="AB14" s="38"/>
      <c r="AC14" s="38"/>
      <c r="AD14" s="38"/>
      <c r="AE14" s="38"/>
      <c r="AF14" s="38"/>
    </row>
    <row r="15" spans="1:32">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row>
    <row r="16" spans="1:32">
      <c r="B16" s="202" t="s">
        <v>89</v>
      </c>
      <c r="C16" s="203" t="s">
        <v>122</v>
      </c>
      <c r="D16" s="203" t="s">
        <v>123</v>
      </c>
      <c r="E16" s="203" t="s">
        <v>124</v>
      </c>
      <c r="F16" s="203" t="s">
        <v>125</v>
      </c>
      <c r="G16" s="203" t="s">
        <v>126</v>
      </c>
      <c r="H16" s="203" t="s">
        <v>127</v>
      </c>
      <c r="I16" s="203" t="s">
        <v>128</v>
      </c>
      <c r="J16" s="203" t="s">
        <v>129</v>
      </c>
      <c r="K16" s="203" t="s">
        <v>130</v>
      </c>
      <c r="L16" s="203" t="s">
        <v>131</v>
      </c>
      <c r="M16" s="203" t="s">
        <v>132</v>
      </c>
      <c r="N16" s="203" t="s">
        <v>133</v>
      </c>
      <c r="O16" s="203" t="s">
        <v>134</v>
      </c>
      <c r="P16" s="203" t="s">
        <v>135</v>
      </c>
      <c r="Q16" s="203" t="s">
        <v>136</v>
      </c>
      <c r="R16" s="203" t="s">
        <v>137</v>
      </c>
      <c r="S16" s="203" t="s">
        <v>138</v>
      </c>
      <c r="T16" s="203" t="s">
        <v>139</v>
      </c>
      <c r="U16" s="203" t="s">
        <v>140</v>
      </c>
      <c r="V16" s="203" t="s">
        <v>141</v>
      </c>
      <c r="W16" s="203" t="s">
        <v>170</v>
      </c>
      <c r="X16" s="203" t="s">
        <v>171</v>
      </c>
      <c r="Y16" s="203" t="s">
        <v>172</v>
      </c>
      <c r="Z16" s="203" t="s">
        <v>1099</v>
      </c>
      <c r="AA16" s="38"/>
      <c r="AB16" s="38"/>
      <c r="AC16" s="38"/>
      <c r="AD16" s="38"/>
      <c r="AE16" s="38"/>
      <c r="AF16" s="38"/>
    </row>
    <row r="17" spans="2:32">
      <c r="B17" s="202" t="str">
        <f>RAW_DATA_INPUTS!B356</f>
        <v>Primary age Pupils (FTE) Central</v>
      </c>
      <c r="C17" s="334">
        <f>RAW_DATA_INPUTS!C356</f>
        <v>4133670.5</v>
      </c>
      <c r="D17" s="334">
        <f>RAW_DATA_INPUTS!D356</f>
        <v>4085271.436729731</v>
      </c>
      <c r="E17" s="334">
        <f>RAW_DATA_INPUTS!E356</f>
        <v>4047195.5</v>
      </c>
      <c r="F17" s="334">
        <f>RAW_DATA_INPUTS!F356</f>
        <v>4028055.5</v>
      </c>
      <c r="G17" s="334">
        <f>RAW_DATA_INPUTS!G356</f>
        <v>4016161.5</v>
      </c>
      <c r="H17" s="334">
        <f>RAW_DATA_INPUTS!H356</f>
        <v>4036364.5</v>
      </c>
      <c r="I17" s="334">
        <f>RAW_DATA_INPUTS!I356</f>
        <v>4074368</v>
      </c>
      <c r="J17" s="334">
        <f>RAW_DATA_INPUTS!J356</f>
        <v>4150277.5</v>
      </c>
      <c r="K17" s="334">
        <f>RAW_DATA_INPUTS!K356</f>
        <v>4247394.5</v>
      </c>
      <c r="L17" s="334">
        <f>RAW_DATA_INPUTS!L356</f>
        <v>4359000</v>
      </c>
      <c r="M17" s="334">
        <f>RAW_DATA_INPUTS!M356</f>
        <v>4463434</v>
      </c>
      <c r="N17" s="334">
        <f>RAW_DATA_INPUTS!N356</f>
        <v>4574041.5</v>
      </c>
      <c r="O17" s="334">
        <f>RAW_DATA_INPUTS!O356</f>
        <v>4669403.6051013358</v>
      </c>
      <c r="P17" s="334">
        <f>RAW_DATA_INPUTS!P356</f>
        <v>4728615.0056829667</v>
      </c>
      <c r="Q17" s="334">
        <f>RAW_DATA_INPUTS!Q356</f>
        <v>4754148.1072515734</v>
      </c>
      <c r="R17" s="334">
        <f>RAW_DATA_INPUTS!R356</f>
        <v>4754929.3367273957</v>
      </c>
      <c r="S17" s="334">
        <f>RAW_DATA_INPUTS!S356</f>
        <v>4765188.6443500407</v>
      </c>
      <c r="T17" s="334">
        <f>RAW_DATA_INPUTS!T356</f>
        <v>4768353.1674103234</v>
      </c>
      <c r="U17" s="334">
        <f>RAW_DATA_INPUTS!U356</f>
        <v>4760117.7392643597</v>
      </c>
      <c r="V17" s="334">
        <f>RAW_DATA_INPUTS!V356</f>
        <v>4744856.0009206505</v>
      </c>
      <c r="W17" s="334">
        <f>RAW_DATA_INPUTS!W356</f>
        <v>4754081.3268117374</v>
      </c>
      <c r="X17" s="334">
        <f>RAW_DATA_INPUTS!X356</f>
        <v>4780859.047119638</v>
      </c>
      <c r="Y17" s="334">
        <f>RAW_DATA_INPUTS!Y356</f>
        <v>4809841.7847702289</v>
      </c>
      <c r="Z17" s="334">
        <f>RAW_DATA_INPUTS!Z356</f>
        <v>4831636.05383253</v>
      </c>
      <c r="AA17" s="38"/>
      <c r="AB17" s="38"/>
      <c r="AC17" s="38"/>
      <c r="AD17" s="38"/>
      <c r="AE17" s="38"/>
      <c r="AF17" s="38"/>
    </row>
    <row r="18" spans="2:32">
      <c r="B18" s="202" t="str">
        <f>RAW_DATA_INPUTS!B357</f>
        <v>Pupils FTE KS3 Central</v>
      </c>
      <c r="C18" s="334">
        <f>RAW_DATA_INPUTS!C357</f>
        <v>1783139.5</v>
      </c>
      <c r="D18" s="334">
        <f>RAW_DATA_INPUTS!D357</f>
        <v>1758000.0007601124</v>
      </c>
      <c r="E18" s="334">
        <f>RAW_DATA_INPUTS!E357</f>
        <v>1722930</v>
      </c>
      <c r="F18" s="334">
        <f>RAW_DATA_INPUTS!F357</f>
        <v>1701531</v>
      </c>
      <c r="G18" s="334">
        <f>RAW_DATA_INPUTS!G357</f>
        <v>1691158</v>
      </c>
      <c r="H18" s="334">
        <f>RAW_DATA_INPUTS!H357</f>
        <v>1680949</v>
      </c>
      <c r="I18" s="334">
        <f>RAW_DATA_INPUTS!I357</f>
        <v>1672689.5</v>
      </c>
      <c r="J18" s="334">
        <f>RAW_DATA_INPUTS!J357</f>
        <v>1641887</v>
      </c>
      <c r="K18" s="334">
        <f>RAW_DATA_INPUTS!K357</f>
        <v>1612821</v>
      </c>
      <c r="L18" s="334">
        <f>RAW_DATA_INPUTS!L357</f>
        <v>1587472</v>
      </c>
      <c r="M18" s="334">
        <f>RAW_DATA_INPUTS!M357</f>
        <v>1595949</v>
      </c>
      <c r="N18" s="334">
        <f>RAW_DATA_INPUTS!N357</f>
        <v>1630717</v>
      </c>
      <c r="O18" s="334">
        <f>RAW_DATA_INPUTS!O357</f>
        <v>1684263.7099882406</v>
      </c>
      <c r="P18" s="334">
        <f>RAW_DATA_INPUTS!P357</f>
        <v>1728753.1396461697</v>
      </c>
      <c r="Q18" s="334">
        <f>RAW_DATA_INPUTS!Q357</f>
        <v>1776887.7109150444</v>
      </c>
      <c r="R18" s="334">
        <f>RAW_DATA_INPUTS!R357</f>
        <v>1837687.6258995868</v>
      </c>
      <c r="S18" s="334">
        <f>RAW_DATA_INPUTS!S357</f>
        <v>1881127.9885499382</v>
      </c>
      <c r="T18" s="334">
        <f>RAW_DATA_INPUTS!T357</f>
        <v>1915313.121305503</v>
      </c>
      <c r="U18" s="334">
        <f>RAW_DATA_INPUTS!U357</f>
        <v>1940527.0547370678</v>
      </c>
      <c r="V18" s="334">
        <f>RAW_DATA_INPUTS!V357</f>
        <v>1979340.1487121659</v>
      </c>
      <c r="W18" s="334">
        <f>RAW_DATA_INPUTS!W357</f>
        <v>1983726.1049581233</v>
      </c>
      <c r="X18" s="334">
        <f>RAW_DATA_INPUTS!X357</f>
        <v>1956668.4677220159</v>
      </c>
      <c r="Y18" s="334">
        <f>RAW_DATA_INPUTS!Y357</f>
        <v>1918632.3095877871</v>
      </c>
      <c r="Z18" s="334">
        <f>RAW_DATA_INPUTS!Z357</f>
        <v>1909994.1147172714</v>
      </c>
      <c r="AA18" s="38"/>
      <c r="AB18" s="38"/>
      <c r="AC18" s="38"/>
      <c r="AD18" s="38"/>
      <c r="AE18" s="38"/>
      <c r="AF18" s="38"/>
    </row>
    <row r="19" spans="2:32">
      <c r="B19" s="202" t="str">
        <f>RAW_DATA_INPUTS!B358</f>
        <v>Pupils FTE KS4 Central</v>
      </c>
      <c r="C19" s="334">
        <f>RAW_DATA_INPUTS!C358</f>
        <v>1170159</v>
      </c>
      <c r="D19" s="334">
        <f>RAW_DATA_INPUTS!D358</f>
        <v>1185802.5625101563</v>
      </c>
      <c r="E19" s="334">
        <f>RAW_DATA_INPUTS!E358</f>
        <v>1189358</v>
      </c>
      <c r="F19" s="334">
        <f>RAW_DATA_INPUTS!F358</f>
        <v>1166918.5</v>
      </c>
      <c r="G19" s="334">
        <f>RAW_DATA_INPUTS!G358</f>
        <v>1146150</v>
      </c>
      <c r="H19" s="334">
        <f>RAW_DATA_INPUTS!H358</f>
        <v>1133977</v>
      </c>
      <c r="I19" s="334">
        <f>RAW_DATA_INPUTS!I358</f>
        <v>1116342.5</v>
      </c>
      <c r="J19" s="334">
        <f>RAW_DATA_INPUTS!J358</f>
        <v>1120567</v>
      </c>
      <c r="K19" s="334">
        <f>RAW_DATA_INPUTS!K358</f>
        <v>1117099</v>
      </c>
      <c r="L19" s="334">
        <f>RAW_DATA_INPUTS!L358</f>
        <v>1099417.5</v>
      </c>
      <c r="M19" s="334">
        <f>RAW_DATA_INPUTS!M358</f>
        <v>1081078</v>
      </c>
      <c r="N19" s="334">
        <f>RAW_DATA_INPUTS!N358</f>
        <v>1057483</v>
      </c>
      <c r="O19" s="334">
        <f>RAW_DATA_INPUTS!O358</f>
        <v>1040625.6043942383</v>
      </c>
      <c r="P19" s="334">
        <f>RAW_DATA_INPUTS!P358</f>
        <v>1058358.5821559713</v>
      </c>
      <c r="Q19" s="334">
        <f>RAW_DATA_INPUTS!Q358</f>
        <v>1097644.5657882683</v>
      </c>
      <c r="R19" s="334">
        <f>RAW_DATA_INPUTS!R358</f>
        <v>1127512.3599218801</v>
      </c>
      <c r="S19" s="334">
        <f>RAW_DATA_INPUTS!S358</f>
        <v>1152699.2067537962</v>
      </c>
      <c r="T19" s="334">
        <f>RAW_DATA_INPUTS!T358</f>
        <v>1187590.8202413935</v>
      </c>
      <c r="U19" s="334">
        <f>RAW_DATA_INPUTS!U358</f>
        <v>1233917.8070985656</v>
      </c>
      <c r="V19" s="334">
        <f>RAW_DATA_INPUTS!V358</f>
        <v>1255218.8994874852</v>
      </c>
      <c r="W19" s="334">
        <f>RAW_DATA_INPUTS!W358</f>
        <v>1264502.0497479856</v>
      </c>
      <c r="X19" s="334">
        <f>RAW_DATA_INPUTS!X358</f>
        <v>1292760.7570925467</v>
      </c>
      <c r="Y19" s="334">
        <f>RAW_DATA_INPUTS!Y358</f>
        <v>1318712.4272962825</v>
      </c>
      <c r="Z19" s="334">
        <f>RAW_DATA_INPUTS!Z358</f>
        <v>1307078.5028154906</v>
      </c>
      <c r="AA19" s="38"/>
      <c r="AB19" s="38"/>
      <c r="AC19" s="38"/>
      <c r="AD19" s="38"/>
      <c r="AE19" s="38"/>
      <c r="AF19" s="38"/>
    </row>
    <row r="20" spans="2:32">
      <c r="B20" s="202" t="str">
        <f>RAW_DATA_INPUTS!B359</f>
        <v>Pupils FTE KS5 Central</v>
      </c>
      <c r="C20" s="334">
        <f>RAW_DATA_INPUTS!C359</f>
        <v>355184.5</v>
      </c>
      <c r="D20" s="334">
        <f>RAW_DATA_INPUTS!D359</f>
        <v>361355</v>
      </c>
      <c r="E20" s="334">
        <f>RAW_DATA_INPUTS!E359</f>
        <v>370116</v>
      </c>
      <c r="F20" s="334">
        <f>RAW_DATA_INPUTS!F359</f>
        <v>380453</v>
      </c>
      <c r="G20" s="334">
        <f>RAW_DATA_INPUTS!G359</f>
        <v>394342</v>
      </c>
      <c r="H20" s="334">
        <f>RAW_DATA_INPUTS!H359</f>
        <v>412859.5</v>
      </c>
      <c r="I20" s="334">
        <f>RAW_DATA_INPUTS!I359</f>
        <v>423222</v>
      </c>
      <c r="J20" s="334">
        <f>RAW_DATA_INPUTS!J359</f>
        <v>423232.5</v>
      </c>
      <c r="K20" s="334">
        <f>RAW_DATA_INPUTS!K359</f>
        <v>428860</v>
      </c>
      <c r="L20" s="334">
        <f>RAW_DATA_INPUTS!L359</f>
        <v>439034.5</v>
      </c>
      <c r="M20" s="334">
        <f>RAW_DATA_INPUTS!M359</f>
        <v>442772</v>
      </c>
      <c r="N20" s="334">
        <f>RAW_DATA_INPUTS!N359</f>
        <v>433788</v>
      </c>
      <c r="O20" s="335">
        <f t="shared" ref="O20:Z20" si="0">O23*O21</f>
        <v>428545.20451393852</v>
      </c>
      <c r="P20" s="335">
        <f t="shared" si="0"/>
        <v>419361.78857838438</v>
      </c>
      <c r="Q20" s="335">
        <f t="shared" si="0"/>
        <v>410245.50884306151</v>
      </c>
      <c r="R20" s="335">
        <f t="shared" si="0"/>
        <v>406321.98384626833</v>
      </c>
      <c r="S20" s="335">
        <f t="shared" si="0"/>
        <v>407908.7817738661</v>
      </c>
      <c r="T20" s="335">
        <f t="shared" si="0"/>
        <v>414599.54691593052</v>
      </c>
      <c r="U20" s="335">
        <f t="shared" si="0"/>
        <v>427051.82731021068</v>
      </c>
      <c r="V20" s="335">
        <f t="shared" si="0"/>
        <v>439692.43116813409</v>
      </c>
      <c r="W20" s="335">
        <f t="shared" si="0"/>
        <v>453063.3820700291</v>
      </c>
      <c r="X20" s="335">
        <f t="shared" si="0"/>
        <v>462667.53121151531</v>
      </c>
      <c r="Y20" s="335">
        <f t="shared" si="0"/>
        <v>470577.77984100528</v>
      </c>
      <c r="Z20" s="335">
        <f t="shared" si="0"/>
        <v>478187.03901394637</v>
      </c>
      <c r="AA20" s="38"/>
      <c r="AB20" s="38"/>
      <c r="AC20" s="38"/>
      <c r="AD20" s="38"/>
      <c r="AE20" s="38"/>
      <c r="AF20" s="38"/>
    </row>
    <row r="21" spans="2:32">
      <c r="B21" s="202" t="str">
        <f>RAW_DATA_INPUTS!B360</f>
        <v>16-19 population</v>
      </c>
      <c r="C21" s="334">
        <f>RAW_DATA_INPUTS!C360</f>
        <v>2591851.2639240595</v>
      </c>
      <c r="D21" s="334">
        <f>RAW_DATA_INPUTS!D360</f>
        <v>2608521.9199660681</v>
      </c>
      <c r="E21" s="334">
        <f>RAW_DATA_INPUTS!E360</f>
        <v>2644318.2228521295</v>
      </c>
      <c r="F21" s="334">
        <f>RAW_DATA_INPUTS!F360</f>
        <v>2688798.0261939741</v>
      </c>
      <c r="G21" s="334">
        <f>RAW_DATA_INPUTS!G360</f>
        <v>2705903.2746035685</v>
      </c>
      <c r="H21" s="334">
        <f>RAW_DATA_INPUTS!H360</f>
        <v>2717958.6116225235</v>
      </c>
      <c r="I21" s="334">
        <f>RAW_DATA_INPUTS!I360</f>
        <v>2717385.3601785055</v>
      </c>
      <c r="J21" s="334">
        <f>RAW_DATA_INPUTS!J360</f>
        <v>2680455.9336874634</v>
      </c>
      <c r="K21" s="334">
        <f>RAW_DATA_INPUTS!K360</f>
        <v>2641996.0006059059</v>
      </c>
      <c r="L21" s="334">
        <f>RAW_DATA_INPUTS!L360</f>
        <v>2633177.9290057975</v>
      </c>
      <c r="M21" s="334">
        <f>RAW_DATA_INPUTS!M360</f>
        <v>2617244.4924365301</v>
      </c>
      <c r="N21" s="334">
        <f>RAW_DATA_INPUTS!N360</f>
        <v>2602838.9038879378</v>
      </c>
      <c r="O21" s="334">
        <f>RAW_DATA_INPUTS!O360</f>
        <v>2566894.2328166375</v>
      </c>
      <c r="P21" s="334">
        <f>RAW_DATA_INPUTS!P360</f>
        <v>2516192.0716285761</v>
      </c>
      <c r="Q21" s="334">
        <f>RAW_DATA_INPUTS!Q360</f>
        <v>2468379.6286457297</v>
      </c>
      <c r="R21" s="334">
        <f>RAW_DATA_INPUTS!R360</f>
        <v>2444772.4252375104</v>
      </c>
      <c r="S21" s="334">
        <f>RAW_DATA_INPUTS!S360</f>
        <v>2454319.9269037819</v>
      </c>
      <c r="T21" s="334">
        <f>RAW_DATA_INPUTS!T360</f>
        <v>2494577.1582950531</v>
      </c>
      <c r="U21" s="334">
        <f>RAW_DATA_INPUTS!U360</f>
        <v>2569500.4776072069</v>
      </c>
      <c r="V21" s="334">
        <f>RAW_DATA_INPUTS!V360</f>
        <v>2645556.908169168</v>
      </c>
      <c r="W21" s="334">
        <f>RAW_DATA_INPUTS!W360</f>
        <v>2726007.7165520228</v>
      </c>
      <c r="X21" s="334">
        <f>RAW_DATA_INPUTS!X360</f>
        <v>2783794.2994159656</v>
      </c>
      <c r="Y21" s="334">
        <f>RAW_DATA_INPUTS!Y360</f>
        <v>2831388.9620111026</v>
      </c>
      <c r="Z21" s="334">
        <f>RAW_DATA_INPUTS!Z360</f>
        <v>2877172.6206416194</v>
      </c>
      <c r="AA21" s="38"/>
      <c r="AB21" s="38"/>
      <c r="AC21" s="38"/>
      <c r="AD21" s="38"/>
      <c r="AE21" s="38"/>
      <c r="AF21" s="38"/>
    </row>
    <row r="22" spans="2:32">
      <c r="B22" s="202" t="s">
        <v>1488</v>
      </c>
      <c r="C22" s="336">
        <f t="shared" ref="C22:Z22" si="1">SUM(C18:C20)</f>
        <v>3308483</v>
      </c>
      <c r="D22" s="336">
        <f t="shared" si="1"/>
        <v>3305157.563270269</v>
      </c>
      <c r="E22" s="336">
        <f t="shared" si="1"/>
        <v>3282404</v>
      </c>
      <c r="F22" s="336">
        <f t="shared" si="1"/>
        <v>3248902.5</v>
      </c>
      <c r="G22" s="336">
        <f t="shared" si="1"/>
        <v>3231650</v>
      </c>
      <c r="H22" s="336">
        <f t="shared" si="1"/>
        <v>3227785.5</v>
      </c>
      <c r="I22" s="336">
        <f t="shared" si="1"/>
        <v>3212254</v>
      </c>
      <c r="J22" s="336">
        <f t="shared" si="1"/>
        <v>3185686.5</v>
      </c>
      <c r="K22" s="336">
        <f t="shared" si="1"/>
        <v>3158780</v>
      </c>
      <c r="L22" s="336">
        <f t="shared" si="1"/>
        <v>3125924</v>
      </c>
      <c r="M22" s="336">
        <f t="shared" si="1"/>
        <v>3119799</v>
      </c>
      <c r="N22" s="336">
        <f t="shared" si="1"/>
        <v>3121988</v>
      </c>
      <c r="O22" s="336">
        <f t="shared" si="1"/>
        <v>3153434.5188964177</v>
      </c>
      <c r="P22" s="336">
        <f t="shared" si="1"/>
        <v>3206473.5103805256</v>
      </c>
      <c r="Q22" s="336">
        <f t="shared" si="1"/>
        <v>3284777.7855463745</v>
      </c>
      <c r="R22" s="336">
        <f t="shared" si="1"/>
        <v>3371521.969667735</v>
      </c>
      <c r="S22" s="336">
        <f t="shared" si="1"/>
        <v>3441735.9770776005</v>
      </c>
      <c r="T22" s="336">
        <f t="shared" si="1"/>
        <v>3517503.4884628272</v>
      </c>
      <c r="U22" s="336">
        <f t="shared" si="1"/>
        <v>3601496.689145844</v>
      </c>
      <c r="V22" s="336">
        <f t="shared" si="1"/>
        <v>3674251.4793677852</v>
      </c>
      <c r="W22" s="336">
        <f t="shared" si="1"/>
        <v>3701291.536776138</v>
      </c>
      <c r="X22" s="336">
        <f t="shared" si="1"/>
        <v>3712096.756026078</v>
      </c>
      <c r="Y22" s="336">
        <f t="shared" si="1"/>
        <v>3707922.516725075</v>
      </c>
      <c r="Z22" s="336">
        <f t="shared" si="1"/>
        <v>3695259.6565467082</v>
      </c>
      <c r="AA22" s="38"/>
      <c r="AB22" s="38"/>
      <c r="AC22" s="38"/>
      <c r="AD22" s="38"/>
      <c r="AE22" s="38"/>
      <c r="AF22" s="38"/>
    </row>
    <row r="23" spans="2:32" s="2" customFormat="1">
      <c r="B23" s="559"/>
      <c r="D23" s="478" t="s">
        <v>462</v>
      </c>
      <c r="E23" s="471">
        <f t="shared" ref="E23:N23" si="2">E20/E21</f>
        <v>0.13996651265398663</v>
      </c>
      <c r="F23" s="471">
        <f t="shared" si="2"/>
        <v>0.14149556652960499</v>
      </c>
      <c r="G23" s="471">
        <f t="shared" si="2"/>
        <v>0.14573396015338852</v>
      </c>
      <c r="H23" s="471">
        <f t="shared" si="2"/>
        <v>0.15190058385529931</v>
      </c>
      <c r="I23" s="471">
        <f t="shared" si="2"/>
        <v>0.15574603668733922</v>
      </c>
      <c r="J23" s="471">
        <f t="shared" si="2"/>
        <v>0.15789571269607305</v>
      </c>
      <c r="K23" s="471">
        <f t="shared" si="2"/>
        <v>0.16232424269440482</v>
      </c>
      <c r="L23" s="471">
        <f t="shared" si="2"/>
        <v>0.1667318015861409</v>
      </c>
      <c r="M23" s="471">
        <f t="shared" si="2"/>
        <v>0.1691748712355873</v>
      </c>
      <c r="N23" s="471">
        <f t="shared" si="2"/>
        <v>0.16665956519707692</v>
      </c>
      <c r="O23" s="472">
        <f>N23+((((N23-M23)*3)+((M23-L23)*2)+(L23-K23))/6)</f>
        <v>0.16695086187625988</v>
      </c>
      <c r="P23" s="472">
        <f>O23+((((O23-N23)*3)+((N23-M23)*2)+(M23-L23))/6)</f>
        <v>0.16666525314458897</v>
      </c>
      <c r="Q23" s="472">
        <f>P23+((((P23-O23)*3)+((O23-N23)*2)+(N23-M23))/6)</f>
        <v>0.16620032999872944</v>
      </c>
      <c r="R23" s="473">
        <f t="shared" ref="R23:Z23" si="3">Q23</f>
        <v>0.16620032999872944</v>
      </c>
      <c r="S23" s="473">
        <f t="shared" si="3"/>
        <v>0.16620032999872944</v>
      </c>
      <c r="T23" s="473">
        <f t="shared" si="3"/>
        <v>0.16620032999872944</v>
      </c>
      <c r="U23" s="473">
        <f t="shared" si="3"/>
        <v>0.16620032999872944</v>
      </c>
      <c r="V23" s="473">
        <f t="shared" si="3"/>
        <v>0.16620032999872944</v>
      </c>
      <c r="W23" s="473">
        <f t="shared" si="3"/>
        <v>0.16620032999872944</v>
      </c>
      <c r="X23" s="473">
        <f t="shared" si="3"/>
        <v>0.16620032999872944</v>
      </c>
      <c r="Y23" s="473">
        <f t="shared" si="3"/>
        <v>0.16620032999872944</v>
      </c>
      <c r="Z23" s="473">
        <f t="shared" si="3"/>
        <v>0.16620032999872944</v>
      </c>
      <c r="AA23" s="200"/>
      <c r="AB23" s="200"/>
      <c r="AC23" s="200"/>
      <c r="AD23" s="200"/>
      <c r="AE23" s="200"/>
      <c r="AF23" s="200"/>
    </row>
    <row r="24" spans="2:32" s="2" customFormat="1">
      <c r="B24" s="559"/>
      <c r="C24" s="198"/>
      <c r="D24" s="198"/>
      <c r="E24" s="398"/>
      <c r="F24" s="198"/>
      <c r="G24" s="198"/>
      <c r="H24" s="198"/>
      <c r="I24" s="198"/>
      <c r="J24" s="198"/>
      <c r="K24" s="198"/>
      <c r="L24" s="198"/>
      <c r="M24" s="198"/>
      <c r="N24" s="198"/>
      <c r="O24" s="198"/>
      <c r="P24" s="198"/>
      <c r="Q24" s="198"/>
      <c r="R24" s="198"/>
      <c r="S24" s="198"/>
      <c r="T24" s="198"/>
      <c r="U24" s="198"/>
      <c r="V24" s="199"/>
      <c r="W24" s="200"/>
      <c r="X24" s="200"/>
      <c r="Y24" s="200"/>
      <c r="Z24" s="200"/>
      <c r="AA24" s="200"/>
      <c r="AB24" s="200"/>
      <c r="AC24" s="200"/>
      <c r="AD24" s="200"/>
      <c r="AE24" s="200"/>
      <c r="AF24" s="200"/>
    </row>
    <row r="25" spans="2:32" ht="15.75">
      <c r="B25" s="201" t="s">
        <v>178</v>
      </c>
      <c r="C25" s="38"/>
      <c r="D25" s="38"/>
      <c r="E25" s="399"/>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row>
    <row r="26" spans="2:32">
      <c r="B26" s="560"/>
      <c r="C26" s="38"/>
      <c r="D26" s="38"/>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row>
    <row r="27" spans="2:32">
      <c r="B27" s="202" t="str">
        <f>RAW_DATA_INPUTS!B364</f>
        <v>Academic year</v>
      </c>
      <c r="C27" s="202" t="str">
        <f t="shared" ref="C27:Z27" si="4">C16</f>
        <v>2004/05</v>
      </c>
      <c r="D27" s="202" t="str">
        <f t="shared" si="4"/>
        <v>2005/06</v>
      </c>
      <c r="E27" s="202" t="str">
        <f t="shared" si="4"/>
        <v>2006/07</v>
      </c>
      <c r="F27" s="202" t="str">
        <f t="shared" si="4"/>
        <v>2007/08</v>
      </c>
      <c r="G27" s="202" t="str">
        <f t="shared" si="4"/>
        <v>2008/09</v>
      </c>
      <c r="H27" s="202" t="str">
        <f t="shared" si="4"/>
        <v>2009/10</v>
      </c>
      <c r="I27" s="202" t="str">
        <f t="shared" si="4"/>
        <v>2010/11</v>
      </c>
      <c r="J27" s="202" t="str">
        <f t="shared" si="4"/>
        <v>2011/12</v>
      </c>
      <c r="K27" s="202" t="str">
        <f t="shared" si="4"/>
        <v>2012/13</v>
      </c>
      <c r="L27" s="202" t="str">
        <f t="shared" si="4"/>
        <v>2013/14</v>
      </c>
      <c r="M27" s="202" t="str">
        <f t="shared" si="4"/>
        <v>2014/15</v>
      </c>
      <c r="N27" s="202" t="str">
        <f t="shared" si="4"/>
        <v>2015/16</v>
      </c>
      <c r="O27" s="202" t="str">
        <f t="shared" si="4"/>
        <v>2016/17</v>
      </c>
      <c r="P27" s="202" t="str">
        <f t="shared" si="4"/>
        <v>2017/18</v>
      </c>
      <c r="Q27" s="202" t="str">
        <f t="shared" si="4"/>
        <v>2018/19</v>
      </c>
      <c r="R27" s="202" t="str">
        <f t="shared" si="4"/>
        <v>2019/20</v>
      </c>
      <c r="S27" s="202" t="str">
        <f t="shared" si="4"/>
        <v>2020/21</v>
      </c>
      <c r="T27" s="202" t="str">
        <f t="shared" si="4"/>
        <v>2021/22</v>
      </c>
      <c r="U27" s="202" t="str">
        <f t="shared" si="4"/>
        <v>2022/23</v>
      </c>
      <c r="V27" s="202" t="str">
        <f t="shared" si="4"/>
        <v>2023/24</v>
      </c>
      <c r="W27" s="202" t="str">
        <f t="shared" si="4"/>
        <v>2024/25</v>
      </c>
      <c r="X27" s="202" t="str">
        <f t="shared" si="4"/>
        <v>2025/26</v>
      </c>
      <c r="Y27" s="202" t="str">
        <f t="shared" si="4"/>
        <v>2026/27</v>
      </c>
      <c r="Z27" s="202" t="str">
        <f t="shared" si="4"/>
        <v>2027/28</v>
      </c>
      <c r="AA27" s="38"/>
      <c r="AB27" s="38"/>
      <c r="AC27" s="38"/>
      <c r="AD27" s="38"/>
      <c r="AE27" s="38"/>
      <c r="AF27" s="38"/>
    </row>
    <row r="28" spans="2:32">
      <c r="B28" s="202" t="str">
        <f>RAW_DATA_INPUTS!B365</f>
        <v>Primary age Pupils (FTE) High</v>
      </c>
      <c r="C28" s="334">
        <f>RAW_DATA_INPUTS!C365</f>
        <v>4133670.5</v>
      </c>
      <c r="D28" s="334">
        <f>RAW_DATA_INPUTS!D365</f>
        <v>4085271.436729731</v>
      </c>
      <c r="E28" s="334">
        <f>RAW_DATA_INPUTS!E365</f>
        <v>4047195.5</v>
      </c>
      <c r="F28" s="334">
        <f>RAW_DATA_INPUTS!F365</f>
        <v>4028055.5</v>
      </c>
      <c r="G28" s="334">
        <f>RAW_DATA_INPUTS!G365</f>
        <v>4016161.5</v>
      </c>
      <c r="H28" s="334">
        <f>RAW_DATA_INPUTS!H365</f>
        <v>4036364.5</v>
      </c>
      <c r="I28" s="334">
        <f>RAW_DATA_INPUTS!I365</f>
        <v>4074368</v>
      </c>
      <c r="J28" s="334">
        <f>RAW_DATA_INPUTS!J365</f>
        <v>4150277.5</v>
      </c>
      <c r="K28" s="334">
        <f>RAW_DATA_INPUTS!K365</f>
        <v>4247394.5</v>
      </c>
      <c r="L28" s="334">
        <f>RAW_DATA_INPUTS!L365</f>
        <v>4359000</v>
      </c>
      <c r="M28" s="334">
        <f>RAW_DATA_INPUTS!M365</f>
        <v>4463434</v>
      </c>
      <c r="N28" s="334">
        <f>RAW_DATA_INPUTS!N365</f>
        <v>4574041.5</v>
      </c>
      <c r="O28" s="334">
        <f>RAW_DATA_INPUTS!O365</f>
        <v>4671388.1460606074</v>
      </c>
      <c r="P28" s="334">
        <f>RAW_DATA_INPUTS!P365</f>
        <v>4733115.2348120278</v>
      </c>
      <c r="Q28" s="334">
        <f>RAW_DATA_INPUTS!Q365</f>
        <v>4762904.3248919779</v>
      </c>
      <c r="R28" s="334">
        <f>RAW_DATA_INPUTS!R365</f>
        <v>4773005.3617659593</v>
      </c>
      <c r="S28" s="334">
        <f>RAW_DATA_INPUTS!S365</f>
        <v>4803798.3480132939</v>
      </c>
      <c r="T28" s="334">
        <f>RAW_DATA_INPUTS!T365</f>
        <v>4831794.2220384879</v>
      </c>
      <c r="U28" s="334">
        <f>RAW_DATA_INPUTS!U365</f>
        <v>4852968.2305780109</v>
      </c>
      <c r="V28" s="334">
        <f>RAW_DATA_INPUTS!V365</f>
        <v>4872602.9333871268</v>
      </c>
      <c r="W28" s="334">
        <f>RAW_DATA_INPUTS!W365</f>
        <v>4923032.2432402028</v>
      </c>
      <c r="X28" s="334">
        <f>RAW_DATA_INPUTS!X365</f>
        <v>4997823.4105701968</v>
      </c>
      <c r="Y28" s="334">
        <f>RAW_DATA_INPUTS!Y365</f>
        <v>5078763.4492232995</v>
      </c>
      <c r="Z28" s="334">
        <f>RAW_DATA_INPUTS!Z365</f>
        <v>5146137.8783389097</v>
      </c>
      <c r="AA28" s="38"/>
      <c r="AB28" s="38"/>
      <c r="AC28" s="38"/>
      <c r="AD28" s="38"/>
      <c r="AE28" s="38"/>
      <c r="AF28" s="38"/>
    </row>
    <row r="29" spans="2:32">
      <c r="B29" s="202" t="str">
        <f>RAW_DATA_INPUTS!B366</f>
        <v>Pupils FTE KS3 High</v>
      </c>
      <c r="C29" s="334">
        <f>RAW_DATA_INPUTS!C366</f>
        <v>1783139.5</v>
      </c>
      <c r="D29" s="334">
        <f>RAW_DATA_INPUTS!D366</f>
        <v>1758000.0007601124</v>
      </c>
      <c r="E29" s="334">
        <f>RAW_DATA_INPUTS!E366</f>
        <v>1722930</v>
      </c>
      <c r="F29" s="334">
        <f>RAW_DATA_INPUTS!F366</f>
        <v>1701531</v>
      </c>
      <c r="G29" s="334">
        <f>RAW_DATA_INPUTS!G366</f>
        <v>1691158</v>
      </c>
      <c r="H29" s="334">
        <f>RAW_DATA_INPUTS!H366</f>
        <v>1680949</v>
      </c>
      <c r="I29" s="334">
        <f>RAW_DATA_INPUTS!I366</f>
        <v>1672689.5</v>
      </c>
      <c r="J29" s="334">
        <f>RAW_DATA_INPUTS!J366</f>
        <v>1641887</v>
      </c>
      <c r="K29" s="334">
        <f>RAW_DATA_INPUTS!K366</f>
        <v>1612821</v>
      </c>
      <c r="L29" s="334">
        <f>RAW_DATA_INPUTS!L366</f>
        <v>1587472</v>
      </c>
      <c r="M29" s="334">
        <f>RAW_DATA_INPUTS!M366</f>
        <v>1595949</v>
      </c>
      <c r="N29" s="334">
        <f>RAW_DATA_INPUTS!N366</f>
        <v>1630717</v>
      </c>
      <c r="O29" s="334">
        <f>RAW_DATA_INPUTS!O366</f>
        <v>1684694.0976149417</v>
      </c>
      <c r="P29" s="334">
        <f>RAW_DATA_INPUTS!P366</f>
        <v>1729604.2710067979</v>
      </c>
      <c r="Q29" s="334">
        <f>RAW_DATA_INPUTS!Q366</f>
        <v>1778171.2770992236</v>
      </c>
      <c r="R29" s="334">
        <f>RAW_DATA_INPUTS!R366</f>
        <v>1839439.0540544526</v>
      </c>
      <c r="S29" s="334">
        <f>RAW_DATA_INPUTS!S366</f>
        <v>1883411.9798854964</v>
      </c>
      <c r="T29" s="334">
        <f>RAW_DATA_INPUTS!T366</f>
        <v>1918161.5737690255</v>
      </c>
      <c r="U29" s="334">
        <f>RAW_DATA_INPUTS!U366</f>
        <v>1944334.2022429933</v>
      </c>
      <c r="V29" s="334">
        <f>RAW_DATA_INPUTS!V366</f>
        <v>1984321.3782253668</v>
      </c>
      <c r="W29" s="334">
        <f>RAW_DATA_INPUTS!W366</f>
        <v>1990135.6120818914</v>
      </c>
      <c r="X29" s="334">
        <f>RAW_DATA_INPUTS!X366</f>
        <v>1964427.3978935303</v>
      </c>
      <c r="Y29" s="334">
        <f>RAW_DATA_INPUTS!Y366</f>
        <v>1930635.0101398407</v>
      </c>
      <c r="Z29" s="334">
        <f>RAW_DATA_INPUTS!Z366</f>
        <v>1939587.2044791293</v>
      </c>
      <c r="AA29" s="38"/>
      <c r="AB29" s="38"/>
      <c r="AC29" s="38"/>
      <c r="AD29" s="38"/>
      <c r="AE29" s="38"/>
      <c r="AF29" s="38"/>
    </row>
    <row r="30" spans="2:32">
      <c r="B30" s="202" t="str">
        <f>RAW_DATA_INPUTS!B367</f>
        <v>Pupils FTE KS4 High</v>
      </c>
      <c r="C30" s="334">
        <f>RAW_DATA_INPUTS!C367</f>
        <v>1170159</v>
      </c>
      <c r="D30" s="334">
        <f>RAW_DATA_INPUTS!D367</f>
        <v>1185802.5625101563</v>
      </c>
      <c r="E30" s="334">
        <f>RAW_DATA_INPUTS!E367</f>
        <v>1189358</v>
      </c>
      <c r="F30" s="334">
        <f>RAW_DATA_INPUTS!F367</f>
        <v>1166918.5</v>
      </c>
      <c r="G30" s="334">
        <f>RAW_DATA_INPUTS!G367</f>
        <v>1146150</v>
      </c>
      <c r="H30" s="334">
        <f>RAW_DATA_INPUTS!H367</f>
        <v>1133977</v>
      </c>
      <c r="I30" s="334">
        <f>RAW_DATA_INPUTS!I367</f>
        <v>1116342.5</v>
      </c>
      <c r="J30" s="334">
        <f>RAW_DATA_INPUTS!J367</f>
        <v>1120567</v>
      </c>
      <c r="K30" s="334">
        <f>RAW_DATA_INPUTS!K367</f>
        <v>1117099</v>
      </c>
      <c r="L30" s="334">
        <f>RAW_DATA_INPUTS!L367</f>
        <v>1099417.5</v>
      </c>
      <c r="M30" s="334">
        <f>RAW_DATA_INPUTS!M367</f>
        <v>1081078</v>
      </c>
      <c r="N30" s="334">
        <f>RAW_DATA_INPUTS!N367</f>
        <v>1057483</v>
      </c>
      <c r="O30" s="334">
        <f>RAW_DATA_INPUTS!O367</f>
        <v>1040991.230668921</v>
      </c>
      <c r="P30" s="334">
        <f>RAW_DATA_INPUTS!P367</f>
        <v>1059027.9348431393</v>
      </c>
      <c r="Q30" s="334">
        <f>RAW_DATA_INPUTS!Q367</f>
        <v>1098595.4831508426</v>
      </c>
      <c r="R30" s="334">
        <f>RAW_DATA_INPUTS!R367</f>
        <v>1128725.9347578203</v>
      </c>
      <c r="S30" s="334">
        <f>RAW_DATA_INPUTS!S367</f>
        <v>1154152.4145374876</v>
      </c>
      <c r="T30" s="334">
        <f>RAW_DATA_INPUTS!T367</f>
        <v>1189310.4719968319</v>
      </c>
      <c r="U30" s="334">
        <f>RAW_DATA_INPUTS!U367</f>
        <v>1235971.3985704568</v>
      </c>
      <c r="V30" s="334">
        <f>RAW_DATA_INPUTS!V367</f>
        <v>1257630.5766059568</v>
      </c>
      <c r="W30" s="334">
        <f>RAW_DATA_INPUTS!W367</f>
        <v>1267294.8686386226</v>
      </c>
      <c r="X30" s="334">
        <f>RAW_DATA_INPUTS!X367</f>
        <v>1296308.3439918964</v>
      </c>
      <c r="Y30" s="334">
        <f>RAW_DATA_INPUTS!Y367</f>
        <v>1323221.4384614143</v>
      </c>
      <c r="Z30" s="334">
        <f>RAW_DATA_INPUTS!Z367</f>
        <v>1312445.2698794992</v>
      </c>
      <c r="AA30" s="38"/>
      <c r="AB30" s="38"/>
      <c r="AC30" s="38"/>
      <c r="AD30" s="38"/>
      <c r="AE30" s="38"/>
      <c r="AF30" s="38"/>
    </row>
    <row r="31" spans="2:32">
      <c r="B31" s="202" t="str">
        <f>RAW_DATA_INPUTS!B368</f>
        <v>Pupils FTE KS5 High</v>
      </c>
      <c r="C31" s="334">
        <f>RAW_DATA_INPUTS!C368</f>
        <v>355184.5</v>
      </c>
      <c r="D31" s="334">
        <f>RAW_DATA_INPUTS!D368</f>
        <v>361355</v>
      </c>
      <c r="E31" s="334">
        <f>RAW_DATA_INPUTS!E368</f>
        <v>370116</v>
      </c>
      <c r="F31" s="334">
        <f>RAW_DATA_INPUTS!F368</f>
        <v>380453</v>
      </c>
      <c r="G31" s="334">
        <f>RAW_DATA_INPUTS!G368</f>
        <v>394342</v>
      </c>
      <c r="H31" s="334">
        <f>RAW_DATA_INPUTS!H368</f>
        <v>412859.5</v>
      </c>
      <c r="I31" s="334">
        <f>RAW_DATA_INPUTS!I368</f>
        <v>423222</v>
      </c>
      <c r="J31" s="334">
        <f>RAW_DATA_INPUTS!J368</f>
        <v>423232.5</v>
      </c>
      <c r="K31" s="334">
        <f>RAW_DATA_INPUTS!K368</f>
        <v>428860</v>
      </c>
      <c r="L31" s="334">
        <f>RAW_DATA_INPUTS!L368</f>
        <v>439034.5</v>
      </c>
      <c r="M31" s="334">
        <f>RAW_DATA_INPUTS!M368</f>
        <v>442772</v>
      </c>
      <c r="N31" s="334">
        <f>RAW_DATA_INPUTS!N368</f>
        <v>433788</v>
      </c>
      <c r="O31" s="335">
        <f t="shared" ref="O31:Z31" si="5">O34*O32</f>
        <v>429585.80476680811</v>
      </c>
      <c r="P31" s="335">
        <f t="shared" si="5"/>
        <v>420682.98320257937</v>
      </c>
      <c r="Q31" s="335">
        <f t="shared" si="5"/>
        <v>411772.9129877091</v>
      </c>
      <c r="R31" s="335">
        <f t="shared" si="5"/>
        <v>408021.94717836031</v>
      </c>
      <c r="S31" s="335">
        <f t="shared" si="5"/>
        <v>409761.66526543599</v>
      </c>
      <c r="T31" s="335">
        <f t="shared" si="5"/>
        <v>416603.37819283642</v>
      </c>
      <c r="U31" s="335">
        <f t="shared" si="5"/>
        <v>429213.66771248693</v>
      </c>
      <c r="V31" s="335">
        <f t="shared" si="5"/>
        <v>442018.47401236498</v>
      </c>
      <c r="W31" s="335">
        <f t="shared" si="5"/>
        <v>455567.87907074025</v>
      </c>
      <c r="X31" s="335">
        <f t="shared" si="5"/>
        <v>465360.2874827921</v>
      </c>
      <c r="Y31" s="335">
        <f t="shared" si="5"/>
        <v>473481.62102393521</v>
      </c>
      <c r="Z31" s="335">
        <f t="shared" si="5"/>
        <v>481317.612936171</v>
      </c>
      <c r="AA31" s="38"/>
      <c r="AB31" s="38"/>
      <c r="AC31" s="38"/>
      <c r="AD31" s="38"/>
      <c r="AE31" s="38"/>
      <c r="AF31" s="38"/>
    </row>
    <row r="32" spans="2:32">
      <c r="B32" s="202" t="str">
        <f>RAW_DATA_INPUTS!B369</f>
        <v>16-19 population</v>
      </c>
      <c r="C32" s="334">
        <f>RAW_DATA_INPUTS!C369</f>
        <v>2591851.2639240595</v>
      </c>
      <c r="D32" s="334">
        <f>RAW_DATA_INPUTS!D369</f>
        <v>2608521.9199660681</v>
      </c>
      <c r="E32" s="334">
        <f>RAW_DATA_INPUTS!E369</f>
        <v>2644318.2228521295</v>
      </c>
      <c r="F32" s="334">
        <f>RAW_DATA_INPUTS!F369</f>
        <v>2688798.0261939741</v>
      </c>
      <c r="G32" s="334">
        <f>RAW_DATA_INPUTS!G369</f>
        <v>2705903.2746035685</v>
      </c>
      <c r="H32" s="334">
        <f>RAW_DATA_INPUTS!H369</f>
        <v>2717958.6116225235</v>
      </c>
      <c r="I32" s="334">
        <f>RAW_DATA_INPUTS!I369</f>
        <v>2717385.3601785055</v>
      </c>
      <c r="J32" s="334">
        <f>RAW_DATA_INPUTS!J369</f>
        <v>2680455.9336874634</v>
      </c>
      <c r="K32" s="334">
        <f>RAW_DATA_INPUTS!K369</f>
        <v>2641996.0006059059</v>
      </c>
      <c r="L32" s="334">
        <f>RAW_DATA_INPUTS!L369</f>
        <v>2633177.9290057975</v>
      </c>
      <c r="M32" s="334">
        <f>RAW_DATA_INPUTS!M369</f>
        <v>2618370.409811642</v>
      </c>
      <c r="N32" s="334">
        <f>RAW_DATA_INPUTS!N369</f>
        <v>2606583.3170974669</v>
      </c>
      <c r="O32" s="334">
        <f>RAW_DATA_INPUTS!O369</f>
        <v>2573127.2060470534</v>
      </c>
      <c r="P32" s="334">
        <f>RAW_DATA_INPUTS!P369</f>
        <v>2524119.3066056762</v>
      </c>
      <c r="Q32" s="334">
        <f>RAW_DATA_INPUTS!Q369</f>
        <v>2477569.7677065805</v>
      </c>
      <c r="R32" s="334">
        <f>RAW_DATA_INPUTS!R369</f>
        <v>2455000.8244958329</v>
      </c>
      <c r="S32" s="334">
        <f>RAW_DATA_INPUTS!S369</f>
        <v>2465468.4215643164</v>
      </c>
      <c r="T32" s="334">
        <f>RAW_DATA_INPUTS!T369</f>
        <v>2506633.8809075844</v>
      </c>
      <c r="U32" s="334">
        <f>RAW_DATA_INPUTS!U369</f>
        <v>2582507.9150911923</v>
      </c>
      <c r="V32" s="334">
        <f>RAW_DATA_INPUTS!V369</f>
        <v>2659552.3246899936</v>
      </c>
      <c r="W32" s="334">
        <f>RAW_DATA_INPUTS!W369</f>
        <v>2741076.8623276679</v>
      </c>
      <c r="X32" s="334">
        <f>RAW_DATA_INPUTS!X369</f>
        <v>2799996.1702022473</v>
      </c>
      <c r="Y32" s="334">
        <f>RAW_DATA_INPUTS!Y369</f>
        <v>2848860.8959293575</v>
      </c>
      <c r="Z32" s="334">
        <f>RAW_DATA_INPUTS!Z369</f>
        <v>2896008.7680924013</v>
      </c>
      <c r="AA32" s="38"/>
      <c r="AB32" s="38"/>
      <c r="AC32" s="38"/>
      <c r="AD32" s="38"/>
      <c r="AE32" s="38"/>
      <c r="AF32" s="38"/>
    </row>
    <row r="33" spans="2:32">
      <c r="B33" s="202" t="str">
        <f>B22</f>
        <v>All secondary pupils</v>
      </c>
      <c r="C33" s="337">
        <f t="shared" ref="C33:Z33" si="6">SUM(C29:C31)</f>
        <v>3308483</v>
      </c>
      <c r="D33" s="337">
        <f t="shared" si="6"/>
        <v>3305157.563270269</v>
      </c>
      <c r="E33" s="337">
        <f t="shared" si="6"/>
        <v>3282404</v>
      </c>
      <c r="F33" s="337">
        <f t="shared" si="6"/>
        <v>3248902.5</v>
      </c>
      <c r="G33" s="337">
        <f t="shared" si="6"/>
        <v>3231650</v>
      </c>
      <c r="H33" s="337">
        <f t="shared" si="6"/>
        <v>3227785.5</v>
      </c>
      <c r="I33" s="337">
        <f t="shared" si="6"/>
        <v>3212254</v>
      </c>
      <c r="J33" s="337">
        <f t="shared" si="6"/>
        <v>3185686.5</v>
      </c>
      <c r="K33" s="337">
        <f t="shared" si="6"/>
        <v>3158780</v>
      </c>
      <c r="L33" s="337">
        <f t="shared" si="6"/>
        <v>3125924</v>
      </c>
      <c r="M33" s="337">
        <f t="shared" si="6"/>
        <v>3119799</v>
      </c>
      <c r="N33" s="337">
        <f t="shared" si="6"/>
        <v>3121988</v>
      </c>
      <c r="O33" s="337">
        <f t="shared" si="6"/>
        <v>3155271.1330506708</v>
      </c>
      <c r="P33" s="337">
        <f t="shared" si="6"/>
        <v>3209315.1890525166</v>
      </c>
      <c r="Q33" s="337">
        <f t="shared" si="6"/>
        <v>3288539.6732377755</v>
      </c>
      <c r="R33" s="337">
        <f t="shared" si="6"/>
        <v>3376186.9359906334</v>
      </c>
      <c r="S33" s="337">
        <f t="shared" si="6"/>
        <v>3447326.0596884196</v>
      </c>
      <c r="T33" s="337">
        <f t="shared" si="6"/>
        <v>3524075.4239586936</v>
      </c>
      <c r="U33" s="337">
        <f t="shared" si="6"/>
        <v>3609519.2685259371</v>
      </c>
      <c r="V33" s="337">
        <f t="shared" si="6"/>
        <v>3683970.4288436887</v>
      </c>
      <c r="W33" s="337">
        <f t="shared" si="6"/>
        <v>3712998.3597912542</v>
      </c>
      <c r="X33" s="337">
        <f t="shared" si="6"/>
        <v>3726096.0293682185</v>
      </c>
      <c r="Y33" s="337">
        <f t="shared" si="6"/>
        <v>3727338.0696251905</v>
      </c>
      <c r="Z33" s="337">
        <f t="shared" si="6"/>
        <v>3733350.0872947993</v>
      </c>
      <c r="AA33" s="38"/>
      <c r="AB33" s="38"/>
      <c r="AC33" s="38"/>
      <c r="AD33" s="38"/>
      <c r="AE33" s="38"/>
      <c r="AF33" s="38"/>
    </row>
    <row r="34" spans="2:32">
      <c r="B34" s="474" t="s">
        <v>459</v>
      </c>
      <c r="C34" s="196"/>
      <c r="D34" s="478" t="s">
        <v>462</v>
      </c>
      <c r="E34" s="471">
        <f t="shared" ref="E34:Z34" si="7">E23</f>
        <v>0.13996651265398663</v>
      </c>
      <c r="F34" s="471">
        <f t="shared" si="7"/>
        <v>0.14149556652960499</v>
      </c>
      <c r="G34" s="471">
        <f t="shared" si="7"/>
        <v>0.14573396015338852</v>
      </c>
      <c r="H34" s="471">
        <f t="shared" si="7"/>
        <v>0.15190058385529931</v>
      </c>
      <c r="I34" s="471">
        <f t="shared" si="7"/>
        <v>0.15574603668733922</v>
      </c>
      <c r="J34" s="471">
        <f t="shared" si="7"/>
        <v>0.15789571269607305</v>
      </c>
      <c r="K34" s="471">
        <f t="shared" si="7"/>
        <v>0.16232424269440482</v>
      </c>
      <c r="L34" s="471">
        <f t="shared" si="7"/>
        <v>0.1667318015861409</v>
      </c>
      <c r="M34" s="471">
        <f t="shared" si="7"/>
        <v>0.1691748712355873</v>
      </c>
      <c r="N34" s="471">
        <f t="shared" si="7"/>
        <v>0.16665956519707692</v>
      </c>
      <c r="O34" s="472">
        <f t="shared" si="7"/>
        <v>0.16695086187625988</v>
      </c>
      <c r="P34" s="472">
        <f t="shared" si="7"/>
        <v>0.16666525314458897</v>
      </c>
      <c r="Q34" s="472">
        <f t="shared" si="7"/>
        <v>0.16620032999872944</v>
      </c>
      <c r="R34" s="473">
        <f t="shared" si="7"/>
        <v>0.16620032999872944</v>
      </c>
      <c r="S34" s="473">
        <f t="shared" si="7"/>
        <v>0.16620032999872944</v>
      </c>
      <c r="T34" s="473">
        <f t="shared" si="7"/>
        <v>0.16620032999872944</v>
      </c>
      <c r="U34" s="473">
        <f t="shared" si="7"/>
        <v>0.16620032999872944</v>
      </c>
      <c r="V34" s="473">
        <f t="shared" si="7"/>
        <v>0.16620032999872944</v>
      </c>
      <c r="W34" s="473">
        <f t="shared" si="7"/>
        <v>0.16620032999872944</v>
      </c>
      <c r="X34" s="473">
        <f t="shared" si="7"/>
        <v>0.16620032999872944</v>
      </c>
      <c r="Y34" s="473">
        <f t="shared" si="7"/>
        <v>0.16620032999872944</v>
      </c>
      <c r="Z34" s="473">
        <f t="shared" si="7"/>
        <v>0.16620032999872944</v>
      </c>
      <c r="AA34" s="38"/>
      <c r="AB34" s="38"/>
      <c r="AC34" s="38"/>
      <c r="AD34" s="38"/>
      <c r="AE34" s="38"/>
      <c r="AF34" s="38"/>
    </row>
    <row r="35" spans="2:32">
      <c r="B35" s="196"/>
      <c r="C35" s="196"/>
      <c r="D35" s="196"/>
      <c r="E35" s="196"/>
      <c r="F35" s="196"/>
      <c r="G35" s="196"/>
      <c r="H35" s="196"/>
      <c r="I35" s="196"/>
      <c r="J35" s="196"/>
      <c r="K35" s="196"/>
      <c r="L35" s="196"/>
      <c r="M35" s="196"/>
      <c r="N35" s="196"/>
      <c r="O35" s="196"/>
      <c r="P35" s="196"/>
      <c r="Q35" s="196"/>
      <c r="R35" s="196"/>
      <c r="S35" s="196"/>
      <c r="T35" s="196"/>
      <c r="U35" s="196"/>
      <c r="V35" s="196"/>
      <c r="W35" s="38"/>
      <c r="X35" s="38"/>
      <c r="Y35" s="38"/>
      <c r="Z35" s="38"/>
      <c r="AA35" s="38"/>
      <c r="AB35" s="38"/>
      <c r="AC35" s="38"/>
      <c r="AD35" s="38"/>
      <c r="AE35" s="38"/>
      <c r="AF35" s="38"/>
    </row>
    <row r="36" spans="2:32" ht="15.75">
      <c r="B36" s="201" t="s">
        <v>179</v>
      </c>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row>
    <row r="37" spans="2:32">
      <c r="B37" s="196"/>
      <c r="C37" s="38"/>
      <c r="D37" s="38"/>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row>
    <row r="38" spans="2:32">
      <c r="B38" s="202" t="str">
        <f>RAW_DATA_INPUTS!B373</f>
        <v>Academic year</v>
      </c>
      <c r="C38" s="202" t="str">
        <f t="shared" ref="C38:Z38" si="8">C27</f>
        <v>2004/05</v>
      </c>
      <c r="D38" s="202" t="str">
        <f t="shared" si="8"/>
        <v>2005/06</v>
      </c>
      <c r="E38" s="202" t="str">
        <f t="shared" si="8"/>
        <v>2006/07</v>
      </c>
      <c r="F38" s="202" t="str">
        <f t="shared" si="8"/>
        <v>2007/08</v>
      </c>
      <c r="G38" s="202" t="str">
        <f t="shared" si="8"/>
        <v>2008/09</v>
      </c>
      <c r="H38" s="202" t="str">
        <f t="shared" si="8"/>
        <v>2009/10</v>
      </c>
      <c r="I38" s="202" t="str">
        <f t="shared" si="8"/>
        <v>2010/11</v>
      </c>
      <c r="J38" s="202" t="str">
        <f t="shared" si="8"/>
        <v>2011/12</v>
      </c>
      <c r="K38" s="202" t="str">
        <f t="shared" si="8"/>
        <v>2012/13</v>
      </c>
      <c r="L38" s="202" t="str">
        <f t="shared" si="8"/>
        <v>2013/14</v>
      </c>
      <c r="M38" s="202" t="str">
        <f t="shared" si="8"/>
        <v>2014/15</v>
      </c>
      <c r="N38" s="202" t="str">
        <f t="shared" si="8"/>
        <v>2015/16</v>
      </c>
      <c r="O38" s="202" t="str">
        <f t="shared" si="8"/>
        <v>2016/17</v>
      </c>
      <c r="P38" s="202" t="str">
        <f t="shared" si="8"/>
        <v>2017/18</v>
      </c>
      <c r="Q38" s="202" t="str">
        <f t="shared" si="8"/>
        <v>2018/19</v>
      </c>
      <c r="R38" s="202" t="str">
        <f t="shared" si="8"/>
        <v>2019/20</v>
      </c>
      <c r="S38" s="202" t="str">
        <f t="shared" si="8"/>
        <v>2020/21</v>
      </c>
      <c r="T38" s="202" t="str">
        <f t="shared" si="8"/>
        <v>2021/22</v>
      </c>
      <c r="U38" s="202" t="str">
        <f t="shared" si="8"/>
        <v>2022/23</v>
      </c>
      <c r="V38" s="202" t="str">
        <f t="shared" si="8"/>
        <v>2023/24</v>
      </c>
      <c r="W38" s="202" t="str">
        <f t="shared" si="8"/>
        <v>2024/25</v>
      </c>
      <c r="X38" s="202" t="str">
        <f t="shared" si="8"/>
        <v>2025/26</v>
      </c>
      <c r="Y38" s="202" t="str">
        <f t="shared" si="8"/>
        <v>2026/27</v>
      </c>
      <c r="Z38" s="202" t="str">
        <f t="shared" si="8"/>
        <v>2027/28</v>
      </c>
      <c r="AA38" s="38"/>
      <c r="AB38" s="38"/>
      <c r="AC38" s="38"/>
      <c r="AD38" s="38"/>
      <c r="AE38" s="38"/>
      <c r="AF38" s="38"/>
    </row>
    <row r="39" spans="2:32">
      <c r="B39" s="202" t="str">
        <f>RAW_DATA_INPUTS!B374</f>
        <v>Primary age Pupils (FTE) Low</v>
      </c>
      <c r="C39" s="334">
        <f>RAW_DATA_INPUTS!C374</f>
        <v>4133670.5</v>
      </c>
      <c r="D39" s="334">
        <f>RAW_DATA_INPUTS!D374</f>
        <v>4085271.436729731</v>
      </c>
      <c r="E39" s="334">
        <f>RAW_DATA_INPUTS!E374</f>
        <v>4047195.5</v>
      </c>
      <c r="F39" s="334">
        <f>RAW_DATA_INPUTS!F374</f>
        <v>4028055.5</v>
      </c>
      <c r="G39" s="334">
        <f>RAW_DATA_INPUTS!G374</f>
        <v>4016161.5</v>
      </c>
      <c r="H39" s="334">
        <f>RAW_DATA_INPUTS!H374</f>
        <v>4036364.5</v>
      </c>
      <c r="I39" s="334">
        <f>RAW_DATA_INPUTS!I374</f>
        <v>4074368</v>
      </c>
      <c r="J39" s="334">
        <f>RAW_DATA_INPUTS!J374</f>
        <v>4150277.5</v>
      </c>
      <c r="K39" s="334">
        <f>RAW_DATA_INPUTS!K374</f>
        <v>4247394.5</v>
      </c>
      <c r="L39" s="334">
        <f>RAW_DATA_INPUTS!L374</f>
        <v>4359000</v>
      </c>
      <c r="M39" s="334">
        <f>RAW_DATA_INPUTS!M374</f>
        <v>4463434</v>
      </c>
      <c r="N39" s="334">
        <f>RAW_DATA_INPUTS!N374</f>
        <v>4574041.5</v>
      </c>
      <c r="O39" s="334">
        <f>RAW_DATA_INPUTS!O374</f>
        <v>4667419.9398695249</v>
      </c>
      <c r="P39" s="334">
        <f>RAW_DATA_INPUTS!P374</f>
        <v>4724098.4138873443</v>
      </c>
      <c r="Q39" s="334">
        <f>RAW_DATA_INPUTS!Q374</f>
        <v>4745204.8245316185</v>
      </c>
      <c r="R39" s="334">
        <f>RAW_DATA_INPUTS!R374</f>
        <v>4735436.692694962</v>
      </c>
      <c r="S39" s="334">
        <f>RAW_DATA_INPUTS!S374</f>
        <v>4720384.9428184703</v>
      </c>
      <c r="T39" s="334">
        <f>RAW_DATA_INPUTS!T374</f>
        <v>4686410.057521658</v>
      </c>
      <c r="U39" s="334">
        <f>RAW_DATA_INPUTS!U374</f>
        <v>4631287.970524773</v>
      </c>
      <c r="V39" s="334">
        <f>RAW_DATA_INPUTS!V374</f>
        <v>4560789.4130896209</v>
      </c>
      <c r="W39" s="334">
        <f>RAW_DATA_INPUTS!W374</f>
        <v>4507494.961918328</v>
      </c>
      <c r="X39" s="334">
        <f>RAW_DATA_INPUTS!X374</f>
        <v>4465382.6294872109</v>
      </c>
      <c r="Y39" s="334">
        <f>RAW_DATA_INPUTS!Y374</f>
        <v>4423052.6921859132</v>
      </c>
      <c r="Z39" s="334">
        <f>RAW_DATA_INPUTS!Z374</f>
        <v>4385148.6217694012</v>
      </c>
      <c r="AA39" s="38"/>
      <c r="AB39" s="38"/>
      <c r="AC39" s="38"/>
      <c r="AD39" s="38"/>
      <c r="AE39" s="38"/>
      <c r="AF39" s="38"/>
    </row>
    <row r="40" spans="2:32">
      <c r="B40" s="202" t="str">
        <f>RAW_DATA_INPUTS!B375</f>
        <v>Pupils FTE KS3 Low</v>
      </c>
      <c r="C40" s="334">
        <f>RAW_DATA_INPUTS!C375</f>
        <v>1783139.5</v>
      </c>
      <c r="D40" s="334">
        <f>RAW_DATA_INPUTS!D375</f>
        <v>1758000.0007601124</v>
      </c>
      <c r="E40" s="334">
        <f>RAW_DATA_INPUTS!E375</f>
        <v>1722930</v>
      </c>
      <c r="F40" s="334">
        <f>RAW_DATA_INPUTS!F375</f>
        <v>1701531</v>
      </c>
      <c r="G40" s="334">
        <f>RAW_DATA_INPUTS!G375</f>
        <v>1691158</v>
      </c>
      <c r="H40" s="334">
        <f>RAW_DATA_INPUTS!H375</f>
        <v>1680949</v>
      </c>
      <c r="I40" s="334">
        <f>RAW_DATA_INPUTS!I375</f>
        <v>1672689.5</v>
      </c>
      <c r="J40" s="334">
        <f>RAW_DATA_INPUTS!J375</f>
        <v>1641887</v>
      </c>
      <c r="K40" s="334">
        <f>RAW_DATA_INPUTS!K375</f>
        <v>1612821</v>
      </c>
      <c r="L40" s="334">
        <f>RAW_DATA_INPUTS!L375</f>
        <v>1587472</v>
      </c>
      <c r="M40" s="334">
        <f>RAW_DATA_INPUTS!M375</f>
        <v>1595949</v>
      </c>
      <c r="N40" s="334">
        <f>RAW_DATA_INPUTS!N375</f>
        <v>1630717</v>
      </c>
      <c r="O40" s="334">
        <f>RAW_DATA_INPUTS!O375</f>
        <v>1683828.6238711553</v>
      </c>
      <c r="P40" s="334">
        <f>RAW_DATA_INPUTS!P375</f>
        <v>1727890.7818067675</v>
      </c>
      <c r="Q40" s="334">
        <f>RAW_DATA_INPUTS!Q375</f>
        <v>1775584.5153139823</v>
      </c>
      <c r="R40" s="334">
        <f>RAW_DATA_INPUTS!R375</f>
        <v>1835920.5632854216</v>
      </c>
      <c r="S40" s="334">
        <f>RAW_DATA_INPUTS!S375</f>
        <v>1878830.7214345573</v>
      </c>
      <c r="T40" s="334">
        <f>RAW_DATA_INPUTS!T375</f>
        <v>1912449.2663182598</v>
      </c>
      <c r="U40" s="334">
        <f>RAW_DATA_INPUTS!U375</f>
        <v>1936687.2722497336</v>
      </c>
      <c r="V40" s="334">
        <f>RAW_DATA_INPUTS!V375</f>
        <v>1974307.7242090211</v>
      </c>
      <c r="W40" s="334">
        <f>RAW_DATA_INPUTS!W375</f>
        <v>1977243.1093400954</v>
      </c>
      <c r="X40" s="334">
        <f>RAW_DATA_INPUTS!X375</f>
        <v>1948835.5390007489</v>
      </c>
      <c r="Y40" s="334">
        <f>RAW_DATA_INPUTS!Y375</f>
        <v>1906414.5498010265</v>
      </c>
      <c r="Z40" s="334">
        <f>RAW_DATA_INPUTS!Z375</f>
        <v>1877875.0233929039</v>
      </c>
      <c r="AA40" s="38"/>
      <c r="AB40" s="38"/>
      <c r="AC40" s="38"/>
      <c r="AD40" s="38"/>
      <c r="AE40" s="38"/>
      <c r="AF40" s="38"/>
    </row>
    <row r="41" spans="2:32">
      <c r="B41" s="202" t="str">
        <f>RAW_DATA_INPUTS!B376</f>
        <v>Pupils FTE KS4 Low</v>
      </c>
      <c r="C41" s="334">
        <f>RAW_DATA_INPUTS!C376</f>
        <v>1170159</v>
      </c>
      <c r="D41" s="334">
        <f>RAW_DATA_INPUTS!D376</f>
        <v>1185802.5625101563</v>
      </c>
      <c r="E41" s="334">
        <f>RAW_DATA_INPUTS!E376</f>
        <v>1189358</v>
      </c>
      <c r="F41" s="334">
        <f>RAW_DATA_INPUTS!F376</f>
        <v>1166918.5</v>
      </c>
      <c r="G41" s="334">
        <f>RAW_DATA_INPUTS!G376</f>
        <v>1146150</v>
      </c>
      <c r="H41" s="334">
        <f>RAW_DATA_INPUTS!H376</f>
        <v>1133977</v>
      </c>
      <c r="I41" s="334">
        <f>RAW_DATA_INPUTS!I376</f>
        <v>1116342.5</v>
      </c>
      <c r="J41" s="334">
        <f>RAW_DATA_INPUTS!J376</f>
        <v>1120567</v>
      </c>
      <c r="K41" s="334">
        <f>RAW_DATA_INPUTS!K376</f>
        <v>1117099</v>
      </c>
      <c r="L41" s="334">
        <f>RAW_DATA_INPUTS!L376</f>
        <v>1099417.5</v>
      </c>
      <c r="M41" s="334">
        <f>RAW_DATA_INPUTS!M376</f>
        <v>1081078</v>
      </c>
      <c r="N41" s="334">
        <f>RAW_DATA_INPUTS!N376</f>
        <v>1057483</v>
      </c>
      <c r="O41" s="334">
        <f>RAW_DATA_INPUTS!O376</f>
        <v>1040258.3702945485</v>
      </c>
      <c r="P41" s="334">
        <f>RAW_DATA_INPUTS!P376</f>
        <v>1057681.2916650109</v>
      </c>
      <c r="Q41" s="334">
        <f>RAW_DATA_INPUTS!Q376</f>
        <v>1096688.9526346519</v>
      </c>
      <c r="R41" s="334">
        <f>RAW_DATA_INPUTS!R376</f>
        <v>1126286.6917977219</v>
      </c>
      <c r="S41" s="334">
        <f>RAW_DATA_INPUTS!S376</f>
        <v>1151225.4512523098</v>
      </c>
      <c r="T41" s="334">
        <f>RAW_DATA_INPUTS!T376</f>
        <v>1185850.5882003792</v>
      </c>
      <c r="U41" s="334">
        <f>RAW_DATA_INPUTS!U376</f>
        <v>1231843.8786875182</v>
      </c>
      <c r="V41" s="334">
        <f>RAW_DATA_INPUTS!V376</f>
        <v>1252778.9940264528</v>
      </c>
      <c r="W41" s="334">
        <f>RAW_DATA_INPUTS!W376</f>
        <v>1261682.0120782063</v>
      </c>
      <c r="X41" s="334">
        <f>RAW_DATA_INPUTS!X376</f>
        <v>1289170.4471787717</v>
      </c>
      <c r="Y41" s="334">
        <f>RAW_DATA_INPUTS!Y376</f>
        <v>1314138.8230858098</v>
      </c>
      <c r="Z41" s="334">
        <f>RAW_DATA_INPUTS!Z376</f>
        <v>1301649.3716012938</v>
      </c>
      <c r="AA41" s="38"/>
      <c r="AB41" s="38"/>
      <c r="AC41" s="38"/>
      <c r="AD41" s="38"/>
      <c r="AE41" s="38"/>
      <c r="AF41" s="38"/>
    </row>
    <row r="42" spans="2:32">
      <c r="B42" s="202" t="str">
        <f>RAW_DATA_INPUTS!B377</f>
        <v>Pupils FTE KS5 Low</v>
      </c>
      <c r="C42" s="334">
        <f>RAW_DATA_INPUTS!C377</f>
        <v>355184.5</v>
      </c>
      <c r="D42" s="334">
        <f>RAW_DATA_INPUTS!D377</f>
        <v>361355</v>
      </c>
      <c r="E42" s="334">
        <f>RAW_DATA_INPUTS!E377</f>
        <v>370116</v>
      </c>
      <c r="F42" s="334">
        <f>RAW_DATA_INPUTS!F377</f>
        <v>380453</v>
      </c>
      <c r="G42" s="334">
        <f>RAW_DATA_INPUTS!G377</f>
        <v>394342</v>
      </c>
      <c r="H42" s="334">
        <f>RAW_DATA_INPUTS!H377</f>
        <v>412859.5</v>
      </c>
      <c r="I42" s="334">
        <f>RAW_DATA_INPUTS!I377</f>
        <v>423222</v>
      </c>
      <c r="J42" s="334">
        <f>RAW_DATA_INPUTS!J377</f>
        <v>423232.5</v>
      </c>
      <c r="K42" s="334">
        <f>RAW_DATA_INPUTS!K377</f>
        <v>428860</v>
      </c>
      <c r="L42" s="334">
        <f>RAW_DATA_INPUTS!L377</f>
        <v>439034.5</v>
      </c>
      <c r="M42" s="334">
        <f>RAW_DATA_INPUTS!M377</f>
        <v>442772</v>
      </c>
      <c r="N42" s="334">
        <f>RAW_DATA_INPUTS!N377</f>
        <v>433788</v>
      </c>
      <c r="O42" s="335">
        <f t="shared" ref="O42:Z42" si="9">O45*O43</f>
        <v>427506.57554242498</v>
      </c>
      <c r="P42" s="335">
        <f t="shared" si="9"/>
        <v>418040.7088398693</v>
      </c>
      <c r="Q42" s="335">
        <f t="shared" si="9"/>
        <v>408719.2861263958</v>
      </c>
      <c r="R42" s="335">
        <f t="shared" si="9"/>
        <v>404624.86167162831</v>
      </c>
      <c r="S42" s="335">
        <f t="shared" si="9"/>
        <v>406057.69469927071</v>
      </c>
      <c r="T42" s="335">
        <f t="shared" si="9"/>
        <v>412594.70099183789</v>
      </c>
      <c r="U42" s="335">
        <f t="shared" si="9"/>
        <v>424886.36510405509</v>
      </c>
      <c r="V42" s="335">
        <f t="shared" si="9"/>
        <v>437362.37389861711</v>
      </c>
      <c r="W42" s="335">
        <f t="shared" si="9"/>
        <v>450552.21668468311</v>
      </c>
      <c r="X42" s="335">
        <f t="shared" si="9"/>
        <v>459967.87195822911</v>
      </c>
      <c r="Y42" s="335">
        <f t="shared" si="9"/>
        <v>467670.69891888578</v>
      </c>
      <c r="Z42" s="335">
        <f t="shared" si="9"/>
        <v>475050.94268619857</v>
      </c>
      <c r="AA42" s="38"/>
      <c r="AB42" s="38"/>
      <c r="AC42" s="38"/>
      <c r="AD42" s="38"/>
      <c r="AE42" s="38"/>
      <c r="AF42" s="38"/>
    </row>
    <row r="43" spans="2:32">
      <c r="B43" s="202" t="str">
        <f>RAW_DATA_INPUTS!B378</f>
        <v>16-19 population</v>
      </c>
      <c r="C43" s="334">
        <f>RAW_DATA_INPUTS!C378</f>
        <v>2591851.2639240595</v>
      </c>
      <c r="D43" s="334">
        <f>RAW_DATA_INPUTS!D378</f>
        <v>2608521.9199660681</v>
      </c>
      <c r="E43" s="334">
        <f>RAW_DATA_INPUTS!E378</f>
        <v>2644318.2228521295</v>
      </c>
      <c r="F43" s="334">
        <f>RAW_DATA_INPUTS!F378</f>
        <v>2688798.0261939741</v>
      </c>
      <c r="G43" s="334">
        <f>RAW_DATA_INPUTS!G378</f>
        <v>2705903.2746035685</v>
      </c>
      <c r="H43" s="334">
        <f>RAW_DATA_INPUTS!H378</f>
        <v>2717958.6116225235</v>
      </c>
      <c r="I43" s="334">
        <f>RAW_DATA_INPUTS!I378</f>
        <v>2717385.3601785055</v>
      </c>
      <c r="J43" s="334">
        <f>RAW_DATA_INPUTS!J378</f>
        <v>2680455.9336874634</v>
      </c>
      <c r="K43" s="334">
        <f>RAW_DATA_INPUTS!K378</f>
        <v>2641996.0006059059</v>
      </c>
      <c r="L43" s="334">
        <f>RAW_DATA_INPUTS!L378</f>
        <v>2633177.9290057975</v>
      </c>
      <c r="M43" s="334">
        <f>RAW_DATA_INPUTS!M378</f>
        <v>2616125.9697476616</v>
      </c>
      <c r="N43" s="334">
        <f>RAW_DATA_INPUTS!N378</f>
        <v>2599111.7029906935</v>
      </c>
      <c r="O43" s="334">
        <f>RAW_DATA_INPUTS!O378</f>
        <v>2560673.0671404558</v>
      </c>
      <c r="P43" s="334">
        <f>RAW_DATA_INPUTS!P378</f>
        <v>2508265.5259714019</v>
      </c>
      <c r="Q43" s="334">
        <f>RAW_DATA_INPUTS!Q378</f>
        <v>2459196.5980423768</v>
      </c>
      <c r="R43" s="334">
        <f>RAW_DATA_INPUTS!R378</f>
        <v>2434561.1207554257</v>
      </c>
      <c r="S43" s="334">
        <f>RAW_DATA_INPUTS!S378</f>
        <v>2443182.2409881791</v>
      </c>
      <c r="T43" s="334">
        <f>RAW_DATA_INPUTS!T378</f>
        <v>2482514.3307175869</v>
      </c>
      <c r="U43" s="334">
        <f>RAW_DATA_INPUTS!U378</f>
        <v>2556471.2483260608</v>
      </c>
      <c r="V43" s="334">
        <f>RAW_DATA_INPUTS!V378</f>
        <v>2631537.3375128717</v>
      </c>
      <c r="W43" s="334">
        <f>RAW_DATA_INPUTS!W378</f>
        <v>2710898.4482048107</v>
      </c>
      <c r="X43" s="334">
        <f>RAW_DATA_INPUTS!X378</f>
        <v>2767550.8945243699</v>
      </c>
      <c r="Y43" s="334">
        <f>RAW_DATA_INPUTS!Y378</f>
        <v>2813897.5351159712</v>
      </c>
      <c r="Z43" s="334">
        <f>RAW_DATA_INPUTS!Z378</f>
        <v>2858303.2457867577</v>
      </c>
      <c r="AA43" s="38"/>
      <c r="AB43" s="38"/>
      <c r="AC43" s="38"/>
      <c r="AD43" s="38"/>
      <c r="AE43" s="38"/>
      <c r="AF43" s="38"/>
    </row>
    <row r="44" spans="2:32">
      <c r="B44" s="202" t="str">
        <f>B33</f>
        <v>All secondary pupils</v>
      </c>
      <c r="C44" s="337">
        <f>SUM(C40:C42)</f>
        <v>3308483</v>
      </c>
      <c r="D44" s="337">
        <f t="shared" ref="D44:Z44" si="10">SUM(D40:D42)</f>
        <v>3305157.563270269</v>
      </c>
      <c r="E44" s="337">
        <f t="shared" si="10"/>
        <v>3282404</v>
      </c>
      <c r="F44" s="337">
        <f t="shared" si="10"/>
        <v>3248902.5</v>
      </c>
      <c r="G44" s="337">
        <f t="shared" si="10"/>
        <v>3231650</v>
      </c>
      <c r="H44" s="337">
        <f t="shared" si="10"/>
        <v>3227785.5</v>
      </c>
      <c r="I44" s="337">
        <f t="shared" si="10"/>
        <v>3212254</v>
      </c>
      <c r="J44" s="337">
        <f t="shared" si="10"/>
        <v>3185686.5</v>
      </c>
      <c r="K44" s="337">
        <f t="shared" si="10"/>
        <v>3158780</v>
      </c>
      <c r="L44" s="337">
        <f t="shared" si="10"/>
        <v>3125924</v>
      </c>
      <c r="M44" s="337">
        <f t="shared" si="10"/>
        <v>3119799</v>
      </c>
      <c r="N44" s="337">
        <f t="shared" si="10"/>
        <v>3121988</v>
      </c>
      <c r="O44" s="337">
        <f t="shared" si="10"/>
        <v>3151593.5697081285</v>
      </c>
      <c r="P44" s="337">
        <f t="shared" si="10"/>
        <v>3203612.7823116472</v>
      </c>
      <c r="Q44" s="337">
        <f t="shared" si="10"/>
        <v>3280992.7540750299</v>
      </c>
      <c r="R44" s="337">
        <f t="shared" si="10"/>
        <v>3366832.1167547721</v>
      </c>
      <c r="S44" s="337">
        <f t="shared" si="10"/>
        <v>3436113.8673861381</v>
      </c>
      <c r="T44" s="337">
        <f t="shared" si="10"/>
        <v>3510894.5555104767</v>
      </c>
      <c r="U44" s="337">
        <f t="shared" si="10"/>
        <v>3593417.5160413068</v>
      </c>
      <c r="V44" s="337">
        <f t="shared" si="10"/>
        <v>3664449.0921340911</v>
      </c>
      <c r="W44" s="337">
        <f t="shared" si="10"/>
        <v>3689477.3381029852</v>
      </c>
      <c r="X44" s="337">
        <f t="shared" si="10"/>
        <v>3697973.8581377496</v>
      </c>
      <c r="Y44" s="337">
        <f t="shared" si="10"/>
        <v>3688224.0718057221</v>
      </c>
      <c r="Z44" s="337">
        <f t="shared" si="10"/>
        <v>3654575.3376803962</v>
      </c>
      <c r="AA44" s="38"/>
      <c r="AB44" s="38"/>
      <c r="AC44" s="38"/>
      <c r="AD44" s="38"/>
      <c r="AE44" s="38"/>
      <c r="AF44" s="38"/>
    </row>
    <row r="45" spans="2:32" s="423" customFormat="1">
      <c r="B45" s="474" t="s">
        <v>459</v>
      </c>
      <c r="C45" s="424"/>
      <c r="D45" s="478" t="s">
        <v>462</v>
      </c>
      <c r="E45" s="471">
        <f>E34</f>
        <v>0.13996651265398663</v>
      </c>
      <c r="F45" s="471">
        <f t="shared" ref="F45:N45" si="11">F34</f>
        <v>0.14149556652960499</v>
      </c>
      <c r="G45" s="471">
        <f t="shared" si="11"/>
        <v>0.14573396015338852</v>
      </c>
      <c r="H45" s="471">
        <f t="shared" si="11"/>
        <v>0.15190058385529931</v>
      </c>
      <c r="I45" s="471">
        <f t="shared" si="11"/>
        <v>0.15574603668733922</v>
      </c>
      <c r="J45" s="471">
        <f t="shared" si="11"/>
        <v>0.15789571269607305</v>
      </c>
      <c r="K45" s="471">
        <f t="shared" si="11"/>
        <v>0.16232424269440482</v>
      </c>
      <c r="L45" s="471">
        <f t="shared" si="11"/>
        <v>0.1667318015861409</v>
      </c>
      <c r="M45" s="471">
        <f t="shared" si="11"/>
        <v>0.1691748712355873</v>
      </c>
      <c r="N45" s="471">
        <f t="shared" si="11"/>
        <v>0.16665956519707692</v>
      </c>
      <c r="O45" s="472">
        <f>O34</f>
        <v>0.16695086187625988</v>
      </c>
      <c r="P45" s="472">
        <f>P34</f>
        <v>0.16666525314458897</v>
      </c>
      <c r="Q45" s="472">
        <f>Q34</f>
        <v>0.16620032999872944</v>
      </c>
      <c r="R45" s="473">
        <f t="shared" ref="R45:Z45" si="12">R34</f>
        <v>0.16620032999872944</v>
      </c>
      <c r="S45" s="473">
        <f t="shared" si="12"/>
        <v>0.16620032999872944</v>
      </c>
      <c r="T45" s="473">
        <f t="shared" si="12"/>
        <v>0.16620032999872944</v>
      </c>
      <c r="U45" s="473">
        <f t="shared" si="12"/>
        <v>0.16620032999872944</v>
      </c>
      <c r="V45" s="473">
        <f t="shared" si="12"/>
        <v>0.16620032999872944</v>
      </c>
      <c r="W45" s="473">
        <f t="shared" si="12"/>
        <v>0.16620032999872944</v>
      </c>
      <c r="X45" s="473">
        <f t="shared" si="12"/>
        <v>0.16620032999872944</v>
      </c>
      <c r="Y45" s="473">
        <f t="shared" si="12"/>
        <v>0.16620032999872944</v>
      </c>
      <c r="Z45" s="473">
        <f t="shared" si="12"/>
        <v>0.16620032999872944</v>
      </c>
      <c r="AA45" s="425"/>
      <c r="AB45" s="425"/>
      <c r="AC45" s="425"/>
      <c r="AD45" s="425"/>
      <c r="AE45" s="425"/>
      <c r="AF45" s="425"/>
    </row>
    <row r="46" spans="2:32">
      <c r="B46" s="196"/>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row>
    <row r="47" spans="2:32" ht="15.75">
      <c r="B47" s="78" t="s">
        <v>180</v>
      </c>
      <c r="C47" s="150" t="s">
        <v>515</v>
      </c>
    </row>
    <row r="49" spans="2:3">
      <c r="B49" s="405"/>
      <c r="C49" s="405" t="str">
        <f>N16</f>
        <v>2015/16</v>
      </c>
    </row>
    <row r="50" spans="2:3">
      <c r="B50" s="405" t="str">
        <f>B18</f>
        <v>Pupils FTE KS3 Central</v>
      </c>
      <c r="C50" s="769">
        <f>N18</f>
        <v>1630717</v>
      </c>
    </row>
    <row r="51" spans="2:3">
      <c r="B51" s="405" t="str">
        <f>B19</f>
        <v>Pupils FTE KS4 Central</v>
      </c>
      <c r="C51" s="769">
        <f>N19</f>
        <v>1057483</v>
      </c>
    </row>
    <row r="52" spans="2:3">
      <c r="B52" s="405" t="str">
        <f>B20</f>
        <v>Pupils FTE KS5 Central</v>
      </c>
      <c r="C52" s="769">
        <f>N20</f>
        <v>433788</v>
      </c>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B17:B21 C17:Y17 B27:L28 B38:X39 B44:X44 B33:X33 C21:L21 C18:X19 B32:X32 B29:L30 B43:X43 B40:X41 Z17 Z18:Z21 Y29 Y42:Y43 Y31:Y32 Y20:Y21 Y33 Y44 Y38:Y39 Y27:Y28 Y18:Y19 Y30:Z30 Z27:Z28 Y40:Z41 Z38:Z39 Z44 Y34:Z37 Z33 Y22:Z26 Z31:Z32 Z42:Z43 Z29 C20:L20 O20:X20 B31:L31 O31:X31 B42:L42 O42:X42 O27:X28 O21:X21 O29:X30 M29:N30 M21:N21 M27:N28 M20:N20 M31:N31 M22:N26 M42:N42"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0000"/>
  </sheetPr>
  <dimension ref="A1:Z76"/>
  <sheetViews>
    <sheetView showGridLines="0" workbookViewId="0"/>
  </sheetViews>
  <sheetFormatPr defaultRowHeight="12.75"/>
  <cols>
    <col min="2" max="2" width="24.85546875" customWidth="1"/>
    <col min="3" max="27" width="9.7109375" customWidth="1"/>
  </cols>
  <sheetData>
    <row r="1" spans="1:19" s="66" customFormat="1" ht="15">
      <c r="A1" s="65" t="str">
        <f>ModelBanner</f>
        <v>TSM_201718 for publication</v>
      </c>
      <c r="E1" s="739"/>
    </row>
    <row r="2" spans="1:19" s="66" customFormat="1" ht="15">
      <c r="A2" s="1003" t="s">
        <v>13</v>
      </c>
      <c r="B2" s="1003" t="s">
        <v>30</v>
      </c>
      <c r="E2" s="739"/>
    </row>
    <row r="3" spans="1:19" s="66" customFormat="1" ht="15">
      <c r="A3" s="67"/>
      <c r="E3" s="739"/>
    </row>
    <row r="4" spans="1:19" s="57" customFormat="1">
      <c r="A4" s="58" t="s">
        <v>26</v>
      </c>
      <c r="B4" s="58"/>
      <c r="C4" s="58"/>
      <c r="D4" s="58"/>
      <c r="E4" s="58"/>
      <c r="F4" s="58"/>
      <c r="G4" s="292"/>
      <c r="H4" s="58"/>
      <c r="I4" s="58"/>
      <c r="J4" s="58"/>
      <c r="K4" s="58"/>
      <c r="L4" s="58"/>
      <c r="M4" s="58"/>
    </row>
    <row r="5" spans="1:19" s="47" customFormat="1" ht="13.15" customHeight="1">
      <c r="A5" s="60" t="s">
        <v>1454</v>
      </c>
      <c r="B5" s="60"/>
      <c r="C5" s="60"/>
      <c r="D5" s="60"/>
      <c r="E5" s="60"/>
      <c r="F5" s="60"/>
      <c r="G5" s="60"/>
      <c r="H5" s="60"/>
      <c r="I5" s="60"/>
      <c r="J5" s="60"/>
      <c r="K5" s="60"/>
      <c r="L5" s="60"/>
      <c r="M5" s="60"/>
      <c r="N5" s="59"/>
      <c r="O5" s="59"/>
      <c r="P5" s="59"/>
      <c r="Q5" s="59"/>
      <c r="R5" s="59"/>
      <c r="S5" s="59"/>
    </row>
    <row r="6" spans="1:19" s="46" customFormat="1">
      <c r="A6" s="56" t="s">
        <v>1420</v>
      </c>
      <c r="B6" s="61"/>
      <c r="C6" s="61"/>
      <c r="D6" s="61"/>
      <c r="E6" s="61"/>
      <c r="F6" s="61"/>
      <c r="G6" s="292"/>
      <c r="H6" s="61"/>
      <c r="I6" s="61"/>
      <c r="J6" s="61"/>
      <c r="K6" s="61"/>
      <c r="L6" s="61"/>
      <c r="M6" s="61"/>
      <c r="N6" s="45"/>
      <c r="O6" s="45"/>
      <c r="P6" s="45"/>
      <c r="Q6" s="45"/>
      <c r="R6" s="45"/>
      <c r="S6" s="45"/>
    </row>
    <row r="7" spans="1:19" s="46" customFormat="1">
      <c r="A7" s="54" t="s">
        <v>166</v>
      </c>
      <c r="B7" s="56"/>
      <c r="C7" s="61"/>
      <c r="D7" s="61"/>
      <c r="E7" s="61"/>
      <c r="F7" s="61"/>
      <c r="G7" s="292"/>
      <c r="H7" s="61"/>
      <c r="I7" s="61"/>
      <c r="J7" s="61"/>
      <c r="K7" s="61"/>
      <c r="L7" s="61"/>
      <c r="M7" s="61"/>
      <c r="N7" s="45"/>
      <c r="O7" s="45"/>
      <c r="P7" s="45"/>
      <c r="Q7" s="45"/>
      <c r="R7" s="45"/>
      <c r="S7" s="45"/>
    </row>
    <row r="8" spans="1:19" s="46" customFormat="1">
      <c r="A8" s="56" t="s">
        <v>24</v>
      </c>
      <c r="B8" s="61"/>
      <c r="C8" s="61"/>
      <c r="D8" s="61"/>
      <c r="E8" s="61"/>
      <c r="F8" s="61"/>
      <c r="G8" s="292"/>
      <c r="H8" s="61"/>
      <c r="I8" s="61"/>
      <c r="J8" s="61"/>
      <c r="K8" s="61"/>
      <c r="L8" s="61"/>
      <c r="M8" s="61"/>
      <c r="N8" s="45"/>
      <c r="O8" s="45"/>
      <c r="P8" s="45"/>
      <c r="Q8" s="45"/>
      <c r="R8" s="45"/>
      <c r="S8" s="45"/>
    </row>
    <row r="9" spans="1:19" s="46" customFormat="1">
      <c r="A9" s="54" t="s">
        <v>1455</v>
      </c>
      <c r="B9" s="61"/>
      <c r="C9" s="61"/>
      <c r="D9" s="61"/>
      <c r="E9" s="61"/>
      <c r="F9" s="61"/>
      <c r="G9" s="292"/>
      <c r="H9" s="61"/>
      <c r="I9" s="61"/>
      <c r="J9" s="61"/>
      <c r="K9" s="61"/>
      <c r="L9" s="61"/>
      <c r="M9" s="61"/>
      <c r="N9" s="45"/>
      <c r="O9" s="45"/>
      <c r="P9" s="45"/>
      <c r="Q9" s="45"/>
      <c r="R9" s="45"/>
      <c r="S9" s="45"/>
    </row>
    <row r="10" spans="1:19" s="50" customFormat="1" ht="13.5" customHeight="1">
      <c r="A10" s="55">
        <f>SUM(A13:A2222)</f>
        <v>0</v>
      </c>
      <c r="B10" s="73"/>
      <c r="C10" s="71"/>
      <c r="D10" s="71"/>
      <c r="E10" s="71"/>
      <c r="F10" s="48"/>
      <c r="G10" s="48"/>
      <c r="H10" s="48"/>
      <c r="I10" s="72"/>
      <c r="J10" s="48"/>
      <c r="K10" s="48"/>
      <c r="L10" s="72"/>
      <c r="M10" s="49"/>
      <c r="N10" s="49"/>
      <c r="O10" s="49"/>
      <c r="P10" s="49"/>
      <c r="Q10" s="49"/>
      <c r="R10" s="49"/>
      <c r="S10" s="49"/>
    </row>
    <row r="12" spans="1:19">
      <c r="I12" s="5" t="s">
        <v>81</v>
      </c>
      <c r="L12" s="97">
        <f>Data_selected_by_user_testing!D87</f>
        <v>0.5</v>
      </c>
      <c r="N12" s="5" t="s">
        <v>1357</v>
      </c>
      <c r="Q12" s="239">
        <f>Data_selected_by_user_testing!D61</f>
        <v>22</v>
      </c>
      <c r="R12" s="5"/>
    </row>
    <row r="13" spans="1:19">
      <c r="B13" s="150"/>
      <c r="Q13" s="13"/>
    </row>
    <row r="14" spans="1:19">
      <c r="B14" s="150" t="s">
        <v>1118</v>
      </c>
    </row>
    <row r="16" spans="1:19" ht="15.75">
      <c r="B16" s="78" t="s">
        <v>1677</v>
      </c>
      <c r="N16" s="5" t="s">
        <v>1456</v>
      </c>
      <c r="Q16" s="279">
        <f>RAW_DATA_INPUTS!C389</f>
        <v>0.89</v>
      </c>
    </row>
    <row r="18" spans="2:26">
      <c r="B18" s="141" t="str">
        <f>Pupils_data_scenarios!B16</f>
        <v>Academic year</v>
      </c>
      <c r="C18" s="141" t="str">
        <f>Pupils_data_scenarios!C16</f>
        <v>2004/05</v>
      </c>
      <c r="D18" s="141" t="str">
        <f>Pupils_data_scenarios!D16</f>
        <v>2005/06</v>
      </c>
      <c r="E18" s="141" t="str">
        <f>Pupils_data_scenarios!E16</f>
        <v>2006/07</v>
      </c>
      <c r="F18" s="141" t="str">
        <f>Pupils_data_scenarios!F16</f>
        <v>2007/08</v>
      </c>
      <c r="G18" s="141" t="str">
        <f>Pupils_data_scenarios!G16</f>
        <v>2008/09</v>
      </c>
      <c r="H18" s="141" t="str">
        <f>Pupils_data_scenarios!H16</f>
        <v>2009/10</v>
      </c>
      <c r="I18" s="141" t="str">
        <f>Pupils_data_scenarios!I16</f>
        <v>2010/11</v>
      </c>
      <c r="J18" s="141" t="str">
        <f>Pupils_data_scenarios!J16</f>
        <v>2011/12</v>
      </c>
      <c r="K18" s="141" t="str">
        <f>Pupils_data_scenarios!K16</f>
        <v>2012/13</v>
      </c>
      <c r="L18" s="141" t="str">
        <f>Pupils_data_scenarios!L16</f>
        <v>2013/14</v>
      </c>
      <c r="M18" s="141" t="str">
        <f>Pupils_data_scenarios!M16</f>
        <v>2014/15</v>
      </c>
      <c r="N18" s="141" t="str">
        <f>Pupils_data_scenarios!N16</f>
        <v>2015/16</v>
      </c>
      <c r="O18" s="141" t="str">
        <f>Pupils_data_scenarios!O16</f>
        <v>2016/17</v>
      </c>
      <c r="P18" s="141" t="str">
        <f>Pupils_data_scenarios!P16</f>
        <v>2017/18</v>
      </c>
      <c r="Q18" s="141" t="str">
        <f>Pupils_data_scenarios!Q16</f>
        <v>2018/19</v>
      </c>
      <c r="R18" s="141" t="str">
        <f>Pupils_data_scenarios!R16</f>
        <v>2019/20</v>
      </c>
      <c r="S18" s="141" t="str">
        <f>Pupils_data_scenarios!S16</f>
        <v>2020/21</v>
      </c>
      <c r="T18" s="141" t="str">
        <f>Pupils_data_scenarios!T16</f>
        <v>2021/22</v>
      </c>
      <c r="U18" s="141" t="str">
        <f>Pupils_data_scenarios!U16</f>
        <v>2022/23</v>
      </c>
      <c r="V18" s="141" t="str">
        <f>Pupils_data_scenarios!V16</f>
        <v>2023/24</v>
      </c>
      <c r="W18" s="141" t="str">
        <f>Pupils_data_scenarios!W16</f>
        <v>2024/25</v>
      </c>
      <c r="X18" s="141" t="str">
        <f>Pupils_data_scenarios!X16</f>
        <v>2025/26</v>
      </c>
      <c r="Y18" s="141" t="str">
        <f>Pupils_data_scenarios!Y16</f>
        <v>2026/27</v>
      </c>
      <c r="Z18" s="141" t="str">
        <f>Pupils_data_scenarios!Z16</f>
        <v>2027/28</v>
      </c>
    </row>
    <row r="19" spans="2:26" s="319" customFormat="1" ht="25.5">
      <c r="B19" s="152" t="str">
        <f>Pupils_data_scenarios!B17</f>
        <v>Primary age Pupils (FTE) Central</v>
      </c>
      <c r="C19" s="318">
        <f>Data_selected_by_user_testing!D35</f>
        <v>4133670.5</v>
      </c>
      <c r="D19" s="318">
        <f>Data_selected_by_user_testing!E35</f>
        <v>4085271.436729731</v>
      </c>
      <c r="E19" s="318">
        <f>Data_selected_by_user_testing!F35</f>
        <v>4047195.5</v>
      </c>
      <c r="F19" s="318">
        <f>Data_selected_by_user_testing!G35</f>
        <v>4028055.5</v>
      </c>
      <c r="G19" s="318">
        <f>Data_selected_by_user_testing!H35</f>
        <v>4016161.5</v>
      </c>
      <c r="H19" s="318">
        <f>Data_selected_by_user_testing!I35</f>
        <v>4036364.5</v>
      </c>
      <c r="I19" s="318">
        <f>Data_selected_by_user_testing!J35</f>
        <v>4074368</v>
      </c>
      <c r="J19" s="318">
        <f>Data_selected_by_user_testing!K35</f>
        <v>4150277.5</v>
      </c>
      <c r="K19" s="318">
        <f>Data_selected_by_user_testing!L35</f>
        <v>4247394.5</v>
      </c>
      <c r="L19" s="318">
        <f>Data_selected_by_user_testing!M35</f>
        <v>4359000</v>
      </c>
      <c r="M19" s="318">
        <f>Data_selected_by_user_testing!N35</f>
        <v>4463434</v>
      </c>
      <c r="N19" s="318">
        <f>Data_selected_by_user_testing!O35</f>
        <v>4574041.5</v>
      </c>
      <c r="O19" s="318">
        <f>Data_selected_by_user_testing!P35</f>
        <v>4669403.6051013358</v>
      </c>
      <c r="P19" s="318">
        <f>Data_selected_by_user_testing!Q35</f>
        <v>4728615.0056829667</v>
      </c>
      <c r="Q19" s="318">
        <f>Data_selected_by_user_testing!R35</f>
        <v>4754148.1072515734</v>
      </c>
      <c r="R19" s="318">
        <f>Data_selected_by_user_testing!S35</f>
        <v>4754929.3367273957</v>
      </c>
      <c r="S19" s="318">
        <f>Data_selected_by_user_testing!T35</f>
        <v>4765188.6443500407</v>
      </c>
      <c r="T19" s="318">
        <f>Data_selected_by_user_testing!U35</f>
        <v>4768353.1674103234</v>
      </c>
      <c r="U19" s="318">
        <f>Data_selected_by_user_testing!V35</f>
        <v>4760117.7392643597</v>
      </c>
      <c r="V19" s="318">
        <f>Data_selected_by_user_testing!W35</f>
        <v>4744856.0009206505</v>
      </c>
      <c r="W19" s="318">
        <f>Data_selected_by_user_testing!X35</f>
        <v>4754081.3268117374</v>
      </c>
      <c r="X19" s="318">
        <f>Data_selected_by_user_testing!Y35</f>
        <v>4780859.047119638</v>
      </c>
      <c r="Y19" s="318">
        <f>Data_selected_by_user_testing!Z35</f>
        <v>4809841.7847702289</v>
      </c>
      <c r="Z19" s="318">
        <f>Data_selected_by_user_testing!AA35</f>
        <v>4831636.05383253</v>
      </c>
    </row>
    <row r="20" spans="2:26">
      <c r="B20" s="8" t="s">
        <v>371</v>
      </c>
      <c r="C20" s="197"/>
      <c r="D20" s="218">
        <f>(D19/C19)-1</f>
        <v>-1.1708495698984467E-2</v>
      </c>
      <c r="E20" s="218">
        <f t="shared" ref="E20:Z20" si="0">(E19/D19)-1</f>
        <v>-9.3202954367729296E-3</v>
      </c>
      <c r="F20" s="218">
        <f t="shared" si="0"/>
        <v>-4.729200751483309E-3</v>
      </c>
      <c r="G20" s="218">
        <f t="shared" si="0"/>
        <v>-2.9527895035209584E-3</v>
      </c>
      <c r="H20" s="218">
        <f t="shared" si="0"/>
        <v>5.0304251957995483E-3</v>
      </c>
      <c r="I20" s="218">
        <f t="shared" si="0"/>
        <v>9.4152795170010517E-3</v>
      </c>
      <c r="J20" s="218">
        <f t="shared" si="0"/>
        <v>1.8630987677107136E-2</v>
      </c>
      <c r="K20" s="218">
        <f t="shared" si="0"/>
        <v>2.3400122040032167E-2</v>
      </c>
      <c r="L20" s="218">
        <f t="shared" si="0"/>
        <v>2.6276226519575729E-2</v>
      </c>
      <c r="M20" s="218">
        <f t="shared" si="0"/>
        <v>2.3958247304427527E-2</v>
      </c>
      <c r="N20" s="218">
        <f t="shared" si="0"/>
        <v>2.4780807781631831E-2</v>
      </c>
      <c r="O20" s="218">
        <f t="shared" si="0"/>
        <v>2.0848543919274931E-2</v>
      </c>
      <c r="P20" s="218">
        <f t="shared" si="0"/>
        <v>1.268072019239086E-2</v>
      </c>
      <c r="Q20" s="218">
        <f t="shared" si="0"/>
        <v>5.3996998144107966E-3</v>
      </c>
      <c r="R20" s="218">
        <f t="shared" si="0"/>
        <v>1.6432585990133752E-4</v>
      </c>
      <c r="S20" s="218">
        <f t="shared" si="0"/>
        <v>2.1576151602089588E-3</v>
      </c>
      <c r="T20" s="218">
        <f t="shared" si="0"/>
        <v>6.6409187473293052E-4</v>
      </c>
      <c r="U20" s="218">
        <f t="shared" si="0"/>
        <v>-1.7271011304803574E-3</v>
      </c>
      <c r="V20" s="218">
        <f t="shared" si="0"/>
        <v>-3.2061682461803631E-3</v>
      </c>
      <c r="W20" s="218">
        <f t="shared" si="0"/>
        <v>1.944279423716333E-3</v>
      </c>
      <c r="X20" s="218">
        <f t="shared" si="0"/>
        <v>5.6325751427266368E-3</v>
      </c>
      <c r="Y20" s="218">
        <f t="shared" si="0"/>
        <v>6.0622447482638897E-3</v>
      </c>
      <c r="Z20" s="218">
        <f t="shared" si="0"/>
        <v>4.5311821131643892E-3</v>
      </c>
    </row>
    <row r="22" spans="2:26">
      <c r="B22" s="149" t="s">
        <v>83</v>
      </c>
      <c r="G22" s="150" t="s">
        <v>1457</v>
      </c>
    </row>
    <row r="23" spans="2:26">
      <c r="B23" t="str">
        <f>Stock_calculations!B16</f>
        <v>Qualified stock FTE</v>
      </c>
      <c r="M23" s="2"/>
      <c r="N23" s="310">
        <f>Stock_calculations!C16</f>
        <v>212916.16850000003</v>
      </c>
    </row>
    <row r="24" spans="2:26">
      <c r="B24" t="str">
        <f>Stock_calculations!B17</f>
        <v>Unqualified stock FTE</v>
      </c>
      <c r="M24" s="2"/>
      <c r="N24" s="310">
        <f>Stock_calculations!C17</f>
        <v>7110.7920600000007</v>
      </c>
      <c r="P24" s="12"/>
    </row>
    <row r="25" spans="2:26">
      <c r="B25" s="12" t="s">
        <v>98</v>
      </c>
      <c r="M25" s="2"/>
      <c r="N25" s="310">
        <f>SUM(N23:N24)</f>
        <v>220026.96056000004</v>
      </c>
      <c r="P25" s="452"/>
    </row>
    <row r="26" spans="2:26">
      <c r="B26" s="12" t="s">
        <v>1458</v>
      </c>
      <c r="M26" s="96"/>
      <c r="N26" s="316">
        <f>RAW_DATA_INPUTS!C111</f>
        <v>3463.2065561209192</v>
      </c>
      <c r="P26" s="12"/>
    </row>
    <row r="27" spans="2:26">
      <c r="B27" s="12" t="s">
        <v>1459</v>
      </c>
      <c r="M27" s="96"/>
      <c r="N27" s="316">
        <f>RAW_DATA_INPUTS!D111</f>
        <v>7998</v>
      </c>
      <c r="P27" s="404"/>
    </row>
    <row r="28" spans="2:26">
      <c r="B28" s="12" t="s">
        <v>1460</v>
      </c>
      <c r="M28" s="2"/>
      <c r="N28" s="316">
        <f>(N27+N26)*Q16</f>
        <v>10200.473834947619</v>
      </c>
      <c r="P28" s="275"/>
    </row>
    <row r="29" spans="2:26">
      <c r="M29" s="2"/>
      <c r="N29" s="317"/>
      <c r="P29" s="465"/>
    </row>
    <row r="30" spans="2:26">
      <c r="B30" s="12" t="s">
        <v>82</v>
      </c>
      <c r="M30" s="2"/>
      <c r="N30" s="316">
        <f>N25+N28</f>
        <v>230227.43439494766</v>
      </c>
    </row>
    <row r="31" spans="2:26">
      <c r="M31" s="96"/>
      <c r="N31" s="96"/>
    </row>
    <row r="32" spans="2:26">
      <c r="M32" s="2"/>
    </row>
    <row r="33" spans="2:26">
      <c r="B33" s="149" t="s">
        <v>628</v>
      </c>
      <c r="G33" s="150"/>
      <c r="M33" s="2"/>
      <c r="N33" s="150" t="s">
        <v>353</v>
      </c>
    </row>
    <row r="34" spans="2:26">
      <c r="B34" s="12" t="s">
        <v>99</v>
      </c>
      <c r="M34" s="2"/>
      <c r="N34" s="216">
        <f>N$19/N30</f>
        <v>19.867491083418759</v>
      </c>
      <c r="O34" s="217">
        <f>IF(N34*(1+($L$12*O20))&lt;$Q12,N34*(1+($L$12*O20)),$Q12)</f>
        <v>20.07459521362799</v>
      </c>
      <c r="P34" s="217">
        <f>IF(O34*(1+($L$12*P20))&lt;$Q12,O34*(1+($L$12*P20)),$Q12)</f>
        <v>20.201875376067751</v>
      </c>
      <c r="Q34" s="217">
        <f t="shared" ref="Q34:Z34" si="1">IF(P34*(1+($L$12*Q20))&lt;$Q12,P34*(1+($L$12*Q20)),$Q12)</f>
        <v>20.2564174074272</v>
      </c>
      <c r="R34" s="217">
        <f t="shared" si="1"/>
        <v>20.258081734031702</v>
      </c>
      <c r="S34" s="217">
        <f t="shared" si="1"/>
        <v>20.27993630616475</v>
      </c>
      <c r="T34" s="217">
        <f t="shared" si="1"/>
        <v>20.286670176625265</v>
      </c>
      <c r="U34" s="217">
        <f t="shared" si="1"/>
        <v>20.269151611127398</v>
      </c>
      <c r="V34" s="217">
        <f t="shared" si="1"/>
        <v>20.236658455991094</v>
      </c>
      <c r="W34" s="217">
        <f t="shared" si="1"/>
        <v>20.256331315311471</v>
      </c>
      <c r="X34" s="217">
        <f t="shared" si="1"/>
        <v>20.313378969436201</v>
      </c>
      <c r="Y34" s="217">
        <f t="shared" si="1"/>
        <v>20.374951306924679</v>
      </c>
      <c r="Z34" s="217">
        <f t="shared" si="1"/>
        <v>20.421112614383947</v>
      </c>
    </row>
    <row r="36" spans="2:26">
      <c r="B36" s="149" t="s">
        <v>1615</v>
      </c>
      <c r="M36" s="12"/>
      <c r="O36" s="150" t="s">
        <v>1678</v>
      </c>
    </row>
    <row r="37" spans="2:26" s="5" customFormat="1">
      <c r="B37" s="5" t="s">
        <v>99</v>
      </c>
      <c r="N37" s="13"/>
      <c r="O37" s="320">
        <f t="shared" ref="O37:Z37" si="2">O$19/O34</f>
        <v>232602.62811832089</v>
      </c>
      <c r="P37" s="320">
        <f t="shared" si="2"/>
        <v>234068.12078866418</v>
      </c>
      <c r="Q37" s="320">
        <f t="shared" si="2"/>
        <v>234698.36800995329</v>
      </c>
      <c r="R37" s="320">
        <f t="shared" si="2"/>
        <v>234717.64993126446</v>
      </c>
      <c r="S37" s="320">
        <f t="shared" si="2"/>
        <v>234970.59223511987</v>
      </c>
      <c r="T37" s="320">
        <f t="shared" si="2"/>
        <v>235048.58736770522</v>
      </c>
      <c r="U37" s="320">
        <f t="shared" si="2"/>
        <v>234845.43559539714</v>
      </c>
      <c r="V37" s="320">
        <f t="shared" si="2"/>
        <v>234468.3541128762</v>
      </c>
      <c r="W37" s="320">
        <f t="shared" si="2"/>
        <v>234696.06874065075</v>
      </c>
      <c r="X37" s="320">
        <f t="shared" si="2"/>
        <v>235355.18410368785</v>
      </c>
      <c r="Y37" s="320">
        <f t="shared" si="2"/>
        <v>236066.41862920893</v>
      </c>
      <c r="Z37" s="320">
        <f t="shared" si="2"/>
        <v>236600.03962904977</v>
      </c>
    </row>
    <row r="38" spans="2:26">
      <c r="B38" s="12" t="s">
        <v>371</v>
      </c>
      <c r="P38" s="243">
        <f>(P37/O37)-1</f>
        <v>6.3004132077038033E-3</v>
      </c>
      <c r="Q38" s="243">
        <f t="shared" ref="Q38:X38" si="3">(Q37/P37)-1</f>
        <v>2.692580344412443E-3</v>
      </c>
      <c r="R38" s="243">
        <f t="shared" si="3"/>
        <v>8.2156179758152703E-5</v>
      </c>
      <c r="S38" s="243">
        <f t="shared" si="3"/>
        <v>1.0776450085006051E-3</v>
      </c>
      <c r="T38" s="243">
        <f t="shared" si="3"/>
        <v>3.3193571945933087E-4</v>
      </c>
      <c r="U38" s="243">
        <f t="shared" si="3"/>
        <v>-8.6429692934197888E-4</v>
      </c>
      <c r="V38" s="243">
        <f t="shared" si="3"/>
        <v>-1.6056581281426174E-3</v>
      </c>
      <c r="W38" s="243">
        <f t="shared" si="3"/>
        <v>9.7119557407276957E-4</v>
      </c>
      <c r="X38" s="243">
        <f t="shared" si="3"/>
        <v>2.8083783702634868E-3</v>
      </c>
      <c r="Y38" s="243">
        <f>(Y37/X37)-1</f>
        <v>3.0219624361778052E-3</v>
      </c>
      <c r="Z38" s="243">
        <f>(Z37/Y37)-1</f>
        <v>2.2604697565180576E-3</v>
      </c>
    </row>
    <row r="40" spans="2:26">
      <c r="B40" s="149" t="s">
        <v>354</v>
      </c>
      <c r="O40" s="222">
        <f>N28/N30</f>
        <v>4.43060743901139E-2</v>
      </c>
      <c r="P40" s="150" t="s">
        <v>370</v>
      </c>
      <c r="Q40" s="150"/>
    </row>
    <row r="41" spans="2:26">
      <c r="O41" s="321">
        <f>O37*$O$40</f>
        <v>10305.709344746325</v>
      </c>
      <c r="P41" s="321">
        <f t="shared" ref="P41:Z41" si="4">P37*$O$40</f>
        <v>10370.63957201672</v>
      </c>
      <c r="Q41" s="321">
        <f t="shared" si="4"/>
        <v>10398.56335228732</v>
      </c>
      <c r="R41" s="321">
        <f t="shared" si="4"/>
        <v>10399.417658527316</v>
      </c>
      <c r="S41" s="321">
        <f t="shared" si="4"/>
        <v>10410.624539058341</v>
      </c>
      <c r="T41" s="321">
        <f t="shared" si="4"/>
        <v>10414.080197204734</v>
      </c>
      <c r="U41" s="321">
        <f t="shared" si="4"/>
        <v>10405.079339668369</v>
      </c>
      <c r="V41" s="321">
        <f t="shared" si="4"/>
        <v>10388.372339452662</v>
      </c>
      <c r="W41" s="321">
        <f t="shared" si="4"/>
        <v>10398.461480690557</v>
      </c>
      <c r="X41" s="321">
        <f t="shared" si="4"/>
        <v>10427.664294996946</v>
      </c>
      <c r="Y41" s="321">
        <f t="shared" si="4"/>
        <v>10459.1763047935</v>
      </c>
      <c r="Z41" s="321">
        <f t="shared" si="4"/>
        <v>10482.818956508576</v>
      </c>
    </row>
    <row r="43" spans="2:26" ht="15.75">
      <c r="B43" s="78" t="s">
        <v>1679</v>
      </c>
      <c r="I43" s="150" t="s">
        <v>1680</v>
      </c>
    </row>
    <row r="45" spans="2:26">
      <c r="B45" s="8" t="str">
        <f t="shared" ref="B45:Z45" si="5">B18</f>
        <v>Academic year</v>
      </c>
      <c r="C45" s="8" t="str">
        <f t="shared" si="5"/>
        <v>2004/05</v>
      </c>
      <c r="D45" s="8" t="str">
        <f t="shared" si="5"/>
        <v>2005/06</v>
      </c>
      <c r="E45" s="8" t="str">
        <f t="shared" si="5"/>
        <v>2006/07</v>
      </c>
      <c r="F45" s="8" t="str">
        <f t="shared" si="5"/>
        <v>2007/08</v>
      </c>
      <c r="G45" s="8" t="str">
        <f t="shared" si="5"/>
        <v>2008/09</v>
      </c>
      <c r="H45" s="8" t="str">
        <f t="shared" si="5"/>
        <v>2009/10</v>
      </c>
      <c r="I45" s="8" t="str">
        <f t="shared" si="5"/>
        <v>2010/11</v>
      </c>
      <c r="J45" s="8" t="str">
        <f t="shared" si="5"/>
        <v>2011/12</v>
      </c>
      <c r="K45" s="8" t="str">
        <f t="shared" si="5"/>
        <v>2012/13</v>
      </c>
      <c r="L45" s="8" t="str">
        <f t="shared" si="5"/>
        <v>2013/14</v>
      </c>
      <c r="M45" s="8" t="str">
        <f t="shared" si="5"/>
        <v>2014/15</v>
      </c>
      <c r="N45" s="8" t="str">
        <f t="shared" si="5"/>
        <v>2015/16</v>
      </c>
      <c r="O45" s="8" t="str">
        <f t="shared" si="5"/>
        <v>2016/17</v>
      </c>
      <c r="P45" s="8" t="str">
        <f t="shared" si="5"/>
        <v>2017/18</v>
      </c>
      <c r="Q45" s="8" t="str">
        <f t="shared" si="5"/>
        <v>2018/19</v>
      </c>
      <c r="R45" s="8" t="str">
        <f t="shared" si="5"/>
        <v>2019/20</v>
      </c>
      <c r="S45" s="8" t="str">
        <f t="shared" si="5"/>
        <v>2020/21</v>
      </c>
      <c r="T45" s="8" t="str">
        <f t="shared" si="5"/>
        <v>2021/22</v>
      </c>
      <c r="U45" s="8" t="str">
        <f t="shared" si="5"/>
        <v>2022/23</v>
      </c>
      <c r="V45" s="8" t="str">
        <f t="shared" si="5"/>
        <v>2023/24</v>
      </c>
      <c r="W45" s="8" t="str">
        <f t="shared" si="5"/>
        <v>2024/25</v>
      </c>
      <c r="X45" s="8" t="str">
        <f t="shared" si="5"/>
        <v>2025/26</v>
      </c>
      <c r="Y45" s="8" t="str">
        <f t="shared" si="5"/>
        <v>2026/27</v>
      </c>
      <c r="Z45" s="8" t="str">
        <f t="shared" si="5"/>
        <v>2027/28</v>
      </c>
    </row>
    <row r="46" spans="2:26">
      <c r="B46" s="8" t="s">
        <v>84</v>
      </c>
      <c r="C46" s="8"/>
      <c r="D46" s="8"/>
      <c r="E46" s="8"/>
      <c r="F46" s="8"/>
      <c r="G46" s="8"/>
      <c r="H46" s="8"/>
      <c r="I46" s="8"/>
      <c r="J46" s="8"/>
      <c r="K46" s="8"/>
      <c r="L46" s="8"/>
      <c r="M46" s="8"/>
      <c r="N46" s="8"/>
      <c r="O46" s="307">
        <f>O37-O41</f>
        <v>222296.91877357458</v>
      </c>
      <c r="P46" s="307">
        <f t="shared" ref="P46:Z46" si="6">P37-P41</f>
        <v>223697.48121664746</v>
      </c>
      <c r="Q46" s="307">
        <f t="shared" si="6"/>
        <v>224299.80465766598</v>
      </c>
      <c r="R46" s="307">
        <f t="shared" si="6"/>
        <v>224318.23227273714</v>
      </c>
      <c r="S46" s="307">
        <f t="shared" si="6"/>
        <v>224559.96769606153</v>
      </c>
      <c r="T46" s="307">
        <f t="shared" si="6"/>
        <v>224634.50717050047</v>
      </c>
      <c r="U46" s="307">
        <f t="shared" si="6"/>
        <v>224440.35625572878</v>
      </c>
      <c r="V46" s="307">
        <f t="shared" si="6"/>
        <v>224079.98177342353</v>
      </c>
      <c r="W46" s="307">
        <f t="shared" si="6"/>
        <v>224297.6072599602</v>
      </c>
      <c r="X46" s="307">
        <f t="shared" si="6"/>
        <v>224927.51980869091</v>
      </c>
      <c r="Y46" s="307">
        <f t="shared" si="6"/>
        <v>225607.24232441542</v>
      </c>
      <c r="Z46" s="307">
        <f t="shared" si="6"/>
        <v>226117.22067254121</v>
      </c>
    </row>
    <row r="48" spans="2:26">
      <c r="B48" s="5" t="s">
        <v>86</v>
      </c>
      <c r="N48" s="824">
        <f>Data_selected_by_user_testing!D220</f>
        <v>2.9954703740919249E-2</v>
      </c>
      <c r="O48" s="222">
        <f>N24/N25</f>
        <v>3.2317821606506855E-2</v>
      </c>
      <c r="P48" s="150" t="s">
        <v>1155</v>
      </c>
      <c r="Q48" s="2"/>
      <c r="R48" s="2"/>
      <c r="S48" s="2"/>
      <c r="T48" s="2"/>
      <c r="U48" s="2"/>
      <c r="V48" s="2"/>
      <c r="W48" s="2"/>
      <c r="X48" s="2"/>
      <c r="Y48" s="2"/>
      <c r="Z48" s="2"/>
    </row>
    <row r="49" spans="2:26">
      <c r="B49" s="5" t="s">
        <v>1616</v>
      </c>
      <c r="O49" s="321">
        <f>O46*$N$48</f>
        <v>6658.8383443816165</v>
      </c>
      <c r="P49" s="321">
        <f>P46*$N$48</f>
        <v>6700.7917774345233</v>
      </c>
      <c r="Q49" s="321">
        <f t="shared" ref="Q49:Z49" si="7">Q46*$N$48</f>
        <v>6718.8341976664442</v>
      </c>
      <c r="R49" s="321">
        <f t="shared" si="7"/>
        <v>6719.3861914165518</v>
      </c>
      <c r="S49" s="321">
        <f t="shared" si="7"/>
        <v>6726.6273044059199</v>
      </c>
      <c r="T49" s="321">
        <f t="shared" si="7"/>
        <v>6728.8601122797418</v>
      </c>
      <c r="U49" s="321">
        <f t="shared" si="7"/>
        <v>6723.0443791467278</v>
      </c>
      <c r="V49" s="321">
        <f t="shared" si="7"/>
        <v>6712.2494682934866</v>
      </c>
      <c r="W49" s="321">
        <f t="shared" si="7"/>
        <v>6718.7683752691664</v>
      </c>
      <c r="X49" s="321">
        <f t="shared" si="7"/>
        <v>6737.637219049082</v>
      </c>
      <c r="Y49" s="321">
        <f t="shared" si="7"/>
        <v>6757.9981056336419</v>
      </c>
      <c r="Z49" s="321">
        <f t="shared" si="7"/>
        <v>6773.2743559660339</v>
      </c>
    </row>
    <row r="50" spans="2:26">
      <c r="O50" s="309"/>
      <c r="P50" s="309"/>
      <c r="Q50" s="309"/>
      <c r="R50" s="309"/>
      <c r="S50" s="309"/>
      <c r="T50" s="309"/>
      <c r="U50" s="309"/>
      <c r="V50" s="309"/>
      <c r="W50" s="309"/>
      <c r="X50" s="309"/>
      <c r="Y50" s="309"/>
      <c r="Z50" s="309"/>
    </row>
    <row r="51" spans="2:26">
      <c r="B51" s="5" t="s">
        <v>1617</v>
      </c>
      <c r="O51" s="321">
        <f>O46-O49</f>
        <v>215638.08042919295</v>
      </c>
      <c r="P51" s="321">
        <f t="shared" ref="P51:Z51" si="8">P46-P49</f>
        <v>216996.68943921293</v>
      </c>
      <c r="Q51" s="321">
        <f t="shared" si="8"/>
        <v>217580.97045999955</v>
      </c>
      <c r="R51" s="321">
        <f t="shared" si="8"/>
        <v>217598.84608132057</v>
      </c>
      <c r="S51" s="321">
        <f t="shared" si="8"/>
        <v>217833.34039165563</v>
      </c>
      <c r="T51" s="321">
        <f t="shared" si="8"/>
        <v>217905.64705822073</v>
      </c>
      <c r="U51" s="321">
        <f t="shared" si="8"/>
        <v>217717.31187658204</v>
      </c>
      <c r="V51" s="321">
        <f t="shared" si="8"/>
        <v>217367.73230513005</v>
      </c>
      <c r="W51" s="321">
        <f t="shared" si="8"/>
        <v>217578.83888469104</v>
      </c>
      <c r="X51" s="321">
        <f t="shared" si="8"/>
        <v>218189.88258964181</v>
      </c>
      <c r="Y51" s="321">
        <f t="shared" si="8"/>
        <v>218849.24421878177</v>
      </c>
      <c r="Z51" s="321">
        <f t="shared" si="8"/>
        <v>219343.94631657517</v>
      </c>
    </row>
    <row r="52" spans="2:26">
      <c r="O52" s="309"/>
      <c r="P52" s="309"/>
      <c r="Q52" s="309"/>
      <c r="R52" s="309"/>
      <c r="S52" s="309"/>
      <c r="T52" s="309"/>
      <c r="U52" s="309"/>
      <c r="V52" s="309"/>
      <c r="W52" s="309"/>
      <c r="X52" s="309"/>
      <c r="Y52" s="309"/>
      <c r="Z52" s="309"/>
    </row>
    <row r="53" spans="2:26">
      <c r="B53" s="5" t="s">
        <v>1618</v>
      </c>
      <c r="O53" s="321">
        <f>O51/$Q$16</f>
        <v>242289.97801032916</v>
      </c>
      <c r="P53" s="321">
        <f t="shared" ref="P53:Z53" si="9">P51/$Q$16</f>
        <v>243816.50498787969</v>
      </c>
      <c r="Q53" s="321">
        <f t="shared" si="9"/>
        <v>244473.00051685341</v>
      </c>
      <c r="R53" s="321">
        <f t="shared" si="9"/>
        <v>244493.08548462985</v>
      </c>
      <c r="S53" s="321">
        <f t="shared" si="9"/>
        <v>244756.56223781532</v>
      </c>
      <c r="T53" s="321">
        <f t="shared" si="9"/>
        <v>244837.80568339408</v>
      </c>
      <c r="U53" s="321">
        <f t="shared" si="9"/>
        <v>244626.1931197551</v>
      </c>
      <c r="V53" s="321">
        <f t="shared" si="9"/>
        <v>244233.40708441578</v>
      </c>
      <c r="W53" s="321">
        <f t="shared" si="9"/>
        <v>244470.60548841688</v>
      </c>
      <c r="X53" s="321">
        <f t="shared" si="9"/>
        <v>245157.17144903576</v>
      </c>
      <c r="Y53" s="321">
        <f t="shared" si="9"/>
        <v>245898.02721211434</v>
      </c>
      <c r="Z53" s="321">
        <f t="shared" si="9"/>
        <v>246453.8722658148</v>
      </c>
    </row>
    <row r="54" spans="2:26">
      <c r="B54" s="12" t="s">
        <v>371</v>
      </c>
      <c r="P54" s="243">
        <f>(P53/O53)-1</f>
        <v>6.3004132077038033E-3</v>
      </c>
      <c r="Q54" s="243">
        <f t="shared" ref="Q54:X54" si="10">(Q53/P53)-1</f>
        <v>2.692580344412443E-3</v>
      </c>
      <c r="R54" s="243">
        <f t="shared" si="10"/>
        <v>8.2156179757930659E-5</v>
      </c>
      <c r="S54" s="243">
        <f t="shared" si="10"/>
        <v>1.0776450085008271E-3</v>
      </c>
      <c r="T54" s="243">
        <f t="shared" si="10"/>
        <v>3.3193571945910882E-4</v>
      </c>
      <c r="U54" s="243">
        <f t="shared" si="10"/>
        <v>-8.6429692934197888E-4</v>
      </c>
      <c r="V54" s="243">
        <f t="shared" si="10"/>
        <v>-1.6056581281426174E-3</v>
      </c>
      <c r="W54" s="243">
        <f t="shared" si="10"/>
        <v>9.7119557407276957E-4</v>
      </c>
      <c r="X54" s="243">
        <f t="shared" si="10"/>
        <v>2.8083783702634868E-3</v>
      </c>
      <c r="Y54" s="243">
        <f>(Y53/X53)-1</f>
        <v>3.0219624361778052E-3</v>
      </c>
      <c r="Z54" s="243">
        <f>(Z53/Y53)-1</f>
        <v>2.2604697565182796E-3</v>
      </c>
    </row>
    <row r="56" spans="2:26" ht="15.75">
      <c r="B56" s="78" t="s">
        <v>258</v>
      </c>
    </row>
    <row r="58" spans="2:26">
      <c r="B58" s="150" t="s">
        <v>1461</v>
      </c>
    </row>
    <row r="60" spans="2:26" ht="15.75">
      <c r="B60" s="78" t="s">
        <v>1462</v>
      </c>
      <c r="Q60" s="309"/>
    </row>
    <row r="62" spans="2:26">
      <c r="B62" s="8" t="str">
        <f t="shared" ref="B62:Z62" si="11">B45</f>
        <v>Academic year</v>
      </c>
      <c r="C62" s="8" t="str">
        <f t="shared" si="11"/>
        <v>2004/05</v>
      </c>
      <c r="D62" s="8" t="str">
        <f t="shared" si="11"/>
        <v>2005/06</v>
      </c>
      <c r="E62" s="8" t="str">
        <f t="shared" si="11"/>
        <v>2006/07</v>
      </c>
      <c r="F62" s="8" t="str">
        <f t="shared" si="11"/>
        <v>2007/08</v>
      </c>
      <c r="G62" s="8" t="str">
        <f t="shared" si="11"/>
        <v>2008/09</v>
      </c>
      <c r="H62" s="8" t="str">
        <f t="shared" si="11"/>
        <v>2009/10</v>
      </c>
      <c r="I62" s="8" t="str">
        <f t="shared" si="11"/>
        <v>2010/11</v>
      </c>
      <c r="J62" s="8" t="str">
        <f t="shared" si="11"/>
        <v>2011/12</v>
      </c>
      <c r="K62" s="8" t="str">
        <f t="shared" si="11"/>
        <v>2012/13</v>
      </c>
      <c r="L62" s="8" t="str">
        <f t="shared" si="11"/>
        <v>2013/14</v>
      </c>
      <c r="M62" s="8" t="str">
        <f t="shared" si="11"/>
        <v>2014/15</v>
      </c>
      <c r="N62" s="8" t="str">
        <f t="shared" si="11"/>
        <v>2015/16</v>
      </c>
      <c r="O62" s="8" t="str">
        <f t="shared" si="11"/>
        <v>2016/17</v>
      </c>
      <c r="P62" s="8" t="str">
        <f t="shared" si="11"/>
        <v>2017/18</v>
      </c>
      <c r="Q62" s="8" t="str">
        <f t="shared" si="11"/>
        <v>2018/19</v>
      </c>
      <c r="R62" s="8" t="str">
        <f t="shared" si="11"/>
        <v>2019/20</v>
      </c>
      <c r="S62" s="8" t="str">
        <f t="shared" si="11"/>
        <v>2020/21</v>
      </c>
      <c r="T62" s="8" t="str">
        <f t="shared" si="11"/>
        <v>2021/22</v>
      </c>
      <c r="U62" s="8" t="str">
        <f t="shared" si="11"/>
        <v>2022/23</v>
      </c>
      <c r="V62" s="8" t="str">
        <f t="shared" si="11"/>
        <v>2023/24</v>
      </c>
      <c r="W62" s="8" t="str">
        <f t="shared" si="11"/>
        <v>2024/25</v>
      </c>
      <c r="X62" s="8" t="str">
        <f t="shared" si="11"/>
        <v>2025/26</v>
      </c>
      <c r="Y62" s="8" t="str">
        <f t="shared" si="11"/>
        <v>2026/27</v>
      </c>
      <c r="Z62" s="8" t="str">
        <f t="shared" si="11"/>
        <v>2027/28</v>
      </c>
    </row>
    <row r="63" spans="2:26" s="309" customFormat="1" ht="38.25">
      <c r="B63" s="322" t="str">
        <f>B53</f>
        <v>Number of qualified teachers required by headcount</v>
      </c>
      <c r="C63" s="323"/>
      <c r="D63" s="323"/>
      <c r="E63" s="323"/>
      <c r="F63" s="323"/>
      <c r="G63" s="323"/>
      <c r="H63" s="323"/>
      <c r="I63" s="323"/>
      <c r="J63" s="323"/>
      <c r="K63" s="323"/>
      <c r="L63" s="323"/>
      <c r="M63" s="323"/>
      <c r="N63" s="323"/>
      <c r="O63" s="282">
        <f t="shared" ref="O63:Z63" si="12">O53</f>
        <v>242289.97801032916</v>
      </c>
      <c r="P63" s="282">
        <f t="shared" si="12"/>
        <v>243816.50498787969</v>
      </c>
      <c r="Q63" s="282">
        <f t="shared" si="12"/>
        <v>244473.00051685341</v>
      </c>
      <c r="R63" s="282">
        <f t="shared" si="12"/>
        <v>244493.08548462985</v>
      </c>
      <c r="S63" s="282">
        <f t="shared" si="12"/>
        <v>244756.56223781532</v>
      </c>
      <c r="T63" s="282">
        <f t="shared" si="12"/>
        <v>244837.80568339408</v>
      </c>
      <c r="U63" s="282">
        <f t="shared" si="12"/>
        <v>244626.1931197551</v>
      </c>
      <c r="V63" s="282">
        <f t="shared" si="12"/>
        <v>244233.40708441578</v>
      </c>
      <c r="W63" s="282">
        <f t="shared" si="12"/>
        <v>244470.60548841688</v>
      </c>
      <c r="X63" s="282">
        <f t="shared" si="12"/>
        <v>245157.17144903576</v>
      </c>
      <c r="Y63" s="282">
        <f t="shared" si="12"/>
        <v>245898.02721211434</v>
      </c>
      <c r="Z63" s="282">
        <f t="shared" si="12"/>
        <v>246453.8722658148</v>
      </c>
    </row>
    <row r="64" spans="2:26">
      <c r="B64" s="119" t="s">
        <v>371</v>
      </c>
      <c r="P64" s="243">
        <f>(P63/O63)-1</f>
        <v>6.3004132077038033E-3</v>
      </c>
      <c r="Q64" s="243">
        <f t="shared" ref="Q64:Z64" si="13">(Q63/P63)-1</f>
        <v>2.692580344412443E-3</v>
      </c>
      <c r="R64" s="243">
        <f t="shared" si="13"/>
        <v>8.2156179757930659E-5</v>
      </c>
      <c r="S64" s="243">
        <f t="shared" si="13"/>
        <v>1.0776450085008271E-3</v>
      </c>
      <c r="T64" s="243">
        <f t="shared" si="13"/>
        <v>3.3193571945910882E-4</v>
      </c>
      <c r="U64" s="243">
        <f t="shared" si="13"/>
        <v>-8.6429692934197888E-4</v>
      </c>
      <c r="V64" s="243">
        <f t="shared" si="13"/>
        <v>-1.6056581281426174E-3</v>
      </c>
      <c r="W64" s="243">
        <f t="shared" si="13"/>
        <v>9.7119557407276957E-4</v>
      </c>
      <c r="X64" s="243">
        <f t="shared" si="13"/>
        <v>2.8083783702634868E-3</v>
      </c>
      <c r="Y64" s="243">
        <f t="shared" si="13"/>
        <v>3.0219624361778052E-3</v>
      </c>
      <c r="Z64" s="243">
        <f t="shared" si="13"/>
        <v>2.2604697565182796E-3</v>
      </c>
    </row>
    <row r="73" spans="2:20">
      <c r="B73" s="402" t="s">
        <v>419</v>
      </c>
    </row>
    <row r="75" spans="2:20">
      <c r="B75" s="12" t="s">
        <v>420</v>
      </c>
      <c r="C75" s="403">
        <f>Q12</f>
        <v>22</v>
      </c>
      <c r="F75" s="406">
        <f>N34</f>
        <v>19.867491083418759</v>
      </c>
      <c r="G75" s="406">
        <f t="shared" ref="G75:R75" si="14">O34</f>
        <v>20.07459521362799</v>
      </c>
      <c r="H75" s="406">
        <f t="shared" si="14"/>
        <v>20.201875376067751</v>
      </c>
      <c r="I75" s="406">
        <f t="shared" si="14"/>
        <v>20.2564174074272</v>
      </c>
      <c r="J75" s="406">
        <f t="shared" si="14"/>
        <v>20.258081734031702</v>
      </c>
      <c r="K75" s="406">
        <f t="shared" si="14"/>
        <v>20.27993630616475</v>
      </c>
      <c r="L75" s="406">
        <f t="shared" si="14"/>
        <v>20.286670176625265</v>
      </c>
      <c r="M75" s="406">
        <f t="shared" si="14"/>
        <v>20.269151611127398</v>
      </c>
      <c r="N75" s="406">
        <f t="shared" si="14"/>
        <v>20.236658455991094</v>
      </c>
      <c r="O75" s="406">
        <f t="shared" si="14"/>
        <v>20.256331315311471</v>
      </c>
      <c r="P75" s="406">
        <f t="shared" si="14"/>
        <v>20.313378969436201</v>
      </c>
      <c r="Q75" s="406">
        <f t="shared" si="14"/>
        <v>20.374951306924679</v>
      </c>
      <c r="R75" s="406">
        <f t="shared" si="14"/>
        <v>20.421112614383947</v>
      </c>
      <c r="S75" s="404"/>
      <c r="T75" s="404"/>
    </row>
    <row r="76" spans="2:20">
      <c r="F76" s="117" t="b">
        <f>F75=$C$75</f>
        <v>0</v>
      </c>
      <c r="G76" s="117" t="b">
        <f t="shared" ref="G76:R76" si="15">G75=$C$75</f>
        <v>0</v>
      </c>
      <c r="H76" s="117" t="b">
        <f t="shared" si="15"/>
        <v>0</v>
      </c>
      <c r="I76" s="117" t="b">
        <f t="shared" si="15"/>
        <v>0</v>
      </c>
      <c r="J76" s="117" t="b">
        <f t="shared" si="15"/>
        <v>0</v>
      </c>
      <c r="K76" s="117" t="b">
        <f t="shared" si="15"/>
        <v>0</v>
      </c>
      <c r="L76" s="117" t="b">
        <f t="shared" si="15"/>
        <v>0</v>
      </c>
      <c r="M76" s="117" t="b">
        <f t="shared" si="15"/>
        <v>0</v>
      </c>
      <c r="N76" s="117" t="b">
        <f t="shared" si="15"/>
        <v>0</v>
      </c>
      <c r="O76" s="117" t="b">
        <f t="shared" si="15"/>
        <v>0</v>
      </c>
      <c r="P76" s="117" t="b">
        <f t="shared" si="15"/>
        <v>0</v>
      </c>
      <c r="Q76" s="117" t="b">
        <f t="shared" si="15"/>
        <v>0</v>
      </c>
      <c r="R76" s="117" t="b">
        <f t="shared" si="15"/>
        <v>0</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AN69"/>
  <sheetViews>
    <sheetView showGridLines="0" workbookViewId="0"/>
  </sheetViews>
  <sheetFormatPr defaultRowHeight="12.75"/>
  <cols>
    <col min="1" max="1" width="12" customWidth="1"/>
    <col min="2" max="2" width="24.85546875" customWidth="1"/>
    <col min="3" max="26" width="9.7109375" customWidth="1"/>
    <col min="27" max="27" width="14.7109375" customWidth="1"/>
  </cols>
  <sheetData>
    <row r="1" spans="1:19" s="66" customFormat="1" ht="15">
      <c r="A1" s="65" t="str">
        <f>ModelBanner</f>
        <v>TSM_201718 for publication</v>
      </c>
      <c r="E1" s="739"/>
    </row>
    <row r="2" spans="1:19" s="66" customFormat="1" ht="15">
      <c r="A2" s="1003" t="s">
        <v>13</v>
      </c>
      <c r="B2" s="1003" t="s">
        <v>30</v>
      </c>
      <c r="E2" s="739"/>
    </row>
    <row r="3" spans="1:19" s="66" customFormat="1" ht="15">
      <c r="A3" s="67"/>
      <c r="E3" s="739"/>
    </row>
    <row r="4" spans="1:19" s="57" customFormat="1">
      <c r="A4" s="58" t="s">
        <v>26</v>
      </c>
      <c r="B4" s="58"/>
      <c r="C4" s="58"/>
      <c r="D4" s="58"/>
      <c r="E4" s="58"/>
      <c r="F4" s="58"/>
      <c r="G4" s="292"/>
      <c r="H4" s="58"/>
      <c r="I4" s="58"/>
      <c r="J4" s="58"/>
      <c r="K4" s="58"/>
      <c r="L4" s="58"/>
      <c r="M4" s="58"/>
      <c r="N4" s="58"/>
      <c r="O4" s="58"/>
      <c r="P4" s="58"/>
      <c r="Q4" s="58"/>
    </row>
    <row r="5" spans="1:19" s="47" customFormat="1">
      <c r="A5" s="60" t="s">
        <v>1495</v>
      </c>
      <c r="B5" s="60"/>
      <c r="C5" s="60"/>
      <c r="D5" s="60"/>
      <c r="E5" s="60"/>
      <c r="F5" s="60"/>
      <c r="G5" s="60"/>
      <c r="H5" s="60"/>
      <c r="I5" s="60"/>
      <c r="J5" s="60"/>
      <c r="K5" s="60"/>
      <c r="L5" s="60"/>
      <c r="M5" s="60"/>
      <c r="N5" s="60"/>
      <c r="O5" s="60"/>
      <c r="P5" s="60"/>
      <c r="Q5" s="60"/>
      <c r="R5" s="59"/>
      <c r="S5" s="59"/>
    </row>
    <row r="6" spans="1:19" s="46" customFormat="1">
      <c r="A6" s="56" t="s">
        <v>1420</v>
      </c>
      <c r="B6" s="61"/>
      <c r="C6" s="61"/>
      <c r="D6" s="61"/>
      <c r="E6" s="61"/>
      <c r="F6" s="61"/>
      <c r="G6" s="292"/>
      <c r="H6" s="61"/>
      <c r="I6" s="61"/>
      <c r="J6" s="61"/>
      <c r="K6" s="61"/>
      <c r="L6" s="61"/>
      <c r="M6" s="61"/>
      <c r="N6" s="61"/>
      <c r="O6" s="61"/>
      <c r="P6" s="61"/>
      <c r="Q6" s="61"/>
      <c r="R6" s="45"/>
      <c r="S6" s="45"/>
    </row>
    <row r="7" spans="1:19" s="46" customFormat="1">
      <c r="A7" s="54" t="s">
        <v>166</v>
      </c>
      <c r="B7" s="56"/>
      <c r="C7" s="61"/>
      <c r="D7" s="61"/>
      <c r="E7" s="61"/>
      <c r="F7" s="61"/>
      <c r="G7" s="292"/>
      <c r="H7" s="61"/>
      <c r="I7" s="61"/>
      <c r="J7" s="61"/>
      <c r="K7" s="61"/>
      <c r="L7" s="61"/>
      <c r="M7" s="61"/>
      <c r="N7" s="61"/>
      <c r="O7" s="61"/>
      <c r="P7" s="61"/>
      <c r="Q7" s="61"/>
      <c r="R7" s="45"/>
      <c r="S7" s="45"/>
    </row>
    <row r="8" spans="1:19" s="46" customFormat="1">
      <c r="A8" s="56" t="s">
        <v>24</v>
      </c>
      <c r="B8" s="61"/>
      <c r="C8" s="61"/>
      <c r="D8" s="61"/>
      <c r="E8" s="61"/>
      <c r="F8" s="61"/>
      <c r="G8" s="292"/>
      <c r="H8" s="61"/>
      <c r="I8" s="61"/>
      <c r="J8" s="61"/>
      <c r="K8" s="61"/>
      <c r="L8" s="61"/>
      <c r="M8" s="61"/>
      <c r="N8" s="61"/>
      <c r="O8" s="61"/>
      <c r="P8" s="61"/>
      <c r="Q8" s="61"/>
      <c r="R8" s="45"/>
      <c r="S8" s="45"/>
    </row>
    <row r="9" spans="1:19" s="46" customFormat="1">
      <c r="A9" s="54" t="s">
        <v>1479</v>
      </c>
      <c r="B9" s="61"/>
      <c r="C9" s="61"/>
      <c r="D9" s="61"/>
      <c r="E9" s="61"/>
      <c r="F9" s="61"/>
      <c r="G9" s="292"/>
      <c r="H9" s="61"/>
      <c r="I9" s="61"/>
      <c r="J9" s="61"/>
      <c r="K9" s="61"/>
      <c r="L9" s="61"/>
      <c r="M9" s="61"/>
      <c r="N9" s="61"/>
      <c r="O9" s="61"/>
      <c r="P9" s="61"/>
      <c r="Q9" s="61"/>
      <c r="R9" s="45"/>
      <c r="S9" s="45"/>
    </row>
    <row r="10" spans="1:19" s="50" customFormat="1" ht="13.5" customHeight="1">
      <c r="A10" s="274">
        <f>SUM(A13:A2222)</f>
        <v>0</v>
      </c>
      <c r="B10" s="73"/>
      <c r="C10" s="71"/>
      <c r="D10" s="48"/>
      <c r="E10" s="738"/>
      <c r="F10" s="48"/>
      <c r="G10" s="48"/>
      <c r="H10" s="48"/>
      <c r="I10" s="72"/>
      <c r="J10" s="48"/>
      <c r="K10" s="48"/>
      <c r="L10" s="72"/>
      <c r="M10" s="49"/>
      <c r="N10" s="49"/>
      <c r="O10" s="49"/>
      <c r="P10" s="49"/>
      <c r="Q10" s="49"/>
      <c r="R10" s="49"/>
      <c r="S10" s="49"/>
    </row>
    <row r="12" spans="1:19">
      <c r="I12" s="5" t="s">
        <v>81</v>
      </c>
      <c r="L12" s="97">
        <f>Data_selected_by_user_testing!D97</f>
        <v>0.6</v>
      </c>
      <c r="N12" s="5" t="s">
        <v>1357</v>
      </c>
      <c r="Q12" s="97">
        <f>Data_selected_by_user_testing!D73</f>
        <v>16</v>
      </c>
      <c r="R12" s="5"/>
    </row>
    <row r="14" spans="1:19">
      <c r="B14" s="150" t="s">
        <v>1118</v>
      </c>
    </row>
    <row r="16" spans="1:19" ht="15.75">
      <c r="B16" s="78" t="s">
        <v>1681</v>
      </c>
      <c r="N16" s="5" t="s">
        <v>1496</v>
      </c>
      <c r="Q16" s="279">
        <f>RAW_DATA_INPUTS!D389</f>
        <v>0.93100000000000005</v>
      </c>
    </row>
    <row r="18" spans="1:40">
      <c r="B18" s="141" t="str">
        <f>Pupils_data_scenarios!B16</f>
        <v>Academic year</v>
      </c>
      <c r="C18" s="141" t="str">
        <f>Pupils_data_scenarios!C16</f>
        <v>2004/05</v>
      </c>
      <c r="D18" s="141" t="str">
        <f>Pupils_data_scenarios!D16</f>
        <v>2005/06</v>
      </c>
      <c r="E18" s="141" t="str">
        <f>Pupils_data_scenarios!E16</f>
        <v>2006/07</v>
      </c>
      <c r="F18" s="141" t="str">
        <f>Pupils_data_scenarios!F16</f>
        <v>2007/08</v>
      </c>
      <c r="G18" s="141" t="str">
        <f>Pupils_data_scenarios!G16</f>
        <v>2008/09</v>
      </c>
      <c r="H18" s="141" t="str">
        <f>Pupils_data_scenarios!H16</f>
        <v>2009/10</v>
      </c>
      <c r="I18" s="141" t="str">
        <f>Pupils_data_scenarios!I16</f>
        <v>2010/11</v>
      </c>
      <c r="J18" s="141" t="str">
        <f>Pupils_data_scenarios!J16</f>
        <v>2011/12</v>
      </c>
      <c r="K18" s="141" t="str">
        <f>Pupils_data_scenarios!K16</f>
        <v>2012/13</v>
      </c>
      <c r="L18" s="141" t="str">
        <f>Pupils_data_scenarios!L16</f>
        <v>2013/14</v>
      </c>
      <c r="M18" s="141" t="str">
        <f>Pupils_data_scenarios!M16</f>
        <v>2014/15</v>
      </c>
      <c r="N18" s="141" t="str">
        <f>Pupils_data_scenarios!N16</f>
        <v>2015/16</v>
      </c>
      <c r="O18" s="141" t="str">
        <f>Pupils_data_scenarios!O16</f>
        <v>2016/17</v>
      </c>
      <c r="P18" s="141" t="str">
        <f>Pupils_data_scenarios!P16</f>
        <v>2017/18</v>
      </c>
      <c r="Q18" s="141" t="str">
        <f>Pupils_data_scenarios!Q16</f>
        <v>2018/19</v>
      </c>
      <c r="R18" s="141" t="str">
        <f>Pupils_data_scenarios!R16</f>
        <v>2019/20</v>
      </c>
      <c r="S18" s="141" t="str">
        <f>Pupils_data_scenarios!S16</f>
        <v>2020/21</v>
      </c>
      <c r="T18" s="141" t="str">
        <f>Pupils_data_scenarios!T16</f>
        <v>2021/22</v>
      </c>
      <c r="U18" s="141" t="str">
        <f>Pupils_data_scenarios!U16</f>
        <v>2022/23</v>
      </c>
      <c r="V18" s="141" t="str">
        <f>Pupils_data_scenarios!V16</f>
        <v>2023/24</v>
      </c>
      <c r="W18" s="141" t="str">
        <f>Pupils_data_scenarios!W16</f>
        <v>2024/25</v>
      </c>
      <c r="X18" s="141" t="str">
        <f>Pupils_data_scenarios!X16</f>
        <v>2025/26</v>
      </c>
      <c r="Y18" s="141" t="str">
        <f>Pupils_data_scenarios!Y16</f>
        <v>2026/27</v>
      </c>
      <c r="Z18" s="141" t="str">
        <f>Pupils_data_scenarios!Z16</f>
        <v>2027/28</v>
      </c>
    </row>
    <row r="19" spans="1:40" s="329" customFormat="1">
      <c r="A19" s="339"/>
      <c r="B19" s="326" t="str">
        <f>Pupils_data_scenarios!B22</f>
        <v>All secondary pupils</v>
      </c>
      <c r="C19" s="314">
        <f>Data_selected_by_user_testing!D36+Data_selected_by_user_testing!D37+Data_selected_by_user_testing!D38</f>
        <v>3308483</v>
      </c>
      <c r="D19" s="314">
        <f>Data_selected_by_user_testing!E36+Data_selected_by_user_testing!E37+Data_selected_by_user_testing!E38</f>
        <v>3305157.563270269</v>
      </c>
      <c r="E19" s="314">
        <f>Data_selected_by_user_testing!F36+Data_selected_by_user_testing!F37+Data_selected_by_user_testing!F38</f>
        <v>3282404</v>
      </c>
      <c r="F19" s="314">
        <f>Data_selected_by_user_testing!G36+Data_selected_by_user_testing!G37+Data_selected_by_user_testing!G38</f>
        <v>3248902.5</v>
      </c>
      <c r="G19" s="314">
        <f>Data_selected_by_user_testing!H36+Data_selected_by_user_testing!H37+Data_selected_by_user_testing!H38</f>
        <v>3231650</v>
      </c>
      <c r="H19" s="314">
        <f>Data_selected_by_user_testing!I36+Data_selected_by_user_testing!I37+Data_selected_by_user_testing!I38</f>
        <v>3227785.5</v>
      </c>
      <c r="I19" s="314">
        <f>Data_selected_by_user_testing!J36+Data_selected_by_user_testing!J37+Data_selected_by_user_testing!J38</f>
        <v>3212254</v>
      </c>
      <c r="J19" s="314">
        <f>Data_selected_by_user_testing!K36+Data_selected_by_user_testing!K37+Data_selected_by_user_testing!K38</f>
        <v>3185686.5</v>
      </c>
      <c r="K19" s="314">
        <f>Data_selected_by_user_testing!L36+Data_selected_by_user_testing!L37+Data_selected_by_user_testing!L38</f>
        <v>3158780</v>
      </c>
      <c r="L19" s="314">
        <f>Data_selected_by_user_testing!M36+Data_selected_by_user_testing!M37+Data_selected_by_user_testing!M38</f>
        <v>3125924</v>
      </c>
      <c r="M19" s="314">
        <f>Data_selected_by_user_testing!N36+Data_selected_by_user_testing!N37+Data_selected_by_user_testing!N38</f>
        <v>3119799</v>
      </c>
      <c r="N19" s="314">
        <f>Data_selected_by_user_testing!O36+Data_selected_by_user_testing!O37+Data_selected_by_user_testing!O38</f>
        <v>3121988</v>
      </c>
      <c r="O19" s="314">
        <f>Data_selected_by_user_testing!P36+Data_selected_by_user_testing!P37+Data_selected_by_user_testing!P38</f>
        <v>3153434.5188964177</v>
      </c>
      <c r="P19" s="314">
        <f>Data_selected_by_user_testing!Q36+Data_selected_by_user_testing!Q37+Data_selected_by_user_testing!Q38</f>
        <v>3206473.5103805256</v>
      </c>
      <c r="Q19" s="314">
        <f>Data_selected_by_user_testing!R36+Data_selected_by_user_testing!R37+Data_selected_by_user_testing!R38</f>
        <v>3284777.7855463745</v>
      </c>
      <c r="R19" s="314">
        <f>Data_selected_by_user_testing!S36+Data_selected_by_user_testing!S37+Data_selected_by_user_testing!S38</f>
        <v>3371521.969667735</v>
      </c>
      <c r="S19" s="314">
        <f>Data_selected_by_user_testing!T36+Data_selected_by_user_testing!T37+Data_selected_by_user_testing!T38</f>
        <v>3441735.9770776005</v>
      </c>
      <c r="T19" s="314">
        <f>Data_selected_by_user_testing!U36+Data_selected_by_user_testing!U37+Data_selected_by_user_testing!U38</f>
        <v>3517503.4884628272</v>
      </c>
      <c r="U19" s="314">
        <f>Data_selected_by_user_testing!V36+Data_selected_by_user_testing!V37+Data_selected_by_user_testing!V38</f>
        <v>3601496.689145844</v>
      </c>
      <c r="V19" s="314">
        <f>Data_selected_by_user_testing!W36+Data_selected_by_user_testing!W37+Data_selected_by_user_testing!W38</f>
        <v>3674251.4793677852</v>
      </c>
      <c r="W19" s="314">
        <f>Data_selected_by_user_testing!X36+Data_selected_by_user_testing!X37+Data_selected_by_user_testing!X38</f>
        <v>3701291.536776138</v>
      </c>
      <c r="X19" s="314">
        <f>Data_selected_by_user_testing!Y36+Data_selected_by_user_testing!Y37+Data_selected_by_user_testing!Y38</f>
        <v>3712096.756026078</v>
      </c>
      <c r="Y19" s="314">
        <f>Data_selected_by_user_testing!Z36+Data_selected_by_user_testing!Z37+Data_selected_by_user_testing!Z38</f>
        <v>3707922.516725075</v>
      </c>
      <c r="Z19" s="314">
        <f>Data_selected_by_user_testing!AA36+Data_selected_by_user_testing!AA37+Data_selected_by_user_testing!AA38</f>
        <v>3695259.6565467082</v>
      </c>
    </row>
    <row r="20" spans="1:40">
      <c r="B20" s="8" t="s">
        <v>371</v>
      </c>
      <c r="C20" s="197"/>
      <c r="D20" s="218">
        <f>(D19/C19)-1</f>
        <v>-1.0051243212466643E-3</v>
      </c>
      <c r="E20" s="218">
        <f t="shared" ref="E20:Y20" si="0">(E19/D19)-1</f>
        <v>-6.8842597772420522E-3</v>
      </c>
      <c r="F20" s="218">
        <f t="shared" si="0"/>
        <v>-1.0206391413122851E-2</v>
      </c>
      <c r="G20" s="218">
        <f t="shared" si="0"/>
        <v>-5.3102547706495029E-3</v>
      </c>
      <c r="H20" s="218">
        <f t="shared" si="0"/>
        <v>-1.1958287562081615E-3</v>
      </c>
      <c r="I20" s="218">
        <f t="shared" si="0"/>
        <v>-4.811812928709136E-3</v>
      </c>
      <c r="J20" s="218">
        <f t="shared" si="0"/>
        <v>-8.2706722444738645E-3</v>
      </c>
      <c r="K20" s="218">
        <f t="shared" si="0"/>
        <v>-8.4460602133951124E-3</v>
      </c>
      <c r="L20" s="218">
        <f t="shared" si="0"/>
        <v>-1.0401484117285809E-2</v>
      </c>
      <c r="M20" s="218">
        <f t="shared" si="0"/>
        <v>-1.9594206385056268E-3</v>
      </c>
      <c r="N20" s="218">
        <f t="shared" si="0"/>
        <v>7.0164776641057358E-4</v>
      </c>
      <c r="O20" s="218">
        <f t="shared" si="0"/>
        <v>1.0072594416255853E-2</v>
      </c>
      <c r="P20" s="218">
        <f t="shared" si="0"/>
        <v>1.6819436448190395E-2</v>
      </c>
      <c r="Q20" s="218">
        <f t="shared" si="0"/>
        <v>2.4420683630271611E-2</v>
      </c>
      <c r="R20" s="218">
        <f t="shared" si="0"/>
        <v>2.6407930698706839E-2</v>
      </c>
      <c r="S20" s="218">
        <f t="shared" si="0"/>
        <v>2.0825611709356595E-2</v>
      </c>
      <c r="T20" s="218">
        <f t="shared" si="0"/>
        <v>2.2014329945657662E-2</v>
      </c>
      <c r="U20" s="218">
        <f t="shared" si="0"/>
        <v>2.3878640336394419E-2</v>
      </c>
      <c r="V20" s="218">
        <f t="shared" si="0"/>
        <v>2.02012653353838E-2</v>
      </c>
      <c r="W20" s="218">
        <f t="shared" si="0"/>
        <v>7.3593376937295396E-3</v>
      </c>
      <c r="X20" s="218">
        <f t="shared" si="0"/>
        <v>2.9193105008289422E-3</v>
      </c>
      <c r="Y20" s="218">
        <f t="shared" si="0"/>
        <v>-1.1244963629319926E-3</v>
      </c>
      <c r="Z20" s="218">
        <f>(Z19/Y19)-1</f>
        <v>-3.4150821979825885E-3</v>
      </c>
    </row>
    <row r="21" spans="1:40">
      <c r="A21" s="12"/>
    </row>
    <row r="22" spans="1:40">
      <c r="B22" s="149" t="s">
        <v>83</v>
      </c>
      <c r="G22" s="150" t="s">
        <v>1497</v>
      </c>
    </row>
    <row r="23" spans="1:40">
      <c r="B23" t="str">
        <f>Stock_calculations!B16</f>
        <v>Qualified stock FTE</v>
      </c>
      <c r="M23" s="9"/>
      <c r="N23" s="310">
        <f>Stock_calculations!E38</f>
        <v>197477.26565796521</v>
      </c>
      <c r="O23" s="309"/>
    </row>
    <row r="24" spans="1:40">
      <c r="B24" t="str">
        <f>Stock_calculations!B17</f>
        <v>Unqualified stock FTE</v>
      </c>
      <c r="M24" s="9"/>
      <c r="N24" s="310">
        <f>Stock_calculations!E39</f>
        <v>13391.497197273633</v>
      </c>
    </row>
    <row r="25" spans="1:40">
      <c r="B25" s="12" t="s">
        <v>98</v>
      </c>
      <c r="G25" s="12"/>
      <c r="M25" s="9"/>
      <c r="N25" s="310">
        <f>SUM(N23:N24)</f>
        <v>210868.76285523883</v>
      </c>
    </row>
    <row r="26" spans="1:40">
      <c r="B26" s="12" t="s">
        <v>1489</v>
      </c>
      <c r="G26" s="12"/>
      <c r="M26" s="9"/>
      <c r="N26" s="316">
        <f>RAW_DATA_INPUTS!C112</f>
        <v>2363.7934438790808</v>
      </c>
    </row>
    <row r="27" spans="1:40">
      <c r="B27" s="12" t="s">
        <v>1490</v>
      </c>
      <c r="G27" s="12"/>
      <c r="M27" s="9"/>
      <c r="N27" s="316">
        <f>RAW_DATA_INPUTS!D112</f>
        <v>4399</v>
      </c>
    </row>
    <row r="28" spans="1:40">
      <c r="B28" s="12" t="s">
        <v>1491</v>
      </c>
      <c r="M28" s="9"/>
      <c r="N28" s="316">
        <f>(N27+N26)*Q16</f>
        <v>6296.1606962514243</v>
      </c>
      <c r="AA28" s="117"/>
      <c r="AB28" s="117"/>
      <c r="AC28" s="117"/>
      <c r="AD28" s="117"/>
      <c r="AE28" s="117"/>
      <c r="AF28" s="117"/>
      <c r="AG28" s="117"/>
      <c r="AH28" s="117"/>
      <c r="AI28" s="117"/>
      <c r="AJ28" s="117"/>
      <c r="AK28" s="117"/>
      <c r="AL28" s="117"/>
      <c r="AM28" s="117"/>
      <c r="AN28" s="117"/>
    </row>
    <row r="29" spans="1:40">
      <c r="M29" s="2"/>
      <c r="N29" s="2"/>
      <c r="AA29" s="119"/>
      <c r="AB29" s="770"/>
      <c r="AC29" s="770"/>
      <c r="AD29" s="770"/>
      <c r="AE29" s="770"/>
      <c r="AF29" s="770"/>
      <c r="AG29" s="770"/>
      <c r="AH29" s="770"/>
      <c r="AI29" s="770"/>
      <c r="AJ29" s="770"/>
      <c r="AK29" s="770"/>
      <c r="AL29" s="770"/>
      <c r="AM29" s="770"/>
      <c r="AN29" s="770"/>
    </row>
    <row r="30" spans="1:40">
      <c r="A30" s="12"/>
      <c r="B30" s="12" t="s">
        <v>82</v>
      </c>
      <c r="M30" s="2"/>
      <c r="N30" s="316">
        <f>N28+N25</f>
        <v>217164.92355149027</v>
      </c>
      <c r="AA30" s="119"/>
      <c r="AB30" s="770"/>
      <c r="AC30" s="770"/>
      <c r="AD30" s="770"/>
      <c r="AE30" s="770"/>
      <c r="AF30" s="770"/>
      <c r="AG30" s="770"/>
      <c r="AH30" s="770"/>
      <c r="AI30" s="770"/>
      <c r="AJ30" s="770"/>
      <c r="AK30" s="770"/>
      <c r="AL30" s="770"/>
      <c r="AM30" s="770"/>
      <c r="AN30" s="770"/>
    </row>
    <row r="31" spans="1:40">
      <c r="M31" s="96"/>
    </row>
    <row r="32" spans="1:40">
      <c r="M32" s="2"/>
    </row>
    <row r="33" spans="2:26">
      <c r="B33" s="149" t="s">
        <v>628</v>
      </c>
      <c r="G33" s="150"/>
      <c r="M33" s="2"/>
      <c r="N33" s="150" t="s">
        <v>353</v>
      </c>
    </row>
    <row r="34" spans="2:26">
      <c r="B34" s="12" t="s">
        <v>99</v>
      </c>
      <c r="M34" s="2"/>
      <c r="N34" s="216">
        <f>N$19/N30</f>
        <v>14.376115391672679</v>
      </c>
      <c r="O34" s="217">
        <f>IF(N34*(1+($L$12*O20))&lt;$Q12,N34*(1+($L$12*O20)),$Q12)</f>
        <v>14.462998259445644</v>
      </c>
      <c r="P34" s="217">
        <f t="shared" ref="P34:Z34" si="1">IF(O34*(1+($L$12*P20))&lt;$Q12,O34*(1+($L$12*P20)),$Q12)</f>
        <v>14.608953947490665</v>
      </c>
      <c r="Q34" s="217">
        <f t="shared" si="1"/>
        <v>14.823010333003189</v>
      </c>
      <c r="R34" s="217">
        <f t="shared" si="1"/>
        <v>15.057877350775287</v>
      </c>
      <c r="S34" s="217">
        <f t="shared" si="1"/>
        <v>15.246031054899905</v>
      </c>
      <c r="T34" s="217">
        <f t="shared" si="1"/>
        <v>15.447409749702491</v>
      </c>
      <c r="U34" s="217">
        <f t="shared" si="1"/>
        <v>15.668727634627725</v>
      </c>
      <c r="V34" s="217">
        <f t="shared" si="1"/>
        <v>15.85864450927671</v>
      </c>
      <c r="W34" s="217">
        <f t="shared" si="1"/>
        <v>15.928669981461855</v>
      </c>
      <c r="X34" s="217">
        <f t="shared" si="1"/>
        <v>15.956570421586527</v>
      </c>
      <c r="Y34" s="217">
        <f t="shared" si="1"/>
        <v>15.945804558344161</v>
      </c>
      <c r="Z34" s="217">
        <f t="shared" si="1"/>
        <v>15.913130818376334</v>
      </c>
    </row>
    <row r="36" spans="2:26">
      <c r="B36" s="149" t="s">
        <v>1615</v>
      </c>
      <c r="M36" s="12"/>
      <c r="O36" s="150" t="s">
        <v>1678</v>
      </c>
    </row>
    <row r="37" spans="2:26" s="309" customFormat="1">
      <c r="B37" s="327" t="s">
        <v>99</v>
      </c>
      <c r="O37" s="320">
        <f t="shared" ref="O37:Z37" si="2">O$19/O34</f>
        <v>218034.63309116696</v>
      </c>
      <c r="P37" s="320">
        <f t="shared" si="2"/>
        <v>219486.86551450807</v>
      </c>
      <c r="Q37" s="320">
        <f t="shared" si="2"/>
        <v>221599.91201199332</v>
      </c>
      <c r="R37" s="320">
        <f t="shared" si="2"/>
        <v>223904.19918609213</v>
      </c>
      <c r="S37" s="320">
        <f t="shared" si="2"/>
        <v>225746.35750669448</v>
      </c>
      <c r="T37" s="320">
        <f t="shared" si="2"/>
        <v>227708.30485224701</v>
      </c>
      <c r="U37" s="320">
        <f t="shared" si="2"/>
        <v>229852.53002844812</v>
      </c>
      <c r="V37" s="320">
        <f t="shared" si="2"/>
        <v>231687.61221796015</v>
      </c>
      <c r="W37" s="320">
        <f t="shared" si="2"/>
        <v>232366.64084846911</v>
      </c>
      <c r="X37" s="320">
        <f t="shared" si="2"/>
        <v>232637.50655367912</v>
      </c>
      <c r="Y37" s="320">
        <f t="shared" si="2"/>
        <v>232532.7958936248</v>
      </c>
      <c r="Z37" s="320">
        <f t="shared" si="2"/>
        <v>232214.49623724938</v>
      </c>
    </row>
    <row r="38" spans="2:26">
      <c r="B38" s="12" t="s">
        <v>371</v>
      </c>
      <c r="P38" s="243">
        <f>(P37/O37)-1</f>
        <v>6.6605584752854607E-3</v>
      </c>
      <c r="Q38" s="243">
        <f t="shared" ref="Q38:X38" si="3">(Q37/P37)-1</f>
        <v>9.6272115988897955E-3</v>
      </c>
      <c r="R38" s="243">
        <f t="shared" si="3"/>
        <v>1.0398411954126052E-2</v>
      </c>
      <c r="S38" s="243">
        <f t="shared" si="3"/>
        <v>8.2274398037138763E-3</v>
      </c>
      <c r="T38" s="243">
        <f t="shared" si="3"/>
        <v>8.6909368869632075E-3</v>
      </c>
      <c r="U38" s="243">
        <f t="shared" si="3"/>
        <v>9.4165435801405462E-3</v>
      </c>
      <c r="V38" s="243">
        <f t="shared" si="3"/>
        <v>7.9837371782895961E-3</v>
      </c>
      <c r="W38" s="243">
        <f t="shared" si="3"/>
        <v>2.9307938564715474E-3</v>
      </c>
      <c r="X38" s="243">
        <f t="shared" si="3"/>
        <v>1.1656824069967708E-3</v>
      </c>
      <c r="Y38" s="243">
        <f>(Y37/X37)-1</f>
        <v>-4.5010222816399548E-4</v>
      </c>
      <c r="Z38" s="243">
        <f>(Z37/Y37)-1</f>
        <v>-1.3688376951397352E-3</v>
      </c>
    </row>
    <row r="40" spans="2:26">
      <c r="B40" s="149" t="s">
        <v>354</v>
      </c>
      <c r="O40" s="222">
        <f>N28/N30</f>
        <v>2.8992530622739317E-2</v>
      </c>
      <c r="P40" s="150" t="s">
        <v>370</v>
      </c>
    </row>
    <row r="41" spans="2:26" s="309" customFormat="1">
      <c r="B41" s="328"/>
      <c r="O41" s="321">
        <f>O37*$O$40</f>
        <v>6321.3757767133893</v>
      </c>
      <c r="P41" s="321">
        <f t="shared" ref="P41:Z41" si="4">P37*$O$40</f>
        <v>6363.4796697184411</v>
      </c>
      <c r="Q41" s="321">
        <f t="shared" si="4"/>
        <v>6424.7422350040542</v>
      </c>
      <c r="R41" s="321">
        <f t="shared" si="4"/>
        <v>6491.5493514626996</v>
      </c>
      <c r="S41" s="321">
        <f t="shared" si="4"/>
        <v>6544.9581829846975</v>
      </c>
      <c r="T41" s="321">
        <f t="shared" si="4"/>
        <v>6601.8400014808312</v>
      </c>
      <c r="U41" s="321">
        <f t="shared" si="4"/>
        <v>6664.0065155638904</v>
      </c>
      <c r="V41" s="321">
        <f t="shared" si="4"/>
        <v>6717.210192138562</v>
      </c>
      <c r="W41" s="321">
        <f t="shared" si="4"/>
        <v>6736.8969505023097</v>
      </c>
      <c r="X41" s="321">
        <f t="shared" si="4"/>
        <v>6744.7500327552607</v>
      </c>
      <c r="Y41" s="321">
        <f t="shared" si="4"/>
        <v>6741.7142057371084</v>
      </c>
      <c r="Z41" s="321">
        <f t="shared" si="4"/>
        <v>6732.4858932024363</v>
      </c>
    </row>
    <row r="42" spans="2:26">
      <c r="B42" s="149"/>
    </row>
    <row r="43" spans="2:26" ht="15.75">
      <c r="B43" s="78" t="s">
        <v>1682</v>
      </c>
    </row>
    <row r="45" spans="2:26">
      <c r="B45" s="8" t="str">
        <f t="shared" ref="B45:Z45" si="5">B18</f>
        <v>Academic year</v>
      </c>
      <c r="C45" s="8" t="str">
        <f t="shared" si="5"/>
        <v>2004/05</v>
      </c>
      <c r="D45" s="8" t="str">
        <f t="shared" si="5"/>
        <v>2005/06</v>
      </c>
      <c r="E45" s="8" t="str">
        <f t="shared" si="5"/>
        <v>2006/07</v>
      </c>
      <c r="F45" s="8" t="str">
        <f t="shared" si="5"/>
        <v>2007/08</v>
      </c>
      <c r="G45" s="8" t="str">
        <f t="shared" si="5"/>
        <v>2008/09</v>
      </c>
      <c r="H45" s="8" t="str">
        <f t="shared" si="5"/>
        <v>2009/10</v>
      </c>
      <c r="I45" s="8" t="str">
        <f t="shared" si="5"/>
        <v>2010/11</v>
      </c>
      <c r="J45" s="8" t="str">
        <f t="shared" si="5"/>
        <v>2011/12</v>
      </c>
      <c r="K45" s="8" t="str">
        <f t="shared" si="5"/>
        <v>2012/13</v>
      </c>
      <c r="L45" s="8" t="str">
        <f t="shared" si="5"/>
        <v>2013/14</v>
      </c>
      <c r="M45" s="8" t="str">
        <f t="shared" si="5"/>
        <v>2014/15</v>
      </c>
      <c r="N45" s="8" t="str">
        <f t="shared" si="5"/>
        <v>2015/16</v>
      </c>
      <c r="O45" s="8" t="str">
        <f t="shared" si="5"/>
        <v>2016/17</v>
      </c>
      <c r="P45" s="8" t="str">
        <f t="shared" si="5"/>
        <v>2017/18</v>
      </c>
      <c r="Q45" s="8" t="str">
        <f t="shared" si="5"/>
        <v>2018/19</v>
      </c>
      <c r="R45" s="8" t="str">
        <f t="shared" si="5"/>
        <v>2019/20</v>
      </c>
      <c r="S45" s="8" t="str">
        <f t="shared" si="5"/>
        <v>2020/21</v>
      </c>
      <c r="T45" s="8" t="str">
        <f t="shared" si="5"/>
        <v>2021/22</v>
      </c>
      <c r="U45" s="8" t="str">
        <f t="shared" si="5"/>
        <v>2022/23</v>
      </c>
      <c r="V45" s="8" t="str">
        <f t="shared" si="5"/>
        <v>2023/24</v>
      </c>
      <c r="W45" s="8" t="str">
        <f t="shared" si="5"/>
        <v>2024/25</v>
      </c>
      <c r="X45" s="8" t="str">
        <f t="shared" si="5"/>
        <v>2025/26</v>
      </c>
      <c r="Y45" s="8" t="str">
        <f t="shared" si="5"/>
        <v>2026/27</v>
      </c>
      <c r="Z45" s="8" t="str">
        <f t="shared" si="5"/>
        <v>2027/28</v>
      </c>
    </row>
    <row r="46" spans="2:26" s="309" customFormat="1">
      <c r="B46" s="326" t="s">
        <v>84</v>
      </c>
      <c r="C46" s="326"/>
      <c r="D46" s="326"/>
      <c r="E46" s="326"/>
      <c r="F46" s="326"/>
      <c r="G46" s="326"/>
      <c r="H46" s="326"/>
      <c r="I46" s="326"/>
      <c r="J46" s="326"/>
      <c r="K46" s="326"/>
      <c r="L46" s="326"/>
      <c r="M46" s="326"/>
      <c r="N46" s="326"/>
      <c r="O46" s="307">
        <f>O37-O41</f>
        <v>211713.25731445357</v>
      </c>
      <c r="P46" s="307">
        <f t="shared" ref="P46:Z46" si="6">P37-P41</f>
        <v>213123.38584478962</v>
      </c>
      <c r="Q46" s="307">
        <f t="shared" si="6"/>
        <v>215175.16977698926</v>
      </c>
      <c r="R46" s="307">
        <f t="shared" si="6"/>
        <v>217412.64983462944</v>
      </c>
      <c r="S46" s="307">
        <f t="shared" si="6"/>
        <v>219201.39932370977</v>
      </c>
      <c r="T46" s="307">
        <f t="shared" si="6"/>
        <v>221106.46485076618</v>
      </c>
      <c r="U46" s="307">
        <f t="shared" si="6"/>
        <v>223188.52351288422</v>
      </c>
      <c r="V46" s="307">
        <f t="shared" si="6"/>
        <v>224970.40202582159</v>
      </c>
      <c r="W46" s="307">
        <f t="shared" si="6"/>
        <v>225629.74389796681</v>
      </c>
      <c r="X46" s="307">
        <f t="shared" si="6"/>
        <v>225892.75652092387</v>
      </c>
      <c r="Y46" s="307">
        <f t="shared" si="6"/>
        <v>225791.08168788769</v>
      </c>
      <c r="Z46" s="307">
        <f t="shared" si="6"/>
        <v>225482.01034404692</v>
      </c>
    </row>
    <row r="49" spans="2:26" ht="15.75">
      <c r="B49" s="78" t="s">
        <v>1492</v>
      </c>
    </row>
    <row r="51" spans="2:26">
      <c r="B51" s="150" t="s">
        <v>1493</v>
      </c>
    </row>
    <row r="53" spans="2:26" ht="15.75">
      <c r="B53" s="78" t="s">
        <v>1494</v>
      </c>
      <c r="Q53" s="309"/>
    </row>
    <row r="55" spans="2:26">
      <c r="B55" s="8" t="str">
        <f t="shared" ref="B55:Z55" si="7">B45</f>
        <v>Academic year</v>
      </c>
      <c r="C55" s="8" t="str">
        <f t="shared" si="7"/>
        <v>2004/05</v>
      </c>
      <c r="D55" s="8" t="str">
        <f t="shared" si="7"/>
        <v>2005/06</v>
      </c>
      <c r="E55" s="8" t="str">
        <f t="shared" si="7"/>
        <v>2006/07</v>
      </c>
      <c r="F55" s="8" t="str">
        <f t="shared" si="7"/>
        <v>2007/08</v>
      </c>
      <c r="G55" s="8" t="str">
        <f t="shared" si="7"/>
        <v>2008/09</v>
      </c>
      <c r="H55" s="8" t="str">
        <f t="shared" si="7"/>
        <v>2009/10</v>
      </c>
      <c r="I55" s="8" t="str">
        <f t="shared" si="7"/>
        <v>2010/11</v>
      </c>
      <c r="J55" s="8" t="str">
        <f t="shared" si="7"/>
        <v>2011/12</v>
      </c>
      <c r="K55" s="8" t="str">
        <f t="shared" si="7"/>
        <v>2012/13</v>
      </c>
      <c r="L55" s="8" t="str">
        <f t="shared" si="7"/>
        <v>2013/14</v>
      </c>
      <c r="M55" s="8" t="str">
        <f t="shared" si="7"/>
        <v>2014/15</v>
      </c>
      <c r="N55" s="8" t="str">
        <f t="shared" si="7"/>
        <v>2015/16</v>
      </c>
      <c r="O55" s="8" t="str">
        <f t="shared" si="7"/>
        <v>2016/17</v>
      </c>
      <c r="P55" s="8" t="str">
        <f t="shared" si="7"/>
        <v>2017/18</v>
      </c>
      <c r="Q55" s="8" t="str">
        <f t="shared" si="7"/>
        <v>2018/19</v>
      </c>
      <c r="R55" s="8" t="str">
        <f t="shared" si="7"/>
        <v>2019/20</v>
      </c>
      <c r="S55" s="8" t="str">
        <f t="shared" si="7"/>
        <v>2020/21</v>
      </c>
      <c r="T55" s="8" t="str">
        <f t="shared" si="7"/>
        <v>2021/22</v>
      </c>
      <c r="U55" s="8" t="str">
        <f t="shared" si="7"/>
        <v>2022/23</v>
      </c>
      <c r="V55" s="8" t="str">
        <f t="shared" si="7"/>
        <v>2023/24</v>
      </c>
      <c r="W55" s="8" t="str">
        <f t="shared" si="7"/>
        <v>2024/25</v>
      </c>
      <c r="X55" s="8" t="str">
        <f t="shared" si="7"/>
        <v>2025/26</v>
      </c>
      <c r="Y55" s="8" t="str">
        <f t="shared" si="7"/>
        <v>2026/27</v>
      </c>
      <c r="Z55" s="8" t="str">
        <f t="shared" si="7"/>
        <v>2027/28</v>
      </c>
    </row>
    <row r="56" spans="2:26" s="329" customFormat="1">
      <c r="B56" s="322" t="str">
        <f>B46</f>
        <v>All teachers required FTE</v>
      </c>
      <c r="C56" s="323"/>
      <c r="D56" s="323"/>
      <c r="E56" s="323"/>
      <c r="F56" s="323"/>
      <c r="G56" s="323"/>
      <c r="H56" s="323"/>
      <c r="I56" s="323"/>
      <c r="J56" s="323"/>
      <c r="K56" s="323"/>
      <c r="L56" s="323"/>
      <c r="M56" s="323"/>
      <c r="N56" s="323"/>
      <c r="O56" s="324">
        <f t="shared" ref="O56:Z56" si="8">O46</f>
        <v>211713.25731445357</v>
      </c>
      <c r="P56" s="324">
        <f t="shared" si="8"/>
        <v>213123.38584478962</v>
      </c>
      <c r="Q56" s="324">
        <f t="shared" si="8"/>
        <v>215175.16977698926</v>
      </c>
      <c r="R56" s="324">
        <f t="shared" si="8"/>
        <v>217412.64983462944</v>
      </c>
      <c r="S56" s="324">
        <f t="shared" si="8"/>
        <v>219201.39932370977</v>
      </c>
      <c r="T56" s="324">
        <f t="shared" si="8"/>
        <v>221106.46485076618</v>
      </c>
      <c r="U56" s="324">
        <f t="shared" si="8"/>
        <v>223188.52351288422</v>
      </c>
      <c r="V56" s="324">
        <f t="shared" si="8"/>
        <v>224970.40202582159</v>
      </c>
      <c r="W56" s="324">
        <f t="shared" si="8"/>
        <v>225629.74389796681</v>
      </c>
      <c r="X56" s="324">
        <f t="shared" si="8"/>
        <v>225892.75652092387</v>
      </c>
      <c r="Y56" s="324">
        <f t="shared" si="8"/>
        <v>225791.08168788769</v>
      </c>
      <c r="Z56" s="324">
        <f t="shared" si="8"/>
        <v>225482.01034404692</v>
      </c>
    </row>
    <row r="57" spans="2:26">
      <c r="B57" s="119" t="s">
        <v>371</v>
      </c>
      <c r="P57" s="243">
        <f>(P56/O56)-1</f>
        <v>6.6605584752852387E-3</v>
      </c>
      <c r="Q57" s="243">
        <f t="shared" ref="Q57:X57" si="9">(Q56/P56)-1</f>
        <v>9.6272115988897955E-3</v>
      </c>
      <c r="R57" s="243">
        <f t="shared" si="9"/>
        <v>1.0398411954126274E-2</v>
      </c>
      <c r="S57" s="243">
        <f t="shared" si="9"/>
        <v>8.2274398037138763E-3</v>
      </c>
      <c r="T57" s="243">
        <f t="shared" si="9"/>
        <v>8.6909368869632075E-3</v>
      </c>
      <c r="U57" s="243">
        <f t="shared" si="9"/>
        <v>9.4165435801405462E-3</v>
      </c>
      <c r="V57" s="243">
        <f t="shared" si="9"/>
        <v>7.9837371782895961E-3</v>
      </c>
      <c r="W57" s="243">
        <f t="shared" si="9"/>
        <v>2.9307938564715474E-3</v>
      </c>
      <c r="X57" s="243">
        <f t="shared" si="9"/>
        <v>1.1656824069967708E-3</v>
      </c>
      <c r="Y57" s="243">
        <f>(Y56/X56)-1</f>
        <v>-4.5010222816399548E-4</v>
      </c>
      <c r="Z57" s="243">
        <f>(Z56/Y56)-1</f>
        <v>-1.3688376951398462E-3</v>
      </c>
    </row>
    <row r="66" spans="2:18">
      <c r="B66" s="402" t="s">
        <v>419</v>
      </c>
    </row>
    <row r="68" spans="2:18">
      <c r="B68" s="12" t="s">
        <v>420</v>
      </c>
      <c r="C68" s="403">
        <f>Q12</f>
        <v>16</v>
      </c>
      <c r="F68" s="406">
        <f>N34</f>
        <v>14.376115391672679</v>
      </c>
      <c r="G68" s="406">
        <f t="shared" ref="G68:R68" si="10">O34</f>
        <v>14.462998259445644</v>
      </c>
      <c r="H68" s="406">
        <f t="shared" si="10"/>
        <v>14.608953947490665</v>
      </c>
      <c r="I68" s="406">
        <f t="shared" si="10"/>
        <v>14.823010333003189</v>
      </c>
      <c r="J68" s="406">
        <f t="shared" si="10"/>
        <v>15.057877350775287</v>
      </c>
      <c r="K68" s="406">
        <f t="shared" si="10"/>
        <v>15.246031054899905</v>
      </c>
      <c r="L68" s="406">
        <f t="shared" si="10"/>
        <v>15.447409749702491</v>
      </c>
      <c r="M68" s="406">
        <f t="shared" si="10"/>
        <v>15.668727634627725</v>
      </c>
      <c r="N68" s="406">
        <f t="shared" si="10"/>
        <v>15.85864450927671</v>
      </c>
      <c r="O68" s="406">
        <f t="shared" si="10"/>
        <v>15.928669981461855</v>
      </c>
      <c r="P68" s="406">
        <f t="shared" si="10"/>
        <v>15.956570421586527</v>
      </c>
      <c r="Q68" s="406">
        <f t="shared" si="10"/>
        <v>15.945804558344161</v>
      </c>
      <c r="R68" s="406">
        <f t="shared" si="10"/>
        <v>15.913130818376334</v>
      </c>
    </row>
    <row r="69" spans="2:18">
      <c r="F69" s="117" t="b">
        <f>F68=$C$68</f>
        <v>0</v>
      </c>
      <c r="G69" s="117" t="b">
        <f t="shared" ref="G69:R69" si="11">G68=$C$68</f>
        <v>0</v>
      </c>
      <c r="H69" s="117" t="b">
        <f t="shared" si="11"/>
        <v>0</v>
      </c>
      <c r="I69" s="117" t="b">
        <f t="shared" si="11"/>
        <v>0</v>
      </c>
      <c r="J69" s="117" t="b">
        <f t="shared" si="11"/>
        <v>0</v>
      </c>
      <c r="K69" s="117" t="b">
        <f t="shared" si="11"/>
        <v>0</v>
      </c>
      <c r="L69" s="117" t="b">
        <f t="shared" si="11"/>
        <v>0</v>
      </c>
      <c r="M69" s="117" t="b">
        <f t="shared" si="11"/>
        <v>0</v>
      </c>
      <c r="N69" s="117" t="b">
        <f t="shared" si="11"/>
        <v>0</v>
      </c>
      <c r="O69" s="117" t="b">
        <f t="shared" si="11"/>
        <v>0</v>
      </c>
      <c r="P69" s="117" t="b">
        <f t="shared" si="11"/>
        <v>0</v>
      </c>
      <c r="Q69" s="117" t="b">
        <f t="shared" si="11"/>
        <v>0</v>
      </c>
      <c r="R69" s="117" t="b">
        <f t="shared" si="11"/>
        <v>0</v>
      </c>
    </row>
  </sheetData>
  <hyperlinks>
    <hyperlink ref="A2" location="'Title_&amp;_Contents'!A1" display="Contents"/>
    <hyperlink ref="B2" location="Map_of_sheets!A1" display="Map of sheets"/>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0000"/>
  </sheetPr>
  <dimension ref="A1:AG973"/>
  <sheetViews>
    <sheetView showGridLines="0" zoomScaleNormal="100" workbookViewId="0"/>
  </sheetViews>
  <sheetFormatPr defaultRowHeight="12.75"/>
  <cols>
    <col min="1" max="1" width="11.7109375" customWidth="1"/>
    <col min="2" max="2" width="40.7109375" customWidth="1"/>
    <col min="3" max="28" width="19.7109375" customWidth="1"/>
    <col min="29" max="30" width="15.7109375" customWidth="1"/>
  </cols>
  <sheetData>
    <row r="1" spans="1:33" s="66" customFormat="1" ht="15">
      <c r="A1" s="65" t="str">
        <f>ModelBanner</f>
        <v>TSM_201718 for publication</v>
      </c>
    </row>
    <row r="2" spans="1:33" s="66" customFormat="1" ht="15">
      <c r="A2" s="1003" t="s">
        <v>13</v>
      </c>
      <c r="B2" s="1003" t="s">
        <v>30</v>
      </c>
    </row>
    <row r="3" spans="1:33" s="66" customFormat="1" ht="15">
      <c r="A3" s="67"/>
    </row>
    <row r="4" spans="1:33" s="57" customFormat="1">
      <c r="A4" s="58" t="s">
        <v>26</v>
      </c>
      <c r="B4" s="58"/>
      <c r="C4" s="58"/>
      <c r="D4" s="58"/>
      <c r="E4" s="292"/>
      <c r="F4" s="58"/>
    </row>
    <row r="5" spans="1:33" s="47" customFormat="1">
      <c r="A5" s="60" t="s">
        <v>1499</v>
      </c>
      <c r="B5" s="60"/>
      <c r="C5" s="60"/>
      <c r="D5" s="60"/>
      <c r="E5" s="60"/>
      <c r="F5" s="60"/>
      <c r="G5" s="59"/>
      <c r="H5" s="59"/>
      <c r="I5" s="59"/>
      <c r="J5" s="59"/>
      <c r="K5" s="59"/>
      <c r="L5" s="59"/>
      <c r="M5" s="59"/>
      <c r="N5" s="59"/>
      <c r="O5" s="59"/>
      <c r="P5" s="59"/>
      <c r="Q5" s="59"/>
    </row>
    <row r="6" spans="1:33" s="46" customFormat="1">
      <c r="A6" s="56" t="s">
        <v>1420</v>
      </c>
      <c r="B6" s="61"/>
      <c r="C6" s="61"/>
      <c r="D6" s="61"/>
      <c r="E6" s="292"/>
      <c r="F6" s="61"/>
      <c r="G6" s="45"/>
      <c r="H6" s="45"/>
      <c r="I6" s="45"/>
      <c r="J6" s="45"/>
      <c r="K6" s="45"/>
      <c r="L6" s="45"/>
      <c r="M6" s="45"/>
      <c r="N6" s="45"/>
      <c r="O6" s="45"/>
      <c r="P6" s="45"/>
      <c r="Q6" s="45"/>
    </row>
    <row r="7" spans="1:33" s="46" customFormat="1">
      <c r="A7" s="54" t="s">
        <v>1500</v>
      </c>
      <c r="B7" s="56"/>
      <c r="C7" s="61"/>
      <c r="D7" s="61"/>
      <c r="E7" s="292"/>
      <c r="F7" s="61"/>
      <c r="G7" s="45"/>
      <c r="H7" s="45"/>
      <c r="I7" s="45"/>
      <c r="J7" s="45"/>
      <c r="K7" s="45"/>
      <c r="L7" s="45"/>
      <c r="M7" s="45"/>
      <c r="N7" s="45"/>
      <c r="O7" s="45"/>
      <c r="P7" s="45"/>
      <c r="Q7" s="45"/>
    </row>
    <row r="8" spans="1:33" s="46" customFormat="1">
      <c r="A8" s="56" t="s">
        <v>24</v>
      </c>
      <c r="B8" s="61"/>
      <c r="C8" s="61"/>
      <c r="D8" s="61"/>
      <c r="E8" s="292"/>
      <c r="F8" s="61"/>
      <c r="G8" s="45"/>
      <c r="H8" s="45"/>
      <c r="I8" s="45"/>
      <c r="J8" s="45"/>
      <c r="K8" s="45"/>
      <c r="L8" s="45"/>
      <c r="M8" s="45"/>
      <c r="N8" s="45"/>
      <c r="O8" s="45"/>
      <c r="P8" s="45"/>
      <c r="Q8" s="45"/>
    </row>
    <row r="9" spans="1:33" s="46" customFormat="1">
      <c r="A9" s="54" t="s">
        <v>1479</v>
      </c>
      <c r="B9" s="61"/>
      <c r="C9" s="61"/>
      <c r="D9" s="61"/>
      <c r="E9" s="292"/>
      <c r="F9" s="61"/>
      <c r="G9" s="45"/>
      <c r="H9" s="45"/>
      <c r="I9" s="45"/>
      <c r="J9" s="45"/>
      <c r="K9" s="45"/>
      <c r="L9" s="45"/>
      <c r="M9" s="45"/>
      <c r="N9" s="45"/>
      <c r="O9" s="45"/>
      <c r="P9" s="45"/>
      <c r="Q9" s="45"/>
    </row>
    <row r="10" spans="1:33" s="50" customFormat="1" ht="13.5" customHeight="1">
      <c r="A10" s="274">
        <f>SUM(A13:A2545)</f>
        <v>0</v>
      </c>
      <c r="B10" s="73"/>
      <c r="C10" s="71"/>
      <c r="D10" s="48"/>
      <c r="E10" s="48"/>
      <c r="F10" s="48"/>
      <c r="G10" s="72"/>
      <c r="H10" s="48"/>
      <c r="I10" s="48"/>
      <c r="J10" s="72"/>
      <c r="K10" s="49"/>
      <c r="L10" s="49"/>
      <c r="M10" s="49"/>
      <c r="N10" s="49"/>
      <c r="O10" s="49"/>
      <c r="P10" s="49"/>
      <c r="Q10" s="49"/>
    </row>
    <row r="12" spans="1:33" ht="15.75">
      <c r="B12" s="78" t="s">
        <v>1501</v>
      </c>
      <c r="D12" s="150" t="s">
        <v>399</v>
      </c>
    </row>
    <row r="14" spans="1:33">
      <c r="B14" s="77" t="str">
        <f>Calc_overall_Sec_teacher_need!B55</f>
        <v>Academic year</v>
      </c>
      <c r="C14" s="77" t="str">
        <f>Calc_overall_Sec_teacher_need!C55</f>
        <v>2004/05</v>
      </c>
      <c r="D14" s="77" t="str">
        <f>Calc_overall_Sec_teacher_need!D55</f>
        <v>2005/06</v>
      </c>
      <c r="E14" s="77" t="str">
        <f>Calc_overall_Sec_teacher_need!F55</f>
        <v>2007/08</v>
      </c>
      <c r="F14" s="77" t="str">
        <f>Calc_overall_Sec_teacher_need!G55</f>
        <v>2008/09</v>
      </c>
      <c r="G14" s="77" t="str">
        <f>Calc_overall_Sec_teacher_need!H55</f>
        <v>2009/10</v>
      </c>
      <c r="H14" s="77" t="str">
        <f>Calc_overall_Sec_teacher_need!I55</f>
        <v>2010/11</v>
      </c>
      <c r="I14" s="77" t="str">
        <f>Calc_overall_Sec_teacher_need!J55</f>
        <v>2011/12</v>
      </c>
      <c r="J14" s="77" t="str">
        <f>Calc_overall_Sec_teacher_need!K55</f>
        <v>2012/13</v>
      </c>
      <c r="K14" s="77" t="str">
        <f>Calc_overall_Sec_teacher_need!L55</f>
        <v>2013/14</v>
      </c>
      <c r="L14" s="77" t="str">
        <f>Calc_overall_Sec_teacher_need!M55</f>
        <v>2014/15</v>
      </c>
      <c r="M14" s="77" t="str">
        <f>Calc_overall_Sec_teacher_need!N55</f>
        <v>2015/16</v>
      </c>
      <c r="N14" s="77" t="str">
        <f>Calc_overall_Sec_teacher_need!O55</f>
        <v>2016/17</v>
      </c>
      <c r="O14" s="77" t="str">
        <f>Calc_overall_Sec_teacher_need!P55</f>
        <v>2017/18</v>
      </c>
      <c r="P14" s="77" t="str">
        <f>Calc_overall_Sec_teacher_need!Q55</f>
        <v>2018/19</v>
      </c>
      <c r="Q14" s="77" t="str">
        <f>Calc_overall_Sec_teacher_need!R55</f>
        <v>2019/20</v>
      </c>
      <c r="R14" s="77" t="str">
        <f>Calc_overall_Sec_teacher_need!S55</f>
        <v>2020/21</v>
      </c>
      <c r="S14" s="77" t="str">
        <f>Calc_overall_Sec_teacher_need!T55</f>
        <v>2021/22</v>
      </c>
      <c r="T14" s="77" t="str">
        <f>Calc_overall_Sec_teacher_need!U55</f>
        <v>2022/23</v>
      </c>
      <c r="U14" s="77" t="str">
        <f>Calc_overall_Sec_teacher_need!V55</f>
        <v>2023/24</v>
      </c>
      <c r="V14" s="77" t="str">
        <f>Calc_overall_Sec_teacher_need!W55</f>
        <v>2024/25</v>
      </c>
      <c r="W14" s="77" t="str">
        <f>Calc_overall_Sec_teacher_need!X55</f>
        <v>2025/26</v>
      </c>
      <c r="X14" s="77" t="str">
        <f>Calc_overall_Sec_teacher_need!Y55</f>
        <v>2026/27</v>
      </c>
      <c r="Y14" s="77" t="str">
        <f>Calc_overall_Sec_teacher_need!Z55</f>
        <v>2027/28</v>
      </c>
      <c r="Z14" s="12"/>
      <c r="AA14" s="12"/>
      <c r="AB14" s="12"/>
      <c r="AC14" s="12"/>
      <c r="AD14" s="12"/>
      <c r="AE14" s="12"/>
      <c r="AF14" s="12"/>
      <c r="AG14" s="12"/>
    </row>
    <row r="15" spans="1:33">
      <c r="B15" s="77" t="str">
        <f>Calc_overall_Sec_teacher_need!B56</f>
        <v>All teachers required FTE</v>
      </c>
      <c r="C15" s="77"/>
      <c r="D15" s="77"/>
      <c r="E15" s="77"/>
      <c r="F15" s="77"/>
      <c r="G15" s="77"/>
      <c r="H15" s="77"/>
      <c r="I15" s="77"/>
      <c r="J15" s="77"/>
      <c r="K15" s="77"/>
      <c r="L15" s="77"/>
      <c r="M15" s="390"/>
      <c r="N15" s="332">
        <f>Calc_overall_Sec_teacher_need!O56</f>
        <v>211713.25731445357</v>
      </c>
      <c r="O15" s="332">
        <f>Calc_overall_Sec_teacher_need!P56</f>
        <v>213123.38584478962</v>
      </c>
      <c r="P15" s="332">
        <f>Calc_overall_Sec_teacher_need!Q56</f>
        <v>215175.16977698926</v>
      </c>
      <c r="Q15" s="332">
        <f>Calc_overall_Sec_teacher_need!R56</f>
        <v>217412.64983462944</v>
      </c>
      <c r="R15" s="332">
        <f>Calc_overall_Sec_teacher_need!S56</f>
        <v>219201.39932370977</v>
      </c>
      <c r="S15" s="332">
        <f>Calc_overall_Sec_teacher_need!T56</f>
        <v>221106.46485076618</v>
      </c>
      <c r="T15" s="332">
        <f>Calc_overall_Sec_teacher_need!U56</f>
        <v>223188.52351288422</v>
      </c>
      <c r="U15" s="332">
        <f>Calc_overall_Sec_teacher_need!V56</f>
        <v>224970.40202582159</v>
      </c>
      <c r="V15" s="332">
        <f>Calc_overall_Sec_teacher_need!W56</f>
        <v>225629.74389796681</v>
      </c>
      <c r="W15" s="332">
        <f>Calc_overall_Sec_teacher_need!X56</f>
        <v>225892.75652092387</v>
      </c>
      <c r="X15" s="332">
        <f>Calc_overall_Sec_teacher_need!Y56</f>
        <v>225791.08168788769</v>
      </c>
      <c r="Y15" s="332">
        <f>Calc_overall_Sec_teacher_need!Z56</f>
        <v>225482.01034404692</v>
      </c>
      <c r="Z15" s="12"/>
      <c r="AA15" s="12"/>
      <c r="AB15" s="12"/>
      <c r="AC15" s="12"/>
      <c r="AD15" s="12"/>
      <c r="AE15" s="12"/>
      <c r="AF15" s="12"/>
      <c r="AG15" s="12"/>
    </row>
    <row r="16" spans="1:33">
      <c r="C16" s="12"/>
    </row>
    <row r="17" spans="2:9" ht="15.75">
      <c r="B17" s="78" t="s">
        <v>1590</v>
      </c>
    </row>
    <row r="19" spans="2:9">
      <c r="B19" s="1183" t="s">
        <v>62</v>
      </c>
      <c r="C19" s="1140" t="s">
        <v>87</v>
      </c>
      <c r="D19" s="1140"/>
      <c r="E19" s="1140"/>
    </row>
    <row r="20" spans="2:9">
      <c r="B20" s="1184"/>
      <c r="C20" s="141" t="s">
        <v>78</v>
      </c>
      <c r="D20" s="8" t="s">
        <v>79</v>
      </c>
      <c r="E20" s="8" t="s">
        <v>80</v>
      </c>
    </row>
    <row r="21" spans="2:9" s="5" customFormat="1">
      <c r="B21" s="330" t="str">
        <f>RAW_DATA_INPUTS!B80</f>
        <v>Art &amp; Design</v>
      </c>
      <c r="C21" s="331">
        <f>RAW_DATA_INPUTS!C80</f>
        <v>70648.808999999994</v>
      </c>
      <c r="D21" s="331">
        <f>RAW_DATA_INPUTS!D80</f>
        <v>41536.894</v>
      </c>
      <c r="E21" s="331">
        <f>RAW_DATA_INPUTS!E80</f>
        <v>29387.418000000001</v>
      </c>
      <c r="G21" s="531"/>
      <c r="H21" s="531"/>
      <c r="I21" s="531"/>
    </row>
    <row r="22" spans="2:9" s="5" customFormat="1">
      <c r="B22" s="330" t="str">
        <f>RAW_DATA_INPUTS!B81</f>
        <v>Biology</v>
      </c>
      <c r="C22" s="331">
        <f>RAW_DATA_INPUTS!C81</f>
        <v>79751.357000000004</v>
      </c>
      <c r="D22" s="331">
        <f>RAW_DATA_INPUTS!D81</f>
        <v>83363.073000000004</v>
      </c>
      <c r="E22" s="331">
        <f>RAW_DATA_INPUTS!E81</f>
        <v>39348.082000000002</v>
      </c>
      <c r="G22" s="531"/>
      <c r="H22" s="531"/>
      <c r="I22" s="531"/>
    </row>
    <row r="23" spans="2:9" s="5" customFormat="1">
      <c r="B23" s="330" t="str">
        <f>RAW_DATA_INPUTS!B82</f>
        <v>Business Studies</v>
      </c>
      <c r="C23" s="331">
        <f>RAW_DATA_INPUTS!C82</f>
        <v>4718.3419999999996</v>
      </c>
      <c r="D23" s="331">
        <f>RAW_DATA_INPUTS!D82</f>
        <v>30396.507000000001</v>
      </c>
      <c r="E23" s="331">
        <f>RAW_DATA_INPUTS!E82</f>
        <v>37893.985999999997</v>
      </c>
      <c r="G23" s="531"/>
      <c r="H23" s="531"/>
      <c r="I23" s="531"/>
    </row>
    <row r="24" spans="2:9" s="5" customFormat="1">
      <c r="B24" s="330" t="str">
        <f>RAW_DATA_INPUTS!B83</f>
        <v>Chemistry</v>
      </c>
      <c r="C24" s="331">
        <f>RAW_DATA_INPUTS!C83</f>
        <v>66687.88</v>
      </c>
      <c r="D24" s="331">
        <f>RAW_DATA_INPUTS!D83</f>
        <v>77069.387000000002</v>
      </c>
      <c r="E24" s="331">
        <f>RAW_DATA_INPUTS!E83</f>
        <v>32799.608</v>
      </c>
      <c r="G24" s="531"/>
      <c r="H24" s="531"/>
      <c r="I24" s="531"/>
    </row>
    <row r="25" spans="2:9" s="5" customFormat="1">
      <c r="B25" s="330" t="str">
        <f>RAW_DATA_INPUTS!B84</f>
        <v>Classics</v>
      </c>
      <c r="C25" s="331">
        <f>RAW_DATA_INPUTS!C84</f>
        <v>1867.3869999999999</v>
      </c>
      <c r="D25" s="331">
        <f>RAW_DATA_INPUTS!D84</f>
        <v>1533.5419999999999</v>
      </c>
      <c r="E25" s="331">
        <f>RAW_DATA_INPUTS!E84</f>
        <v>2152.3780000000002</v>
      </c>
      <c r="G25" s="531"/>
      <c r="H25" s="531"/>
      <c r="I25" s="531"/>
    </row>
    <row r="26" spans="2:9" s="5" customFormat="1">
      <c r="B26" s="330" t="str">
        <f>RAW_DATA_INPUTS!B85</f>
        <v>Computing</v>
      </c>
      <c r="C26" s="331">
        <f>RAW_DATA_INPUTS!C85</f>
        <v>57033.567999999999</v>
      </c>
      <c r="D26" s="331">
        <f>RAW_DATA_INPUTS!D85</f>
        <v>45213.525000000001</v>
      </c>
      <c r="E26" s="331">
        <f>RAW_DATA_INPUTS!E85</f>
        <v>25505.008000000002</v>
      </c>
      <c r="G26" s="531"/>
      <c r="H26" s="531"/>
      <c r="I26" s="531"/>
    </row>
    <row r="27" spans="2:9" s="5" customFormat="1">
      <c r="B27" s="330" t="str">
        <f>RAW_DATA_INPUTS!B86</f>
        <v>Design &amp; Technology</v>
      </c>
      <c r="C27" s="331">
        <f>RAW_DATA_INPUTS!C86</f>
        <v>107155.857</v>
      </c>
      <c r="D27" s="331">
        <f>RAW_DATA_INPUTS!D86</f>
        <v>49497</v>
      </c>
      <c r="E27" s="331">
        <f>RAW_DATA_INPUTS!E86</f>
        <v>21550.714</v>
      </c>
      <c r="G27" s="531"/>
      <c r="H27" s="531"/>
      <c r="I27" s="531"/>
    </row>
    <row r="28" spans="2:9" s="5" customFormat="1">
      <c r="B28" s="330" t="str">
        <f>RAW_DATA_INPUTS!B87</f>
        <v>Drama</v>
      </c>
      <c r="C28" s="331">
        <f>RAW_DATA_INPUTS!C87</f>
        <v>47869.883000000002</v>
      </c>
      <c r="D28" s="331">
        <f>RAW_DATA_INPUTS!D87</f>
        <v>23481.306</v>
      </c>
      <c r="E28" s="331">
        <f>RAW_DATA_INPUTS!E87</f>
        <v>15168.009</v>
      </c>
      <c r="G28" s="531"/>
      <c r="H28" s="531"/>
      <c r="I28" s="531"/>
    </row>
    <row r="29" spans="2:9" s="5" customFormat="1">
      <c r="B29" s="330" t="str">
        <f>RAW_DATA_INPUTS!B88</f>
        <v>English</v>
      </c>
      <c r="C29" s="331">
        <f>RAW_DATA_INPUTS!C88</f>
        <v>249638.397</v>
      </c>
      <c r="D29" s="331">
        <f>RAW_DATA_INPUTS!D88</f>
        <v>207402.302</v>
      </c>
      <c r="E29" s="331">
        <f>RAW_DATA_INPUTS!E88</f>
        <v>52423.813999999998</v>
      </c>
      <c r="G29" s="531"/>
      <c r="H29" s="531"/>
      <c r="I29" s="531"/>
    </row>
    <row r="30" spans="2:9" s="5" customFormat="1">
      <c r="B30" s="330" t="str">
        <f>RAW_DATA_INPUTS!B89</f>
        <v>Food</v>
      </c>
      <c r="C30" s="331">
        <f>RAW_DATA_INPUTS!C89</f>
        <v>14155.37</v>
      </c>
      <c r="D30" s="331">
        <f>RAW_DATA_INPUTS!D89</f>
        <v>19737.098000000002</v>
      </c>
      <c r="E30" s="331">
        <f>RAW_DATA_INPUTS!E89</f>
        <v>3344.0309999999999</v>
      </c>
      <c r="G30" s="531"/>
      <c r="H30" s="531"/>
      <c r="I30" s="531"/>
    </row>
    <row r="31" spans="2:9" s="5" customFormat="1">
      <c r="B31" s="330" t="str">
        <f>RAW_DATA_INPUTS!B90</f>
        <v>Geography</v>
      </c>
      <c r="C31" s="331">
        <f>RAW_DATA_INPUTS!C90</f>
        <v>96085.642000000007</v>
      </c>
      <c r="D31" s="331">
        <f>RAW_DATA_INPUTS!D90</f>
        <v>55348.328000000001</v>
      </c>
      <c r="E31" s="331">
        <f>RAW_DATA_INPUTS!E90</f>
        <v>23733.224999999999</v>
      </c>
      <c r="G31" s="531"/>
      <c r="H31" s="531"/>
      <c r="I31" s="531"/>
    </row>
    <row r="32" spans="2:9" s="5" customFormat="1">
      <c r="B32" s="330" t="str">
        <f>RAW_DATA_INPUTS!B91</f>
        <v>History</v>
      </c>
      <c r="C32" s="331">
        <f>RAW_DATA_INPUTS!C91</f>
        <v>98393.145999999993</v>
      </c>
      <c r="D32" s="331">
        <f>RAW_DATA_INPUTS!D91</f>
        <v>59577.038999999997</v>
      </c>
      <c r="E32" s="331">
        <f>RAW_DATA_INPUTS!E91</f>
        <v>30449.096000000001</v>
      </c>
      <c r="G32" s="531"/>
      <c r="H32" s="531"/>
      <c r="I32" s="531"/>
    </row>
    <row r="33" spans="2:9" s="5" customFormat="1">
      <c r="B33" s="330" t="str">
        <f>RAW_DATA_INPUTS!B92</f>
        <v>Mathematics</v>
      </c>
      <c r="C33" s="331">
        <f>RAW_DATA_INPUTS!C92</f>
        <v>243965.386</v>
      </c>
      <c r="D33" s="331">
        <f>RAW_DATA_INPUTS!D92</f>
        <v>199336.14</v>
      </c>
      <c r="E33" s="331">
        <f>RAW_DATA_INPUTS!E92</f>
        <v>65601.789999999994</v>
      </c>
      <c r="G33" s="531"/>
      <c r="H33" s="531"/>
      <c r="I33" s="531"/>
    </row>
    <row r="34" spans="2:9" s="5" customFormat="1">
      <c r="B34" s="330" t="str">
        <f>RAW_DATA_INPUTS!B93</f>
        <v>Modern Foreign Languages</v>
      </c>
      <c r="C34" s="331">
        <f>RAW_DATA_INPUTS!C93</f>
        <v>147900.122</v>
      </c>
      <c r="D34" s="331">
        <f>RAW_DATA_INPUTS!D93</f>
        <v>75153.792000000001</v>
      </c>
      <c r="E34" s="331">
        <f>RAW_DATA_INPUTS!E93</f>
        <v>26218.452000000001</v>
      </c>
      <c r="G34" s="531"/>
      <c r="H34" s="531"/>
      <c r="I34" s="531"/>
    </row>
    <row r="35" spans="2:9" s="5" customFormat="1">
      <c r="B35" s="330" t="str">
        <f>RAW_DATA_INPUTS!B94</f>
        <v>Music</v>
      </c>
      <c r="C35" s="331">
        <f>RAW_DATA_INPUTS!C94</f>
        <v>55850.633000000002</v>
      </c>
      <c r="D35" s="331">
        <f>RAW_DATA_INPUTS!D94</f>
        <v>18579.723000000002</v>
      </c>
      <c r="E35" s="331">
        <f>RAW_DATA_INPUTS!E94</f>
        <v>12574.789000000001</v>
      </c>
      <c r="G35" s="531"/>
      <c r="H35" s="531"/>
      <c r="I35" s="531"/>
    </row>
    <row r="36" spans="2:9" s="5" customFormat="1">
      <c r="B36" s="330" t="str">
        <f>RAW_DATA_INPUTS!B95</f>
        <v>Others</v>
      </c>
      <c r="C36" s="331">
        <f>RAW_DATA_INPUTS!C95</f>
        <v>58971.631999999998</v>
      </c>
      <c r="D36" s="331">
        <f>RAW_DATA_INPUTS!D95</f>
        <v>74598.426000000007</v>
      </c>
      <c r="E36" s="331">
        <f>RAW_DATA_INPUTS!E95</f>
        <v>133379.397</v>
      </c>
      <c r="G36" s="531"/>
      <c r="H36" s="531"/>
      <c r="I36" s="531"/>
    </row>
    <row r="37" spans="2:9" s="5" customFormat="1">
      <c r="B37" s="330" t="str">
        <f>RAW_DATA_INPUTS!B96</f>
        <v>Physical Education</v>
      </c>
      <c r="C37" s="331">
        <f>RAW_DATA_INPUTS!C96</f>
        <v>141578.06400000001</v>
      </c>
      <c r="D37" s="331">
        <f>RAW_DATA_INPUTS!D96</f>
        <v>110276.962</v>
      </c>
      <c r="E37" s="331">
        <f>RAW_DATA_INPUTS!E96</f>
        <v>31817.552</v>
      </c>
      <c r="G37" s="531"/>
      <c r="H37" s="531"/>
      <c r="I37" s="531"/>
    </row>
    <row r="38" spans="2:9" s="5" customFormat="1">
      <c r="B38" s="330" t="str">
        <f>RAW_DATA_INPUTS!B97</f>
        <v>Physics</v>
      </c>
      <c r="C38" s="331">
        <f>RAW_DATA_INPUTS!C97</f>
        <v>64655.423999999999</v>
      </c>
      <c r="D38" s="331">
        <f>RAW_DATA_INPUTS!D97</f>
        <v>77173.383000000002</v>
      </c>
      <c r="E38" s="331">
        <f>RAW_DATA_INPUTS!E97</f>
        <v>27005.766</v>
      </c>
      <c r="G38" s="531"/>
      <c r="H38" s="531"/>
      <c r="I38" s="531"/>
    </row>
    <row r="39" spans="2:9" s="5" customFormat="1">
      <c r="B39" s="330" t="str">
        <f>RAW_DATA_INPUTS!B98</f>
        <v>Religious Education</v>
      </c>
      <c r="C39" s="331">
        <f>RAW_DATA_INPUTS!C98</f>
        <v>61605.822999999997</v>
      </c>
      <c r="D39" s="331">
        <f>RAW_DATA_INPUTS!D98</f>
        <v>45806.561999999998</v>
      </c>
      <c r="E39" s="331">
        <f>RAW_DATA_INPUTS!E98</f>
        <v>17043.651000000002</v>
      </c>
      <c r="G39" s="531"/>
      <c r="H39" s="531"/>
      <c r="I39" s="531"/>
    </row>
    <row r="40" spans="2:9">
      <c r="B40" s="330" t="str">
        <f>RAW_DATA_INPUTS!B99</f>
        <v>Total</v>
      </c>
      <c r="C40" s="331">
        <f>RAW_DATA_INPUTS!C99</f>
        <v>1668532.7219999998</v>
      </c>
      <c r="D40" s="331">
        <f>RAW_DATA_INPUTS!D99</f>
        <v>1295080.9889999998</v>
      </c>
      <c r="E40" s="331">
        <f>RAW_DATA_INPUTS!E99</f>
        <v>627396.76599999995</v>
      </c>
      <c r="G40" s="531"/>
      <c r="H40" s="531"/>
      <c r="I40" s="531"/>
    </row>
    <row r="41" spans="2:9">
      <c r="C41" s="6"/>
    </row>
    <row r="42" spans="2:9" ht="15.75">
      <c r="B42" s="144" t="s">
        <v>1591</v>
      </c>
      <c r="C42" s="6"/>
    </row>
    <row r="43" spans="2:9">
      <c r="C43" s="6"/>
    </row>
    <row r="44" spans="2:9" ht="25.5">
      <c r="B44" s="1237" t="s">
        <v>1619</v>
      </c>
      <c r="C44" s="569" t="str">
        <f>Pupils_data_scenarios!B50</f>
        <v>Pupils FTE KS3 Central</v>
      </c>
      <c r="D44" s="331">
        <f>Pupils_data_scenarios!C50</f>
        <v>1630717</v>
      </c>
    </row>
    <row r="45" spans="2:9" ht="25.5">
      <c r="B45" s="1237"/>
      <c r="C45" s="569" t="str">
        <f>Pupils_data_scenarios!B51</f>
        <v>Pupils FTE KS4 Central</v>
      </c>
      <c r="D45" s="331">
        <f>Pupils_data_scenarios!C51</f>
        <v>1057483</v>
      </c>
    </row>
    <row r="46" spans="2:9" ht="25.5">
      <c r="C46" s="569" t="str">
        <f>Pupils_data_scenarios!B52</f>
        <v>Pupils FTE KS5 Central</v>
      </c>
      <c r="D46" s="331">
        <f>Pupils_data_scenarios!C52</f>
        <v>433788</v>
      </c>
    </row>
    <row r="47" spans="2:9">
      <c r="C47" s="6"/>
    </row>
    <row r="48" spans="2:9">
      <c r="B48" s="1183" t="s">
        <v>62</v>
      </c>
      <c r="C48" s="1140" t="s">
        <v>382</v>
      </c>
      <c r="D48" s="1140"/>
      <c r="E48" s="1140"/>
    </row>
    <row r="49" spans="2:5">
      <c r="B49" s="1184"/>
      <c r="C49" s="141" t="s">
        <v>78</v>
      </c>
      <c r="D49" s="8" t="s">
        <v>79</v>
      </c>
      <c r="E49" s="8" t="s">
        <v>80</v>
      </c>
    </row>
    <row r="50" spans="2:5">
      <c r="B50" s="195" t="str">
        <f t="shared" ref="B50:B69" si="0">B21</f>
        <v>Art &amp; Design</v>
      </c>
      <c r="C50" s="527">
        <f t="shared" ref="C50:C69" si="1">C21/$D$44</f>
        <v>4.3323770464157786E-2</v>
      </c>
      <c r="D50" s="527">
        <f t="shared" ref="D50:D69" si="2">D21/$D$45</f>
        <v>3.9279018196982839E-2</v>
      </c>
      <c r="E50" s="527">
        <f t="shared" ref="E50:E69" si="3">E21/$D$46</f>
        <v>6.7746037234778289E-2</v>
      </c>
    </row>
    <row r="51" spans="2:5">
      <c r="B51" s="195" t="str">
        <f t="shared" si="0"/>
        <v>Biology</v>
      </c>
      <c r="C51" s="527">
        <f t="shared" si="1"/>
        <v>4.8905700375969592E-2</v>
      </c>
      <c r="D51" s="527">
        <f t="shared" si="2"/>
        <v>7.883159634717532E-2</v>
      </c>
      <c r="E51" s="527">
        <f t="shared" si="3"/>
        <v>9.0708092432248019E-2</v>
      </c>
    </row>
    <row r="52" spans="2:5">
      <c r="B52" s="195" t="str">
        <f t="shared" si="0"/>
        <v>Business Studies</v>
      </c>
      <c r="C52" s="527">
        <f t="shared" si="1"/>
        <v>2.8934155957164851E-3</v>
      </c>
      <c r="D52" s="527">
        <f t="shared" si="2"/>
        <v>2.8744203925736869E-2</v>
      </c>
      <c r="E52" s="527">
        <f t="shared" si="3"/>
        <v>8.735600339336265E-2</v>
      </c>
    </row>
    <row r="53" spans="2:5">
      <c r="B53" s="195" t="str">
        <f t="shared" si="0"/>
        <v>Chemistry</v>
      </c>
      <c r="C53" s="527">
        <f t="shared" si="1"/>
        <v>4.0894821112430917E-2</v>
      </c>
      <c r="D53" s="527">
        <f t="shared" si="2"/>
        <v>7.2880024548858002E-2</v>
      </c>
      <c r="E53" s="527">
        <f t="shared" si="3"/>
        <v>7.5612068568056287E-2</v>
      </c>
    </row>
    <row r="54" spans="2:5">
      <c r="B54" s="195" t="str">
        <f t="shared" si="0"/>
        <v>Classics</v>
      </c>
      <c r="C54" s="527">
        <f t="shared" si="1"/>
        <v>1.1451324785355153E-3</v>
      </c>
      <c r="D54" s="527">
        <f t="shared" si="2"/>
        <v>1.4501812322278466E-3</v>
      </c>
      <c r="E54" s="527">
        <f t="shared" si="3"/>
        <v>4.9618200595682683E-3</v>
      </c>
    </row>
    <row r="55" spans="2:5">
      <c r="B55" s="195" t="str">
        <f t="shared" si="0"/>
        <v>Computing</v>
      </c>
      <c r="C55" s="527">
        <f t="shared" si="1"/>
        <v>3.4974534514572421E-2</v>
      </c>
      <c r="D55" s="527">
        <f t="shared" si="2"/>
        <v>4.2755793710158932E-2</v>
      </c>
      <c r="E55" s="527">
        <f t="shared" si="3"/>
        <v>5.8796020175754062E-2</v>
      </c>
    </row>
    <row r="56" spans="2:5">
      <c r="B56" s="195" t="str">
        <f t="shared" si="0"/>
        <v>Design &amp; Technology</v>
      </c>
      <c r="C56" s="527">
        <f t="shared" si="1"/>
        <v>6.5710884843906081E-2</v>
      </c>
      <c r="D56" s="527">
        <f t="shared" si="2"/>
        <v>4.6806426202596167E-2</v>
      </c>
      <c r="E56" s="527">
        <f t="shared" si="3"/>
        <v>4.9680290833310284E-2</v>
      </c>
    </row>
    <row r="57" spans="2:5">
      <c r="B57" s="195" t="str">
        <f t="shared" si="0"/>
        <v>Drama</v>
      </c>
      <c r="C57" s="527">
        <f t="shared" si="1"/>
        <v>2.9355113732180384E-2</v>
      </c>
      <c r="D57" s="527">
        <f t="shared" si="2"/>
        <v>2.2204901639080725E-2</v>
      </c>
      <c r="E57" s="527">
        <f t="shared" si="3"/>
        <v>3.4966409859193893E-2</v>
      </c>
    </row>
    <row r="58" spans="2:5">
      <c r="B58" s="195" t="str">
        <f t="shared" si="0"/>
        <v>English</v>
      </c>
      <c r="C58" s="527">
        <f t="shared" si="1"/>
        <v>0.15308505215803844</v>
      </c>
      <c r="D58" s="527">
        <f t="shared" si="2"/>
        <v>0.19612826116353643</v>
      </c>
      <c r="E58" s="527">
        <f t="shared" si="3"/>
        <v>0.12085123147712708</v>
      </c>
    </row>
    <row r="59" spans="2:5">
      <c r="B59" s="195" t="str">
        <f t="shared" si="0"/>
        <v>Food</v>
      </c>
      <c r="C59" s="527">
        <f t="shared" si="1"/>
        <v>8.6804577373020587E-3</v>
      </c>
      <c r="D59" s="527">
        <f t="shared" si="2"/>
        <v>1.8664222498139451E-2</v>
      </c>
      <c r="E59" s="527">
        <f t="shared" si="3"/>
        <v>7.7089061938089573E-3</v>
      </c>
    </row>
    <row r="60" spans="2:5">
      <c r="B60" s="195" t="str">
        <f t="shared" si="0"/>
        <v>Geography</v>
      </c>
      <c r="C60" s="527">
        <f t="shared" si="1"/>
        <v>5.8922328031166663E-2</v>
      </c>
      <c r="D60" s="527">
        <f t="shared" si="2"/>
        <v>5.233968583892129E-2</v>
      </c>
      <c r="E60" s="527">
        <f t="shared" si="3"/>
        <v>5.4711575700572626E-2</v>
      </c>
    </row>
    <row r="61" spans="2:5">
      <c r="B61" s="195" t="str">
        <f t="shared" si="0"/>
        <v>History</v>
      </c>
      <c r="C61" s="527">
        <f t="shared" si="1"/>
        <v>6.0337352219913078E-2</v>
      </c>
      <c r="D61" s="527">
        <f t="shared" si="2"/>
        <v>5.6338531210430802E-2</v>
      </c>
      <c r="E61" s="527">
        <f t="shared" si="3"/>
        <v>7.0193495440168938E-2</v>
      </c>
    </row>
    <row r="62" spans="2:5">
      <c r="B62" s="195" t="str">
        <f t="shared" si="0"/>
        <v>Mathematics</v>
      </c>
      <c r="C62" s="527">
        <f t="shared" si="1"/>
        <v>0.14960620757617663</v>
      </c>
      <c r="D62" s="527">
        <f t="shared" si="2"/>
        <v>0.18850056218397837</v>
      </c>
      <c r="E62" s="527">
        <f t="shared" si="3"/>
        <v>0.1512300709102142</v>
      </c>
    </row>
    <row r="63" spans="2:5">
      <c r="B63" s="195" t="str">
        <f t="shared" si="0"/>
        <v>Modern Foreign Languages</v>
      </c>
      <c r="C63" s="527">
        <f t="shared" si="1"/>
        <v>9.0696375888642849E-2</v>
      </c>
      <c r="D63" s="527">
        <f t="shared" si="2"/>
        <v>7.1068558076110913E-2</v>
      </c>
      <c r="E63" s="527">
        <f t="shared" si="3"/>
        <v>6.0440703753907442E-2</v>
      </c>
    </row>
    <row r="64" spans="2:5">
      <c r="B64" s="195" t="str">
        <f t="shared" si="0"/>
        <v>Music</v>
      </c>
      <c r="C64" s="527">
        <f t="shared" si="1"/>
        <v>3.4249126611177787E-2</v>
      </c>
      <c r="D64" s="527">
        <f t="shared" si="2"/>
        <v>1.7569760459506208E-2</v>
      </c>
      <c r="E64" s="527">
        <f t="shared" si="3"/>
        <v>2.898832840004795E-2</v>
      </c>
    </row>
    <row r="65" spans="2:14">
      <c r="B65" s="195" t="str">
        <f t="shared" si="0"/>
        <v>Others</v>
      </c>
      <c r="C65" s="527">
        <f t="shared" si="1"/>
        <v>3.616300805105975E-2</v>
      </c>
      <c r="D65" s="527">
        <f t="shared" si="2"/>
        <v>7.0543380839219169E-2</v>
      </c>
      <c r="E65" s="527">
        <f t="shared" si="3"/>
        <v>0.30747599518658886</v>
      </c>
    </row>
    <row r="66" spans="2:14">
      <c r="B66" s="195" t="str">
        <f t="shared" si="0"/>
        <v>Physical Education</v>
      </c>
      <c r="C66" s="527">
        <f t="shared" si="1"/>
        <v>8.6819518040224031E-2</v>
      </c>
      <c r="D66" s="527">
        <f t="shared" si="2"/>
        <v>0.10428249153887108</v>
      </c>
      <c r="E66" s="527">
        <f t="shared" si="3"/>
        <v>7.3348160852766783E-2</v>
      </c>
    </row>
    <row r="67" spans="2:14">
      <c r="B67" s="195" t="str">
        <f t="shared" si="0"/>
        <v>Physics</v>
      </c>
      <c r="C67" s="527">
        <f t="shared" si="1"/>
        <v>3.9648463835233211E-2</v>
      </c>
      <c r="D67" s="527">
        <f t="shared" si="2"/>
        <v>7.2978367500943275E-2</v>
      </c>
      <c r="E67" s="527">
        <f t="shared" si="3"/>
        <v>6.225567788873828E-2</v>
      </c>
    </row>
    <row r="68" spans="2:14">
      <c r="B68" s="195" t="str">
        <f t="shared" si="0"/>
        <v>Religious Education</v>
      </c>
      <c r="C68" s="527">
        <f t="shared" si="1"/>
        <v>3.7778365590105452E-2</v>
      </c>
      <c r="D68" s="527">
        <f t="shared" si="2"/>
        <v>4.3316594214753333E-2</v>
      </c>
      <c r="E68" s="527">
        <f t="shared" si="3"/>
        <v>3.9290277739356554E-2</v>
      </c>
    </row>
    <row r="69" spans="2:14">
      <c r="B69" s="195" t="str">
        <f t="shared" si="0"/>
        <v>Total</v>
      </c>
      <c r="C69" s="527">
        <f t="shared" si="1"/>
        <v>1.023189628856509</v>
      </c>
      <c r="D69" s="527">
        <f t="shared" si="2"/>
        <v>1.2246825613272267</v>
      </c>
      <c r="E69" s="527">
        <f t="shared" si="3"/>
        <v>1.4463211660995692</v>
      </c>
    </row>
    <row r="70" spans="2:14">
      <c r="C70" s="12"/>
    </row>
    <row r="71" spans="2:14" ht="15.75">
      <c r="B71" s="144" t="s">
        <v>1683</v>
      </c>
      <c r="D71" s="12"/>
      <c r="E71" s="12"/>
      <c r="F71" s="12"/>
    </row>
    <row r="72" spans="2:14">
      <c r="B72" s="12"/>
      <c r="D72" s="12"/>
      <c r="E72" s="12"/>
      <c r="F72" s="12"/>
    </row>
    <row r="73" spans="2:14">
      <c r="B73" s="150" t="s">
        <v>398</v>
      </c>
      <c r="D73" s="12"/>
      <c r="E73" s="12"/>
      <c r="F73" s="12"/>
    </row>
    <row r="74" spans="2:14">
      <c r="B74" s="12"/>
      <c r="D74" s="12"/>
      <c r="E74" s="12"/>
      <c r="F74" s="12"/>
    </row>
    <row r="75" spans="2:14">
      <c r="B75" s="108" t="s">
        <v>88</v>
      </c>
      <c r="D75" s="262" t="s">
        <v>372</v>
      </c>
      <c r="E75" s="12"/>
      <c r="F75" s="12"/>
    </row>
    <row r="76" spans="2:14">
      <c r="B76" s="108"/>
      <c r="D76" s="12"/>
      <c r="E76" s="12"/>
      <c r="F76" s="12"/>
    </row>
    <row r="77" spans="2:14">
      <c r="B77" s="8" t="s">
        <v>1743</v>
      </c>
      <c r="C77" s="8" t="str">
        <f t="shared" ref="C77:N77" si="4">N14</f>
        <v>2016/17</v>
      </c>
      <c r="D77" s="8" t="str">
        <f t="shared" si="4"/>
        <v>2017/18</v>
      </c>
      <c r="E77" s="8" t="str">
        <f t="shared" si="4"/>
        <v>2018/19</v>
      </c>
      <c r="F77" s="8" t="str">
        <f t="shared" si="4"/>
        <v>2019/20</v>
      </c>
      <c r="G77" s="8" t="str">
        <f t="shared" si="4"/>
        <v>2020/21</v>
      </c>
      <c r="H77" s="8" t="str">
        <f t="shared" si="4"/>
        <v>2021/22</v>
      </c>
      <c r="I77" s="8" t="str">
        <f t="shared" si="4"/>
        <v>2022/23</v>
      </c>
      <c r="J77" s="8" t="str">
        <f t="shared" si="4"/>
        <v>2023/24</v>
      </c>
      <c r="K77" s="8" t="str">
        <f t="shared" si="4"/>
        <v>2024/25</v>
      </c>
      <c r="L77" s="8" t="str">
        <f t="shared" si="4"/>
        <v>2025/26</v>
      </c>
      <c r="M77" s="8" t="str">
        <f t="shared" si="4"/>
        <v>2026/27</v>
      </c>
      <c r="N77" s="8" t="str">
        <f t="shared" si="4"/>
        <v>2027/28</v>
      </c>
    </row>
    <row r="78" spans="2:14" s="327" customFormat="1">
      <c r="B78" s="326" t="s">
        <v>40</v>
      </c>
      <c r="C78" s="307">
        <f>Data_selected_by_user_testing!P36</f>
        <v>1684263.7099882406</v>
      </c>
      <c r="D78" s="307">
        <f>Data_selected_by_user_testing!Q36</f>
        <v>1728753.1396461697</v>
      </c>
      <c r="E78" s="307">
        <f>Data_selected_by_user_testing!R36</f>
        <v>1776887.7109150444</v>
      </c>
      <c r="F78" s="307">
        <f>Data_selected_by_user_testing!S36</f>
        <v>1837687.6258995868</v>
      </c>
      <c r="G78" s="307">
        <f>Data_selected_by_user_testing!T36</f>
        <v>1881127.9885499382</v>
      </c>
      <c r="H78" s="307">
        <f>Data_selected_by_user_testing!U36</f>
        <v>1915313.121305503</v>
      </c>
      <c r="I78" s="307">
        <f>Data_selected_by_user_testing!V36</f>
        <v>1940527.0547370678</v>
      </c>
      <c r="J78" s="307">
        <f>Data_selected_by_user_testing!W36</f>
        <v>1979340.1487121659</v>
      </c>
      <c r="K78" s="307">
        <f>Data_selected_by_user_testing!X36</f>
        <v>1983726.1049581233</v>
      </c>
      <c r="L78" s="307">
        <f>Data_selected_by_user_testing!Y36</f>
        <v>1956668.4677220159</v>
      </c>
      <c r="M78" s="307">
        <f>Data_selected_by_user_testing!Z36</f>
        <v>1918632.3095877871</v>
      </c>
      <c r="N78" s="307">
        <f>Data_selected_by_user_testing!AA36</f>
        <v>1909994.1147172714</v>
      </c>
    </row>
    <row r="79" spans="2:14" s="327" customFormat="1">
      <c r="B79" s="326" t="s">
        <v>41</v>
      </c>
      <c r="C79" s="307">
        <f>Data_selected_by_user_testing!P37</f>
        <v>1040625.6043942383</v>
      </c>
      <c r="D79" s="307">
        <f>Data_selected_by_user_testing!Q37</f>
        <v>1058358.5821559713</v>
      </c>
      <c r="E79" s="307">
        <f>Data_selected_by_user_testing!R37</f>
        <v>1097644.5657882683</v>
      </c>
      <c r="F79" s="307">
        <f>Data_selected_by_user_testing!S37</f>
        <v>1127512.3599218801</v>
      </c>
      <c r="G79" s="307">
        <f>Data_selected_by_user_testing!T37</f>
        <v>1152699.2067537962</v>
      </c>
      <c r="H79" s="307">
        <f>Data_selected_by_user_testing!U37</f>
        <v>1187590.8202413935</v>
      </c>
      <c r="I79" s="307">
        <f>Data_selected_by_user_testing!V37</f>
        <v>1233917.8070985656</v>
      </c>
      <c r="J79" s="307">
        <f>Data_selected_by_user_testing!W37</f>
        <v>1255218.8994874852</v>
      </c>
      <c r="K79" s="307">
        <f>Data_selected_by_user_testing!X37</f>
        <v>1264502.0497479856</v>
      </c>
      <c r="L79" s="307">
        <f>Data_selected_by_user_testing!Y37</f>
        <v>1292760.7570925467</v>
      </c>
      <c r="M79" s="307">
        <f>Data_selected_by_user_testing!Z37</f>
        <v>1318712.4272962825</v>
      </c>
      <c r="N79" s="307">
        <f>Data_selected_by_user_testing!AA37</f>
        <v>1307078.5028154906</v>
      </c>
    </row>
    <row r="80" spans="2:14" s="327" customFormat="1">
      <c r="B80" s="326" t="s">
        <v>42</v>
      </c>
      <c r="C80" s="307">
        <f>Data_selected_by_user_testing!P38</f>
        <v>428545.20451393852</v>
      </c>
      <c r="D80" s="307">
        <f>Data_selected_by_user_testing!Q38</f>
        <v>419361.78857838438</v>
      </c>
      <c r="E80" s="307">
        <f>Data_selected_by_user_testing!R38</f>
        <v>410245.50884306151</v>
      </c>
      <c r="F80" s="307">
        <f>Data_selected_by_user_testing!S38</f>
        <v>406321.98384626833</v>
      </c>
      <c r="G80" s="307">
        <f>Data_selected_by_user_testing!T38</f>
        <v>407908.7817738661</v>
      </c>
      <c r="H80" s="307">
        <f>Data_selected_by_user_testing!U38</f>
        <v>414599.54691593052</v>
      </c>
      <c r="I80" s="307">
        <f>Data_selected_by_user_testing!V38</f>
        <v>427051.82731021068</v>
      </c>
      <c r="J80" s="307">
        <f>Data_selected_by_user_testing!W38</f>
        <v>439692.43116813409</v>
      </c>
      <c r="K80" s="307">
        <f>Data_selected_by_user_testing!X38</f>
        <v>453063.3820700291</v>
      </c>
      <c r="L80" s="307">
        <f>Data_selected_by_user_testing!Y38</f>
        <v>462667.53121151531</v>
      </c>
      <c r="M80" s="307">
        <f>Data_selected_by_user_testing!Z38</f>
        <v>470577.77984100528</v>
      </c>
      <c r="N80" s="307">
        <f>Data_selected_by_user_testing!AA38</f>
        <v>478187.03901394637</v>
      </c>
    </row>
    <row r="81" spans="2:14">
      <c r="B81" s="12"/>
      <c r="D81" s="12"/>
      <c r="E81" s="12"/>
      <c r="F81" s="12"/>
    </row>
    <row r="82" spans="2:14">
      <c r="B82" s="76" t="s">
        <v>78</v>
      </c>
      <c r="D82" s="12"/>
      <c r="E82" s="12"/>
      <c r="F82" s="12"/>
    </row>
    <row r="83" spans="2:14">
      <c r="B83" s="12"/>
      <c r="D83" s="12"/>
      <c r="E83" s="12"/>
      <c r="F83" s="12"/>
    </row>
    <row r="84" spans="2:14">
      <c r="B84" s="142" t="s">
        <v>62</v>
      </c>
      <c r="C84" s="8" t="str">
        <f>C77</f>
        <v>2016/17</v>
      </c>
      <c r="D84" s="8" t="str">
        <f t="shared" ref="D84:N84" si="5">D77</f>
        <v>2017/18</v>
      </c>
      <c r="E84" s="8" t="str">
        <f t="shared" si="5"/>
        <v>2018/19</v>
      </c>
      <c r="F84" s="8" t="str">
        <f t="shared" si="5"/>
        <v>2019/20</v>
      </c>
      <c r="G84" s="8" t="str">
        <f t="shared" si="5"/>
        <v>2020/21</v>
      </c>
      <c r="H84" s="8" t="str">
        <f t="shared" si="5"/>
        <v>2021/22</v>
      </c>
      <c r="I84" s="8" t="str">
        <f t="shared" si="5"/>
        <v>2022/23</v>
      </c>
      <c r="J84" s="8" t="str">
        <f t="shared" si="5"/>
        <v>2023/24</v>
      </c>
      <c r="K84" s="8" t="str">
        <f t="shared" si="5"/>
        <v>2024/25</v>
      </c>
      <c r="L84" s="8" t="str">
        <f t="shared" si="5"/>
        <v>2025/26</v>
      </c>
      <c r="M84" s="8" t="str">
        <f t="shared" si="5"/>
        <v>2026/27</v>
      </c>
      <c r="N84" s="8" t="str">
        <f t="shared" si="5"/>
        <v>2027/28</v>
      </c>
    </row>
    <row r="85" spans="2:14" s="5" customFormat="1">
      <c r="B85" s="195" t="str">
        <f t="shared" ref="B85:B104" si="6">B50</f>
        <v>Art &amp; Design</v>
      </c>
      <c r="C85" s="459">
        <f>C$78*$C50</f>
        <v>72968.654372641351</v>
      </c>
      <c r="D85" s="459">
        <f t="shared" ref="D85:N85" si="7">D$78*$C50</f>
        <v>74896.104211222773</v>
      </c>
      <c r="E85" s="459">
        <f t="shared" si="7"/>
        <v>76981.47532826614</v>
      </c>
      <c r="F85" s="459">
        <f t="shared" si="7"/>
        <v>79615.556889296757</v>
      </c>
      <c r="G85" s="459">
        <f t="shared" si="7"/>
        <v>81497.557189640356</v>
      </c>
      <c r="H85" s="459">
        <f t="shared" si="7"/>
        <v>82978.586034429201</v>
      </c>
      <c r="I85" s="459">
        <f t="shared" si="7"/>
        <v>84070.94869891688</v>
      </c>
      <c r="J85" s="459">
        <f t="shared" si="7"/>
        <v>85752.478273297806</v>
      </c>
      <c r="K85" s="459">
        <f t="shared" si="7"/>
        <v>85942.494434963504</v>
      </c>
      <c r="L85" s="459">
        <f t="shared" si="7"/>
        <v>84770.255570043941</v>
      </c>
      <c r="M85" s="459">
        <f t="shared" si="7"/>
        <v>83122.385785698207</v>
      </c>
      <c r="N85" s="459">
        <f t="shared" si="7"/>
        <v>82748.146613903315</v>
      </c>
    </row>
    <row r="86" spans="2:14" s="5" customFormat="1">
      <c r="B86" s="195" t="str">
        <f t="shared" si="6"/>
        <v>Biology</v>
      </c>
      <c r="C86" s="459">
        <f t="shared" ref="C86:N86" si="8">C$78*$C51</f>
        <v>82370.096354803842</v>
      </c>
      <c r="D86" s="459">
        <f t="shared" si="8"/>
        <v>84545.883071552293</v>
      </c>
      <c r="E86" s="459">
        <f t="shared" si="8"/>
        <v>86899.937991753643</v>
      </c>
      <c r="F86" s="459">
        <f t="shared" si="8"/>
        <v>89873.400416872086</v>
      </c>
      <c r="G86" s="459">
        <f t="shared" si="8"/>
        <v>91997.881776873633</v>
      </c>
      <c r="H86" s="459">
        <f t="shared" si="8"/>
        <v>93669.72963673003</v>
      </c>
      <c r="I86" s="459">
        <f t="shared" si="8"/>
        <v>94902.834710433788</v>
      </c>
      <c r="J86" s="459">
        <f t="shared" si="8"/>
        <v>96801.016255044276</v>
      </c>
      <c r="K86" s="459">
        <f t="shared" si="8"/>
        <v>97015.514517071191</v>
      </c>
      <c r="L86" s="459">
        <f t="shared" si="8"/>
        <v>95692.241817520437</v>
      </c>
      <c r="M86" s="459">
        <f t="shared" si="8"/>
        <v>93832.056864354847</v>
      </c>
      <c r="N86" s="459">
        <f t="shared" si="8"/>
        <v>93409.599894228173</v>
      </c>
    </row>
    <row r="87" spans="2:14" s="5" customFormat="1">
      <c r="B87" s="195" t="str">
        <f t="shared" si="6"/>
        <v>Business Studies</v>
      </c>
      <c r="C87" s="459">
        <f t="shared" ref="C87:N87" si="9">C$78*$C52</f>
        <v>4873.2748857792822</v>
      </c>
      <c r="D87" s="459">
        <f t="shared" si="9"/>
        <v>5002.0012953960659</v>
      </c>
      <c r="E87" s="459">
        <f t="shared" si="9"/>
        <v>5141.2746145985548</v>
      </c>
      <c r="F87" s="459">
        <f t="shared" si="9"/>
        <v>5317.1940368330661</v>
      </c>
      <c r="G87" s="459">
        <f t="shared" si="9"/>
        <v>5442.8850596091725</v>
      </c>
      <c r="H87" s="459">
        <f t="shared" si="9"/>
        <v>5541.7968558657622</v>
      </c>
      <c r="I87" s="459">
        <f t="shared" si="9"/>
        <v>5614.7512440860091</v>
      </c>
      <c r="J87" s="459">
        <f t="shared" si="9"/>
        <v>5727.0536555115677</v>
      </c>
      <c r="K87" s="459">
        <f t="shared" si="9"/>
        <v>5739.7440497157513</v>
      </c>
      <c r="L87" s="459">
        <f t="shared" si="9"/>
        <v>5661.4550601535584</v>
      </c>
      <c r="M87" s="459">
        <f t="shared" si="9"/>
        <v>5551.4006470068425</v>
      </c>
      <c r="N87" s="459">
        <f t="shared" si="9"/>
        <v>5526.4067592496549</v>
      </c>
    </row>
    <row r="88" spans="2:14" s="5" customFormat="1">
      <c r="B88" s="195" t="str">
        <f t="shared" si="6"/>
        <v>Chemistry</v>
      </c>
      <c r="C88" s="459">
        <f t="shared" ref="C88:N88" si="10">C$78*$C53</f>
        <v>68877.663126128318</v>
      </c>
      <c r="D88" s="459">
        <f t="shared" si="10"/>
        <v>70697.050393383412</v>
      </c>
      <c r="E88" s="459">
        <f t="shared" si="10"/>
        <v>72665.505074747605</v>
      </c>
      <c r="F88" s="459">
        <f t="shared" si="10"/>
        <v>75151.90672169147</v>
      </c>
      <c r="G88" s="459">
        <f t="shared" si="10"/>
        <v>76928.39258133671</v>
      </c>
      <c r="H88" s="459">
        <f t="shared" si="10"/>
        <v>78326.387470080241</v>
      </c>
      <c r="I88" s="459">
        <f t="shared" si="10"/>
        <v>79357.506767304818</v>
      </c>
      <c r="J88" s="459">
        <f t="shared" si="10"/>
        <v>80944.761302236438</v>
      </c>
      <c r="K88" s="459">
        <f t="shared" si="10"/>
        <v>81124.124198321806</v>
      </c>
      <c r="L88" s="459">
        <f t="shared" si="10"/>
        <v>80017.606963826154</v>
      </c>
      <c r="M88" s="459">
        <f t="shared" si="10"/>
        <v>78462.125081122722</v>
      </c>
      <c r="N88" s="459">
        <f t="shared" si="10"/>
        <v>78108.867647158666</v>
      </c>
    </row>
    <row r="89" spans="2:14" s="5" customFormat="1">
      <c r="B89" s="195" t="str">
        <f t="shared" si="6"/>
        <v>Classics</v>
      </c>
      <c r="C89" s="459">
        <f t="shared" ref="C89:N89" si="11">C$78*$C54</f>
        <v>1928.7050767262565</v>
      </c>
      <c r="D89" s="459">
        <f t="shared" si="11"/>
        <v>1979.6513675790723</v>
      </c>
      <c r="E89" s="459">
        <f t="shared" si="11"/>
        <v>2034.771828479443</v>
      </c>
      <c r="F89" s="459">
        <f t="shared" si="11"/>
        <v>2104.3957858204408</v>
      </c>
      <c r="G89" s="459">
        <f t="shared" si="11"/>
        <v>2154.1407559707191</v>
      </c>
      <c r="H89" s="459">
        <f t="shared" si="11"/>
        <v>2193.2872617721646</v>
      </c>
      <c r="I89" s="459">
        <f t="shared" si="11"/>
        <v>2222.1605558562819</v>
      </c>
      <c r="J89" s="459">
        <f t="shared" si="11"/>
        <v>2266.6066903596179</v>
      </c>
      <c r="K89" s="459">
        <f t="shared" si="11"/>
        <v>2271.6291913062996</v>
      </c>
      <c r="L89" s="459">
        <f t="shared" si="11"/>
        <v>2240.644612114801</v>
      </c>
      <c r="M89" s="459">
        <f t="shared" si="11"/>
        <v>2197.0881720765829</v>
      </c>
      <c r="N89" s="459">
        <f t="shared" si="11"/>
        <v>2187.1962945744363</v>
      </c>
    </row>
    <row r="90" spans="2:14" s="5" customFormat="1">
      <c r="B90" s="195" t="str">
        <f t="shared" si="6"/>
        <v>Computing</v>
      </c>
      <c r="C90" s="459">
        <f t="shared" ref="C90:N90" si="12">C$78*$C55</f>
        <v>58906.339256625513</v>
      </c>
      <c r="D90" s="459">
        <f t="shared" si="12"/>
        <v>60462.336349730402</v>
      </c>
      <c r="E90" s="459">
        <f t="shared" si="12"/>
        <v>62145.820573917801</v>
      </c>
      <c r="F90" s="459">
        <f t="shared" si="12"/>
        <v>64272.26929902775</v>
      </c>
      <c r="G90" s="459">
        <f t="shared" si="12"/>
        <v>65791.575761868007</v>
      </c>
      <c r="H90" s="459">
        <f t="shared" si="12"/>
        <v>66987.184867312753</v>
      </c>
      <c r="I90" s="459">
        <f t="shared" si="12"/>
        <v>67869.030452363149</v>
      </c>
      <c r="J90" s="459">
        <f t="shared" si="12"/>
        <v>69226.500347212554</v>
      </c>
      <c r="K90" s="459">
        <f t="shared" si="12"/>
        <v>69379.897125316202</v>
      </c>
      <c r="L90" s="459">
        <f t="shared" si="12"/>
        <v>68433.568857919177</v>
      </c>
      <c r="M90" s="459">
        <f t="shared" si="12"/>
        <v>67103.271932451855</v>
      </c>
      <c r="N90" s="459">
        <f t="shared" si="12"/>
        <v>66801.155087809399</v>
      </c>
    </row>
    <row r="91" spans="2:14" s="5" customFormat="1">
      <c r="B91" s="195" t="str">
        <f t="shared" si="6"/>
        <v>Design &amp; Technology</v>
      </c>
      <c r="C91" s="459">
        <f t="shared" ref="C91:N91" si="13">C$78*$C56</f>
        <v>110674.4586938073</v>
      </c>
      <c r="D91" s="459">
        <f t="shared" si="13"/>
        <v>113597.89848283054</v>
      </c>
      <c r="E91" s="459">
        <f t="shared" si="13"/>
        <v>116760.86375249036</v>
      </c>
      <c r="F91" s="459">
        <f t="shared" si="13"/>
        <v>120756.07996455891</v>
      </c>
      <c r="G91" s="459">
        <f t="shared" si="13"/>
        <v>123610.58463225367</v>
      </c>
      <c r="H91" s="459">
        <f t="shared" si="13"/>
        <v>125856.91995412823</v>
      </c>
      <c r="I91" s="459">
        <f t="shared" si="13"/>
        <v>127513.74983031169</v>
      </c>
      <c r="J91" s="459">
        <f t="shared" si="13"/>
        <v>130064.19257894508</v>
      </c>
      <c r="K91" s="459">
        <f t="shared" si="13"/>
        <v>130352.39764475358</v>
      </c>
      <c r="L91" s="459">
        <f t="shared" si="13"/>
        <v>128574.41636018355</v>
      </c>
      <c r="M91" s="459">
        <f t="shared" si="13"/>
        <v>126075.02675312065</v>
      </c>
      <c r="N91" s="459">
        <f t="shared" si="13"/>
        <v>125507.40332472496</v>
      </c>
    </row>
    <row r="92" spans="2:14" s="5" customFormat="1">
      <c r="B92" s="195" t="str">
        <f t="shared" si="6"/>
        <v>Drama</v>
      </c>
      <c r="C92" s="459">
        <f t="shared" ref="C92:N92" si="14">C$78*$C57</f>
        <v>49441.752761688884</v>
      </c>
      <c r="D92" s="459">
        <f t="shared" si="14"/>
        <v>50747.745029177233</v>
      </c>
      <c r="E92" s="459">
        <f t="shared" si="14"/>
        <v>52160.74084322479</v>
      </c>
      <c r="F92" s="459">
        <f t="shared" si="14"/>
        <v>53945.529262502932</v>
      </c>
      <c r="G92" s="459">
        <f t="shared" si="14"/>
        <v>55220.726048671153</v>
      </c>
      <c r="H92" s="459">
        <f t="shared" si="14"/>
        <v>56224.234508660447</v>
      </c>
      <c r="I92" s="459">
        <f t="shared" si="14"/>
        <v>56964.392392179652</v>
      </c>
      <c r="J92" s="459">
        <f t="shared" si="14"/>
        <v>58103.755180116466</v>
      </c>
      <c r="K92" s="459">
        <f t="shared" si="14"/>
        <v>58232.505424540912</v>
      </c>
      <c r="L92" s="459">
        <f t="shared" si="14"/>
        <v>57438.225406150901</v>
      </c>
      <c r="M92" s="459">
        <f t="shared" si="14"/>
        <v>56321.669658185419</v>
      </c>
      <c r="N92" s="459">
        <f t="shared" si="14"/>
        <v>56068.09446532069</v>
      </c>
    </row>
    <row r="93" spans="2:14" s="5" customFormat="1">
      <c r="B93" s="195" t="str">
        <f t="shared" si="6"/>
        <v>English</v>
      </c>
      <c r="C93" s="459">
        <f t="shared" ref="C93:N93" si="15">C$78*$C58</f>
        <v>257835.59789144114</v>
      </c>
      <c r="D93" s="459">
        <f t="shared" si="15"/>
        <v>264646.26455110661</v>
      </c>
      <c r="E93" s="459">
        <f t="shared" si="15"/>
        <v>272014.9479044071</v>
      </c>
      <c r="F93" s="459">
        <f t="shared" si="15"/>
        <v>281322.50606102007</v>
      </c>
      <c r="G93" s="459">
        <f t="shared" si="15"/>
        <v>287972.5762431132</v>
      </c>
      <c r="H93" s="459">
        <f t="shared" si="15"/>
        <v>293205.80907402834</v>
      </c>
      <c r="I93" s="459">
        <f t="shared" si="15"/>
        <v>297065.68538850872</v>
      </c>
      <c r="J93" s="459">
        <f t="shared" si="15"/>
        <v>303007.3899041015</v>
      </c>
      <c r="K93" s="459">
        <f t="shared" si="15"/>
        <v>303678.81424477673</v>
      </c>
      <c r="L93" s="459">
        <f t="shared" si="15"/>
        <v>299536.69443721394</v>
      </c>
      <c r="M93" s="459">
        <f t="shared" si="15"/>
        <v>293713.92718534416</v>
      </c>
      <c r="N93" s="459">
        <f t="shared" si="15"/>
        <v>292391.54867303994</v>
      </c>
    </row>
    <row r="94" spans="2:14" s="5" customFormat="1">
      <c r="B94" s="195" t="str">
        <f t="shared" si="6"/>
        <v>Food</v>
      </c>
      <c r="C94" s="459">
        <f t="shared" ref="C94:N94" si="16">C$78*$C59</f>
        <v>14620.179953024493</v>
      </c>
      <c r="D94" s="459">
        <f t="shared" si="16"/>
        <v>15006.36856692682</v>
      </c>
      <c r="E94" s="459">
        <f t="shared" si="16"/>
        <v>15424.198678529441</v>
      </c>
      <c r="F94" s="459">
        <f t="shared" si="16"/>
        <v>15951.96977098432</v>
      </c>
      <c r="G94" s="459">
        <f t="shared" si="16"/>
        <v>16329.052003063769</v>
      </c>
      <c r="H94" s="459">
        <f t="shared" si="16"/>
        <v>16625.794603192509</v>
      </c>
      <c r="I94" s="459">
        <f t="shared" si="16"/>
        <v>16844.663086736356</v>
      </c>
      <c r="J94" s="459">
        <f t="shared" si="16"/>
        <v>17181.578508641127</v>
      </c>
      <c r="K94" s="459">
        <f t="shared" si="16"/>
        <v>17219.650616471816</v>
      </c>
      <c r="L94" s="459">
        <f t="shared" si="16"/>
        <v>16984.777939972537</v>
      </c>
      <c r="M94" s="459">
        <f t="shared" si="16"/>
        <v>16654.606676799027</v>
      </c>
      <c r="N94" s="459">
        <f t="shared" si="16"/>
        <v>16579.623191298935</v>
      </c>
    </row>
    <row r="95" spans="2:14" s="5" customFormat="1">
      <c r="B95" s="195" t="str">
        <f t="shared" si="6"/>
        <v>Geography</v>
      </c>
      <c r="C95" s="459">
        <f t="shared" ref="C95:N95" si="17">C$78*$C60</f>
        <v>99240.738810916868</v>
      </c>
      <c r="D95" s="459">
        <f t="shared" si="17"/>
        <v>101862.15957914088</v>
      </c>
      <c r="E95" s="459">
        <f t="shared" si="17"/>
        <v>104698.36057708508</v>
      </c>
      <c r="F95" s="459">
        <f t="shared" si="17"/>
        <v>108280.83311207134</v>
      </c>
      <c r="G95" s="459">
        <f t="shared" si="17"/>
        <v>110840.44040994819</v>
      </c>
      <c r="H95" s="459">
        <f t="shared" si="17"/>
        <v>112854.70801596055</v>
      </c>
      <c r="I95" s="459">
        <f t="shared" si="17"/>
        <v>114340.37167257121</v>
      </c>
      <c r="J95" s="459">
        <f t="shared" si="17"/>
        <v>116627.32952767644</v>
      </c>
      <c r="K95" s="459">
        <f t="shared" si="17"/>
        <v>116885.76028033109</v>
      </c>
      <c r="L95" s="459">
        <f t="shared" si="17"/>
        <v>115291.46130335686</v>
      </c>
      <c r="M95" s="459">
        <f t="shared" si="17"/>
        <v>113050.2823167265</v>
      </c>
      <c r="N95" s="459">
        <f t="shared" si="17"/>
        <v>112541.29976496883</v>
      </c>
    </row>
    <row r="96" spans="2:14" s="5" customFormat="1">
      <c r="B96" s="195" t="str">
        <f t="shared" si="6"/>
        <v>History</v>
      </c>
      <c r="C96" s="459">
        <f t="shared" ref="C96:N96" si="18">C$78*$C61</f>
        <v>101624.01270077801</v>
      </c>
      <c r="D96" s="459">
        <f t="shared" si="18"/>
        <v>104308.38708811153</v>
      </c>
      <c r="E96" s="459">
        <f t="shared" si="18"/>
        <v>107212.69966871612</v>
      </c>
      <c r="F96" s="459">
        <f t="shared" si="18"/>
        <v>110881.20555407924</v>
      </c>
      <c r="G96" s="459">
        <f t="shared" si="18"/>
        <v>113502.28201587424</v>
      </c>
      <c r="H96" s="459">
        <f t="shared" si="18"/>
        <v>115564.92241163124</v>
      </c>
      <c r="I96" s="459">
        <f t="shared" si="18"/>
        <v>117086.264393941</v>
      </c>
      <c r="J96" s="459">
        <f t="shared" si="18"/>
        <v>119428.14371586108</v>
      </c>
      <c r="K96" s="459">
        <f t="shared" si="18"/>
        <v>119692.78070269454</v>
      </c>
      <c r="L96" s="459">
        <f t="shared" si="18"/>
        <v>118060.1945145409</v>
      </c>
      <c r="M96" s="459">
        <f t="shared" si="18"/>
        <v>115765.19344410363</v>
      </c>
      <c r="N96" s="459">
        <f t="shared" si="18"/>
        <v>115243.98763765708</v>
      </c>
    </row>
    <row r="97" spans="1:15" s="5" customFormat="1">
      <c r="B97" s="195" t="str">
        <f t="shared" si="6"/>
        <v>Mathematics</v>
      </c>
      <c r="C97" s="459">
        <f t="shared" ref="C97:N97" si="19">C$78*$C62</f>
        <v>251976.30620952207</v>
      </c>
      <c r="D97" s="459">
        <f t="shared" si="19"/>
        <v>258632.20105787192</v>
      </c>
      <c r="E97" s="459">
        <f t="shared" si="19"/>
        <v>265833.43171871349</v>
      </c>
      <c r="F97" s="459">
        <f t="shared" si="19"/>
        <v>274929.4764205048</v>
      </c>
      <c r="G97" s="459">
        <f t="shared" si="19"/>
        <v>281428.42433235765</v>
      </c>
      <c r="H97" s="459">
        <f t="shared" si="19"/>
        <v>286542.73239940585</v>
      </c>
      <c r="I97" s="459">
        <f t="shared" si="19"/>
        <v>290314.89335818042</v>
      </c>
      <c r="J97" s="459">
        <f t="shared" si="19"/>
        <v>296121.57315209258</v>
      </c>
      <c r="K97" s="459">
        <f t="shared" si="19"/>
        <v>296777.73943264532</v>
      </c>
      <c r="L97" s="459">
        <f t="shared" si="19"/>
        <v>292729.74893977935</v>
      </c>
      <c r="M97" s="459">
        <f t="shared" si="19"/>
        <v>287039.30357054964</v>
      </c>
      <c r="N97" s="459">
        <f t="shared" si="19"/>
        <v>285746.9759956678</v>
      </c>
    </row>
    <row r="98" spans="1:15" s="5" customFormat="1">
      <c r="B98" s="195" t="str">
        <f t="shared" si="6"/>
        <v>Modern Foreign Languages</v>
      </c>
      <c r="C98" s="459">
        <f t="shared" ref="C98:N98" si="20">C$78*$C63</f>
        <v>152756.61453669361</v>
      </c>
      <c r="D98" s="459">
        <f t="shared" si="20"/>
        <v>156791.64457202048</v>
      </c>
      <c r="E98" s="459">
        <f t="shared" si="20"/>
        <v>161157.27574106102</v>
      </c>
      <c r="F98" s="459">
        <f t="shared" si="20"/>
        <v>166671.60768449662</v>
      </c>
      <c r="G98" s="459">
        <f t="shared" si="20"/>
        <v>170611.49114417183</v>
      </c>
      <c r="H98" s="459">
        <f t="shared" si="20"/>
        <v>173711.9587943737</v>
      </c>
      <c r="I98" s="459">
        <f t="shared" si="20"/>
        <v>175998.77117851411</v>
      </c>
      <c r="J98" s="459">
        <f t="shared" si="20"/>
        <v>179518.97813908083</v>
      </c>
      <c r="K98" s="459">
        <f t="shared" si="20"/>
        <v>179916.76847539534</v>
      </c>
      <c r="L98" s="459">
        <f t="shared" si="20"/>
        <v>177462.7388379708</v>
      </c>
      <c r="M98" s="459">
        <f t="shared" si="20"/>
        <v>174012.99714246893</v>
      </c>
      <c r="N98" s="459">
        <f t="shared" si="20"/>
        <v>173229.54417349328</v>
      </c>
    </row>
    <row r="99" spans="1:15" s="5" customFormat="1">
      <c r="B99" s="195" t="str">
        <f t="shared" si="6"/>
        <v>Music</v>
      </c>
      <c r="C99" s="459">
        <f t="shared" ref="C99:N99" si="21">C$78*$C64</f>
        <v>57684.561049999276</v>
      </c>
      <c r="D99" s="459">
        <f t="shared" si="21"/>
        <v>59208.285159212777</v>
      </c>
      <c r="E99" s="459">
        <f t="shared" si="21"/>
        <v>60856.852184975229</v>
      </c>
      <c r="F99" s="459">
        <f t="shared" si="21"/>
        <v>62939.196171229669</v>
      </c>
      <c r="G99" s="459">
        <f t="shared" si="21"/>
        <v>64426.990651677028</v>
      </c>
      <c r="H99" s="459">
        <f t="shared" si="21"/>
        <v>65597.801591642288</v>
      </c>
      <c r="I99" s="459">
        <f t="shared" si="21"/>
        <v>66461.356790105769</v>
      </c>
      <c r="J99" s="459">
        <f t="shared" si="21"/>
        <v>67790.671359830434</v>
      </c>
      <c r="K99" s="459">
        <f t="shared" si="21"/>
        <v>67940.886530609321</v>
      </c>
      <c r="L99" s="459">
        <f t="shared" si="21"/>
        <v>67014.18608711056</v>
      </c>
      <c r="M99" s="459">
        <f t="shared" si="21"/>
        <v>65711.480891368585</v>
      </c>
      <c r="N99" s="459">
        <f t="shared" si="21"/>
        <v>65415.63026155626</v>
      </c>
    </row>
    <row r="100" spans="1:15" s="5" customFormat="1">
      <c r="B100" s="195" t="str">
        <f t="shared" si="6"/>
        <v>Others</v>
      </c>
      <c r="C100" s="459">
        <f t="shared" ref="C100:N100" si="22">C$78*$C65</f>
        <v>60908.042104412511</v>
      </c>
      <c r="D100" s="459">
        <f t="shared" si="22"/>
        <v>62516.913707319254</v>
      </c>
      <c r="E100" s="459">
        <f t="shared" si="22"/>
        <v>64257.604595649878</v>
      </c>
      <c r="F100" s="459">
        <f t="shared" si="22"/>
        <v>66456.312410739643</v>
      </c>
      <c r="G100" s="459">
        <f t="shared" si="22"/>
        <v>68027.246595005243</v>
      </c>
      <c r="H100" s="459">
        <f t="shared" si="22"/>
        <v>69263.483826071286</v>
      </c>
      <c r="I100" s="459">
        <f t="shared" si="22"/>
        <v>70175.295503755842</v>
      </c>
      <c r="J100" s="459">
        <f t="shared" si="22"/>
        <v>71578.893733663863</v>
      </c>
      <c r="K100" s="459">
        <f t="shared" si="22"/>
        <v>71737.503104698015</v>
      </c>
      <c r="L100" s="459">
        <f t="shared" si="22"/>
        <v>70759.017551486002</v>
      </c>
      <c r="M100" s="459">
        <f t="shared" si="22"/>
        <v>69383.515658646516</v>
      </c>
      <c r="N100" s="459">
        <f t="shared" si="22"/>
        <v>69071.132547997433</v>
      </c>
    </row>
    <row r="101" spans="1:15" s="5" customFormat="1">
      <c r="B101" s="195" t="str">
        <f t="shared" si="6"/>
        <v>Physical Education</v>
      </c>
      <c r="C101" s="459">
        <f t="shared" ref="C101:N101" si="23">C$78*$C66</f>
        <v>146226.9635538187</v>
      </c>
      <c r="D101" s="459">
        <f t="shared" si="23"/>
        <v>150089.51439460457</v>
      </c>
      <c r="E101" s="459">
        <f t="shared" si="23"/>
        <v>154268.53467324108</v>
      </c>
      <c r="F101" s="459">
        <f t="shared" si="23"/>
        <v>159547.15398908564</v>
      </c>
      <c r="G101" s="459">
        <f t="shared" si="23"/>
        <v>163318.62533788171</v>
      </c>
      <c r="H101" s="459">
        <f t="shared" si="23"/>
        <v>166286.56208786092</v>
      </c>
      <c r="I101" s="459">
        <f t="shared" si="23"/>
        <v>168475.62363628767</v>
      </c>
      <c r="J101" s="459">
        <f t="shared" si="23"/>
        <v>171845.3577488556</v>
      </c>
      <c r="K101" s="459">
        <f t="shared" si="23"/>
        <v>172226.14435627512</v>
      </c>
      <c r="L101" s="459">
        <f t="shared" si="23"/>
        <v>169877.01333212908</v>
      </c>
      <c r="M101" s="459">
        <f t="shared" si="23"/>
        <v>166574.7324148136</v>
      </c>
      <c r="N101" s="459">
        <f t="shared" si="23"/>
        <v>165824.76849941787</v>
      </c>
    </row>
    <row r="102" spans="1:15" s="5" customFormat="1">
      <c r="B102" s="195" t="str">
        <f t="shared" si="6"/>
        <v>Physics</v>
      </c>
      <c r="C102" s="459">
        <f t="shared" ref="C102:N102" si="24">C$78*$C67</f>
        <v>66778.468794464468</v>
      </c>
      <c r="D102" s="459">
        <f t="shared" si="24"/>
        <v>68542.406337307024</v>
      </c>
      <c r="E102" s="459">
        <f t="shared" si="24"/>
        <v>70450.868145485467</v>
      </c>
      <c r="F102" s="459">
        <f t="shared" si="24"/>
        <v>72861.491375935351</v>
      </c>
      <c r="G102" s="459">
        <f t="shared" si="24"/>
        <v>74583.835023467211</v>
      </c>
      <c r="H102" s="459">
        <f t="shared" si="24"/>
        <v>75939.223023228871</v>
      </c>
      <c r="I102" s="459">
        <f t="shared" si="24"/>
        <v>76938.916751034252</v>
      </c>
      <c r="J102" s="459">
        <f t="shared" si="24"/>
        <v>78477.796303839437</v>
      </c>
      <c r="K102" s="459">
        <f t="shared" si="24"/>
        <v>78651.692731440198</v>
      </c>
      <c r="L102" s="459">
        <f t="shared" si="24"/>
        <v>77578.898980017533</v>
      </c>
      <c r="M102" s="459">
        <f t="shared" si="24"/>
        <v>76070.823739801344</v>
      </c>
      <c r="N102" s="459">
        <f t="shared" si="24"/>
        <v>75728.332582876013</v>
      </c>
    </row>
    <row r="103" spans="1:15" s="5" customFormat="1">
      <c r="B103" s="195" t="str">
        <f t="shared" si="6"/>
        <v>Religious Education</v>
      </c>
      <c r="C103" s="459">
        <f t="shared" ref="C103:N103" si="25">C$78*$C68</f>
        <v>63628.730186083099</v>
      </c>
      <c r="D103" s="459">
        <f t="shared" si="25"/>
        <v>65309.468124595624</v>
      </c>
      <c r="E103" s="459">
        <f t="shared" si="25"/>
        <v>67127.913555514155</v>
      </c>
      <c r="F103" s="459">
        <f t="shared" si="25"/>
        <v>69424.834971647535</v>
      </c>
      <c r="G103" s="459">
        <f t="shared" si="25"/>
        <v>71065.940873219268</v>
      </c>
      <c r="H103" s="459">
        <f t="shared" si="25"/>
        <v>72357.399316205279</v>
      </c>
      <c r="I103" s="459">
        <f t="shared" si="25"/>
        <v>73309.940511347522</v>
      </c>
      <c r="J103" s="459">
        <f t="shared" si="25"/>
        <v>74776.235765221893</v>
      </c>
      <c r="K103" s="459">
        <f t="shared" si="25"/>
        <v>74941.930023743887</v>
      </c>
      <c r="L103" s="459">
        <f t="shared" si="25"/>
        <v>73919.73671223376</v>
      </c>
      <c r="M103" s="459">
        <f t="shared" si="25"/>
        <v>72482.792824595803</v>
      </c>
      <c r="N103" s="459">
        <f t="shared" si="25"/>
        <v>72156.455940738888</v>
      </c>
    </row>
    <row r="104" spans="1:15" s="5" customFormat="1">
      <c r="B104" s="195" t="str">
        <f t="shared" si="6"/>
        <v>Total</v>
      </c>
      <c r="C104" s="459">
        <f t="shared" ref="C104:N104" si="26">C$78*$C69</f>
        <v>1723321.1603193549</v>
      </c>
      <c r="D104" s="459">
        <f t="shared" si="26"/>
        <v>1768842.283339089</v>
      </c>
      <c r="E104" s="459">
        <f t="shared" si="26"/>
        <v>1818093.0774508561</v>
      </c>
      <c r="F104" s="459">
        <f t="shared" si="26"/>
        <v>1880302.9198983973</v>
      </c>
      <c r="G104" s="459">
        <f t="shared" si="26"/>
        <v>1924750.6484360027</v>
      </c>
      <c r="H104" s="459">
        <f t="shared" si="26"/>
        <v>1959728.5217325795</v>
      </c>
      <c r="I104" s="459">
        <f t="shared" si="26"/>
        <v>1985527.1569224349</v>
      </c>
      <c r="J104" s="459">
        <f t="shared" si="26"/>
        <v>2025240.3121415884</v>
      </c>
      <c r="K104" s="459">
        <f t="shared" si="26"/>
        <v>2029727.9770850705</v>
      </c>
      <c r="L104" s="459">
        <f t="shared" si="26"/>
        <v>2002042.8832837236</v>
      </c>
      <c r="M104" s="459">
        <f t="shared" si="26"/>
        <v>1963124.6807592346</v>
      </c>
      <c r="N104" s="459">
        <f t="shared" si="26"/>
        <v>1954286.1693556814</v>
      </c>
    </row>
    <row r="105" spans="1:15" s="5" customFormat="1">
      <c r="B105" s="771" t="s">
        <v>371</v>
      </c>
      <c r="D105" s="415">
        <f t="shared" ref="D105:N105" si="27">(D104/C104)-1</f>
        <v>2.6414764739091545E-2</v>
      </c>
      <c r="E105" s="415">
        <f t="shared" si="27"/>
        <v>2.7843519219133084E-2</v>
      </c>
      <c r="F105" s="415">
        <f t="shared" si="27"/>
        <v>3.421708339309304E-2</v>
      </c>
      <c r="G105" s="415">
        <f t="shared" si="27"/>
        <v>2.3638599965588147E-2</v>
      </c>
      <c r="H105" s="415">
        <f t="shared" si="27"/>
        <v>1.8172677756985722E-2</v>
      </c>
      <c r="I105" s="415">
        <f t="shared" si="27"/>
        <v>1.3164392365452304E-2</v>
      </c>
      <c r="J105" s="415">
        <f t="shared" si="27"/>
        <v>2.000131556030138E-2</v>
      </c>
      <c r="K105" s="415">
        <f t="shared" si="27"/>
        <v>2.2158678733470438E-3</v>
      </c>
      <c r="L105" s="415">
        <f t="shared" si="27"/>
        <v>-1.3639804995497884E-2</v>
      </c>
      <c r="M105" s="415">
        <f t="shared" si="27"/>
        <v>-1.9439245207703015E-2</v>
      </c>
      <c r="N105" s="415">
        <f t="shared" si="27"/>
        <v>-4.5022669676461069E-3</v>
      </c>
    </row>
    <row r="106" spans="1:15">
      <c r="A106" s="10">
        <f>O106</f>
        <v>0</v>
      </c>
      <c r="B106" s="12"/>
      <c r="C106" s="10">
        <f t="shared" ref="C106:N106" si="28">SUM(C85:C103)-C104</f>
        <v>0</v>
      </c>
      <c r="D106" s="10">
        <f t="shared" si="28"/>
        <v>0</v>
      </c>
      <c r="E106" s="10">
        <f t="shared" si="28"/>
        <v>0</v>
      </c>
      <c r="F106" s="10">
        <f t="shared" si="28"/>
        <v>0</v>
      </c>
      <c r="G106" s="10">
        <f t="shared" si="28"/>
        <v>0</v>
      </c>
      <c r="H106" s="10">
        <f t="shared" si="28"/>
        <v>0</v>
      </c>
      <c r="I106" s="10">
        <f t="shared" si="28"/>
        <v>0</v>
      </c>
      <c r="J106" s="10">
        <f t="shared" si="28"/>
        <v>0</v>
      </c>
      <c r="K106" s="10">
        <f t="shared" si="28"/>
        <v>0</v>
      </c>
      <c r="L106" s="10">
        <f t="shared" si="28"/>
        <v>0</v>
      </c>
      <c r="M106" s="10">
        <f t="shared" si="28"/>
        <v>0</v>
      </c>
      <c r="N106" s="10">
        <f t="shared" si="28"/>
        <v>0</v>
      </c>
      <c r="O106" s="10">
        <f>SUM(C106:N106)</f>
        <v>0</v>
      </c>
    </row>
    <row r="107" spans="1:15">
      <c r="A107" s="883"/>
      <c r="B107" s="12"/>
      <c r="C107" s="10"/>
      <c r="D107" s="10"/>
      <c r="E107" s="10"/>
      <c r="F107" s="10"/>
      <c r="G107" s="10"/>
      <c r="H107" s="10"/>
      <c r="I107" s="10"/>
      <c r="J107" s="10"/>
      <c r="K107" s="10"/>
      <c r="L107" s="10"/>
      <c r="M107" s="10"/>
      <c r="N107" s="10"/>
      <c r="O107" s="10"/>
    </row>
    <row r="108" spans="1:15">
      <c r="A108" s="883"/>
      <c r="B108" s="76" t="s">
        <v>79</v>
      </c>
      <c r="D108" s="12"/>
      <c r="E108" s="12"/>
      <c r="F108" s="12"/>
    </row>
    <row r="109" spans="1:15">
      <c r="A109" s="883"/>
      <c r="B109" s="12"/>
      <c r="D109" s="12"/>
      <c r="E109" s="12"/>
      <c r="F109" s="12"/>
    </row>
    <row r="110" spans="1:15">
      <c r="A110" s="883"/>
      <c r="B110" s="142" t="s">
        <v>62</v>
      </c>
      <c r="C110" s="8" t="str">
        <f t="shared" ref="C110:N110" si="29">C84</f>
        <v>2016/17</v>
      </c>
      <c r="D110" s="8" t="str">
        <f t="shared" si="29"/>
        <v>2017/18</v>
      </c>
      <c r="E110" s="8" t="str">
        <f t="shared" si="29"/>
        <v>2018/19</v>
      </c>
      <c r="F110" s="8" t="str">
        <f t="shared" si="29"/>
        <v>2019/20</v>
      </c>
      <c r="G110" s="8" t="str">
        <f t="shared" si="29"/>
        <v>2020/21</v>
      </c>
      <c r="H110" s="8" t="str">
        <f t="shared" si="29"/>
        <v>2021/22</v>
      </c>
      <c r="I110" s="8" t="str">
        <f t="shared" si="29"/>
        <v>2022/23</v>
      </c>
      <c r="J110" s="8" t="str">
        <f t="shared" si="29"/>
        <v>2023/24</v>
      </c>
      <c r="K110" s="8" t="str">
        <f t="shared" si="29"/>
        <v>2024/25</v>
      </c>
      <c r="L110" s="8" t="str">
        <f t="shared" si="29"/>
        <v>2025/26</v>
      </c>
      <c r="M110" s="8" t="str">
        <f t="shared" si="29"/>
        <v>2026/27</v>
      </c>
      <c r="N110" s="8" t="str">
        <f t="shared" si="29"/>
        <v>2027/28</v>
      </c>
    </row>
    <row r="111" spans="1:15" s="5" customFormat="1">
      <c r="A111" s="884"/>
      <c r="B111" s="195" t="str">
        <f t="shared" ref="B111:B129" si="30">B85</f>
        <v>Art &amp; Design</v>
      </c>
      <c r="C111" s="459">
        <f>C$79*$D50</f>
        <v>40874.752051247553</v>
      </c>
      <c r="D111" s="459">
        <f t="shared" ref="D111:N111" si="31">D$79*$D50</f>
        <v>41571.286007437353</v>
      </c>
      <c r="E111" s="459">
        <f t="shared" si="31"/>
        <v>43114.400873416722</v>
      </c>
      <c r="F111" s="459">
        <f t="shared" si="31"/>
        <v>44287.578502694589</v>
      </c>
      <c r="G111" s="459">
        <f t="shared" si="31"/>
        <v>45276.893117730047</v>
      </c>
      <c r="H111" s="459">
        <f t="shared" si="31"/>
        <v>46647.401438831468</v>
      </c>
      <c r="I111" s="459">
        <f t="shared" si="31"/>
        <v>48467.079998605717</v>
      </c>
      <c r="J111" s="459">
        <f t="shared" si="31"/>
        <v>49303.765994165704</v>
      </c>
      <c r="K111" s="459">
        <f t="shared" si="31"/>
        <v>49668.399022173224</v>
      </c>
      <c r="L111" s="459">
        <f t="shared" si="31"/>
        <v>50778.373302183449</v>
      </c>
      <c r="M111" s="459">
        <f t="shared" si="31"/>
        <v>51797.729428358085</v>
      </c>
      <c r="N111" s="459">
        <f t="shared" si="31"/>
        <v>51340.760296974739</v>
      </c>
    </row>
    <row r="112" spans="1:15" s="5" customFormat="1">
      <c r="A112" s="884"/>
      <c r="B112" s="195" t="str">
        <f t="shared" si="30"/>
        <v>Biology</v>
      </c>
      <c r="C112" s="459">
        <f t="shared" ref="C112:N112" si="32">C$79*$D51</f>
        <v>82034.177594141947</v>
      </c>
      <c r="D112" s="459">
        <f t="shared" si="32"/>
        <v>83432.096539088321</v>
      </c>
      <c r="E112" s="459">
        <f t="shared" si="32"/>
        <v>86529.073342891294</v>
      </c>
      <c r="F112" s="459">
        <f t="shared" si="32"/>
        <v>88883.599233812711</v>
      </c>
      <c r="G112" s="459">
        <f t="shared" si="32"/>
        <v>90869.118576524445</v>
      </c>
      <c r="H112" s="459">
        <f t="shared" si="32"/>
        <v>93619.680166880382</v>
      </c>
      <c r="I112" s="459">
        <f t="shared" si="32"/>
        <v>97271.710494785861</v>
      </c>
      <c r="J112" s="459">
        <f t="shared" si="32"/>
        <v>98950.90961174306</v>
      </c>
      <c r="K112" s="459">
        <f t="shared" si="32"/>
        <v>99682.715165909001</v>
      </c>
      <c r="L112" s="459">
        <f t="shared" si="32"/>
        <v>101910.39417658841</v>
      </c>
      <c r="M112" s="459">
        <f t="shared" si="32"/>
        <v>103956.20576662432</v>
      </c>
      <c r="N112" s="459">
        <f t="shared" si="32"/>
        <v>103039.08492802101</v>
      </c>
    </row>
    <row r="113" spans="1:14" s="5" customFormat="1">
      <c r="A113" s="884"/>
      <c r="B113" s="195" t="str">
        <f t="shared" si="30"/>
        <v>Business Studies</v>
      </c>
      <c r="C113" s="459">
        <f t="shared" ref="C113:N113" si="33">C$79*$D52</f>
        <v>29911.954583051167</v>
      </c>
      <c r="D113" s="459">
        <f t="shared" si="33"/>
        <v>30421.674912044979</v>
      </c>
      <c r="E113" s="459">
        <f t="shared" si="33"/>
        <v>31550.919236994883</v>
      </c>
      <c r="F113" s="459">
        <f t="shared" si="33"/>
        <v>32409.445202383347</v>
      </c>
      <c r="G113" s="459">
        <f t="shared" si="33"/>
        <v>33133.421063966241</v>
      </c>
      <c r="H113" s="459">
        <f t="shared" si="33"/>
        <v>34136.352717351729</v>
      </c>
      <c r="I113" s="459">
        <f t="shared" si="33"/>
        <v>35467.98507483922</v>
      </c>
      <c r="J113" s="459">
        <f t="shared" si="33"/>
        <v>36080.268018307281</v>
      </c>
      <c r="K113" s="459">
        <f t="shared" si="33"/>
        <v>36347.104782468363</v>
      </c>
      <c r="L113" s="459">
        <f t="shared" si="33"/>
        <v>37159.378829058143</v>
      </c>
      <c r="M113" s="459">
        <f t="shared" si="33"/>
        <v>37905.338929607795</v>
      </c>
      <c r="N113" s="459">
        <f t="shared" si="33"/>
        <v>37570.931031875291</v>
      </c>
    </row>
    <row r="114" spans="1:14" s="5" customFormat="1">
      <c r="A114" s="884"/>
      <c r="B114" s="195" t="str">
        <f t="shared" si="30"/>
        <v>Chemistry</v>
      </c>
      <c r="C114" s="459">
        <f t="shared" ref="C114:N114" si="34">C$79*$D53</f>
        <v>75840.819594422283</v>
      </c>
      <c r="D114" s="459">
        <f t="shared" si="34"/>
        <v>77133.199449021733</v>
      </c>
      <c r="E114" s="459">
        <f t="shared" si="34"/>
        <v>79996.362900569584</v>
      </c>
      <c r="F114" s="459">
        <f t="shared" si="34"/>
        <v>82173.128470247437</v>
      </c>
      <c r="G114" s="459">
        <f t="shared" si="34"/>
        <v>84008.746485665819</v>
      </c>
      <c r="H114" s="459">
        <f t="shared" si="34"/>
        <v>86551.648133191164</v>
      </c>
      <c r="I114" s="459">
        <f t="shared" si="34"/>
        <v>89927.960072616494</v>
      </c>
      <c r="J114" s="459">
        <f t="shared" si="34"/>
        <v>91480.384208838441</v>
      </c>
      <c r="K114" s="459">
        <f t="shared" si="34"/>
        <v>92156.940427714449</v>
      </c>
      <c r="L114" s="459">
        <f t="shared" si="34"/>
        <v>94216.435712705061</v>
      </c>
      <c r="M114" s="459">
        <f t="shared" si="34"/>
        <v>96107.794074237187</v>
      </c>
      <c r="N114" s="459">
        <f t="shared" si="34"/>
        <v>95259.913372477517</v>
      </c>
    </row>
    <row r="115" spans="1:14" s="5" customFormat="1">
      <c r="A115" s="884"/>
      <c r="B115" s="195" t="str">
        <f t="shared" si="30"/>
        <v>Classics</v>
      </c>
      <c r="C115" s="459">
        <f t="shared" ref="C115:N115" si="35">C$79*$D54</f>
        <v>1509.0957212682843</v>
      </c>
      <c r="D115" s="459">
        <f t="shared" si="35"/>
        <v>1534.811752809863</v>
      </c>
      <c r="E115" s="459">
        <f t="shared" si="35"/>
        <v>1591.7835489630306</v>
      </c>
      <c r="F115" s="459">
        <f t="shared" si="35"/>
        <v>1635.0972634636394</v>
      </c>
      <c r="G115" s="459">
        <f t="shared" si="35"/>
        <v>1671.6227560382815</v>
      </c>
      <c r="H115" s="459">
        <f t="shared" si="35"/>
        <v>1722.2219190801432</v>
      </c>
      <c r="I115" s="459">
        <f t="shared" si="35"/>
        <v>1789.4044459660802</v>
      </c>
      <c r="J115" s="459">
        <f t="shared" si="35"/>
        <v>1820.2948903744427</v>
      </c>
      <c r="K115" s="459">
        <f t="shared" si="35"/>
        <v>1833.7571406581715</v>
      </c>
      <c r="L115" s="459">
        <f t="shared" si="35"/>
        <v>1874.7373876962731</v>
      </c>
      <c r="M115" s="459">
        <f t="shared" si="35"/>
        <v>1912.3720127706974</v>
      </c>
      <c r="N115" s="459">
        <f t="shared" si="35"/>
        <v>1895.500713831497</v>
      </c>
    </row>
    <row r="116" spans="1:14" s="5" customFormat="1">
      <c r="A116" s="884"/>
      <c r="B116" s="195" t="str">
        <f t="shared" si="30"/>
        <v>Computing</v>
      </c>
      <c r="C116" s="459">
        <f t="shared" ref="C116:N116" si="36">C$79*$D55</f>
        <v>44492.773670989511</v>
      </c>
      <c r="D116" s="459">
        <f t="shared" si="36"/>
        <v>45250.961210037007</v>
      </c>
      <c r="E116" s="459">
        <f t="shared" si="36"/>
        <v>46930.664621920172</v>
      </c>
      <c r="F116" s="459">
        <f t="shared" si="36"/>
        <v>48207.68586647437</v>
      </c>
      <c r="G116" s="459">
        <f t="shared" si="36"/>
        <v>49284.569493829149</v>
      </c>
      <c r="H116" s="459">
        <f t="shared" si="36"/>
        <v>50776.388122319462</v>
      </c>
      <c r="I116" s="459">
        <f t="shared" si="36"/>
        <v>52757.135215597955</v>
      </c>
      <c r="J116" s="459">
        <f t="shared" si="36"/>
        <v>53667.880327579638</v>
      </c>
      <c r="K116" s="459">
        <f t="shared" si="36"/>
        <v>54064.788785097997</v>
      </c>
      <c r="L116" s="459">
        <f t="shared" si="36"/>
        <v>55273.012246837803</v>
      </c>
      <c r="M116" s="459">
        <f t="shared" si="36"/>
        <v>56382.596504502813</v>
      </c>
      <c r="N116" s="459">
        <f t="shared" si="36"/>
        <v>55885.178829362507</v>
      </c>
    </row>
    <row r="117" spans="1:14" s="5" customFormat="1">
      <c r="A117" s="884"/>
      <c r="B117" s="195" t="str">
        <f t="shared" si="30"/>
        <v>Design &amp; Technology</v>
      </c>
      <c r="C117" s="459">
        <f t="shared" ref="C117:N117" si="37">C$79*$D56</f>
        <v>48707.96555661095</v>
      </c>
      <c r="D117" s="459">
        <f t="shared" si="37"/>
        <v>49537.982871567787</v>
      </c>
      <c r="E117" s="459">
        <f t="shared" si="37"/>
        <v>51376.819365249299</v>
      </c>
      <c r="F117" s="459">
        <f t="shared" si="37"/>
        <v>52774.824067198526</v>
      </c>
      <c r="G117" s="459">
        <f t="shared" si="37"/>
        <v>53953.730354712701</v>
      </c>
      <c r="H117" s="459">
        <f t="shared" si="37"/>
        <v>55586.882086509439</v>
      </c>
      <c r="I117" s="459">
        <f t="shared" si="37"/>
        <v>57755.282778028304</v>
      </c>
      <c r="J117" s="459">
        <f t="shared" si="37"/>
        <v>58752.310786964954</v>
      </c>
      <c r="K117" s="459">
        <f t="shared" si="37"/>
        <v>59186.821874560672</v>
      </c>
      <c r="L117" s="459">
        <f t="shared" si="37"/>
        <v>60509.510974464632</v>
      </c>
      <c r="M117" s="459">
        <f t="shared" si="37"/>
        <v>61724.215910689913</v>
      </c>
      <c r="N117" s="459">
        <f t="shared" si="37"/>
        <v>61179.673483033148</v>
      </c>
    </row>
    <row r="118" spans="1:14" s="5" customFormat="1">
      <c r="A118" s="884"/>
      <c r="B118" s="195" t="str">
        <f t="shared" si="30"/>
        <v>Drama</v>
      </c>
      <c r="C118" s="459">
        <f t="shared" ref="C118:N118" si="38">C$79*$D57</f>
        <v>23106.989188682994</v>
      </c>
      <c r="D118" s="459">
        <f t="shared" si="38"/>
        <v>23500.748215650281</v>
      </c>
      <c r="E118" s="459">
        <f t="shared" si="38"/>
        <v>24373.089617999969</v>
      </c>
      <c r="F118" s="459">
        <f t="shared" si="38"/>
        <v>25036.30104891313</v>
      </c>
      <c r="G118" s="459">
        <f t="shared" si="38"/>
        <v>25595.57250541442</v>
      </c>
      <c r="H118" s="459">
        <f t="shared" si="38"/>
        <v>26370.337350935341</v>
      </c>
      <c r="I118" s="459">
        <f t="shared" si="38"/>
        <v>27399.023537333833</v>
      </c>
      <c r="J118" s="459">
        <f t="shared" si="38"/>
        <v>27872.012198634762</v>
      </c>
      <c r="K118" s="459">
        <f t="shared" si="38"/>
        <v>28078.143637069981</v>
      </c>
      <c r="L118" s="459">
        <f t="shared" si="38"/>
        <v>28705.625454103527</v>
      </c>
      <c r="M118" s="459">
        <f t="shared" si="38"/>
        <v>29281.879738347343</v>
      </c>
      <c r="N118" s="459">
        <f t="shared" si="38"/>
        <v>29023.549589574868</v>
      </c>
    </row>
    <row r="119" spans="1:14" s="5" customFormat="1">
      <c r="A119" s="884"/>
      <c r="B119" s="195" t="str">
        <f t="shared" si="30"/>
        <v>English</v>
      </c>
      <c r="C119" s="459">
        <f t="shared" ref="C119:N119" si="39">C$79*$D58</f>
        <v>204096.09031209612</v>
      </c>
      <c r="D119" s="459">
        <f t="shared" si="39"/>
        <v>207574.02840575649</v>
      </c>
      <c r="E119" s="459">
        <f t="shared" si="39"/>
        <v>215279.12006365805</v>
      </c>
      <c r="F119" s="459">
        <f t="shared" si="39"/>
        <v>221137.03859187377</v>
      </c>
      <c r="G119" s="459">
        <f t="shared" si="39"/>
        <v>226076.89106520981</v>
      </c>
      <c r="H119" s="459">
        <f t="shared" si="39"/>
        <v>232920.12254772248</v>
      </c>
      <c r="I119" s="459">
        <f t="shared" si="39"/>
        <v>242006.15392496565</v>
      </c>
      <c r="J119" s="459">
        <f t="shared" si="39"/>
        <v>246183.90013608828</v>
      </c>
      <c r="K119" s="459">
        <f t="shared" si="39"/>
        <v>248004.58825480004</v>
      </c>
      <c r="L119" s="459">
        <f t="shared" si="39"/>
        <v>253546.91938901809</v>
      </c>
      <c r="M119" s="459">
        <f t="shared" si="39"/>
        <v>258636.77534036635</v>
      </c>
      <c r="N119" s="459">
        <f t="shared" si="39"/>
        <v>256355.03396144073</v>
      </c>
    </row>
    <row r="120" spans="1:14" s="5" customFormat="1">
      <c r="A120" s="884"/>
      <c r="B120" s="195" t="str">
        <f t="shared" si="30"/>
        <v>Food</v>
      </c>
      <c r="C120" s="459">
        <f t="shared" ref="C120:N120" si="40">C$79*$D59</f>
        <v>19422.467817674908</v>
      </c>
      <c r="D120" s="459">
        <f t="shared" si="40"/>
        <v>19753.440060174449</v>
      </c>
      <c r="E120" s="459">
        <f t="shared" si="40"/>
        <v>20486.682399745907</v>
      </c>
      <c r="F120" s="459">
        <f t="shared" si="40"/>
        <v>21044.14155498426</v>
      </c>
      <c r="G120" s="459">
        <f t="shared" si="40"/>
        <v>21514.234468281702</v>
      </c>
      <c r="H120" s="459">
        <f t="shared" si="40"/>
        <v>22165.4593057333</v>
      </c>
      <c r="I120" s="459">
        <f t="shared" si="40"/>
        <v>23030.116496103943</v>
      </c>
      <c r="J120" s="459">
        <f t="shared" si="40"/>
        <v>23427.684823904165</v>
      </c>
      <c r="K120" s="459">
        <f t="shared" si="40"/>
        <v>23600.947605849804</v>
      </c>
      <c r="L120" s="459">
        <f t="shared" si="40"/>
        <v>24128.374407238498</v>
      </c>
      <c r="M120" s="459">
        <f t="shared" si="40"/>
        <v>24612.742154119362</v>
      </c>
      <c r="N120" s="459">
        <f t="shared" si="40"/>
        <v>24395.603999083309</v>
      </c>
    </row>
    <row r="121" spans="1:14" s="5" customFormat="1">
      <c r="A121" s="884"/>
      <c r="B121" s="195" t="str">
        <f t="shared" si="30"/>
        <v>Geography</v>
      </c>
      <c r="C121" s="459">
        <f t="shared" ref="C121:N121" si="41">C$79*$D60</f>
        <v>54466.017209932026</v>
      </c>
      <c r="D121" s="459">
        <f t="shared" si="41"/>
        <v>55394.155694969704</v>
      </c>
      <c r="E121" s="459">
        <f t="shared" si="41"/>
        <v>57450.37173615714</v>
      </c>
      <c r="F121" s="459">
        <f t="shared" si="41"/>
        <v>59013.642697811949</v>
      </c>
      <c r="G121" s="459">
        <f t="shared" si="41"/>
        <v>60331.91434826747</v>
      </c>
      <c r="H121" s="459">
        <f t="shared" si="41"/>
        <v>62158.130436621381</v>
      </c>
      <c r="I121" s="459">
        <f t="shared" si="41"/>
        <v>64582.870374589605</v>
      </c>
      <c r="J121" s="459">
        <f t="shared" si="41"/>
        <v>65697.762858251488</v>
      </c>
      <c r="K121" s="459">
        <f t="shared" si="41"/>
        <v>66183.640026481589</v>
      </c>
      <c r="L121" s="459">
        <f t="shared" si="41"/>
        <v>67662.691891109935</v>
      </c>
      <c r="M121" s="459">
        <f t="shared" si="41"/>
        <v>69020.994156568762</v>
      </c>
      <c r="N121" s="459">
        <f t="shared" si="41"/>
        <v>68412.078204170379</v>
      </c>
    </row>
    <row r="122" spans="1:14" s="5" customFormat="1">
      <c r="A122" s="884"/>
      <c r="B122" s="195" t="str">
        <f t="shared" si="30"/>
        <v>History</v>
      </c>
      <c r="C122" s="459">
        <f t="shared" ref="C122:N122" si="42">C$79*$D61</f>
        <v>58627.318091538211</v>
      </c>
      <c r="D122" s="459">
        <f t="shared" si="42"/>
        <v>59626.368012621482</v>
      </c>
      <c r="E122" s="459">
        <f t="shared" si="42"/>
        <v>61839.682627622125</v>
      </c>
      <c r="F122" s="459">
        <f t="shared" si="42"/>
        <v>63522.39027960533</v>
      </c>
      <c r="G122" s="459">
        <f t="shared" si="42"/>
        <v>64941.380235937577</v>
      </c>
      <c r="H122" s="459">
        <f t="shared" si="42"/>
        <v>66907.122491390866</v>
      </c>
      <c r="I122" s="459">
        <f t="shared" si="42"/>
        <v>69517.116886328877</v>
      </c>
      <c r="J122" s="459">
        <f t="shared" si="42"/>
        <v>70717.189144698292</v>
      </c>
      <c r="K122" s="459">
        <f t="shared" si="42"/>
        <v>71240.188195380601</v>
      </c>
      <c r="L122" s="459">
        <f t="shared" si="42"/>
        <v>72832.242261078587</v>
      </c>
      <c r="M122" s="459">
        <f t="shared" si="42"/>
        <v>74294.321242814578</v>
      </c>
      <c r="N122" s="459">
        <f t="shared" si="42"/>
        <v>73638.883025353687</v>
      </c>
    </row>
    <row r="123" spans="1:14" s="5" customFormat="1">
      <c r="A123" s="884"/>
      <c r="B123" s="195" t="str">
        <f t="shared" si="30"/>
        <v>Mathematics</v>
      </c>
      <c r="C123" s="459">
        <f t="shared" ref="C123:N123" si="43">C$79*$D62</f>
        <v>196158.5114513562</v>
      </c>
      <c r="D123" s="459">
        <f t="shared" si="43"/>
        <v>199501.18772863885</v>
      </c>
      <c r="E123" s="459">
        <f t="shared" si="43"/>
        <v>206906.61772927741</v>
      </c>
      <c r="F123" s="459">
        <f t="shared" si="43"/>
        <v>212536.71371465854</v>
      </c>
      <c r="G123" s="459">
        <f t="shared" si="43"/>
        <v>217284.44850211649</v>
      </c>
      <c r="H123" s="459">
        <f t="shared" si="43"/>
        <v>223861.53726003467</v>
      </c>
      <c r="I123" s="459">
        <f t="shared" si="43"/>
        <v>232594.20032690139</v>
      </c>
      <c r="J123" s="459">
        <f t="shared" si="43"/>
        <v>236609.46821734559</v>
      </c>
      <c r="K123" s="459">
        <f t="shared" si="43"/>
        <v>238359.34726028825</v>
      </c>
      <c r="L123" s="459">
        <f t="shared" si="43"/>
        <v>243686.12948133054</v>
      </c>
      <c r="M123" s="459">
        <f t="shared" si="43"/>
        <v>248578.03390434795</v>
      </c>
      <c r="N123" s="459">
        <f t="shared" si="43"/>
        <v>246385.03259931272</v>
      </c>
    </row>
    <row r="124" spans="1:14" s="5" customFormat="1">
      <c r="A124" s="884"/>
      <c r="B124" s="195" t="str">
        <f t="shared" si="30"/>
        <v>Modern Foreign Languages</v>
      </c>
      <c r="C124" s="459">
        <f t="shared" ref="C124:N124" si="44">C$79*$D63</f>
        <v>73955.761201379952</v>
      </c>
      <c r="D124" s="459">
        <f t="shared" si="44"/>
        <v>75216.018361302049</v>
      </c>
      <c r="E124" s="459">
        <f t="shared" si="44"/>
        <v>78008.016570651089</v>
      </c>
      <c r="F124" s="459">
        <f t="shared" si="44"/>
        <v>80130.677632641004</v>
      </c>
      <c r="G124" s="459">
        <f t="shared" si="44"/>
        <v>81920.670519469146</v>
      </c>
      <c r="H124" s="459">
        <f t="shared" si="44"/>
        <v>84400.367178981673</v>
      </c>
      <c r="I124" s="459">
        <f t="shared" si="44"/>
        <v>87692.759334931834</v>
      </c>
      <c r="J124" s="459">
        <f t="shared" si="44"/>
        <v>89206.597256458364</v>
      </c>
      <c r="K124" s="459">
        <f t="shared" si="44"/>
        <v>89866.337359876008</v>
      </c>
      <c r="L124" s="459">
        <f t="shared" si="44"/>
        <v>91874.642943948769</v>
      </c>
      <c r="M124" s="459">
        <f t="shared" si="44"/>
        <v>93718.990724995048</v>
      </c>
      <c r="N124" s="459">
        <f t="shared" si="44"/>
        <v>92892.184487378792</v>
      </c>
    </row>
    <row r="125" spans="1:14" s="5" customFormat="1">
      <c r="A125" s="884"/>
      <c r="B125" s="195" t="str">
        <f t="shared" si="30"/>
        <v>Music</v>
      </c>
      <c r="C125" s="459">
        <f t="shared" ref="C125:N125" si="45">C$79*$D64</f>
        <v>18283.542597235639</v>
      </c>
      <c r="D125" s="459">
        <f t="shared" si="45"/>
        <v>18595.106768743037</v>
      </c>
      <c r="E125" s="459">
        <f t="shared" si="45"/>
        <v>19285.352090578577</v>
      </c>
      <c r="F125" s="459">
        <f t="shared" si="45"/>
        <v>19810.122078959979</v>
      </c>
      <c r="G125" s="459">
        <f t="shared" si="45"/>
        <v>20252.64894452702</v>
      </c>
      <c r="H125" s="459">
        <f t="shared" si="45"/>
        <v>20865.68623554978</v>
      </c>
      <c r="I125" s="459">
        <f t="shared" si="45"/>
        <v>21679.640297440987</v>
      </c>
      <c r="J125" s="459">
        <f t="shared" si="45"/>
        <v>22053.895388240115</v>
      </c>
      <c r="K125" s="459">
        <f t="shared" si="45"/>
        <v>22216.998114626709</v>
      </c>
      <c r="L125" s="459">
        <f t="shared" si="45"/>
        <v>22713.496833565936</v>
      </c>
      <c r="M125" s="459">
        <f t="shared" si="45"/>
        <v>23169.461462569678</v>
      </c>
      <c r="N125" s="459">
        <f t="shared" si="45"/>
        <v>22965.05619623818</v>
      </c>
    </row>
    <row r="126" spans="1:14" s="5" customFormat="1">
      <c r="A126" s="884"/>
      <c r="B126" s="195" t="str">
        <f t="shared" si="30"/>
        <v>Others</v>
      </c>
      <c r="C126" s="459">
        <f t="shared" ref="C126:N126" si="46">C$79*$D65</f>
        <v>73409.248321825376</v>
      </c>
      <c r="D126" s="459">
        <f t="shared" si="46"/>
        <v>74660.192525484716</v>
      </c>
      <c r="E126" s="459">
        <f t="shared" si="46"/>
        <v>77431.558630501167</v>
      </c>
      <c r="F126" s="459">
        <f t="shared" si="46"/>
        <v>79538.533806895939</v>
      </c>
      <c r="G126" s="459">
        <f t="shared" si="46"/>
        <v>81315.299135098889</v>
      </c>
      <c r="H126" s="459">
        <f t="shared" si="46"/>
        <v>83776.671513449299</v>
      </c>
      <c r="I126" s="459">
        <f t="shared" si="46"/>
        <v>87044.733790448285</v>
      </c>
      <c r="J126" s="459">
        <f t="shared" si="46"/>
        <v>88547.384863131228</v>
      </c>
      <c r="K126" s="459">
        <f t="shared" si="46"/>
        <v>89202.249667345415</v>
      </c>
      <c r="L126" s="459">
        <f t="shared" si="46"/>
        <v>91195.71442157682</v>
      </c>
      <c r="M126" s="459">
        <f t="shared" si="46"/>
        <v>93026.432976172771</v>
      </c>
      <c r="N126" s="459">
        <f t="shared" si="46"/>
        <v>92205.736610869557</v>
      </c>
    </row>
    <row r="127" spans="1:14" s="5" customFormat="1">
      <c r="A127" s="884"/>
      <c r="B127" s="195" t="str">
        <f t="shared" si="30"/>
        <v>Physical Education</v>
      </c>
      <c r="C127" s="459">
        <f t="shared" ref="C127:N127" si="47">C$79*$D66</f>
        <v>108519.03078537477</v>
      </c>
      <c r="D127" s="459">
        <f t="shared" si="47"/>
        <v>110368.26988877167</v>
      </c>
      <c r="E127" s="459">
        <f t="shared" si="47"/>
        <v>114465.11014450291</v>
      </c>
      <c r="F127" s="459">
        <f t="shared" si="47"/>
        <v>117579.79813352603</v>
      </c>
      <c r="G127" s="459">
        <f t="shared" si="47"/>
        <v>120206.34527516615</v>
      </c>
      <c r="H127" s="459">
        <f t="shared" si="47"/>
        <v>123844.92966346408</v>
      </c>
      <c r="I127" s="459">
        <f t="shared" si="47"/>
        <v>128676.02327841852</v>
      </c>
      <c r="J127" s="459">
        <f t="shared" si="47"/>
        <v>130897.35426523474</v>
      </c>
      <c r="K127" s="459">
        <f t="shared" si="47"/>
        <v>131865.42430372944</v>
      </c>
      <c r="L127" s="459">
        <f t="shared" si="47"/>
        <v>134812.31271328806</v>
      </c>
      <c r="M127" s="459">
        <f t="shared" si="47"/>
        <v>137518.61754172872</v>
      </c>
      <c r="N127" s="459">
        <f t="shared" si="47"/>
        <v>136305.40291049666</v>
      </c>
    </row>
    <row r="128" spans="1:14" s="5" customFormat="1">
      <c r="A128" s="884"/>
      <c r="B128" s="195" t="str">
        <f t="shared" si="30"/>
        <v>Physics</v>
      </c>
      <c r="C128" s="459">
        <f t="shared" ref="C128:N128" si="48">C$79*$D67</f>
        <v>75943.157788373937</v>
      </c>
      <c r="D128" s="459">
        <f t="shared" si="48"/>
        <v>77237.281556355738</v>
      </c>
      <c r="E128" s="459">
        <f t="shared" si="48"/>
        <v>80104.308507509559</v>
      </c>
      <c r="F128" s="459">
        <f t="shared" si="48"/>
        <v>82284.011364234786</v>
      </c>
      <c r="G128" s="459">
        <f t="shared" si="48"/>
        <v>84122.106328524329</v>
      </c>
      <c r="H128" s="459">
        <f t="shared" si="48"/>
        <v>86668.439320323087</v>
      </c>
      <c r="I128" s="459">
        <f t="shared" si="48"/>
        <v>90049.307192397158</v>
      </c>
      <c r="J128" s="459">
        <f t="shared" si="48"/>
        <v>91603.826140927267</v>
      </c>
      <c r="K128" s="459">
        <f t="shared" si="48"/>
        <v>92281.295292204552</v>
      </c>
      <c r="L128" s="459">
        <f t="shared" si="48"/>
        <v>94343.569621897535</v>
      </c>
      <c r="M128" s="459">
        <f t="shared" si="48"/>
        <v>96237.480147289039</v>
      </c>
      <c r="N128" s="459">
        <f t="shared" si="48"/>
        <v>95388.455331051591</v>
      </c>
    </row>
    <row r="129" spans="1:15" s="5" customFormat="1">
      <c r="A129" s="884"/>
      <c r="B129" s="195" t="str">
        <f t="shared" si="30"/>
        <v>Religious Education</v>
      </c>
      <c r="C129" s="459">
        <f t="shared" ref="C129:N129" si="49">C$79*$D68</f>
        <v>45076.357035027657</v>
      </c>
      <c r="D129" s="459">
        <f t="shared" si="49"/>
        <v>45844.489236951886</v>
      </c>
      <c r="E129" s="459">
        <f t="shared" si="49"/>
        <v>47546.224248279541</v>
      </c>
      <c r="F129" s="459">
        <f t="shared" si="49"/>
        <v>48839.995366854986</v>
      </c>
      <c r="G129" s="459">
        <f t="shared" si="49"/>
        <v>49931.003790622242</v>
      </c>
      <c r="H129" s="459">
        <f t="shared" si="49"/>
        <v>51442.38965356251</v>
      </c>
      <c r="I129" s="459">
        <f t="shared" si="49"/>
        <v>53449.116944446847</v>
      </c>
      <c r="J129" s="459">
        <f t="shared" si="49"/>
        <v>54371.807719788645</v>
      </c>
      <c r="K129" s="459">
        <f t="shared" si="49"/>
        <v>54773.922172657323</v>
      </c>
      <c r="L129" s="459">
        <f t="shared" si="49"/>
        <v>55997.993131735144</v>
      </c>
      <c r="M129" s="459">
        <f t="shared" si="49"/>
        <v>57122.131099145474</v>
      </c>
      <c r="N129" s="459">
        <f t="shared" si="49"/>
        <v>56618.189113285931</v>
      </c>
    </row>
    <row r="130" spans="1:15" s="5" customFormat="1">
      <c r="A130" s="884"/>
      <c r="B130" s="141" t="s">
        <v>8</v>
      </c>
      <c r="C130" s="459">
        <f t="shared" ref="C130:N130" si="50">C$79*$D69</f>
        <v>1274436.0305722291</v>
      </c>
      <c r="D130" s="459">
        <f t="shared" si="50"/>
        <v>1296153.299197427</v>
      </c>
      <c r="E130" s="459">
        <f t="shared" si="50"/>
        <v>1344266.1582564882</v>
      </c>
      <c r="F130" s="459">
        <f t="shared" si="50"/>
        <v>1380844.7248772341</v>
      </c>
      <c r="G130" s="459">
        <f t="shared" si="50"/>
        <v>1411690.6169671016</v>
      </c>
      <c r="H130" s="459">
        <f t="shared" si="50"/>
        <v>1454421.7675419319</v>
      </c>
      <c r="I130" s="459">
        <f t="shared" si="50"/>
        <v>1511157.6204647461</v>
      </c>
      <c r="J130" s="459">
        <f t="shared" si="50"/>
        <v>1537244.6968506761</v>
      </c>
      <c r="K130" s="459">
        <f t="shared" si="50"/>
        <v>1548613.6090888912</v>
      </c>
      <c r="L130" s="459">
        <f t="shared" si="50"/>
        <v>1583221.5551794248</v>
      </c>
      <c r="M130" s="459">
        <f t="shared" si="50"/>
        <v>1615004.1131152555</v>
      </c>
      <c r="N130" s="459">
        <f t="shared" si="50"/>
        <v>1600756.2486838319</v>
      </c>
    </row>
    <row r="131" spans="1:15" s="5" customFormat="1">
      <c r="A131" s="884"/>
      <c r="B131" s="771" t="s">
        <v>371</v>
      </c>
      <c r="D131" s="415">
        <f t="shared" ref="D131:N131" si="51">(D130/C130)-1</f>
        <v>1.704068945339432E-2</v>
      </c>
      <c r="E131" s="415">
        <f t="shared" si="51"/>
        <v>3.711972888457904E-2</v>
      </c>
      <c r="F131" s="415">
        <f t="shared" si="51"/>
        <v>2.7210806726093884E-2</v>
      </c>
      <c r="G131" s="415">
        <f t="shared" si="51"/>
        <v>2.2338421934160468E-2</v>
      </c>
      <c r="H131" s="415">
        <f t="shared" si="51"/>
        <v>3.0269486855862615E-2</v>
      </c>
      <c r="I131" s="415">
        <f t="shared" si="51"/>
        <v>3.9009216025899685E-2</v>
      </c>
      <c r="J131" s="415">
        <f t="shared" si="51"/>
        <v>1.7262975107723788E-2</v>
      </c>
      <c r="K131" s="415">
        <f t="shared" si="51"/>
        <v>7.3956425164494188E-3</v>
      </c>
      <c r="L131" s="415">
        <f t="shared" si="51"/>
        <v>2.2347695956833835E-2</v>
      </c>
      <c r="M131" s="415">
        <f t="shared" si="51"/>
        <v>2.0074611687704635E-2</v>
      </c>
      <c r="N131" s="415">
        <f t="shared" si="51"/>
        <v>-8.8221846097594758E-3</v>
      </c>
    </row>
    <row r="132" spans="1:15">
      <c r="A132" s="10">
        <f>O132</f>
        <v>0</v>
      </c>
      <c r="B132" s="12"/>
      <c r="C132" s="10">
        <f t="shared" ref="C132:N132" si="52">SUM(C111:C129)-C130</f>
        <v>0</v>
      </c>
      <c r="D132" s="10">
        <f t="shared" si="52"/>
        <v>0</v>
      </c>
      <c r="E132" s="10">
        <f t="shared" si="52"/>
        <v>0</v>
      </c>
      <c r="F132" s="10">
        <f t="shared" si="52"/>
        <v>0</v>
      </c>
      <c r="G132" s="10">
        <f t="shared" si="52"/>
        <v>0</v>
      </c>
      <c r="H132" s="10">
        <f t="shared" si="52"/>
        <v>0</v>
      </c>
      <c r="I132" s="10">
        <f t="shared" si="52"/>
        <v>0</v>
      </c>
      <c r="J132" s="10">
        <f t="shared" si="52"/>
        <v>0</v>
      </c>
      <c r="K132" s="10">
        <f t="shared" si="52"/>
        <v>0</v>
      </c>
      <c r="L132" s="10">
        <f t="shared" si="52"/>
        <v>0</v>
      </c>
      <c r="M132" s="10">
        <f t="shared" si="52"/>
        <v>0</v>
      </c>
      <c r="N132" s="10">
        <f t="shared" si="52"/>
        <v>0</v>
      </c>
      <c r="O132" s="10">
        <f>SUM(C132:N132)</f>
        <v>0</v>
      </c>
    </row>
    <row r="133" spans="1:15">
      <c r="A133" s="883"/>
      <c r="B133" s="12"/>
      <c r="C133" s="10"/>
      <c r="D133" s="10"/>
      <c r="E133" s="10"/>
      <c r="F133" s="10"/>
      <c r="G133" s="10"/>
      <c r="H133" s="10"/>
      <c r="I133" s="10"/>
      <c r="J133" s="10"/>
      <c r="K133" s="10"/>
      <c r="L133" s="10"/>
      <c r="M133" s="10"/>
      <c r="N133" s="10"/>
      <c r="O133" s="10"/>
    </row>
    <row r="134" spans="1:15">
      <c r="A134" s="883"/>
      <c r="B134" s="76" t="s">
        <v>80</v>
      </c>
      <c r="D134" s="12"/>
      <c r="E134" s="12"/>
      <c r="F134" s="12"/>
    </row>
    <row r="135" spans="1:15">
      <c r="A135" s="883"/>
      <c r="B135" s="12"/>
      <c r="D135" s="12"/>
      <c r="E135" s="12"/>
      <c r="F135" s="12"/>
    </row>
    <row r="136" spans="1:15">
      <c r="A136" s="883"/>
      <c r="B136" s="142" t="s">
        <v>62</v>
      </c>
      <c r="C136" s="8" t="str">
        <f t="shared" ref="C136:N136" si="53">C110</f>
        <v>2016/17</v>
      </c>
      <c r="D136" s="8" t="str">
        <f t="shared" si="53"/>
        <v>2017/18</v>
      </c>
      <c r="E136" s="8" t="str">
        <f t="shared" si="53"/>
        <v>2018/19</v>
      </c>
      <c r="F136" s="8" t="str">
        <f t="shared" si="53"/>
        <v>2019/20</v>
      </c>
      <c r="G136" s="8" t="str">
        <f t="shared" si="53"/>
        <v>2020/21</v>
      </c>
      <c r="H136" s="8" t="str">
        <f t="shared" si="53"/>
        <v>2021/22</v>
      </c>
      <c r="I136" s="8" t="str">
        <f t="shared" si="53"/>
        <v>2022/23</v>
      </c>
      <c r="J136" s="8" t="str">
        <f t="shared" si="53"/>
        <v>2023/24</v>
      </c>
      <c r="K136" s="8" t="str">
        <f t="shared" si="53"/>
        <v>2024/25</v>
      </c>
      <c r="L136" s="8" t="str">
        <f t="shared" si="53"/>
        <v>2025/26</v>
      </c>
      <c r="M136" s="8" t="str">
        <f t="shared" si="53"/>
        <v>2026/27</v>
      </c>
      <c r="N136" s="8" t="str">
        <f t="shared" si="53"/>
        <v>2027/28</v>
      </c>
    </row>
    <row r="137" spans="1:15" s="5" customFormat="1">
      <c r="A137" s="884"/>
      <c r="B137" s="195" t="str">
        <f t="shared" ref="B137:B156" si="54">B85</f>
        <v>Art &amp; Design</v>
      </c>
      <c r="C137" s="459">
        <f>C$80*$E50</f>
        <v>29032.239381786956</v>
      </c>
      <c r="D137" s="459">
        <f t="shared" ref="D137:N137" si="55">D$80*$E50</f>
        <v>28410.099343874448</v>
      </c>
      <c r="E137" s="459">
        <f t="shared" si="55"/>
        <v>27792.507517482612</v>
      </c>
      <c r="F137" s="459">
        <f t="shared" si="55"/>
        <v>27526.704246958278</v>
      </c>
      <c r="G137" s="459">
        <f t="shared" si="55"/>
        <v>27634.203518445385</v>
      </c>
      <c r="H137" s="459">
        <f t="shared" si="55"/>
        <v>28087.476342888836</v>
      </c>
      <c r="I137" s="459">
        <f t="shared" si="55"/>
        <v>28931.06899413764</v>
      </c>
      <c r="J137" s="459">
        <f t="shared" si="55"/>
        <v>29787.419813766603</v>
      </c>
      <c r="K137" s="459">
        <f t="shared" si="55"/>
        <v>30693.248751430772</v>
      </c>
      <c r="L137" s="459">
        <f t="shared" si="55"/>
        <v>31343.891796778262</v>
      </c>
      <c r="M137" s="459">
        <f t="shared" si="55"/>
        <v>31879.779794968043</v>
      </c>
      <c r="N137" s="459">
        <f t="shared" si="55"/>
        <v>32395.276950227188</v>
      </c>
    </row>
    <row r="138" spans="1:15" s="5" customFormat="1">
      <c r="A138" s="884"/>
      <c r="B138" s="195" t="str">
        <f t="shared" si="54"/>
        <v>Biology</v>
      </c>
      <c r="C138" s="459">
        <f t="shared" ref="C138:N138" si="56">C$80*$E51</f>
        <v>38872.518022446966</v>
      </c>
      <c r="D138" s="459">
        <f t="shared" si="56"/>
        <v>38039.507880920944</v>
      </c>
      <c r="E138" s="459">
        <f t="shared" si="56"/>
        <v>37212.587536051047</v>
      </c>
      <c r="F138" s="459">
        <f t="shared" si="56"/>
        <v>36856.69206798169</v>
      </c>
      <c r="G138" s="459">
        <f t="shared" si="56"/>
        <v>37000.627481069532</v>
      </c>
      <c r="H138" s="459">
        <f t="shared" si="56"/>
        <v>37607.534024018372</v>
      </c>
      <c r="I138" s="459">
        <f t="shared" si="56"/>
        <v>38737.056625015008</v>
      </c>
      <c r="J138" s="459">
        <f t="shared" si="56"/>
        <v>39883.661688158958</v>
      </c>
      <c r="K138" s="459">
        <f t="shared" si="56"/>
        <v>41096.515138475101</v>
      </c>
      <c r="L138" s="459">
        <f t="shared" si="56"/>
        <v>41967.689186534124</v>
      </c>
      <c r="M138" s="459">
        <f t="shared" si="56"/>
        <v>42685.212750379964</v>
      </c>
      <c r="N138" s="459">
        <f t="shared" si="56"/>
        <v>43375.434134780036</v>
      </c>
    </row>
    <row r="139" spans="1:15" s="5" customFormat="1">
      <c r="A139" s="884"/>
      <c r="B139" s="195" t="str">
        <f t="shared" si="54"/>
        <v>Business Studies</v>
      </c>
      <c r="C139" s="459">
        <f t="shared" ref="C139:N139" si="57">C$80*$E52</f>
        <v>37435.996339728903</v>
      </c>
      <c r="D139" s="459">
        <f t="shared" si="57"/>
        <v>36633.769826099975</v>
      </c>
      <c r="E139" s="459">
        <f t="shared" si="57"/>
        <v>35837.408062606271</v>
      </c>
      <c r="F139" s="459">
        <f t="shared" si="57"/>
        <v>35494.664599672462</v>
      </c>
      <c r="G139" s="459">
        <f t="shared" si="57"/>
        <v>35633.280924820268</v>
      </c>
      <c r="H139" s="459">
        <f t="shared" si="57"/>
        <v>36217.759427274643</v>
      </c>
      <c r="I139" s="459">
        <f t="shared" si="57"/>
        <v>37305.540875652485</v>
      </c>
      <c r="J139" s="459">
        <f t="shared" si="57"/>
        <v>38409.773509159393</v>
      </c>
      <c r="K139" s="459">
        <f t="shared" si="57"/>
        <v>39577.806341517819</v>
      </c>
      <c r="L139" s="459">
        <f t="shared" si="57"/>
        <v>40416.786426511848</v>
      </c>
      <c r="M139" s="459">
        <f t="shared" si="57"/>
        <v>41107.79413263192</v>
      </c>
      <c r="N139" s="459">
        <f t="shared" si="57"/>
        <v>41772.508602764334</v>
      </c>
    </row>
    <row r="140" spans="1:15" s="5" customFormat="1">
      <c r="A140" s="884"/>
      <c r="B140" s="195" t="str">
        <f t="shared" si="54"/>
        <v>Chemistry</v>
      </c>
      <c r="C140" s="459">
        <f t="shared" ref="C140:N140" si="58">C$80*$E53</f>
        <v>32403.189388219624</v>
      </c>
      <c r="D140" s="459">
        <f t="shared" si="58"/>
        <v>31708.812312811522</v>
      </c>
      <c r="E140" s="459">
        <f t="shared" si="58"/>
        <v>31019.511544378711</v>
      </c>
      <c r="F140" s="459">
        <f t="shared" si="58"/>
        <v>30722.8457032927</v>
      </c>
      <c r="G140" s="459">
        <f t="shared" si="58"/>
        <v>30842.82677699787</v>
      </c>
      <c r="H140" s="459">
        <f t="shared" si="58"/>
        <v>31348.72936969241</v>
      </c>
      <c r="I140" s="459">
        <f t="shared" si="58"/>
        <v>32290.272048693383</v>
      </c>
      <c r="J140" s="459">
        <f t="shared" si="58"/>
        <v>33246.054254340321</v>
      </c>
      <c r="K140" s="459">
        <f t="shared" si="58"/>
        <v>34257.059510754523</v>
      </c>
      <c r="L140" s="459">
        <f t="shared" si="58"/>
        <v>34983.24909417842</v>
      </c>
      <c r="M140" s="459">
        <f t="shared" si="58"/>
        <v>35581.359355941786</v>
      </c>
      <c r="N140" s="459">
        <f t="shared" si="58"/>
        <v>36156.711182278319</v>
      </c>
    </row>
    <row r="141" spans="1:15" s="5" customFormat="1">
      <c r="A141" s="884"/>
      <c r="B141" s="195" t="str">
        <f t="shared" si="54"/>
        <v>Classics</v>
      </c>
      <c r="C141" s="459">
        <f t="shared" ref="C141:N141" si="59">C$80*$E54</f>
        <v>2126.3641921890462</v>
      </c>
      <c r="D141" s="459">
        <f t="shared" si="59"/>
        <v>2080.7977347846549</v>
      </c>
      <c r="E141" s="459">
        <f t="shared" si="59"/>
        <v>2035.5643951252941</v>
      </c>
      <c r="F141" s="459">
        <f t="shared" si="59"/>
        <v>2016.096570091988</v>
      </c>
      <c r="G141" s="459">
        <f t="shared" si="59"/>
        <v>2023.9699758796241</v>
      </c>
      <c r="H141" s="459">
        <f t="shared" si="59"/>
        <v>2057.1683485753792</v>
      </c>
      <c r="I141" s="459">
        <f t="shared" si="59"/>
        <v>2118.9543232230872</v>
      </c>
      <c r="J141" s="459">
        <f t="shared" si="59"/>
        <v>2181.6747250103876</v>
      </c>
      <c r="K141" s="459">
        <f t="shared" si="59"/>
        <v>2248.0189774109131</v>
      </c>
      <c r="L141" s="459">
        <f t="shared" si="59"/>
        <v>2295.6730372762245</v>
      </c>
      <c r="M141" s="459">
        <f t="shared" si="59"/>
        <v>2334.9222676022005</v>
      </c>
      <c r="N141" s="459">
        <f t="shared" si="59"/>
        <v>2372.6780424049534</v>
      </c>
    </row>
    <row r="142" spans="1:15" s="5" customFormat="1">
      <c r="A142" s="884"/>
      <c r="B142" s="195" t="str">
        <f t="shared" si="54"/>
        <v>Computing</v>
      </c>
      <c r="C142" s="459">
        <f t="shared" ref="C142:N142" si="60">C$80*$E55</f>
        <v>25196.752490824179</v>
      </c>
      <c r="D142" s="459">
        <f t="shared" si="60"/>
        <v>24656.804182194996</v>
      </c>
      <c r="E142" s="459">
        <f t="shared" si="60"/>
        <v>24120.803214949137</v>
      </c>
      <c r="F142" s="459">
        <f t="shared" si="60"/>
        <v>23890.115560077607</v>
      </c>
      <c r="G142" s="459">
        <f t="shared" si="60"/>
        <v>23983.412963043491</v>
      </c>
      <c r="H142" s="459">
        <f t="shared" si="60"/>
        <v>24376.803325327543</v>
      </c>
      <c r="I142" s="459">
        <f t="shared" si="60"/>
        <v>25108.947854623788</v>
      </c>
      <c r="J142" s="459">
        <f t="shared" si="60"/>
        <v>25852.165054087967</v>
      </c>
      <c r="K142" s="459">
        <f t="shared" si="60"/>
        <v>26638.323753084802</v>
      </c>
      <c r="L142" s="459">
        <f t="shared" si="60"/>
        <v>27203.009499778575</v>
      </c>
      <c r="M142" s="459">
        <f t="shared" si="60"/>
        <v>27668.100637793301</v>
      </c>
      <c r="N142" s="459">
        <f t="shared" si="60"/>
        <v>28115.494793648086</v>
      </c>
    </row>
    <row r="143" spans="1:15" s="5" customFormat="1">
      <c r="A143" s="884"/>
      <c r="B143" s="195" t="str">
        <f t="shared" si="54"/>
        <v>Design &amp; Technology</v>
      </c>
      <c r="C143" s="459">
        <f t="shared" ref="C143:N143" si="61">C$80*$E56</f>
        <v>21290.2503954729</v>
      </c>
      <c r="D143" s="459">
        <f t="shared" si="61"/>
        <v>20834.015620951315</v>
      </c>
      <c r="E143" s="459">
        <f t="shared" si="61"/>
        <v>20381.116192382662</v>
      </c>
      <c r="F143" s="459">
        <f t="shared" si="61"/>
        <v>20186.194329450213</v>
      </c>
      <c r="G143" s="459">
        <f t="shared" si="61"/>
        <v>20265.026911986966</v>
      </c>
      <c r="H143" s="459">
        <f t="shared" si="61"/>
        <v>20597.426070142101</v>
      </c>
      <c r="I143" s="459">
        <f t="shared" si="61"/>
        <v>21216.058981667866</v>
      </c>
      <c r="J143" s="459">
        <f t="shared" si="61"/>
        <v>21844.047857638165</v>
      </c>
      <c r="K143" s="459">
        <f t="shared" si="61"/>
        <v>22508.320587162223</v>
      </c>
      <c r="L143" s="459">
        <f t="shared" si="61"/>
        <v>22985.457509717744</v>
      </c>
      <c r="M143" s="459">
        <f t="shared" si="61"/>
        <v>23378.4409621946</v>
      </c>
      <c r="N143" s="459">
        <f t="shared" si="61"/>
        <v>23756.471170932346</v>
      </c>
    </row>
    <row r="144" spans="1:15" s="5" customFormat="1">
      <c r="A144" s="884"/>
      <c r="B144" s="195" t="str">
        <f t="shared" si="54"/>
        <v>Drama</v>
      </c>
      <c r="C144" s="459">
        <f t="shared" ref="C144:N144" si="62">C$80*$E57</f>
        <v>14984.687264226442</v>
      </c>
      <c r="D144" s="459">
        <f t="shared" si="62"/>
        <v>14663.576178716405</v>
      </c>
      <c r="E144" s="459">
        <f t="shared" si="62"/>
        <v>14344.812605100042</v>
      </c>
      <c r="F144" s="459">
        <f t="shared" si="62"/>
        <v>14207.621021969378</v>
      </c>
      <c r="G144" s="459">
        <f t="shared" si="62"/>
        <v>14263.105648669482</v>
      </c>
      <c r="H144" s="459">
        <f t="shared" si="62"/>
        <v>14497.057684898515</v>
      </c>
      <c r="I144" s="459">
        <f t="shared" si="62"/>
        <v>14932.469224846518</v>
      </c>
      <c r="J144" s="459">
        <f t="shared" si="62"/>
        <v>15374.465760210376</v>
      </c>
      <c r="K144" s="459">
        <f t="shared" si="62"/>
        <v>15841.999909653196</v>
      </c>
      <c r="L144" s="459">
        <f t="shared" si="62"/>
        <v>16177.822524883228</v>
      </c>
      <c r="M144" s="459">
        <f t="shared" si="62"/>
        <v>16454.415520550101</v>
      </c>
      <c r="N144" s="459">
        <f t="shared" si="62"/>
        <v>16720.483995515988</v>
      </c>
    </row>
    <row r="145" spans="1:15" s="5" customFormat="1">
      <c r="A145" s="884"/>
      <c r="B145" s="195" t="str">
        <f t="shared" si="54"/>
        <v>English</v>
      </c>
      <c r="C145" s="459">
        <f t="shared" ref="C145:N145" si="63">C$80*$E58</f>
        <v>51790.215709126744</v>
      </c>
      <c r="D145" s="459">
        <f t="shared" si="63"/>
        <v>50680.388584148357</v>
      </c>
      <c r="E145" s="459">
        <f t="shared" si="63"/>
        <v>49578.674951644607</v>
      </c>
      <c r="F145" s="459">
        <f t="shared" si="63"/>
        <v>49104.51212405086</v>
      </c>
      <c r="G145" s="459">
        <f t="shared" si="63"/>
        <v>49296.278607706408</v>
      </c>
      <c r="H145" s="459">
        <f t="shared" si="63"/>
        <v>50104.865814649129</v>
      </c>
      <c r="I145" s="459">
        <f t="shared" si="63"/>
        <v>51609.73923499637</v>
      </c>
      <c r="J145" s="459">
        <f t="shared" si="63"/>
        <v>53137.371777840941</v>
      </c>
      <c r="K145" s="459">
        <f t="shared" si="63"/>
        <v>54753.267660355152</v>
      </c>
      <c r="L145" s="459">
        <f t="shared" si="63"/>
        <v>55913.940911393751</v>
      </c>
      <c r="M145" s="459">
        <f t="shared" si="63"/>
        <v>56869.904199557874</v>
      </c>
      <c r="N145" s="459">
        <f t="shared" si="63"/>
        <v>57789.492541236432</v>
      </c>
    </row>
    <row r="146" spans="1:15" s="5" customFormat="1">
      <c r="A146" s="884"/>
      <c r="B146" s="195" t="str">
        <f t="shared" si="54"/>
        <v>Food</v>
      </c>
      <c r="C146" s="459">
        <f t="shared" ref="C146:N146" si="64">C$80*$E59</f>
        <v>3303.6147814046271</v>
      </c>
      <c r="D146" s="459">
        <f t="shared" si="64"/>
        <v>3232.8206894187097</v>
      </c>
      <c r="E146" s="459">
        <f t="shared" si="64"/>
        <v>3162.5441441025841</v>
      </c>
      <c r="F146" s="459">
        <f t="shared" si="64"/>
        <v>3132.2980579532409</v>
      </c>
      <c r="G146" s="459">
        <f t="shared" si="64"/>
        <v>3144.5305343256227</v>
      </c>
      <c r="H146" s="459">
        <f t="shared" si="64"/>
        <v>3196.1090151706044</v>
      </c>
      <c r="I146" s="459">
        <f t="shared" si="64"/>
        <v>3292.1024766291162</v>
      </c>
      <c r="J146" s="459">
        <f t="shared" si="64"/>
        <v>3389.5477060029475</v>
      </c>
      <c r="K146" s="459">
        <f t="shared" si="64"/>
        <v>3492.6231122276813</v>
      </c>
      <c r="L146" s="459">
        <f t="shared" si="64"/>
        <v>3566.6605970307496</v>
      </c>
      <c r="M146" s="459">
        <f t="shared" si="64"/>
        <v>3627.6399616851936</v>
      </c>
      <c r="N146" s="459">
        <f t="shared" si="64"/>
        <v>3686.2990268537769</v>
      </c>
    </row>
    <row r="147" spans="1:15" s="5" customFormat="1">
      <c r="A147" s="884"/>
      <c r="B147" s="195" t="str">
        <f t="shared" si="54"/>
        <v>Geography</v>
      </c>
      <c r="C147" s="459">
        <f t="shared" ref="C147:N147" si="65">C$80*$E60</f>
        <v>23446.383397881724</v>
      </c>
      <c r="D147" s="459">
        <f t="shared" si="65"/>
        <v>22943.94424173381</v>
      </c>
      <c r="E147" s="459">
        <f t="shared" si="65"/>
        <v>22445.178212887098</v>
      </c>
      <c r="F147" s="459">
        <f t="shared" si="65"/>
        <v>22230.515978011957</v>
      </c>
      <c r="G147" s="459">
        <f t="shared" si="65"/>
        <v>22317.332192949234</v>
      </c>
      <c r="H147" s="459">
        <f t="shared" si="65"/>
        <v>22683.394496514044</v>
      </c>
      <c r="I147" s="459">
        <f t="shared" si="65"/>
        <v>23364.678377950459</v>
      </c>
      <c r="J147" s="459">
        <f t="shared" si="65"/>
        <v>24056.265732824188</v>
      </c>
      <c r="K147" s="459">
        <f t="shared" si="65"/>
        <v>24787.811525281857</v>
      </c>
      <c r="L147" s="459">
        <f t="shared" si="65"/>
        <v>25313.269658075867</v>
      </c>
      <c r="M147" s="459">
        <f t="shared" si="65"/>
        <v>25746.051824778559</v>
      </c>
      <c r="N147" s="459">
        <f t="shared" si="65"/>
        <v>26162.366384044202</v>
      </c>
    </row>
    <row r="148" spans="1:15" s="5" customFormat="1">
      <c r="A148" s="884"/>
      <c r="B148" s="195" t="str">
        <f t="shared" si="54"/>
        <v>History</v>
      </c>
      <c r="C148" s="459">
        <f t="shared" ref="C148:N148" si="66">C$80*$E61</f>
        <v>30081.085858955408</v>
      </c>
      <c r="D148" s="459">
        <f t="shared" si="66"/>
        <v>29436.469794357916</v>
      </c>
      <c r="E148" s="459">
        <f t="shared" si="66"/>
        <v>28796.566254325226</v>
      </c>
      <c r="F148" s="459">
        <f t="shared" si="66"/>
        <v>28521.160320353432</v>
      </c>
      <c r="G148" s="459">
        <f t="shared" si="66"/>
        <v>28632.543213448735</v>
      </c>
      <c r="H148" s="459">
        <f t="shared" si="66"/>
        <v>29102.191405939477</v>
      </c>
      <c r="I148" s="459">
        <f t="shared" si="66"/>
        <v>29976.260493015085</v>
      </c>
      <c r="J148" s="459">
        <f t="shared" si="66"/>
        <v>30863.548662277215</v>
      </c>
      <c r="K148" s="459">
        <f t="shared" si="66"/>
        <v>31802.102443440104</v>
      </c>
      <c r="L148" s="459">
        <f t="shared" si="66"/>
        <v>32476.251242409719</v>
      </c>
      <c r="M148" s="459">
        <f t="shared" si="66"/>
        <v>33031.499243514423</v>
      </c>
      <c r="N148" s="459">
        <f t="shared" si="66"/>
        <v>33565.619742573333</v>
      </c>
    </row>
    <row r="149" spans="1:15" s="5" customFormat="1">
      <c r="A149" s="884"/>
      <c r="B149" s="195" t="str">
        <f t="shared" si="54"/>
        <v>Mathematics</v>
      </c>
      <c r="C149" s="459">
        <f t="shared" ref="C149:N149" si="67">C$80*$E62</f>
        <v>64808.921666875169</v>
      </c>
      <c r="D149" s="459">
        <f t="shared" si="67"/>
        <v>63420.113023743324</v>
      </c>
      <c r="E149" s="459">
        <f t="shared" si="67"/>
        <v>62041.457392933102</v>
      </c>
      <c r="F149" s="459">
        <f t="shared" si="67"/>
        <v>61448.102429450068</v>
      </c>
      <c r="G149" s="459">
        <f t="shared" si="67"/>
        <v>61688.073992560858</v>
      </c>
      <c r="H149" s="459">
        <f t="shared" si="67"/>
        <v>62699.918879438854</v>
      </c>
      <c r="I149" s="459">
        <f t="shared" si="67"/>
        <v>64583.07812645971</v>
      </c>
      <c r="J149" s="459">
        <f t="shared" si="67"/>
        <v>66494.717544241401</v>
      </c>
      <c r="K149" s="459">
        <f t="shared" si="67"/>
        <v>68516.807397271972</v>
      </c>
      <c r="L149" s="459">
        <f t="shared" si="67"/>
        <v>69969.243552971209</v>
      </c>
      <c r="M149" s="459">
        <f t="shared" si="67"/>
        <v>71165.511014126401</v>
      </c>
      <c r="N149" s="459">
        <f t="shared" si="67"/>
        <v>72316.259818424471</v>
      </c>
    </row>
    <row r="150" spans="1:15" s="5" customFormat="1">
      <c r="A150" s="884"/>
      <c r="B150" s="195" t="str">
        <f t="shared" si="54"/>
        <v>Modern Foreign Languages</v>
      </c>
      <c r="C150" s="459">
        <f t="shared" ref="C150:N150" si="68">C$80*$E63</f>
        <v>25901.573751184635</v>
      </c>
      <c r="D150" s="459">
        <f t="shared" si="68"/>
        <v>25346.521629174895</v>
      </c>
      <c r="E150" s="459">
        <f t="shared" si="68"/>
        <v>24795.527266354497</v>
      </c>
      <c r="F150" s="459">
        <f t="shared" si="68"/>
        <v>24558.386654352267</v>
      </c>
      <c r="G150" s="459">
        <f t="shared" si="68"/>
        <v>24654.293837811521</v>
      </c>
      <c r="H150" s="459">
        <f t="shared" si="68"/>
        <v>25058.688391650005</v>
      </c>
      <c r="I150" s="459">
        <f t="shared" si="68"/>
        <v>25811.312982021282</v>
      </c>
      <c r="J150" s="459">
        <f t="shared" si="68"/>
        <v>26575.319975068531</v>
      </c>
      <c r="K150" s="459">
        <f t="shared" si="68"/>
        <v>27383.46965743801</v>
      </c>
      <c r="L150" s="459">
        <f t="shared" si="68"/>
        <v>27963.951190506923</v>
      </c>
      <c r="M150" s="459">
        <f t="shared" si="68"/>
        <v>28442.052184541677</v>
      </c>
      <c r="N150" s="459">
        <f t="shared" si="68"/>
        <v>28901.961164000113</v>
      </c>
    </row>
    <row r="151" spans="1:15" s="5" customFormat="1">
      <c r="A151" s="884"/>
      <c r="B151" s="195" t="str">
        <f t="shared" si="54"/>
        <v>Music</v>
      </c>
      <c r="C151" s="459">
        <f t="shared" ref="C151:N151" si="69">C$80*$E64</f>
        <v>12422.80912271576</v>
      </c>
      <c r="D151" s="459">
        <f t="shared" si="69"/>
        <v>12156.597245741685</v>
      </c>
      <c r="E151" s="459">
        <f t="shared" si="69"/>
        <v>11892.331534987443</v>
      </c>
      <c r="F151" s="459">
        <f t="shared" si="69"/>
        <v>11778.595103894604</v>
      </c>
      <c r="G151" s="459">
        <f t="shared" si="69"/>
        <v>11824.593723324324</v>
      </c>
      <c r="H151" s="459">
        <f t="shared" si="69"/>
        <v>12018.547820510081</v>
      </c>
      <c r="I151" s="459">
        <f t="shared" si="69"/>
        <v>12379.518613908953</v>
      </c>
      <c r="J151" s="459">
        <f t="shared" si="69"/>
        <v>12745.948589717351</v>
      </c>
      <c r="K151" s="459">
        <f t="shared" si="69"/>
        <v>13133.5501054824</v>
      </c>
      <c r="L151" s="459">
        <f t="shared" si="69"/>
        <v>13411.958334798841</v>
      </c>
      <c r="M151" s="459">
        <f t="shared" si="69"/>
        <v>13641.263219796525</v>
      </c>
      <c r="N151" s="459">
        <f t="shared" si="69"/>
        <v>13861.842923582819</v>
      </c>
    </row>
    <row r="152" spans="1:15" s="5" customFormat="1">
      <c r="A152" s="884"/>
      <c r="B152" s="195" t="str">
        <f t="shared" si="54"/>
        <v>Others</v>
      </c>
      <c r="C152" s="459">
        <f t="shared" ref="C152:N152" si="70">C$80*$E65</f>
        <v>131767.36324036348</v>
      </c>
      <c r="D152" s="459">
        <f t="shared" si="70"/>
        <v>128943.68328636661</v>
      </c>
      <c r="E152" s="459">
        <f t="shared" si="70"/>
        <v>126140.64610234888</v>
      </c>
      <c r="F152" s="459">
        <f t="shared" si="70"/>
        <v>124934.25634932044</v>
      </c>
      <c r="G152" s="459">
        <f t="shared" si="70"/>
        <v>125422.15862126858</v>
      </c>
      <c r="H152" s="459">
        <f t="shared" si="70"/>
        <v>127479.40829188457</v>
      </c>
      <c r="I152" s="459">
        <f t="shared" si="70"/>
        <v>131308.18559845831</v>
      </c>
      <c r="J152" s="459">
        <f t="shared" si="70"/>
        <v>135194.86784943275</v>
      </c>
      <c r="K152" s="459">
        <f t="shared" si="70"/>
        <v>139306.11428458392</v>
      </c>
      <c r="L152" s="459">
        <f t="shared" si="70"/>
        <v>142259.15959978284</v>
      </c>
      <c r="M152" s="459">
        <f t="shared" si="70"/>
        <v>144691.37116930861</v>
      </c>
      <c r="N152" s="459">
        <f t="shared" si="70"/>
        <v>147031.03570614135</v>
      </c>
    </row>
    <row r="153" spans="1:15" s="5" customFormat="1">
      <c r="A153" s="884"/>
      <c r="B153" s="195" t="str">
        <f t="shared" si="54"/>
        <v>Physical Education</v>
      </c>
      <c r="C153" s="459">
        <f t="shared" ref="C153:N153" si="71">C$80*$E66</f>
        <v>31433.002593370202</v>
      </c>
      <c r="D153" s="459">
        <f t="shared" si="71"/>
        <v>30759.415924151315</v>
      </c>
      <c r="E153" s="459">
        <f t="shared" si="71"/>
        <v>30090.753571746034</v>
      </c>
      <c r="F153" s="459">
        <f t="shared" si="71"/>
        <v>29802.970229171395</v>
      </c>
      <c r="G153" s="459">
        <f t="shared" si="71"/>
        <v>29919.358938805675</v>
      </c>
      <c r="H153" s="459">
        <f t="shared" si="71"/>
        <v>30410.1142566739</v>
      </c>
      <c r="I153" s="459">
        <f t="shared" si="71"/>
        <v>31323.466122017315</v>
      </c>
      <c r="J153" s="459">
        <f t="shared" si="71"/>
        <v>32250.631167064388</v>
      </c>
      <c r="K153" s="459">
        <f t="shared" si="71"/>
        <v>33231.365824571025</v>
      </c>
      <c r="L153" s="459">
        <f t="shared" si="71"/>
        <v>33935.81250065472</v>
      </c>
      <c r="M153" s="459">
        <f t="shared" si="71"/>
        <v>34516.014689515927</v>
      </c>
      <c r="N153" s="459">
        <f t="shared" si="71"/>
        <v>35074.139855303205</v>
      </c>
    </row>
    <row r="154" spans="1:15" s="5" customFormat="1">
      <c r="A154" s="884"/>
      <c r="B154" s="195" t="str">
        <f t="shared" si="54"/>
        <v>Physics</v>
      </c>
      <c r="C154" s="459">
        <f t="shared" ref="C154:N154" si="72">C$80*$E67</f>
        <v>26679.372212983228</v>
      </c>
      <c r="D154" s="459">
        <f t="shared" si="72"/>
        <v>26107.652428581063</v>
      </c>
      <c r="E154" s="459">
        <f t="shared" si="72"/>
        <v>25540.11225383517</v>
      </c>
      <c r="F154" s="459">
        <f t="shared" si="72"/>
        <v>25295.850545446399</v>
      </c>
      <c r="G154" s="459">
        <f t="shared" si="72"/>
        <v>25394.637726101442</v>
      </c>
      <c r="H154" s="459">
        <f t="shared" si="72"/>
        <v>25811.175845615006</v>
      </c>
      <c r="I154" s="459">
        <f t="shared" si="72"/>
        <v>26586.40100282156</v>
      </c>
      <c r="J154" s="459">
        <f t="shared" si="72"/>
        <v>27373.350364919585</v>
      </c>
      <c r="K154" s="459">
        <f t="shared" si="72"/>
        <v>28205.767977334093</v>
      </c>
      <c r="L154" s="459">
        <f t="shared" si="72"/>
        <v>28803.680792681862</v>
      </c>
      <c r="M154" s="459">
        <f t="shared" si="72"/>
        <v>29296.138683379224</v>
      </c>
      <c r="N154" s="459">
        <f t="shared" si="72"/>
        <v>29769.85827142177</v>
      </c>
    </row>
    <row r="155" spans="1:15" s="5" customFormat="1">
      <c r="A155" s="884"/>
      <c r="B155" s="195" t="str">
        <f t="shared" si="54"/>
        <v>Religious Education</v>
      </c>
      <c r="C155" s="459">
        <f t="shared" ref="C155:N155" si="73">C$80*$E68</f>
        <v>16837.660109222001</v>
      </c>
      <c r="D155" s="459">
        <f t="shared" si="73"/>
        <v>16476.841146518047</v>
      </c>
      <c r="E155" s="459">
        <f t="shared" si="73"/>
        <v>16118.659983767542</v>
      </c>
      <c r="F155" s="459">
        <f t="shared" si="73"/>
        <v>15964.50359692623</v>
      </c>
      <c r="G155" s="459">
        <f t="shared" si="73"/>
        <v>16026.849328217781</v>
      </c>
      <c r="H155" s="459">
        <f t="shared" si="73"/>
        <v>16289.731348938298</v>
      </c>
      <c r="I155" s="459">
        <f t="shared" si="73"/>
        <v>16778.984904117911</v>
      </c>
      <c r="J155" s="459">
        <f t="shared" si="73"/>
        <v>17275.637740488903</v>
      </c>
      <c r="K155" s="459">
        <f t="shared" si="73"/>
        <v>17800.986115063657</v>
      </c>
      <c r="L155" s="459">
        <f t="shared" si="73"/>
        <v>18178.335802282854</v>
      </c>
      <c r="M155" s="459">
        <f t="shared" si="73"/>
        <v>18489.13166792288</v>
      </c>
      <c r="N155" s="459">
        <f t="shared" si="73"/>
        <v>18788.101574218483</v>
      </c>
    </row>
    <row r="156" spans="1:15" s="5" customFormat="1">
      <c r="A156" s="884"/>
      <c r="B156" s="195" t="str">
        <f t="shared" si="54"/>
        <v>Total</v>
      </c>
      <c r="C156" s="459">
        <f t="shared" ref="C156:N156" si="74">C$80*$E69</f>
        <v>619813.99991897796</v>
      </c>
      <c r="D156" s="459">
        <f t="shared" si="74"/>
        <v>606531.83107428986</v>
      </c>
      <c r="E156" s="459">
        <f t="shared" si="74"/>
        <v>593346.76273700781</v>
      </c>
      <c r="F156" s="459">
        <f t="shared" si="74"/>
        <v>587672.0854884251</v>
      </c>
      <c r="G156" s="459">
        <f t="shared" si="74"/>
        <v>589967.10491743265</v>
      </c>
      <c r="H156" s="459">
        <f t="shared" si="74"/>
        <v>599644.10015980166</v>
      </c>
      <c r="I156" s="459">
        <f t="shared" si="74"/>
        <v>617654.0968602557</v>
      </c>
      <c r="J156" s="459">
        <f t="shared" si="74"/>
        <v>635936.46977225028</v>
      </c>
      <c r="K156" s="459">
        <f t="shared" si="74"/>
        <v>655275.15907253907</v>
      </c>
      <c r="L156" s="459">
        <f t="shared" si="74"/>
        <v>669165.84325824759</v>
      </c>
      <c r="M156" s="459">
        <f t="shared" si="74"/>
        <v>680606.6032801891</v>
      </c>
      <c r="N156" s="459">
        <f t="shared" si="74"/>
        <v>691612.03588035109</v>
      </c>
    </row>
    <row r="157" spans="1:15" s="5" customFormat="1">
      <c r="A157" s="884"/>
      <c r="B157" s="771" t="s">
        <v>371</v>
      </c>
      <c r="D157" s="415">
        <f>(D156/C156)-1</f>
        <v>-2.142928176263259E-2</v>
      </c>
      <c r="E157" s="415">
        <f t="shared" ref="E157:N157" si="75">(E156/D156)-1</f>
        <v>-2.1738460640933988E-2</v>
      </c>
      <c r="F157" s="415">
        <f t="shared" si="75"/>
        <v>-9.5638463120728545E-3</v>
      </c>
      <c r="G157" s="415">
        <f t="shared" si="75"/>
        <v>3.9052721503696208E-3</v>
      </c>
      <c r="H157" s="415">
        <f t="shared" si="75"/>
        <v>1.6402601368297187E-2</v>
      </c>
      <c r="I157" s="415">
        <f t="shared" si="75"/>
        <v>3.0034476609799743E-2</v>
      </c>
      <c r="J157" s="415">
        <f t="shared" si="75"/>
        <v>2.9599695047648922E-2</v>
      </c>
      <c r="K157" s="415">
        <f t="shared" si="75"/>
        <v>3.0409781824927595E-2</v>
      </c>
      <c r="L157" s="415">
        <f t="shared" si="75"/>
        <v>2.1198246253328223E-2</v>
      </c>
      <c r="M157" s="415">
        <f t="shared" si="75"/>
        <v>1.709704722260641E-2</v>
      </c>
      <c r="N157" s="415">
        <f t="shared" si="75"/>
        <v>1.6170035005715899E-2</v>
      </c>
    </row>
    <row r="158" spans="1:15">
      <c r="A158" s="10">
        <f>O158</f>
        <v>0</v>
      </c>
      <c r="B158" s="12"/>
      <c r="C158" s="10">
        <f>SUM(C137:C155)-C156</f>
        <v>0</v>
      </c>
      <c r="D158" s="10">
        <f t="shared" ref="D158:N158" si="76">SUM(D137:D155)-D156</f>
        <v>0</v>
      </c>
      <c r="E158" s="10">
        <f t="shared" si="76"/>
        <v>0</v>
      </c>
      <c r="F158" s="10">
        <f t="shared" si="76"/>
        <v>0</v>
      </c>
      <c r="G158" s="10">
        <f t="shared" si="76"/>
        <v>0</v>
      </c>
      <c r="H158" s="10">
        <f t="shared" si="76"/>
        <v>0</v>
      </c>
      <c r="I158" s="10">
        <f t="shared" si="76"/>
        <v>0</v>
      </c>
      <c r="J158" s="10">
        <f t="shared" si="76"/>
        <v>0</v>
      </c>
      <c r="K158" s="10">
        <f t="shared" si="76"/>
        <v>0</v>
      </c>
      <c r="L158" s="10">
        <f t="shared" si="76"/>
        <v>0</v>
      </c>
      <c r="M158" s="10">
        <f t="shared" si="76"/>
        <v>0</v>
      </c>
      <c r="N158" s="10">
        <f t="shared" si="76"/>
        <v>0</v>
      </c>
      <c r="O158" s="10">
        <f>SUM(C158:N158)</f>
        <v>0</v>
      </c>
    </row>
    <row r="159" spans="1:15">
      <c r="A159" s="883"/>
      <c r="B159" s="12"/>
      <c r="C159" s="10"/>
      <c r="D159" s="10"/>
      <c r="E159" s="10"/>
      <c r="F159" s="10"/>
      <c r="G159" s="10"/>
      <c r="H159" s="10"/>
      <c r="I159" s="10"/>
      <c r="J159" s="10"/>
      <c r="K159" s="10"/>
      <c r="L159" s="10"/>
      <c r="M159" s="10"/>
      <c r="N159" s="10"/>
      <c r="O159" s="10"/>
    </row>
    <row r="160" spans="1:15" ht="15.75">
      <c r="A160" s="883"/>
      <c r="B160" s="144" t="s">
        <v>1554</v>
      </c>
      <c r="D160" s="12"/>
      <c r="E160" s="12"/>
      <c r="F160" s="12"/>
    </row>
    <row r="161" spans="1:15" ht="15.75">
      <c r="A161" s="883"/>
      <c r="B161" s="144"/>
      <c r="D161" s="12"/>
      <c r="E161" s="12"/>
      <c r="F161" s="12"/>
    </row>
    <row r="162" spans="1:15" ht="15.75">
      <c r="A162" s="883"/>
      <c r="B162" s="144"/>
      <c r="C162" s="391" t="s">
        <v>1684</v>
      </c>
      <c r="D162" s="391" t="str">
        <f>Policy_assumptions_SEC!D16</f>
        <v>Name</v>
      </c>
      <c r="E162" s="1150" t="str">
        <f>Policy_assumptions_SEC!E16</f>
        <v>Brief description</v>
      </c>
      <c r="F162" s="1150"/>
      <c r="G162" s="1150"/>
      <c r="H162" s="1150"/>
      <c r="I162" s="1150"/>
      <c r="J162" s="1238" t="str">
        <f>Policy_assumptions_SEC!F16</f>
        <v>Assumption to be used</v>
      </c>
      <c r="K162" s="1238"/>
      <c r="L162" s="1238"/>
      <c r="M162" s="1238"/>
      <c r="N162" s="1238"/>
      <c r="O162" s="450"/>
    </row>
    <row r="163" spans="1:15" ht="88.5" customHeight="1">
      <c r="A163" s="883"/>
      <c r="B163" s="144"/>
      <c r="C163" s="1229">
        <f>Policy_assumptions_SEC!B17</f>
        <v>1</v>
      </c>
      <c r="D163" s="1236" t="str">
        <f>Policy_assumptions_SEC!D17</f>
        <v>EBacc policy</v>
      </c>
      <c r="E163" s="1236" t="str">
        <f>Policy_assumptions_SEC!E17</f>
        <v xml:space="preserve">From 2018/19, we expect to see increases in the entry rate of EBacc. We have modelled additional future teaching time requirements in EBacc subjects based on an analysis of teaching time in existing schools with higher EBacc entry to provide a guide of what future teacher need might be. We anticipate that individual schools will implement this policy differently, dependent on their individual circumstances, and therefore this assumption is used to provide a starting estimate of what might be needed. We will review this assumption next year as more information becomes available. To reflect the continued focus on EBacc subjects, we have held demand for new trainees through ITT at the level in the previous (2016/17) TSM where the underlying data would otherwise lead to a fall. This mainly affects Mathematics where we protect 219 places and Computing where we protect 272 places. </v>
      </c>
      <c r="F163" s="1227"/>
      <c r="G163" s="1227"/>
      <c r="H163" s="1227"/>
      <c r="I163" s="1228"/>
      <c r="J163" s="1227" t="str">
        <f>Policy_assumptions_SEC!F17</f>
        <v>The balance of teaching across secondary subjects is adjusted using internal modelling on the impact of increased EBacc entry on the number of hours taught in each secondary subject. This modelling estimates how teaching hours will be adjusted across subjects. The total number of teaching hours is not changed, only the balance between subjects. The precise assumptions used can be changed using scenario testing on the 'USER TESTING' tab. We then maintain ITT place numbers at last year's (2016/17 TSM) level for any EBacc subject where it would otherwise fall.</v>
      </c>
      <c r="K163" s="1227"/>
      <c r="L163" s="1227"/>
      <c r="M163" s="1227"/>
      <c r="N163" s="1228"/>
      <c r="O163" s="416"/>
    </row>
    <row r="164" spans="1:15" ht="55.9" customHeight="1">
      <c r="A164" s="883"/>
      <c r="B164" s="144"/>
      <c r="C164" s="1230"/>
      <c r="D164" s="1221"/>
      <c r="E164" s="1221" t="str">
        <f>Policy_assumptions_SEC!E18</f>
        <v>For Mathematics we have seen more rapid increases in teaching time, such as the new GCSE, than we assumed last year, so we estimate there is less further change needed - we do not have causal evidence that the change relates to the policy assumption, but for planning purposes we are assuming these are linked. By itself, this would reduce ITT place need, but we protect at last year's level to reflect the ongoing focus on Mathematics.</v>
      </c>
      <c r="F164" s="1222"/>
      <c r="G164" s="1222"/>
      <c r="H164" s="1222"/>
      <c r="I164" s="1223"/>
      <c r="J164" s="1222"/>
      <c r="K164" s="1222"/>
      <c r="L164" s="1222"/>
      <c r="M164" s="1222"/>
      <c r="N164" s="1223"/>
      <c r="O164" s="416"/>
    </row>
    <row r="165" spans="1:15" ht="56.65" customHeight="1">
      <c r="A165" s="883"/>
      <c r="B165" s="144"/>
      <c r="C165" s="1231"/>
      <c r="D165" s="1224"/>
      <c r="E165" s="1224" t="str">
        <f>Policy_assumptions_SEC!E19</f>
        <v xml:space="preserve">Computing ITT places have been protected despite a fall in the number of teaching hours spent teaching Computing between November 2014 and 2015 (see 'Changes_in_subject_teaching_hrs' tab), largely driven by a fall in ICT teaching hours. The SWC Statistical First Release (and therefore TSM) does not isolate 'ICT' (which is not included within the EBacc) and 'Computer Science' (which is included within the EBacc) from within the data collated on the overall 'Computing' subject. </v>
      </c>
      <c r="F165" s="1225"/>
      <c r="G165" s="1225"/>
      <c r="H165" s="1225"/>
      <c r="I165" s="1226"/>
      <c r="J165" s="1225"/>
      <c r="K165" s="1225"/>
      <c r="L165" s="1225"/>
      <c r="M165" s="1225"/>
      <c r="N165" s="1226"/>
      <c r="O165" s="416"/>
    </row>
    <row r="166" spans="1:15" ht="115.5" customHeight="1">
      <c r="A166" s="883"/>
      <c r="B166" s="144"/>
      <c r="C166" s="451">
        <f>Policy_assumptions_SEC!B20</f>
        <v>2</v>
      </c>
      <c r="D166" s="992" t="str">
        <f>Policy_assumptions_SEC!D20</f>
        <v>Modern Foreign Languages (EBacc) - Adjusting for different sources of new teachers</v>
      </c>
      <c r="E166" s="1224" t="str">
        <f>Policy_assumptions_SEC!E20</f>
        <v>As outlined above we expect to see an increase in the entry rate of EBacc and as part of this, a significant increase in the take-up of Modern Foreign Languages (MFL). To meet this additional teacher need, the model would assume that entrant numbers via all entry routes would rise (NQTs, 'new to state-funded sector', and re-entrants). However, as the numbers of 'new to state-funded entrants' and re-entrants is likely to be limited by the existing pool of such teachers, we have assumed that their numbers can only increase up to the previous year's (2016/17 TSM) estimates, with an additional number added to estimate the impact of the MFL 'returners package'. Alongside this, there are some new programmes to get more MFL teachers to meet this demand, which have not traditionally been modelled in the TSM  – therefore to avoid the model assuming that all the additional, new demand will be met by NQTs, we have included a starting point for the number we expect to get through this process (1,514 ITT trainees), and added a new category of ‘MFL teachers to be sourced in 2018/19 via ITT and other, new initiatives' which are intended to provide the balance of teachers needed.</v>
      </c>
      <c r="F166" s="1225"/>
      <c r="G166" s="1225"/>
      <c r="H166" s="1225"/>
      <c r="I166" s="1226"/>
      <c r="J166" s="1232" t="str">
        <f>Policy_assumptions_SEC!F20</f>
        <v>As the numbers of 'new to state-funded entrants' and re-entrants is likely to be limited by the existing pool of such teachers, figures can only increase up to the previous year's (2016/17 TSM) estimates with an additional number added to estimate the impact of the MFL 'returners package'. A new category is added for MFL on the 'FINAL OUTPUTS OF ITT PLACES' tab covering the number of MFL teachers that will be sourced ‘via ITT and other, new initiatives’ in 2018/19, alongside a starting point ITT target for MFL in 2017/18.</v>
      </c>
      <c r="K166" s="1232"/>
      <c r="L166" s="1232"/>
      <c r="M166" s="1232"/>
      <c r="N166" s="1232"/>
      <c r="O166" s="416"/>
    </row>
    <row r="167" spans="1:15" ht="78" customHeight="1">
      <c r="A167" s="883"/>
      <c r="B167" s="144"/>
      <c r="C167" s="451">
        <f>Policy_assumptions_SEC!B21</f>
        <v>3</v>
      </c>
      <c r="D167" s="992" t="str">
        <f>Policy_assumptions_SEC!D21</f>
        <v>Geography and History (EBacc) - Adjusting for different sources of new teachers</v>
      </c>
      <c r="E167" s="1233" t="str">
        <f>Policy_assumptions_SEC!E21</f>
        <v xml:space="preserve">As outlined above, we expect to see an increase in the entry rate of EBacc and as part of this, a significant increase in the take-up of Geography and History. To meet this additional teacher need, the model would assume that entrant numbers via all entry routes would rise (NQTs, 'new to state-funded sector', and re-entrants). However, as the numbers of 'new to state-funded entrants' and re-entrants is likely to be limited by the existing pool of such teachers, we have limited these figures to the previous year's (2016/17 TSM) estimates. We are assuming that all the remaining additional Geography and History teachers will be sourced via ITT (the increase in future teacher requirements for Geography and History relating to EBacc changes is of smaller magnitude than that for MFL). </v>
      </c>
      <c r="F167" s="1234"/>
      <c r="G167" s="1234"/>
      <c r="H167" s="1234"/>
      <c r="I167" s="1235"/>
      <c r="J167" s="1232" t="str">
        <f>Policy_assumptions_SEC!F21</f>
        <v xml:space="preserve">Re-entrant and 'new to the state-funded sector' entrants for Geography and History can only increase up to the figures estimated in the 2016/17 TSM for the respective subjects. </v>
      </c>
      <c r="K167" s="1232"/>
      <c r="L167" s="1232"/>
      <c r="M167" s="1232"/>
      <c r="N167" s="1232"/>
      <c r="O167" s="416"/>
    </row>
    <row r="168" spans="1:15" ht="80.25" customHeight="1">
      <c r="A168" s="883"/>
      <c r="B168" s="144"/>
      <c r="C168" s="451">
        <f>Policy_assumptions_SEC!B22</f>
        <v>4</v>
      </c>
      <c r="D168" s="1072" t="str">
        <f>Policy_assumptions_SEC!D22</f>
        <v>Mathematics policy assumptions</v>
      </c>
      <c r="E168" s="1233" t="str">
        <f>Policy_assumptions_SEC!E22</f>
        <v>The TSM takes all the underlying data and teacher need requirements from the policy assumptions to arrive at an overall teacher need estimate for Mathematics teachers. Overall, this meant a lower number of ITT places would be needed in 2017/18 than estimated for 2016/17 ITT by the 2016/17 TSM. This difference reflects a revised assessment of the profile of Core Maths take-up and a quicker than originally profiled change to the teaching hours for the new Mathematics GCSE, which means the increase in additional Mathematics teachers needed in this year's model is lower. However, given the focus on Mathematics teaching and the uncertainty around some of these assumptions, we have protected Mathematics places to last year's total.</v>
      </c>
      <c r="F168" s="1234"/>
      <c r="G168" s="1234"/>
      <c r="H168" s="1234"/>
      <c r="I168" s="1235"/>
      <c r="J168" s="1232" t="str">
        <f>Policy_assumptions_SEC!F22</f>
        <v>Three individual curriculum-related Mathematics policies are outlined in the cells below. Additionally, as outlined in the 'EBacc policy', Mathematics 2017/18 ITT places are protected at the value from last year's model.</v>
      </c>
      <c r="K168" s="1232"/>
      <c r="L168" s="1232"/>
      <c r="M168" s="1232"/>
      <c r="N168" s="1232"/>
      <c r="O168" s="416"/>
    </row>
    <row r="169" spans="1:15" ht="93" customHeight="1">
      <c r="A169" s="883"/>
      <c r="B169" s="454"/>
      <c r="C169" s="451">
        <f>Policy_assumptions_SEC!B23</f>
        <v>5</v>
      </c>
      <c r="D169" s="1072" t="str">
        <f>Policy_assumptions_SEC!D23</f>
        <v>Core Maths</v>
      </c>
      <c r="E169" s="1233" t="str">
        <f>Policy_assumptions_SEC!E23</f>
        <v>We estimated the potential take-up of Core Maths by 2020/21 within the 2016/17 TSM without any take-up data to build a model of how entry would grow over time. Given the latest data on take-up, and survey data on school entry plans for Core Maths, we have revised down the take-up rate and profile. This means that this year's model assumes a lower impact on teaching time – which is one of the reasons as noted in the Mathematics section above that the overall unprotected number of Mathematics places are lower than the number estimated in last year's TSM.</v>
      </c>
      <c r="F169" s="1234"/>
      <c r="G169" s="1234"/>
      <c r="H169" s="1234"/>
      <c r="I169" s="1235"/>
      <c r="J169" s="1232" t="str">
        <f>Policy_assumptions_SEC!F23</f>
        <v>The additional Mathematics teacher requirements estimated by internal analysis are added on to the secondary Mathematics teacher need forecasts estimated in the 'teacher need by subject' calculations.</v>
      </c>
      <c r="K169" s="1232"/>
      <c r="L169" s="1232"/>
      <c r="M169" s="1232"/>
      <c r="N169" s="1232"/>
      <c r="O169" s="416"/>
    </row>
    <row r="170" spans="1:15" ht="67.5" customHeight="1">
      <c r="A170" s="883"/>
      <c r="B170" s="144"/>
      <c r="C170" s="451">
        <f>Policy_assumptions_SEC!B24</f>
        <v>6</v>
      </c>
      <c r="D170" s="1072" t="str">
        <f>Policy_assumptions_SEC!D24</f>
        <v>Enhanced Further Mathematics Support Programme</v>
      </c>
      <c r="E170" s="1233" t="str">
        <f>Policy_assumptions_SEC!E24</f>
        <v>The Enhanced Further Mathematics Support Programme has been active from March 2014 for 3 years. The department expects that this policy will result in continuing increases in the uptake of Further Mathematics and Mathematics A level at roughly the same rate as currently, which will require more Advanced level Mathematics teachers. There has been a year-on-year increase in Mathematics hours taught at key stage 5 in state-funded schools since Sept 2012. We predict that the system will observe similar increases to last year (1.35%) year-on-year until 2017/18. Note - the increases in teaching time were observed within the SWC.</v>
      </c>
      <c r="F170" s="1234"/>
      <c r="G170" s="1234"/>
      <c r="H170" s="1234"/>
      <c r="I170" s="1235"/>
      <c r="J170" s="1232" t="str">
        <f>Policy_assumptions_SEC!F24</f>
        <v xml:space="preserve">The number of KS5 Mathematics teaching hours estimated as being required in future is increased year-on-year until 2017/18 to reflect additional policy requirements. </v>
      </c>
      <c r="K170" s="1232"/>
      <c r="L170" s="1232"/>
      <c r="M170" s="1232"/>
      <c r="N170" s="1232"/>
      <c r="O170" s="416"/>
    </row>
    <row r="171" spans="1:15" ht="82.5" customHeight="1">
      <c r="A171" s="883"/>
      <c r="B171" s="144"/>
      <c r="C171" s="451">
        <f>Policy_assumptions_SEC!B25</f>
        <v>7</v>
      </c>
      <c r="D171" s="1072" t="str">
        <f>Policy_assumptions_SEC!D25</f>
        <v>New Mathematics GCSE</v>
      </c>
      <c r="E171" s="1233" t="str">
        <f>Policy_assumptions_SEC!E25</f>
        <v xml:space="preserve">The new, expanded Mathematics GCSE will require a greater amount of Mathematics teaching per pupil at both key stage 3 and 4. The model assumes that the number of hours spent teaching Mathematics at both key stage 3 and key stage 4 will increase in future. For key stage 3, there will be an increase between 2015/16 &amp; 2016/17 which will be the average of the increase observed between 2013/14 &amp; 2014/15 and that observed between 2014/15 &amp; 2015/16. For key stage 4, there will be an increase between 2015/16 &amp; 2016/17, and a further one between 2016/17 &amp; 2017/18, both of which will be of similar magnitude to the increase observed between 2014/15 &amp; 2015/16. Note - the increases in teaching time were observed within the SWC.  </v>
      </c>
      <c r="F171" s="1234"/>
      <c r="G171" s="1234"/>
      <c r="H171" s="1234"/>
      <c r="I171" s="1235"/>
      <c r="J171" s="1232" t="str">
        <f>Policy_assumptions_SEC!F25</f>
        <v>The number of key stage 3 and key stage 4 Mathematics teaching hours estimated as being required in future is increased to provide additional teachers to deliver the expanded Mathematics GCSE in the next year and two years respectively.</v>
      </c>
      <c r="K171" s="1232"/>
      <c r="L171" s="1232"/>
      <c r="M171" s="1232"/>
      <c r="N171" s="1232"/>
      <c r="O171" s="416"/>
    </row>
    <row r="172" spans="1:15" ht="44.45" customHeight="1">
      <c r="A172" s="883"/>
      <c r="B172" s="144"/>
      <c r="C172" s="451">
        <f>Policy_assumptions_SEC!B26</f>
        <v>8</v>
      </c>
      <c r="D172" s="1072" t="str">
        <f>Policy_assumptions_SEC!D26</f>
        <v>Increases in English teaching requirements at key stage 4</v>
      </c>
      <c r="E172" s="1233" t="str">
        <f>Policy_assumptions_SEC!E26</f>
        <v>The model assumes that the number of hours spent teaching English at key stage 4 will increase by 1.30% between 2015/16 and 2016/17. This increase is consistent with the increase observed in the year before within the School Workforce Census and reflects the increased focus of schools towards the provision of English and Mathematics.</v>
      </c>
      <c r="F172" s="1234"/>
      <c r="G172" s="1234"/>
      <c r="H172" s="1234"/>
      <c r="I172" s="1235"/>
      <c r="J172" s="1232" t="str">
        <f>Policy_assumptions_SEC!F26</f>
        <v>The number of key stage 4 English teaching hours estimated as being required in future is increased between 2015/16 and 2016/17 to provide additional teachers to deliver English at key stage 4.</v>
      </c>
      <c r="K172" s="1232"/>
      <c r="L172" s="1232"/>
      <c r="M172" s="1232"/>
      <c r="N172" s="1232"/>
      <c r="O172" s="416"/>
    </row>
    <row r="173" spans="1:15" ht="68.650000000000006" customHeight="1">
      <c r="A173" s="883"/>
      <c r="B173" s="144"/>
      <c r="C173" s="451">
        <f>Policy_assumptions_SEC!B27</f>
        <v>9</v>
      </c>
      <c r="D173" s="1072" t="str">
        <f>Policy_assumptions_SEC!D27</f>
        <v>Removal of option to take Core Science GCSE</v>
      </c>
      <c r="E173" s="1233" t="str">
        <f>Policy_assumptions_SEC!E27</f>
        <v>The introduction of the new Combined Science GCSE, which will be equivalent to the current Core and Additional Science GCSEs, will remove the option to take the Core Science GCSE. We are expecting that for 10% of key stage 4 students, their Science teaching time will double from Sept 2016 onwards (as they move to the Combined Science GCSE - which requires more teaching time). An assumption is added into the model that from Sept 2016, 10% of key stage 4 students will have their Science teaching time doubled.</v>
      </c>
      <c r="F173" s="1234"/>
      <c r="G173" s="1234"/>
      <c r="H173" s="1234"/>
      <c r="I173" s="1235"/>
      <c r="J173" s="1232" t="str">
        <f>Policy_assumptions_SEC!F27</f>
        <v>The number of key stage 4 teaching hours estimated as being required in future for Biology, Chemistry, and Physics is increased to reflect additional teaching requirements resulting from the removal of the Core Science GCSE.</v>
      </c>
      <c r="K173" s="1232"/>
      <c r="L173" s="1232"/>
      <c r="M173" s="1232"/>
      <c r="N173" s="1232"/>
      <c r="O173" s="416"/>
    </row>
    <row r="174" spans="1:15" ht="46.9" customHeight="1">
      <c r="A174" s="883"/>
      <c r="B174" s="12"/>
      <c r="C174" s="451">
        <f>Policy_assumptions_SEC!B28</f>
        <v>10</v>
      </c>
      <c r="D174" s="1072" t="str">
        <f>Policy_assumptions_SEC!D28</f>
        <v>The obesity strategy</v>
      </c>
      <c r="E174" s="1233" t="str">
        <f>Policy_assumptions_SEC!E28</f>
        <v xml:space="preserve">Having a good supply of Physical Education teachers will help ensure that the government is able to deliver on its commitment to improve the quality and breadth of Physical Education provision in schools, and to take action to help reduce levels of childhood obesity. To assist in the delivery of the obesity strategy, 2017/18 postgraduate ITT places for Physical Education cannot fall below 100% of the 2016/17 TSM levels (if higher). </v>
      </c>
      <c r="F174" s="1234"/>
      <c r="G174" s="1234"/>
      <c r="H174" s="1234"/>
      <c r="I174" s="1235"/>
      <c r="J174" s="1232" t="str">
        <f>Policy_assumptions_SEC!F28</f>
        <v>The number of Physical Education ITT places is maintained at last year's (2016/17 TSM) level if it would otherwise fall.</v>
      </c>
      <c r="K174" s="1232"/>
      <c r="L174" s="1232"/>
      <c r="M174" s="1232"/>
      <c r="N174" s="1232"/>
    </row>
    <row r="175" spans="1:15">
      <c r="A175" s="883"/>
      <c r="B175" s="12"/>
      <c r="C175" s="1019"/>
      <c r="D175" s="1020"/>
      <c r="E175" s="12"/>
      <c r="F175" s="12"/>
    </row>
    <row r="176" spans="1:15">
      <c r="A176" s="883"/>
      <c r="B176" s="76" t="s">
        <v>78</v>
      </c>
      <c r="D176" s="12"/>
      <c r="E176" s="12"/>
      <c r="F176" s="12"/>
    </row>
    <row r="177" spans="1:14">
      <c r="A177" s="883"/>
      <c r="B177" s="76"/>
      <c r="D177" s="12"/>
      <c r="E177" s="12"/>
      <c r="F177" s="12"/>
    </row>
    <row r="178" spans="1:14">
      <c r="A178" s="883"/>
      <c r="B178" s="262" t="s">
        <v>365</v>
      </c>
      <c r="C178" s="309"/>
      <c r="D178" s="309"/>
      <c r="E178" s="309"/>
      <c r="F178" s="12"/>
    </row>
    <row r="179" spans="1:14">
      <c r="A179" s="883"/>
      <c r="B179" s="12"/>
      <c r="D179" s="12"/>
      <c r="E179" s="12"/>
      <c r="F179" s="12"/>
    </row>
    <row r="180" spans="1:14">
      <c r="A180" s="883"/>
      <c r="B180" s="142" t="s">
        <v>62</v>
      </c>
      <c r="C180" s="8" t="str">
        <f t="shared" ref="C180:N180" si="77">C136</f>
        <v>2016/17</v>
      </c>
      <c r="D180" s="8" t="str">
        <f t="shared" si="77"/>
        <v>2017/18</v>
      </c>
      <c r="E180" s="8" t="str">
        <f t="shared" si="77"/>
        <v>2018/19</v>
      </c>
      <c r="F180" s="8" t="str">
        <f t="shared" si="77"/>
        <v>2019/20</v>
      </c>
      <c r="G180" s="8" t="str">
        <f t="shared" si="77"/>
        <v>2020/21</v>
      </c>
      <c r="H180" s="8" t="str">
        <f t="shared" si="77"/>
        <v>2021/22</v>
      </c>
      <c r="I180" s="8" t="str">
        <f t="shared" si="77"/>
        <v>2022/23</v>
      </c>
      <c r="J180" s="8" t="str">
        <f t="shared" si="77"/>
        <v>2023/24</v>
      </c>
      <c r="K180" s="8" t="str">
        <f t="shared" si="77"/>
        <v>2024/25</v>
      </c>
      <c r="L180" s="8" t="str">
        <f t="shared" si="77"/>
        <v>2025/26</v>
      </c>
      <c r="M180" s="8" t="str">
        <f t="shared" si="77"/>
        <v>2026/27</v>
      </c>
      <c r="N180" s="8" t="str">
        <f t="shared" si="77"/>
        <v>2027/28</v>
      </c>
    </row>
    <row r="181" spans="1:14" s="5" customFormat="1">
      <c r="A181" s="884"/>
      <c r="B181" s="195" t="str">
        <f t="shared" ref="B181:B200" si="78">B137</f>
        <v>Art &amp; Design</v>
      </c>
      <c r="C181" s="459">
        <f t="shared" ref="C181:N181" si="79">C85</f>
        <v>72968.654372641351</v>
      </c>
      <c r="D181" s="459">
        <f t="shared" si="79"/>
        <v>74896.104211222773</v>
      </c>
      <c r="E181" s="459">
        <f t="shared" si="79"/>
        <v>76981.47532826614</v>
      </c>
      <c r="F181" s="459">
        <f t="shared" si="79"/>
        <v>79615.556889296757</v>
      </c>
      <c r="G181" s="459">
        <f t="shared" si="79"/>
        <v>81497.557189640356</v>
      </c>
      <c r="H181" s="459">
        <f t="shared" si="79"/>
        <v>82978.586034429201</v>
      </c>
      <c r="I181" s="459">
        <f t="shared" si="79"/>
        <v>84070.94869891688</v>
      </c>
      <c r="J181" s="459">
        <f t="shared" si="79"/>
        <v>85752.478273297806</v>
      </c>
      <c r="K181" s="459">
        <f t="shared" si="79"/>
        <v>85942.494434963504</v>
      </c>
      <c r="L181" s="459">
        <f t="shared" si="79"/>
        <v>84770.255570043941</v>
      </c>
      <c r="M181" s="459">
        <f t="shared" si="79"/>
        <v>83122.385785698207</v>
      </c>
      <c r="N181" s="459">
        <f t="shared" si="79"/>
        <v>82748.146613903315</v>
      </c>
    </row>
    <row r="182" spans="1:14" s="5" customFormat="1">
      <c r="A182" s="884"/>
      <c r="B182" s="195" t="str">
        <f t="shared" si="78"/>
        <v>Biology</v>
      </c>
      <c r="C182" s="459">
        <f t="shared" ref="C182:N182" si="80">C86</f>
        <v>82370.096354803842</v>
      </c>
      <c r="D182" s="459">
        <f t="shared" si="80"/>
        <v>84545.883071552293</v>
      </c>
      <c r="E182" s="459">
        <f t="shared" si="80"/>
        <v>86899.937991753643</v>
      </c>
      <c r="F182" s="459">
        <f t="shared" si="80"/>
        <v>89873.400416872086</v>
      </c>
      <c r="G182" s="459">
        <f t="shared" si="80"/>
        <v>91997.881776873633</v>
      </c>
      <c r="H182" s="459">
        <f t="shared" si="80"/>
        <v>93669.72963673003</v>
      </c>
      <c r="I182" s="459">
        <f t="shared" si="80"/>
        <v>94902.834710433788</v>
      </c>
      <c r="J182" s="459">
        <f t="shared" si="80"/>
        <v>96801.016255044276</v>
      </c>
      <c r="K182" s="459">
        <f t="shared" si="80"/>
        <v>97015.514517071191</v>
      </c>
      <c r="L182" s="459">
        <f t="shared" si="80"/>
        <v>95692.241817520437</v>
      </c>
      <c r="M182" s="459">
        <f t="shared" si="80"/>
        <v>93832.056864354847</v>
      </c>
      <c r="N182" s="459">
        <f t="shared" si="80"/>
        <v>93409.599894228173</v>
      </c>
    </row>
    <row r="183" spans="1:14" s="5" customFormat="1">
      <c r="A183" s="884"/>
      <c r="B183" s="195" t="str">
        <f t="shared" si="78"/>
        <v>Business Studies</v>
      </c>
      <c r="C183" s="459">
        <f t="shared" ref="C183:N183" si="81">C87</f>
        <v>4873.2748857792822</v>
      </c>
      <c r="D183" s="459">
        <f t="shared" si="81"/>
        <v>5002.0012953960659</v>
      </c>
      <c r="E183" s="459">
        <f t="shared" si="81"/>
        <v>5141.2746145985548</v>
      </c>
      <c r="F183" s="459">
        <f t="shared" si="81"/>
        <v>5317.1940368330661</v>
      </c>
      <c r="G183" s="459">
        <f t="shared" si="81"/>
        <v>5442.8850596091725</v>
      </c>
      <c r="H183" s="459">
        <f t="shared" si="81"/>
        <v>5541.7968558657622</v>
      </c>
      <c r="I183" s="459">
        <f t="shared" si="81"/>
        <v>5614.7512440860091</v>
      </c>
      <c r="J183" s="459">
        <f t="shared" si="81"/>
        <v>5727.0536555115677</v>
      </c>
      <c r="K183" s="459">
        <f t="shared" si="81"/>
        <v>5739.7440497157513</v>
      </c>
      <c r="L183" s="459">
        <f t="shared" si="81"/>
        <v>5661.4550601535584</v>
      </c>
      <c r="M183" s="459">
        <f t="shared" si="81"/>
        <v>5551.4006470068425</v>
      </c>
      <c r="N183" s="459">
        <f t="shared" si="81"/>
        <v>5526.4067592496549</v>
      </c>
    </row>
    <row r="184" spans="1:14" s="5" customFormat="1">
      <c r="A184" s="884"/>
      <c r="B184" s="195" t="str">
        <f t="shared" si="78"/>
        <v>Chemistry</v>
      </c>
      <c r="C184" s="459">
        <f t="shared" ref="C184:N184" si="82">C88</f>
        <v>68877.663126128318</v>
      </c>
      <c r="D184" s="459">
        <f t="shared" si="82"/>
        <v>70697.050393383412</v>
      </c>
      <c r="E184" s="459">
        <f t="shared" si="82"/>
        <v>72665.505074747605</v>
      </c>
      <c r="F184" s="459">
        <f t="shared" si="82"/>
        <v>75151.90672169147</v>
      </c>
      <c r="G184" s="459">
        <f t="shared" si="82"/>
        <v>76928.39258133671</v>
      </c>
      <c r="H184" s="459">
        <f t="shared" si="82"/>
        <v>78326.387470080241</v>
      </c>
      <c r="I184" s="459">
        <f t="shared" si="82"/>
        <v>79357.506767304818</v>
      </c>
      <c r="J184" s="459">
        <f t="shared" si="82"/>
        <v>80944.761302236438</v>
      </c>
      <c r="K184" s="459">
        <f t="shared" si="82"/>
        <v>81124.124198321806</v>
      </c>
      <c r="L184" s="459">
        <f t="shared" si="82"/>
        <v>80017.606963826154</v>
      </c>
      <c r="M184" s="459">
        <f t="shared" si="82"/>
        <v>78462.125081122722</v>
      </c>
      <c r="N184" s="459">
        <f t="shared" si="82"/>
        <v>78108.867647158666</v>
      </c>
    </row>
    <row r="185" spans="1:14" s="5" customFormat="1">
      <c r="A185" s="884"/>
      <c r="B185" s="195" t="str">
        <f t="shared" si="78"/>
        <v>Classics</v>
      </c>
      <c r="C185" s="459">
        <f t="shared" ref="C185:N185" si="83">C89</f>
        <v>1928.7050767262565</v>
      </c>
      <c r="D185" s="459">
        <f t="shared" si="83"/>
        <v>1979.6513675790723</v>
      </c>
      <c r="E185" s="459">
        <f t="shared" si="83"/>
        <v>2034.771828479443</v>
      </c>
      <c r="F185" s="459">
        <f t="shared" si="83"/>
        <v>2104.3957858204408</v>
      </c>
      <c r="G185" s="459">
        <f t="shared" si="83"/>
        <v>2154.1407559707191</v>
      </c>
      <c r="H185" s="459">
        <f t="shared" si="83"/>
        <v>2193.2872617721646</v>
      </c>
      <c r="I185" s="459">
        <f t="shared" si="83"/>
        <v>2222.1605558562819</v>
      </c>
      <c r="J185" s="459">
        <f t="shared" si="83"/>
        <v>2266.6066903596179</v>
      </c>
      <c r="K185" s="459">
        <f t="shared" si="83"/>
        <v>2271.6291913062996</v>
      </c>
      <c r="L185" s="459">
        <f t="shared" si="83"/>
        <v>2240.644612114801</v>
      </c>
      <c r="M185" s="459">
        <f t="shared" si="83"/>
        <v>2197.0881720765829</v>
      </c>
      <c r="N185" s="459">
        <f t="shared" si="83"/>
        <v>2187.1962945744363</v>
      </c>
    </row>
    <row r="186" spans="1:14" s="5" customFormat="1">
      <c r="A186" s="884"/>
      <c r="B186" s="195" t="str">
        <f t="shared" si="78"/>
        <v>Computing</v>
      </c>
      <c r="C186" s="459">
        <f t="shared" ref="C186:N186" si="84">C90</f>
        <v>58906.339256625513</v>
      </c>
      <c r="D186" s="459">
        <f t="shared" si="84"/>
        <v>60462.336349730402</v>
      </c>
      <c r="E186" s="459">
        <f t="shared" si="84"/>
        <v>62145.820573917801</v>
      </c>
      <c r="F186" s="459">
        <f t="shared" si="84"/>
        <v>64272.26929902775</v>
      </c>
      <c r="G186" s="459">
        <f t="shared" si="84"/>
        <v>65791.575761868007</v>
      </c>
      <c r="H186" s="459">
        <f t="shared" si="84"/>
        <v>66987.184867312753</v>
      </c>
      <c r="I186" s="459">
        <f t="shared" si="84"/>
        <v>67869.030452363149</v>
      </c>
      <c r="J186" s="459">
        <f t="shared" si="84"/>
        <v>69226.500347212554</v>
      </c>
      <c r="K186" s="459">
        <f t="shared" si="84"/>
        <v>69379.897125316202</v>
      </c>
      <c r="L186" s="459">
        <f t="shared" si="84"/>
        <v>68433.568857919177</v>
      </c>
      <c r="M186" s="459">
        <f t="shared" si="84"/>
        <v>67103.271932451855</v>
      </c>
      <c r="N186" s="459">
        <f t="shared" si="84"/>
        <v>66801.155087809399</v>
      </c>
    </row>
    <row r="187" spans="1:14" s="5" customFormat="1">
      <c r="A187" s="884"/>
      <c r="B187" s="195" t="str">
        <f t="shared" si="78"/>
        <v>Design &amp; Technology</v>
      </c>
      <c r="C187" s="459">
        <f t="shared" ref="C187:N187" si="85">C91</f>
        <v>110674.4586938073</v>
      </c>
      <c r="D187" s="459">
        <f t="shared" si="85"/>
        <v>113597.89848283054</v>
      </c>
      <c r="E187" s="459">
        <f t="shared" si="85"/>
        <v>116760.86375249036</v>
      </c>
      <c r="F187" s="459">
        <f t="shared" si="85"/>
        <v>120756.07996455891</v>
      </c>
      <c r="G187" s="459">
        <f t="shared" si="85"/>
        <v>123610.58463225367</v>
      </c>
      <c r="H187" s="459">
        <f t="shared" si="85"/>
        <v>125856.91995412823</v>
      </c>
      <c r="I187" s="459">
        <f t="shared" si="85"/>
        <v>127513.74983031169</v>
      </c>
      <c r="J187" s="459">
        <f t="shared" si="85"/>
        <v>130064.19257894508</v>
      </c>
      <c r="K187" s="459">
        <f t="shared" si="85"/>
        <v>130352.39764475358</v>
      </c>
      <c r="L187" s="459">
        <f t="shared" si="85"/>
        <v>128574.41636018355</v>
      </c>
      <c r="M187" s="459">
        <f t="shared" si="85"/>
        <v>126075.02675312065</v>
      </c>
      <c r="N187" s="459">
        <f t="shared" si="85"/>
        <v>125507.40332472496</v>
      </c>
    </row>
    <row r="188" spans="1:14" s="5" customFormat="1">
      <c r="A188" s="884"/>
      <c r="B188" s="195" t="str">
        <f t="shared" si="78"/>
        <v>Drama</v>
      </c>
      <c r="C188" s="459">
        <f t="shared" ref="C188:N188" si="86">C92</f>
        <v>49441.752761688884</v>
      </c>
      <c r="D188" s="459">
        <f t="shared" si="86"/>
        <v>50747.745029177233</v>
      </c>
      <c r="E188" s="459">
        <f t="shared" si="86"/>
        <v>52160.74084322479</v>
      </c>
      <c r="F188" s="459">
        <f t="shared" si="86"/>
        <v>53945.529262502932</v>
      </c>
      <c r="G188" s="459">
        <f t="shared" si="86"/>
        <v>55220.726048671153</v>
      </c>
      <c r="H188" s="459">
        <f t="shared" si="86"/>
        <v>56224.234508660447</v>
      </c>
      <c r="I188" s="459">
        <f t="shared" si="86"/>
        <v>56964.392392179652</v>
      </c>
      <c r="J188" s="459">
        <f t="shared" si="86"/>
        <v>58103.755180116466</v>
      </c>
      <c r="K188" s="459">
        <f t="shared" si="86"/>
        <v>58232.505424540912</v>
      </c>
      <c r="L188" s="459">
        <f t="shared" si="86"/>
        <v>57438.225406150901</v>
      </c>
      <c r="M188" s="459">
        <f t="shared" si="86"/>
        <v>56321.669658185419</v>
      </c>
      <c r="N188" s="459">
        <f t="shared" si="86"/>
        <v>56068.09446532069</v>
      </c>
    </row>
    <row r="189" spans="1:14" s="5" customFormat="1">
      <c r="A189" s="884"/>
      <c r="B189" s="195" t="str">
        <f t="shared" si="78"/>
        <v>English</v>
      </c>
      <c r="C189" s="459">
        <f t="shared" ref="C189:N189" si="87">C93</f>
        <v>257835.59789144114</v>
      </c>
      <c r="D189" s="459">
        <f t="shared" si="87"/>
        <v>264646.26455110661</v>
      </c>
      <c r="E189" s="459">
        <f t="shared" si="87"/>
        <v>272014.9479044071</v>
      </c>
      <c r="F189" s="459">
        <f t="shared" si="87"/>
        <v>281322.50606102007</v>
      </c>
      <c r="G189" s="459">
        <f t="shared" si="87"/>
        <v>287972.5762431132</v>
      </c>
      <c r="H189" s="459">
        <f t="shared" si="87"/>
        <v>293205.80907402834</v>
      </c>
      <c r="I189" s="459">
        <f t="shared" si="87"/>
        <v>297065.68538850872</v>
      </c>
      <c r="J189" s="459">
        <f t="shared" si="87"/>
        <v>303007.3899041015</v>
      </c>
      <c r="K189" s="459">
        <f t="shared" si="87"/>
        <v>303678.81424477673</v>
      </c>
      <c r="L189" s="459">
        <f t="shared" si="87"/>
        <v>299536.69443721394</v>
      </c>
      <c r="M189" s="459">
        <f t="shared" si="87"/>
        <v>293713.92718534416</v>
      </c>
      <c r="N189" s="459">
        <f t="shared" si="87"/>
        <v>292391.54867303994</v>
      </c>
    </row>
    <row r="190" spans="1:14" s="5" customFormat="1">
      <c r="A190" s="884"/>
      <c r="B190" s="195" t="str">
        <f t="shared" si="78"/>
        <v>Food</v>
      </c>
      <c r="C190" s="459">
        <f t="shared" ref="C190:N190" si="88">C94</f>
        <v>14620.179953024493</v>
      </c>
      <c r="D190" s="459">
        <f t="shared" si="88"/>
        <v>15006.36856692682</v>
      </c>
      <c r="E190" s="459">
        <f t="shared" si="88"/>
        <v>15424.198678529441</v>
      </c>
      <c r="F190" s="459">
        <f t="shared" si="88"/>
        <v>15951.96977098432</v>
      </c>
      <c r="G190" s="459">
        <f t="shared" si="88"/>
        <v>16329.052003063769</v>
      </c>
      <c r="H190" s="459">
        <f t="shared" si="88"/>
        <v>16625.794603192509</v>
      </c>
      <c r="I190" s="459">
        <f t="shared" si="88"/>
        <v>16844.663086736356</v>
      </c>
      <c r="J190" s="459">
        <f t="shared" si="88"/>
        <v>17181.578508641127</v>
      </c>
      <c r="K190" s="459">
        <f t="shared" si="88"/>
        <v>17219.650616471816</v>
      </c>
      <c r="L190" s="459">
        <f t="shared" si="88"/>
        <v>16984.777939972537</v>
      </c>
      <c r="M190" s="459">
        <f t="shared" si="88"/>
        <v>16654.606676799027</v>
      </c>
      <c r="N190" s="459">
        <f t="shared" si="88"/>
        <v>16579.623191298935</v>
      </c>
    </row>
    <row r="191" spans="1:14" s="5" customFormat="1">
      <c r="A191" s="884"/>
      <c r="B191" s="195" t="str">
        <f t="shared" si="78"/>
        <v>Geography</v>
      </c>
      <c r="C191" s="459">
        <f t="shared" ref="C191:N191" si="89">C95</f>
        <v>99240.738810916868</v>
      </c>
      <c r="D191" s="459">
        <f t="shared" si="89"/>
        <v>101862.15957914088</v>
      </c>
      <c r="E191" s="459">
        <f t="shared" si="89"/>
        <v>104698.36057708508</v>
      </c>
      <c r="F191" s="459">
        <f t="shared" si="89"/>
        <v>108280.83311207134</v>
      </c>
      <c r="G191" s="459">
        <f t="shared" si="89"/>
        <v>110840.44040994819</v>
      </c>
      <c r="H191" s="459">
        <f t="shared" si="89"/>
        <v>112854.70801596055</v>
      </c>
      <c r="I191" s="459">
        <f t="shared" si="89"/>
        <v>114340.37167257121</v>
      </c>
      <c r="J191" s="459">
        <f t="shared" si="89"/>
        <v>116627.32952767644</v>
      </c>
      <c r="K191" s="459">
        <f t="shared" si="89"/>
        <v>116885.76028033109</v>
      </c>
      <c r="L191" s="459">
        <f t="shared" si="89"/>
        <v>115291.46130335686</v>
      </c>
      <c r="M191" s="459">
        <f t="shared" si="89"/>
        <v>113050.2823167265</v>
      </c>
      <c r="N191" s="459">
        <f t="shared" si="89"/>
        <v>112541.29976496883</v>
      </c>
    </row>
    <row r="192" spans="1:14" s="5" customFormat="1">
      <c r="A192" s="884"/>
      <c r="B192" s="195" t="str">
        <f t="shared" si="78"/>
        <v>History</v>
      </c>
      <c r="C192" s="459">
        <f t="shared" ref="C192:N192" si="90">C96</f>
        <v>101624.01270077801</v>
      </c>
      <c r="D192" s="459">
        <f t="shared" si="90"/>
        <v>104308.38708811153</v>
      </c>
      <c r="E192" s="459">
        <f t="shared" si="90"/>
        <v>107212.69966871612</v>
      </c>
      <c r="F192" s="459">
        <f t="shared" si="90"/>
        <v>110881.20555407924</v>
      </c>
      <c r="G192" s="459">
        <f t="shared" si="90"/>
        <v>113502.28201587424</v>
      </c>
      <c r="H192" s="459">
        <f t="shared" si="90"/>
        <v>115564.92241163124</v>
      </c>
      <c r="I192" s="459">
        <f t="shared" si="90"/>
        <v>117086.264393941</v>
      </c>
      <c r="J192" s="459">
        <f t="shared" si="90"/>
        <v>119428.14371586108</v>
      </c>
      <c r="K192" s="459">
        <f t="shared" si="90"/>
        <v>119692.78070269454</v>
      </c>
      <c r="L192" s="459">
        <f t="shared" si="90"/>
        <v>118060.1945145409</v>
      </c>
      <c r="M192" s="459">
        <f t="shared" si="90"/>
        <v>115765.19344410363</v>
      </c>
      <c r="N192" s="459">
        <f t="shared" si="90"/>
        <v>115243.98763765708</v>
      </c>
    </row>
    <row r="193" spans="1:30" s="5" customFormat="1">
      <c r="A193" s="884"/>
      <c r="B193" s="195" t="str">
        <f t="shared" si="78"/>
        <v>Mathematics</v>
      </c>
      <c r="C193" s="528">
        <f t="shared" ref="C193:N193" si="91">C97+((C97*(0.025*1)))</f>
        <v>258275.71386476012</v>
      </c>
      <c r="D193" s="528">
        <f t="shared" si="91"/>
        <v>265098.00608431874</v>
      </c>
      <c r="E193" s="528">
        <f t="shared" si="91"/>
        <v>272479.2675116813</v>
      </c>
      <c r="F193" s="528">
        <f t="shared" si="91"/>
        <v>281802.71333101741</v>
      </c>
      <c r="G193" s="528">
        <f t="shared" si="91"/>
        <v>288464.13494066661</v>
      </c>
      <c r="H193" s="528">
        <f t="shared" si="91"/>
        <v>293706.30070939101</v>
      </c>
      <c r="I193" s="528">
        <f t="shared" si="91"/>
        <v>297572.76569213491</v>
      </c>
      <c r="J193" s="528">
        <f t="shared" si="91"/>
        <v>303524.6124808949</v>
      </c>
      <c r="K193" s="528">
        <f t="shared" si="91"/>
        <v>304197.18291846145</v>
      </c>
      <c r="L193" s="528">
        <f t="shared" si="91"/>
        <v>300047.99266327382</v>
      </c>
      <c r="M193" s="528">
        <f t="shared" si="91"/>
        <v>294215.2861598134</v>
      </c>
      <c r="N193" s="528">
        <f t="shared" si="91"/>
        <v>292890.6503955595</v>
      </c>
    </row>
    <row r="194" spans="1:30" s="5" customFormat="1">
      <c r="A194" s="884"/>
      <c r="B194" s="195" t="str">
        <f t="shared" si="78"/>
        <v>Modern Foreign Languages</v>
      </c>
      <c r="C194" s="459">
        <f t="shared" ref="C194:N194" si="92">C98</f>
        <v>152756.61453669361</v>
      </c>
      <c r="D194" s="459">
        <f t="shared" si="92"/>
        <v>156791.64457202048</v>
      </c>
      <c r="E194" s="459">
        <f t="shared" si="92"/>
        <v>161157.27574106102</v>
      </c>
      <c r="F194" s="459">
        <f t="shared" si="92"/>
        <v>166671.60768449662</v>
      </c>
      <c r="G194" s="459">
        <f t="shared" si="92"/>
        <v>170611.49114417183</v>
      </c>
      <c r="H194" s="459">
        <f t="shared" si="92"/>
        <v>173711.9587943737</v>
      </c>
      <c r="I194" s="459">
        <f t="shared" si="92"/>
        <v>175998.77117851411</v>
      </c>
      <c r="J194" s="459">
        <f t="shared" si="92"/>
        <v>179518.97813908083</v>
      </c>
      <c r="K194" s="459">
        <f t="shared" si="92"/>
        <v>179916.76847539534</v>
      </c>
      <c r="L194" s="459">
        <f t="shared" si="92"/>
        <v>177462.7388379708</v>
      </c>
      <c r="M194" s="459">
        <f t="shared" si="92"/>
        <v>174012.99714246893</v>
      </c>
      <c r="N194" s="459">
        <f t="shared" si="92"/>
        <v>173229.54417349328</v>
      </c>
    </row>
    <row r="195" spans="1:30" s="5" customFormat="1">
      <c r="A195" s="884"/>
      <c r="B195" s="195" t="str">
        <f t="shared" si="78"/>
        <v>Music</v>
      </c>
      <c r="C195" s="459">
        <f t="shared" ref="C195:N195" si="93">C99</f>
        <v>57684.561049999276</v>
      </c>
      <c r="D195" s="459">
        <f t="shared" si="93"/>
        <v>59208.285159212777</v>
      </c>
      <c r="E195" s="459">
        <f t="shared" si="93"/>
        <v>60856.852184975229</v>
      </c>
      <c r="F195" s="459">
        <f t="shared" si="93"/>
        <v>62939.196171229669</v>
      </c>
      <c r="G195" s="459">
        <f t="shared" si="93"/>
        <v>64426.990651677028</v>
      </c>
      <c r="H195" s="459">
        <f t="shared" si="93"/>
        <v>65597.801591642288</v>
      </c>
      <c r="I195" s="459">
        <f t="shared" si="93"/>
        <v>66461.356790105769</v>
      </c>
      <c r="J195" s="459">
        <f t="shared" si="93"/>
        <v>67790.671359830434</v>
      </c>
      <c r="K195" s="459">
        <f t="shared" si="93"/>
        <v>67940.886530609321</v>
      </c>
      <c r="L195" s="459">
        <f t="shared" si="93"/>
        <v>67014.18608711056</v>
      </c>
      <c r="M195" s="459">
        <f t="shared" si="93"/>
        <v>65711.480891368585</v>
      </c>
      <c r="N195" s="459">
        <f t="shared" si="93"/>
        <v>65415.63026155626</v>
      </c>
    </row>
    <row r="196" spans="1:30" s="5" customFormat="1">
      <c r="A196" s="884"/>
      <c r="B196" s="195" t="str">
        <f t="shared" si="78"/>
        <v>Others</v>
      </c>
      <c r="C196" s="459">
        <f t="shared" ref="C196:N196" si="94">C100</f>
        <v>60908.042104412511</v>
      </c>
      <c r="D196" s="459">
        <f t="shared" si="94"/>
        <v>62516.913707319254</v>
      </c>
      <c r="E196" s="459">
        <f t="shared" si="94"/>
        <v>64257.604595649878</v>
      </c>
      <c r="F196" s="459">
        <f t="shared" si="94"/>
        <v>66456.312410739643</v>
      </c>
      <c r="G196" s="459">
        <f t="shared" si="94"/>
        <v>68027.246595005243</v>
      </c>
      <c r="H196" s="459">
        <f t="shared" si="94"/>
        <v>69263.483826071286</v>
      </c>
      <c r="I196" s="459">
        <f t="shared" si="94"/>
        <v>70175.295503755842</v>
      </c>
      <c r="J196" s="459">
        <f t="shared" si="94"/>
        <v>71578.893733663863</v>
      </c>
      <c r="K196" s="459">
        <f t="shared" si="94"/>
        <v>71737.503104698015</v>
      </c>
      <c r="L196" s="459">
        <f t="shared" si="94"/>
        <v>70759.017551486002</v>
      </c>
      <c r="M196" s="459">
        <f t="shared" si="94"/>
        <v>69383.515658646516</v>
      </c>
      <c r="N196" s="459">
        <f t="shared" si="94"/>
        <v>69071.132547997433</v>
      </c>
    </row>
    <row r="197" spans="1:30" s="5" customFormat="1">
      <c r="A197" s="884"/>
      <c r="B197" s="195" t="str">
        <f t="shared" si="78"/>
        <v>Physical Education</v>
      </c>
      <c r="C197" s="459">
        <f t="shared" ref="C197:N197" si="95">C101</f>
        <v>146226.9635538187</v>
      </c>
      <c r="D197" s="459">
        <f t="shared" si="95"/>
        <v>150089.51439460457</v>
      </c>
      <c r="E197" s="459">
        <f t="shared" si="95"/>
        <v>154268.53467324108</v>
      </c>
      <c r="F197" s="459">
        <f t="shared" si="95"/>
        <v>159547.15398908564</v>
      </c>
      <c r="G197" s="459">
        <f t="shared" si="95"/>
        <v>163318.62533788171</v>
      </c>
      <c r="H197" s="459">
        <f t="shared" si="95"/>
        <v>166286.56208786092</v>
      </c>
      <c r="I197" s="459">
        <f t="shared" si="95"/>
        <v>168475.62363628767</v>
      </c>
      <c r="J197" s="459">
        <f t="shared" si="95"/>
        <v>171845.3577488556</v>
      </c>
      <c r="K197" s="459">
        <f t="shared" si="95"/>
        <v>172226.14435627512</v>
      </c>
      <c r="L197" s="459">
        <f t="shared" si="95"/>
        <v>169877.01333212908</v>
      </c>
      <c r="M197" s="459">
        <f t="shared" si="95"/>
        <v>166574.7324148136</v>
      </c>
      <c r="N197" s="459">
        <f t="shared" si="95"/>
        <v>165824.76849941787</v>
      </c>
    </row>
    <row r="198" spans="1:30" s="5" customFormat="1">
      <c r="A198" s="884"/>
      <c r="B198" s="195" t="str">
        <f t="shared" si="78"/>
        <v>Physics</v>
      </c>
      <c r="C198" s="459">
        <f t="shared" ref="C198:N198" si="96">C102</f>
        <v>66778.468794464468</v>
      </c>
      <c r="D198" s="459">
        <f t="shared" si="96"/>
        <v>68542.406337307024</v>
      </c>
      <c r="E198" s="459">
        <f t="shared" si="96"/>
        <v>70450.868145485467</v>
      </c>
      <c r="F198" s="459">
        <f t="shared" si="96"/>
        <v>72861.491375935351</v>
      </c>
      <c r="G198" s="459">
        <f t="shared" si="96"/>
        <v>74583.835023467211</v>
      </c>
      <c r="H198" s="459">
        <f t="shared" si="96"/>
        <v>75939.223023228871</v>
      </c>
      <c r="I198" s="459">
        <f t="shared" si="96"/>
        <v>76938.916751034252</v>
      </c>
      <c r="J198" s="459">
        <f t="shared" si="96"/>
        <v>78477.796303839437</v>
      </c>
      <c r="K198" s="459">
        <f t="shared" si="96"/>
        <v>78651.692731440198</v>
      </c>
      <c r="L198" s="459">
        <f t="shared" si="96"/>
        <v>77578.898980017533</v>
      </c>
      <c r="M198" s="459">
        <f t="shared" si="96"/>
        <v>76070.823739801344</v>
      </c>
      <c r="N198" s="459">
        <f t="shared" si="96"/>
        <v>75728.332582876013</v>
      </c>
    </row>
    <row r="199" spans="1:30" s="5" customFormat="1">
      <c r="A199" s="884"/>
      <c r="B199" s="195" t="str">
        <f t="shared" si="78"/>
        <v>Religious Education</v>
      </c>
      <c r="C199" s="459">
        <f t="shared" ref="C199:N199" si="97">C103</f>
        <v>63628.730186083099</v>
      </c>
      <c r="D199" s="459">
        <f t="shared" si="97"/>
        <v>65309.468124595624</v>
      </c>
      <c r="E199" s="459">
        <f t="shared" si="97"/>
        <v>67127.913555514155</v>
      </c>
      <c r="F199" s="459">
        <f t="shared" si="97"/>
        <v>69424.834971647535</v>
      </c>
      <c r="G199" s="459">
        <f t="shared" si="97"/>
        <v>71065.940873219268</v>
      </c>
      <c r="H199" s="459">
        <f t="shared" si="97"/>
        <v>72357.399316205279</v>
      </c>
      <c r="I199" s="459">
        <f t="shared" si="97"/>
        <v>73309.940511347522</v>
      </c>
      <c r="J199" s="459">
        <f t="shared" si="97"/>
        <v>74776.235765221893</v>
      </c>
      <c r="K199" s="459">
        <f t="shared" si="97"/>
        <v>74941.930023743887</v>
      </c>
      <c r="L199" s="459">
        <f t="shared" si="97"/>
        <v>73919.73671223376</v>
      </c>
      <c r="M199" s="459">
        <f t="shared" si="97"/>
        <v>72482.792824595803</v>
      </c>
      <c r="N199" s="459">
        <f t="shared" si="97"/>
        <v>72156.455940738888</v>
      </c>
    </row>
    <row r="200" spans="1:30" s="5" customFormat="1">
      <c r="A200" s="884"/>
      <c r="B200" s="195" t="str">
        <f t="shared" si="78"/>
        <v>Total</v>
      </c>
      <c r="C200" s="528">
        <f t="shared" ref="C200:N200" si="98">SUM(C181:C199)</f>
        <v>1729620.5679745928</v>
      </c>
      <c r="D200" s="528">
        <f t="shared" si="98"/>
        <v>1775308.088365536</v>
      </c>
      <c r="E200" s="528">
        <f t="shared" si="98"/>
        <v>1824738.9132438242</v>
      </c>
      <c r="F200" s="528">
        <f t="shared" si="98"/>
        <v>1887176.1568089102</v>
      </c>
      <c r="G200" s="528">
        <f t="shared" si="98"/>
        <v>1931786.359044312</v>
      </c>
      <c r="H200" s="528">
        <f t="shared" si="98"/>
        <v>1966892.0900425646</v>
      </c>
      <c r="I200" s="528">
        <f t="shared" si="98"/>
        <v>1992785.0292563897</v>
      </c>
      <c r="J200" s="528">
        <f t="shared" si="98"/>
        <v>2032643.351470391</v>
      </c>
      <c r="K200" s="528">
        <f t="shared" si="98"/>
        <v>2037147.4205708872</v>
      </c>
      <c r="L200" s="528">
        <f t="shared" si="98"/>
        <v>2009361.1270072185</v>
      </c>
      <c r="M200" s="528">
        <f t="shared" si="98"/>
        <v>1970300.6633484985</v>
      </c>
      <c r="N200" s="528">
        <f t="shared" si="98"/>
        <v>1961429.8437555735</v>
      </c>
    </row>
    <row r="201" spans="1:30">
      <c r="A201" s="10">
        <f>O201</f>
        <v>0</v>
      </c>
      <c r="B201" s="12"/>
      <c r="C201" s="10">
        <f t="shared" ref="C201:N201" si="99">SUM(C181:C199)-C200</f>
        <v>0</v>
      </c>
      <c r="D201" s="10">
        <f t="shared" si="99"/>
        <v>0</v>
      </c>
      <c r="E201" s="10">
        <f t="shared" si="99"/>
        <v>0</v>
      </c>
      <c r="F201" s="10">
        <f t="shared" si="99"/>
        <v>0</v>
      </c>
      <c r="G201" s="10">
        <f t="shared" si="99"/>
        <v>0</v>
      </c>
      <c r="H201" s="10">
        <f t="shared" si="99"/>
        <v>0</v>
      </c>
      <c r="I201" s="10">
        <f t="shared" si="99"/>
        <v>0</v>
      </c>
      <c r="J201" s="10">
        <f t="shared" si="99"/>
        <v>0</v>
      </c>
      <c r="K201" s="10">
        <f t="shared" si="99"/>
        <v>0</v>
      </c>
      <c r="L201" s="10">
        <f t="shared" si="99"/>
        <v>0</v>
      </c>
      <c r="M201" s="10">
        <f t="shared" si="99"/>
        <v>0</v>
      </c>
      <c r="N201" s="10">
        <f t="shared" si="99"/>
        <v>0</v>
      </c>
      <c r="O201" s="10">
        <f>SUM(C201:N201)</f>
        <v>0</v>
      </c>
    </row>
    <row r="202" spans="1:30">
      <c r="A202" s="883"/>
      <c r="B202" s="12"/>
      <c r="C202" s="10"/>
      <c r="D202" s="10"/>
      <c r="E202" s="10"/>
      <c r="F202" s="10"/>
      <c r="G202" s="10"/>
      <c r="H202" s="10"/>
      <c r="I202" s="10"/>
      <c r="J202" s="10"/>
      <c r="K202" s="10"/>
      <c r="L202" s="10"/>
      <c r="M202" s="10"/>
      <c r="N202" s="10"/>
      <c r="O202" s="10"/>
    </row>
    <row r="203" spans="1:30">
      <c r="A203" s="883"/>
      <c r="B203" s="76" t="s">
        <v>1744</v>
      </c>
      <c r="D203" s="12"/>
      <c r="E203" s="12"/>
      <c r="F203" s="12"/>
    </row>
    <row r="204" spans="1:30">
      <c r="A204" s="883"/>
      <c r="B204" s="12"/>
      <c r="D204" s="12"/>
      <c r="E204" s="12"/>
      <c r="F204" s="12"/>
    </row>
    <row r="205" spans="1:30">
      <c r="A205" s="883"/>
      <c r="B205" s="142" t="s">
        <v>62</v>
      </c>
      <c r="C205" s="8" t="str">
        <f>C180</f>
        <v>2016/17</v>
      </c>
      <c r="D205" s="8" t="str">
        <f t="shared" ref="D205:N205" si="100">D180</f>
        <v>2017/18</v>
      </c>
      <c r="E205" s="8" t="str">
        <f t="shared" si="100"/>
        <v>2018/19</v>
      </c>
      <c r="F205" s="8" t="str">
        <f t="shared" si="100"/>
        <v>2019/20</v>
      </c>
      <c r="G205" s="8" t="str">
        <f t="shared" si="100"/>
        <v>2020/21</v>
      </c>
      <c r="H205" s="8" t="str">
        <f t="shared" si="100"/>
        <v>2021/22</v>
      </c>
      <c r="I205" s="8" t="str">
        <f t="shared" si="100"/>
        <v>2022/23</v>
      </c>
      <c r="J205" s="8" t="str">
        <f t="shared" si="100"/>
        <v>2023/24</v>
      </c>
      <c r="K205" s="8" t="str">
        <f t="shared" si="100"/>
        <v>2024/25</v>
      </c>
      <c r="L205" s="8" t="str">
        <f t="shared" si="100"/>
        <v>2025/26</v>
      </c>
      <c r="M205" s="8" t="str">
        <f t="shared" si="100"/>
        <v>2026/27</v>
      </c>
      <c r="N205" s="8" t="str">
        <f t="shared" si="100"/>
        <v>2027/28</v>
      </c>
      <c r="Q205" s="262" t="s">
        <v>461</v>
      </c>
    </row>
    <row r="206" spans="1:30" s="5" customFormat="1">
      <c r="A206" s="884"/>
      <c r="B206" s="195" t="str">
        <f t="shared" ref="B206:B225" si="101">B181</f>
        <v>Art &amp; Design</v>
      </c>
      <c r="C206" s="529">
        <f t="shared" ref="C206:N206" si="102">(C181/((SUM(C$181:C$199))-C$182-C$184-C$189-C$193-C$198))*(C$104-C$207-C$209-C$214-C$218-C$223)</f>
        <v>72506.909383480408</v>
      </c>
      <c r="D206" s="529">
        <f t="shared" si="102"/>
        <v>74422.162336803682</v>
      </c>
      <c r="E206" s="529">
        <f t="shared" si="102"/>
        <v>76494.337244157912</v>
      </c>
      <c r="F206" s="529">
        <f t="shared" si="102"/>
        <v>79111.75036074064</v>
      </c>
      <c r="G206" s="529">
        <f t="shared" si="102"/>
        <v>80981.841380095633</v>
      </c>
      <c r="H206" s="529">
        <f t="shared" si="102"/>
        <v>82453.498287663475</v>
      </c>
      <c r="I206" s="529">
        <f t="shared" si="102"/>
        <v>83538.948491026415</v>
      </c>
      <c r="J206" s="529">
        <f t="shared" si="102"/>
        <v>85209.837361371188</v>
      </c>
      <c r="K206" s="529">
        <f t="shared" si="102"/>
        <v>85398.651102473348</v>
      </c>
      <c r="L206" s="529">
        <f t="shared" si="102"/>
        <v>84233.830154557072</v>
      </c>
      <c r="M206" s="529">
        <f t="shared" si="102"/>
        <v>82596.388075398645</v>
      </c>
      <c r="N206" s="529">
        <f t="shared" si="102"/>
        <v>82224.517085719854</v>
      </c>
    </row>
    <row r="207" spans="1:30" s="5" customFormat="1">
      <c r="A207" s="884"/>
      <c r="B207" s="195" t="str">
        <f t="shared" si="101"/>
        <v>Biology</v>
      </c>
      <c r="C207" s="388">
        <f>C182</f>
        <v>82370.096354803842</v>
      </c>
      <c r="D207" s="388">
        <f t="shared" ref="D207:N207" si="103">D182</f>
        <v>84545.883071552293</v>
      </c>
      <c r="E207" s="388">
        <f t="shared" si="103"/>
        <v>86899.937991753643</v>
      </c>
      <c r="F207" s="388">
        <f t="shared" si="103"/>
        <v>89873.400416872086</v>
      </c>
      <c r="G207" s="388">
        <f t="shared" si="103"/>
        <v>91997.881776873633</v>
      </c>
      <c r="H207" s="388">
        <f t="shared" si="103"/>
        <v>93669.72963673003</v>
      </c>
      <c r="I207" s="388">
        <f t="shared" si="103"/>
        <v>94902.834710433788</v>
      </c>
      <c r="J207" s="388">
        <f t="shared" si="103"/>
        <v>96801.016255044276</v>
      </c>
      <c r="K207" s="388">
        <f t="shared" si="103"/>
        <v>97015.514517071191</v>
      </c>
      <c r="L207" s="388">
        <f t="shared" si="103"/>
        <v>95692.241817520437</v>
      </c>
      <c r="M207" s="388">
        <f t="shared" si="103"/>
        <v>93832.056864354847</v>
      </c>
      <c r="N207" s="388">
        <f t="shared" si="103"/>
        <v>93409.599894228173</v>
      </c>
      <c r="P207" s="5" t="s">
        <v>7</v>
      </c>
      <c r="Q207" s="530">
        <f>C207/C$225</f>
        <v>4.7797298757440862E-2</v>
      </c>
      <c r="R207" s="530">
        <f t="shared" ref="R207:Z207" si="104">D207/D$225</f>
        <v>4.7797298757440848E-2</v>
      </c>
      <c r="S207" s="530">
        <f t="shared" si="104"/>
        <v>4.7797298757440862E-2</v>
      </c>
      <c r="T207" s="530">
        <f t="shared" si="104"/>
        <v>4.7797298757440862E-2</v>
      </c>
      <c r="U207" s="530">
        <f t="shared" si="104"/>
        <v>4.7797298757440869E-2</v>
      </c>
      <c r="V207" s="530">
        <f t="shared" si="104"/>
        <v>4.7797298757440855E-2</v>
      </c>
      <c r="W207" s="530">
        <f t="shared" si="104"/>
        <v>4.7797298757440869E-2</v>
      </c>
      <c r="X207" s="530">
        <f t="shared" si="104"/>
        <v>4.7797298757440862E-2</v>
      </c>
      <c r="Y207" s="530">
        <f t="shared" si="104"/>
        <v>4.7797298757440869E-2</v>
      </c>
      <c r="Z207" s="530">
        <f t="shared" si="104"/>
        <v>4.7797298757440862E-2</v>
      </c>
      <c r="AA207" s="530">
        <f>M207/M$225</f>
        <v>4.7797298757440862E-2</v>
      </c>
      <c r="AB207" s="530">
        <f>N207/N$225</f>
        <v>4.7797298757440869E-2</v>
      </c>
      <c r="AC207" s="531"/>
      <c r="AD207" s="531"/>
    </row>
    <row r="208" spans="1:30" s="5" customFormat="1">
      <c r="A208" s="884"/>
      <c r="B208" s="195" t="str">
        <f t="shared" si="101"/>
        <v>Business Studies</v>
      </c>
      <c r="C208" s="529">
        <f t="shared" ref="C208:N208" si="105">(C183/((SUM(C$181:C$199))-C$182-C$184-C$189-C$193-C$198))*(C$104-C$207-C$209-C$214-C$218-C$223)</f>
        <v>4842.4368460941741</v>
      </c>
      <c r="D208" s="529">
        <f t="shared" si="105"/>
        <v>4970.3486761476606</v>
      </c>
      <c r="E208" s="529">
        <f t="shared" si="105"/>
        <v>5108.7406750377704</v>
      </c>
      <c r="F208" s="529">
        <f t="shared" si="105"/>
        <v>5283.5468807492243</v>
      </c>
      <c r="G208" s="529">
        <f t="shared" si="105"/>
        <v>5408.4425318626845</v>
      </c>
      <c r="H208" s="529">
        <f t="shared" si="105"/>
        <v>5506.7284151614031</v>
      </c>
      <c r="I208" s="529">
        <f t="shared" si="105"/>
        <v>5579.2211486685719</v>
      </c>
      <c r="J208" s="529">
        <f t="shared" si="105"/>
        <v>5690.8129114437997</v>
      </c>
      <c r="K208" s="529">
        <f t="shared" si="105"/>
        <v>5703.423000947495</v>
      </c>
      <c r="L208" s="529">
        <f t="shared" si="105"/>
        <v>5625.6294234077341</v>
      </c>
      <c r="M208" s="529">
        <f t="shared" si="105"/>
        <v>5516.2714335984429</v>
      </c>
      <c r="N208" s="529">
        <f t="shared" si="105"/>
        <v>5491.4357069383814</v>
      </c>
      <c r="Q208" s="532">
        <f t="shared" ref="Q208:AB208" si="106">C86/C$104</f>
        <v>4.7797298757440862E-2</v>
      </c>
      <c r="R208" s="532">
        <f t="shared" si="106"/>
        <v>4.7797298757440862E-2</v>
      </c>
      <c r="S208" s="532">
        <f t="shared" si="106"/>
        <v>4.7797298757440862E-2</v>
      </c>
      <c r="T208" s="532">
        <f t="shared" si="106"/>
        <v>4.7797298757440862E-2</v>
      </c>
      <c r="U208" s="532">
        <f t="shared" si="106"/>
        <v>4.7797298757440855E-2</v>
      </c>
      <c r="V208" s="532">
        <f t="shared" si="106"/>
        <v>4.7797298757440855E-2</v>
      </c>
      <c r="W208" s="532">
        <f t="shared" si="106"/>
        <v>4.7797298757440862E-2</v>
      </c>
      <c r="X208" s="532">
        <f t="shared" si="106"/>
        <v>4.7797298757440855E-2</v>
      </c>
      <c r="Y208" s="532">
        <f t="shared" si="106"/>
        <v>4.7797298757440862E-2</v>
      </c>
      <c r="Z208" s="532">
        <f t="shared" si="106"/>
        <v>4.7797298757440862E-2</v>
      </c>
      <c r="AA208" s="532">
        <f t="shared" si="106"/>
        <v>4.7797298757440862E-2</v>
      </c>
      <c r="AB208" s="532">
        <f t="shared" si="106"/>
        <v>4.7797298757440862E-2</v>
      </c>
    </row>
    <row r="209" spans="1:28" s="5" customFormat="1">
      <c r="A209" s="884"/>
      <c r="B209" s="195" t="str">
        <f t="shared" si="101"/>
        <v>Chemistry</v>
      </c>
      <c r="C209" s="388">
        <f>C184</f>
        <v>68877.663126128318</v>
      </c>
      <c r="D209" s="388">
        <f t="shared" ref="D209:N209" si="107">D184</f>
        <v>70697.050393383412</v>
      </c>
      <c r="E209" s="388">
        <f t="shared" si="107"/>
        <v>72665.505074747605</v>
      </c>
      <c r="F209" s="388">
        <f t="shared" si="107"/>
        <v>75151.90672169147</v>
      </c>
      <c r="G209" s="388">
        <f t="shared" si="107"/>
        <v>76928.39258133671</v>
      </c>
      <c r="H209" s="388">
        <f t="shared" si="107"/>
        <v>78326.387470080241</v>
      </c>
      <c r="I209" s="388">
        <f t="shared" si="107"/>
        <v>79357.506767304818</v>
      </c>
      <c r="J209" s="388">
        <f t="shared" si="107"/>
        <v>80944.761302236438</v>
      </c>
      <c r="K209" s="388">
        <f t="shared" si="107"/>
        <v>81124.124198321806</v>
      </c>
      <c r="L209" s="388">
        <f t="shared" si="107"/>
        <v>80017.606963826154</v>
      </c>
      <c r="M209" s="388">
        <f t="shared" si="107"/>
        <v>78462.125081122722</v>
      </c>
      <c r="N209" s="388">
        <f t="shared" si="107"/>
        <v>78108.867647158666</v>
      </c>
      <c r="P209" s="5" t="s">
        <v>3</v>
      </c>
      <c r="Q209" s="530">
        <f>C209/C$225</f>
        <v>3.99679785243073E-2</v>
      </c>
      <c r="R209" s="530">
        <f t="shared" ref="R209:AB209" si="108">D209/D$225</f>
        <v>3.99679785243073E-2</v>
      </c>
      <c r="S209" s="530">
        <f t="shared" si="108"/>
        <v>3.9967978524307314E-2</v>
      </c>
      <c r="T209" s="530">
        <f t="shared" si="108"/>
        <v>3.9967978524307307E-2</v>
      </c>
      <c r="U209" s="530">
        <f t="shared" si="108"/>
        <v>3.9967978524307314E-2</v>
      </c>
      <c r="V209" s="530">
        <f t="shared" si="108"/>
        <v>3.99679785243073E-2</v>
      </c>
      <c r="W209" s="530">
        <f t="shared" si="108"/>
        <v>3.9967978524307307E-2</v>
      </c>
      <c r="X209" s="530">
        <f t="shared" si="108"/>
        <v>3.9967978524307314E-2</v>
      </c>
      <c r="Y209" s="530">
        <f t="shared" si="108"/>
        <v>3.9967978524307307E-2</v>
      </c>
      <c r="Z209" s="530">
        <f t="shared" si="108"/>
        <v>3.9967978524307314E-2</v>
      </c>
      <c r="AA209" s="530">
        <f t="shared" si="108"/>
        <v>3.9967978524307307E-2</v>
      </c>
      <c r="AB209" s="530">
        <f t="shared" si="108"/>
        <v>3.9967978524307314E-2</v>
      </c>
    </row>
    <row r="210" spans="1:28" s="5" customFormat="1">
      <c r="A210" s="884"/>
      <c r="B210" s="195" t="str">
        <f t="shared" si="101"/>
        <v>Classics</v>
      </c>
      <c r="C210" s="529">
        <f t="shared" ref="C210:N210" si="109">(C185/((SUM(C$181:C$199))-C$182-C$184-C$189-C$193-C$198))*(C$104-C$207-C$209-C$214-C$218-C$223)</f>
        <v>1916.5002483324147</v>
      </c>
      <c r="D210" s="529">
        <f t="shared" si="109"/>
        <v>1967.1241515145261</v>
      </c>
      <c r="E210" s="529">
        <f t="shared" si="109"/>
        <v>2021.8958106336415</v>
      </c>
      <c r="F210" s="529">
        <f t="shared" si="109"/>
        <v>2091.0791881982382</v>
      </c>
      <c r="G210" s="529">
        <f t="shared" si="109"/>
        <v>2140.5093726244222</v>
      </c>
      <c r="H210" s="529">
        <f t="shared" si="109"/>
        <v>2179.4081596889346</v>
      </c>
      <c r="I210" s="529">
        <f t="shared" si="109"/>
        <v>2208.0987438275479</v>
      </c>
      <c r="J210" s="529">
        <f t="shared" si="109"/>
        <v>2252.2636235911477</v>
      </c>
      <c r="K210" s="529">
        <f t="shared" si="109"/>
        <v>2257.2543421969708</v>
      </c>
      <c r="L210" s="529">
        <f t="shared" si="109"/>
        <v>2226.4658331441633</v>
      </c>
      <c r="M210" s="529">
        <f t="shared" si="109"/>
        <v>2183.185017867102</v>
      </c>
      <c r="N210" s="529">
        <f t="shared" si="109"/>
        <v>2173.3557360768978</v>
      </c>
      <c r="Q210" s="532">
        <f t="shared" ref="Q210:AB210" si="110">C88/C$104</f>
        <v>3.99679785243073E-2</v>
      </c>
      <c r="R210" s="532">
        <f t="shared" si="110"/>
        <v>3.9967978524307307E-2</v>
      </c>
      <c r="S210" s="532">
        <f t="shared" si="110"/>
        <v>3.9967978524307314E-2</v>
      </c>
      <c r="T210" s="532">
        <f t="shared" si="110"/>
        <v>3.9967978524307307E-2</v>
      </c>
      <c r="U210" s="532">
        <f t="shared" si="110"/>
        <v>3.99679785243073E-2</v>
      </c>
      <c r="V210" s="532">
        <f t="shared" si="110"/>
        <v>3.9967978524307307E-2</v>
      </c>
      <c r="W210" s="532">
        <f t="shared" si="110"/>
        <v>3.9967978524307307E-2</v>
      </c>
      <c r="X210" s="532">
        <f t="shared" si="110"/>
        <v>3.9967978524307307E-2</v>
      </c>
      <c r="Y210" s="532">
        <f t="shared" si="110"/>
        <v>3.9967978524307307E-2</v>
      </c>
      <c r="Z210" s="532">
        <f t="shared" si="110"/>
        <v>3.9967978524307314E-2</v>
      </c>
      <c r="AA210" s="532">
        <f t="shared" si="110"/>
        <v>3.9967978524307307E-2</v>
      </c>
      <c r="AB210" s="532">
        <f t="shared" si="110"/>
        <v>3.9967978524307307E-2</v>
      </c>
    </row>
    <row r="211" spans="1:28" s="5" customFormat="1">
      <c r="A211" s="884"/>
      <c r="B211" s="195" t="str">
        <f t="shared" si="101"/>
        <v>Computing</v>
      </c>
      <c r="C211" s="529">
        <f t="shared" ref="C211:N211" si="111">(C186/((SUM(C$181:C$199))-C$182-C$184-C$189-C$193-C$198))*(C$104-C$207-C$209-C$214-C$218-C$223)</f>
        <v>58533.58047115228</v>
      </c>
      <c r="D211" s="529">
        <f t="shared" si="111"/>
        <v>60079.731228634468</v>
      </c>
      <c r="E211" s="529">
        <f t="shared" si="111"/>
        <v>61752.562379779294</v>
      </c>
      <c r="F211" s="529">
        <f t="shared" si="111"/>
        <v>63865.554956465377</v>
      </c>
      <c r="G211" s="529">
        <f t="shared" si="111"/>
        <v>65375.247261661527</v>
      </c>
      <c r="H211" s="529">
        <f t="shared" si="111"/>
        <v>66563.290563431001</v>
      </c>
      <c r="I211" s="529">
        <f t="shared" si="111"/>
        <v>67439.555837543594</v>
      </c>
      <c r="J211" s="529">
        <f t="shared" si="111"/>
        <v>68788.435675096873</v>
      </c>
      <c r="K211" s="529">
        <f t="shared" si="111"/>
        <v>68940.861759767096</v>
      </c>
      <c r="L211" s="529">
        <f t="shared" si="111"/>
        <v>68000.5218491423</v>
      </c>
      <c r="M211" s="529">
        <f t="shared" si="111"/>
        <v>66678.643030665073</v>
      </c>
      <c r="N211" s="529">
        <f t="shared" si="111"/>
        <v>66378.437978700604</v>
      </c>
    </row>
    <row r="212" spans="1:28" s="5" customFormat="1">
      <c r="A212" s="884"/>
      <c r="B212" s="195" t="str">
        <f t="shared" si="101"/>
        <v>Design &amp; Technology</v>
      </c>
      <c r="C212" s="529">
        <f t="shared" ref="C212:N212" si="112">(C187/((SUM(C$181:C$199))-C$182-C$184-C$189-C$193-C$198))*(C$104-C$207-C$209-C$214-C$218-C$223)</f>
        <v>109974.11171373299</v>
      </c>
      <c r="D212" s="529">
        <f t="shared" si="112"/>
        <v>112879.05200204183</v>
      </c>
      <c r="E212" s="529">
        <f t="shared" si="112"/>
        <v>116022.00205589819</v>
      </c>
      <c r="F212" s="529">
        <f t="shared" si="112"/>
        <v>119991.93657567848</v>
      </c>
      <c r="G212" s="529">
        <f t="shared" si="112"/>
        <v>122828.37796348713</v>
      </c>
      <c r="H212" s="529">
        <f t="shared" si="112"/>
        <v>125060.49849563089</v>
      </c>
      <c r="I212" s="529">
        <f t="shared" si="112"/>
        <v>126706.84396724639</v>
      </c>
      <c r="J212" s="529">
        <f t="shared" si="112"/>
        <v>129241.14753708517</v>
      </c>
      <c r="K212" s="529">
        <f t="shared" si="112"/>
        <v>129527.52884382705</v>
      </c>
      <c r="L212" s="529">
        <f t="shared" si="112"/>
        <v>127760.79860884853</v>
      </c>
      <c r="M212" s="529">
        <f t="shared" si="112"/>
        <v>125277.2251167592</v>
      </c>
      <c r="N212" s="529">
        <f t="shared" si="112"/>
        <v>124713.19360431758</v>
      </c>
    </row>
    <row r="213" spans="1:28" s="5" customFormat="1">
      <c r="A213" s="884"/>
      <c r="B213" s="195" t="str">
        <f t="shared" si="101"/>
        <v>Drama</v>
      </c>
      <c r="C213" s="529">
        <f t="shared" ref="C213:N213" si="113">(C188/((SUM(C$181:C$199))-C$182-C$184-C$189-C$193-C$198))*(C$104-C$207-C$209-C$214-C$218-C$223)</f>
        <v>49128.885794505179</v>
      </c>
      <c r="D213" s="529">
        <f t="shared" si="113"/>
        <v>50426.613754660735</v>
      </c>
      <c r="E213" s="529">
        <f t="shared" si="113"/>
        <v>51830.668143894429</v>
      </c>
      <c r="F213" s="529">
        <f t="shared" si="113"/>
        <v>53604.162438093801</v>
      </c>
      <c r="G213" s="529">
        <f t="shared" si="113"/>
        <v>54871.289790458279</v>
      </c>
      <c r="H213" s="529">
        <f t="shared" si="113"/>
        <v>55868.44805793048</v>
      </c>
      <c r="I213" s="529">
        <f t="shared" si="113"/>
        <v>56603.922229013959</v>
      </c>
      <c r="J213" s="529">
        <f t="shared" si="113"/>
        <v>57736.075139467233</v>
      </c>
      <c r="K213" s="529">
        <f t="shared" si="113"/>
        <v>57864.010653501908</v>
      </c>
      <c r="L213" s="529">
        <f t="shared" si="113"/>
        <v>57074.756831930732</v>
      </c>
      <c r="M213" s="529">
        <f t="shared" si="113"/>
        <v>55965.266638704816</v>
      </c>
      <c r="N213" s="529">
        <f t="shared" si="113"/>
        <v>55713.296067381845</v>
      </c>
    </row>
    <row r="214" spans="1:28" s="5" customFormat="1">
      <c r="A214" s="884"/>
      <c r="B214" s="195" t="str">
        <f t="shared" si="101"/>
        <v>English</v>
      </c>
      <c r="C214" s="388">
        <f>C189</f>
        <v>257835.59789144114</v>
      </c>
      <c r="D214" s="388">
        <f t="shared" ref="D214:N214" si="114">D189</f>
        <v>264646.26455110661</v>
      </c>
      <c r="E214" s="388">
        <f t="shared" si="114"/>
        <v>272014.9479044071</v>
      </c>
      <c r="F214" s="388">
        <f t="shared" si="114"/>
        <v>281322.50606102007</v>
      </c>
      <c r="G214" s="388">
        <f t="shared" si="114"/>
        <v>287972.5762431132</v>
      </c>
      <c r="H214" s="388">
        <f t="shared" si="114"/>
        <v>293205.80907402834</v>
      </c>
      <c r="I214" s="388">
        <f t="shared" si="114"/>
        <v>297065.68538850872</v>
      </c>
      <c r="J214" s="388">
        <f t="shared" si="114"/>
        <v>303007.3899041015</v>
      </c>
      <c r="K214" s="388">
        <f t="shared" si="114"/>
        <v>303678.81424477673</v>
      </c>
      <c r="L214" s="388">
        <f t="shared" si="114"/>
        <v>299536.69443721394</v>
      </c>
      <c r="M214" s="388">
        <f t="shared" si="114"/>
        <v>293713.92718534416</v>
      </c>
      <c r="N214" s="388">
        <f t="shared" si="114"/>
        <v>292391.54867303994</v>
      </c>
      <c r="P214" s="5" t="s">
        <v>1</v>
      </c>
      <c r="Q214" s="533">
        <f t="shared" ref="Q214:AB214" si="115">C214/C$225</f>
        <v>0.14961552369243855</v>
      </c>
      <c r="R214" s="533">
        <f t="shared" si="115"/>
        <v>0.14961552369243852</v>
      </c>
      <c r="S214" s="533">
        <f t="shared" si="115"/>
        <v>0.14961552369243858</v>
      </c>
      <c r="T214" s="533">
        <f t="shared" si="115"/>
        <v>0.14961552369243858</v>
      </c>
      <c r="U214" s="533">
        <f t="shared" si="115"/>
        <v>0.14961552369243858</v>
      </c>
      <c r="V214" s="533">
        <f t="shared" si="115"/>
        <v>0.14961552369243855</v>
      </c>
      <c r="W214" s="533">
        <f t="shared" si="115"/>
        <v>0.14961552369243858</v>
      </c>
      <c r="X214" s="533">
        <f t="shared" si="115"/>
        <v>0.14961552369243858</v>
      </c>
      <c r="Y214" s="533">
        <f t="shared" si="115"/>
        <v>0.14961552369243858</v>
      </c>
      <c r="Z214" s="533">
        <f t="shared" si="115"/>
        <v>0.14961552369243855</v>
      </c>
      <c r="AA214" s="533">
        <f t="shared" si="115"/>
        <v>0.14961552369243858</v>
      </c>
      <c r="AB214" s="533">
        <f t="shared" si="115"/>
        <v>0.14961552369243858</v>
      </c>
    </row>
    <row r="215" spans="1:28" s="5" customFormat="1">
      <c r="A215" s="884"/>
      <c r="B215" s="195" t="str">
        <f t="shared" si="101"/>
        <v>Food</v>
      </c>
      <c r="C215" s="529">
        <f t="shared" ref="C215:N215" si="116">(C190/((SUM(C$181:C$199))-C$182-C$184-C$189-C$193-C$198))*(C$104-C$207-C$209-C$214-C$218-C$223)</f>
        <v>14527.663585661256</v>
      </c>
      <c r="D215" s="529">
        <f t="shared" si="116"/>
        <v>14911.408401485167</v>
      </c>
      <c r="E215" s="529">
        <f t="shared" si="116"/>
        <v>15326.59448789626</v>
      </c>
      <c r="F215" s="529">
        <f t="shared" si="116"/>
        <v>15851.025849620728</v>
      </c>
      <c r="G215" s="529">
        <f t="shared" si="116"/>
        <v>16225.721908724103</v>
      </c>
      <c r="H215" s="529">
        <f t="shared" si="116"/>
        <v>16520.586724345816</v>
      </c>
      <c r="I215" s="529">
        <f t="shared" si="116"/>
        <v>16738.070210092585</v>
      </c>
      <c r="J215" s="529">
        <f t="shared" si="116"/>
        <v>17072.853634235125</v>
      </c>
      <c r="K215" s="529">
        <f t="shared" si="116"/>
        <v>17110.684822109579</v>
      </c>
      <c r="L215" s="529">
        <f t="shared" si="116"/>
        <v>16877.298417796581</v>
      </c>
      <c r="M215" s="529">
        <f t="shared" si="116"/>
        <v>16549.216475409459</v>
      </c>
      <c r="N215" s="529">
        <f t="shared" si="116"/>
        <v>16474.707484731789</v>
      </c>
      <c r="Q215" s="534">
        <f t="shared" ref="Q215:AB215" si="117">C93/C$104</f>
        <v>0.14961552369243855</v>
      </c>
      <c r="R215" s="534">
        <f t="shared" si="117"/>
        <v>0.14961552369243858</v>
      </c>
      <c r="S215" s="534">
        <f t="shared" si="117"/>
        <v>0.14961552369243858</v>
      </c>
      <c r="T215" s="534">
        <f t="shared" si="117"/>
        <v>0.14961552369243858</v>
      </c>
      <c r="U215" s="534">
        <f t="shared" si="117"/>
        <v>0.14961552369243855</v>
      </c>
      <c r="V215" s="534">
        <f t="shared" si="117"/>
        <v>0.14961552369243855</v>
      </c>
      <c r="W215" s="534">
        <f t="shared" si="117"/>
        <v>0.14961552369243855</v>
      </c>
      <c r="X215" s="534">
        <f t="shared" si="117"/>
        <v>0.14961552369243855</v>
      </c>
      <c r="Y215" s="534">
        <f t="shared" si="117"/>
        <v>0.14961552369243855</v>
      </c>
      <c r="Z215" s="534">
        <f t="shared" si="117"/>
        <v>0.14961552369243855</v>
      </c>
      <c r="AA215" s="534">
        <f t="shared" si="117"/>
        <v>0.14961552369243858</v>
      </c>
      <c r="AB215" s="534">
        <f t="shared" si="117"/>
        <v>0.14961552369243855</v>
      </c>
    </row>
    <row r="216" spans="1:28" s="5" customFormat="1">
      <c r="A216" s="884"/>
      <c r="B216" s="195" t="str">
        <f t="shared" si="101"/>
        <v>Geography</v>
      </c>
      <c r="C216" s="529">
        <f t="shared" ref="C216:N216" si="118">(C191/((SUM(C$181:C$199))-C$182-C$184-C$189-C$193-C$198))*(C$104-C$207-C$209-C$214-C$218-C$223)</f>
        <v>98612.74430751607</v>
      </c>
      <c r="D216" s="529">
        <f t="shared" si="118"/>
        <v>101217.5767486753</v>
      </c>
      <c r="E216" s="529">
        <f t="shared" si="118"/>
        <v>104035.83029219111</v>
      </c>
      <c r="F216" s="529">
        <f t="shared" si="118"/>
        <v>107595.6329731687</v>
      </c>
      <c r="G216" s="529">
        <f t="shared" si="118"/>
        <v>110139.04309906566</v>
      </c>
      <c r="H216" s="529">
        <f t="shared" si="118"/>
        <v>112140.56443776777</v>
      </c>
      <c r="I216" s="529">
        <f t="shared" si="118"/>
        <v>113616.82682810981</v>
      </c>
      <c r="J216" s="529">
        <f t="shared" si="118"/>
        <v>115889.31283445895</v>
      </c>
      <c r="K216" s="529">
        <f t="shared" si="118"/>
        <v>116146.10823963306</v>
      </c>
      <c r="L216" s="529">
        <f t="shared" si="118"/>
        <v>114561.89797225848</v>
      </c>
      <c r="M216" s="529">
        <f t="shared" si="118"/>
        <v>112334.90114611592</v>
      </c>
      <c r="N216" s="529">
        <f t="shared" si="118"/>
        <v>111829.13943137192</v>
      </c>
    </row>
    <row r="217" spans="1:28" s="5" customFormat="1">
      <c r="A217" s="884"/>
      <c r="B217" s="195" t="str">
        <f t="shared" si="101"/>
        <v>History</v>
      </c>
      <c r="C217" s="529">
        <f t="shared" ref="C217:N217" si="119">(C192/((SUM(C$181:C$199))-C$182-C$184-C$189-C$193-C$198))*(C$104-C$207-C$209-C$214-C$218-C$223)</f>
        <v>100980.9368616187</v>
      </c>
      <c r="D217" s="529">
        <f t="shared" si="119"/>
        <v>103648.32455195143</v>
      </c>
      <c r="E217" s="529">
        <f t="shared" si="119"/>
        <v>106534.2586686446</v>
      </c>
      <c r="F217" s="529">
        <f t="shared" si="119"/>
        <v>110179.55028173096</v>
      </c>
      <c r="G217" s="529">
        <f t="shared" si="119"/>
        <v>112784.04059522918</v>
      </c>
      <c r="H217" s="529">
        <f t="shared" si="119"/>
        <v>114833.62862109712</v>
      </c>
      <c r="I217" s="529">
        <f t="shared" si="119"/>
        <v>116345.34356501384</v>
      </c>
      <c r="J217" s="529">
        <f t="shared" si="119"/>
        <v>118672.40349562936</v>
      </c>
      <c r="K217" s="529">
        <f t="shared" si="119"/>
        <v>118935.36586198816</v>
      </c>
      <c r="L217" s="529">
        <f t="shared" si="119"/>
        <v>117313.11066456247</v>
      </c>
      <c r="M217" s="529">
        <f t="shared" si="119"/>
        <v>115032.63234027567</v>
      </c>
      <c r="N217" s="529">
        <f t="shared" si="119"/>
        <v>114514.72471948861</v>
      </c>
    </row>
    <row r="218" spans="1:28" s="5" customFormat="1">
      <c r="A218" s="884"/>
      <c r="B218" s="195" t="str">
        <f t="shared" si="101"/>
        <v>Mathematics</v>
      </c>
      <c r="C218" s="373">
        <f>C193</f>
        <v>258275.71386476012</v>
      </c>
      <c r="D218" s="373">
        <f t="shared" ref="D218:N218" si="120">D193</f>
        <v>265098.00608431874</v>
      </c>
      <c r="E218" s="373">
        <f t="shared" si="120"/>
        <v>272479.2675116813</v>
      </c>
      <c r="F218" s="373">
        <f t="shared" si="120"/>
        <v>281802.71333101741</v>
      </c>
      <c r="G218" s="373">
        <f t="shared" si="120"/>
        <v>288464.13494066661</v>
      </c>
      <c r="H218" s="373">
        <f t="shared" si="120"/>
        <v>293706.30070939101</v>
      </c>
      <c r="I218" s="373">
        <f t="shared" si="120"/>
        <v>297572.76569213491</v>
      </c>
      <c r="J218" s="373">
        <f t="shared" si="120"/>
        <v>303524.6124808949</v>
      </c>
      <c r="K218" s="373">
        <f t="shared" si="120"/>
        <v>304197.18291846145</v>
      </c>
      <c r="L218" s="373">
        <f t="shared" si="120"/>
        <v>300047.99266327382</v>
      </c>
      <c r="M218" s="373">
        <f t="shared" si="120"/>
        <v>294215.2861598134</v>
      </c>
      <c r="N218" s="373">
        <f t="shared" si="120"/>
        <v>292890.6503955595</v>
      </c>
      <c r="P218" s="5" t="s">
        <v>560</v>
      </c>
      <c r="Q218" s="535">
        <f t="shared" ref="Q218:AB218" si="121">C218/C$225</f>
        <v>0.1498709119412763</v>
      </c>
      <c r="R218" s="533">
        <f t="shared" si="121"/>
        <v>0.14987091194127627</v>
      </c>
      <c r="S218" s="533">
        <f t="shared" si="121"/>
        <v>0.1498709119412763</v>
      </c>
      <c r="T218" s="533">
        <f t="shared" si="121"/>
        <v>0.1498709119412763</v>
      </c>
      <c r="U218" s="533">
        <f t="shared" si="121"/>
        <v>0.14987091194127633</v>
      </c>
      <c r="V218" s="533">
        <f t="shared" si="121"/>
        <v>0.1498709119412763</v>
      </c>
      <c r="W218" s="533">
        <f t="shared" si="121"/>
        <v>0.1498709119412763</v>
      </c>
      <c r="X218" s="533">
        <f t="shared" si="121"/>
        <v>0.1498709119412763</v>
      </c>
      <c r="Y218" s="533">
        <f t="shared" si="121"/>
        <v>0.1498709119412763</v>
      </c>
      <c r="Z218" s="533">
        <f t="shared" si="121"/>
        <v>0.14987091194127627</v>
      </c>
      <c r="AA218" s="533">
        <f t="shared" si="121"/>
        <v>0.1498709119412763</v>
      </c>
      <c r="AB218" s="533">
        <f t="shared" si="121"/>
        <v>0.1498709119412763</v>
      </c>
    </row>
    <row r="219" spans="1:28" s="5" customFormat="1">
      <c r="A219" s="884"/>
      <c r="B219" s="195" t="str">
        <f t="shared" si="101"/>
        <v>Modern Foreign Languages</v>
      </c>
      <c r="C219" s="529">
        <f t="shared" ref="C219:N219" si="122">(C194/((SUM(C$181:C$199))-C$182-C$184-C$189-C$193-C$198))*(C$104-C$207-C$209-C$214-C$218-C$223)</f>
        <v>151789.97205260315</v>
      </c>
      <c r="D219" s="529">
        <f t="shared" si="122"/>
        <v>155799.46845412595</v>
      </c>
      <c r="E219" s="529">
        <f t="shared" si="122"/>
        <v>160137.47394835911</v>
      </c>
      <c r="F219" s="529">
        <f t="shared" si="122"/>
        <v>165616.9112488094</v>
      </c>
      <c r="G219" s="529">
        <f t="shared" si="122"/>
        <v>169531.86316135625</v>
      </c>
      <c r="H219" s="529">
        <f t="shared" si="122"/>
        <v>172612.71108012905</v>
      </c>
      <c r="I219" s="529">
        <f t="shared" si="122"/>
        <v>174885.05253605227</v>
      </c>
      <c r="J219" s="529">
        <f t="shared" si="122"/>
        <v>178382.98365860578</v>
      </c>
      <c r="K219" s="529">
        <f t="shared" si="122"/>
        <v>178778.2567812466</v>
      </c>
      <c r="L219" s="529">
        <f t="shared" si="122"/>
        <v>176339.75622131536</v>
      </c>
      <c r="M219" s="529">
        <f t="shared" si="122"/>
        <v>172911.84446026268</v>
      </c>
      <c r="N219" s="529">
        <f t="shared" si="122"/>
        <v>172133.34917463441</v>
      </c>
      <c r="Q219" s="534">
        <f t="shared" ref="Q219:AB219" si="123">C97/C$104</f>
        <v>0.1462155238451476</v>
      </c>
      <c r="R219" s="534">
        <f t="shared" si="123"/>
        <v>0.1462155238451476</v>
      </c>
      <c r="S219" s="534">
        <f t="shared" si="123"/>
        <v>0.14621552384514763</v>
      </c>
      <c r="T219" s="534">
        <f t="shared" si="123"/>
        <v>0.1462155238451476</v>
      </c>
      <c r="U219" s="534">
        <f t="shared" si="123"/>
        <v>0.1462155238451476</v>
      </c>
      <c r="V219" s="534">
        <f t="shared" si="123"/>
        <v>0.1462155238451476</v>
      </c>
      <c r="W219" s="534">
        <f t="shared" si="123"/>
        <v>0.1462155238451476</v>
      </c>
      <c r="X219" s="534">
        <f t="shared" si="123"/>
        <v>0.1462155238451476</v>
      </c>
      <c r="Y219" s="534">
        <f t="shared" si="123"/>
        <v>0.1462155238451476</v>
      </c>
      <c r="Z219" s="534">
        <f t="shared" si="123"/>
        <v>0.1462155238451476</v>
      </c>
      <c r="AA219" s="534">
        <f t="shared" si="123"/>
        <v>0.1462155238451476</v>
      </c>
      <c r="AB219" s="534">
        <f t="shared" si="123"/>
        <v>0.1462155238451476</v>
      </c>
    </row>
    <row r="220" spans="1:28" s="5" customFormat="1">
      <c r="A220" s="884"/>
      <c r="B220" s="195" t="str">
        <f t="shared" si="101"/>
        <v>Music</v>
      </c>
      <c r="C220" s="529">
        <f t="shared" ref="C220:N220" si="124">(C195/((SUM(C$181:C$199))-C$182-C$184-C$189-C$193-C$198))*(C$104-C$207-C$209-C$214-C$218-C$223)</f>
        <v>57319.533666038464</v>
      </c>
      <c r="D220" s="529">
        <f t="shared" si="124"/>
        <v>58833.615662781318</v>
      </c>
      <c r="E220" s="529">
        <f t="shared" si="124"/>
        <v>60471.750571219047</v>
      </c>
      <c r="F220" s="529">
        <f t="shared" si="124"/>
        <v>62540.917503440774</v>
      </c>
      <c r="G220" s="529">
        <f t="shared" si="124"/>
        <v>64019.297233785437</v>
      </c>
      <c r="H220" s="529">
        <f t="shared" si="124"/>
        <v>65182.699292643738</v>
      </c>
      <c r="I220" s="529">
        <f t="shared" si="124"/>
        <v>66040.789921571384</v>
      </c>
      <c r="J220" s="529">
        <f t="shared" si="124"/>
        <v>67361.692600644295</v>
      </c>
      <c r="K220" s="529">
        <f t="shared" si="124"/>
        <v>67510.957211172325</v>
      </c>
      <c r="L220" s="529">
        <f t="shared" si="124"/>
        <v>66590.120919752531</v>
      </c>
      <c r="M220" s="529">
        <f t="shared" si="124"/>
        <v>65295.659230782898</v>
      </c>
      <c r="N220" s="529">
        <f t="shared" si="124"/>
        <v>65001.680741097429</v>
      </c>
    </row>
    <row r="221" spans="1:28" s="5" customFormat="1">
      <c r="A221" s="884"/>
      <c r="B221" s="195" t="str">
        <f t="shared" si="101"/>
        <v>Others</v>
      </c>
      <c r="C221" s="529">
        <f t="shared" ref="C221:N221" si="125">(C196/((SUM(C$181:C$199))-C$182-C$184-C$189-C$193-C$198))*(C$104-C$207-C$209-C$214-C$218-C$223)</f>
        <v>60522.616561306131</v>
      </c>
      <c r="D221" s="529">
        <f t="shared" si="125"/>
        <v>62121.30723916729</v>
      </c>
      <c r="E221" s="529">
        <f t="shared" si="125"/>
        <v>63850.983051198702</v>
      </c>
      <c r="F221" s="529">
        <f t="shared" si="125"/>
        <v>66035.777462992555</v>
      </c>
      <c r="G221" s="529">
        <f t="shared" si="125"/>
        <v>67596.770789856804</v>
      </c>
      <c r="H221" s="529">
        <f t="shared" si="125"/>
        <v>68825.185122833733</v>
      </c>
      <c r="I221" s="529">
        <f t="shared" si="125"/>
        <v>69731.226864415585</v>
      </c>
      <c r="J221" s="529">
        <f t="shared" si="125"/>
        <v>71125.943137337745</v>
      </c>
      <c r="K221" s="529">
        <f t="shared" si="125"/>
        <v>71283.548829697247</v>
      </c>
      <c r="L221" s="529">
        <f t="shared" si="125"/>
        <v>70311.255124273128</v>
      </c>
      <c r="M221" s="529">
        <f t="shared" si="125"/>
        <v>68944.457395051038</v>
      </c>
      <c r="N221" s="529">
        <f t="shared" si="125"/>
        <v>68634.051041918981</v>
      </c>
    </row>
    <row r="222" spans="1:28" s="5" customFormat="1">
      <c r="A222" s="884"/>
      <c r="B222" s="195" t="str">
        <f t="shared" si="101"/>
        <v>Physical Education</v>
      </c>
      <c r="C222" s="529">
        <f t="shared" ref="C222:N222" si="126">(C197/((SUM(C$181:C$199))-C$182-C$184-C$189-C$193-C$198))*(C$104-C$207-C$209-C$214-C$218-C$223)</f>
        <v>145301.64064247129</v>
      </c>
      <c r="D222" s="529">
        <f t="shared" si="126"/>
        <v>149139.74929624624</v>
      </c>
      <c r="E222" s="529">
        <f t="shared" si="126"/>
        <v>153292.32477211292</v>
      </c>
      <c r="F222" s="529">
        <f t="shared" si="126"/>
        <v>158537.54103236142</v>
      </c>
      <c r="G222" s="529">
        <f t="shared" si="126"/>
        <v>162285.14654435337</v>
      </c>
      <c r="H222" s="529">
        <f t="shared" si="126"/>
        <v>165234.30221724918</v>
      </c>
      <c r="I222" s="529">
        <f t="shared" si="126"/>
        <v>167409.5114038687</v>
      </c>
      <c r="J222" s="529">
        <f t="shared" si="126"/>
        <v>170757.92186925339</v>
      </c>
      <c r="K222" s="529">
        <f t="shared" si="126"/>
        <v>171136.2988624429</v>
      </c>
      <c r="L222" s="529">
        <f t="shared" si="126"/>
        <v>168802.03311830797</v>
      </c>
      <c r="M222" s="529">
        <f t="shared" si="126"/>
        <v>165520.64900496241</v>
      </c>
      <c r="N222" s="529">
        <f t="shared" si="126"/>
        <v>164775.43085448392</v>
      </c>
    </row>
    <row r="223" spans="1:28" s="5" customFormat="1">
      <c r="A223" s="884"/>
      <c r="B223" s="195" t="str">
        <f t="shared" si="101"/>
        <v>Physics</v>
      </c>
      <c r="C223" s="388">
        <f>C198</f>
        <v>66778.468794464468</v>
      </c>
      <c r="D223" s="388">
        <f t="shared" ref="D223:N223" si="127">D198</f>
        <v>68542.406337307024</v>
      </c>
      <c r="E223" s="388">
        <f t="shared" si="127"/>
        <v>70450.868145485467</v>
      </c>
      <c r="F223" s="388">
        <f t="shared" si="127"/>
        <v>72861.491375935351</v>
      </c>
      <c r="G223" s="388">
        <f t="shared" si="127"/>
        <v>74583.835023467211</v>
      </c>
      <c r="H223" s="388">
        <f t="shared" si="127"/>
        <v>75939.223023228871</v>
      </c>
      <c r="I223" s="388">
        <f t="shared" si="127"/>
        <v>76938.916751034252</v>
      </c>
      <c r="J223" s="388">
        <f t="shared" si="127"/>
        <v>78477.796303839437</v>
      </c>
      <c r="K223" s="388">
        <f t="shared" si="127"/>
        <v>78651.692731440198</v>
      </c>
      <c r="L223" s="388">
        <f t="shared" si="127"/>
        <v>77578.898980017533</v>
      </c>
      <c r="M223" s="388">
        <f t="shared" si="127"/>
        <v>76070.823739801344</v>
      </c>
      <c r="N223" s="388">
        <f t="shared" si="127"/>
        <v>75728.332582876013</v>
      </c>
      <c r="P223" s="5" t="s">
        <v>2</v>
      </c>
      <c r="Q223" s="530">
        <f t="shared" ref="Q223:AB223" si="128">C223/C$225</f>
        <v>3.8749868760440169E-2</v>
      </c>
      <c r="R223" s="530">
        <f t="shared" si="128"/>
        <v>3.8749868760440162E-2</v>
      </c>
      <c r="S223" s="530">
        <f t="shared" si="128"/>
        <v>3.8749868760440176E-2</v>
      </c>
      <c r="T223" s="530">
        <f t="shared" si="128"/>
        <v>3.8749868760440176E-2</v>
      </c>
      <c r="U223" s="530">
        <f t="shared" si="128"/>
        <v>3.8749868760440176E-2</v>
      </c>
      <c r="V223" s="530">
        <f t="shared" si="128"/>
        <v>3.8749868760440162E-2</v>
      </c>
      <c r="W223" s="530">
        <f t="shared" si="128"/>
        <v>3.8749868760440176E-2</v>
      </c>
      <c r="X223" s="530">
        <f t="shared" si="128"/>
        <v>3.8749868760440176E-2</v>
      </c>
      <c r="Y223" s="530">
        <f t="shared" si="128"/>
        <v>3.8749868760440176E-2</v>
      </c>
      <c r="Z223" s="530">
        <f t="shared" si="128"/>
        <v>3.8749868760440176E-2</v>
      </c>
      <c r="AA223" s="530">
        <f t="shared" si="128"/>
        <v>3.8749868760440169E-2</v>
      </c>
      <c r="AB223" s="530">
        <f t="shared" si="128"/>
        <v>3.8749868760440176E-2</v>
      </c>
    </row>
    <row r="224" spans="1:28" s="5" customFormat="1">
      <c r="A224" s="884"/>
      <c r="B224" s="195" t="str">
        <f t="shared" si="101"/>
        <v>Religious Education</v>
      </c>
      <c r="C224" s="529">
        <f t="shared" ref="C224:N224" si="129">(C199/((SUM(C$181:C$199))-C$182-C$184-C$189-C$193-C$198))*(C$104-C$207-C$209-C$214-C$218-C$223)</f>
        <v>63226.088153244498</v>
      </c>
      <c r="D224" s="529">
        <f t="shared" si="129"/>
        <v>64896.190397185521</v>
      </c>
      <c r="E224" s="529">
        <f t="shared" si="129"/>
        <v>66703.128721758068</v>
      </c>
      <c r="F224" s="529">
        <f t="shared" si="129"/>
        <v>68985.515239810687</v>
      </c>
      <c r="G224" s="529">
        <f t="shared" si="129"/>
        <v>70616.236237984529</v>
      </c>
      <c r="H224" s="529">
        <f t="shared" si="129"/>
        <v>71899.522343548626</v>
      </c>
      <c r="I224" s="529">
        <f t="shared" si="129"/>
        <v>72846.03586656769</v>
      </c>
      <c r="J224" s="529">
        <f t="shared" si="129"/>
        <v>74303.052417251951</v>
      </c>
      <c r="K224" s="529">
        <f t="shared" si="129"/>
        <v>74467.698163994937</v>
      </c>
      <c r="L224" s="529">
        <f t="shared" si="129"/>
        <v>73451.973282574443</v>
      </c>
      <c r="M224" s="529">
        <f t="shared" si="129"/>
        <v>72024.12236294485</v>
      </c>
      <c r="N224" s="529">
        <f t="shared" si="129"/>
        <v>71699.85053595643</v>
      </c>
      <c r="Q224" s="532">
        <f t="shared" ref="Q224:AB224" si="130">C102/C$104</f>
        <v>3.8749868760440169E-2</v>
      </c>
      <c r="R224" s="532">
        <f t="shared" si="130"/>
        <v>3.8749868760440169E-2</v>
      </c>
      <c r="S224" s="532">
        <f t="shared" si="130"/>
        <v>3.8749868760440176E-2</v>
      </c>
      <c r="T224" s="532">
        <f t="shared" si="130"/>
        <v>3.8749868760440176E-2</v>
      </c>
      <c r="U224" s="532">
        <f t="shared" si="130"/>
        <v>3.8749868760440162E-2</v>
      </c>
      <c r="V224" s="532">
        <f t="shared" si="130"/>
        <v>3.8749868760440169E-2</v>
      </c>
      <c r="W224" s="532">
        <f t="shared" si="130"/>
        <v>3.8749868760440169E-2</v>
      </c>
      <c r="X224" s="532">
        <f t="shared" si="130"/>
        <v>3.8749868760440169E-2</v>
      </c>
      <c r="Y224" s="532">
        <f t="shared" si="130"/>
        <v>3.8749868760440176E-2</v>
      </c>
      <c r="Z224" s="532">
        <f t="shared" si="130"/>
        <v>3.8749868760440176E-2</v>
      </c>
      <c r="AA224" s="532">
        <f t="shared" si="130"/>
        <v>3.8749868760440169E-2</v>
      </c>
      <c r="AB224" s="532">
        <f t="shared" si="130"/>
        <v>3.8749868760440176E-2</v>
      </c>
    </row>
    <row r="225" spans="1:15" s="5" customFormat="1">
      <c r="A225" s="884"/>
      <c r="B225" s="195" t="str">
        <f t="shared" si="101"/>
        <v>Total</v>
      </c>
      <c r="C225" s="536">
        <f>SUM(C206:C224)</f>
        <v>1723321.1603193549</v>
      </c>
      <c r="D225" s="536">
        <f t="shared" ref="D225:N225" si="131">SUM(D206:D224)</f>
        <v>1768842.2833390895</v>
      </c>
      <c r="E225" s="536">
        <f t="shared" si="131"/>
        <v>1818093.0774508561</v>
      </c>
      <c r="F225" s="536">
        <f t="shared" si="131"/>
        <v>1880302.9198983973</v>
      </c>
      <c r="G225" s="536">
        <f t="shared" si="131"/>
        <v>1924750.6484360022</v>
      </c>
      <c r="H225" s="536">
        <f t="shared" si="131"/>
        <v>1959728.5217325797</v>
      </c>
      <c r="I225" s="536">
        <f t="shared" si="131"/>
        <v>1985527.1569224347</v>
      </c>
      <c r="J225" s="536">
        <f t="shared" si="131"/>
        <v>2025240.3121415882</v>
      </c>
      <c r="K225" s="536">
        <f t="shared" si="131"/>
        <v>2029727.9770850702</v>
      </c>
      <c r="L225" s="536">
        <f t="shared" si="131"/>
        <v>2002042.8832837236</v>
      </c>
      <c r="M225" s="536">
        <f t="shared" si="131"/>
        <v>1963124.6807592346</v>
      </c>
      <c r="N225" s="536">
        <f t="shared" si="131"/>
        <v>1954286.1693556812</v>
      </c>
    </row>
    <row r="226" spans="1:15">
      <c r="A226" s="10">
        <f>O226</f>
        <v>0</v>
      </c>
      <c r="B226" s="12"/>
      <c r="C226" s="10">
        <f t="shared" ref="C226:N226" si="132">SUM(C206:C224)-C225</f>
        <v>0</v>
      </c>
      <c r="D226" s="10">
        <f t="shared" si="132"/>
        <v>0</v>
      </c>
      <c r="E226" s="10">
        <f t="shared" si="132"/>
        <v>0</v>
      </c>
      <c r="F226" s="10">
        <f t="shared" si="132"/>
        <v>0</v>
      </c>
      <c r="G226" s="10">
        <f t="shared" si="132"/>
        <v>0</v>
      </c>
      <c r="H226" s="10">
        <f t="shared" si="132"/>
        <v>0</v>
      </c>
      <c r="I226" s="10">
        <f t="shared" si="132"/>
        <v>0</v>
      </c>
      <c r="J226" s="10">
        <f t="shared" si="132"/>
        <v>0</v>
      </c>
      <c r="K226" s="10">
        <f t="shared" si="132"/>
        <v>0</v>
      </c>
      <c r="L226" s="10">
        <f t="shared" si="132"/>
        <v>0</v>
      </c>
      <c r="M226" s="10">
        <f t="shared" si="132"/>
        <v>0</v>
      </c>
      <c r="N226" s="10">
        <f t="shared" si="132"/>
        <v>0</v>
      </c>
      <c r="O226" s="10">
        <f>SUM(C226:N226)</f>
        <v>0</v>
      </c>
    </row>
    <row r="227" spans="1:15">
      <c r="A227" s="10">
        <f>SUM(B227:N227)</f>
        <v>0</v>
      </c>
      <c r="B227" s="12"/>
      <c r="C227" s="10">
        <f t="shared" ref="C227:N227" si="133">C225-C104</f>
        <v>0</v>
      </c>
      <c r="D227" s="10">
        <f t="shared" si="133"/>
        <v>0</v>
      </c>
      <c r="E227" s="10">
        <f t="shared" si="133"/>
        <v>0</v>
      </c>
      <c r="F227" s="10">
        <f t="shared" si="133"/>
        <v>0</v>
      </c>
      <c r="G227" s="10">
        <f t="shared" si="133"/>
        <v>0</v>
      </c>
      <c r="H227" s="10">
        <f t="shared" si="133"/>
        <v>0</v>
      </c>
      <c r="I227" s="10">
        <f t="shared" si="133"/>
        <v>0</v>
      </c>
      <c r="J227" s="10">
        <f t="shared" si="133"/>
        <v>0</v>
      </c>
      <c r="K227" s="10">
        <f t="shared" si="133"/>
        <v>0</v>
      </c>
      <c r="L227" s="10">
        <f t="shared" si="133"/>
        <v>0</v>
      </c>
      <c r="M227" s="10">
        <f t="shared" si="133"/>
        <v>0</v>
      </c>
      <c r="N227" s="10">
        <f t="shared" si="133"/>
        <v>0</v>
      </c>
      <c r="O227" s="10"/>
    </row>
    <row r="228" spans="1:15">
      <c r="A228" s="883"/>
      <c r="B228" s="12"/>
      <c r="C228" s="10"/>
      <c r="D228" s="10"/>
      <c r="E228" s="10"/>
      <c r="F228" s="10"/>
      <c r="G228" s="10"/>
      <c r="H228" s="10"/>
      <c r="I228" s="10"/>
      <c r="J228" s="10"/>
      <c r="K228" s="10"/>
      <c r="L228" s="10"/>
      <c r="M228" s="10"/>
      <c r="N228" s="10"/>
      <c r="O228" s="10"/>
    </row>
    <row r="229" spans="1:15">
      <c r="A229" s="883"/>
      <c r="B229" s="76" t="s">
        <v>79</v>
      </c>
      <c r="D229" s="12"/>
      <c r="E229" s="12"/>
      <c r="F229" s="12"/>
    </row>
    <row r="230" spans="1:15">
      <c r="A230" s="883"/>
      <c r="B230" s="12"/>
      <c r="D230" s="12"/>
      <c r="E230" s="12"/>
      <c r="F230" s="12"/>
      <c r="G230" s="404"/>
    </row>
    <row r="231" spans="1:15">
      <c r="A231" s="883"/>
      <c r="B231" s="262" t="s">
        <v>365</v>
      </c>
      <c r="C231" s="463"/>
      <c r="D231" s="463"/>
      <c r="E231" s="463"/>
      <c r="F231" s="325"/>
    </row>
    <row r="232" spans="1:15">
      <c r="A232" s="883"/>
      <c r="B232" s="12"/>
      <c r="D232" s="12"/>
      <c r="E232" s="12"/>
      <c r="F232" s="12"/>
    </row>
    <row r="233" spans="1:15">
      <c r="A233" s="883"/>
      <c r="B233" s="142" t="s">
        <v>62</v>
      </c>
      <c r="C233" s="8" t="str">
        <f t="shared" ref="C233:N233" si="134">C180</f>
        <v>2016/17</v>
      </c>
      <c r="D233" s="8" t="str">
        <f t="shared" si="134"/>
        <v>2017/18</v>
      </c>
      <c r="E233" s="8" t="str">
        <f t="shared" si="134"/>
        <v>2018/19</v>
      </c>
      <c r="F233" s="8" t="str">
        <f t="shared" si="134"/>
        <v>2019/20</v>
      </c>
      <c r="G233" s="8" t="str">
        <f t="shared" si="134"/>
        <v>2020/21</v>
      </c>
      <c r="H233" s="8" t="str">
        <f t="shared" si="134"/>
        <v>2021/22</v>
      </c>
      <c r="I233" s="8" t="str">
        <f t="shared" si="134"/>
        <v>2022/23</v>
      </c>
      <c r="J233" s="8" t="str">
        <f t="shared" si="134"/>
        <v>2023/24</v>
      </c>
      <c r="K233" s="8" t="str">
        <f t="shared" si="134"/>
        <v>2024/25</v>
      </c>
      <c r="L233" s="8" t="str">
        <f t="shared" si="134"/>
        <v>2025/26</v>
      </c>
      <c r="M233" s="8" t="str">
        <f t="shared" si="134"/>
        <v>2026/27</v>
      </c>
      <c r="N233" s="8" t="str">
        <f t="shared" si="134"/>
        <v>2027/28</v>
      </c>
    </row>
    <row r="234" spans="1:15" s="5" customFormat="1">
      <c r="A234" s="884"/>
      <c r="B234" s="195" t="str">
        <f t="shared" ref="B234:B252" si="135">B181</f>
        <v>Art &amp; Design</v>
      </c>
      <c r="C234" s="459">
        <f t="shared" ref="C234:N234" si="136">C111</f>
        <v>40874.752051247553</v>
      </c>
      <c r="D234" s="459">
        <f t="shared" si="136"/>
        <v>41571.286007437353</v>
      </c>
      <c r="E234" s="459">
        <f t="shared" si="136"/>
        <v>43114.400873416722</v>
      </c>
      <c r="F234" s="459">
        <f t="shared" si="136"/>
        <v>44287.578502694589</v>
      </c>
      <c r="G234" s="459">
        <f t="shared" si="136"/>
        <v>45276.893117730047</v>
      </c>
      <c r="H234" s="459">
        <f t="shared" si="136"/>
        <v>46647.401438831468</v>
      </c>
      <c r="I234" s="459">
        <f t="shared" si="136"/>
        <v>48467.079998605717</v>
      </c>
      <c r="J234" s="459">
        <f t="shared" si="136"/>
        <v>49303.765994165704</v>
      </c>
      <c r="K234" s="459">
        <f t="shared" si="136"/>
        <v>49668.399022173224</v>
      </c>
      <c r="L234" s="459">
        <f t="shared" si="136"/>
        <v>50778.373302183449</v>
      </c>
      <c r="M234" s="459">
        <f t="shared" si="136"/>
        <v>51797.729428358085</v>
      </c>
      <c r="N234" s="459">
        <f t="shared" si="136"/>
        <v>51340.760296974739</v>
      </c>
    </row>
    <row r="235" spans="1:15" s="5" customFormat="1">
      <c r="A235" s="884"/>
      <c r="B235" s="195" t="str">
        <f t="shared" si="135"/>
        <v>Biology</v>
      </c>
      <c r="C235" s="528">
        <f t="shared" ref="C235:N235" si="137">C112+((C112*0.1))</f>
        <v>90237.595353556142</v>
      </c>
      <c r="D235" s="528">
        <f t="shared" si="137"/>
        <v>91775.306192997159</v>
      </c>
      <c r="E235" s="528">
        <f t="shared" si="137"/>
        <v>95181.980677180429</v>
      </c>
      <c r="F235" s="528">
        <f t="shared" si="137"/>
        <v>97771.959157193982</v>
      </c>
      <c r="G235" s="528">
        <f t="shared" si="137"/>
        <v>99956.030434176893</v>
      </c>
      <c r="H235" s="528">
        <f t="shared" si="137"/>
        <v>102981.64818356842</v>
      </c>
      <c r="I235" s="528">
        <f t="shared" si="137"/>
        <v>106998.88154426444</v>
      </c>
      <c r="J235" s="528">
        <f t="shared" si="137"/>
        <v>108846.00057291737</v>
      </c>
      <c r="K235" s="528">
        <f t="shared" si="137"/>
        <v>109650.9866824999</v>
      </c>
      <c r="L235" s="528">
        <f t="shared" si="137"/>
        <v>112101.43359424725</v>
      </c>
      <c r="M235" s="528">
        <f t="shared" si="137"/>
        <v>114351.82634328675</v>
      </c>
      <c r="N235" s="528">
        <f t="shared" si="137"/>
        <v>113342.99342082311</v>
      </c>
    </row>
    <row r="236" spans="1:15" s="5" customFormat="1">
      <c r="A236" s="884"/>
      <c r="B236" s="195" t="str">
        <f t="shared" si="135"/>
        <v>Business Studies</v>
      </c>
      <c r="C236" s="459">
        <f t="shared" ref="C236:N236" si="138">C113</f>
        <v>29911.954583051167</v>
      </c>
      <c r="D236" s="459">
        <f t="shared" si="138"/>
        <v>30421.674912044979</v>
      </c>
      <c r="E236" s="459">
        <f t="shared" si="138"/>
        <v>31550.919236994883</v>
      </c>
      <c r="F236" s="459">
        <f t="shared" si="138"/>
        <v>32409.445202383347</v>
      </c>
      <c r="G236" s="459">
        <f t="shared" si="138"/>
        <v>33133.421063966241</v>
      </c>
      <c r="H236" s="459">
        <f t="shared" si="138"/>
        <v>34136.352717351729</v>
      </c>
      <c r="I236" s="459">
        <f t="shared" si="138"/>
        <v>35467.98507483922</v>
      </c>
      <c r="J236" s="459">
        <f t="shared" si="138"/>
        <v>36080.268018307281</v>
      </c>
      <c r="K236" s="459">
        <f t="shared" si="138"/>
        <v>36347.104782468363</v>
      </c>
      <c r="L236" s="459">
        <f t="shared" si="138"/>
        <v>37159.378829058143</v>
      </c>
      <c r="M236" s="459">
        <f t="shared" si="138"/>
        <v>37905.338929607795</v>
      </c>
      <c r="N236" s="459">
        <f t="shared" si="138"/>
        <v>37570.931031875291</v>
      </c>
    </row>
    <row r="237" spans="1:15" s="5" customFormat="1">
      <c r="A237" s="884"/>
      <c r="B237" s="195" t="str">
        <f t="shared" si="135"/>
        <v>Chemistry</v>
      </c>
      <c r="C237" s="528">
        <f t="shared" ref="C237:N237" si="139">C114+((C114*0.1))</f>
        <v>83424.901553864504</v>
      </c>
      <c r="D237" s="528">
        <f t="shared" si="139"/>
        <v>84846.519393923911</v>
      </c>
      <c r="E237" s="528">
        <f t="shared" si="139"/>
        <v>87995.99919062655</v>
      </c>
      <c r="F237" s="528">
        <f t="shared" si="139"/>
        <v>90390.441317272183</v>
      </c>
      <c r="G237" s="528">
        <f t="shared" si="139"/>
        <v>92409.621134232395</v>
      </c>
      <c r="H237" s="528">
        <f t="shared" si="139"/>
        <v>95206.812946510283</v>
      </c>
      <c r="I237" s="528">
        <f t="shared" si="139"/>
        <v>98920.756079878149</v>
      </c>
      <c r="J237" s="528">
        <f t="shared" si="139"/>
        <v>100628.42262972228</v>
      </c>
      <c r="K237" s="528">
        <f t="shared" si="139"/>
        <v>101372.63447048589</v>
      </c>
      <c r="L237" s="528">
        <f t="shared" si="139"/>
        <v>103638.07928397556</v>
      </c>
      <c r="M237" s="528">
        <f t="shared" si="139"/>
        <v>105718.5734816609</v>
      </c>
      <c r="N237" s="528">
        <f t="shared" si="139"/>
        <v>104785.90470972526</v>
      </c>
    </row>
    <row r="238" spans="1:15" s="5" customFormat="1">
      <c r="A238" s="884"/>
      <c r="B238" s="195" t="str">
        <f t="shared" si="135"/>
        <v>Classics</v>
      </c>
      <c r="C238" s="459">
        <f t="shared" ref="C238:N238" si="140">C115</f>
        <v>1509.0957212682843</v>
      </c>
      <c r="D238" s="459">
        <f t="shared" si="140"/>
        <v>1534.811752809863</v>
      </c>
      <c r="E238" s="459">
        <f t="shared" si="140"/>
        <v>1591.7835489630306</v>
      </c>
      <c r="F238" s="459">
        <f t="shared" si="140"/>
        <v>1635.0972634636394</v>
      </c>
      <c r="G238" s="459">
        <f t="shared" si="140"/>
        <v>1671.6227560382815</v>
      </c>
      <c r="H238" s="459">
        <f t="shared" si="140"/>
        <v>1722.2219190801432</v>
      </c>
      <c r="I238" s="459">
        <f t="shared" si="140"/>
        <v>1789.4044459660802</v>
      </c>
      <c r="J238" s="459">
        <f t="shared" si="140"/>
        <v>1820.2948903744427</v>
      </c>
      <c r="K238" s="459">
        <f t="shared" si="140"/>
        <v>1833.7571406581715</v>
      </c>
      <c r="L238" s="459">
        <f t="shared" si="140"/>
        <v>1874.7373876962731</v>
      </c>
      <c r="M238" s="459">
        <f t="shared" si="140"/>
        <v>1912.3720127706974</v>
      </c>
      <c r="N238" s="459">
        <f t="shared" si="140"/>
        <v>1895.500713831497</v>
      </c>
    </row>
    <row r="239" spans="1:15" s="5" customFormat="1">
      <c r="A239" s="884"/>
      <c r="B239" s="195" t="str">
        <f t="shared" si="135"/>
        <v>Computing</v>
      </c>
      <c r="C239" s="459">
        <f t="shared" ref="C239:N239" si="141">C116</f>
        <v>44492.773670989511</v>
      </c>
      <c r="D239" s="459">
        <f t="shared" si="141"/>
        <v>45250.961210037007</v>
      </c>
      <c r="E239" s="459">
        <f t="shared" si="141"/>
        <v>46930.664621920172</v>
      </c>
      <c r="F239" s="459">
        <f t="shared" si="141"/>
        <v>48207.68586647437</v>
      </c>
      <c r="G239" s="459">
        <f t="shared" si="141"/>
        <v>49284.569493829149</v>
      </c>
      <c r="H239" s="459">
        <f t="shared" si="141"/>
        <v>50776.388122319462</v>
      </c>
      <c r="I239" s="459">
        <f t="shared" si="141"/>
        <v>52757.135215597955</v>
      </c>
      <c r="J239" s="459">
        <f t="shared" si="141"/>
        <v>53667.880327579638</v>
      </c>
      <c r="K239" s="459">
        <f t="shared" si="141"/>
        <v>54064.788785097997</v>
      </c>
      <c r="L239" s="459">
        <f t="shared" si="141"/>
        <v>55273.012246837803</v>
      </c>
      <c r="M239" s="459">
        <f t="shared" si="141"/>
        <v>56382.596504502813</v>
      </c>
      <c r="N239" s="459">
        <f t="shared" si="141"/>
        <v>55885.178829362507</v>
      </c>
    </row>
    <row r="240" spans="1:15" s="5" customFormat="1">
      <c r="A240" s="884"/>
      <c r="B240" s="195" t="str">
        <f t="shared" si="135"/>
        <v>Design &amp; Technology</v>
      </c>
      <c r="C240" s="459">
        <f t="shared" ref="C240:N240" si="142">C117</f>
        <v>48707.96555661095</v>
      </c>
      <c r="D240" s="459">
        <f t="shared" si="142"/>
        <v>49537.982871567787</v>
      </c>
      <c r="E240" s="459">
        <f t="shared" si="142"/>
        <v>51376.819365249299</v>
      </c>
      <c r="F240" s="459">
        <f t="shared" si="142"/>
        <v>52774.824067198526</v>
      </c>
      <c r="G240" s="459">
        <f t="shared" si="142"/>
        <v>53953.730354712701</v>
      </c>
      <c r="H240" s="459">
        <f t="shared" si="142"/>
        <v>55586.882086509439</v>
      </c>
      <c r="I240" s="459">
        <f t="shared" si="142"/>
        <v>57755.282778028304</v>
      </c>
      <c r="J240" s="459">
        <f t="shared" si="142"/>
        <v>58752.310786964954</v>
      </c>
      <c r="K240" s="459">
        <f t="shared" si="142"/>
        <v>59186.821874560672</v>
      </c>
      <c r="L240" s="459">
        <f t="shared" si="142"/>
        <v>60509.510974464632</v>
      </c>
      <c r="M240" s="459">
        <f t="shared" si="142"/>
        <v>61724.215910689913</v>
      </c>
      <c r="N240" s="459">
        <f t="shared" si="142"/>
        <v>61179.673483033148</v>
      </c>
    </row>
    <row r="241" spans="1:24" s="5" customFormat="1">
      <c r="A241" s="884"/>
      <c r="B241" s="195" t="str">
        <f t="shared" si="135"/>
        <v>Drama</v>
      </c>
      <c r="C241" s="459">
        <f t="shared" ref="C241:N241" si="143">C118</f>
        <v>23106.989188682994</v>
      </c>
      <c r="D241" s="459">
        <f t="shared" si="143"/>
        <v>23500.748215650281</v>
      </c>
      <c r="E241" s="459">
        <f t="shared" si="143"/>
        <v>24373.089617999969</v>
      </c>
      <c r="F241" s="459">
        <f t="shared" si="143"/>
        <v>25036.30104891313</v>
      </c>
      <c r="G241" s="459">
        <f t="shared" si="143"/>
        <v>25595.57250541442</v>
      </c>
      <c r="H241" s="459">
        <f t="shared" si="143"/>
        <v>26370.337350935341</v>
      </c>
      <c r="I241" s="459">
        <f t="shared" si="143"/>
        <v>27399.023537333833</v>
      </c>
      <c r="J241" s="459">
        <f t="shared" si="143"/>
        <v>27872.012198634762</v>
      </c>
      <c r="K241" s="459">
        <f t="shared" si="143"/>
        <v>28078.143637069981</v>
      </c>
      <c r="L241" s="459">
        <f t="shared" si="143"/>
        <v>28705.625454103527</v>
      </c>
      <c r="M241" s="459">
        <f t="shared" si="143"/>
        <v>29281.879738347343</v>
      </c>
      <c r="N241" s="459">
        <f t="shared" si="143"/>
        <v>29023.549589574868</v>
      </c>
    </row>
    <row r="242" spans="1:24" s="5" customFormat="1">
      <c r="A242" s="884"/>
      <c r="B242" s="195" t="str">
        <f t="shared" si="135"/>
        <v>English</v>
      </c>
      <c r="C242" s="528">
        <f t="shared" ref="C242:N242" si="144">C119+(C119*0.013)</f>
        <v>206749.33948615336</v>
      </c>
      <c r="D242" s="528">
        <f t="shared" si="144"/>
        <v>210272.49077503133</v>
      </c>
      <c r="E242" s="528">
        <f t="shared" si="144"/>
        <v>218077.7486244856</v>
      </c>
      <c r="F242" s="528">
        <f t="shared" si="144"/>
        <v>224011.82009356812</v>
      </c>
      <c r="G242" s="528">
        <f t="shared" si="144"/>
        <v>229015.89064905755</v>
      </c>
      <c r="H242" s="528">
        <f t="shared" si="144"/>
        <v>235948.08414084287</v>
      </c>
      <c r="I242" s="528">
        <f t="shared" si="144"/>
        <v>245152.23392599021</v>
      </c>
      <c r="J242" s="528">
        <f t="shared" si="144"/>
        <v>249384.29083785744</v>
      </c>
      <c r="K242" s="528">
        <f t="shared" si="144"/>
        <v>251228.64790211243</v>
      </c>
      <c r="L242" s="528">
        <f t="shared" si="144"/>
        <v>256843.02934107534</v>
      </c>
      <c r="M242" s="528">
        <f t="shared" si="144"/>
        <v>261999.0534197911</v>
      </c>
      <c r="N242" s="528">
        <f t="shared" si="144"/>
        <v>259687.64940293945</v>
      </c>
    </row>
    <row r="243" spans="1:24" s="5" customFormat="1">
      <c r="A243" s="884"/>
      <c r="B243" s="195" t="str">
        <f t="shared" si="135"/>
        <v>Food</v>
      </c>
      <c r="C243" s="459">
        <f t="shared" ref="C243:N243" si="145">C120</f>
        <v>19422.467817674908</v>
      </c>
      <c r="D243" s="459">
        <f t="shared" si="145"/>
        <v>19753.440060174449</v>
      </c>
      <c r="E243" s="459">
        <f t="shared" si="145"/>
        <v>20486.682399745907</v>
      </c>
      <c r="F243" s="459">
        <f t="shared" si="145"/>
        <v>21044.14155498426</v>
      </c>
      <c r="G243" s="459">
        <f t="shared" si="145"/>
        <v>21514.234468281702</v>
      </c>
      <c r="H243" s="459">
        <f t="shared" si="145"/>
        <v>22165.4593057333</v>
      </c>
      <c r="I243" s="459">
        <f t="shared" si="145"/>
        <v>23030.116496103943</v>
      </c>
      <c r="J243" s="459">
        <f t="shared" si="145"/>
        <v>23427.684823904165</v>
      </c>
      <c r="K243" s="459">
        <f t="shared" si="145"/>
        <v>23600.947605849804</v>
      </c>
      <c r="L243" s="459">
        <f t="shared" si="145"/>
        <v>24128.374407238498</v>
      </c>
      <c r="M243" s="459">
        <f t="shared" si="145"/>
        <v>24612.742154119362</v>
      </c>
      <c r="N243" s="459">
        <f t="shared" si="145"/>
        <v>24395.603999083309</v>
      </c>
    </row>
    <row r="244" spans="1:24" s="5" customFormat="1">
      <c r="A244" s="884"/>
      <c r="B244" s="195" t="str">
        <f t="shared" si="135"/>
        <v>Geography</v>
      </c>
      <c r="C244" s="459">
        <f t="shared" ref="C244:N244" si="146">C121</f>
        <v>54466.017209932026</v>
      </c>
      <c r="D244" s="459">
        <f t="shared" si="146"/>
        <v>55394.155694969704</v>
      </c>
      <c r="E244" s="459">
        <f t="shared" si="146"/>
        <v>57450.37173615714</v>
      </c>
      <c r="F244" s="459">
        <f t="shared" si="146"/>
        <v>59013.642697811949</v>
      </c>
      <c r="G244" s="459">
        <f t="shared" si="146"/>
        <v>60331.91434826747</v>
      </c>
      <c r="H244" s="459">
        <f t="shared" si="146"/>
        <v>62158.130436621381</v>
      </c>
      <c r="I244" s="459">
        <f t="shared" si="146"/>
        <v>64582.870374589605</v>
      </c>
      <c r="J244" s="459">
        <f t="shared" si="146"/>
        <v>65697.762858251488</v>
      </c>
      <c r="K244" s="459">
        <f t="shared" si="146"/>
        <v>66183.640026481589</v>
      </c>
      <c r="L244" s="459">
        <f t="shared" si="146"/>
        <v>67662.691891109935</v>
      </c>
      <c r="M244" s="459">
        <f t="shared" si="146"/>
        <v>69020.994156568762</v>
      </c>
      <c r="N244" s="459">
        <f t="shared" si="146"/>
        <v>68412.078204170379</v>
      </c>
    </row>
    <row r="245" spans="1:24" s="5" customFormat="1">
      <c r="A245" s="884"/>
      <c r="B245" s="195" t="str">
        <f t="shared" si="135"/>
        <v>History</v>
      </c>
      <c r="C245" s="459">
        <f t="shared" ref="C245:N245" si="147">C122</f>
        <v>58627.318091538211</v>
      </c>
      <c r="D245" s="459">
        <f t="shared" si="147"/>
        <v>59626.368012621482</v>
      </c>
      <c r="E245" s="459">
        <f t="shared" si="147"/>
        <v>61839.682627622125</v>
      </c>
      <c r="F245" s="459">
        <f t="shared" si="147"/>
        <v>63522.39027960533</v>
      </c>
      <c r="G245" s="459">
        <f t="shared" si="147"/>
        <v>64941.380235937577</v>
      </c>
      <c r="H245" s="459">
        <f t="shared" si="147"/>
        <v>66907.122491390866</v>
      </c>
      <c r="I245" s="459">
        <f t="shared" si="147"/>
        <v>69517.116886328877</v>
      </c>
      <c r="J245" s="459">
        <f t="shared" si="147"/>
        <v>70717.189144698292</v>
      </c>
      <c r="K245" s="459">
        <f t="shared" si="147"/>
        <v>71240.188195380601</v>
      </c>
      <c r="L245" s="459">
        <f t="shared" si="147"/>
        <v>72832.242261078587</v>
      </c>
      <c r="M245" s="459">
        <f t="shared" si="147"/>
        <v>74294.321242814578</v>
      </c>
      <c r="N245" s="459">
        <f t="shared" si="147"/>
        <v>73638.883025353687</v>
      </c>
    </row>
    <row r="246" spans="1:24" s="5" customFormat="1">
      <c r="A246" s="884"/>
      <c r="B246" s="195" t="str">
        <f t="shared" si="135"/>
        <v>Mathematics</v>
      </c>
      <c r="C246" s="528">
        <f>C123+((C123*(0.0166*1)))</f>
        <v>199414.74274144872</v>
      </c>
      <c r="D246" s="528">
        <f t="shared" ref="D246:N246" si="148">D123+((D123*(0.0166*2)))</f>
        <v>206124.62716122967</v>
      </c>
      <c r="E246" s="528">
        <f t="shared" si="148"/>
        <v>213775.91743788941</v>
      </c>
      <c r="F246" s="528">
        <f t="shared" si="148"/>
        <v>219592.9326099852</v>
      </c>
      <c r="G246" s="528">
        <f t="shared" si="148"/>
        <v>224498.29219238675</v>
      </c>
      <c r="H246" s="528">
        <f t="shared" si="148"/>
        <v>231293.74029706782</v>
      </c>
      <c r="I246" s="528">
        <f t="shared" si="148"/>
        <v>240316.32777775452</v>
      </c>
      <c r="J246" s="528">
        <f t="shared" si="148"/>
        <v>244464.90256216147</v>
      </c>
      <c r="K246" s="528">
        <f t="shared" si="148"/>
        <v>246272.87758932982</v>
      </c>
      <c r="L246" s="528">
        <f t="shared" si="148"/>
        <v>251776.50898011072</v>
      </c>
      <c r="M246" s="528">
        <f t="shared" si="148"/>
        <v>256830.82462997231</v>
      </c>
      <c r="N246" s="528">
        <f t="shared" si="148"/>
        <v>254565.01568160989</v>
      </c>
    </row>
    <row r="247" spans="1:24" s="5" customFormat="1">
      <c r="A247" s="884"/>
      <c r="B247" s="195" t="str">
        <f t="shared" si="135"/>
        <v>Modern Foreign Languages</v>
      </c>
      <c r="C247" s="459">
        <f t="shared" ref="C247:N247" si="149">C124</f>
        <v>73955.761201379952</v>
      </c>
      <c r="D247" s="459">
        <f t="shared" si="149"/>
        <v>75216.018361302049</v>
      </c>
      <c r="E247" s="459">
        <f t="shared" si="149"/>
        <v>78008.016570651089</v>
      </c>
      <c r="F247" s="459">
        <f t="shared" si="149"/>
        <v>80130.677632641004</v>
      </c>
      <c r="G247" s="459">
        <f t="shared" si="149"/>
        <v>81920.670519469146</v>
      </c>
      <c r="H247" s="459">
        <f t="shared" si="149"/>
        <v>84400.367178981673</v>
      </c>
      <c r="I247" s="459">
        <f t="shared" si="149"/>
        <v>87692.759334931834</v>
      </c>
      <c r="J247" s="459">
        <f t="shared" si="149"/>
        <v>89206.597256458364</v>
      </c>
      <c r="K247" s="459">
        <f t="shared" si="149"/>
        <v>89866.337359876008</v>
      </c>
      <c r="L247" s="459">
        <f t="shared" si="149"/>
        <v>91874.642943948769</v>
      </c>
      <c r="M247" s="459">
        <f t="shared" si="149"/>
        <v>93718.990724995048</v>
      </c>
      <c r="N247" s="459">
        <f t="shared" si="149"/>
        <v>92892.184487378792</v>
      </c>
    </row>
    <row r="248" spans="1:24" s="5" customFormat="1">
      <c r="A248" s="884"/>
      <c r="B248" s="195" t="str">
        <f t="shared" si="135"/>
        <v>Music</v>
      </c>
      <c r="C248" s="459">
        <f t="shared" ref="C248:N248" si="150">C125</f>
        <v>18283.542597235639</v>
      </c>
      <c r="D248" s="459">
        <f t="shared" si="150"/>
        <v>18595.106768743037</v>
      </c>
      <c r="E248" s="459">
        <f t="shared" si="150"/>
        <v>19285.352090578577</v>
      </c>
      <c r="F248" s="459">
        <f t="shared" si="150"/>
        <v>19810.122078959979</v>
      </c>
      <c r="G248" s="459">
        <f t="shared" si="150"/>
        <v>20252.64894452702</v>
      </c>
      <c r="H248" s="459">
        <f t="shared" si="150"/>
        <v>20865.68623554978</v>
      </c>
      <c r="I248" s="459">
        <f t="shared" si="150"/>
        <v>21679.640297440987</v>
      </c>
      <c r="J248" s="459">
        <f t="shared" si="150"/>
        <v>22053.895388240115</v>
      </c>
      <c r="K248" s="459">
        <f t="shared" si="150"/>
        <v>22216.998114626709</v>
      </c>
      <c r="L248" s="459">
        <f t="shared" si="150"/>
        <v>22713.496833565936</v>
      </c>
      <c r="M248" s="459">
        <f t="shared" si="150"/>
        <v>23169.461462569678</v>
      </c>
      <c r="N248" s="459">
        <f t="shared" si="150"/>
        <v>22965.05619623818</v>
      </c>
    </row>
    <row r="249" spans="1:24" s="5" customFormat="1">
      <c r="A249" s="884"/>
      <c r="B249" s="195" t="str">
        <f t="shared" si="135"/>
        <v>Others</v>
      </c>
      <c r="C249" s="459">
        <f t="shared" ref="C249:N249" si="151">C126</f>
        <v>73409.248321825376</v>
      </c>
      <c r="D249" s="459">
        <f t="shared" si="151"/>
        <v>74660.192525484716</v>
      </c>
      <c r="E249" s="459">
        <f t="shared" si="151"/>
        <v>77431.558630501167</v>
      </c>
      <c r="F249" s="459">
        <f t="shared" si="151"/>
        <v>79538.533806895939</v>
      </c>
      <c r="G249" s="459">
        <f t="shared" si="151"/>
        <v>81315.299135098889</v>
      </c>
      <c r="H249" s="459">
        <f t="shared" si="151"/>
        <v>83776.671513449299</v>
      </c>
      <c r="I249" s="459">
        <f t="shared" si="151"/>
        <v>87044.733790448285</v>
      </c>
      <c r="J249" s="459">
        <f t="shared" si="151"/>
        <v>88547.384863131228</v>
      </c>
      <c r="K249" s="459">
        <f t="shared" si="151"/>
        <v>89202.249667345415</v>
      </c>
      <c r="L249" s="459">
        <f t="shared" si="151"/>
        <v>91195.71442157682</v>
      </c>
      <c r="M249" s="459">
        <f t="shared" si="151"/>
        <v>93026.432976172771</v>
      </c>
      <c r="N249" s="459">
        <f t="shared" si="151"/>
        <v>92205.736610869557</v>
      </c>
    </row>
    <row r="250" spans="1:24" s="5" customFormat="1">
      <c r="A250" s="884"/>
      <c r="B250" s="195" t="str">
        <f t="shared" si="135"/>
        <v>Physical Education</v>
      </c>
      <c r="C250" s="459">
        <f t="shared" ref="C250:N250" si="152">C127</f>
        <v>108519.03078537477</v>
      </c>
      <c r="D250" s="459">
        <f t="shared" si="152"/>
        <v>110368.26988877167</v>
      </c>
      <c r="E250" s="459">
        <f t="shared" si="152"/>
        <v>114465.11014450291</v>
      </c>
      <c r="F250" s="459">
        <f t="shared" si="152"/>
        <v>117579.79813352603</v>
      </c>
      <c r="G250" s="459">
        <f t="shared" si="152"/>
        <v>120206.34527516615</v>
      </c>
      <c r="H250" s="459">
        <f t="shared" si="152"/>
        <v>123844.92966346408</v>
      </c>
      <c r="I250" s="459">
        <f t="shared" si="152"/>
        <v>128676.02327841852</v>
      </c>
      <c r="J250" s="459">
        <f t="shared" si="152"/>
        <v>130897.35426523474</v>
      </c>
      <c r="K250" s="459">
        <f t="shared" si="152"/>
        <v>131865.42430372944</v>
      </c>
      <c r="L250" s="459">
        <f t="shared" si="152"/>
        <v>134812.31271328806</v>
      </c>
      <c r="M250" s="459">
        <f t="shared" si="152"/>
        <v>137518.61754172872</v>
      </c>
      <c r="N250" s="459">
        <f t="shared" si="152"/>
        <v>136305.40291049666</v>
      </c>
    </row>
    <row r="251" spans="1:24" s="5" customFormat="1">
      <c r="A251" s="884"/>
      <c r="B251" s="195" t="str">
        <f t="shared" si="135"/>
        <v>Physics</v>
      </c>
      <c r="C251" s="528">
        <f t="shared" ref="C251:N251" si="153">C128+((C128*0.1))</f>
        <v>83537.473567211331</v>
      </c>
      <c r="D251" s="528">
        <f t="shared" si="153"/>
        <v>84961.009711991312</v>
      </c>
      <c r="E251" s="528">
        <f t="shared" si="153"/>
        <v>88114.739358260515</v>
      </c>
      <c r="F251" s="528">
        <f t="shared" si="153"/>
        <v>90512.412500658262</v>
      </c>
      <c r="G251" s="528">
        <f t="shared" si="153"/>
        <v>92534.316961376768</v>
      </c>
      <c r="H251" s="528">
        <f t="shared" si="153"/>
        <v>95335.283252355395</v>
      </c>
      <c r="I251" s="528">
        <f t="shared" si="153"/>
        <v>99054.237911636868</v>
      </c>
      <c r="J251" s="528">
        <f t="shared" si="153"/>
        <v>100764.20875501999</v>
      </c>
      <c r="K251" s="528">
        <f t="shared" si="153"/>
        <v>101509.42482142501</v>
      </c>
      <c r="L251" s="528">
        <f t="shared" si="153"/>
        <v>103777.92658408728</v>
      </c>
      <c r="M251" s="528">
        <f t="shared" si="153"/>
        <v>105861.22816201794</v>
      </c>
      <c r="N251" s="528">
        <f t="shared" si="153"/>
        <v>104927.30086415674</v>
      </c>
    </row>
    <row r="252" spans="1:24" s="5" customFormat="1">
      <c r="A252" s="884"/>
      <c r="B252" s="195" t="str">
        <f t="shared" si="135"/>
        <v>Religious Education</v>
      </c>
      <c r="C252" s="459">
        <f t="shared" ref="C252:N252" si="154">C129</f>
        <v>45076.357035027657</v>
      </c>
      <c r="D252" s="459">
        <f t="shared" si="154"/>
        <v>45844.489236951886</v>
      </c>
      <c r="E252" s="459">
        <f t="shared" si="154"/>
        <v>47546.224248279541</v>
      </c>
      <c r="F252" s="459">
        <f t="shared" si="154"/>
        <v>48839.995366854986</v>
      </c>
      <c r="G252" s="459">
        <f t="shared" si="154"/>
        <v>49931.003790622242</v>
      </c>
      <c r="H252" s="459">
        <f t="shared" si="154"/>
        <v>51442.38965356251</v>
      </c>
      <c r="I252" s="459">
        <f t="shared" si="154"/>
        <v>53449.116944446847</v>
      </c>
      <c r="J252" s="459">
        <f t="shared" si="154"/>
        <v>54371.807719788645</v>
      </c>
      <c r="K252" s="459">
        <f t="shared" si="154"/>
        <v>54773.922172657323</v>
      </c>
      <c r="L252" s="459">
        <f t="shared" si="154"/>
        <v>55997.993131735144</v>
      </c>
      <c r="M252" s="459">
        <f t="shared" si="154"/>
        <v>57122.131099145474</v>
      </c>
      <c r="N252" s="459">
        <f t="shared" si="154"/>
        <v>56618.189113285931</v>
      </c>
    </row>
    <row r="253" spans="1:24" s="5" customFormat="1">
      <c r="A253" s="884"/>
      <c r="B253" s="141" t="s">
        <v>373</v>
      </c>
      <c r="C253" s="528">
        <f t="shared" ref="C253:N253" si="155">SUM(C234:C252)</f>
        <v>1303727.3265340729</v>
      </c>
      <c r="D253" s="528">
        <f t="shared" si="155"/>
        <v>1329255.4587537395</v>
      </c>
      <c r="E253" s="528">
        <f t="shared" si="155"/>
        <v>1378597.0610010251</v>
      </c>
      <c r="F253" s="528">
        <f t="shared" si="155"/>
        <v>1416109.7991810848</v>
      </c>
      <c r="G253" s="528">
        <f t="shared" si="155"/>
        <v>1447743.4573802913</v>
      </c>
      <c r="H253" s="528">
        <f t="shared" si="155"/>
        <v>1491565.9089341254</v>
      </c>
      <c r="I253" s="528">
        <f t="shared" si="155"/>
        <v>1549750.7256926044</v>
      </c>
      <c r="J253" s="528">
        <f t="shared" si="155"/>
        <v>1576504.0338934127</v>
      </c>
      <c r="K253" s="528">
        <f t="shared" si="155"/>
        <v>1588163.2941538279</v>
      </c>
      <c r="L253" s="528">
        <f t="shared" si="155"/>
        <v>1623655.0845813814</v>
      </c>
      <c r="M253" s="528">
        <f t="shared" si="155"/>
        <v>1656249.3299191198</v>
      </c>
      <c r="N253" s="528">
        <f t="shared" si="155"/>
        <v>1641637.5925707829</v>
      </c>
    </row>
    <row r="254" spans="1:24">
      <c r="A254" s="10">
        <f>O254</f>
        <v>0</v>
      </c>
      <c r="B254" s="12"/>
      <c r="C254" s="10">
        <f t="shared" ref="C254:N254" si="156">SUM(C234:C252)-C253</f>
        <v>0</v>
      </c>
      <c r="D254" s="10">
        <f t="shared" si="156"/>
        <v>0</v>
      </c>
      <c r="E254" s="10">
        <f t="shared" si="156"/>
        <v>0</v>
      </c>
      <c r="F254" s="10">
        <f t="shared" si="156"/>
        <v>0</v>
      </c>
      <c r="G254" s="10">
        <f t="shared" si="156"/>
        <v>0</v>
      </c>
      <c r="H254" s="10">
        <f t="shared" si="156"/>
        <v>0</v>
      </c>
      <c r="I254" s="10">
        <f t="shared" si="156"/>
        <v>0</v>
      </c>
      <c r="J254" s="10">
        <f t="shared" si="156"/>
        <v>0</v>
      </c>
      <c r="K254" s="10">
        <f t="shared" si="156"/>
        <v>0</v>
      </c>
      <c r="L254" s="10">
        <f t="shared" si="156"/>
        <v>0</v>
      </c>
      <c r="M254" s="10">
        <f t="shared" si="156"/>
        <v>0</v>
      </c>
      <c r="N254" s="10">
        <f t="shared" si="156"/>
        <v>0</v>
      </c>
      <c r="O254" s="10">
        <f>SUM(C254:N254)</f>
        <v>0</v>
      </c>
      <c r="Q254" s="12"/>
      <c r="S254" s="12"/>
    </row>
    <row r="255" spans="1:24">
      <c r="A255" s="883"/>
      <c r="B255" s="12"/>
      <c r="C255" s="10"/>
      <c r="D255" s="10"/>
      <c r="E255" s="10"/>
      <c r="F255" s="10"/>
      <c r="G255" s="10"/>
      <c r="H255" s="10"/>
      <c r="I255" s="10"/>
      <c r="J255" s="10"/>
      <c r="K255" s="10"/>
      <c r="L255" s="10"/>
      <c r="M255" s="10"/>
      <c r="N255" s="10"/>
      <c r="O255" s="10"/>
      <c r="Q255" s="12"/>
      <c r="S255" s="12"/>
    </row>
    <row r="256" spans="1:24">
      <c r="A256" s="883"/>
      <c r="B256" s="76" t="s">
        <v>1745</v>
      </c>
      <c r="D256" s="12"/>
      <c r="E256" s="12"/>
      <c r="F256" s="12"/>
      <c r="J256" s="262" t="s">
        <v>621</v>
      </c>
      <c r="X256" s="452"/>
    </row>
    <row r="257" spans="1:28">
      <c r="A257" s="883"/>
      <c r="B257" s="12"/>
      <c r="D257" s="12"/>
      <c r="E257" s="325"/>
      <c r="F257" s="12"/>
      <c r="T257" s="12"/>
      <c r="X257" s="453"/>
    </row>
    <row r="258" spans="1:28">
      <c r="A258" s="883"/>
      <c r="B258" s="142" t="s">
        <v>62</v>
      </c>
      <c r="C258" s="8" t="str">
        <f>C233</f>
        <v>2016/17</v>
      </c>
      <c r="D258" s="8" t="str">
        <f t="shared" ref="D258:N258" si="157">D233</f>
        <v>2017/18</v>
      </c>
      <c r="E258" s="8" t="str">
        <f t="shared" si="157"/>
        <v>2018/19</v>
      </c>
      <c r="F258" s="8" t="str">
        <f t="shared" si="157"/>
        <v>2019/20</v>
      </c>
      <c r="G258" s="8" t="str">
        <f t="shared" si="157"/>
        <v>2020/21</v>
      </c>
      <c r="H258" s="8" t="str">
        <f t="shared" si="157"/>
        <v>2021/22</v>
      </c>
      <c r="I258" s="8" t="str">
        <f t="shared" si="157"/>
        <v>2022/23</v>
      </c>
      <c r="J258" s="8" t="str">
        <f t="shared" si="157"/>
        <v>2023/24</v>
      </c>
      <c r="K258" s="8" t="str">
        <f t="shared" si="157"/>
        <v>2024/25</v>
      </c>
      <c r="L258" s="8" t="str">
        <f t="shared" si="157"/>
        <v>2025/26</v>
      </c>
      <c r="M258" s="8" t="str">
        <f t="shared" si="157"/>
        <v>2026/27</v>
      </c>
      <c r="N258" s="8" t="str">
        <f t="shared" si="157"/>
        <v>2027/28</v>
      </c>
      <c r="Q258" s="262" t="s">
        <v>461</v>
      </c>
    </row>
    <row r="259" spans="1:28" s="5" customFormat="1">
      <c r="A259" s="884"/>
      <c r="B259" s="195" t="str">
        <f t="shared" ref="B259:B278" si="158">B234</f>
        <v>Art &amp; Design</v>
      </c>
      <c r="C259" s="529">
        <f t="shared" ref="C259:N259" si="159">(C234/((SUM(C$234:C$252))-C$235-C$237-C$242-C$246-C$251))*(C$130-C$260-C$262-C$267-C$271-C$276)</f>
        <v>39005.071967104435</v>
      </c>
      <c r="D259" s="529">
        <f t="shared" si="159"/>
        <v>39458.35633217865</v>
      </c>
      <c r="E259" s="529">
        <f t="shared" si="159"/>
        <v>40923.039821460232</v>
      </c>
      <c r="F259" s="529">
        <f t="shared" si="159"/>
        <v>42036.588748686227</v>
      </c>
      <c r="G259" s="529">
        <f t="shared" si="159"/>
        <v>42975.619804827169</v>
      </c>
      <c r="H259" s="529">
        <f t="shared" si="159"/>
        <v>44276.469763631911</v>
      </c>
      <c r="I259" s="529">
        <f t="shared" si="159"/>
        <v>46003.660137505649</v>
      </c>
      <c r="J259" s="529">
        <f t="shared" si="159"/>
        <v>46797.820177323592</v>
      </c>
      <c r="K259" s="529">
        <f t="shared" si="159"/>
        <v>47143.920125904202</v>
      </c>
      <c r="L259" s="529">
        <f t="shared" si="159"/>
        <v>48197.478119091153</v>
      </c>
      <c r="M259" s="529">
        <f t="shared" si="159"/>
        <v>49165.023776658527</v>
      </c>
      <c r="N259" s="529">
        <f t="shared" si="159"/>
        <v>48731.280860557628</v>
      </c>
    </row>
    <row r="260" spans="1:28" s="5" customFormat="1">
      <c r="A260" s="884"/>
      <c r="B260" s="195" t="str">
        <f t="shared" si="158"/>
        <v>Biology</v>
      </c>
      <c r="C260" s="388">
        <f>C235</f>
        <v>90237.595353556142</v>
      </c>
      <c r="D260" s="537">
        <f t="shared" ref="D260:N260" si="160">($D235/$D$130)*D$130</f>
        <v>91775.306192997145</v>
      </c>
      <c r="E260" s="537">
        <f t="shared" si="160"/>
        <v>95181.980677180429</v>
      </c>
      <c r="F260" s="537">
        <f t="shared" si="160"/>
        <v>97771.959157193982</v>
      </c>
      <c r="G260" s="537">
        <f t="shared" si="160"/>
        <v>99956.030434176893</v>
      </c>
      <c r="H260" s="537">
        <f t="shared" si="160"/>
        <v>102981.64818356842</v>
      </c>
      <c r="I260" s="537">
        <f t="shared" si="160"/>
        <v>106998.88154426446</v>
      </c>
      <c r="J260" s="537">
        <f t="shared" si="160"/>
        <v>108846.00057291737</v>
      </c>
      <c r="K260" s="537">
        <f t="shared" si="160"/>
        <v>109650.9866824999</v>
      </c>
      <c r="L260" s="537">
        <f t="shared" si="160"/>
        <v>112101.43359424725</v>
      </c>
      <c r="M260" s="537">
        <f t="shared" si="160"/>
        <v>114351.82634328677</v>
      </c>
      <c r="N260" s="537">
        <f t="shared" si="160"/>
        <v>113342.99342082313</v>
      </c>
      <c r="P260" s="5" t="s">
        <v>7</v>
      </c>
      <c r="Q260" s="535">
        <f>C260/C$278</f>
        <v>7.0805904093153224E-2</v>
      </c>
      <c r="R260" s="533">
        <f>D260/D$278</f>
        <v>7.0805904093153224E-2</v>
      </c>
      <c r="S260" s="533">
        <f>E260/E$278</f>
        <v>7.0805904093153224E-2</v>
      </c>
      <c r="T260" s="533">
        <f t="shared" ref="T260:AB260" si="161">F260/F$278</f>
        <v>7.080590409315321E-2</v>
      </c>
      <c r="U260" s="533">
        <f t="shared" si="161"/>
        <v>7.0805904093153224E-2</v>
      </c>
      <c r="V260" s="533">
        <f t="shared" si="161"/>
        <v>7.0805904093153224E-2</v>
      </c>
      <c r="W260" s="533">
        <f t="shared" si="161"/>
        <v>7.0805904093153224E-2</v>
      </c>
      <c r="X260" s="533">
        <f t="shared" si="161"/>
        <v>7.0805904093153238E-2</v>
      </c>
      <c r="Y260" s="533">
        <f t="shared" si="161"/>
        <v>7.080590409315321E-2</v>
      </c>
      <c r="Z260" s="533">
        <f t="shared" si="161"/>
        <v>7.080590409315321E-2</v>
      </c>
      <c r="AA260" s="533">
        <f t="shared" si="161"/>
        <v>7.0805904093153238E-2</v>
      </c>
      <c r="AB260" s="533">
        <f t="shared" si="161"/>
        <v>7.0805904093153224E-2</v>
      </c>
    </row>
    <row r="261" spans="1:28" s="5" customFormat="1">
      <c r="A261" s="884"/>
      <c r="B261" s="195" t="str">
        <f t="shared" si="158"/>
        <v>Business Studies</v>
      </c>
      <c r="C261" s="529">
        <f t="shared" ref="C261:N261" si="162">(C236/((SUM(C$234:C$252))-C$235-C$237-C$242-C$246-C$251))*(C$130-C$260-C$262-C$267-C$271-C$276)</f>
        <v>28543.731341192572</v>
      </c>
      <c r="D261" s="529">
        <f t="shared" si="162"/>
        <v>28875.442743975094</v>
      </c>
      <c r="E261" s="529">
        <f t="shared" si="162"/>
        <v>29947.291350053631</v>
      </c>
      <c r="F261" s="529">
        <f t="shared" si="162"/>
        <v>30762.181306949966</v>
      </c>
      <c r="G261" s="529">
        <f t="shared" si="162"/>
        <v>31449.359892599758</v>
      </c>
      <c r="H261" s="529">
        <f t="shared" si="162"/>
        <v>32401.315878494086</v>
      </c>
      <c r="I261" s="529">
        <f t="shared" si="162"/>
        <v>33665.26580912168</v>
      </c>
      <c r="J261" s="529">
        <f t="shared" si="162"/>
        <v>34246.428454779445</v>
      </c>
      <c r="K261" s="529">
        <f t="shared" si="162"/>
        <v>34499.702797096186</v>
      </c>
      <c r="L261" s="529">
        <f t="shared" si="162"/>
        <v>35270.691665806815</v>
      </c>
      <c r="M261" s="529">
        <f t="shared" si="162"/>
        <v>35978.737104954627</v>
      </c>
      <c r="N261" s="529">
        <f t="shared" si="162"/>
        <v>35661.326044188718</v>
      </c>
      <c r="Q261" s="534">
        <f t="shared" ref="Q261:AB261" si="163">C112/C$130</f>
        <v>6.4369003721048382E-2</v>
      </c>
      <c r="R261" s="534">
        <f t="shared" si="163"/>
        <v>6.4369003721048382E-2</v>
      </c>
      <c r="S261" s="534">
        <f t="shared" si="163"/>
        <v>6.4369003721048382E-2</v>
      </c>
      <c r="T261" s="534">
        <f t="shared" si="163"/>
        <v>6.4369003721048382E-2</v>
      </c>
      <c r="U261" s="534">
        <f t="shared" si="163"/>
        <v>6.4369003721048382E-2</v>
      </c>
      <c r="V261" s="534">
        <f t="shared" si="163"/>
        <v>6.4369003721048382E-2</v>
      </c>
      <c r="W261" s="534">
        <f t="shared" si="163"/>
        <v>6.4369003721048382E-2</v>
      </c>
      <c r="X261" s="534">
        <f t="shared" si="163"/>
        <v>6.4369003721048382E-2</v>
      </c>
      <c r="Y261" s="534">
        <f t="shared" si="163"/>
        <v>6.4369003721048382E-2</v>
      </c>
      <c r="Z261" s="534">
        <f t="shared" si="163"/>
        <v>6.4369003721048382E-2</v>
      </c>
      <c r="AA261" s="534">
        <f t="shared" si="163"/>
        <v>6.4369003721048382E-2</v>
      </c>
      <c r="AB261" s="534">
        <f t="shared" si="163"/>
        <v>6.4369003721048368E-2</v>
      </c>
    </row>
    <row r="262" spans="1:28" s="5" customFormat="1">
      <c r="A262" s="884"/>
      <c r="B262" s="195" t="str">
        <f t="shared" si="158"/>
        <v>Chemistry</v>
      </c>
      <c r="C262" s="388">
        <f>C237</f>
        <v>83424.901553864504</v>
      </c>
      <c r="D262" s="537">
        <f t="shared" ref="D262:N262" si="164">($D237/$D$130)*D$130</f>
        <v>84846.519393923911</v>
      </c>
      <c r="E262" s="537">
        <f t="shared" si="164"/>
        <v>87995.99919062655</v>
      </c>
      <c r="F262" s="537">
        <f t="shared" si="164"/>
        <v>90390.441317272198</v>
      </c>
      <c r="G262" s="537">
        <f t="shared" si="164"/>
        <v>92409.621134232395</v>
      </c>
      <c r="H262" s="537">
        <f t="shared" si="164"/>
        <v>95206.812946510297</v>
      </c>
      <c r="I262" s="537">
        <f t="shared" si="164"/>
        <v>98920.756079878149</v>
      </c>
      <c r="J262" s="537">
        <f t="shared" si="164"/>
        <v>100628.42262972229</v>
      </c>
      <c r="K262" s="537">
        <f t="shared" si="164"/>
        <v>101372.63447048589</v>
      </c>
      <c r="L262" s="537">
        <f t="shared" si="164"/>
        <v>103638.07928397557</v>
      </c>
      <c r="M262" s="537">
        <f t="shared" si="164"/>
        <v>105718.57348166092</v>
      </c>
      <c r="N262" s="537">
        <f t="shared" si="164"/>
        <v>104785.90470972529</v>
      </c>
      <c r="P262" s="5" t="s">
        <v>3</v>
      </c>
      <c r="Q262" s="535">
        <f>C262/C$278</f>
        <v>6.5460250300994907E-2</v>
      </c>
      <c r="R262" s="533">
        <f>D262/D$278</f>
        <v>6.5460250300994907E-2</v>
      </c>
      <c r="S262" s="533">
        <f>E262/E$278</f>
        <v>6.5460250300994907E-2</v>
      </c>
      <c r="T262" s="533">
        <f t="shared" ref="T262:AB262" si="165">F262/F$278</f>
        <v>6.5460250300994907E-2</v>
      </c>
      <c r="U262" s="533">
        <f t="shared" si="165"/>
        <v>6.5460250300994907E-2</v>
      </c>
      <c r="V262" s="533">
        <f t="shared" si="165"/>
        <v>6.5460250300994907E-2</v>
      </c>
      <c r="W262" s="533">
        <f t="shared" si="165"/>
        <v>6.5460250300994907E-2</v>
      </c>
      <c r="X262" s="533">
        <f t="shared" si="165"/>
        <v>6.5460250300994921E-2</v>
      </c>
      <c r="Y262" s="533">
        <f t="shared" si="165"/>
        <v>6.5460250300994893E-2</v>
      </c>
      <c r="Z262" s="533">
        <f t="shared" si="165"/>
        <v>6.5460250300994893E-2</v>
      </c>
      <c r="AA262" s="533">
        <f t="shared" si="165"/>
        <v>6.5460250300994921E-2</v>
      </c>
      <c r="AB262" s="533">
        <f t="shared" si="165"/>
        <v>6.5460250300994907E-2</v>
      </c>
    </row>
    <row r="263" spans="1:28" s="5" customFormat="1">
      <c r="A263" s="884"/>
      <c r="B263" s="195" t="str">
        <f t="shared" si="158"/>
        <v>Classics</v>
      </c>
      <c r="C263" s="529">
        <f t="shared" ref="C263:N263" si="166">(C238/((SUM(C$234:C$252))-C$235-C$237-C$242-C$246-C$251))*(C$130-C$260-C$262-C$267-C$271-C$276)</f>
        <v>1440.0671382549033</v>
      </c>
      <c r="D263" s="529">
        <f t="shared" si="166"/>
        <v>1456.8023956331906</v>
      </c>
      <c r="E263" s="529">
        <f t="shared" si="166"/>
        <v>1510.8785055975</v>
      </c>
      <c r="F263" s="529">
        <f t="shared" si="166"/>
        <v>1551.9907285999229</v>
      </c>
      <c r="G263" s="529">
        <f t="shared" si="166"/>
        <v>1586.6597523332932</v>
      </c>
      <c r="H263" s="529">
        <f t="shared" si="166"/>
        <v>1634.6871288512714</v>
      </c>
      <c r="I263" s="529">
        <f t="shared" si="166"/>
        <v>1698.4549921953885</v>
      </c>
      <c r="J263" s="529">
        <f t="shared" si="166"/>
        <v>1727.7753784472468</v>
      </c>
      <c r="K263" s="529">
        <f t="shared" si="166"/>
        <v>1740.553387494967</v>
      </c>
      <c r="L263" s="529">
        <f t="shared" si="166"/>
        <v>1779.4507453953411</v>
      </c>
      <c r="M263" s="529">
        <f t="shared" si="166"/>
        <v>1815.1725281265483</v>
      </c>
      <c r="N263" s="529">
        <f t="shared" si="166"/>
        <v>1799.1587409848523</v>
      </c>
      <c r="Q263" s="534">
        <f t="shared" ref="Q263:AB263" si="167">C114/C$130</f>
        <v>5.9509318455449912E-2</v>
      </c>
      <c r="R263" s="534">
        <f t="shared" si="167"/>
        <v>5.9509318455449912E-2</v>
      </c>
      <c r="S263" s="534">
        <f t="shared" si="167"/>
        <v>5.9509318455449912E-2</v>
      </c>
      <c r="T263" s="534">
        <f t="shared" si="167"/>
        <v>5.9509318455449906E-2</v>
      </c>
      <c r="U263" s="534">
        <f t="shared" si="167"/>
        <v>5.9509318455449919E-2</v>
      </c>
      <c r="V263" s="534">
        <f t="shared" si="167"/>
        <v>5.9509318455449906E-2</v>
      </c>
      <c r="W263" s="534">
        <f t="shared" si="167"/>
        <v>5.9509318455449912E-2</v>
      </c>
      <c r="X263" s="534">
        <f t="shared" si="167"/>
        <v>5.9509318455449912E-2</v>
      </c>
      <c r="Y263" s="534">
        <f t="shared" si="167"/>
        <v>5.9509318455449912E-2</v>
      </c>
      <c r="Z263" s="534">
        <f t="shared" si="167"/>
        <v>5.9509318455449912E-2</v>
      </c>
      <c r="AA263" s="534">
        <f t="shared" si="167"/>
        <v>5.9509318455449912E-2</v>
      </c>
      <c r="AB263" s="534">
        <f t="shared" si="167"/>
        <v>5.9509318455449906E-2</v>
      </c>
    </row>
    <row r="264" spans="1:28" s="5" customFormat="1">
      <c r="A264" s="884"/>
      <c r="B264" s="195" t="str">
        <f t="shared" si="158"/>
        <v>Computing</v>
      </c>
      <c r="C264" s="529">
        <f t="shared" ref="C264:N264" si="168">(C239/((SUM(C$234:C$252))-C$235-C$237-C$242-C$246-C$251))*(C$130-C$260-C$262-C$267-C$271-C$276)</f>
        <v>42457.599177046679</v>
      </c>
      <c r="D264" s="529">
        <f t="shared" si="168"/>
        <v>42951.005929424275</v>
      </c>
      <c r="E264" s="529">
        <f t="shared" si="168"/>
        <v>44545.33562484444</v>
      </c>
      <c r="F264" s="529">
        <f t="shared" si="168"/>
        <v>45757.450143081071</v>
      </c>
      <c r="G264" s="529">
        <f t="shared" si="168"/>
        <v>46779.599371008531</v>
      </c>
      <c r="H264" s="529">
        <f t="shared" si="168"/>
        <v>48195.593839291774</v>
      </c>
      <c r="I264" s="529">
        <f t="shared" si="168"/>
        <v>50075.666170865232</v>
      </c>
      <c r="J264" s="529">
        <f t="shared" si="168"/>
        <v>50940.121149475563</v>
      </c>
      <c r="K264" s="529">
        <f t="shared" si="168"/>
        <v>51316.85607524174</v>
      </c>
      <c r="L264" s="529">
        <f t="shared" si="168"/>
        <v>52463.669572271836</v>
      </c>
      <c r="M264" s="529">
        <f t="shared" si="168"/>
        <v>53516.857366647215</v>
      </c>
      <c r="N264" s="529">
        <f t="shared" si="168"/>
        <v>53044.721771224489</v>
      </c>
    </row>
    <row r="265" spans="1:28" s="5" customFormat="1">
      <c r="A265" s="884"/>
      <c r="B265" s="195" t="str">
        <f t="shared" si="158"/>
        <v>Design &amp; Technology</v>
      </c>
      <c r="C265" s="529">
        <f t="shared" ref="C265:N265" si="169">(C240/((SUM(C$234:C$252))-C$235-C$237-C$242-C$246-C$251))*(C$130-C$260-C$262-C$267-C$271-C$276)</f>
        <v>46479.9810779248</v>
      </c>
      <c r="D265" s="529">
        <f t="shared" si="169"/>
        <v>47020.132592818489</v>
      </c>
      <c r="E265" s="529">
        <f t="shared" si="169"/>
        <v>48765.507166780866</v>
      </c>
      <c r="F265" s="529">
        <f t="shared" si="169"/>
        <v>50092.455957196078</v>
      </c>
      <c r="G265" s="529">
        <f t="shared" si="169"/>
        <v>51211.442374086277</v>
      </c>
      <c r="H265" s="529">
        <f t="shared" si="169"/>
        <v>52761.586455898432</v>
      </c>
      <c r="I265" s="529">
        <f t="shared" si="169"/>
        <v>54819.77457982576</v>
      </c>
      <c r="J265" s="529">
        <f t="shared" si="169"/>
        <v>55766.126983808317</v>
      </c>
      <c r="K265" s="529">
        <f t="shared" si="169"/>
        <v>56178.553323507535</v>
      </c>
      <c r="L265" s="529">
        <f t="shared" si="169"/>
        <v>57434.014552476052</v>
      </c>
      <c r="M265" s="529">
        <f t="shared" si="169"/>
        <v>58586.98009228296</v>
      </c>
      <c r="N265" s="529">
        <f t="shared" si="169"/>
        <v>58070.11493818053</v>
      </c>
    </row>
    <row r="266" spans="1:28" s="5" customFormat="1">
      <c r="A266" s="884"/>
      <c r="B266" s="195" t="str">
        <f t="shared" si="158"/>
        <v>Drama</v>
      </c>
      <c r="C266" s="529">
        <f t="shared" ref="C266:N266" si="170">(C241/((SUM(C$234:C$252))-C$235-C$237-C$242-C$246-C$251))*(C$130-C$260-C$262-C$267-C$271-C$276)</f>
        <v>22050.03653888038</v>
      </c>
      <c r="D266" s="529">
        <f t="shared" si="170"/>
        <v>22306.283644918767</v>
      </c>
      <c r="E266" s="529">
        <f t="shared" si="170"/>
        <v>23134.286846240673</v>
      </c>
      <c r="F266" s="529">
        <f t="shared" si="170"/>
        <v>23763.789454359743</v>
      </c>
      <c r="G266" s="529">
        <f t="shared" si="170"/>
        <v>24294.635009945789</v>
      </c>
      <c r="H266" s="529">
        <f t="shared" si="170"/>
        <v>25030.021145047307</v>
      </c>
      <c r="I266" s="529">
        <f t="shared" si="170"/>
        <v>26006.422647027295</v>
      </c>
      <c r="J266" s="529">
        <f t="shared" si="170"/>
        <v>26455.370873823871</v>
      </c>
      <c r="K266" s="529">
        <f t="shared" si="170"/>
        <v>26651.025339446784</v>
      </c>
      <c r="L266" s="529">
        <f t="shared" si="170"/>
        <v>27246.61435067061</v>
      </c>
      <c r="M266" s="529">
        <f t="shared" si="170"/>
        <v>27793.579553564952</v>
      </c>
      <c r="N266" s="529">
        <f t="shared" si="170"/>
        <v>27548.379463777364</v>
      </c>
    </row>
    <row r="267" spans="1:28" s="5" customFormat="1">
      <c r="A267" s="884"/>
      <c r="B267" s="195" t="str">
        <f t="shared" si="158"/>
        <v>English</v>
      </c>
      <c r="C267" s="373">
        <f>C242</f>
        <v>206749.33948615336</v>
      </c>
      <c r="D267" s="537">
        <f>($D242/$D$130)*D$130</f>
        <v>210272.49077503133</v>
      </c>
      <c r="E267" s="537">
        <f>($D242/$D$130)*E$130</f>
        <v>218077.74862448563</v>
      </c>
      <c r="F267" s="537">
        <f t="shared" ref="F267:N267" si="171">($D242/$D$130)*F$130</f>
        <v>224011.82009356818</v>
      </c>
      <c r="G267" s="537">
        <f t="shared" si="171"/>
        <v>229015.89064905758</v>
      </c>
      <c r="H267" s="537">
        <f t="shared" si="171"/>
        <v>235948.0841408429</v>
      </c>
      <c r="I267" s="537">
        <f t="shared" si="171"/>
        <v>245152.23392599024</v>
      </c>
      <c r="J267" s="537">
        <f t="shared" si="171"/>
        <v>249384.29083785746</v>
      </c>
      <c r="K267" s="537">
        <f t="shared" si="171"/>
        <v>251228.64790211248</v>
      </c>
      <c r="L267" s="537">
        <f t="shared" si="171"/>
        <v>256843.02934107534</v>
      </c>
      <c r="M267" s="537">
        <f t="shared" si="171"/>
        <v>261999.05341979113</v>
      </c>
      <c r="N267" s="537">
        <f t="shared" si="171"/>
        <v>259687.64940293951</v>
      </c>
      <c r="P267" s="5" t="s">
        <v>1</v>
      </c>
      <c r="Q267" s="535">
        <f>C267/C$278</f>
        <v>0.16222810288353329</v>
      </c>
      <c r="R267" s="533">
        <f>D267/D$278</f>
        <v>0.16222810288353331</v>
      </c>
      <c r="S267" s="533">
        <f t="shared" ref="S267:AB267" si="172">E267/E$278</f>
        <v>0.16222810288353331</v>
      </c>
      <c r="T267" s="533">
        <f t="shared" si="172"/>
        <v>0.16222810288353329</v>
      </c>
      <c r="U267" s="533">
        <f t="shared" si="172"/>
        <v>0.16222810288353331</v>
      </c>
      <c r="V267" s="533">
        <f t="shared" si="172"/>
        <v>0.16222810288353331</v>
      </c>
      <c r="W267" s="533">
        <f t="shared" si="172"/>
        <v>0.16222810288353331</v>
      </c>
      <c r="X267" s="533">
        <f t="shared" si="172"/>
        <v>0.16222810288353334</v>
      </c>
      <c r="Y267" s="533">
        <f t="shared" si="172"/>
        <v>0.16222810288353329</v>
      </c>
      <c r="Z267" s="533">
        <f t="shared" si="172"/>
        <v>0.16222810288353326</v>
      </c>
      <c r="AA267" s="533">
        <f t="shared" si="172"/>
        <v>0.16222810288353334</v>
      </c>
      <c r="AB267" s="533">
        <f t="shared" si="172"/>
        <v>0.16222810288353331</v>
      </c>
    </row>
    <row r="268" spans="1:28" s="5" customFormat="1">
      <c r="A268" s="884"/>
      <c r="B268" s="195" t="str">
        <f t="shared" si="158"/>
        <v>Food</v>
      </c>
      <c r="C268" s="529">
        <f t="shared" ref="C268:N268" si="173">(C243/((SUM(C$234:C$252))-C$235-C$237-C$242-C$246-C$251))*(C$130-C$260-C$262-C$267-C$271-C$276)</f>
        <v>18534.051388430562</v>
      </c>
      <c r="D268" s="529">
        <f t="shared" si="173"/>
        <v>18749.43865198805</v>
      </c>
      <c r="E268" s="529">
        <f t="shared" si="173"/>
        <v>19445.412731487893</v>
      </c>
      <c r="F268" s="529">
        <f t="shared" si="173"/>
        <v>19974.538099033532</v>
      </c>
      <c r="G268" s="529">
        <f t="shared" si="173"/>
        <v>20420.737759029711</v>
      </c>
      <c r="H268" s="529">
        <f t="shared" si="173"/>
        <v>21038.863012213671</v>
      </c>
      <c r="I268" s="529">
        <f t="shared" si="173"/>
        <v>21859.572564396425</v>
      </c>
      <c r="J268" s="529">
        <f t="shared" si="173"/>
        <v>22236.933821441082</v>
      </c>
      <c r="K268" s="529">
        <f t="shared" si="173"/>
        <v>22401.390234646424</v>
      </c>
      <c r="L268" s="529">
        <f t="shared" si="173"/>
        <v>22902.009692620679</v>
      </c>
      <c r="M268" s="529">
        <f t="shared" si="173"/>
        <v>23361.758644068079</v>
      </c>
      <c r="N268" s="529">
        <f t="shared" si="173"/>
        <v>23155.656896501467</v>
      </c>
      <c r="Q268" s="534">
        <f t="shared" ref="Q268:AB268" si="174">C119/C$130</f>
        <v>0.16014620225422832</v>
      </c>
      <c r="R268" s="534">
        <f t="shared" si="174"/>
        <v>0.16014620225422835</v>
      </c>
      <c r="S268" s="534">
        <f t="shared" si="174"/>
        <v>0.16014620225422832</v>
      </c>
      <c r="T268" s="534">
        <f t="shared" si="174"/>
        <v>0.16014620225422832</v>
      </c>
      <c r="U268" s="534">
        <f t="shared" si="174"/>
        <v>0.16014620225422832</v>
      </c>
      <c r="V268" s="534">
        <f t="shared" si="174"/>
        <v>0.16014620225422832</v>
      </c>
      <c r="W268" s="534">
        <f t="shared" si="174"/>
        <v>0.16014620225422832</v>
      </c>
      <c r="X268" s="534">
        <f t="shared" si="174"/>
        <v>0.16014620225422832</v>
      </c>
      <c r="Y268" s="534">
        <f t="shared" si="174"/>
        <v>0.16014620225422832</v>
      </c>
      <c r="Z268" s="534">
        <f t="shared" si="174"/>
        <v>0.16014620225422832</v>
      </c>
      <c r="AA268" s="534">
        <f t="shared" si="174"/>
        <v>0.16014620225422832</v>
      </c>
      <c r="AB268" s="534">
        <f t="shared" si="174"/>
        <v>0.16014620225422832</v>
      </c>
    </row>
    <row r="269" spans="1:28" s="5" customFormat="1">
      <c r="A269" s="884"/>
      <c r="B269" s="195" t="str">
        <f t="shared" si="158"/>
        <v>Geography</v>
      </c>
      <c r="C269" s="529">
        <f t="shared" ref="C269:N269" si="175">(C244/((SUM(C$234:C$252))-C$235-C$237-C$242-C$246-C$251))*(C$130-C$260-C$262-C$267-C$271-C$276)</f>
        <v>51974.649739070555</v>
      </c>
      <c r="D269" s="529">
        <f t="shared" si="175"/>
        <v>52578.655703392287</v>
      </c>
      <c r="E269" s="529">
        <f t="shared" si="175"/>
        <v>54530.361148217831</v>
      </c>
      <c r="F269" s="529">
        <f t="shared" si="175"/>
        <v>56014.17626612608</v>
      </c>
      <c r="G269" s="529">
        <f t="shared" si="175"/>
        <v>57265.444569853251</v>
      </c>
      <c r="H269" s="529">
        <f t="shared" si="175"/>
        <v>58998.84019155553</v>
      </c>
      <c r="I269" s="529">
        <f t="shared" si="175"/>
        <v>61300.338693865451</v>
      </c>
      <c r="J269" s="529">
        <f t="shared" si="175"/>
        <v>62358.564914832677</v>
      </c>
      <c r="K269" s="529">
        <f t="shared" si="175"/>
        <v>62819.746568781651</v>
      </c>
      <c r="L269" s="529">
        <f t="shared" si="175"/>
        <v>64223.623165186131</v>
      </c>
      <c r="M269" s="529">
        <f t="shared" si="175"/>
        <v>65512.887461404673</v>
      </c>
      <c r="N269" s="529">
        <f t="shared" si="175"/>
        <v>64934.920673901761</v>
      </c>
    </row>
    <row r="270" spans="1:28" s="5" customFormat="1">
      <c r="A270" s="884"/>
      <c r="B270" s="195" t="str">
        <f t="shared" si="158"/>
        <v>History</v>
      </c>
      <c r="C270" s="529">
        <f t="shared" ref="C270:N270" si="176">(C245/((SUM(C$234:C$252))-C$235-C$237-C$242-C$246-C$251))*(C$130-C$260-C$262-C$267-C$271-C$276)</f>
        <v>55945.605701331144</v>
      </c>
      <c r="D270" s="529">
        <f t="shared" si="176"/>
        <v>56595.758798866955</v>
      </c>
      <c r="E270" s="529">
        <f t="shared" si="176"/>
        <v>58696.578021497924</v>
      </c>
      <c r="F270" s="529">
        <f t="shared" si="176"/>
        <v>60293.759261523992</v>
      </c>
      <c r="G270" s="529">
        <f t="shared" si="176"/>
        <v>61640.626695904612</v>
      </c>
      <c r="H270" s="529">
        <f t="shared" si="176"/>
        <v>63506.45683546341</v>
      </c>
      <c r="I270" s="529">
        <f t="shared" si="176"/>
        <v>65983.793929197476</v>
      </c>
      <c r="J270" s="529">
        <f t="shared" si="176"/>
        <v>67122.870521310382</v>
      </c>
      <c r="K270" s="529">
        <f t="shared" si="176"/>
        <v>67619.287276363961</v>
      </c>
      <c r="L270" s="529">
        <f t="shared" si="176"/>
        <v>69130.422549233932</v>
      </c>
      <c r="M270" s="529">
        <f t="shared" si="176"/>
        <v>70518.188937716724</v>
      </c>
      <c r="N270" s="529">
        <f t="shared" si="176"/>
        <v>69896.064456562293</v>
      </c>
    </row>
    <row r="271" spans="1:28" s="5" customFormat="1">
      <c r="A271" s="884"/>
      <c r="B271" s="195" t="str">
        <f t="shared" si="158"/>
        <v>Mathematics</v>
      </c>
      <c r="C271" s="373">
        <f>C246</f>
        <v>199414.74274144872</v>
      </c>
      <c r="D271" s="373">
        <f t="shared" ref="D271:N271" si="177">D246</f>
        <v>206124.62716122967</v>
      </c>
      <c r="E271" s="373">
        <f t="shared" si="177"/>
        <v>213775.91743788941</v>
      </c>
      <c r="F271" s="373">
        <f t="shared" si="177"/>
        <v>219592.9326099852</v>
      </c>
      <c r="G271" s="373">
        <f t="shared" si="177"/>
        <v>224498.29219238675</v>
      </c>
      <c r="H271" s="373">
        <f t="shared" si="177"/>
        <v>231293.74029706782</v>
      </c>
      <c r="I271" s="373">
        <f t="shared" si="177"/>
        <v>240316.32777775452</v>
      </c>
      <c r="J271" s="373">
        <f t="shared" si="177"/>
        <v>244464.90256216147</v>
      </c>
      <c r="K271" s="373">
        <f t="shared" si="177"/>
        <v>246272.87758932982</v>
      </c>
      <c r="L271" s="373">
        <f t="shared" si="177"/>
        <v>251776.50898011072</v>
      </c>
      <c r="M271" s="373">
        <f t="shared" si="177"/>
        <v>256830.82462997231</v>
      </c>
      <c r="N271" s="373">
        <f t="shared" si="177"/>
        <v>254565.01568160989</v>
      </c>
      <c r="P271" s="5" t="s">
        <v>560</v>
      </c>
      <c r="Q271" s="535">
        <f t="shared" ref="Q271:V271" si="178">C271/C$278</f>
        <v>0.156472932307093</v>
      </c>
      <c r="R271" s="535">
        <f t="shared" si="178"/>
        <v>0.15902796936817676</v>
      </c>
      <c r="S271" s="533">
        <f t="shared" si="178"/>
        <v>0.15902796936817673</v>
      </c>
      <c r="T271" s="533">
        <f t="shared" si="178"/>
        <v>0.1590279693681767</v>
      </c>
      <c r="U271" s="533">
        <f t="shared" si="178"/>
        <v>0.15902796936817673</v>
      </c>
      <c r="V271" s="533">
        <f t="shared" si="178"/>
        <v>0.15902796936817673</v>
      </c>
      <c r="W271" s="533">
        <f t="shared" ref="W271:AB271" si="179">I271/I$278</f>
        <v>0.15902796936817676</v>
      </c>
      <c r="X271" s="533">
        <f t="shared" si="179"/>
        <v>0.15902796936817679</v>
      </c>
      <c r="Y271" s="533">
        <f t="shared" si="179"/>
        <v>0.1590279693681767</v>
      </c>
      <c r="Z271" s="533">
        <f t="shared" si="179"/>
        <v>0.1590279693681767</v>
      </c>
      <c r="AA271" s="533">
        <f t="shared" si="179"/>
        <v>0.15902796936817679</v>
      </c>
      <c r="AB271" s="533">
        <f t="shared" si="179"/>
        <v>0.15902796936817673</v>
      </c>
    </row>
    <row r="272" spans="1:28" s="5" customFormat="1">
      <c r="A272" s="884"/>
      <c r="B272" s="195" t="str">
        <f t="shared" si="158"/>
        <v>Modern Foreign Languages</v>
      </c>
      <c r="C272" s="529">
        <f t="shared" ref="C272:N272" si="180">(C247/((SUM(C$234:C$252))-C$235-C$237-C$242-C$246-C$251))*(C$130-C$260-C$262-C$267-C$271-C$276)</f>
        <v>70572.899975640874</v>
      </c>
      <c r="D272" s="529">
        <f t="shared" si="180"/>
        <v>71393.039268907218</v>
      </c>
      <c r="E272" s="529">
        <f t="shared" si="180"/>
        <v>74043.12953081516</v>
      </c>
      <c r="F272" s="529">
        <f t="shared" si="180"/>
        <v>76057.902817873299</v>
      </c>
      <c r="G272" s="529">
        <f t="shared" si="180"/>
        <v>77756.916342446333</v>
      </c>
      <c r="H272" s="529">
        <f t="shared" si="180"/>
        <v>80110.578299626388</v>
      </c>
      <c r="I272" s="529">
        <f t="shared" si="180"/>
        <v>83235.629154476279</v>
      </c>
      <c r="J272" s="529">
        <f t="shared" si="180"/>
        <v>84672.523748645719</v>
      </c>
      <c r="K272" s="529">
        <f t="shared" si="180"/>
        <v>85298.731465256351</v>
      </c>
      <c r="L272" s="529">
        <f t="shared" si="180"/>
        <v>87204.961581545504</v>
      </c>
      <c r="M272" s="529">
        <f t="shared" si="180"/>
        <v>88955.567322536182</v>
      </c>
      <c r="N272" s="529">
        <f t="shared" si="180"/>
        <v>88170.784885550878</v>
      </c>
      <c r="Q272" s="534">
        <f t="shared" ref="Q272:AB272" si="181">C123/C$130</f>
        <v>0.15391789524600927</v>
      </c>
      <c r="R272" s="534">
        <f t="shared" si="181"/>
        <v>0.15391789524600924</v>
      </c>
      <c r="S272" s="534">
        <f t="shared" si="181"/>
        <v>0.15391789524600924</v>
      </c>
      <c r="T272" s="534">
        <f t="shared" si="181"/>
        <v>0.15391789524600921</v>
      </c>
      <c r="U272" s="534">
        <f t="shared" si="181"/>
        <v>0.15391789524600924</v>
      </c>
      <c r="V272" s="534">
        <f t="shared" si="181"/>
        <v>0.15391789524600924</v>
      </c>
      <c r="W272" s="534">
        <f t="shared" si="181"/>
        <v>0.15391789524600924</v>
      </c>
      <c r="X272" s="534">
        <f t="shared" si="181"/>
        <v>0.15391789524600924</v>
      </c>
      <c r="Y272" s="534">
        <f t="shared" si="181"/>
        <v>0.15391789524600924</v>
      </c>
      <c r="Z272" s="534">
        <f t="shared" si="181"/>
        <v>0.15391789524600924</v>
      </c>
      <c r="AA272" s="534">
        <f t="shared" si="181"/>
        <v>0.15391789524600924</v>
      </c>
      <c r="AB272" s="534">
        <f t="shared" si="181"/>
        <v>0.15391789524600921</v>
      </c>
    </row>
    <row r="273" spans="1:28" s="5" customFormat="1">
      <c r="A273" s="884"/>
      <c r="B273" s="195" t="str">
        <f t="shared" si="158"/>
        <v>Music</v>
      </c>
      <c r="C273" s="529">
        <f t="shared" ref="C273:N273" si="182">(C248/((SUM(C$234:C$252))-C$235-C$237-C$242-C$246-C$251))*(C$130-C$260-C$262-C$267-C$271-C$276)</f>
        <v>17447.222528094317</v>
      </c>
      <c r="D273" s="529">
        <f t="shared" si="182"/>
        <v>17649.979574476016</v>
      </c>
      <c r="E273" s="529">
        <f t="shared" si="182"/>
        <v>18305.14203109892</v>
      </c>
      <c r="F273" s="529">
        <f t="shared" si="182"/>
        <v>18803.23971300085</v>
      </c>
      <c r="G273" s="529">
        <f t="shared" si="182"/>
        <v>19223.274415439028</v>
      </c>
      <c r="H273" s="529">
        <f t="shared" si="182"/>
        <v>19805.15306768379</v>
      </c>
      <c r="I273" s="529">
        <f t="shared" si="182"/>
        <v>20577.73656212708</v>
      </c>
      <c r="J273" s="529">
        <f t="shared" si="182"/>
        <v>20932.969516172379</v>
      </c>
      <c r="K273" s="529">
        <f t="shared" si="182"/>
        <v>21087.782275521738</v>
      </c>
      <c r="L273" s="529">
        <f t="shared" si="182"/>
        <v>21559.045622219004</v>
      </c>
      <c r="M273" s="529">
        <f t="shared" si="182"/>
        <v>21991.835091442546</v>
      </c>
      <c r="N273" s="529">
        <f t="shared" si="182"/>
        <v>21797.819062358452</v>
      </c>
    </row>
    <row r="274" spans="1:28" s="5" customFormat="1">
      <c r="A274" s="884"/>
      <c r="B274" s="195" t="str">
        <f t="shared" si="158"/>
        <v>Others</v>
      </c>
      <c r="C274" s="529">
        <f t="shared" ref="C274:N274" si="183">(C249/((SUM(C$234:C$252))-C$235-C$237-C$242-C$246-C$251))*(C$130-C$260-C$262-C$267-C$271-C$276)</f>
        <v>70051.385516758048</v>
      </c>
      <c r="D274" s="529">
        <f t="shared" si="183"/>
        <v>70865.46420460954</v>
      </c>
      <c r="E274" s="529">
        <f t="shared" si="183"/>
        <v>73495.971023164471</v>
      </c>
      <c r="F274" s="529">
        <f t="shared" si="183"/>
        <v>75495.855685822389</v>
      </c>
      <c r="G274" s="529">
        <f t="shared" si="183"/>
        <v>77182.313964412795</v>
      </c>
      <c r="H274" s="529">
        <f t="shared" si="183"/>
        <v>79518.583002463609</v>
      </c>
      <c r="I274" s="529">
        <f t="shared" si="183"/>
        <v>82620.540584880146</v>
      </c>
      <c r="J274" s="529">
        <f t="shared" si="183"/>
        <v>84046.816920383615</v>
      </c>
      <c r="K274" s="529">
        <f t="shared" si="183"/>
        <v>84668.397132972328</v>
      </c>
      <c r="L274" s="529">
        <f t="shared" si="183"/>
        <v>86560.540729252432</v>
      </c>
      <c r="M274" s="529">
        <f t="shared" si="183"/>
        <v>88298.209971869859</v>
      </c>
      <c r="N274" s="529">
        <f t="shared" si="183"/>
        <v>87519.226862786731</v>
      </c>
    </row>
    <row r="275" spans="1:28" s="5" customFormat="1">
      <c r="A275" s="884"/>
      <c r="B275" s="195" t="str">
        <f t="shared" si="158"/>
        <v>Physical Education</v>
      </c>
      <c r="C275" s="529">
        <f t="shared" ref="C275:N275" si="184">(C250/((SUM(C$234:C$252))-C$235-C$237-C$242-C$246-C$251))*(C$130-C$260-C$262-C$267-C$271-C$276)</f>
        <v>103555.18732632346</v>
      </c>
      <c r="D275" s="529">
        <f t="shared" si="184"/>
        <v>104758.61921274431</v>
      </c>
      <c r="E275" s="529">
        <f t="shared" si="184"/>
        <v>108647.23075624423</v>
      </c>
      <c r="F275" s="529">
        <f t="shared" si="184"/>
        <v>111603.60955367771</v>
      </c>
      <c r="G275" s="529">
        <f t="shared" si="184"/>
        <v>114096.65807326308</v>
      </c>
      <c r="H275" s="529">
        <f t="shared" si="184"/>
        <v>117550.30536510951</v>
      </c>
      <c r="I275" s="529">
        <f t="shared" si="184"/>
        <v>122135.85062100756</v>
      </c>
      <c r="J275" s="529">
        <f t="shared" si="184"/>
        <v>124244.27877003868</v>
      </c>
      <c r="K275" s="529">
        <f t="shared" si="184"/>
        <v>125163.14504053608</v>
      </c>
      <c r="L275" s="529">
        <f t="shared" si="184"/>
        <v>127960.25295090303</v>
      </c>
      <c r="M275" s="529">
        <f t="shared" si="184"/>
        <v>130529.00534035281</v>
      </c>
      <c r="N275" s="529">
        <f t="shared" si="184"/>
        <v>129377.45435831194</v>
      </c>
    </row>
    <row r="276" spans="1:28" s="5" customFormat="1">
      <c r="A276" s="884"/>
      <c r="B276" s="195" t="str">
        <f t="shared" si="158"/>
        <v>Physics</v>
      </c>
      <c r="C276" s="388">
        <f>C251</f>
        <v>83537.473567211331</v>
      </c>
      <c r="D276" s="537">
        <f>($D251/$D$130)*D$130</f>
        <v>84961.009711991312</v>
      </c>
      <c r="E276" s="537">
        <f>($D251/$D$130)*E$130</f>
        <v>88114.739358260515</v>
      </c>
      <c r="F276" s="537">
        <f t="shared" ref="F276:N276" si="185">($D251/$D$130)*F$130</f>
        <v>90512.412500658276</v>
      </c>
      <c r="G276" s="537">
        <f t="shared" si="185"/>
        <v>92534.316961376768</v>
      </c>
      <c r="H276" s="537">
        <f t="shared" si="185"/>
        <v>95335.283252355395</v>
      </c>
      <c r="I276" s="537">
        <f t="shared" si="185"/>
        <v>99054.237911636868</v>
      </c>
      <c r="J276" s="537">
        <f t="shared" si="185"/>
        <v>100764.20875502001</v>
      </c>
      <c r="K276" s="537">
        <f t="shared" si="185"/>
        <v>101509.424821425</v>
      </c>
      <c r="L276" s="537">
        <f t="shared" si="185"/>
        <v>103777.92658408728</v>
      </c>
      <c r="M276" s="537">
        <f t="shared" si="185"/>
        <v>105861.22816201796</v>
      </c>
      <c r="N276" s="537">
        <f t="shared" si="185"/>
        <v>104927.30086415677</v>
      </c>
      <c r="P276" s="5" t="s">
        <v>2</v>
      </c>
      <c r="Q276" s="535">
        <f>C276/C$278</f>
        <v>6.5548581147460594E-2</v>
      </c>
      <c r="R276" s="533">
        <f>D276/D$278</f>
        <v>6.5548581147460594E-2</v>
      </c>
      <c r="S276" s="533">
        <f>E276/E$278</f>
        <v>6.5548581147460594E-2</v>
      </c>
      <c r="T276" s="533">
        <f t="shared" ref="T276:AB276" si="186">F276/F$278</f>
        <v>6.554858114746058E-2</v>
      </c>
      <c r="U276" s="533">
        <f t="shared" si="186"/>
        <v>6.5548581147460594E-2</v>
      </c>
      <c r="V276" s="533">
        <f t="shared" si="186"/>
        <v>6.5548581147460594E-2</v>
      </c>
      <c r="W276" s="533">
        <f t="shared" si="186"/>
        <v>6.5548581147460594E-2</v>
      </c>
      <c r="X276" s="533">
        <f t="shared" si="186"/>
        <v>6.5548581147460608E-2</v>
      </c>
      <c r="Y276" s="533">
        <f t="shared" si="186"/>
        <v>6.554858114746058E-2</v>
      </c>
      <c r="Z276" s="533">
        <f t="shared" si="186"/>
        <v>6.5548581147460566E-2</v>
      </c>
      <c r="AA276" s="533">
        <f t="shared" si="186"/>
        <v>6.5548581147460608E-2</v>
      </c>
      <c r="AB276" s="533">
        <f t="shared" si="186"/>
        <v>6.5548581147460594E-2</v>
      </c>
    </row>
    <row r="277" spans="1:28" s="5" customFormat="1">
      <c r="A277" s="884"/>
      <c r="B277" s="195" t="str">
        <f t="shared" si="158"/>
        <v>Religious Education</v>
      </c>
      <c r="C277" s="529">
        <f t="shared" ref="C277:N277" si="187">(C252/((SUM(C$234:C$252))-C$235-C$237-C$242-C$246-C$251))*(C$130-C$260-C$262-C$267-C$271-C$276)</f>
        <v>43014.488453942438</v>
      </c>
      <c r="D277" s="529">
        <f t="shared" si="187"/>
        <v>43514.366908320917</v>
      </c>
      <c r="E277" s="529">
        <f t="shared" si="187"/>
        <v>45129.608410541885</v>
      </c>
      <c r="F277" s="529">
        <f t="shared" si="187"/>
        <v>46357.621462625444</v>
      </c>
      <c r="G277" s="529">
        <f t="shared" si="187"/>
        <v>47393.177570721658</v>
      </c>
      <c r="H277" s="529">
        <f t="shared" si="187"/>
        <v>48827.744736256172</v>
      </c>
      <c r="I277" s="529">
        <f t="shared" si="187"/>
        <v>50732.47677873027</v>
      </c>
      <c r="J277" s="529">
        <f t="shared" si="187"/>
        <v>51608.270262514663</v>
      </c>
      <c r="K277" s="529">
        <f t="shared" si="187"/>
        <v>51989.946580268574</v>
      </c>
      <c r="L277" s="529">
        <f t="shared" si="187"/>
        <v>53151.802099256442</v>
      </c>
      <c r="M277" s="529">
        <f t="shared" si="187"/>
        <v>54218.803886900714</v>
      </c>
      <c r="N277" s="529">
        <f t="shared" si="187"/>
        <v>53740.475589690133</v>
      </c>
      <c r="Q277" s="534">
        <f t="shared" ref="Q277:AB277" si="188">C128/C$130</f>
        <v>5.9589619224964176E-2</v>
      </c>
      <c r="R277" s="534">
        <f t="shared" si="188"/>
        <v>5.9589619224964176E-2</v>
      </c>
      <c r="S277" s="534">
        <f t="shared" si="188"/>
        <v>5.9589619224964176E-2</v>
      </c>
      <c r="T277" s="534">
        <f t="shared" si="188"/>
        <v>5.9589619224964169E-2</v>
      </c>
      <c r="U277" s="534">
        <f t="shared" si="188"/>
        <v>5.9589619224964169E-2</v>
      </c>
      <c r="V277" s="534">
        <f t="shared" si="188"/>
        <v>5.9589619224964176E-2</v>
      </c>
      <c r="W277" s="534">
        <f t="shared" si="188"/>
        <v>5.9589619224964176E-2</v>
      </c>
      <c r="X277" s="534">
        <f t="shared" si="188"/>
        <v>5.9589619224964169E-2</v>
      </c>
      <c r="Y277" s="534">
        <f t="shared" si="188"/>
        <v>5.9589619224964176E-2</v>
      </c>
      <c r="Z277" s="534">
        <f t="shared" si="188"/>
        <v>5.9589619224964176E-2</v>
      </c>
      <c r="AA277" s="534">
        <f t="shared" si="188"/>
        <v>5.9589619224964169E-2</v>
      </c>
      <c r="AB277" s="534">
        <f t="shared" si="188"/>
        <v>5.9589619224964169E-2</v>
      </c>
    </row>
    <row r="278" spans="1:28" s="5" customFormat="1">
      <c r="A278" s="884"/>
      <c r="B278" s="195" t="str">
        <f t="shared" si="158"/>
        <v>Recalculated Total</v>
      </c>
      <c r="C278" s="536">
        <f t="shared" ref="C278:N278" si="189">SUM(C259:C277)</f>
        <v>1274436.0305722291</v>
      </c>
      <c r="D278" s="536">
        <f t="shared" si="189"/>
        <v>1296153.299197427</v>
      </c>
      <c r="E278" s="536">
        <f t="shared" si="189"/>
        <v>1344266.1582564882</v>
      </c>
      <c r="F278" s="536">
        <f t="shared" si="189"/>
        <v>1380844.7248772343</v>
      </c>
      <c r="G278" s="536">
        <f t="shared" si="189"/>
        <v>1411690.6169671016</v>
      </c>
      <c r="H278" s="536">
        <f t="shared" si="189"/>
        <v>1454421.7675419319</v>
      </c>
      <c r="I278" s="536">
        <f t="shared" si="189"/>
        <v>1511157.6204647461</v>
      </c>
      <c r="J278" s="536">
        <f t="shared" si="189"/>
        <v>1537244.6968506759</v>
      </c>
      <c r="K278" s="536">
        <f t="shared" si="189"/>
        <v>1548613.6090888914</v>
      </c>
      <c r="L278" s="536">
        <f t="shared" si="189"/>
        <v>1583221.5551794253</v>
      </c>
      <c r="M278" s="536">
        <f t="shared" si="189"/>
        <v>1615004.1131152553</v>
      </c>
      <c r="N278" s="536">
        <f t="shared" si="189"/>
        <v>1600756.2486838319</v>
      </c>
    </row>
    <row r="279" spans="1:28">
      <c r="A279" s="10">
        <f>O279</f>
        <v>0</v>
      </c>
      <c r="B279" s="12"/>
      <c r="C279" s="10">
        <f t="shared" ref="C279:N279" si="190">SUM(C259:C277)-C278</f>
        <v>0</v>
      </c>
      <c r="D279" s="10">
        <f t="shared" si="190"/>
        <v>0</v>
      </c>
      <c r="E279" s="10">
        <f t="shared" si="190"/>
        <v>0</v>
      </c>
      <c r="F279" s="10">
        <f t="shared" si="190"/>
        <v>0</v>
      </c>
      <c r="G279" s="10">
        <f t="shared" si="190"/>
        <v>0</v>
      </c>
      <c r="H279" s="10">
        <f t="shared" si="190"/>
        <v>0</v>
      </c>
      <c r="I279" s="10">
        <f t="shared" si="190"/>
        <v>0</v>
      </c>
      <c r="J279" s="10">
        <f t="shared" si="190"/>
        <v>0</v>
      </c>
      <c r="K279" s="10">
        <f t="shared" si="190"/>
        <v>0</v>
      </c>
      <c r="L279" s="10">
        <f t="shared" si="190"/>
        <v>0</v>
      </c>
      <c r="M279" s="10">
        <f t="shared" si="190"/>
        <v>0</v>
      </c>
      <c r="N279" s="10">
        <f t="shared" si="190"/>
        <v>0</v>
      </c>
      <c r="O279" s="10">
        <f>SUM(C279:N279)</f>
        <v>0</v>
      </c>
    </row>
    <row r="280" spans="1:28">
      <c r="A280" s="10">
        <f>SUM(B280:N280)</f>
        <v>0</v>
      </c>
      <c r="B280" s="12"/>
      <c r="C280" s="10">
        <f t="shared" ref="C280:N280" si="191">C278-C130</f>
        <v>0</v>
      </c>
      <c r="D280" s="10">
        <f t="shared" si="191"/>
        <v>0</v>
      </c>
      <c r="E280" s="10">
        <f t="shared" si="191"/>
        <v>0</v>
      </c>
      <c r="F280" s="10">
        <f t="shared" si="191"/>
        <v>0</v>
      </c>
      <c r="G280" s="10">
        <f t="shared" si="191"/>
        <v>0</v>
      </c>
      <c r="H280" s="10">
        <f t="shared" si="191"/>
        <v>0</v>
      </c>
      <c r="I280" s="10">
        <f t="shared" si="191"/>
        <v>0</v>
      </c>
      <c r="J280" s="10">
        <f t="shared" si="191"/>
        <v>0</v>
      </c>
      <c r="K280" s="10">
        <f t="shared" si="191"/>
        <v>0</v>
      </c>
      <c r="L280" s="10">
        <f t="shared" si="191"/>
        <v>0</v>
      </c>
      <c r="M280" s="10">
        <f t="shared" si="191"/>
        <v>0</v>
      </c>
      <c r="N280" s="10">
        <f t="shared" si="191"/>
        <v>0</v>
      </c>
      <c r="O280" s="10"/>
    </row>
    <row r="281" spans="1:28">
      <c r="A281" s="883"/>
      <c r="B281" s="12"/>
      <c r="C281" s="10"/>
      <c r="D281" s="10"/>
      <c r="E281" s="10"/>
      <c r="F281" s="10"/>
      <c r="G281" s="10"/>
      <c r="H281" s="10"/>
      <c r="I281" s="10"/>
      <c r="J281" s="10"/>
      <c r="K281" s="10"/>
      <c r="L281" s="10"/>
      <c r="M281" s="10"/>
      <c r="N281" s="10"/>
      <c r="O281" s="10"/>
    </row>
    <row r="282" spans="1:28">
      <c r="A282" s="883"/>
      <c r="B282" s="76" t="s">
        <v>80</v>
      </c>
      <c r="C282" s="262" t="s">
        <v>365</v>
      </c>
      <c r="D282" s="12"/>
      <c r="E282" s="12"/>
      <c r="F282" s="12"/>
    </row>
    <row r="283" spans="1:28">
      <c r="A283" s="883"/>
      <c r="B283" s="12"/>
      <c r="D283" s="12"/>
      <c r="E283" s="12"/>
      <c r="F283" s="12"/>
    </row>
    <row r="284" spans="1:28">
      <c r="A284" s="883"/>
      <c r="B284" s="142" t="s">
        <v>62</v>
      </c>
      <c r="C284" s="8" t="str">
        <f t="shared" ref="C284:N284" si="192">C233</f>
        <v>2016/17</v>
      </c>
      <c r="D284" s="8" t="str">
        <f t="shared" si="192"/>
        <v>2017/18</v>
      </c>
      <c r="E284" s="8" t="str">
        <f t="shared" si="192"/>
        <v>2018/19</v>
      </c>
      <c r="F284" s="8" t="str">
        <f t="shared" si="192"/>
        <v>2019/20</v>
      </c>
      <c r="G284" s="8" t="str">
        <f t="shared" si="192"/>
        <v>2020/21</v>
      </c>
      <c r="H284" s="8" t="str">
        <f t="shared" si="192"/>
        <v>2021/22</v>
      </c>
      <c r="I284" s="8" t="str">
        <f t="shared" si="192"/>
        <v>2022/23</v>
      </c>
      <c r="J284" s="8" t="str">
        <f t="shared" si="192"/>
        <v>2023/24</v>
      </c>
      <c r="K284" s="8" t="str">
        <f t="shared" si="192"/>
        <v>2024/25</v>
      </c>
      <c r="L284" s="8" t="str">
        <f t="shared" si="192"/>
        <v>2025/26</v>
      </c>
      <c r="M284" s="8" t="str">
        <f t="shared" si="192"/>
        <v>2026/27</v>
      </c>
      <c r="N284" s="8" t="str">
        <f t="shared" si="192"/>
        <v>2027/28</v>
      </c>
    </row>
    <row r="285" spans="1:28" s="5" customFormat="1">
      <c r="A285" s="884"/>
      <c r="B285" s="195" t="str">
        <f t="shared" ref="B285:B303" si="193">B181</f>
        <v>Art &amp; Design</v>
      </c>
      <c r="C285" s="459">
        <f t="shared" ref="C285:N285" si="194">C137</f>
        <v>29032.239381786956</v>
      </c>
      <c r="D285" s="459">
        <f t="shared" si="194"/>
        <v>28410.099343874448</v>
      </c>
      <c r="E285" s="459">
        <f t="shared" si="194"/>
        <v>27792.507517482612</v>
      </c>
      <c r="F285" s="459">
        <f t="shared" si="194"/>
        <v>27526.704246958278</v>
      </c>
      <c r="G285" s="459">
        <f t="shared" si="194"/>
        <v>27634.203518445385</v>
      </c>
      <c r="H285" s="459">
        <f t="shared" si="194"/>
        <v>28087.476342888836</v>
      </c>
      <c r="I285" s="459">
        <f t="shared" si="194"/>
        <v>28931.06899413764</v>
      </c>
      <c r="J285" s="459">
        <f t="shared" si="194"/>
        <v>29787.419813766603</v>
      </c>
      <c r="K285" s="459">
        <f t="shared" si="194"/>
        <v>30693.248751430772</v>
      </c>
      <c r="L285" s="459">
        <f t="shared" si="194"/>
        <v>31343.891796778262</v>
      </c>
      <c r="M285" s="459">
        <f t="shared" si="194"/>
        <v>31879.779794968043</v>
      </c>
      <c r="N285" s="459">
        <f t="shared" si="194"/>
        <v>32395.276950227188</v>
      </c>
    </row>
    <row r="286" spans="1:28" s="5" customFormat="1">
      <c r="A286" s="884"/>
      <c r="B286" s="195" t="str">
        <f t="shared" si="193"/>
        <v>Biology</v>
      </c>
      <c r="C286" s="459">
        <f t="shared" ref="C286:N286" si="195">C138</f>
        <v>38872.518022446966</v>
      </c>
      <c r="D286" s="459">
        <f t="shared" si="195"/>
        <v>38039.507880920944</v>
      </c>
      <c r="E286" s="459">
        <f t="shared" si="195"/>
        <v>37212.587536051047</v>
      </c>
      <c r="F286" s="459">
        <f t="shared" si="195"/>
        <v>36856.69206798169</v>
      </c>
      <c r="G286" s="459">
        <f t="shared" si="195"/>
        <v>37000.627481069532</v>
      </c>
      <c r="H286" s="459">
        <f t="shared" si="195"/>
        <v>37607.534024018372</v>
      </c>
      <c r="I286" s="459">
        <f t="shared" si="195"/>
        <v>38737.056625015008</v>
      </c>
      <c r="J286" s="459">
        <f t="shared" si="195"/>
        <v>39883.661688158958</v>
      </c>
      <c r="K286" s="459">
        <f t="shared" si="195"/>
        <v>41096.515138475101</v>
      </c>
      <c r="L286" s="459">
        <f t="shared" si="195"/>
        <v>41967.689186534124</v>
      </c>
      <c r="M286" s="459">
        <f t="shared" si="195"/>
        <v>42685.212750379964</v>
      </c>
      <c r="N286" s="459">
        <f t="shared" si="195"/>
        <v>43375.434134780036</v>
      </c>
    </row>
    <row r="287" spans="1:28" s="5" customFormat="1">
      <c r="A287" s="884"/>
      <c r="B287" s="195" t="str">
        <f t="shared" si="193"/>
        <v>Business Studies</v>
      </c>
      <c r="C287" s="459">
        <f t="shared" ref="C287:N287" si="196">C139</f>
        <v>37435.996339728903</v>
      </c>
      <c r="D287" s="459">
        <f t="shared" si="196"/>
        <v>36633.769826099975</v>
      </c>
      <c r="E287" s="459">
        <f t="shared" si="196"/>
        <v>35837.408062606271</v>
      </c>
      <c r="F287" s="459">
        <f t="shared" si="196"/>
        <v>35494.664599672462</v>
      </c>
      <c r="G287" s="459">
        <f t="shared" si="196"/>
        <v>35633.280924820268</v>
      </c>
      <c r="H287" s="459">
        <f t="shared" si="196"/>
        <v>36217.759427274643</v>
      </c>
      <c r="I287" s="459">
        <f t="shared" si="196"/>
        <v>37305.540875652485</v>
      </c>
      <c r="J287" s="459">
        <f t="shared" si="196"/>
        <v>38409.773509159393</v>
      </c>
      <c r="K287" s="459">
        <f t="shared" si="196"/>
        <v>39577.806341517819</v>
      </c>
      <c r="L287" s="459">
        <f t="shared" si="196"/>
        <v>40416.786426511848</v>
      </c>
      <c r="M287" s="459">
        <f t="shared" si="196"/>
        <v>41107.79413263192</v>
      </c>
      <c r="N287" s="459">
        <f t="shared" si="196"/>
        <v>41772.508602764334</v>
      </c>
    </row>
    <row r="288" spans="1:28" s="5" customFormat="1">
      <c r="A288" s="884"/>
      <c r="B288" s="195" t="str">
        <f t="shared" si="193"/>
        <v>Chemistry</v>
      </c>
      <c r="C288" s="459">
        <f t="shared" ref="C288:N288" si="197">C140</f>
        <v>32403.189388219624</v>
      </c>
      <c r="D288" s="459">
        <f t="shared" si="197"/>
        <v>31708.812312811522</v>
      </c>
      <c r="E288" s="459">
        <f t="shared" si="197"/>
        <v>31019.511544378711</v>
      </c>
      <c r="F288" s="459">
        <f t="shared" si="197"/>
        <v>30722.8457032927</v>
      </c>
      <c r="G288" s="459">
        <f t="shared" si="197"/>
        <v>30842.82677699787</v>
      </c>
      <c r="H288" s="459">
        <f t="shared" si="197"/>
        <v>31348.72936969241</v>
      </c>
      <c r="I288" s="459">
        <f t="shared" si="197"/>
        <v>32290.272048693383</v>
      </c>
      <c r="J288" s="459">
        <f t="shared" si="197"/>
        <v>33246.054254340321</v>
      </c>
      <c r="K288" s="459">
        <f t="shared" si="197"/>
        <v>34257.059510754523</v>
      </c>
      <c r="L288" s="459">
        <f t="shared" si="197"/>
        <v>34983.24909417842</v>
      </c>
      <c r="M288" s="459">
        <f t="shared" si="197"/>
        <v>35581.359355941786</v>
      </c>
      <c r="N288" s="459">
        <f t="shared" si="197"/>
        <v>36156.711182278319</v>
      </c>
    </row>
    <row r="289" spans="1:14" s="5" customFormat="1">
      <c r="A289" s="884"/>
      <c r="B289" s="195" t="str">
        <f t="shared" si="193"/>
        <v>Classics</v>
      </c>
      <c r="C289" s="459">
        <f t="shared" ref="C289:N289" si="198">C141</f>
        <v>2126.3641921890462</v>
      </c>
      <c r="D289" s="459">
        <f t="shared" si="198"/>
        <v>2080.7977347846549</v>
      </c>
      <c r="E289" s="459">
        <f t="shared" si="198"/>
        <v>2035.5643951252941</v>
      </c>
      <c r="F289" s="459">
        <f t="shared" si="198"/>
        <v>2016.096570091988</v>
      </c>
      <c r="G289" s="459">
        <f t="shared" si="198"/>
        <v>2023.9699758796241</v>
      </c>
      <c r="H289" s="459">
        <f t="shared" si="198"/>
        <v>2057.1683485753792</v>
      </c>
      <c r="I289" s="459">
        <f t="shared" si="198"/>
        <v>2118.9543232230872</v>
      </c>
      <c r="J289" s="459">
        <f t="shared" si="198"/>
        <v>2181.6747250103876</v>
      </c>
      <c r="K289" s="459">
        <f t="shared" si="198"/>
        <v>2248.0189774109131</v>
      </c>
      <c r="L289" s="459">
        <f t="shared" si="198"/>
        <v>2295.6730372762245</v>
      </c>
      <c r="M289" s="459">
        <f t="shared" si="198"/>
        <v>2334.9222676022005</v>
      </c>
      <c r="N289" s="459">
        <f t="shared" si="198"/>
        <v>2372.6780424049534</v>
      </c>
    </row>
    <row r="290" spans="1:14" s="5" customFormat="1">
      <c r="A290" s="884"/>
      <c r="B290" s="195" t="str">
        <f t="shared" si="193"/>
        <v>Computing</v>
      </c>
      <c r="C290" s="459">
        <f t="shared" ref="C290:N290" si="199">C142</f>
        <v>25196.752490824179</v>
      </c>
      <c r="D290" s="459">
        <f t="shared" si="199"/>
        <v>24656.804182194996</v>
      </c>
      <c r="E290" s="459">
        <f t="shared" si="199"/>
        <v>24120.803214949137</v>
      </c>
      <c r="F290" s="459">
        <f t="shared" si="199"/>
        <v>23890.115560077607</v>
      </c>
      <c r="G290" s="459">
        <f t="shared" si="199"/>
        <v>23983.412963043491</v>
      </c>
      <c r="H290" s="459">
        <f t="shared" si="199"/>
        <v>24376.803325327543</v>
      </c>
      <c r="I290" s="459">
        <f t="shared" si="199"/>
        <v>25108.947854623788</v>
      </c>
      <c r="J290" s="459">
        <f t="shared" si="199"/>
        <v>25852.165054087967</v>
      </c>
      <c r="K290" s="459">
        <f t="shared" si="199"/>
        <v>26638.323753084802</v>
      </c>
      <c r="L290" s="459">
        <f t="shared" si="199"/>
        <v>27203.009499778575</v>
      </c>
      <c r="M290" s="459">
        <f t="shared" si="199"/>
        <v>27668.100637793301</v>
      </c>
      <c r="N290" s="459">
        <f t="shared" si="199"/>
        <v>28115.494793648086</v>
      </c>
    </row>
    <row r="291" spans="1:14" s="5" customFormat="1">
      <c r="A291" s="884"/>
      <c r="B291" s="195" t="str">
        <f t="shared" si="193"/>
        <v>Design &amp; Technology</v>
      </c>
      <c r="C291" s="459">
        <f t="shared" ref="C291:N291" si="200">C143</f>
        <v>21290.2503954729</v>
      </c>
      <c r="D291" s="459">
        <f t="shared" si="200"/>
        <v>20834.015620951315</v>
      </c>
      <c r="E291" s="459">
        <f t="shared" si="200"/>
        <v>20381.116192382662</v>
      </c>
      <c r="F291" s="459">
        <f t="shared" si="200"/>
        <v>20186.194329450213</v>
      </c>
      <c r="G291" s="459">
        <f t="shared" si="200"/>
        <v>20265.026911986966</v>
      </c>
      <c r="H291" s="459">
        <f t="shared" si="200"/>
        <v>20597.426070142101</v>
      </c>
      <c r="I291" s="459">
        <f t="shared" si="200"/>
        <v>21216.058981667866</v>
      </c>
      <c r="J291" s="459">
        <f t="shared" si="200"/>
        <v>21844.047857638165</v>
      </c>
      <c r="K291" s="459">
        <f t="shared" si="200"/>
        <v>22508.320587162223</v>
      </c>
      <c r="L291" s="459">
        <f t="shared" si="200"/>
        <v>22985.457509717744</v>
      </c>
      <c r="M291" s="459">
        <f t="shared" si="200"/>
        <v>23378.4409621946</v>
      </c>
      <c r="N291" s="459">
        <f t="shared" si="200"/>
        <v>23756.471170932346</v>
      </c>
    </row>
    <row r="292" spans="1:14" s="5" customFormat="1">
      <c r="A292" s="884"/>
      <c r="B292" s="195" t="str">
        <f t="shared" si="193"/>
        <v>Drama</v>
      </c>
      <c r="C292" s="459">
        <f t="shared" ref="C292:N292" si="201">C144</f>
        <v>14984.687264226442</v>
      </c>
      <c r="D292" s="459">
        <f t="shared" si="201"/>
        <v>14663.576178716405</v>
      </c>
      <c r="E292" s="459">
        <f t="shared" si="201"/>
        <v>14344.812605100042</v>
      </c>
      <c r="F292" s="459">
        <f t="shared" si="201"/>
        <v>14207.621021969378</v>
      </c>
      <c r="G292" s="459">
        <f t="shared" si="201"/>
        <v>14263.105648669482</v>
      </c>
      <c r="H292" s="459">
        <f t="shared" si="201"/>
        <v>14497.057684898515</v>
      </c>
      <c r="I292" s="459">
        <f t="shared" si="201"/>
        <v>14932.469224846518</v>
      </c>
      <c r="J292" s="459">
        <f t="shared" si="201"/>
        <v>15374.465760210376</v>
      </c>
      <c r="K292" s="459">
        <f t="shared" si="201"/>
        <v>15841.999909653196</v>
      </c>
      <c r="L292" s="459">
        <f t="shared" si="201"/>
        <v>16177.822524883228</v>
      </c>
      <c r="M292" s="459">
        <f t="shared" si="201"/>
        <v>16454.415520550101</v>
      </c>
      <c r="N292" s="459">
        <f t="shared" si="201"/>
        <v>16720.483995515988</v>
      </c>
    </row>
    <row r="293" spans="1:14" s="5" customFormat="1">
      <c r="A293" s="884"/>
      <c r="B293" s="195" t="str">
        <f t="shared" si="193"/>
        <v>English</v>
      </c>
      <c r="C293" s="459">
        <f t="shared" ref="C293:N293" si="202">C145</f>
        <v>51790.215709126744</v>
      </c>
      <c r="D293" s="459">
        <f t="shared" si="202"/>
        <v>50680.388584148357</v>
      </c>
      <c r="E293" s="459">
        <f t="shared" si="202"/>
        <v>49578.674951644607</v>
      </c>
      <c r="F293" s="459">
        <f t="shared" si="202"/>
        <v>49104.51212405086</v>
      </c>
      <c r="G293" s="459">
        <f t="shared" si="202"/>
        <v>49296.278607706408</v>
      </c>
      <c r="H293" s="459">
        <f t="shared" si="202"/>
        <v>50104.865814649129</v>
      </c>
      <c r="I293" s="459">
        <f t="shared" si="202"/>
        <v>51609.73923499637</v>
      </c>
      <c r="J293" s="459">
        <f t="shared" si="202"/>
        <v>53137.371777840941</v>
      </c>
      <c r="K293" s="459">
        <f t="shared" si="202"/>
        <v>54753.267660355152</v>
      </c>
      <c r="L293" s="459">
        <f t="shared" si="202"/>
        <v>55913.940911393751</v>
      </c>
      <c r="M293" s="459">
        <f t="shared" si="202"/>
        <v>56869.904199557874</v>
      </c>
      <c r="N293" s="459">
        <f t="shared" si="202"/>
        <v>57789.492541236432</v>
      </c>
    </row>
    <row r="294" spans="1:14" s="5" customFormat="1">
      <c r="A294" s="884"/>
      <c r="B294" s="195" t="str">
        <f t="shared" si="193"/>
        <v>Food</v>
      </c>
      <c r="C294" s="459">
        <f t="shared" ref="C294:N294" si="203">C146</f>
        <v>3303.6147814046271</v>
      </c>
      <c r="D294" s="459">
        <f t="shared" si="203"/>
        <v>3232.8206894187097</v>
      </c>
      <c r="E294" s="459">
        <f t="shared" si="203"/>
        <v>3162.5441441025841</v>
      </c>
      <c r="F294" s="459">
        <f t="shared" si="203"/>
        <v>3132.2980579532409</v>
      </c>
      <c r="G294" s="459">
        <f t="shared" si="203"/>
        <v>3144.5305343256227</v>
      </c>
      <c r="H294" s="459">
        <f t="shared" si="203"/>
        <v>3196.1090151706044</v>
      </c>
      <c r="I294" s="459">
        <f t="shared" si="203"/>
        <v>3292.1024766291162</v>
      </c>
      <c r="J294" s="459">
        <f t="shared" si="203"/>
        <v>3389.5477060029475</v>
      </c>
      <c r="K294" s="459">
        <f t="shared" si="203"/>
        <v>3492.6231122276813</v>
      </c>
      <c r="L294" s="459">
        <f t="shared" si="203"/>
        <v>3566.6605970307496</v>
      </c>
      <c r="M294" s="459">
        <f t="shared" si="203"/>
        <v>3627.6399616851936</v>
      </c>
      <c r="N294" s="459">
        <f t="shared" si="203"/>
        <v>3686.2990268537769</v>
      </c>
    </row>
    <row r="295" spans="1:14" s="5" customFormat="1">
      <c r="A295" s="884"/>
      <c r="B295" s="195" t="str">
        <f t="shared" si="193"/>
        <v>Geography</v>
      </c>
      <c r="C295" s="459">
        <f t="shared" ref="C295:N295" si="204">C147</f>
        <v>23446.383397881724</v>
      </c>
      <c r="D295" s="459">
        <f t="shared" si="204"/>
        <v>22943.94424173381</v>
      </c>
      <c r="E295" s="459">
        <f t="shared" si="204"/>
        <v>22445.178212887098</v>
      </c>
      <c r="F295" s="459">
        <f t="shared" si="204"/>
        <v>22230.515978011957</v>
      </c>
      <c r="G295" s="459">
        <f t="shared" si="204"/>
        <v>22317.332192949234</v>
      </c>
      <c r="H295" s="459">
        <f t="shared" si="204"/>
        <v>22683.394496514044</v>
      </c>
      <c r="I295" s="459">
        <f t="shared" si="204"/>
        <v>23364.678377950459</v>
      </c>
      <c r="J295" s="459">
        <f t="shared" si="204"/>
        <v>24056.265732824188</v>
      </c>
      <c r="K295" s="459">
        <f t="shared" si="204"/>
        <v>24787.811525281857</v>
      </c>
      <c r="L295" s="459">
        <f t="shared" si="204"/>
        <v>25313.269658075867</v>
      </c>
      <c r="M295" s="459">
        <f t="shared" si="204"/>
        <v>25746.051824778559</v>
      </c>
      <c r="N295" s="459">
        <f t="shared" si="204"/>
        <v>26162.366384044202</v>
      </c>
    </row>
    <row r="296" spans="1:14" s="5" customFormat="1">
      <c r="A296" s="884"/>
      <c r="B296" s="195" t="str">
        <f t="shared" si="193"/>
        <v>History</v>
      </c>
      <c r="C296" s="459">
        <f t="shared" ref="C296:N296" si="205">C148</f>
        <v>30081.085858955408</v>
      </c>
      <c r="D296" s="459">
        <f t="shared" si="205"/>
        <v>29436.469794357916</v>
      </c>
      <c r="E296" s="459">
        <f t="shared" si="205"/>
        <v>28796.566254325226</v>
      </c>
      <c r="F296" s="459">
        <f t="shared" si="205"/>
        <v>28521.160320353432</v>
      </c>
      <c r="G296" s="459">
        <f t="shared" si="205"/>
        <v>28632.543213448735</v>
      </c>
      <c r="H296" s="459">
        <f t="shared" si="205"/>
        <v>29102.191405939477</v>
      </c>
      <c r="I296" s="459">
        <f t="shared" si="205"/>
        <v>29976.260493015085</v>
      </c>
      <c r="J296" s="459">
        <f t="shared" si="205"/>
        <v>30863.548662277215</v>
      </c>
      <c r="K296" s="459">
        <f t="shared" si="205"/>
        <v>31802.102443440104</v>
      </c>
      <c r="L296" s="459">
        <f t="shared" si="205"/>
        <v>32476.251242409719</v>
      </c>
      <c r="M296" s="459">
        <f t="shared" si="205"/>
        <v>33031.499243514423</v>
      </c>
      <c r="N296" s="459">
        <f t="shared" si="205"/>
        <v>33565.619742573333</v>
      </c>
    </row>
    <row r="297" spans="1:14" s="5" customFormat="1">
      <c r="A297" s="884"/>
      <c r="B297" s="195" t="str">
        <f t="shared" si="193"/>
        <v>Mathematics</v>
      </c>
      <c r="C297" s="528">
        <f>C149+(C149*0.0135)</f>
        <v>65683.842109377991</v>
      </c>
      <c r="D297" s="528">
        <f t="shared" ref="D297:N297" si="206">D149+(D149*(0.0135*2))</f>
        <v>65132.456075384391</v>
      </c>
      <c r="E297" s="388">
        <f t="shared" si="206"/>
        <v>63716.576742542296</v>
      </c>
      <c r="F297" s="388">
        <f t="shared" si="206"/>
        <v>63107.201195045222</v>
      </c>
      <c r="G297" s="388">
        <f t="shared" si="206"/>
        <v>63353.651990359998</v>
      </c>
      <c r="H297" s="388">
        <f t="shared" si="206"/>
        <v>64392.816689183703</v>
      </c>
      <c r="I297" s="388">
        <f t="shared" si="206"/>
        <v>66326.821235874115</v>
      </c>
      <c r="J297" s="388">
        <f t="shared" si="206"/>
        <v>68290.074917935912</v>
      </c>
      <c r="K297" s="388">
        <f t="shared" si="206"/>
        <v>70366.761196998312</v>
      </c>
      <c r="L297" s="388">
        <f t="shared" si="206"/>
        <v>71858.413128901433</v>
      </c>
      <c r="M297" s="388">
        <f t="shared" si="206"/>
        <v>73086.979811507816</v>
      </c>
      <c r="N297" s="388">
        <f t="shared" si="206"/>
        <v>74268.798833521927</v>
      </c>
    </row>
    <row r="298" spans="1:14" s="5" customFormat="1">
      <c r="A298" s="884"/>
      <c r="B298" s="195" t="str">
        <f t="shared" si="193"/>
        <v>Modern Foreign Languages</v>
      </c>
      <c r="C298" s="459">
        <f t="shared" ref="C298:N298" si="207">C150</f>
        <v>25901.573751184635</v>
      </c>
      <c r="D298" s="459">
        <f t="shared" si="207"/>
        <v>25346.521629174895</v>
      </c>
      <c r="E298" s="459">
        <f t="shared" si="207"/>
        <v>24795.527266354497</v>
      </c>
      <c r="F298" s="459">
        <f t="shared" si="207"/>
        <v>24558.386654352267</v>
      </c>
      <c r="G298" s="459">
        <f t="shared" si="207"/>
        <v>24654.293837811521</v>
      </c>
      <c r="H298" s="459">
        <f t="shared" si="207"/>
        <v>25058.688391650005</v>
      </c>
      <c r="I298" s="459">
        <f t="shared" si="207"/>
        <v>25811.312982021282</v>
      </c>
      <c r="J298" s="459">
        <f t="shared" si="207"/>
        <v>26575.319975068531</v>
      </c>
      <c r="K298" s="459">
        <f t="shared" si="207"/>
        <v>27383.46965743801</v>
      </c>
      <c r="L298" s="459">
        <f t="shared" si="207"/>
        <v>27963.951190506923</v>
      </c>
      <c r="M298" s="459">
        <f t="shared" si="207"/>
        <v>28442.052184541677</v>
      </c>
      <c r="N298" s="459">
        <f t="shared" si="207"/>
        <v>28901.961164000113</v>
      </c>
    </row>
    <row r="299" spans="1:14" s="5" customFormat="1">
      <c r="A299" s="884"/>
      <c r="B299" s="195" t="str">
        <f t="shared" si="193"/>
        <v>Music</v>
      </c>
      <c r="C299" s="459">
        <f t="shared" ref="C299:N299" si="208">C151</f>
        <v>12422.80912271576</v>
      </c>
      <c r="D299" s="459">
        <f t="shared" si="208"/>
        <v>12156.597245741685</v>
      </c>
      <c r="E299" s="459">
        <f t="shared" si="208"/>
        <v>11892.331534987443</v>
      </c>
      <c r="F299" s="459">
        <f t="shared" si="208"/>
        <v>11778.595103894604</v>
      </c>
      <c r="G299" s="459">
        <f t="shared" si="208"/>
        <v>11824.593723324324</v>
      </c>
      <c r="H299" s="459">
        <f t="shared" si="208"/>
        <v>12018.547820510081</v>
      </c>
      <c r="I299" s="459">
        <f t="shared" si="208"/>
        <v>12379.518613908953</v>
      </c>
      <c r="J299" s="459">
        <f t="shared" si="208"/>
        <v>12745.948589717351</v>
      </c>
      <c r="K299" s="459">
        <f t="shared" si="208"/>
        <v>13133.5501054824</v>
      </c>
      <c r="L299" s="459">
        <f t="shared" si="208"/>
        <v>13411.958334798841</v>
      </c>
      <c r="M299" s="459">
        <f t="shared" si="208"/>
        <v>13641.263219796525</v>
      </c>
      <c r="N299" s="459">
        <f t="shared" si="208"/>
        <v>13861.842923582819</v>
      </c>
    </row>
    <row r="300" spans="1:14" s="5" customFormat="1">
      <c r="A300" s="884"/>
      <c r="B300" s="195" t="str">
        <f t="shared" si="193"/>
        <v>Others</v>
      </c>
      <c r="C300" s="459">
        <f t="shared" ref="C300:N300" si="209">C152</f>
        <v>131767.36324036348</v>
      </c>
      <c r="D300" s="459">
        <f t="shared" si="209"/>
        <v>128943.68328636661</v>
      </c>
      <c r="E300" s="459">
        <f t="shared" si="209"/>
        <v>126140.64610234888</v>
      </c>
      <c r="F300" s="459">
        <f t="shared" si="209"/>
        <v>124934.25634932044</v>
      </c>
      <c r="G300" s="459">
        <f t="shared" si="209"/>
        <v>125422.15862126858</v>
      </c>
      <c r="H300" s="459">
        <f t="shared" si="209"/>
        <v>127479.40829188457</v>
      </c>
      <c r="I300" s="459">
        <f t="shared" si="209"/>
        <v>131308.18559845831</v>
      </c>
      <c r="J300" s="459">
        <f t="shared" si="209"/>
        <v>135194.86784943275</v>
      </c>
      <c r="K300" s="459">
        <f t="shared" si="209"/>
        <v>139306.11428458392</v>
      </c>
      <c r="L300" s="459">
        <f t="shared" si="209"/>
        <v>142259.15959978284</v>
      </c>
      <c r="M300" s="459">
        <f t="shared" si="209"/>
        <v>144691.37116930861</v>
      </c>
      <c r="N300" s="459">
        <f t="shared" si="209"/>
        <v>147031.03570614135</v>
      </c>
    </row>
    <row r="301" spans="1:14" s="5" customFormat="1">
      <c r="A301" s="884"/>
      <c r="B301" s="195" t="str">
        <f t="shared" si="193"/>
        <v>Physical Education</v>
      </c>
      <c r="C301" s="459">
        <f t="shared" ref="C301:N301" si="210">C153</f>
        <v>31433.002593370202</v>
      </c>
      <c r="D301" s="459">
        <f t="shared" si="210"/>
        <v>30759.415924151315</v>
      </c>
      <c r="E301" s="459">
        <f t="shared" si="210"/>
        <v>30090.753571746034</v>
      </c>
      <c r="F301" s="459">
        <f t="shared" si="210"/>
        <v>29802.970229171395</v>
      </c>
      <c r="G301" s="459">
        <f t="shared" si="210"/>
        <v>29919.358938805675</v>
      </c>
      <c r="H301" s="459">
        <f t="shared" si="210"/>
        <v>30410.1142566739</v>
      </c>
      <c r="I301" s="459">
        <f t="shared" si="210"/>
        <v>31323.466122017315</v>
      </c>
      <c r="J301" s="459">
        <f t="shared" si="210"/>
        <v>32250.631167064388</v>
      </c>
      <c r="K301" s="459">
        <f t="shared" si="210"/>
        <v>33231.365824571025</v>
      </c>
      <c r="L301" s="459">
        <f t="shared" si="210"/>
        <v>33935.81250065472</v>
      </c>
      <c r="M301" s="459">
        <f t="shared" si="210"/>
        <v>34516.014689515927</v>
      </c>
      <c r="N301" s="459">
        <f t="shared" si="210"/>
        <v>35074.139855303205</v>
      </c>
    </row>
    <row r="302" spans="1:14" s="5" customFormat="1">
      <c r="A302" s="884"/>
      <c r="B302" s="195" t="str">
        <f t="shared" si="193"/>
        <v>Physics</v>
      </c>
      <c r="C302" s="459">
        <f t="shared" ref="C302:N302" si="211">C154</f>
        <v>26679.372212983228</v>
      </c>
      <c r="D302" s="459">
        <f t="shared" si="211"/>
        <v>26107.652428581063</v>
      </c>
      <c r="E302" s="459">
        <f t="shared" si="211"/>
        <v>25540.11225383517</v>
      </c>
      <c r="F302" s="459">
        <f t="shared" si="211"/>
        <v>25295.850545446399</v>
      </c>
      <c r="G302" s="459">
        <f t="shared" si="211"/>
        <v>25394.637726101442</v>
      </c>
      <c r="H302" s="459">
        <f t="shared" si="211"/>
        <v>25811.175845615006</v>
      </c>
      <c r="I302" s="459">
        <f t="shared" si="211"/>
        <v>26586.40100282156</v>
      </c>
      <c r="J302" s="459">
        <f t="shared" si="211"/>
        <v>27373.350364919585</v>
      </c>
      <c r="K302" s="459">
        <f t="shared" si="211"/>
        <v>28205.767977334093</v>
      </c>
      <c r="L302" s="459">
        <f t="shared" si="211"/>
        <v>28803.680792681862</v>
      </c>
      <c r="M302" s="459">
        <f t="shared" si="211"/>
        <v>29296.138683379224</v>
      </c>
      <c r="N302" s="459">
        <f t="shared" si="211"/>
        <v>29769.85827142177</v>
      </c>
    </row>
    <row r="303" spans="1:14" s="5" customFormat="1">
      <c r="A303" s="884"/>
      <c r="B303" s="195" t="str">
        <f t="shared" si="193"/>
        <v>Religious Education</v>
      </c>
      <c r="C303" s="459">
        <f t="shared" ref="C303:N303" si="212">C155</f>
        <v>16837.660109222001</v>
      </c>
      <c r="D303" s="459">
        <f t="shared" si="212"/>
        <v>16476.841146518047</v>
      </c>
      <c r="E303" s="459">
        <f t="shared" si="212"/>
        <v>16118.659983767542</v>
      </c>
      <c r="F303" s="459">
        <f t="shared" si="212"/>
        <v>15964.50359692623</v>
      </c>
      <c r="G303" s="459">
        <f t="shared" si="212"/>
        <v>16026.849328217781</v>
      </c>
      <c r="H303" s="459">
        <f t="shared" si="212"/>
        <v>16289.731348938298</v>
      </c>
      <c r="I303" s="459">
        <f t="shared" si="212"/>
        <v>16778.984904117911</v>
      </c>
      <c r="J303" s="459">
        <f t="shared" si="212"/>
        <v>17275.637740488903</v>
      </c>
      <c r="K303" s="459">
        <f t="shared" si="212"/>
        <v>17800.986115063657</v>
      </c>
      <c r="L303" s="459">
        <f t="shared" si="212"/>
        <v>18178.335802282854</v>
      </c>
      <c r="M303" s="459">
        <f t="shared" si="212"/>
        <v>18489.13166792288</v>
      </c>
      <c r="N303" s="459">
        <f t="shared" si="212"/>
        <v>18788.101574218483</v>
      </c>
    </row>
    <row r="304" spans="1:14" s="5" customFormat="1">
      <c r="A304" s="884"/>
      <c r="B304" s="141" t="s">
        <v>373</v>
      </c>
      <c r="C304" s="528">
        <f>SUM(C285:C303)</f>
        <v>620688.92036148068</v>
      </c>
      <c r="D304" s="528">
        <f t="shared" ref="D304:N304" si="213">SUM(D285:D303)</f>
        <v>608244.17412593099</v>
      </c>
      <c r="E304" s="528">
        <f t="shared" si="213"/>
        <v>595021.88208661717</v>
      </c>
      <c r="F304" s="528">
        <f t="shared" si="213"/>
        <v>589331.18425402034</v>
      </c>
      <c r="G304" s="528">
        <f t="shared" si="213"/>
        <v>591632.68291523191</v>
      </c>
      <c r="H304" s="528">
        <f t="shared" si="213"/>
        <v>601336.9979695467</v>
      </c>
      <c r="I304" s="528">
        <f t="shared" si="213"/>
        <v>619397.83996967017</v>
      </c>
      <c r="J304" s="528">
        <f t="shared" si="213"/>
        <v>637731.82714594493</v>
      </c>
      <c r="K304" s="528">
        <f t="shared" si="213"/>
        <v>657125.11287226551</v>
      </c>
      <c r="L304" s="528">
        <f t="shared" si="213"/>
        <v>671055.01283417805</v>
      </c>
      <c r="M304" s="528">
        <f t="shared" si="213"/>
        <v>682528.0720775706</v>
      </c>
      <c r="N304" s="528">
        <f t="shared" si="213"/>
        <v>693564.57489544863</v>
      </c>
    </row>
    <row r="305" spans="1:28">
      <c r="A305" s="10">
        <f>O305</f>
        <v>0</v>
      </c>
      <c r="B305" s="12"/>
      <c r="C305" s="10">
        <f t="shared" ref="C305:N305" si="214">SUM(C285:C303)-C304</f>
        <v>0</v>
      </c>
      <c r="D305" s="10">
        <f t="shared" si="214"/>
        <v>0</v>
      </c>
      <c r="E305" s="10">
        <f t="shared" si="214"/>
        <v>0</v>
      </c>
      <c r="F305" s="10">
        <f t="shared" si="214"/>
        <v>0</v>
      </c>
      <c r="G305" s="10">
        <f t="shared" si="214"/>
        <v>0</v>
      </c>
      <c r="H305" s="10">
        <f t="shared" si="214"/>
        <v>0</v>
      </c>
      <c r="I305" s="10">
        <f t="shared" si="214"/>
        <v>0</v>
      </c>
      <c r="J305" s="10">
        <f t="shared" si="214"/>
        <v>0</v>
      </c>
      <c r="K305" s="10">
        <f t="shared" si="214"/>
        <v>0</v>
      </c>
      <c r="L305" s="10">
        <f t="shared" si="214"/>
        <v>0</v>
      </c>
      <c r="M305" s="10">
        <f t="shared" si="214"/>
        <v>0</v>
      </c>
      <c r="N305" s="10">
        <f t="shared" si="214"/>
        <v>0</v>
      </c>
      <c r="O305" s="10">
        <f>SUM(C305:N305)</f>
        <v>0</v>
      </c>
    </row>
    <row r="306" spans="1:28">
      <c r="A306" s="883"/>
      <c r="B306" s="12"/>
      <c r="C306" s="10"/>
      <c r="D306" s="10"/>
      <c r="E306" s="10"/>
      <c r="F306" s="10"/>
      <c r="G306" s="10"/>
      <c r="H306" s="10"/>
      <c r="I306" s="10"/>
      <c r="J306" s="10"/>
      <c r="K306" s="10"/>
      <c r="L306" s="10"/>
      <c r="M306" s="10"/>
      <c r="N306" s="10"/>
      <c r="O306" s="10"/>
    </row>
    <row r="307" spans="1:28">
      <c r="A307" s="883"/>
      <c r="B307" s="76" t="s">
        <v>1746</v>
      </c>
      <c r="D307" s="12"/>
      <c r="E307" s="12"/>
      <c r="F307" s="12"/>
    </row>
    <row r="308" spans="1:28">
      <c r="A308" s="883"/>
      <c r="B308" s="12"/>
      <c r="D308" s="12"/>
      <c r="E308" s="12"/>
      <c r="F308" s="12"/>
    </row>
    <row r="309" spans="1:28">
      <c r="A309" s="883"/>
      <c r="B309" s="142" t="s">
        <v>62</v>
      </c>
      <c r="C309" s="8" t="str">
        <f>C284</f>
        <v>2016/17</v>
      </c>
      <c r="D309" s="8" t="str">
        <f t="shared" ref="D309:N309" si="215">D284</f>
        <v>2017/18</v>
      </c>
      <c r="E309" s="8" t="str">
        <f t="shared" si="215"/>
        <v>2018/19</v>
      </c>
      <c r="F309" s="8" t="str">
        <f t="shared" si="215"/>
        <v>2019/20</v>
      </c>
      <c r="G309" s="8" t="str">
        <f t="shared" si="215"/>
        <v>2020/21</v>
      </c>
      <c r="H309" s="8" t="str">
        <f t="shared" si="215"/>
        <v>2021/22</v>
      </c>
      <c r="I309" s="8" t="str">
        <f t="shared" si="215"/>
        <v>2022/23</v>
      </c>
      <c r="J309" s="8" t="str">
        <f t="shared" si="215"/>
        <v>2023/24</v>
      </c>
      <c r="K309" s="8" t="str">
        <f t="shared" si="215"/>
        <v>2024/25</v>
      </c>
      <c r="L309" s="8" t="str">
        <f t="shared" si="215"/>
        <v>2025/26</v>
      </c>
      <c r="M309" s="8" t="str">
        <f t="shared" si="215"/>
        <v>2026/27</v>
      </c>
      <c r="N309" s="8" t="str">
        <f t="shared" si="215"/>
        <v>2027/28</v>
      </c>
      <c r="Q309" s="262" t="s">
        <v>461</v>
      </c>
    </row>
    <row r="310" spans="1:28" s="5" customFormat="1">
      <c r="A310" s="884"/>
      <c r="B310" s="195" t="str">
        <f t="shared" ref="B310:B329" si="216">B285</f>
        <v>Art &amp; Design</v>
      </c>
      <c r="C310" s="529">
        <f t="shared" ref="C310:N310" si="217">(C285/((SUM(C$285:C$303))-C$286-C$288-C$293-C$297-C$302))*(C$156-C$311-C$313-C$318-C$322-C$327)</f>
        <v>28969.561315032392</v>
      </c>
      <c r="D310" s="529">
        <f t="shared" si="217"/>
        <v>28287.429502270945</v>
      </c>
      <c r="E310" s="529">
        <f t="shared" si="217"/>
        <v>27672.504329402625</v>
      </c>
      <c r="F310" s="529">
        <f t="shared" si="217"/>
        <v>27407.848750926052</v>
      </c>
      <c r="G310" s="529">
        <f t="shared" si="217"/>
        <v>27514.883859354588</v>
      </c>
      <c r="H310" s="529">
        <f t="shared" si="217"/>
        <v>27966.19953099456</v>
      </c>
      <c r="I310" s="529">
        <f t="shared" si="217"/>
        <v>28806.149696673227</v>
      </c>
      <c r="J310" s="529">
        <f t="shared" si="217"/>
        <v>29658.802943191669</v>
      </c>
      <c r="K310" s="529">
        <f t="shared" si="217"/>
        <v>30560.720669882656</v>
      </c>
      <c r="L310" s="529">
        <f t="shared" si="217"/>
        <v>31208.554352321997</v>
      </c>
      <c r="M310" s="529">
        <f t="shared" si="217"/>
        <v>31742.128479832932</v>
      </c>
      <c r="N310" s="529">
        <f t="shared" si="217"/>
        <v>32255.399808507762</v>
      </c>
    </row>
    <row r="311" spans="1:28" s="5" customFormat="1">
      <c r="A311" s="884"/>
      <c r="B311" s="195" t="str">
        <f t="shared" si="216"/>
        <v>Biology</v>
      </c>
      <c r="C311" s="388">
        <f>C286</f>
        <v>38872.518022446966</v>
      </c>
      <c r="D311" s="388">
        <f t="shared" ref="D311:N311" si="218">D286</f>
        <v>38039.507880920944</v>
      </c>
      <c r="E311" s="388">
        <f t="shared" si="218"/>
        <v>37212.587536051047</v>
      </c>
      <c r="F311" s="388">
        <f t="shared" si="218"/>
        <v>36856.69206798169</v>
      </c>
      <c r="G311" s="388">
        <f t="shared" si="218"/>
        <v>37000.627481069532</v>
      </c>
      <c r="H311" s="388">
        <f t="shared" si="218"/>
        <v>37607.534024018372</v>
      </c>
      <c r="I311" s="388">
        <f t="shared" si="218"/>
        <v>38737.056625015008</v>
      </c>
      <c r="J311" s="388">
        <f t="shared" si="218"/>
        <v>39883.661688158958</v>
      </c>
      <c r="K311" s="388">
        <f t="shared" si="218"/>
        <v>41096.515138475101</v>
      </c>
      <c r="L311" s="388">
        <f t="shared" si="218"/>
        <v>41967.689186534124</v>
      </c>
      <c r="M311" s="388">
        <f t="shared" si="218"/>
        <v>42685.212750379964</v>
      </c>
      <c r="N311" s="388">
        <f t="shared" si="218"/>
        <v>43375.434134780036</v>
      </c>
      <c r="P311" s="5" t="s">
        <v>7</v>
      </c>
      <c r="Q311" s="533">
        <f>C311/C$329</f>
        <v>6.2716424649214703E-2</v>
      </c>
      <c r="R311" s="533">
        <f t="shared" ref="R311:AB311" si="219">D311/D$329</f>
        <v>6.271642464921473E-2</v>
      </c>
      <c r="S311" s="533">
        <f t="shared" si="219"/>
        <v>6.2716424649214744E-2</v>
      </c>
      <c r="T311" s="533">
        <f t="shared" si="219"/>
        <v>6.271642464921473E-2</v>
      </c>
      <c r="U311" s="533">
        <f t="shared" si="219"/>
        <v>6.2716424649214758E-2</v>
      </c>
      <c r="V311" s="533">
        <f t="shared" si="219"/>
        <v>6.2716424649214758E-2</v>
      </c>
      <c r="W311" s="533">
        <f t="shared" si="219"/>
        <v>6.2716424649214744E-2</v>
      </c>
      <c r="X311" s="533">
        <f t="shared" si="219"/>
        <v>6.271642464921473E-2</v>
      </c>
      <c r="Y311" s="533">
        <f t="shared" si="219"/>
        <v>6.2716424649214744E-2</v>
      </c>
      <c r="Z311" s="533">
        <f t="shared" si="219"/>
        <v>6.2716424649214744E-2</v>
      </c>
      <c r="AA311" s="533">
        <f t="shared" si="219"/>
        <v>6.271642464921473E-2</v>
      </c>
      <c r="AB311" s="533">
        <f t="shared" si="219"/>
        <v>6.271642464921473E-2</v>
      </c>
    </row>
    <row r="312" spans="1:28" s="5" customFormat="1">
      <c r="A312" s="884"/>
      <c r="B312" s="195" t="str">
        <f t="shared" si="216"/>
        <v>Business Studies</v>
      </c>
      <c r="C312" s="529">
        <f t="shared" ref="C312:N312" si="220">(C287/((SUM(C$285:C$303))-C$286-C$288-C$293-C$297-C$302))*(C$156-C$311-C$313-C$318-C$322-C$327)</f>
        <v>37355.175296379515</v>
      </c>
      <c r="D312" s="529">
        <f t="shared" si="220"/>
        <v>36475.591613221746</v>
      </c>
      <c r="E312" s="529">
        <f t="shared" si="220"/>
        <v>35682.668400582937</v>
      </c>
      <c r="F312" s="529">
        <f t="shared" si="220"/>
        <v>35341.404843995115</v>
      </c>
      <c r="G312" s="529">
        <f t="shared" si="220"/>
        <v>35479.422648087297</v>
      </c>
      <c r="H312" s="529">
        <f t="shared" si="220"/>
        <v>36061.377474561195</v>
      </c>
      <c r="I312" s="529">
        <f t="shared" si="220"/>
        <v>37144.462072838091</v>
      </c>
      <c r="J312" s="529">
        <f t="shared" si="220"/>
        <v>38243.926822903042</v>
      </c>
      <c r="K312" s="529">
        <f t="shared" si="220"/>
        <v>39406.916293716029</v>
      </c>
      <c r="L312" s="529">
        <f t="shared" si="220"/>
        <v>40242.273809394501</v>
      </c>
      <c r="M312" s="529">
        <f t="shared" si="220"/>
        <v>40930.29786505879</v>
      </c>
      <c r="N312" s="529">
        <f t="shared" si="220"/>
        <v>41592.142214331157</v>
      </c>
      <c r="Q312" s="534">
        <f t="shared" ref="Q312:AB312" si="221">C138/C$156</f>
        <v>6.271642464921473E-2</v>
      </c>
      <c r="R312" s="534">
        <f t="shared" si="221"/>
        <v>6.2716424649214744E-2</v>
      </c>
      <c r="S312" s="534">
        <f t="shared" si="221"/>
        <v>6.2716424649214744E-2</v>
      </c>
      <c r="T312" s="534">
        <f t="shared" si="221"/>
        <v>6.271642464921473E-2</v>
      </c>
      <c r="U312" s="534">
        <f t="shared" si="221"/>
        <v>6.2716424649214744E-2</v>
      </c>
      <c r="V312" s="534">
        <f t="shared" si="221"/>
        <v>6.271642464921473E-2</v>
      </c>
      <c r="W312" s="534">
        <f t="shared" si="221"/>
        <v>6.2716424649214744E-2</v>
      </c>
      <c r="X312" s="534">
        <f t="shared" si="221"/>
        <v>6.271642464921473E-2</v>
      </c>
      <c r="Y312" s="534">
        <f t="shared" si="221"/>
        <v>6.2716424649214744E-2</v>
      </c>
      <c r="Z312" s="534">
        <f t="shared" si="221"/>
        <v>6.271642464921473E-2</v>
      </c>
      <c r="AA312" s="534">
        <f t="shared" si="221"/>
        <v>6.271642464921473E-2</v>
      </c>
      <c r="AB312" s="534">
        <f t="shared" si="221"/>
        <v>6.271642464921473E-2</v>
      </c>
    </row>
    <row r="313" spans="1:28" s="5" customFormat="1">
      <c r="A313" s="884"/>
      <c r="B313" s="195" t="str">
        <f t="shared" si="216"/>
        <v>Chemistry</v>
      </c>
      <c r="C313" s="388">
        <f>C288</f>
        <v>32403.189388219624</v>
      </c>
      <c r="D313" s="388">
        <f t="shared" ref="D313:N313" si="222">D288</f>
        <v>31708.812312811522</v>
      </c>
      <c r="E313" s="388">
        <f t="shared" si="222"/>
        <v>31019.511544378711</v>
      </c>
      <c r="F313" s="388">
        <f t="shared" si="222"/>
        <v>30722.8457032927</v>
      </c>
      <c r="G313" s="388">
        <f t="shared" si="222"/>
        <v>30842.82677699787</v>
      </c>
      <c r="H313" s="388">
        <f t="shared" si="222"/>
        <v>31348.72936969241</v>
      </c>
      <c r="I313" s="388">
        <f t="shared" si="222"/>
        <v>32290.272048693383</v>
      </c>
      <c r="J313" s="388">
        <f t="shared" si="222"/>
        <v>33246.054254340321</v>
      </c>
      <c r="K313" s="388">
        <f t="shared" si="222"/>
        <v>34257.059510754523</v>
      </c>
      <c r="L313" s="388">
        <f t="shared" si="222"/>
        <v>34983.24909417842</v>
      </c>
      <c r="M313" s="388">
        <f t="shared" si="222"/>
        <v>35581.359355941786</v>
      </c>
      <c r="N313" s="388">
        <f t="shared" si="222"/>
        <v>36156.711182278319</v>
      </c>
      <c r="P313" s="5" t="s">
        <v>3</v>
      </c>
      <c r="Q313" s="533">
        <f>C313/C$329</f>
        <v>5.2278892365218203E-2</v>
      </c>
      <c r="R313" s="533">
        <f t="shared" ref="R313:AB313" si="223">D313/D$329</f>
        <v>5.2278892365218217E-2</v>
      </c>
      <c r="S313" s="533">
        <f t="shared" si="223"/>
        <v>5.2278892365218231E-2</v>
      </c>
      <c r="T313" s="533">
        <f t="shared" si="223"/>
        <v>5.2278892365218224E-2</v>
      </c>
      <c r="U313" s="533">
        <f t="shared" si="223"/>
        <v>5.2278892365218238E-2</v>
      </c>
      <c r="V313" s="533">
        <f t="shared" si="223"/>
        <v>5.2278892365218252E-2</v>
      </c>
      <c r="W313" s="533">
        <f t="shared" si="223"/>
        <v>5.2278892365218238E-2</v>
      </c>
      <c r="X313" s="533">
        <f t="shared" si="223"/>
        <v>5.2278892365218217E-2</v>
      </c>
      <c r="Y313" s="533">
        <f t="shared" si="223"/>
        <v>5.2278892365218231E-2</v>
      </c>
      <c r="Z313" s="533">
        <f t="shared" si="223"/>
        <v>5.2278892365218238E-2</v>
      </c>
      <c r="AA313" s="533">
        <f t="shared" si="223"/>
        <v>5.2278892365218224E-2</v>
      </c>
      <c r="AB313" s="533">
        <f t="shared" si="223"/>
        <v>5.2278892365218217E-2</v>
      </c>
    </row>
    <row r="314" spans="1:28" s="5" customFormat="1">
      <c r="A314" s="884"/>
      <c r="B314" s="195" t="str">
        <f t="shared" si="216"/>
        <v>Classics</v>
      </c>
      <c r="C314" s="529">
        <f t="shared" ref="C314:N314" si="224">(C289/((SUM(C$285:C$303))-C$286-C$288-C$293-C$297-C$302))*(C$156-C$311-C$313-C$318-C$322-C$327)</f>
        <v>2121.7735577901667</v>
      </c>
      <c r="D314" s="529">
        <f t="shared" si="224"/>
        <v>2071.8132139828999</v>
      </c>
      <c r="E314" s="529">
        <f t="shared" si="224"/>
        <v>2026.7751839753651</v>
      </c>
      <c r="F314" s="529">
        <f t="shared" si="224"/>
        <v>2007.3914176067019</v>
      </c>
      <c r="G314" s="529">
        <f t="shared" si="224"/>
        <v>2015.2308274047723</v>
      </c>
      <c r="H314" s="529">
        <f t="shared" si="224"/>
        <v>2048.2858553317956</v>
      </c>
      <c r="I314" s="529">
        <f t="shared" si="224"/>
        <v>2109.8050489439433</v>
      </c>
      <c r="J314" s="529">
        <f t="shared" si="224"/>
        <v>2172.2546350026732</v>
      </c>
      <c r="K314" s="529">
        <f t="shared" si="224"/>
        <v>2238.312424521293</v>
      </c>
      <c r="L314" s="529">
        <f t="shared" si="224"/>
        <v>2285.7607224881785</v>
      </c>
      <c r="M314" s="529">
        <f t="shared" si="224"/>
        <v>2324.840481500139</v>
      </c>
      <c r="N314" s="529">
        <f t="shared" si="224"/>
        <v>2362.4332334687015</v>
      </c>
      <c r="Q314" s="534">
        <f t="shared" ref="Q314:AB314" si="225">C140/C$156</f>
        <v>5.2278892365218217E-2</v>
      </c>
      <c r="R314" s="534">
        <f t="shared" si="225"/>
        <v>5.2278892365218224E-2</v>
      </c>
      <c r="S314" s="534">
        <f t="shared" si="225"/>
        <v>5.2278892365218231E-2</v>
      </c>
      <c r="T314" s="534">
        <f t="shared" si="225"/>
        <v>5.2278892365218224E-2</v>
      </c>
      <c r="U314" s="534">
        <f t="shared" si="225"/>
        <v>5.2278892365218224E-2</v>
      </c>
      <c r="V314" s="534">
        <f t="shared" si="225"/>
        <v>5.2278892365218231E-2</v>
      </c>
      <c r="W314" s="534">
        <f t="shared" si="225"/>
        <v>5.2278892365218231E-2</v>
      </c>
      <c r="X314" s="534">
        <f t="shared" si="225"/>
        <v>5.2278892365218217E-2</v>
      </c>
      <c r="Y314" s="534">
        <f t="shared" si="225"/>
        <v>5.2278892365218231E-2</v>
      </c>
      <c r="Z314" s="534">
        <f t="shared" si="225"/>
        <v>5.2278892365218231E-2</v>
      </c>
      <c r="AA314" s="534">
        <f t="shared" si="225"/>
        <v>5.2278892365218224E-2</v>
      </c>
      <c r="AB314" s="534">
        <f t="shared" si="225"/>
        <v>5.2278892365218224E-2</v>
      </c>
    </row>
    <row r="315" spans="1:28" s="5" customFormat="1">
      <c r="A315" s="884"/>
      <c r="B315" s="195" t="str">
        <f t="shared" si="216"/>
        <v>Computing</v>
      </c>
      <c r="C315" s="529">
        <f t="shared" ref="C315:N315" si="226">(C290/((SUM(C$285:C$303))-C$286-C$288-C$293-C$297-C$302))*(C$156-C$311-C$313-C$318-C$322-C$327)</f>
        <v>25142.354904959382</v>
      </c>
      <c r="D315" s="529">
        <f t="shared" si="226"/>
        <v>24550.340412854792</v>
      </c>
      <c r="E315" s="529">
        <f t="shared" si="226"/>
        <v>24016.653804068414</v>
      </c>
      <c r="F315" s="529">
        <f t="shared" si="226"/>
        <v>23786.962218156048</v>
      </c>
      <c r="G315" s="529">
        <f t="shared" si="226"/>
        <v>23879.856779248505</v>
      </c>
      <c r="H315" s="529">
        <f t="shared" si="226"/>
        <v>24271.548550730538</v>
      </c>
      <c r="I315" s="529">
        <f t="shared" si="226"/>
        <v>25000.531807961092</v>
      </c>
      <c r="J315" s="529">
        <f t="shared" si="226"/>
        <v>25740.539925505778</v>
      </c>
      <c r="K315" s="529">
        <f t="shared" si="226"/>
        <v>26523.304128696251</v>
      </c>
      <c r="L315" s="529">
        <f t="shared" si="226"/>
        <v>27085.551661068261</v>
      </c>
      <c r="M315" s="529">
        <f t="shared" si="226"/>
        <v>27548.634616867901</v>
      </c>
      <c r="N315" s="529">
        <f t="shared" si="226"/>
        <v>27994.097002982329</v>
      </c>
    </row>
    <row r="316" spans="1:28" s="5" customFormat="1">
      <c r="A316" s="884"/>
      <c r="B316" s="195" t="str">
        <f t="shared" si="216"/>
        <v>Design &amp; Technology</v>
      </c>
      <c r="C316" s="529">
        <f t="shared" ref="C316:N316" si="227">(C291/((SUM(C$285:C$303))-C$286-C$288-C$293-C$297-C$302))*(C$156-C$311-C$313-C$318-C$322-C$327)</f>
        <v>21244.286606115817</v>
      </c>
      <c r="D316" s="529">
        <f t="shared" si="227"/>
        <v>20744.05798422316</v>
      </c>
      <c r="E316" s="529">
        <f t="shared" si="227"/>
        <v>20293.114096199868</v>
      </c>
      <c r="F316" s="529">
        <f t="shared" si="227"/>
        <v>20099.033871790456</v>
      </c>
      <c r="G316" s="529">
        <f t="shared" si="227"/>
        <v>20177.526069019292</v>
      </c>
      <c r="H316" s="529">
        <f t="shared" si="227"/>
        <v>20508.489985727836</v>
      </c>
      <c r="I316" s="529">
        <f t="shared" si="227"/>
        <v>21124.451748506501</v>
      </c>
      <c r="J316" s="529">
        <f t="shared" si="227"/>
        <v>21749.729078311058</v>
      </c>
      <c r="K316" s="529">
        <f t="shared" si="227"/>
        <v>22411.133594333791</v>
      </c>
      <c r="L316" s="529">
        <f t="shared" si="227"/>
        <v>22886.210323082705</v>
      </c>
      <c r="M316" s="529">
        <f t="shared" si="227"/>
        <v>23277.496941722959</v>
      </c>
      <c r="N316" s="529">
        <f t="shared" si="227"/>
        <v>23653.894882116063</v>
      </c>
    </row>
    <row r="317" spans="1:28" s="5" customFormat="1">
      <c r="A317" s="884"/>
      <c r="B317" s="195" t="str">
        <f t="shared" si="216"/>
        <v>Drama</v>
      </c>
      <c r="C317" s="529">
        <f t="shared" ref="C317:N317" si="228">(C292/((SUM(C$285:C$303))-C$286-C$288-C$293-C$297-C$302))*(C$156-C$311-C$313-C$318-C$322-C$327)</f>
        <v>14952.336634421679</v>
      </c>
      <c r="D317" s="529">
        <f t="shared" si="228"/>
        <v>14600.261420629438</v>
      </c>
      <c r="E317" s="529">
        <f t="shared" si="228"/>
        <v>14282.874212389735</v>
      </c>
      <c r="F317" s="529">
        <f t="shared" si="228"/>
        <v>14146.274998527773</v>
      </c>
      <c r="G317" s="529">
        <f t="shared" si="228"/>
        <v>14201.520052310991</v>
      </c>
      <c r="H317" s="529">
        <f t="shared" si="228"/>
        <v>14434.461924552927</v>
      </c>
      <c r="I317" s="529">
        <f t="shared" si="228"/>
        <v>14867.993433600961</v>
      </c>
      <c r="J317" s="529">
        <f t="shared" si="228"/>
        <v>15308.081505205993</v>
      </c>
      <c r="K317" s="529">
        <f t="shared" si="228"/>
        <v>15773.596923937519</v>
      </c>
      <c r="L317" s="529">
        <f t="shared" si="228"/>
        <v>16107.969515831886</v>
      </c>
      <c r="M317" s="529">
        <f t="shared" si="228"/>
        <v>16383.36823130437</v>
      </c>
      <c r="N317" s="529">
        <f t="shared" si="228"/>
        <v>16648.287869116091</v>
      </c>
    </row>
    <row r="318" spans="1:28" s="5" customFormat="1">
      <c r="A318" s="884"/>
      <c r="B318" s="195" t="str">
        <f t="shared" si="216"/>
        <v>English</v>
      </c>
      <c r="C318" s="388">
        <f>C293</f>
        <v>51790.215709126744</v>
      </c>
      <c r="D318" s="388">
        <f t="shared" ref="D318:N318" si="229">D293</f>
        <v>50680.388584148357</v>
      </c>
      <c r="E318" s="388">
        <f t="shared" si="229"/>
        <v>49578.674951644607</v>
      </c>
      <c r="F318" s="388">
        <f t="shared" si="229"/>
        <v>49104.51212405086</v>
      </c>
      <c r="G318" s="388">
        <f t="shared" si="229"/>
        <v>49296.278607706408</v>
      </c>
      <c r="H318" s="388">
        <f t="shared" si="229"/>
        <v>50104.865814649129</v>
      </c>
      <c r="I318" s="388">
        <f t="shared" si="229"/>
        <v>51609.73923499637</v>
      </c>
      <c r="J318" s="388">
        <f t="shared" si="229"/>
        <v>53137.371777840941</v>
      </c>
      <c r="K318" s="388">
        <f t="shared" si="229"/>
        <v>54753.267660355152</v>
      </c>
      <c r="L318" s="388">
        <f t="shared" si="229"/>
        <v>55913.940911393751</v>
      </c>
      <c r="M318" s="388">
        <f t="shared" si="229"/>
        <v>56869.904199557874</v>
      </c>
      <c r="N318" s="388">
        <f t="shared" si="229"/>
        <v>57789.492541236432</v>
      </c>
      <c r="P318" s="5" t="s">
        <v>1</v>
      </c>
      <c r="Q318" s="533">
        <f>C318/C$329</f>
        <v>8.3557673295370449E-2</v>
      </c>
      <c r="R318" s="533">
        <f t="shared" ref="R318:AB318" si="230">D318/D$329</f>
        <v>8.3557673295370477E-2</v>
      </c>
      <c r="S318" s="533">
        <f t="shared" si="230"/>
        <v>8.3557673295370491E-2</v>
      </c>
      <c r="T318" s="533">
        <f t="shared" si="230"/>
        <v>8.3557673295370491E-2</v>
      </c>
      <c r="U318" s="533">
        <f t="shared" si="230"/>
        <v>8.3557673295370519E-2</v>
      </c>
      <c r="V318" s="533">
        <f t="shared" si="230"/>
        <v>8.3557673295370533E-2</v>
      </c>
      <c r="W318" s="533">
        <f t="shared" si="230"/>
        <v>8.3557673295370519E-2</v>
      </c>
      <c r="X318" s="533">
        <f t="shared" si="230"/>
        <v>8.3557673295370491E-2</v>
      </c>
      <c r="Y318" s="533">
        <f t="shared" si="230"/>
        <v>8.3557673295370491E-2</v>
      </c>
      <c r="Z318" s="533">
        <f t="shared" si="230"/>
        <v>8.3557673295370505E-2</v>
      </c>
      <c r="AA318" s="533">
        <f t="shared" si="230"/>
        <v>8.3557673295370491E-2</v>
      </c>
      <c r="AB318" s="533">
        <f t="shared" si="230"/>
        <v>8.3557673295370477E-2</v>
      </c>
    </row>
    <row r="319" spans="1:28" s="5" customFormat="1">
      <c r="A319" s="884"/>
      <c r="B319" s="195" t="str">
        <f t="shared" si="216"/>
        <v>Food</v>
      </c>
      <c r="C319" s="529">
        <f t="shared" ref="C319:N319" si="231">(C294/((SUM(C$285:C$303))-C$286-C$288-C$293-C$297-C$302))*(C$156-C$311-C$313-C$318-C$322-C$327)</f>
        <v>3296.4825659018115</v>
      </c>
      <c r="D319" s="529">
        <f t="shared" si="231"/>
        <v>3218.8619349242786</v>
      </c>
      <c r="E319" s="529">
        <f t="shared" si="231"/>
        <v>3148.8888314433261</v>
      </c>
      <c r="F319" s="529">
        <f t="shared" si="231"/>
        <v>3118.7733426056002</v>
      </c>
      <c r="G319" s="529">
        <f t="shared" si="231"/>
        <v>3130.9530012837927</v>
      </c>
      <c r="H319" s="529">
        <f t="shared" si="231"/>
        <v>3182.3087752667243</v>
      </c>
      <c r="I319" s="529">
        <f t="shared" si="231"/>
        <v>3277.8877537426342</v>
      </c>
      <c r="J319" s="529">
        <f t="shared" si="231"/>
        <v>3374.9122316538383</v>
      </c>
      <c r="K319" s="529">
        <f t="shared" si="231"/>
        <v>3477.5425762967111</v>
      </c>
      <c r="L319" s="529">
        <f t="shared" si="231"/>
        <v>3551.2603801854821</v>
      </c>
      <c r="M319" s="529">
        <f t="shared" si="231"/>
        <v>3611.9764466052848</v>
      </c>
      <c r="N319" s="529">
        <f t="shared" si="231"/>
        <v>3670.3822321867137</v>
      </c>
      <c r="Q319" s="534">
        <f t="shared" ref="Q319:AB319" si="232">C145/C$156</f>
        <v>8.3557673295370477E-2</v>
      </c>
      <c r="R319" s="534">
        <f t="shared" si="232"/>
        <v>8.3557673295370491E-2</v>
      </c>
      <c r="S319" s="534">
        <f t="shared" si="232"/>
        <v>8.3557673295370491E-2</v>
      </c>
      <c r="T319" s="534">
        <f t="shared" si="232"/>
        <v>8.3557673295370491E-2</v>
      </c>
      <c r="U319" s="534">
        <f t="shared" si="232"/>
        <v>8.3557673295370505E-2</v>
      </c>
      <c r="V319" s="534">
        <f t="shared" si="232"/>
        <v>8.3557673295370491E-2</v>
      </c>
      <c r="W319" s="534">
        <f t="shared" si="232"/>
        <v>8.3557673295370491E-2</v>
      </c>
      <c r="X319" s="534">
        <f t="shared" si="232"/>
        <v>8.3557673295370491E-2</v>
      </c>
      <c r="Y319" s="534">
        <f t="shared" si="232"/>
        <v>8.3557673295370491E-2</v>
      </c>
      <c r="Z319" s="534">
        <f t="shared" si="232"/>
        <v>8.3557673295370491E-2</v>
      </c>
      <c r="AA319" s="534">
        <f t="shared" si="232"/>
        <v>8.3557673295370491E-2</v>
      </c>
      <c r="AB319" s="534">
        <f t="shared" si="232"/>
        <v>8.3557673295370491E-2</v>
      </c>
    </row>
    <row r="320" spans="1:28" s="5" customFormat="1">
      <c r="A320" s="884"/>
      <c r="B320" s="195" t="str">
        <f t="shared" si="216"/>
        <v>Geography</v>
      </c>
      <c r="C320" s="529">
        <f t="shared" ref="C320:N320" si="233">(C295/((SUM(C$285:C$303))-C$286-C$288-C$293-C$297-C$302))*(C$156-C$311-C$313-C$318-C$322-C$327)</f>
        <v>23395.764705866961</v>
      </c>
      <c r="D320" s="529">
        <f t="shared" si="233"/>
        <v>22844.87630213155</v>
      </c>
      <c r="E320" s="529">
        <f t="shared" si="233"/>
        <v>22348.263857790655</v>
      </c>
      <c r="F320" s="529">
        <f t="shared" si="233"/>
        <v>22134.528496913092</v>
      </c>
      <c r="G320" s="529">
        <f t="shared" si="233"/>
        <v>22220.96985461365</v>
      </c>
      <c r="H320" s="529">
        <f t="shared" si="233"/>
        <v>22585.451565155821</v>
      </c>
      <c r="I320" s="529">
        <f t="shared" si="233"/>
        <v>23263.79378191127</v>
      </c>
      <c r="J320" s="529">
        <f t="shared" si="233"/>
        <v>23952.394983507227</v>
      </c>
      <c r="K320" s="529">
        <f t="shared" si="233"/>
        <v>24680.782089140179</v>
      </c>
      <c r="L320" s="529">
        <f t="shared" si="233"/>
        <v>25203.971385590496</v>
      </c>
      <c r="M320" s="529">
        <f t="shared" si="233"/>
        <v>25634.884874567164</v>
      </c>
      <c r="N320" s="529">
        <f t="shared" si="233"/>
        <v>26049.401860356411</v>
      </c>
    </row>
    <row r="321" spans="1:28" s="5" customFormat="1">
      <c r="A321" s="884"/>
      <c r="B321" s="195" t="str">
        <f t="shared" si="216"/>
        <v>History</v>
      </c>
      <c r="C321" s="529">
        <f t="shared" ref="C321:N321" si="234">(C296/((SUM(C$285:C$303))-C$286-C$288-C$293-C$297-C$302))*(C$156-C$311-C$313-C$318-C$322-C$327)</f>
        <v>30016.143424349408</v>
      </c>
      <c r="D321" s="529">
        <f t="shared" si="234"/>
        <v>29309.368264604949</v>
      </c>
      <c r="E321" s="529">
        <f t="shared" si="234"/>
        <v>28672.227716174188</v>
      </c>
      <c r="F321" s="529">
        <f t="shared" si="234"/>
        <v>28398.010936871942</v>
      </c>
      <c r="G321" s="529">
        <f t="shared" si="234"/>
        <v>28508.912898109596</v>
      </c>
      <c r="H321" s="529">
        <f t="shared" si="234"/>
        <v>28976.533231820791</v>
      </c>
      <c r="I321" s="529">
        <f t="shared" si="234"/>
        <v>29846.828241405008</v>
      </c>
      <c r="J321" s="529">
        <f t="shared" si="234"/>
        <v>30730.285255490144</v>
      </c>
      <c r="K321" s="529">
        <f t="shared" si="234"/>
        <v>31664.786525527394</v>
      </c>
      <c r="L321" s="529">
        <f t="shared" si="234"/>
        <v>32336.024467854582</v>
      </c>
      <c r="M321" s="529">
        <f t="shared" si="234"/>
        <v>32888.875005172857</v>
      </c>
      <c r="N321" s="529">
        <f t="shared" si="234"/>
        <v>33420.689265305118</v>
      </c>
    </row>
    <row r="322" spans="1:28" s="5" customFormat="1">
      <c r="A322" s="884"/>
      <c r="B322" s="195" t="str">
        <f t="shared" si="216"/>
        <v>Mathematics</v>
      </c>
      <c r="C322" s="373">
        <f>C297</f>
        <v>65683.842109377991</v>
      </c>
      <c r="D322" s="373">
        <f t="shared" ref="D322:N322" si="235">D297</f>
        <v>65132.456075384391</v>
      </c>
      <c r="E322" s="373">
        <f t="shared" si="235"/>
        <v>63716.576742542296</v>
      </c>
      <c r="F322" s="373">
        <f t="shared" si="235"/>
        <v>63107.201195045222</v>
      </c>
      <c r="G322" s="373">
        <f t="shared" si="235"/>
        <v>63353.651990359998</v>
      </c>
      <c r="H322" s="373">
        <f t="shared" si="235"/>
        <v>64392.816689183703</v>
      </c>
      <c r="I322" s="373">
        <f t="shared" si="235"/>
        <v>66326.821235874115</v>
      </c>
      <c r="J322" s="373">
        <f t="shared" si="235"/>
        <v>68290.074917935912</v>
      </c>
      <c r="K322" s="373">
        <f t="shared" si="235"/>
        <v>70366.761196998312</v>
      </c>
      <c r="L322" s="373">
        <f t="shared" si="235"/>
        <v>71858.413128901433</v>
      </c>
      <c r="M322" s="373">
        <f t="shared" si="235"/>
        <v>73086.979811507816</v>
      </c>
      <c r="N322" s="373">
        <f t="shared" si="235"/>
        <v>74268.798833521927</v>
      </c>
      <c r="P322" s="5" t="s">
        <v>560</v>
      </c>
      <c r="Q322" s="535">
        <f>C322/C$329</f>
        <v>0.10597347287728924</v>
      </c>
      <c r="R322" s="535">
        <f>D322/D$329</f>
        <v>0.10738505835715448</v>
      </c>
      <c r="S322" s="533">
        <f>E322/E$329</f>
        <v>0.10738505835715451</v>
      </c>
      <c r="T322" s="533">
        <f>F322/F$329</f>
        <v>0.10738505835715451</v>
      </c>
      <c r="U322" s="533">
        <f t="shared" ref="U322:AB322" si="236">G322/G$329</f>
        <v>0.10738505835715452</v>
      </c>
      <c r="V322" s="533">
        <f t="shared" si="236"/>
        <v>0.10738505835715455</v>
      </c>
      <c r="W322" s="533">
        <f t="shared" si="236"/>
        <v>0.10738505835715452</v>
      </c>
      <c r="X322" s="533">
        <f t="shared" si="236"/>
        <v>0.10738505835715449</v>
      </c>
      <c r="Y322" s="533">
        <f t="shared" si="236"/>
        <v>0.10738505835715451</v>
      </c>
      <c r="Z322" s="533">
        <f t="shared" si="236"/>
        <v>0.10738505835715453</v>
      </c>
      <c r="AA322" s="533">
        <f t="shared" si="236"/>
        <v>0.10738505835715451</v>
      </c>
      <c r="AB322" s="533">
        <f t="shared" si="236"/>
        <v>0.10738505835715448</v>
      </c>
    </row>
    <row r="323" spans="1:28" s="5" customFormat="1">
      <c r="A323" s="884"/>
      <c r="B323" s="195" t="str">
        <f t="shared" si="216"/>
        <v>Modern Foreign Languages</v>
      </c>
      <c r="C323" s="529">
        <f t="shared" ref="C323:N323" si="237">(C298/((SUM(C$285:C$303))-C$286-C$288-C$293-C$297-C$302))*(C$156-C$311-C$313-C$318-C$322-C$327)</f>
        <v>25845.654517835952</v>
      </c>
      <c r="D323" s="529">
        <f t="shared" si="237"/>
        <v>25237.079780492266</v>
      </c>
      <c r="E323" s="529">
        <f t="shared" si="237"/>
        <v>24688.46451499192</v>
      </c>
      <c r="F323" s="529">
        <f t="shared" si="237"/>
        <v>24452.347834689477</v>
      </c>
      <c r="G323" s="529">
        <f t="shared" si="237"/>
        <v>24547.840907699443</v>
      </c>
      <c r="H323" s="529">
        <f t="shared" si="237"/>
        <v>24950.489356560804</v>
      </c>
      <c r="I323" s="529">
        <f t="shared" si="237"/>
        <v>25699.8642455435</v>
      </c>
      <c r="J323" s="529">
        <f t="shared" si="237"/>
        <v>26460.572389977555</v>
      </c>
      <c r="K323" s="529">
        <f t="shared" si="237"/>
        <v>27265.232623319484</v>
      </c>
      <c r="L323" s="529">
        <f t="shared" si="237"/>
        <v>27843.207738622885</v>
      </c>
      <c r="M323" s="529">
        <f t="shared" si="237"/>
        <v>28319.244376158964</v>
      </c>
      <c r="N323" s="529">
        <f t="shared" si="237"/>
        <v>28777.167549056878</v>
      </c>
      <c r="Q323" s="534">
        <f t="shared" ref="Q323:AB323" si="238">C149/C$156</f>
        <v>0.10456188739742404</v>
      </c>
      <c r="R323" s="534">
        <f t="shared" si="238"/>
        <v>0.10456188739742406</v>
      </c>
      <c r="S323" s="534">
        <f t="shared" si="238"/>
        <v>0.10456188739742406</v>
      </c>
      <c r="T323" s="534">
        <f t="shared" si="238"/>
        <v>0.10456188739742406</v>
      </c>
      <c r="U323" s="534">
        <f t="shared" si="238"/>
        <v>0.10456188739742406</v>
      </c>
      <c r="V323" s="534">
        <f t="shared" si="238"/>
        <v>0.10456188739742406</v>
      </c>
      <c r="W323" s="534">
        <f t="shared" si="238"/>
        <v>0.10456188739742406</v>
      </c>
      <c r="X323" s="534">
        <f t="shared" si="238"/>
        <v>0.10456188739742406</v>
      </c>
      <c r="Y323" s="534">
        <f t="shared" si="238"/>
        <v>0.10456188739742406</v>
      </c>
      <c r="Z323" s="534">
        <f t="shared" si="238"/>
        <v>0.10456188739742407</v>
      </c>
      <c r="AA323" s="534">
        <f t="shared" si="238"/>
        <v>0.10456188739742406</v>
      </c>
      <c r="AB323" s="534">
        <f t="shared" si="238"/>
        <v>0.10456188739742404</v>
      </c>
    </row>
    <row r="324" spans="1:28" s="5" customFormat="1">
      <c r="A324" s="884"/>
      <c r="B324" s="195" t="str">
        <f t="shared" si="216"/>
        <v>Music</v>
      </c>
      <c r="C324" s="529">
        <f t="shared" ref="C324:N324" si="239">(C299/((SUM(C$285:C$303))-C$286-C$288-C$293-C$297-C$302))*(C$156-C$311-C$313-C$318-C$322-C$327)</f>
        <v>12395.989363852746</v>
      </c>
      <c r="D324" s="529">
        <f t="shared" si="239"/>
        <v>12104.107184354614</v>
      </c>
      <c r="E324" s="529">
        <f t="shared" si="239"/>
        <v>11840.982526733873</v>
      </c>
      <c r="F324" s="529">
        <f t="shared" si="239"/>
        <v>11727.737189664251</v>
      </c>
      <c r="G324" s="529">
        <f t="shared" si="239"/>
        <v>11773.537195097899</v>
      </c>
      <c r="H324" s="529">
        <f t="shared" si="239"/>
        <v>11966.653832403907</v>
      </c>
      <c r="I324" s="529">
        <f t="shared" si="239"/>
        <v>12326.06601703082</v>
      </c>
      <c r="J324" s="529">
        <f t="shared" si="239"/>
        <v>12690.913812272116</v>
      </c>
      <c r="K324" s="529">
        <f t="shared" si="239"/>
        <v>13076.841732462273</v>
      </c>
      <c r="L324" s="529">
        <f t="shared" si="239"/>
        <v>13354.047843722805</v>
      </c>
      <c r="M324" s="529">
        <f t="shared" si="239"/>
        <v>13582.362630319882</v>
      </c>
      <c r="N324" s="529">
        <f t="shared" si="239"/>
        <v>13801.989909512482</v>
      </c>
    </row>
    <row r="325" spans="1:28" s="5" customFormat="1">
      <c r="A325" s="884"/>
      <c r="B325" s="195" t="str">
        <f t="shared" si="216"/>
        <v>Others</v>
      </c>
      <c r="C325" s="529">
        <f t="shared" ref="C325:N325" si="240">(C300/((SUM(C$285:C$303))-C$286-C$288-C$293-C$297-C$302))*(C$156-C$311-C$313-C$318-C$322-C$327)</f>
        <v>131482.88902255881</v>
      </c>
      <c r="D325" s="529">
        <f t="shared" si="240"/>
        <v>128386.92700709222</v>
      </c>
      <c r="E325" s="529">
        <f t="shared" si="240"/>
        <v>125595.99284753806</v>
      </c>
      <c r="F325" s="529">
        <f t="shared" si="240"/>
        <v>124394.81207453203</v>
      </c>
      <c r="G325" s="529">
        <f t="shared" si="240"/>
        <v>124880.60766977714</v>
      </c>
      <c r="H325" s="529">
        <f t="shared" si="240"/>
        <v>126928.97449601517</v>
      </c>
      <c r="I325" s="529">
        <f t="shared" si="240"/>
        <v>130741.21981162168</v>
      </c>
      <c r="J325" s="529">
        <f t="shared" si="240"/>
        <v>134611.12004820327</v>
      </c>
      <c r="K325" s="529">
        <f t="shared" si="240"/>
        <v>138704.61484007828</v>
      </c>
      <c r="L325" s="529">
        <f t="shared" si="240"/>
        <v>141644.90942193128</v>
      </c>
      <c r="M325" s="529">
        <f t="shared" si="240"/>
        <v>144066.61912715988</v>
      </c>
      <c r="N325" s="529">
        <f t="shared" si="240"/>
        <v>146396.18140160121</v>
      </c>
    </row>
    <row r="326" spans="1:28" s="5" customFormat="1">
      <c r="A326" s="884"/>
      <c r="B326" s="195" t="str">
        <f t="shared" si="216"/>
        <v>Physical Education</v>
      </c>
      <c r="C326" s="529">
        <f t="shared" ref="C326:N326" si="241">(C301/((SUM(C$285:C$303))-C$286-C$288-C$293-C$297-C$302))*(C$156-C$311-C$313-C$318-C$322-C$327)</f>
        <v>31365.141488722533</v>
      </c>
      <c r="D326" s="529">
        <f t="shared" si="241"/>
        <v>30626.602144320394</v>
      </c>
      <c r="E326" s="529">
        <f t="shared" si="241"/>
        <v>29960.826959040533</v>
      </c>
      <c r="F326" s="529">
        <f t="shared" si="241"/>
        <v>29674.286214621661</v>
      </c>
      <c r="G326" s="529">
        <f t="shared" si="241"/>
        <v>29790.17237815772</v>
      </c>
      <c r="H326" s="529">
        <f t="shared" si="241"/>
        <v>30278.808700369489</v>
      </c>
      <c r="I326" s="529">
        <f t="shared" si="241"/>
        <v>31188.216872053355</v>
      </c>
      <c r="J326" s="529">
        <f t="shared" si="241"/>
        <v>32111.378580546065</v>
      </c>
      <c r="K326" s="529">
        <f t="shared" si="241"/>
        <v>33087.878597278126</v>
      </c>
      <c r="L326" s="529">
        <f t="shared" si="241"/>
        <v>33789.283595783447</v>
      </c>
      <c r="M326" s="529">
        <f t="shared" si="241"/>
        <v>34366.980573038607</v>
      </c>
      <c r="N326" s="529">
        <f t="shared" si="241"/>
        <v>34922.695851945398</v>
      </c>
    </row>
    <row r="327" spans="1:28" s="5" customFormat="1">
      <c r="A327" s="884"/>
      <c r="B327" s="195" t="str">
        <f t="shared" si="216"/>
        <v>Physics</v>
      </c>
      <c r="C327" s="388">
        <f>C302</f>
        <v>26679.372212983228</v>
      </c>
      <c r="D327" s="388">
        <f t="shared" ref="D327:N327" si="242">D302</f>
        <v>26107.652428581063</v>
      </c>
      <c r="E327" s="388">
        <f t="shared" si="242"/>
        <v>25540.11225383517</v>
      </c>
      <c r="F327" s="388">
        <f t="shared" si="242"/>
        <v>25295.850545446399</v>
      </c>
      <c r="G327" s="388">
        <f t="shared" si="242"/>
        <v>25394.637726101442</v>
      </c>
      <c r="H327" s="388">
        <f t="shared" si="242"/>
        <v>25811.175845615006</v>
      </c>
      <c r="I327" s="388">
        <f t="shared" si="242"/>
        <v>26586.40100282156</v>
      </c>
      <c r="J327" s="388">
        <f t="shared" si="242"/>
        <v>27373.350364919585</v>
      </c>
      <c r="K327" s="388">
        <f t="shared" si="242"/>
        <v>28205.767977334093</v>
      </c>
      <c r="L327" s="388">
        <f t="shared" si="242"/>
        <v>28803.680792681862</v>
      </c>
      <c r="M327" s="388">
        <f t="shared" si="242"/>
        <v>29296.138683379224</v>
      </c>
      <c r="N327" s="388">
        <f t="shared" si="242"/>
        <v>29769.85827142177</v>
      </c>
      <c r="P327" s="5" t="s">
        <v>2</v>
      </c>
      <c r="Q327" s="533">
        <f>C327/C$329</f>
        <v>4.3044158758064104E-2</v>
      </c>
      <c r="R327" s="533">
        <f t="shared" ref="R327:AB327" si="243">D327/D$329</f>
        <v>4.3044158758064117E-2</v>
      </c>
      <c r="S327" s="533">
        <f t="shared" si="243"/>
        <v>4.3044158758064124E-2</v>
      </c>
      <c r="T327" s="533">
        <f t="shared" si="243"/>
        <v>4.3044158758064117E-2</v>
      </c>
      <c r="U327" s="533">
        <f t="shared" si="243"/>
        <v>4.3044158758064131E-2</v>
      </c>
      <c r="V327" s="533">
        <f t="shared" si="243"/>
        <v>4.3044158758064138E-2</v>
      </c>
      <c r="W327" s="533">
        <f t="shared" si="243"/>
        <v>4.3044158758064131E-2</v>
      </c>
      <c r="X327" s="533">
        <f t="shared" si="243"/>
        <v>4.3044158758064117E-2</v>
      </c>
      <c r="Y327" s="533">
        <f t="shared" si="243"/>
        <v>4.3044158758064124E-2</v>
      </c>
      <c r="Z327" s="533">
        <f t="shared" si="243"/>
        <v>4.3044158758064131E-2</v>
      </c>
      <c r="AA327" s="533">
        <f t="shared" si="243"/>
        <v>4.3044158758064117E-2</v>
      </c>
      <c r="AB327" s="533">
        <f t="shared" si="243"/>
        <v>4.3044158758064111E-2</v>
      </c>
    </row>
    <row r="328" spans="1:28" s="5" customFormat="1">
      <c r="A328" s="884"/>
      <c r="B328" s="195" t="str">
        <f t="shared" si="216"/>
        <v>Religious Education</v>
      </c>
      <c r="C328" s="529">
        <f t="shared" ref="C328:N328" si="244">(C303/((SUM(C$285:C$303))-C$286-C$288-C$293-C$297-C$302))*(C$156-C$311-C$313-C$318-C$322-C$327)</f>
        <v>16801.309073036395</v>
      </c>
      <c r="D328" s="529">
        <f t="shared" si="244"/>
        <v>16405.697027340397</v>
      </c>
      <c r="E328" s="529">
        <f t="shared" si="244"/>
        <v>16049.062428224464</v>
      </c>
      <c r="F328" s="529">
        <f t="shared" si="244"/>
        <v>15895.571661708065</v>
      </c>
      <c r="G328" s="529">
        <f t="shared" si="244"/>
        <v>15957.648195032736</v>
      </c>
      <c r="H328" s="529">
        <f t="shared" si="244"/>
        <v>16219.395137151381</v>
      </c>
      <c r="I328" s="529">
        <f t="shared" si="244"/>
        <v>16706.536181023264</v>
      </c>
      <c r="J328" s="529">
        <f t="shared" si="244"/>
        <v>17201.044557284062</v>
      </c>
      <c r="K328" s="529">
        <f t="shared" si="244"/>
        <v>17724.12456943193</v>
      </c>
      <c r="L328" s="529">
        <f t="shared" si="244"/>
        <v>18099.844926679409</v>
      </c>
      <c r="M328" s="529">
        <f t="shared" si="244"/>
        <v>18409.298830112708</v>
      </c>
      <c r="N328" s="529">
        <f t="shared" si="244"/>
        <v>18706.977836626313</v>
      </c>
      <c r="Q328" s="534">
        <f t="shared" ref="Q328:AB328" si="245">C154/C$156</f>
        <v>4.3044158758064117E-2</v>
      </c>
      <c r="R328" s="534">
        <f t="shared" si="245"/>
        <v>4.3044158758064124E-2</v>
      </c>
      <c r="S328" s="534">
        <f t="shared" si="245"/>
        <v>4.3044158758064124E-2</v>
      </c>
      <c r="T328" s="534">
        <f t="shared" si="245"/>
        <v>4.3044158758064117E-2</v>
      </c>
      <c r="U328" s="534">
        <f t="shared" si="245"/>
        <v>4.3044158758064117E-2</v>
      </c>
      <c r="V328" s="534">
        <f t="shared" si="245"/>
        <v>4.3044158758064124E-2</v>
      </c>
      <c r="W328" s="534">
        <f t="shared" si="245"/>
        <v>4.3044158758064117E-2</v>
      </c>
      <c r="X328" s="534">
        <f t="shared" si="245"/>
        <v>4.3044158758064117E-2</v>
      </c>
      <c r="Y328" s="534">
        <f t="shared" si="245"/>
        <v>4.3044158758064124E-2</v>
      </c>
      <c r="Z328" s="534">
        <f t="shared" si="245"/>
        <v>4.3044158758064124E-2</v>
      </c>
      <c r="AA328" s="534">
        <f t="shared" si="245"/>
        <v>4.3044158758064117E-2</v>
      </c>
      <c r="AB328" s="534">
        <f t="shared" si="245"/>
        <v>4.3044158758064117E-2</v>
      </c>
    </row>
    <row r="329" spans="1:28" s="5" customFormat="1">
      <c r="A329" s="884"/>
      <c r="B329" s="195" t="str">
        <f t="shared" si="216"/>
        <v>Recalculated Total</v>
      </c>
      <c r="C329" s="536">
        <f t="shared" ref="C329:N329" si="246">SUM(C310:C328)</f>
        <v>619813.9999189782</v>
      </c>
      <c r="D329" s="536">
        <f t="shared" si="246"/>
        <v>606531.83107428998</v>
      </c>
      <c r="E329" s="536">
        <f t="shared" si="246"/>
        <v>593346.76273700781</v>
      </c>
      <c r="F329" s="536">
        <f t="shared" si="246"/>
        <v>587672.0854884251</v>
      </c>
      <c r="G329" s="536">
        <f t="shared" si="246"/>
        <v>589967.10491743253</v>
      </c>
      <c r="H329" s="536">
        <f t="shared" si="246"/>
        <v>599644.10015980143</v>
      </c>
      <c r="I329" s="536">
        <f t="shared" si="246"/>
        <v>617654.09686025558</v>
      </c>
      <c r="J329" s="536">
        <f t="shared" si="246"/>
        <v>635936.46977225028</v>
      </c>
      <c r="K329" s="536">
        <f t="shared" si="246"/>
        <v>655275.15907253907</v>
      </c>
      <c r="L329" s="536">
        <f t="shared" si="246"/>
        <v>669165.84325824748</v>
      </c>
      <c r="M329" s="536">
        <f t="shared" si="246"/>
        <v>680606.6032801891</v>
      </c>
      <c r="N329" s="536">
        <f t="shared" si="246"/>
        <v>691612.03588035121</v>
      </c>
    </row>
    <row r="330" spans="1:28">
      <c r="A330" s="10">
        <f>O330</f>
        <v>0</v>
      </c>
      <c r="B330" s="12"/>
      <c r="C330" s="10">
        <f t="shared" ref="C330:N330" si="247">SUM(C310:C328)-C329</f>
        <v>0</v>
      </c>
      <c r="D330" s="10">
        <f t="shared" si="247"/>
        <v>0</v>
      </c>
      <c r="E330" s="10">
        <f t="shared" si="247"/>
        <v>0</v>
      </c>
      <c r="F330" s="10">
        <f t="shared" si="247"/>
        <v>0</v>
      </c>
      <c r="G330" s="10">
        <f t="shared" si="247"/>
        <v>0</v>
      </c>
      <c r="H330" s="10">
        <f t="shared" si="247"/>
        <v>0</v>
      </c>
      <c r="I330" s="10">
        <f t="shared" si="247"/>
        <v>0</v>
      </c>
      <c r="J330" s="10">
        <f t="shared" si="247"/>
        <v>0</v>
      </c>
      <c r="K330" s="10">
        <f t="shared" si="247"/>
        <v>0</v>
      </c>
      <c r="L330" s="10">
        <f t="shared" si="247"/>
        <v>0</v>
      </c>
      <c r="M330" s="10">
        <f t="shared" si="247"/>
        <v>0</v>
      </c>
      <c r="N330" s="10">
        <f t="shared" si="247"/>
        <v>0</v>
      </c>
      <c r="O330" s="10">
        <f>SUM(C330:N330)</f>
        <v>0</v>
      </c>
    </row>
    <row r="331" spans="1:28">
      <c r="A331" s="10">
        <f>SUM(B331:N331)</f>
        <v>0</v>
      </c>
      <c r="B331" s="12"/>
      <c r="C331" s="10">
        <f t="shared" ref="C331:N331" si="248">C329-C156</f>
        <v>0</v>
      </c>
      <c r="D331" s="10">
        <f t="shared" si="248"/>
        <v>0</v>
      </c>
      <c r="E331" s="10">
        <f t="shared" si="248"/>
        <v>0</v>
      </c>
      <c r="F331" s="10">
        <f t="shared" si="248"/>
        <v>0</v>
      </c>
      <c r="G331" s="10">
        <f t="shared" si="248"/>
        <v>0</v>
      </c>
      <c r="H331" s="10">
        <f t="shared" si="248"/>
        <v>0</v>
      </c>
      <c r="I331" s="10">
        <f t="shared" si="248"/>
        <v>0</v>
      </c>
      <c r="J331" s="10">
        <f t="shared" si="248"/>
        <v>0</v>
      </c>
      <c r="K331" s="10">
        <f t="shared" si="248"/>
        <v>0</v>
      </c>
      <c r="L331" s="10">
        <f t="shared" si="248"/>
        <v>0</v>
      </c>
      <c r="M331" s="10">
        <f t="shared" si="248"/>
        <v>0</v>
      </c>
      <c r="N331" s="10">
        <f t="shared" si="248"/>
        <v>0</v>
      </c>
      <c r="O331" s="10"/>
    </row>
    <row r="332" spans="1:28">
      <c r="A332" s="883"/>
      <c r="B332" s="12"/>
      <c r="C332" s="10"/>
      <c r="D332" s="10"/>
      <c r="E332" s="10"/>
      <c r="F332" s="10"/>
      <c r="G332" s="10"/>
      <c r="H332" s="10"/>
      <c r="I332" s="10"/>
      <c r="J332" s="10"/>
      <c r="K332" s="10"/>
      <c r="L332" s="10"/>
      <c r="M332" s="10"/>
      <c r="N332" s="10"/>
      <c r="O332" s="10"/>
    </row>
    <row r="333" spans="1:28">
      <c r="A333" s="883"/>
      <c r="B333" s="76" t="s">
        <v>374</v>
      </c>
      <c r="D333" s="12"/>
      <c r="E333" s="12"/>
      <c r="F333" s="12"/>
    </row>
    <row r="334" spans="1:28">
      <c r="A334" s="883"/>
      <c r="B334" s="12"/>
      <c r="D334" s="12"/>
      <c r="E334" s="12"/>
      <c r="F334" s="12"/>
    </row>
    <row r="335" spans="1:28" s="5" customFormat="1">
      <c r="A335" s="884"/>
      <c r="B335" s="8" t="str">
        <f t="shared" ref="B335:N335" si="249">B284</f>
        <v>Subject</v>
      </c>
      <c r="C335" s="8" t="str">
        <f t="shared" si="249"/>
        <v>2016/17</v>
      </c>
      <c r="D335" s="8" t="str">
        <f t="shared" si="249"/>
        <v>2017/18</v>
      </c>
      <c r="E335" s="8" t="str">
        <f t="shared" si="249"/>
        <v>2018/19</v>
      </c>
      <c r="F335" s="8" t="str">
        <f t="shared" si="249"/>
        <v>2019/20</v>
      </c>
      <c r="G335" s="8" t="str">
        <f t="shared" si="249"/>
        <v>2020/21</v>
      </c>
      <c r="H335" s="8" t="str">
        <f t="shared" si="249"/>
        <v>2021/22</v>
      </c>
      <c r="I335" s="8" t="str">
        <f t="shared" si="249"/>
        <v>2022/23</v>
      </c>
      <c r="J335" s="8" t="str">
        <f t="shared" si="249"/>
        <v>2023/24</v>
      </c>
      <c r="K335" s="8" t="str">
        <f t="shared" si="249"/>
        <v>2024/25</v>
      </c>
      <c r="L335" s="8" t="str">
        <f t="shared" si="249"/>
        <v>2025/26</v>
      </c>
      <c r="M335" s="8" t="str">
        <f t="shared" si="249"/>
        <v>2026/27</v>
      </c>
      <c r="N335" s="8" t="str">
        <f t="shared" si="249"/>
        <v>2027/28</v>
      </c>
    </row>
    <row r="336" spans="1:28" s="5" customFormat="1">
      <c r="A336" s="884"/>
      <c r="B336" s="8" t="str">
        <f t="shared" ref="B336:B355" si="250">B285</f>
        <v>Art &amp; Design</v>
      </c>
      <c r="C336" s="459">
        <f>C206+C259+C310-C85-C111-C137</f>
        <v>-2394.1031400586107</v>
      </c>
      <c r="D336" s="459">
        <f t="shared" ref="D336:N336" si="251">D206+D259+D310-D85-D111-D137</f>
        <v>-2709.5413912812874</v>
      </c>
      <c r="E336" s="459">
        <f t="shared" si="251"/>
        <v>-2798.5023241447198</v>
      </c>
      <c r="F336" s="459">
        <f t="shared" si="251"/>
        <v>-2873.6517785967044</v>
      </c>
      <c r="G336" s="459">
        <f t="shared" si="251"/>
        <v>-2936.3087815383842</v>
      </c>
      <c r="H336" s="459">
        <f t="shared" si="251"/>
        <v>-3017.2962338595789</v>
      </c>
      <c r="I336" s="459">
        <f t="shared" si="251"/>
        <v>-3120.3393664549367</v>
      </c>
      <c r="J336" s="459">
        <f t="shared" si="251"/>
        <v>-3177.2035993436511</v>
      </c>
      <c r="K336" s="459">
        <f t="shared" si="251"/>
        <v>-3200.8503103072871</v>
      </c>
      <c r="L336" s="459">
        <f t="shared" si="251"/>
        <v>-3252.658043035437</v>
      </c>
      <c r="M336" s="459">
        <f t="shared" si="251"/>
        <v>-3296.3546771342262</v>
      </c>
      <c r="N336" s="459">
        <f t="shared" si="251"/>
        <v>-3272.9861063199969</v>
      </c>
    </row>
    <row r="337" spans="1:14" s="5" customFormat="1">
      <c r="A337" s="884"/>
      <c r="B337" s="8" t="str">
        <f t="shared" si="250"/>
        <v>Biology</v>
      </c>
      <c r="C337" s="459">
        <f t="shared" ref="C337:N337" si="252">C207+C260+C311-C86-C112-C138</f>
        <v>8203.4177594141802</v>
      </c>
      <c r="D337" s="459">
        <f t="shared" si="252"/>
        <v>8343.2096539088307</v>
      </c>
      <c r="E337" s="459">
        <f t="shared" si="252"/>
        <v>8652.9073342891716</v>
      </c>
      <c r="F337" s="459">
        <f t="shared" si="252"/>
        <v>8888.3599233812783</v>
      </c>
      <c r="G337" s="459">
        <f t="shared" si="252"/>
        <v>9086.9118576524343</v>
      </c>
      <c r="H337" s="459">
        <f t="shared" si="252"/>
        <v>9361.9680166880134</v>
      </c>
      <c r="I337" s="459">
        <f t="shared" si="252"/>
        <v>9727.1710494785875</v>
      </c>
      <c r="J337" s="459">
        <f t="shared" si="252"/>
        <v>9895.0909611743118</v>
      </c>
      <c r="K337" s="459">
        <f t="shared" si="252"/>
        <v>9968.2715165909103</v>
      </c>
      <c r="L337" s="459">
        <f t="shared" si="252"/>
        <v>10191.039417658823</v>
      </c>
      <c r="M337" s="459">
        <f t="shared" si="252"/>
        <v>10395.620576662426</v>
      </c>
      <c r="N337" s="459">
        <f t="shared" si="252"/>
        <v>10303.908492802104</v>
      </c>
    </row>
    <row r="338" spans="1:14" s="5" customFormat="1">
      <c r="A338" s="884"/>
      <c r="B338" s="8" t="str">
        <f t="shared" si="250"/>
        <v>Business Studies</v>
      </c>
      <c r="C338" s="459">
        <f t="shared" ref="C338:N338" si="253">C208+C261+C312-C87-C113-C139</f>
        <v>-1479.8823248930785</v>
      </c>
      <c r="D338" s="459">
        <f t="shared" si="253"/>
        <v>-1736.0630001965328</v>
      </c>
      <c r="E338" s="459">
        <f t="shared" si="253"/>
        <v>-1790.9014885253782</v>
      </c>
      <c r="F338" s="459">
        <f t="shared" si="253"/>
        <v>-1834.1708071945686</v>
      </c>
      <c r="G338" s="459">
        <f t="shared" si="253"/>
        <v>-1872.3619758459317</v>
      </c>
      <c r="H338" s="459">
        <f t="shared" si="253"/>
        <v>-1926.4872322754527</v>
      </c>
      <c r="I338" s="459">
        <f t="shared" si="253"/>
        <v>-1999.3281639493798</v>
      </c>
      <c r="J338" s="459">
        <f t="shared" si="253"/>
        <v>-2035.9269938519574</v>
      </c>
      <c r="K338" s="459">
        <f t="shared" si="253"/>
        <v>-2054.6130819422251</v>
      </c>
      <c r="L338" s="459">
        <f t="shared" si="253"/>
        <v>-2099.0254171144989</v>
      </c>
      <c r="M338" s="459">
        <f t="shared" si="253"/>
        <v>-2139.2273056346967</v>
      </c>
      <c r="N338" s="459">
        <f t="shared" si="253"/>
        <v>-2124.9424284310226</v>
      </c>
    </row>
    <row r="339" spans="1:14" s="5" customFormat="1">
      <c r="A339" s="884"/>
      <c r="B339" s="8" t="str">
        <f t="shared" si="250"/>
        <v>Chemistry</v>
      </c>
      <c r="C339" s="459">
        <f t="shared" ref="C339:N339" si="254">C209+C262+C313-C88-C114-C140</f>
        <v>7584.0819594422137</v>
      </c>
      <c r="D339" s="459">
        <f t="shared" si="254"/>
        <v>7713.3199449021813</v>
      </c>
      <c r="E339" s="459">
        <f t="shared" si="254"/>
        <v>7999.636290056962</v>
      </c>
      <c r="F339" s="459">
        <f t="shared" si="254"/>
        <v>8217.3128470247721</v>
      </c>
      <c r="G339" s="459">
        <f t="shared" si="254"/>
        <v>8400.8746485665906</v>
      </c>
      <c r="H339" s="459">
        <f t="shared" si="254"/>
        <v>8655.1648133191557</v>
      </c>
      <c r="I339" s="459">
        <f t="shared" si="254"/>
        <v>8992.7960072616697</v>
      </c>
      <c r="J339" s="459">
        <f t="shared" si="254"/>
        <v>9148.0384208838732</v>
      </c>
      <c r="K339" s="459">
        <f t="shared" si="254"/>
        <v>9215.6940427714435</v>
      </c>
      <c r="L339" s="459">
        <f t="shared" si="254"/>
        <v>9421.6435712704842</v>
      </c>
      <c r="M339" s="459">
        <f t="shared" si="254"/>
        <v>9610.7794074237681</v>
      </c>
      <c r="N339" s="459">
        <f t="shared" si="254"/>
        <v>9525.991337247804</v>
      </c>
    </row>
    <row r="340" spans="1:14" s="5" customFormat="1">
      <c r="A340" s="884"/>
      <c r="B340" s="8" t="str">
        <f t="shared" si="250"/>
        <v>Classics</v>
      </c>
      <c r="C340" s="459">
        <f t="shared" ref="C340:N340" si="255">C210+C263+C314-C89-C115-C141</f>
        <v>-85.824045806102276</v>
      </c>
      <c r="D340" s="459">
        <f t="shared" si="255"/>
        <v>-99.521094042973118</v>
      </c>
      <c r="E340" s="459">
        <f t="shared" si="255"/>
        <v>-102.57027236126032</v>
      </c>
      <c r="F340" s="459">
        <f t="shared" si="255"/>
        <v>-105.12828497120518</v>
      </c>
      <c r="G340" s="459">
        <f t="shared" si="255"/>
        <v>-107.33353552613676</v>
      </c>
      <c r="H340" s="459">
        <f t="shared" si="255"/>
        <v>-110.29638555568567</v>
      </c>
      <c r="I340" s="459">
        <f t="shared" si="255"/>
        <v>-114.16054007856906</v>
      </c>
      <c r="J340" s="459">
        <f t="shared" si="255"/>
        <v>-116.2826687033803</v>
      </c>
      <c r="K340" s="459">
        <f t="shared" si="255"/>
        <v>-117.28515516215293</v>
      </c>
      <c r="L340" s="459">
        <f t="shared" si="255"/>
        <v>-119.37773605961547</v>
      </c>
      <c r="M340" s="459">
        <f t="shared" si="255"/>
        <v>-121.18442495569207</v>
      </c>
      <c r="N340" s="459">
        <f t="shared" si="255"/>
        <v>-120.42734028043515</v>
      </c>
    </row>
    <row r="341" spans="1:14" s="5" customFormat="1">
      <c r="A341" s="884"/>
      <c r="B341" s="8" t="str">
        <f t="shared" si="250"/>
        <v>Computing</v>
      </c>
      <c r="C341" s="459">
        <f t="shared" ref="C341:N341" si="256">C211+C264+C315-C90-C116-C142</f>
        <v>-2462.3308652808664</v>
      </c>
      <c r="D341" s="459">
        <f t="shared" si="256"/>
        <v>-2789.0241710488772</v>
      </c>
      <c r="E341" s="459">
        <f t="shared" si="256"/>
        <v>-2882.7366020949667</v>
      </c>
      <c r="F341" s="459">
        <f t="shared" si="256"/>
        <v>-2960.10340787721</v>
      </c>
      <c r="G341" s="459">
        <f t="shared" si="256"/>
        <v>-3024.8548068220771</v>
      </c>
      <c r="H341" s="459">
        <f t="shared" si="256"/>
        <v>-3109.9433615064554</v>
      </c>
      <c r="I341" s="459">
        <f t="shared" si="256"/>
        <v>-3219.3597062149711</v>
      </c>
      <c r="J341" s="459">
        <f t="shared" si="256"/>
        <v>-3277.4489788019309</v>
      </c>
      <c r="K341" s="459">
        <f t="shared" si="256"/>
        <v>-3301.9876997939245</v>
      </c>
      <c r="L341" s="459">
        <f t="shared" si="256"/>
        <v>-3359.8475220531582</v>
      </c>
      <c r="M341" s="459">
        <f t="shared" si="256"/>
        <v>-3409.8340605677877</v>
      </c>
      <c r="N341" s="459">
        <f t="shared" si="256"/>
        <v>-3384.5719579125762</v>
      </c>
    </row>
    <row r="342" spans="1:14" s="5" customFormat="1">
      <c r="A342" s="884"/>
      <c r="B342" s="8" t="str">
        <f t="shared" si="250"/>
        <v>Design &amp; Technology</v>
      </c>
      <c r="C342" s="459">
        <f t="shared" ref="C342:N342" si="257">C212+C265+C316-C91-C117-C143</f>
        <v>-2974.2952481175635</v>
      </c>
      <c r="D342" s="459">
        <f t="shared" si="257"/>
        <v>-3326.6543962661599</v>
      </c>
      <c r="E342" s="459">
        <f t="shared" si="257"/>
        <v>-3438.1759912433881</v>
      </c>
      <c r="F342" s="459">
        <f t="shared" si="257"/>
        <v>-3533.671956542632</v>
      </c>
      <c r="G342" s="459">
        <f t="shared" si="257"/>
        <v>-3611.9954923606383</v>
      </c>
      <c r="H342" s="459">
        <f t="shared" si="257"/>
        <v>-3710.653173522609</v>
      </c>
      <c r="I342" s="459">
        <f t="shared" si="257"/>
        <v>-3834.0212944292325</v>
      </c>
      <c r="J342" s="459">
        <f t="shared" si="257"/>
        <v>-3903.5476243436351</v>
      </c>
      <c r="K342" s="459">
        <f t="shared" si="257"/>
        <v>-3930.3243448080793</v>
      </c>
      <c r="L342" s="459">
        <f t="shared" si="257"/>
        <v>-3988.3613599586388</v>
      </c>
      <c r="M342" s="459">
        <f t="shared" si="257"/>
        <v>-4035.9814752400234</v>
      </c>
      <c r="N342" s="459">
        <f t="shared" si="257"/>
        <v>-4006.3445540762987</v>
      </c>
    </row>
    <row r="343" spans="1:14" s="5" customFormat="1">
      <c r="A343" s="884"/>
      <c r="B343" s="8" t="str">
        <f t="shared" si="250"/>
        <v>Drama</v>
      </c>
      <c r="C343" s="459">
        <f t="shared" ref="C343:N343" si="258">C213+C266+C317-C92-C118-C144</f>
        <v>-1402.17024679108</v>
      </c>
      <c r="D343" s="459">
        <f t="shared" si="258"/>
        <v>-1578.9106033349854</v>
      </c>
      <c r="E343" s="459">
        <f t="shared" si="258"/>
        <v>-1630.8138637999637</v>
      </c>
      <c r="F343" s="459">
        <f t="shared" si="258"/>
        <v>-1675.2244424041273</v>
      </c>
      <c r="G343" s="459">
        <f t="shared" si="258"/>
        <v>-1711.9593500399878</v>
      </c>
      <c r="H343" s="459">
        <f t="shared" si="258"/>
        <v>-1758.6984169635907</v>
      </c>
      <c r="I343" s="459">
        <f t="shared" si="258"/>
        <v>-1817.5468447177846</v>
      </c>
      <c r="J343" s="459">
        <f t="shared" si="258"/>
        <v>-1850.7056204645087</v>
      </c>
      <c r="K343" s="459">
        <f t="shared" si="258"/>
        <v>-1864.0160543778748</v>
      </c>
      <c r="L343" s="459">
        <f t="shared" si="258"/>
        <v>-1892.3326867044307</v>
      </c>
      <c r="M343" s="459">
        <f t="shared" si="258"/>
        <v>-1915.7504935087345</v>
      </c>
      <c r="N343" s="459">
        <f t="shared" si="258"/>
        <v>-1902.1646501362447</v>
      </c>
    </row>
    <row r="344" spans="1:14" s="5" customFormat="1">
      <c r="A344" s="884"/>
      <c r="B344" s="8" t="str">
        <f t="shared" si="250"/>
        <v>English</v>
      </c>
      <c r="C344" s="459">
        <f t="shared" ref="C344:N344" si="259">C214+C267+C318-C93-C119-C145</f>
        <v>2653.2491740572586</v>
      </c>
      <c r="D344" s="459">
        <f t="shared" si="259"/>
        <v>2698.4623692747991</v>
      </c>
      <c r="E344" s="459">
        <f t="shared" si="259"/>
        <v>2798.6285608275866</v>
      </c>
      <c r="F344" s="459">
        <f t="shared" si="259"/>
        <v>2874.7815016944223</v>
      </c>
      <c r="G344" s="459">
        <f t="shared" si="259"/>
        <v>2938.9995838477189</v>
      </c>
      <c r="H344" s="459">
        <f t="shared" si="259"/>
        <v>3027.9615931203807</v>
      </c>
      <c r="I344" s="459">
        <f t="shared" si="259"/>
        <v>3146.080001024653</v>
      </c>
      <c r="J344" s="459">
        <f t="shared" si="259"/>
        <v>3200.390701769189</v>
      </c>
      <c r="K344" s="459">
        <f t="shared" si="259"/>
        <v>3224.0596473124606</v>
      </c>
      <c r="L344" s="459">
        <f t="shared" si="259"/>
        <v>3296.1099520572243</v>
      </c>
      <c r="M344" s="459">
        <f t="shared" si="259"/>
        <v>3362.278079424781</v>
      </c>
      <c r="N344" s="459">
        <f t="shared" si="259"/>
        <v>3332.6154414988341</v>
      </c>
    </row>
    <row r="345" spans="1:14" s="5" customFormat="1">
      <c r="A345" s="884"/>
      <c r="B345" s="8" t="str">
        <f t="shared" si="250"/>
        <v>Food</v>
      </c>
      <c r="C345" s="459">
        <f t="shared" ref="C345:N345" si="260">C215+C268+C319-C94-C120-C146</f>
        <v>-988.06501211040086</v>
      </c>
      <c r="D345" s="459">
        <f t="shared" si="260"/>
        <v>-1112.92032812248</v>
      </c>
      <c r="E345" s="459">
        <f t="shared" si="260"/>
        <v>-1152.5291715504509</v>
      </c>
      <c r="F345" s="459">
        <f t="shared" si="260"/>
        <v>-1184.0720926619574</v>
      </c>
      <c r="G345" s="459">
        <f t="shared" si="260"/>
        <v>-1210.4043366334886</v>
      </c>
      <c r="H345" s="459">
        <f t="shared" si="260"/>
        <v>-1245.6044122702001</v>
      </c>
      <c r="I345" s="459">
        <f t="shared" si="260"/>
        <v>-1291.3515312377754</v>
      </c>
      <c r="J345" s="459">
        <f t="shared" si="260"/>
        <v>-1314.1113512181869</v>
      </c>
      <c r="K345" s="459">
        <f t="shared" si="260"/>
        <v>-1323.603701496585</v>
      </c>
      <c r="L345" s="459">
        <f t="shared" si="260"/>
        <v>-1349.244453639039</v>
      </c>
      <c r="M345" s="459">
        <f t="shared" si="260"/>
        <v>-1372.0372265207566</v>
      </c>
      <c r="N345" s="459">
        <f t="shared" si="260"/>
        <v>-1360.7796038160495</v>
      </c>
    </row>
    <row r="346" spans="1:14" s="5" customFormat="1">
      <c r="A346" s="884"/>
      <c r="B346" s="8" t="str">
        <f t="shared" si="250"/>
        <v>Geography</v>
      </c>
      <c r="C346" s="459">
        <f t="shared" ref="C346:N346" si="261">C216+C269+C320-C95-C121-C147</f>
        <v>-3169.9806662770461</v>
      </c>
      <c r="D346" s="459">
        <f t="shared" si="261"/>
        <v>-3559.1507616452473</v>
      </c>
      <c r="E346" s="459">
        <f t="shared" si="261"/>
        <v>-3679.4552279297423</v>
      </c>
      <c r="F346" s="459">
        <f t="shared" si="261"/>
        <v>-3780.654051687372</v>
      </c>
      <c r="G346" s="459">
        <f t="shared" si="261"/>
        <v>-3864.2294276323337</v>
      </c>
      <c r="H346" s="459">
        <f t="shared" si="261"/>
        <v>-3971.3767546168783</v>
      </c>
      <c r="I346" s="459">
        <f t="shared" si="261"/>
        <v>-4106.9611212247655</v>
      </c>
      <c r="J346" s="459">
        <f t="shared" si="261"/>
        <v>-4181.0853859532617</v>
      </c>
      <c r="K346" s="459">
        <f t="shared" si="261"/>
        <v>-4210.5749345396507</v>
      </c>
      <c r="L346" s="459">
        <f t="shared" si="261"/>
        <v>-4277.9303295075697</v>
      </c>
      <c r="M346" s="459">
        <f t="shared" si="261"/>
        <v>-4334.6548159860613</v>
      </c>
      <c r="N346" s="459">
        <f t="shared" si="261"/>
        <v>-4302.2823875533213</v>
      </c>
    </row>
    <row r="347" spans="1:14" s="5" customFormat="1">
      <c r="A347" s="884"/>
      <c r="B347" s="8" t="str">
        <f t="shared" si="250"/>
        <v>History</v>
      </c>
      <c r="C347" s="459">
        <f t="shared" ref="C347:N347" si="262">C217+C270+C321-C96-C122-C148</f>
        <v>-3389.7306639723793</v>
      </c>
      <c r="D347" s="459">
        <f t="shared" si="262"/>
        <v>-3817.7732796676137</v>
      </c>
      <c r="E347" s="459">
        <f t="shared" si="262"/>
        <v>-3945.8841443467682</v>
      </c>
      <c r="F347" s="459">
        <f t="shared" si="262"/>
        <v>-4053.4356739111099</v>
      </c>
      <c r="G347" s="459">
        <f t="shared" si="262"/>
        <v>-4142.6252760171847</v>
      </c>
      <c r="H347" s="459">
        <f t="shared" si="262"/>
        <v>-4257.6176205802476</v>
      </c>
      <c r="I347" s="459">
        <f t="shared" si="262"/>
        <v>-4403.6760376686289</v>
      </c>
      <c r="J347" s="459">
        <f t="shared" si="262"/>
        <v>-4483.3222504067089</v>
      </c>
      <c r="K347" s="459">
        <f t="shared" si="262"/>
        <v>-4515.6316776357271</v>
      </c>
      <c r="L347" s="459">
        <f t="shared" si="262"/>
        <v>-4589.1303363782317</v>
      </c>
      <c r="M347" s="459">
        <f t="shared" si="262"/>
        <v>-4651.3176472673804</v>
      </c>
      <c r="N347" s="459">
        <f t="shared" si="262"/>
        <v>-4617.0119642280551</v>
      </c>
    </row>
    <row r="348" spans="1:14" s="5" customFormat="1">
      <c r="A348" s="884"/>
      <c r="B348" s="8" t="str">
        <f t="shared" si="250"/>
        <v>Mathematics</v>
      </c>
      <c r="C348" s="459">
        <f t="shared" ref="C348:N348" si="263">C218+C271+C322-C97-C123-C149</f>
        <v>10430.559387833338</v>
      </c>
      <c r="D348" s="459">
        <f t="shared" si="263"/>
        <v>14801.587510678655</v>
      </c>
      <c r="E348" s="459">
        <f t="shared" si="263"/>
        <v>15190.254851189013</v>
      </c>
      <c r="F348" s="459">
        <f t="shared" si="263"/>
        <v>15588.554571434492</v>
      </c>
      <c r="G348" s="459">
        <f t="shared" si="263"/>
        <v>15915.132296378426</v>
      </c>
      <c r="H348" s="459">
        <f t="shared" si="263"/>
        <v>16288.669156763128</v>
      </c>
      <c r="I348" s="459">
        <f t="shared" si="263"/>
        <v>16723.742894221934</v>
      </c>
      <c r="J348" s="459">
        <f t="shared" si="263"/>
        <v>17053.831047312648</v>
      </c>
      <c r="K348" s="459">
        <f t="shared" si="263"/>
        <v>17182.927614583983</v>
      </c>
      <c r="L348" s="459">
        <f t="shared" si="263"/>
        <v>17297.792798204857</v>
      </c>
      <c r="M348" s="459">
        <f t="shared" si="263"/>
        <v>17350.242112269611</v>
      </c>
      <c r="N348" s="459">
        <f t="shared" si="263"/>
        <v>17276.196497286262</v>
      </c>
    </row>
    <row r="349" spans="1:14" s="5" customFormat="1">
      <c r="A349" s="884"/>
      <c r="B349" s="8" t="str">
        <f t="shared" si="250"/>
        <v>Modern Foreign Languages</v>
      </c>
      <c r="C349" s="459">
        <f t="shared" ref="C349:N349" si="264">C219+C272+C323-C98-C124-C150</f>
        <v>-4405.4229431782405</v>
      </c>
      <c r="D349" s="459">
        <f t="shared" si="264"/>
        <v>-4924.5970589719946</v>
      </c>
      <c r="E349" s="459">
        <f t="shared" si="264"/>
        <v>-5091.7515839004409</v>
      </c>
      <c r="F349" s="459">
        <f t="shared" si="264"/>
        <v>-5233.5100701176925</v>
      </c>
      <c r="G349" s="459">
        <f t="shared" si="264"/>
        <v>-5349.835089950473</v>
      </c>
      <c r="H349" s="459">
        <f t="shared" si="264"/>
        <v>-5497.2356286891263</v>
      </c>
      <c r="I349" s="459">
        <f t="shared" si="264"/>
        <v>-5682.2975593951596</v>
      </c>
      <c r="J349" s="459">
        <f t="shared" si="264"/>
        <v>-5784.8155733786407</v>
      </c>
      <c r="K349" s="459">
        <f t="shared" si="264"/>
        <v>-5824.3546228869272</v>
      </c>
      <c r="L349" s="459">
        <f t="shared" si="264"/>
        <v>-5913.4074309426942</v>
      </c>
      <c r="M349" s="459">
        <f t="shared" si="264"/>
        <v>-5987.3838930477905</v>
      </c>
      <c r="N349" s="459">
        <f t="shared" si="264"/>
        <v>-5942.3882156300278</v>
      </c>
    </row>
    <row r="350" spans="1:14" s="5" customFormat="1">
      <c r="A350" s="884"/>
      <c r="B350" s="8" t="str">
        <f t="shared" si="250"/>
        <v>Music</v>
      </c>
      <c r="C350" s="459">
        <f t="shared" ref="C350:N350" si="265">C220+C273+C324-C99-C125-C151</f>
        <v>-1228.1672119651448</v>
      </c>
      <c r="D350" s="459">
        <f t="shared" si="265"/>
        <v>-1372.2867520855525</v>
      </c>
      <c r="E350" s="459">
        <f t="shared" si="265"/>
        <v>-1416.6606814894076</v>
      </c>
      <c r="F350" s="459">
        <f t="shared" si="265"/>
        <v>-1456.0189479783658</v>
      </c>
      <c r="G350" s="459">
        <f t="shared" si="265"/>
        <v>-1488.1244752060011</v>
      </c>
      <c r="H350" s="459">
        <f t="shared" si="265"/>
        <v>-1527.5294549707105</v>
      </c>
      <c r="I350" s="459">
        <f t="shared" si="265"/>
        <v>-1575.9232007264254</v>
      </c>
      <c r="J350" s="459">
        <f t="shared" si="265"/>
        <v>-1604.9394086991051</v>
      </c>
      <c r="K350" s="459">
        <f t="shared" si="265"/>
        <v>-1615.8535315620993</v>
      </c>
      <c r="L350" s="459">
        <f t="shared" si="265"/>
        <v>-1636.4268697810076</v>
      </c>
      <c r="M350" s="459">
        <f t="shared" si="265"/>
        <v>-1652.3486211894524</v>
      </c>
      <c r="N350" s="459">
        <f t="shared" si="265"/>
        <v>-1641.0396684088919</v>
      </c>
    </row>
    <row r="351" spans="1:14" s="5" customFormat="1">
      <c r="A351" s="884"/>
      <c r="B351" s="8" t="str">
        <f t="shared" si="250"/>
        <v>Others</v>
      </c>
      <c r="C351" s="459">
        <f t="shared" ref="C351:N351" si="266">C221+C274+C325-C100-C126-C152</f>
        <v>-4027.7625659783662</v>
      </c>
      <c r="D351" s="459">
        <f t="shared" si="266"/>
        <v>-4747.0910683014954</v>
      </c>
      <c r="E351" s="459">
        <f t="shared" si="266"/>
        <v>-4886.8624065987242</v>
      </c>
      <c r="F351" s="459">
        <f t="shared" si="266"/>
        <v>-5002.6573436090403</v>
      </c>
      <c r="G351" s="459">
        <f t="shared" si="266"/>
        <v>-5105.0119273259625</v>
      </c>
      <c r="H351" s="459">
        <f t="shared" si="266"/>
        <v>-5246.8210100926517</v>
      </c>
      <c r="I351" s="459">
        <f t="shared" si="266"/>
        <v>-5435.227631745016</v>
      </c>
      <c r="J351" s="459">
        <f t="shared" si="266"/>
        <v>-5537.2663403032202</v>
      </c>
      <c r="K351" s="459">
        <f t="shared" si="266"/>
        <v>-5589.3062538795348</v>
      </c>
      <c r="L351" s="459">
        <f t="shared" si="266"/>
        <v>-5697.1862973887764</v>
      </c>
      <c r="M351" s="459">
        <f t="shared" si="266"/>
        <v>-5792.033310047118</v>
      </c>
      <c r="N351" s="459">
        <f t="shared" si="266"/>
        <v>-5758.4455587014381</v>
      </c>
    </row>
    <row r="352" spans="1:14" s="5" customFormat="1">
      <c r="A352" s="884"/>
      <c r="B352" s="8" t="str">
        <f t="shared" si="250"/>
        <v>Physical Education</v>
      </c>
      <c r="C352" s="459">
        <f t="shared" ref="C352:N352" si="267">C222+C275+C326-C101-C127-C153</f>
        <v>-5957.027475046405</v>
      </c>
      <c r="D352" s="459">
        <f t="shared" si="267"/>
        <v>-6692.2295542166139</v>
      </c>
      <c r="E352" s="459">
        <f t="shared" si="267"/>
        <v>-6924.0159020923238</v>
      </c>
      <c r="F352" s="459">
        <f t="shared" si="267"/>
        <v>-7114.4855511222595</v>
      </c>
      <c r="G352" s="459">
        <f t="shared" si="267"/>
        <v>-7272.3525560793387</v>
      </c>
      <c r="H352" s="459">
        <f t="shared" si="267"/>
        <v>-7478.1897252706985</v>
      </c>
      <c r="I352" s="459">
        <f t="shared" si="267"/>
        <v>-7741.5341397938755</v>
      </c>
      <c r="J352" s="459">
        <f t="shared" si="267"/>
        <v>-7879.763961316592</v>
      </c>
      <c r="K352" s="459">
        <f t="shared" si="267"/>
        <v>-7935.6119843184715</v>
      </c>
      <c r="L352" s="459">
        <f t="shared" si="267"/>
        <v>-8073.56888107743</v>
      </c>
      <c r="M352" s="459">
        <f t="shared" si="267"/>
        <v>-8192.729727704369</v>
      </c>
      <c r="N352" s="459">
        <f t="shared" si="267"/>
        <v>-8128.7302004764933</v>
      </c>
    </row>
    <row r="353" spans="1:15" s="5" customFormat="1">
      <c r="A353" s="884"/>
      <c r="B353" s="8" t="str">
        <f t="shared" si="250"/>
        <v>Physics</v>
      </c>
      <c r="C353" s="459">
        <f t="shared" ref="C353:N353" si="268">C223+C276+C327-C102-C128-C154</f>
        <v>7594.3157788373828</v>
      </c>
      <c r="D353" s="459">
        <f t="shared" si="268"/>
        <v>7723.7281556355701</v>
      </c>
      <c r="E353" s="459">
        <f t="shared" si="268"/>
        <v>8010.4308507509631</v>
      </c>
      <c r="F353" s="459">
        <f t="shared" si="268"/>
        <v>8228.4011364234793</v>
      </c>
      <c r="G353" s="459">
        <f t="shared" si="268"/>
        <v>8412.2106328524387</v>
      </c>
      <c r="H353" s="459">
        <f t="shared" si="268"/>
        <v>8666.8439320323305</v>
      </c>
      <c r="I353" s="459">
        <f t="shared" si="268"/>
        <v>9004.9307192397209</v>
      </c>
      <c r="J353" s="459">
        <f t="shared" si="268"/>
        <v>9160.382614092734</v>
      </c>
      <c r="K353" s="459">
        <f t="shared" si="268"/>
        <v>9228.1295292204304</v>
      </c>
      <c r="L353" s="459">
        <f t="shared" si="268"/>
        <v>9434.3569621897877</v>
      </c>
      <c r="M353" s="459">
        <f t="shared" si="268"/>
        <v>9623.7480147288989</v>
      </c>
      <c r="N353" s="459">
        <f t="shared" si="268"/>
        <v>9538.8455331051882</v>
      </c>
    </row>
    <row r="354" spans="1:15" s="5" customFormat="1">
      <c r="A354" s="884"/>
      <c r="B354" s="8" t="str">
        <f t="shared" si="250"/>
        <v>Religious Education</v>
      </c>
      <c r="C354" s="459">
        <f t="shared" ref="C354:N354" si="269">C224+C277+C328-C103-C129-C155</f>
        <v>-2500.8616501094366</v>
      </c>
      <c r="D354" s="459">
        <f t="shared" si="269"/>
        <v>-2814.5441752187253</v>
      </c>
      <c r="E354" s="459">
        <f t="shared" si="269"/>
        <v>-2910.9982270368164</v>
      </c>
      <c r="F354" s="459">
        <f t="shared" si="269"/>
        <v>-2990.6255712845505</v>
      </c>
      <c r="G354" s="459">
        <f t="shared" si="269"/>
        <v>-3056.7319883203745</v>
      </c>
      <c r="H354" s="459">
        <f t="shared" si="269"/>
        <v>-3142.8581017499127</v>
      </c>
      <c r="I354" s="459">
        <f t="shared" si="269"/>
        <v>-3252.9935335910486</v>
      </c>
      <c r="J354" s="459">
        <f t="shared" si="269"/>
        <v>-3311.3139884487719</v>
      </c>
      <c r="K354" s="459">
        <f t="shared" si="269"/>
        <v>-3335.0689977694346</v>
      </c>
      <c r="L354" s="459">
        <f t="shared" si="269"/>
        <v>-3392.4453377414684</v>
      </c>
      <c r="M354" s="459">
        <f t="shared" si="269"/>
        <v>-3441.8305117058881</v>
      </c>
      <c r="N354" s="459">
        <f t="shared" si="269"/>
        <v>-3415.4426659704186</v>
      </c>
    </row>
    <row r="355" spans="1:15" s="5" customFormat="1">
      <c r="A355" s="884"/>
      <c r="B355" s="8" t="str">
        <f t="shared" si="250"/>
        <v>Recalculated Total</v>
      </c>
      <c r="C355" s="538">
        <f>SUM(C336:C354)</f>
        <v>-3.4742697607725859E-10</v>
      </c>
      <c r="D355" s="538">
        <f t="shared" ref="D355:N355" si="270">SUM(D336:D354)</f>
        <v>-5.0204107537865639E-10</v>
      </c>
      <c r="E355" s="538">
        <f t="shared" si="270"/>
        <v>-6.5483618527650833E-10</v>
      </c>
      <c r="F355" s="538">
        <f t="shared" si="270"/>
        <v>-3.510649548843503E-10</v>
      </c>
      <c r="G355" s="538">
        <f t="shared" si="270"/>
        <v>-7.0394889917224646E-10</v>
      </c>
      <c r="H355" s="538">
        <f t="shared" si="270"/>
        <v>-7.9126039054244757E-10</v>
      </c>
      <c r="I355" s="538">
        <f t="shared" si="270"/>
        <v>-1.0022631613537669E-9</v>
      </c>
      <c r="J355" s="538">
        <f t="shared" si="270"/>
        <v>-7.9671735875308514E-10</v>
      </c>
      <c r="K355" s="538">
        <f t="shared" si="270"/>
        <v>-7.4760464485734701E-10</v>
      </c>
      <c r="L355" s="538">
        <f t="shared" si="270"/>
        <v>-8.2036422099918127E-10</v>
      </c>
      <c r="M355" s="538">
        <f t="shared" si="270"/>
        <v>-4.929461283609271E-10</v>
      </c>
      <c r="N355" s="538">
        <f t="shared" si="270"/>
        <v>-1.076841726899147E-9</v>
      </c>
    </row>
    <row r="356" spans="1:15" s="10" customFormat="1">
      <c r="A356" s="10">
        <f>O356</f>
        <v>0</v>
      </c>
      <c r="B356" s="263"/>
      <c r="C356" s="10">
        <f t="shared" ref="C356:N356" si="271">SUM(C336:C354)-C355</f>
        <v>0</v>
      </c>
      <c r="D356" s="10">
        <f t="shared" si="271"/>
        <v>0</v>
      </c>
      <c r="E356" s="10">
        <f t="shared" si="271"/>
        <v>0</v>
      </c>
      <c r="F356" s="10">
        <f t="shared" si="271"/>
        <v>0</v>
      </c>
      <c r="G356" s="10">
        <f t="shared" si="271"/>
        <v>0</v>
      </c>
      <c r="H356" s="10">
        <f t="shared" si="271"/>
        <v>0</v>
      </c>
      <c r="I356" s="10">
        <f t="shared" si="271"/>
        <v>0</v>
      </c>
      <c r="J356" s="10">
        <f t="shared" si="271"/>
        <v>0</v>
      </c>
      <c r="K356" s="10">
        <f t="shared" si="271"/>
        <v>0</v>
      </c>
      <c r="L356" s="10">
        <f t="shared" si="271"/>
        <v>0</v>
      </c>
      <c r="M356" s="10">
        <f t="shared" si="271"/>
        <v>0</v>
      </c>
      <c r="N356" s="10">
        <f t="shared" si="271"/>
        <v>0</v>
      </c>
      <c r="O356" s="10">
        <f>SUM(C356:N356)</f>
        <v>0</v>
      </c>
    </row>
    <row r="357" spans="1:15">
      <c r="A357" s="883"/>
      <c r="B357" s="12"/>
      <c r="D357" s="12"/>
      <c r="E357" s="12"/>
      <c r="F357" s="12"/>
    </row>
    <row r="358" spans="1:15" ht="15.75">
      <c r="A358" s="883"/>
      <c r="B358" s="144" t="s">
        <v>375</v>
      </c>
      <c r="D358" s="12"/>
      <c r="E358" s="12"/>
      <c r="F358" s="12"/>
    </row>
    <row r="359" spans="1:15">
      <c r="A359" s="883"/>
      <c r="B359" s="12"/>
      <c r="D359" s="12"/>
      <c r="E359" s="12"/>
      <c r="F359" s="12"/>
    </row>
    <row r="360" spans="1:15">
      <c r="A360" s="883"/>
      <c r="B360" s="8" t="str">
        <f t="shared" ref="B360:N360" si="272">B136</f>
        <v>Subject</v>
      </c>
      <c r="C360" s="8" t="str">
        <f t="shared" si="272"/>
        <v>2016/17</v>
      </c>
      <c r="D360" s="8" t="str">
        <f t="shared" si="272"/>
        <v>2017/18</v>
      </c>
      <c r="E360" s="8" t="str">
        <f t="shared" si="272"/>
        <v>2018/19</v>
      </c>
      <c r="F360" s="8" t="str">
        <f t="shared" si="272"/>
        <v>2019/20</v>
      </c>
      <c r="G360" s="8" t="str">
        <f t="shared" si="272"/>
        <v>2020/21</v>
      </c>
      <c r="H360" s="8" t="str">
        <f t="shared" si="272"/>
        <v>2021/22</v>
      </c>
      <c r="I360" s="8" t="str">
        <f t="shared" si="272"/>
        <v>2022/23</v>
      </c>
      <c r="J360" s="8" t="str">
        <f t="shared" si="272"/>
        <v>2023/24</v>
      </c>
      <c r="K360" s="8" t="str">
        <f t="shared" si="272"/>
        <v>2024/25</v>
      </c>
      <c r="L360" s="8" t="str">
        <f t="shared" si="272"/>
        <v>2025/26</v>
      </c>
      <c r="M360" s="8" t="str">
        <f t="shared" si="272"/>
        <v>2026/27</v>
      </c>
      <c r="N360" s="8" t="str">
        <f t="shared" si="272"/>
        <v>2027/28</v>
      </c>
    </row>
    <row r="361" spans="1:15" s="5" customFormat="1">
      <c r="A361" s="884"/>
      <c r="B361" s="8" t="str">
        <f t="shared" ref="B361:B380" si="273">B137</f>
        <v>Art &amp; Design</v>
      </c>
      <c r="C361" s="459">
        <f t="shared" ref="C361:N361" si="274">C206+C259+C310</f>
        <v>140481.54266561725</v>
      </c>
      <c r="D361" s="459">
        <f t="shared" si="274"/>
        <v>142167.94817125329</v>
      </c>
      <c r="E361" s="459">
        <f t="shared" si="274"/>
        <v>145089.88139502076</v>
      </c>
      <c r="F361" s="459">
        <f t="shared" si="274"/>
        <v>148556.18786035292</v>
      </c>
      <c r="G361" s="459">
        <f t="shared" si="274"/>
        <v>151472.3450442774</v>
      </c>
      <c r="H361" s="459">
        <f t="shared" si="274"/>
        <v>154696.16758228993</v>
      </c>
      <c r="I361" s="459">
        <f t="shared" si="274"/>
        <v>158348.7583252053</v>
      </c>
      <c r="J361" s="459">
        <f t="shared" si="274"/>
        <v>161666.46048188646</v>
      </c>
      <c r="K361" s="459">
        <f t="shared" si="274"/>
        <v>163103.29189826021</v>
      </c>
      <c r="L361" s="459">
        <f t="shared" si="274"/>
        <v>163639.86262597021</v>
      </c>
      <c r="M361" s="459">
        <f t="shared" si="274"/>
        <v>163503.54033189011</v>
      </c>
      <c r="N361" s="459">
        <f t="shared" si="274"/>
        <v>163211.19775478524</v>
      </c>
    </row>
    <row r="362" spans="1:15" s="5" customFormat="1">
      <c r="A362" s="884"/>
      <c r="B362" s="8" t="str">
        <f t="shared" si="273"/>
        <v>Biology</v>
      </c>
      <c r="C362" s="459">
        <f t="shared" ref="C362:N362" si="275">C207+C260+C311</f>
        <v>211480.20973080694</v>
      </c>
      <c r="D362" s="459">
        <f t="shared" si="275"/>
        <v>214360.69714547039</v>
      </c>
      <c r="E362" s="459">
        <f t="shared" si="275"/>
        <v>219294.50620498514</v>
      </c>
      <c r="F362" s="459">
        <f t="shared" si="275"/>
        <v>224502.05164204777</v>
      </c>
      <c r="G362" s="459">
        <f t="shared" si="275"/>
        <v>228954.53969212004</v>
      </c>
      <c r="H362" s="459">
        <f t="shared" si="275"/>
        <v>234258.91184431681</v>
      </c>
      <c r="I362" s="459">
        <f t="shared" si="275"/>
        <v>240638.77287971324</v>
      </c>
      <c r="J362" s="459">
        <f t="shared" si="275"/>
        <v>245530.67851612062</v>
      </c>
      <c r="K362" s="459">
        <f t="shared" si="275"/>
        <v>247763.0163380462</v>
      </c>
      <c r="L362" s="459">
        <f t="shared" si="275"/>
        <v>249761.36459830179</v>
      </c>
      <c r="M362" s="459">
        <f t="shared" si="275"/>
        <v>250869.09595802156</v>
      </c>
      <c r="N362" s="459">
        <f t="shared" si="275"/>
        <v>250128.02744983131</v>
      </c>
    </row>
    <row r="363" spans="1:15" s="5" customFormat="1">
      <c r="A363" s="884"/>
      <c r="B363" s="8" t="str">
        <f t="shared" si="273"/>
        <v>Business Studies</v>
      </c>
      <c r="C363" s="459">
        <f t="shared" ref="C363:N363" si="276">C208+C261+C312</f>
        <v>70741.343483666264</v>
      </c>
      <c r="D363" s="459">
        <f t="shared" si="276"/>
        <v>70321.383033344493</v>
      </c>
      <c r="E363" s="459">
        <f t="shared" si="276"/>
        <v>70738.700425674338</v>
      </c>
      <c r="F363" s="459">
        <f t="shared" si="276"/>
        <v>71387.133031694306</v>
      </c>
      <c r="G363" s="459">
        <f t="shared" si="276"/>
        <v>72337.225072549743</v>
      </c>
      <c r="H363" s="459">
        <f t="shared" si="276"/>
        <v>73969.421768216678</v>
      </c>
      <c r="I363" s="459">
        <f t="shared" si="276"/>
        <v>76388.949030628341</v>
      </c>
      <c r="J363" s="459">
        <f t="shared" si="276"/>
        <v>78181.168189126285</v>
      </c>
      <c r="K363" s="459">
        <f t="shared" si="276"/>
        <v>79610.042091759708</v>
      </c>
      <c r="L363" s="459">
        <f t="shared" si="276"/>
        <v>81138.594898609052</v>
      </c>
      <c r="M363" s="459">
        <f t="shared" si="276"/>
        <v>82425.306403611859</v>
      </c>
      <c r="N363" s="459">
        <f t="shared" si="276"/>
        <v>82744.903965458259</v>
      </c>
    </row>
    <row r="364" spans="1:15" s="5" customFormat="1">
      <c r="A364" s="884"/>
      <c r="B364" s="8" t="str">
        <f t="shared" si="273"/>
        <v>Chemistry</v>
      </c>
      <c r="C364" s="459">
        <f t="shared" ref="C364:N364" si="277">C209+C262+C313</f>
        <v>184705.75406821244</v>
      </c>
      <c r="D364" s="459">
        <f t="shared" si="277"/>
        <v>187252.38210011885</v>
      </c>
      <c r="E364" s="459">
        <f t="shared" si="277"/>
        <v>191681.01580975286</v>
      </c>
      <c r="F364" s="459">
        <f t="shared" si="277"/>
        <v>196265.19374225638</v>
      </c>
      <c r="G364" s="459">
        <f t="shared" si="277"/>
        <v>200180.84049256699</v>
      </c>
      <c r="H364" s="459">
        <f t="shared" si="277"/>
        <v>204881.92978628297</v>
      </c>
      <c r="I364" s="459">
        <f t="shared" si="277"/>
        <v>210568.53489587636</v>
      </c>
      <c r="J364" s="459">
        <f t="shared" si="277"/>
        <v>214819.23818629907</v>
      </c>
      <c r="K364" s="459">
        <f t="shared" si="277"/>
        <v>216753.81817956222</v>
      </c>
      <c r="L364" s="459">
        <f t="shared" si="277"/>
        <v>218638.93534198013</v>
      </c>
      <c r="M364" s="459">
        <f t="shared" si="277"/>
        <v>219762.05791872545</v>
      </c>
      <c r="N364" s="459">
        <f t="shared" si="277"/>
        <v>219051.48353916229</v>
      </c>
    </row>
    <row r="365" spans="1:15" s="5" customFormat="1">
      <c r="A365" s="884"/>
      <c r="B365" s="8" t="str">
        <f t="shared" si="273"/>
        <v>Classics</v>
      </c>
      <c r="C365" s="459">
        <f t="shared" ref="C365:N365" si="278">C210+C263+C314</f>
        <v>5478.3409443774844</v>
      </c>
      <c r="D365" s="459">
        <f t="shared" si="278"/>
        <v>5495.7397611306169</v>
      </c>
      <c r="E365" s="459">
        <f t="shared" si="278"/>
        <v>5559.5495002065072</v>
      </c>
      <c r="F365" s="459">
        <f t="shared" si="278"/>
        <v>5650.461334404863</v>
      </c>
      <c r="G365" s="459">
        <f t="shared" si="278"/>
        <v>5742.399952362488</v>
      </c>
      <c r="H365" s="459">
        <f t="shared" si="278"/>
        <v>5862.3811438720013</v>
      </c>
      <c r="I365" s="459">
        <f t="shared" si="278"/>
        <v>6016.3587849668802</v>
      </c>
      <c r="J365" s="459">
        <f t="shared" si="278"/>
        <v>6152.293637041068</v>
      </c>
      <c r="K365" s="459">
        <f t="shared" si="278"/>
        <v>6236.1201542132312</v>
      </c>
      <c r="L365" s="459">
        <f t="shared" si="278"/>
        <v>6291.6773010276829</v>
      </c>
      <c r="M365" s="459">
        <f t="shared" si="278"/>
        <v>6323.1980274937887</v>
      </c>
      <c r="N365" s="459">
        <f t="shared" si="278"/>
        <v>6334.9477105304513</v>
      </c>
    </row>
    <row r="366" spans="1:15" s="5" customFormat="1">
      <c r="A366" s="884"/>
      <c r="B366" s="8" t="str">
        <f t="shared" si="273"/>
        <v>Computing</v>
      </c>
      <c r="C366" s="459">
        <f t="shared" ref="C366:N366" si="279">C211+C264+C315</f>
        <v>126133.53455315834</v>
      </c>
      <c r="D366" s="459">
        <f t="shared" si="279"/>
        <v>127581.07757091353</v>
      </c>
      <c r="E366" s="459">
        <f t="shared" si="279"/>
        <v>130314.55180869215</v>
      </c>
      <c r="F366" s="459">
        <f t="shared" si="279"/>
        <v>133409.96731770251</v>
      </c>
      <c r="G366" s="459">
        <f t="shared" si="279"/>
        <v>136034.70341191857</v>
      </c>
      <c r="H366" s="459">
        <f t="shared" si="279"/>
        <v>139030.4329534533</v>
      </c>
      <c r="I366" s="459">
        <f t="shared" si="279"/>
        <v>142515.75381636992</v>
      </c>
      <c r="J366" s="459">
        <f t="shared" si="279"/>
        <v>145469.09675007823</v>
      </c>
      <c r="K366" s="459">
        <f t="shared" si="279"/>
        <v>146781.02196370508</v>
      </c>
      <c r="L366" s="459">
        <f t="shared" si="279"/>
        <v>147549.7430824824</v>
      </c>
      <c r="M366" s="459">
        <f t="shared" si="279"/>
        <v>147744.13501418018</v>
      </c>
      <c r="N366" s="459">
        <f t="shared" si="279"/>
        <v>147417.25675290741</v>
      </c>
    </row>
    <row r="367" spans="1:15" s="5" customFormat="1">
      <c r="A367" s="884"/>
      <c r="B367" s="8" t="str">
        <f t="shared" si="273"/>
        <v>Design &amp; Technology</v>
      </c>
      <c r="C367" s="459">
        <f t="shared" ref="C367:N367" si="280">C212+C265+C316</f>
        <v>177698.37939777359</v>
      </c>
      <c r="D367" s="459">
        <f t="shared" si="280"/>
        <v>180643.24257908348</v>
      </c>
      <c r="E367" s="459">
        <f t="shared" si="280"/>
        <v>185080.62331887893</v>
      </c>
      <c r="F367" s="459">
        <f t="shared" si="280"/>
        <v>190183.42640466502</v>
      </c>
      <c r="G367" s="459">
        <f t="shared" si="280"/>
        <v>194217.3464065927</v>
      </c>
      <c r="H367" s="459">
        <f t="shared" si="280"/>
        <v>198330.57493725716</v>
      </c>
      <c r="I367" s="459">
        <f t="shared" si="280"/>
        <v>202651.07029557863</v>
      </c>
      <c r="J367" s="459">
        <f t="shared" si="280"/>
        <v>206757.00359920456</v>
      </c>
      <c r="K367" s="459">
        <f t="shared" si="280"/>
        <v>208117.2157616684</v>
      </c>
      <c r="L367" s="459">
        <f t="shared" si="280"/>
        <v>208081.02348440728</v>
      </c>
      <c r="M367" s="459">
        <f t="shared" si="280"/>
        <v>207141.70215076514</v>
      </c>
      <c r="N367" s="459">
        <f t="shared" si="280"/>
        <v>206437.20342461416</v>
      </c>
    </row>
    <row r="368" spans="1:15" s="5" customFormat="1">
      <c r="A368" s="884"/>
      <c r="B368" s="8" t="str">
        <f t="shared" si="273"/>
        <v>Drama</v>
      </c>
      <c r="C368" s="459">
        <f t="shared" ref="C368:N368" si="281">C213+C266+C317</f>
        <v>86131.25896780724</v>
      </c>
      <c r="D368" s="459">
        <f t="shared" si="281"/>
        <v>87333.158820208933</v>
      </c>
      <c r="E368" s="459">
        <f t="shared" si="281"/>
        <v>89247.829202524837</v>
      </c>
      <c r="F368" s="459">
        <f t="shared" si="281"/>
        <v>91514.226890981314</v>
      </c>
      <c r="G368" s="459">
        <f t="shared" si="281"/>
        <v>93367.444852715067</v>
      </c>
      <c r="H368" s="459">
        <f t="shared" si="281"/>
        <v>95332.931127530712</v>
      </c>
      <c r="I368" s="459">
        <f t="shared" si="281"/>
        <v>97478.338309642219</v>
      </c>
      <c r="J368" s="459">
        <f t="shared" si="281"/>
        <v>99499.527518497096</v>
      </c>
      <c r="K368" s="459">
        <f t="shared" si="281"/>
        <v>100288.63291688621</v>
      </c>
      <c r="L368" s="459">
        <f t="shared" si="281"/>
        <v>100429.34069843323</v>
      </c>
      <c r="M368" s="459">
        <f t="shared" si="281"/>
        <v>100142.21442357413</v>
      </c>
      <c r="N368" s="459">
        <f t="shared" si="281"/>
        <v>99909.963400275301</v>
      </c>
    </row>
    <row r="369" spans="1:18" s="5" customFormat="1">
      <c r="A369" s="884"/>
      <c r="B369" s="8" t="str">
        <f t="shared" si="273"/>
        <v>English</v>
      </c>
      <c r="C369" s="459">
        <f t="shared" ref="C369:N369" si="282">C214+C267+C318</f>
        <v>516375.15308672126</v>
      </c>
      <c r="D369" s="459">
        <f t="shared" si="282"/>
        <v>525599.14391028625</v>
      </c>
      <c r="E369" s="459">
        <f t="shared" si="282"/>
        <v>539671.37148053735</v>
      </c>
      <c r="F369" s="459">
        <f t="shared" si="282"/>
        <v>554438.83827863913</v>
      </c>
      <c r="G369" s="459">
        <f t="shared" si="282"/>
        <v>566284.74549987714</v>
      </c>
      <c r="H369" s="459">
        <f t="shared" si="282"/>
        <v>579258.75902952033</v>
      </c>
      <c r="I369" s="459">
        <f t="shared" si="282"/>
        <v>593827.65854949539</v>
      </c>
      <c r="J369" s="459">
        <f t="shared" si="282"/>
        <v>605529.05251979991</v>
      </c>
      <c r="K369" s="459">
        <f t="shared" si="282"/>
        <v>609660.72980724438</v>
      </c>
      <c r="L369" s="459">
        <f t="shared" si="282"/>
        <v>612293.66468968301</v>
      </c>
      <c r="M369" s="459">
        <f t="shared" si="282"/>
        <v>612582.88480469317</v>
      </c>
      <c r="N369" s="459">
        <f t="shared" si="282"/>
        <v>609868.69061721594</v>
      </c>
    </row>
    <row r="370" spans="1:18" s="5" customFormat="1">
      <c r="A370" s="884"/>
      <c r="B370" s="8" t="str">
        <f t="shared" si="273"/>
        <v>Food</v>
      </c>
      <c r="C370" s="459">
        <f t="shared" ref="C370:N370" si="283">C215+C268+C319</f>
        <v>36358.197539993627</v>
      </c>
      <c r="D370" s="459">
        <f t="shared" si="283"/>
        <v>36879.708988397499</v>
      </c>
      <c r="E370" s="459">
        <f t="shared" si="283"/>
        <v>37920.896050827483</v>
      </c>
      <c r="F370" s="459">
        <f t="shared" si="283"/>
        <v>38944.337291259864</v>
      </c>
      <c r="G370" s="459">
        <f t="shared" si="283"/>
        <v>39777.412669037607</v>
      </c>
      <c r="H370" s="459">
        <f t="shared" si="283"/>
        <v>40741.758511826214</v>
      </c>
      <c r="I370" s="459">
        <f t="shared" si="283"/>
        <v>41875.53052823164</v>
      </c>
      <c r="J370" s="459">
        <f t="shared" si="283"/>
        <v>42684.699687330052</v>
      </c>
      <c r="K370" s="459">
        <f t="shared" si="283"/>
        <v>42989.617633052716</v>
      </c>
      <c r="L370" s="459">
        <f t="shared" si="283"/>
        <v>43330.568490602745</v>
      </c>
      <c r="M370" s="459">
        <f t="shared" si="283"/>
        <v>43522.951566082826</v>
      </c>
      <c r="N370" s="459">
        <f t="shared" si="283"/>
        <v>43300.746613419971</v>
      </c>
    </row>
    <row r="371" spans="1:18" s="5" customFormat="1">
      <c r="A371" s="884"/>
      <c r="B371" s="8" t="str">
        <f t="shared" si="273"/>
        <v>Geography</v>
      </c>
      <c r="C371" s="459">
        <f t="shared" ref="C371:N371" si="284">C216+C269+C320</f>
        <v>173983.15875245357</v>
      </c>
      <c r="D371" s="459">
        <f t="shared" si="284"/>
        <v>176641.10875419914</v>
      </c>
      <c r="E371" s="459">
        <f t="shared" si="284"/>
        <v>180914.45529819958</v>
      </c>
      <c r="F371" s="459">
        <f t="shared" si="284"/>
        <v>185744.33773620788</v>
      </c>
      <c r="G371" s="459">
        <f t="shared" si="284"/>
        <v>189625.45752353256</v>
      </c>
      <c r="H371" s="459">
        <f t="shared" si="284"/>
        <v>193724.8561944791</v>
      </c>
      <c r="I371" s="459">
        <f t="shared" si="284"/>
        <v>198180.95930388651</v>
      </c>
      <c r="J371" s="459">
        <f t="shared" si="284"/>
        <v>202200.27273279885</v>
      </c>
      <c r="K371" s="459">
        <f t="shared" si="284"/>
        <v>203646.63689755488</v>
      </c>
      <c r="L371" s="459">
        <f t="shared" si="284"/>
        <v>203989.49252303509</v>
      </c>
      <c r="M371" s="459">
        <f t="shared" si="284"/>
        <v>203482.67348208776</v>
      </c>
      <c r="N371" s="459">
        <f t="shared" si="284"/>
        <v>202813.46196563009</v>
      </c>
    </row>
    <row r="372" spans="1:18" s="5" customFormat="1">
      <c r="A372" s="884"/>
      <c r="B372" s="8" t="str">
        <f t="shared" si="273"/>
        <v>History</v>
      </c>
      <c r="C372" s="459">
        <f t="shared" ref="C372:N372" si="285">C217+C270+C321</f>
        <v>186942.68598729925</v>
      </c>
      <c r="D372" s="459">
        <f t="shared" si="285"/>
        <v>189553.45161542331</v>
      </c>
      <c r="E372" s="459">
        <f t="shared" si="285"/>
        <v>193903.0644063167</v>
      </c>
      <c r="F372" s="459">
        <f t="shared" si="285"/>
        <v>198871.32048012689</v>
      </c>
      <c r="G372" s="459">
        <f t="shared" si="285"/>
        <v>202933.58018924337</v>
      </c>
      <c r="H372" s="459">
        <f t="shared" si="285"/>
        <v>207316.61868838134</v>
      </c>
      <c r="I372" s="459">
        <f t="shared" si="285"/>
        <v>212175.96573561634</v>
      </c>
      <c r="J372" s="459">
        <f t="shared" si="285"/>
        <v>216525.55927242988</v>
      </c>
      <c r="K372" s="459">
        <f t="shared" si="285"/>
        <v>218219.43966387952</v>
      </c>
      <c r="L372" s="459">
        <f t="shared" si="285"/>
        <v>218779.55768165097</v>
      </c>
      <c r="M372" s="459">
        <f t="shared" si="285"/>
        <v>218439.69628316525</v>
      </c>
      <c r="N372" s="459">
        <f t="shared" si="285"/>
        <v>217831.47844135604</v>
      </c>
    </row>
    <row r="373" spans="1:18" s="5" customFormat="1">
      <c r="A373" s="884"/>
      <c r="B373" s="8" t="str">
        <f t="shared" si="273"/>
        <v>Mathematics</v>
      </c>
      <c r="C373" s="459">
        <f t="shared" ref="C373:N373" si="286">C218+C271+C322</f>
        <v>523374.29871558677</v>
      </c>
      <c r="D373" s="459">
        <f t="shared" si="286"/>
        <v>536355.08932093275</v>
      </c>
      <c r="E373" s="459">
        <f t="shared" si="286"/>
        <v>549971.76169211301</v>
      </c>
      <c r="F373" s="459">
        <f t="shared" si="286"/>
        <v>564502.8471360479</v>
      </c>
      <c r="G373" s="459">
        <f t="shared" si="286"/>
        <v>576316.07912341342</v>
      </c>
      <c r="H373" s="459">
        <f t="shared" si="286"/>
        <v>589392.85769564251</v>
      </c>
      <c r="I373" s="459">
        <f t="shared" si="286"/>
        <v>604215.91470576345</v>
      </c>
      <c r="J373" s="459">
        <f t="shared" si="286"/>
        <v>616279.58996099222</v>
      </c>
      <c r="K373" s="459">
        <f t="shared" si="286"/>
        <v>620836.82170478953</v>
      </c>
      <c r="L373" s="459">
        <f t="shared" si="286"/>
        <v>623682.91477228596</v>
      </c>
      <c r="M373" s="459">
        <f t="shared" si="286"/>
        <v>624133.0906012936</v>
      </c>
      <c r="N373" s="459">
        <f t="shared" si="286"/>
        <v>621724.46491069125</v>
      </c>
    </row>
    <row r="374" spans="1:18" s="5" customFormat="1">
      <c r="A374" s="884"/>
      <c r="B374" s="8" t="str">
        <f t="shared" si="273"/>
        <v>Modern Foreign Languages</v>
      </c>
      <c r="C374" s="459">
        <f t="shared" ref="C374:N374" si="287">C219+C272+C323</f>
        <v>248208.52654607996</v>
      </c>
      <c r="D374" s="459">
        <f t="shared" si="287"/>
        <v>252429.58750352543</v>
      </c>
      <c r="E374" s="459">
        <f t="shared" si="287"/>
        <v>258869.06799416617</v>
      </c>
      <c r="F374" s="459">
        <f t="shared" si="287"/>
        <v>266127.16190137219</v>
      </c>
      <c r="G374" s="459">
        <f t="shared" si="287"/>
        <v>271836.62041150202</v>
      </c>
      <c r="H374" s="459">
        <f t="shared" si="287"/>
        <v>277673.77873631625</v>
      </c>
      <c r="I374" s="459">
        <f t="shared" si="287"/>
        <v>283820.54593607207</v>
      </c>
      <c r="J374" s="459">
        <f t="shared" si="287"/>
        <v>289516.07979722909</v>
      </c>
      <c r="K374" s="459">
        <f t="shared" si="287"/>
        <v>291342.22086982243</v>
      </c>
      <c r="L374" s="459">
        <f t="shared" si="287"/>
        <v>291387.9255414838</v>
      </c>
      <c r="M374" s="459">
        <f t="shared" si="287"/>
        <v>290186.65615895786</v>
      </c>
      <c r="N374" s="459">
        <f t="shared" si="287"/>
        <v>289081.30160924216</v>
      </c>
    </row>
    <row r="375" spans="1:18" s="5" customFormat="1">
      <c r="A375" s="884"/>
      <c r="B375" s="8" t="str">
        <f t="shared" si="273"/>
        <v>Music</v>
      </c>
      <c r="C375" s="459">
        <f t="shared" ref="C375:N375" si="288">C220+C273+C324</f>
        <v>87162.74555798553</v>
      </c>
      <c r="D375" s="459">
        <f t="shared" si="288"/>
        <v>88587.702421611946</v>
      </c>
      <c r="E375" s="459">
        <f t="shared" si="288"/>
        <v>90617.875129051841</v>
      </c>
      <c r="F375" s="459">
        <f t="shared" si="288"/>
        <v>93071.894406105886</v>
      </c>
      <c r="G375" s="459">
        <f t="shared" si="288"/>
        <v>95016.108844322371</v>
      </c>
      <c r="H375" s="459">
        <f t="shared" si="288"/>
        <v>96954.506192731438</v>
      </c>
      <c r="I375" s="459">
        <f t="shared" si="288"/>
        <v>98944.592500729283</v>
      </c>
      <c r="J375" s="459">
        <f t="shared" si="288"/>
        <v>100985.57592908879</v>
      </c>
      <c r="K375" s="459">
        <f t="shared" si="288"/>
        <v>101675.58121915633</v>
      </c>
      <c r="L375" s="459">
        <f t="shared" si="288"/>
        <v>101503.21438569433</v>
      </c>
      <c r="M375" s="459">
        <f t="shared" si="288"/>
        <v>100869.85695254533</v>
      </c>
      <c r="N375" s="459">
        <f t="shared" si="288"/>
        <v>100601.48971296837</v>
      </c>
    </row>
    <row r="376" spans="1:18" s="5" customFormat="1">
      <c r="A376" s="884"/>
      <c r="B376" s="8" t="str">
        <f t="shared" si="273"/>
        <v>Others</v>
      </c>
      <c r="C376" s="459">
        <f t="shared" ref="C376:N376" si="289">C221+C274+C325</f>
        <v>262056.891100623</v>
      </c>
      <c r="D376" s="459">
        <f t="shared" si="289"/>
        <v>261373.69845086907</v>
      </c>
      <c r="E376" s="459">
        <f t="shared" si="289"/>
        <v>262942.9469219012</v>
      </c>
      <c r="F376" s="459">
        <f t="shared" si="289"/>
        <v>265926.44522334699</v>
      </c>
      <c r="G376" s="459">
        <f t="shared" si="289"/>
        <v>269659.69242404675</v>
      </c>
      <c r="H376" s="459">
        <f t="shared" si="289"/>
        <v>275272.7426213125</v>
      </c>
      <c r="I376" s="459">
        <f t="shared" si="289"/>
        <v>283092.98726091743</v>
      </c>
      <c r="J376" s="459">
        <f t="shared" si="289"/>
        <v>289783.88010592462</v>
      </c>
      <c r="K376" s="459">
        <f t="shared" si="289"/>
        <v>294656.56080274784</v>
      </c>
      <c r="L376" s="459">
        <f t="shared" si="289"/>
        <v>298516.70527545689</v>
      </c>
      <c r="M376" s="459">
        <f t="shared" si="289"/>
        <v>301309.28649408079</v>
      </c>
      <c r="N376" s="459">
        <f t="shared" si="289"/>
        <v>302549.4593063069</v>
      </c>
    </row>
    <row r="377" spans="1:18" s="5" customFormat="1">
      <c r="A377" s="884"/>
      <c r="B377" s="8" t="str">
        <f t="shared" si="273"/>
        <v>Physical Education</v>
      </c>
      <c r="C377" s="459">
        <f t="shared" ref="C377:N377" si="290">C222+C275+C326</f>
        <v>280221.96945751726</v>
      </c>
      <c r="D377" s="459">
        <f t="shared" si="290"/>
        <v>284524.97065331094</v>
      </c>
      <c r="E377" s="459">
        <f t="shared" si="290"/>
        <v>291900.3824873977</v>
      </c>
      <c r="F377" s="459">
        <f t="shared" si="290"/>
        <v>299815.4368006608</v>
      </c>
      <c r="G377" s="459">
        <f t="shared" si="290"/>
        <v>306171.9769957742</v>
      </c>
      <c r="H377" s="459">
        <f t="shared" si="290"/>
        <v>313063.4162827282</v>
      </c>
      <c r="I377" s="459">
        <f t="shared" si="290"/>
        <v>320733.57889692963</v>
      </c>
      <c r="J377" s="459">
        <f t="shared" si="290"/>
        <v>327113.57921983814</v>
      </c>
      <c r="K377" s="459">
        <f t="shared" si="290"/>
        <v>329387.32250025711</v>
      </c>
      <c r="L377" s="459">
        <f t="shared" si="290"/>
        <v>330551.56966499443</v>
      </c>
      <c r="M377" s="459">
        <f t="shared" si="290"/>
        <v>330416.63491835387</v>
      </c>
      <c r="N377" s="459">
        <f t="shared" si="290"/>
        <v>329075.58106474124</v>
      </c>
    </row>
    <row r="378" spans="1:18" s="5" customFormat="1">
      <c r="A378" s="884"/>
      <c r="B378" s="8" t="str">
        <f t="shared" si="273"/>
        <v>Physics</v>
      </c>
      <c r="C378" s="459">
        <f t="shared" ref="C378:N378" si="291">C223+C276+C327</f>
        <v>176995.31457465902</v>
      </c>
      <c r="D378" s="459">
        <f t="shared" si="291"/>
        <v>179611.06847787939</v>
      </c>
      <c r="E378" s="459">
        <f t="shared" si="291"/>
        <v>184105.71975758116</v>
      </c>
      <c r="F378" s="459">
        <f t="shared" si="291"/>
        <v>188669.75442204002</v>
      </c>
      <c r="G378" s="459">
        <f t="shared" si="291"/>
        <v>192512.78971094542</v>
      </c>
      <c r="H378" s="459">
        <f t="shared" si="291"/>
        <v>197085.68212119929</v>
      </c>
      <c r="I378" s="459">
        <f t="shared" si="291"/>
        <v>202579.55566549269</v>
      </c>
      <c r="J378" s="459">
        <f t="shared" si="291"/>
        <v>206615.35542377902</v>
      </c>
      <c r="K378" s="459">
        <f t="shared" si="291"/>
        <v>208366.88553019927</v>
      </c>
      <c r="L378" s="459">
        <f t="shared" si="291"/>
        <v>210160.5063567867</v>
      </c>
      <c r="M378" s="459">
        <f t="shared" si="291"/>
        <v>211228.19058519852</v>
      </c>
      <c r="N378" s="459">
        <f t="shared" si="291"/>
        <v>210425.49171845455</v>
      </c>
    </row>
    <row r="379" spans="1:18" s="5" customFormat="1">
      <c r="A379" s="884"/>
      <c r="B379" s="8" t="str">
        <f t="shared" si="273"/>
        <v>Religious Education</v>
      </c>
      <c r="C379" s="459">
        <f t="shared" ref="C379:N379" si="292">C224+C277+C328</f>
        <v>123041.88568022332</v>
      </c>
      <c r="D379" s="459">
        <f t="shared" si="292"/>
        <v>124816.25433284683</v>
      </c>
      <c r="E379" s="459">
        <f t="shared" si="292"/>
        <v>127881.79956052442</v>
      </c>
      <c r="F379" s="459">
        <f t="shared" si="292"/>
        <v>131238.7083641442</v>
      </c>
      <c r="G379" s="459">
        <f t="shared" si="292"/>
        <v>133967.06200373892</v>
      </c>
      <c r="H379" s="459">
        <f t="shared" si="292"/>
        <v>136946.66221695617</v>
      </c>
      <c r="I379" s="459">
        <f t="shared" si="292"/>
        <v>140285.04882632123</v>
      </c>
      <c r="J379" s="459">
        <f t="shared" si="292"/>
        <v>143112.36723705067</v>
      </c>
      <c r="K379" s="459">
        <f t="shared" si="292"/>
        <v>144181.76931369543</v>
      </c>
      <c r="L379" s="459">
        <f t="shared" si="292"/>
        <v>144703.62030851029</v>
      </c>
      <c r="M379" s="459">
        <f t="shared" si="292"/>
        <v>144652.22507995827</v>
      </c>
      <c r="N379" s="459">
        <f t="shared" si="292"/>
        <v>144147.30396227288</v>
      </c>
    </row>
    <row r="380" spans="1:18" s="5" customFormat="1">
      <c r="A380" s="884"/>
      <c r="B380" s="8" t="str">
        <f t="shared" si="273"/>
        <v>Total</v>
      </c>
      <c r="C380" s="459">
        <f t="shared" ref="C380:N380" si="293">C225+C278+C329</f>
        <v>3617571.1908105621</v>
      </c>
      <c r="D380" s="459">
        <f t="shared" si="293"/>
        <v>3671527.4136108067</v>
      </c>
      <c r="E380" s="459">
        <f t="shared" si="293"/>
        <v>3755705.9984443523</v>
      </c>
      <c r="F380" s="459">
        <f t="shared" si="293"/>
        <v>3848819.7302640569</v>
      </c>
      <c r="G380" s="459">
        <f t="shared" si="293"/>
        <v>3926408.3703205367</v>
      </c>
      <c r="H380" s="459">
        <f t="shared" si="293"/>
        <v>4013794.3894343134</v>
      </c>
      <c r="I380" s="459">
        <f t="shared" si="293"/>
        <v>4114338.8742474364</v>
      </c>
      <c r="J380" s="459">
        <f t="shared" si="293"/>
        <v>4198421.4787645144</v>
      </c>
      <c r="K380" s="459">
        <f t="shared" si="293"/>
        <v>4233616.7452465007</v>
      </c>
      <c r="L380" s="459">
        <f t="shared" si="293"/>
        <v>4254430.2817213964</v>
      </c>
      <c r="M380" s="459">
        <f t="shared" si="293"/>
        <v>4258735.3971546795</v>
      </c>
      <c r="N380" s="459">
        <f t="shared" si="293"/>
        <v>4246654.4539198643</v>
      </c>
    </row>
    <row r="381" spans="1:18">
      <c r="A381" s="10">
        <f>O381</f>
        <v>0</v>
      </c>
      <c r="B381" s="12"/>
      <c r="C381" s="10">
        <f t="shared" ref="C381:N381" si="294">SUM(C361:C379)-C380</f>
        <v>0</v>
      </c>
      <c r="D381" s="10">
        <f t="shared" si="294"/>
        <v>0</v>
      </c>
      <c r="E381" s="10">
        <f t="shared" si="294"/>
        <v>0</v>
      </c>
      <c r="F381" s="10">
        <f t="shared" si="294"/>
        <v>0</v>
      </c>
      <c r="G381" s="10">
        <f t="shared" si="294"/>
        <v>0</v>
      </c>
      <c r="H381" s="10">
        <f t="shared" si="294"/>
        <v>0</v>
      </c>
      <c r="I381" s="10">
        <f t="shared" si="294"/>
        <v>0</v>
      </c>
      <c r="J381" s="10">
        <f t="shared" si="294"/>
        <v>0</v>
      </c>
      <c r="K381" s="10">
        <f t="shared" si="294"/>
        <v>0</v>
      </c>
      <c r="L381" s="10">
        <f t="shared" si="294"/>
        <v>0</v>
      </c>
      <c r="M381" s="10">
        <f t="shared" si="294"/>
        <v>0</v>
      </c>
      <c r="N381" s="10">
        <f t="shared" si="294"/>
        <v>0</v>
      </c>
      <c r="O381" s="10">
        <f>SUM(C381:N381)</f>
        <v>0</v>
      </c>
    </row>
    <row r="382" spans="1:18">
      <c r="A382" s="883"/>
      <c r="B382" s="150" t="s">
        <v>90</v>
      </c>
      <c r="C382" s="10">
        <f t="shared" ref="C382:N382" si="295">C380-C329-C278-C225</f>
        <v>0</v>
      </c>
      <c r="D382" s="10">
        <f t="shared" si="295"/>
        <v>0</v>
      </c>
      <c r="E382" s="10">
        <f t="shared" si="295"/>
        <v>0</v>
      </c>
      <c r="F382" s="10">
        <f t="shared" si="295"/>
        <v>0</v>
      </c>
      <c r="G382" s="10">
        <f t="shared" si="295"/>
        <v>0</v>
      </c>
      <c r="H382" s="10">
        <f t="shared" si="295"/>
        <v>0</v>
      </c>
      <c r="I382" s="10">
        <f t="shared" si="295"/>
        <v>0</v>
      </c>
      <c r="J382" s="10">
        <f t="shared" si="295"/>
        <v>0</v>
      </c>
      <c r="K382" s="10">
        <f t="shared" si="295"/>
        <v>0</v>
      </c>
      <c r="L382" s="10">
        <f t="shared" si="295"/>
        <v>0</v>
      </c>
      <c r="M382" s="10">
        <f t="shared" si="295"/>
        <v>0</v>
      </c>
      <c r="N382" s="10">
        <f t="shared" si="295"/>
        <v>0</v>
      </c>
    </row>
    <row r="383" spans="1:18">
      <c r="A383" s="883"/>
      <c r="B383" s="12"/>
      <c r="D383" s="12"/>
      <c r="E383" s="12"/>
      <c r="F383" s="12"/>
      <c r="P383" s="456"/>
      <c r="Q383" s="1"/>
      <c r="R383" s="1"/>
    </row>
    <row r="384" spans="1:18">
      <c r="A384" s="883"/>
      <c r="B384" s="8" t="str">
        <f t="shared" ref="B384:N384" si="296">B360</f>
        <v>Subject</v>
      </c>
      <c r="C384" s="8" t="str">
        <f t="shared" si="296"/>
        <v>2016/17</v>
      </c>
      <c r="D384" s="8" t="str">
        <f t="shared" si="296"/>
        <v>2017/18</v>
      </c>
      <c r="E384" s="8" t="str">
        <f t="shared" si="296"/>
        <v>2018/19</v>
      </c>
      <c r="F384" s="8" t="str">
        <f t="shared" si="296"/>
        <v>2019/20</v>
      </c>
      <c r="G384" s="8" t="str">
        <f t="shared" si="296"/>
        <v>2020/21</v>
      </c>
      <c r="H384" s="8" t="str">
        <f t="shared" si="296"/>
        <v>2021/22</v>
      </c>
      <c r="I384" s="8" t="str">
        <f t="shared" si="296"/>
        <v>2022/23</v>
      </c>
      <c r="J384" s="8" t="str">
        <f t="shared" si="296"/>
        <v>2023/24</v>
      </c>
      <c r="K384" s="8" t="str">
        <f t="shared" si="296"/>
        <v>2024/25</v>
      </c>
      <c r="L384" s="8" t="str">
        <f t="shared" si="296"/>
        <v>2025/26</v>
      </c>
      <c r="M384" s="8" t="str">
        <f t="shared" si="296"/>
        <v>2026/27</v>
      </c>
      <c r="N384" s="8" t="str">
        <f t="shared" si="296"/>
        <v>2027/28</v>
      </c>
      <c r="P384" s="1"/>
      <c r="Q384" s="1"/>
      <c r="R384" s="1"/>
    </row>
    <row r="385" spans="1:18" s="5" customFormat="1">
      <c r="A385" s="884"/>
      <c r="B385" s="8" t="str">
        <f t="shared" ref="B385:B404" si="297">B361</f>
        <v>Art &amp; Design</v>
      </c>
      <c r="C385" s="539">
        <f t="shared" ref="C385:N385" si="298">C361/C$380</f>
        <v>3.8833110740839519E-2</v>
      </c>
      <c r="D385" s="539">
        <f t="shared" si="298"/>
        <v>3.8721744973010168E-2</v>
      </c>
      <c r="E385" s="539">
        <f t="shared" si="298"/>
        <v>3.8631852827435989E-2</v>
      </c>
      <c r="F385" s="539">
        <f t="shared" si="298"/>
        <v>3.8597855517166789E-2</v>
      </c>
      <c r="G385" s="539">
        <f t="shared" si="298"/>
        <v>3.8577837748423452E-2</v>
      </c>
      <c r="H385" s="539">
        <f t="shared" si="298"/>
        <v>3.8541129059700571E-2</v>
      </c>
      <c r="I385" s="539">
        <f t="shared" si="298"/>
        <v>3.8487048141888712E-2</v>
      </c>
      <c r="J385" s="539">
        <f t="shared" si="298"/>
        <v>3.8506486616360552E-2</v>
      </c>
      <c r="K385" s="539">
        <f t="shared" si="298"/>
        <v>3.8525757458180966E-2</v>
      </c>
      <c r="L385" s="539">
        <f t="shared" si="298"/>
        <v>3.8463402098520103E-2</v>
      </c>
      <c r="M385" s="539">
        <f t="shared" si="298"/>
        <v>3.8392509767366412E-2</v>
      </c>
      <c r="N385" s="539">
        <f t="shared" si="298"/>
        <v>3.8432888648176573E-2</v>
      </c>
      <c r="P385" s="540"/>
      <c r="Q385" s="541"/>
      <c r="R385" s="542"/>
    </row>
    <row r="386" spans="1:18" s="5" customFormat="1">
      <c r="A386" s="884"/>
      <c r="B386" s="8" t="str">
        <f t="shared" si="297"/>
        <v>Biology</v>
      </c>
      <c r="C386" s="539">
        <f t="shared" ref="C386:N386" si="299">C362/C$380</f>
        <v>5.8459170138244643E-2</v>
      </c>
      <c r="D386" s="539">
        <f t="shared" si="299"/>
        <v>5.8384610271683859E-2</v>
      </c>
      <c r="E386" s="539">
        <f t="shared" si="299"/>
        <v>5.8389689261038782E-2</v>
      </c>
      <c r="F386" s="539">
        <f t="shared" si="299"/>
        <v>5.8330103090238859E-2</v>
      </c>
      <c r="G386" s="539">
        <f t="shared" si="299"/>
        <v>5.8311443461350684E-2</v>
      </c>
      <c r="H386" s="539">
        <f t="shared" si="299"/>
        <v>5.8363455901220752E-2</v>
      </c>
      <c r="I386" s="539">
        <f t="shared" si="299"/>
        <v>5.8487834919462987E-2</v>
      </c>
      <c r="J386" s="539">
        <f t="shared" si="299"/>
        <v>5.8481665015770137E-2</v>
      </c>
      <c r="K386" s="539">
        <f t="shared" si="299"/>
        <v>5.8522778807560745E-2</v>
      </c>
      <c r="L386" s="539">
        <f t="shared" si="299"/>
        <v>5.8706183451017836E-2</v>
      </c>
      <c r="M386" s="539">
        <f t="shared" si="299"/>
        <v>5.8906945974063263E-2</v>
      </c>
      <c r="N386" s="539">
        <f t="shared" si="299"/>
        <v>5.8900018865191923E-2</v>
      </c>
      <c r="P386" s="540"/>
      <c r="Q386" s="542"/>
      <c r="R386" s="542"/>
    </row>
    <row r="387" spans="1:18" s="5" customFormat="1">
      <c r="A387" s="884"/>
      <c r="B387" s="8" t="str">
        <f t="shared" si="297"/>
        <v>Business Studies</v>
      </c>
      <c r="C387" s="539">
        <f t="shared" ref="C387:N387" si="300">C363/C$380</f>
        <v>1.9554927809953004E-2</v>
      </c>
      <c r="D387" s="539">
        <f t="shared" si="300"/>
        <v>1.9153168453176848E-2</v>
      </c>
      <c r="E387" s="539">
        <f t="shared" si="300"/>
        <v>1.8834994127595438E-2</v>
      </c>
      <c r="F387" s="539">
        <f t="shared" si="300"/>
        <v>1.8547798555064211E-2</v>
      </c>
      <c r="G387" s="539">
        <f t="shared" si="300"/>
        <v>1.84232556193956E-2</v>
      </c>
      <c r="H387" s="539">
        <f t="shared" si="300"/>
        <v>1.8428801924415865E-2</v>
      </c>
      <c r="I387" s="539">
        <f t="shared" si="300"/>
        <v>1.8566518550225355E-2</v>
      </c>
      <c r="J387" s="539">
        <f t="shared" si="300"/>
        <v>1.8621562552631796E-2</v>
      </c>
      <c r="K387" s="539">
        <f t="shared" si="300"/>
        <v>1.8804262851885627E-2</v>
      </c>
      <c r="L387" s="539">
        <f t="shared" si="300"/>
        <v>1.9071553539662035E-2</v>
      </c>
      <c r="M387" s="539">
        <f t="shared" si="300"/>
        <v>1.9354408930566891E-2</v>
      </c>
      <c r="N387" s="539">
        <f t="shared" si="300"/>
        <v>1.9484727298469215E-2</v>
      </c>
      <c r="P387" s="540"/>
      <c r="Q387" s="542"/>
      <c r="R387" s="542"/>
    </row>
    <row r="388" spans="1:18" s="5" customFormat="1">
      <c r="A388" s="884"/>
      <c r="B388" s="8" t="str">
        <f t="shared" si="297"/>
        <v>Chemistry</v>
      </c>
      <c r="C388" s="539">
        <f t="shared" ref="C388:N388" si="301">C364/C$380</f>
        <v>5.1057945877445693E-2</v>
      </c>
      <c r="D388" s="539">
        <f t="shared" si="301"/>
        <v>5.1001221291703036E-2</v>
      </c>
      <c r="E388" s="539">
        <f t="shared" si="301"/>
        <v>5.1037279246338475E-2</v>
      </c>
      <c r="F388" s="539">
        <f t="shared" si="301"/>
        <v>5.0993605182124535E-2</v>
      </c>
      <c r="G388" s="539">
        <f t="shared" si="301"/>
        <v>5.0983194210189861E-2</v>
      </c>
      <c r="H388" s="539">
        <f t="shared" si="301"/>
        <v>5.1044450688755419E-2</v>
      </c>
      <c r="I388" s="539">
        <f t="shared" si="301"/>
        <v>5.1179190954316313E-2</v>
      </c>
      <c r="J388" s="539">
        <f t="shared" si="301"/>
        <v>5.1166668061519816E-2</v>
      </c>
      <c r="K388" s="539">
        <f t="shared" si="301"/>
        <v>5.1198261728091735E-2</v>
      </c>
      <c r="L388" s="539">
        <f t="shared" si="301"/>
        <v>5.1390884528378276E-2</v>
      </c>
      <c r="M388" s="539">
        <f t="shared" si="301"/>
        <v>5.1602656052675062E-2</v>
      </c>
      <c r="N388" s="539">
        <f t="shared" si="301"/>
        <v>5.1582130337203991E-2</v>
      </c>
      <c r="P388" s="540"/>
      <c r="Q388" s="542"/>
      <c r="R388" s="542"/>
    </row>
    <row r="389" spans="1:18" s="5" customFormat="1">
      <c r="A389" s="884"/>
      <c r="B389" s="8" t="str">
        <f t="shared" si="297"/>
        <v>Classics</v>
      </c>
      <c r="C389" s="539">
        <f t="shared" ref="C389:N389" si="302">C365/C$380</f>
        <v>1.5143699060556686E-3</v>
      </c>
      <c r="D389" s="539">
        <f t="shared" si="302"/>
        <v>1.4968538000716619E-3</v>
      </c>
      <c r="E389" s="539">
        <f t="shared" si="302"/>
        <v>1.4802941184718194E-3</v>
      </c>
      <c r="F389" s="539">
        <f t="shared" si="302"/>
        <v>1.4681023613483711E-3</v>
      </c>
      <c r="G389" s="539">
        <f t="shared" si="302"/>
        <v>1.462507057536071E-3</v>
      </c>
      <c r="H389" s="539">
        <f t="shared" si="302"/>
        <v>1.460558408099778E-3</v>
      </c>
      <c r="I389" s="539">
        <f t="shared" si="302"/>
        <v>1.4622905329030164E-3</v>
      </c>
      <c r="J389" s="539">
        <f t="shared" si="302"/>
        <v>1.4653825653663354E-3</v>
      </c>
      <c r="K389" s="539">
        <f t="shared" si="302"/>
        <v>1.4730006350279908E-3</v>
      </c>
      <c r="L389" s="539">
        <f t="shared" si="302"/>
        <v>1.4788530741845865E-3</v>
      </c>
      <c r="M389" s="539">
        <f t="shared" si="302"/>
        <v>1.4847595442812448E-3</v>
      </c>
      <c r="N389" s="539">
        <f t="shared" si="302"/>
        <v>1.4917502187358318E-3</v>
      </c>
      <c r="P389" s="540"/>
      <c r="Q389" s="542"/>
      <c r="R389" s="542"/>
    </row>
    <row r="390" spans="1:18" s="5" customFormat="1">
      <c r="A390" s="884"/>
      <c r="B390" s="8" t="str">
        <f t="shared" si="297"/>
        <v>Computing</v>
      </c>
      <c r="C390" s="539">
        <f t="shared" ref="C390:N390" si="303">C366/C$380</f>
        <v>3.4866911499507089E-2</v>
      </c>
      <c r="D390" s="539">
        <f t="shared" si="303"/>
        <v>3.4748774337883107E-2</v>
      </c>
      <c r="E390" s="539">
        <f t="shared" si="303"/>
        <v>3.4697751065357517E-2</v>
      </c>
      <c r="F390" s="539">
        <f t="shared" si="303"/>
        <v>3.4662565842892727E-2</v>
      </c>
      <c r="G390" s="539">
        <f t="shared" si="303"/>
        <v>3.4646091435673369E-2</v>
      </c>
      <c r="H390" s="539">
        <f t="shared" si="303"/>
        <v>3.4638155187876385E-2</v>
      </c>
      <c r="I390" s="539">
        <f t="shared" si="303"/>
        <v>3.4638798157440989E-2</v>
      </c>
      <c r="J390" s="539">
        <f t="shared" si="303"/>
        <v>3.4648521470713789E-2</v>
      </c>
      <c r="K390" s="539">
        <f t="shared" si="303"/>
        <v>3.4670361252824931E-2</v>
      </c>
      <c r="L390" s="539">
        <f t="shared" si="303"/>
        <v>3.4681434013952607E-2</v>
      </c>
      <c r="M390" s="539">
        <f t="shared" si="303"/>
        <v>3.4692020338453075E-2</v>
      </c>
      <c r="N390" s="539">
        <f t="shared" si="303"/>
        <v>3.4713739568999841E-2</v>
      </c>
      <c r="P390" s="540"/>
      <c r="Q390" s="542"/>
      <c r="R390" s="542"/>
    </row>
    <row r="391" spans="1:18" s="5" customFormat="1">
      <c r="A391" s="884"/>
      <c r="B391" s="8" t="str">
        <f t="shared" si="297"/>
        <v>Design &amp; Technology</v>
      </c>
      <c r="C391" s="539">
        <f t="shared" ref="C391:N391" si="304">C367/C$380</f>
        <v>4.9120907378178792E-2</v>
      </c>
      <c r="D391" s="539">
        <f t="shared" si="304"/>
        <v>4.9201115020799414E-2</v>
      </c>
      <c r="E391" s="539">
        <f t="shared" si="304"/>
        <v>4.927984868771438E-2</v>
      </c>
      <c r="F391" s="539">
        <f t="shared" si="304"/>
        <v>4.9413440933388966E-2</v>
      </c>
      <c r="G391" s="539">
        <f t="shared" si="304"/>
        <v>4.9464377642088601E-2</v>
      </c>
      <c r="H391" s="539">
        <f t="shared" si="304"/>
        <v>4.9412240811171446E-2</v>
      </c>
      <c r="I391" s="539">
        <f t="shared" si="304"/>
        <v>4.9254832061602125E-2</v>
      </c>
      <c r="J391" s="539">
        <f t="shared" si="304"/>
        <v>4.9246366674945585E-2</v>
      </c>
      <c r="K391" s="539">
        <f t="shared" si="304"/>
        <v>4.9158255998335731E-2</v>
      </c>
      <c r="L391" s="539">
        <f t="shared" si="304"/>
        <v>4.8909256870044437E-2</v>
      </c>
      <c r="M391" s="539">
        <f t="shared" si="304"/>
        <v>4.8639251522684265E-2</v>
      </c>
      <c r="N391" s="539">
        <f t="shared" si="304"/>
        <v>4.8611726163418544E-2</v>
      </c>
      <c r="P391" s="540"/>
      <c r="Q391" s="542"/>
      <c r="R391" s="542"/>
    </row>
    <row r="392" spans="1:18" s="5" customFormat="1">
      <c r="A392" s="884"/>
      <c r="B392" s="8" t="str">
        <f t="shared" si="297"/>
        <v>Drama</v>
      </c>
      <c r="C392" s="539">
        <f t="shared" ref="C392:N392" si="305">C368/C$380</f>
        <v>2.3809140007140663E-2</v>
      </c>
      <c r="D392" s="539">
        <f t="shared" si="305"/>
        <v>2.3786601319236812E-2</v>
      </c>
      <c r="E392" s="539">
        <f t="shared" si="305"/>
        <v>2.3763262949627075E-2</v>
      </c>
      <c r="F392" s="539">
        <f t="shared" si="305"/>
        <v>2.3777218291463804E-2</v>
      </c>
      <c r="G392" s="539">
        <f t="shared" si="305"/>
        <v>2.3779351520965945E-2</v>
      </c>
      <c r="H392" s="539">
        <f t="shared" si="305"/>
        <v>2.3751324028574997E-2</v>
      </c>
      <c r="I392" s="539">
        <f t="shared" si="305"/>
        <v>2.369234554785481E-2</v>
      </c>
      <c r="J392" s="539">
        <f t="shared" si="305"/>
        <v>2.3699270790644201E-2</v>
      </c>
      <c r="K392" s="539">
        <f t="shared" si="305"/>
        <v>2.3688642348056222E-2</v>
      </c>
      <c r="L392" s="539">
        <f t="shared" si="305"/>
        <v>2.3605825938649121E-2</v>
      </c>
      <c r="M392" s="539">
        <f t="shared" si="305"/>
        <v>2.351454248378064E-2</v>
      </c>
      <c r="N392" s="539">
        <f t="shared" si="305"/>
        <v>2.3526746638887382E-2</v>
      </c>
      <c r="P392" s="540"/>
      <c r="Q392" s="542"/>
      <c r="R392" s="542"/>
    </row>
    <row r="393" spans="1:18" s="5" customFormat="1">
      <c r="A393" s="884"/>
      <c r="B393" s="8" t="str">
        <f t="shared" si="297"/>
        <v>English</v>
      </c>
      <c r="C393" s="539">
        <f t="shared" ref="C393:N393" si="306">C369/C$380</f>
        <v>0.1427408407050646</v>
      </c>
      <c r="D393" s="539">
        <f t="shared" si="306"/>
        <v>0.14315544586752238</v>
      </c>
      <c r="E393" s="539">
        <f t="shared" si="306"/>
        <v>0.14369372142123854</v>
      </c>
      <c r="F393" s="539">
        <f t="shared" si="306"/>
        <v>0.14405424964930758</v>
      </c>
      <c r="G393" s="539">
        <f t="shared" si="306"/>
        <v>0.14422461753606333</v>
      </c>
      <c r="H393" s="539">
        <f t="shared" si="306"/>
        <v>0.14431699853742597</v>
      </c>
      <c r="I393" s="539">
        <f t="shared" si="306"/>
        <v>0.14433124657436339</v>
      </c>
      <c r="J393" s="539">
        <f t="shared" si="306"/>
        <v>0.14422779027368907</v>
      </c>
      <c r="K393" s="539">
        <f t="shared" si="306"/>
        <v>0.14400470484055286</v>
      </c>
      <c r="L393" s="539">
        <f t="shared" si="306"/>
        <v>0.14391907356440242</v>
      </c>
      <c r="M393" s="539">
        <f t="shared" si="306"/>
        <v>0.14384149933662663</v>
      </c>
      <c r="N393" s="539">
        <f t="shared" si="306"/>
        <v>0.14361156464102656</v>
      </c>
      <c r="P393" s="540"/>
      <c r="Q393" s="542"/>
      <c r="R393" s="542"/>
    </row>
    <row r="394" spans="1:18" s="5" customFormat="1">
      <c r="A394" s="884"/>
      <c r="B394" s="8" t="str">
        <f t="shared" si="297"/>
        <v>Food</v>
      </c>
      <c r="C394" s="539">
        <f t="shared" ref="C394:N394" si="307">C370/C$380</f>
        <v>1.0050444240697062E-2</v>
      </c>
      <c r="D394" s="539">
        <f t="shared" si="307"/>
        <v>1.004478649721635E-2</v>
      </c>
      <c r="E394" s="539">
        <f t="shared" si="307"/>
        <v>1.0096875545246263E-2</v>
      </c>
      <c r="F394" s="539">
        <f t="shared" si="307"/>
        <v>1.0118514251273598E-2</v>
      </c>
      <c r="G394" s="539">
        <f t="shared" si="307"/>
        <v>1.0130737538589328E-2</v>
      </c>
      <c r="H394" s="539">
        <f t="shared" si="307"/>
        <v>1.0150434865092374E-2</v>
      </c>
      <c r="I394" s="539">
        <f t="shared" si="307"/>
        <v>1.0177948829237162E-2</v>
      </c>
      <c r="J394" s="539">
        <f t="shared" si="307"/>
        <v>1.0166844825663154E-2</v>
      </c>
      <c r="K394" s="539">
        <f t="shared" si="307"/>
        <v>1.0154347977133594E-2</v>
      </c>
      <c r="L394" s="539">
        <f t="shared" si="307"/>
        <v>1.0184811037277275E-2</v>
      </c>
      <c r="M394" s="539">
        <f t="shared" si="307"/>
        <v>1.0219689064307943E-2</v>
      </c>
      <c r="N394" s="539">
        <f t="shared" si="307"/>
        <v>1.0196437474080642E-2</v>
      </c>
      <c r="P394" s="540"/>
      <c r="Q394" s="542"/>
      <c r="R394" s="542"/>
    </row>
    <row r="395" spans="1:18" s="5" customFormat="1">
      <c r="A395" s="884"/>
      <c r="B395" s="8" t="str">
        <f t="shared" si="297"/>
        <v>Geography</v>
      </c>
      <c r="C395" s="539">
        <f>C371/C$380</f>
        <v>4.8093914279948274E-2</v>
      </c>
      <c r="D395" s="539">
        <f t="shared" ref="D395:N395" si="308">D371/D$380</f>
        <v>4.8111069006149504E-2</v>
      </c>
      <c r="E395" s="539">
        <f t="shared" si="308"/>
        <v>4.8170558444440542E-2</v>
      </c>
      <c r="F395" s="539">
        <f t="shared" si="308"/>
        <v>4.8260077310366641E-2</v>
      </c>
      <c r="G395" s="539">
        <f t="shared" si="308"/>
        <v>4.8294889282760031E-2</v>
      </c>
      <c r="H395" s="539">
        <f t="shared" si="308"/>
        <v>4.8264768296161234E-2</v>
      </c>
      <c r="I395" s="539">
        <f t="shared" si="308"/>
        <v>4.8168360789225526E-2</v>
      </c>
      <c r="J395" s="539">
        <f t="shared" si="308"/>
        <v>4.8161022840494117E-2</v>
      </c>
      <c r="K395" s="539">
        <f t="shared" si="308"/>
        <v>4.8102284441833114E-2</v>
      </c>
      <c r="L395" s="539">
        <f t="shared" si="308"/>
        <v>4.7947546208348811E-2</v>
      </c>
      <c r="M395" s="539">
        <f t="shared" si="308"/>
        <v>4.7780069552580649E-2</v>
      </c>
      <c r="N395" s="539">
        <f t="shared" si="308"/>
        <v>4.7758409394111079E-2</v>
      </c>
      <c r="P395" s="540"/>
      <c r="Q395" s="542"/>
      <c r="R395" s="542"/>
    </row>
    <row r="396" spans="1:18" s="5" customFormat="1">
      <c r="A396" s="884"/>
      <c r="B396" s="8" t="str">
        <f t="shared" si="297"/>
        <v>History</v>
      </c>
      <c r="C396" s="539">
        <f t="shared" ref="C396:N396" si="309">C372/C$380</f>
        <v>5.1676297749765197E-2</v>
      </c>
      <c r="D396" s="539">
        <f t="shared" si="309"/>
        <v>5.1627954870424007E-2</v>
      </c>
      <c r="E396" s="539">
        <f t="shared" si="309"/>
        <v>5.1628925290380323E-2</v>
      </c>
      <c r="F396" s="539">
        <f t="shared" si="309"/>
        <v>5.1670728799366988E-2</v>
      </c>
      <c r="G396" s="539">
        <f t="shared" si="309"/>
        <v>5.1684277601689366E-2</v>
      </c>
      <c r="H396" s="539">
        <f t="shared" si="309"/>
        <v>5.1651031062804297E-2</v>
      </c>
      <c r="I396" s="539">
        <f t="shared" si="309"/>
        <v>5.1569880902050384E-2</v>
      </c>
      <c r="J396" s="539">
        <f t="shared" si="309"/>
        <v>5.1573087734904523E-2</v>
      </c>
      <c r="K396" s="539">
        <f t="shared" si="309"/>
        <v>5.1544448351139957E-2</v>
      </c>
      <c r="L396" s="539">
        <f t="shared" si="309"/>
        <v>5.1423937682469202E-2</v>
      </c>
      <c r="M396" s="539">
        <f t="shared" si="309"/>
        <v>5.1292150347990124E-2</v>
      </c>
      <c r="N396" s="539">
        <f t="shared" si="309"/>
        <v>5.1294844166161722E-2</v>
      </c>
      <c r="P396" s="540"/>
      <c r="Q396" s="542"/>
      <c r="R396" s="542"/>
    </row>
    <row r="397" spans="1:18" s="5" customFormat="1">
      <c r="A397" s="884"/>
      <c r="B397" s="8" t="str">
        <f t="shared" si="297"/>
        <v>Mathematics</v>
      </c>
      <c r="C397" s="539">
        <f t="shared" ref="C397:N397" si="310">C373/C$380</f>
        <v>0.14467560446220776</v>
      </c>
      <c r="D397" s="539">
        <f t="shared" si="310"/>
        <v>0.14608500193478008</v>
      </c>
      <c r="E397" s="539">
        <f t="shared" si="310"/>
        <v>0.14643631900897364</v>
      </c>
      <c r="F397" s="539">
        <f t="shared" si="310"/>
        <v>0.14666907953553826</v>
      </c>
      <c r="G397" s="539">
        <f t="shared" si="310"/>
        <v>0.14677945459767988</v>
      </c>
      <c r="H397" s="539">
        <f t="shared" si="310"/>
        <v>0.14684181612469416</v>
      </c>
      <c r="I397" s="539">
        <f t="shared" si="310"/>
        <v>0.1468561373220095</v>
      </c>
      <c r="J397" s="539">
        <f t="shared" si="310"/>
        <v>0.1467884044224991</v>
      </c>
      <c r="K397" s="539">
        <f t="shared" si="310"/>
        <v>0.14664454981709535</v>
      </c>
      <c r="L397" s="539">
        <f t="shared" si="310"/>
        <v>0.14659610652261904</v>
      </c>
      <c r="M397" s="539">
        <f t="shared" si="310"/>
        <v>0.14655362035835465</v>
      </c>
      <c r="N397" s="539">
        <f t="shared" si="310"/>
        <v>0.14640335625537179</v>
      </c>
      <c r="P397" s="540"/>
      <c r="Q397" s="542"/>
      <c r="R397" s="542"/>
    </row>
    <row r="398" spans="1:18" s="5" customFormat="1">
      <c r="A398" s="884"/>
      <c r="B398" s="8" t="str">
        <f t="shared" si="297"/>
        <v>Modern Foreign Languages</v>
      </c>
      <c r="C398" s="539">
        <f t="shared" ref="C398:N398" si="311">C374/C$380</f>
        <v>6.8611925917749728E-2</v>
      </c>
      <c r="D398" s="539">
        <f t="shared" si="311"/>
        <v>6.8753289589432914E-2</v>
      </c>
      <c r="E398" s="539">
        <f t="shared" si="311"/>
        <v>6.8926872364714412E-2</v>
      </c>
      <c r="F398" s="539">
        <f t="shared" si="311"/>
        <v>6.9145135535644831E-2</v>
      </c>
      <c r="G398" s="539">
        <f t="shared" si="311"/>
        <v>6.9232895504781719E-2</v>
      </c>
      <c r="H398" s="539">
        <f t="shared" si="311"/>
        <v>6.9179871163119133E-2</v>
      </c>
      <c r="I398" s="539">
        <f t="shared" si="311"/>
        <v>6.8983269149891391E-2</v>
      </c>
      <c r="J398" s="539">
        <f t="shared" si="311"/>
        <v>6.8958317134568889E-2</v>
      </c>
      <c r="K398" s="539">
        <f t="shared" si="311"/>
        <v>6.881638995710726E-2</v>
      </c>
      <c r="L398" s="539">
        <f t="shared" si="311"/>
        <v>6.8490469051377789E-2</v>
      </c>
      <c r="M398" s="539">
        <f t="shared" si="311"/>
        <v>6.8139160829958023E-2</v>
      </c>
      <c r="N398" s="539">
        <f t="shared" si="311"/>
        <v>6.8072715768622602E-2</v>
      </c>
      <c r="P398" s="540"/>
      <c r="Q398" s="542"/>
      <c r="R398" s="542"/>
    </row>
    <row r="399" spans="1:18" s="5" customFormat="1">
      <c r="A399" s="884"/>
      <c r="B399" s="8" t="str">
        <f t="shared" si="297"/>
        <v>Music</v>
      </c>
      <c r="C399" s="539">
        <f t="shared" ref="C399:N399" si="312">C375/C$380</f>
        <v>2.4094272361356247E-2</v>
      </c>
      <c r="D399" s="539">
        <f t="shared" si="312"/>
        <v>2.4128296602990453E-2</v>
      </c>
      <c r="E399" s="539">
        <f t="shared" si="312"/>
        <v>2.4128053464937509E-2</v>
      </c>
      <c r="F399" s="539">
        <f t="shared" si="312"/>
        <v>2.4181931326703234E-2</v>
      </c>
      <c r="G399" s="539">
        <f t="shared" si="312"/>
        <v>2.4199242636742245E-2</v>
      </c>
      <c r="H399" s="539">
        <f t="shared" si="312"/>
        <v>2.4155324559710638E-2</v>
      </c>
      <c r="I399" s="539">
        <f t="shared" si="312"/>
        <v>2.4048722170175511E-2</v>
      </c>
      <c r="J399" s="539">
        <f t="shared" si="312"/>
        <v>2.405322487031631E-2</v>
      </c>
      <c r="K399" s="539">
        <f t="shared" si="312"/>
        <v>2.401624599896E-2</v>
      </c>
      <c r="L399" s="539">
        <f t="shared" si="312"/>
        <v>2.3858238980149615E-2</v>
      </c>
      <c r="M399" s="539">
        <f t="shared" si="312"/>
        <v>2.3685401309491521E-2</v>
      </c>
      <c r="N399" s="539">
        <f t="shared" si="312"/>
        <v>2.3689586898248433E-2</v>
      </c>
      <c r="P399" s="540"/>
      <c r="Q399" s="542"/>
      <c r="R399" s="542"/>
    </row>
    <row r="400" spans="1:18" s="5" customFormat="1">
      <c r="A400" s="884"/>
      <c r="B400" s="8" t="str">
        <f t="shared" si="297"/>
        <v>Others</v>
      </c>
      <c r="C400" s="539">
        <f t="shared" ref="C400:N400" si="313">C376/C$380</f>
        <v>7.2440009409159928E-2</v>
      </c>
      <c r="D400" s="539">
        <f t="shared" si="313"/>
        <v>7.1189363174008841E-2</v>
      </c>
      <c r="E400" s="539">
        <f t="shared" si="313"/>
        <v>7.0011589573522146E-2</v>
      </c>
      <c r="F400" s="539">
        <f t="shared" si="313"/>
        <v>6.9092985346212235E-2</v>
      </c>
      <c r="G400" s="539">
        <f t="shared" si="313"/>
        <v>6.867846311208653E-2</v>
      </c>
      <c r="H400" s="539">
        <f t="shared" si="313"/>
        <v>6.8581675071828538E-2</v>
      </c>
      <c r="I400" s="539">
        <f t="shared" si="313"/>
        <v>6.880643425675495E-2</v>
      </c>
      <c r="J400" s="539">
        <f t="shared" si="313"/>
        <v>6.9022103086038997E-2</v>
      </c>
      <c r="K400" s="539">
        <f t="shared" si="313"/>
        <v>6.959925249104984E-2</v>
      </c>
      <c r="L400" s="539">
        <f t="shared" si="313"/>
        <v>7.0166082297316024E-2</v>
      </c>
      <c r="M400" s="539">
        <f t="shared" si="313"/>
        <v>7.075088222090288E-2</v>
      </c>
      <c r="N400" s="539">
        <f t="shared" si="313"/>
        <v>7.1244190595031662E-2</v>
      </c>
      <c r="P400" s="540"/>
      <c r="Q400" s="542"/>
      <c r="R400" s="542"/>
    </row>
    <row r="401" spans="1:18" s="5" customFormat="1">
      <c r="A401" s="884"/>
      <c r="B401" s="8" t="str">
        <f t="shared" si="297"/>
        <v>Physical Education</v>
      </c>
      <c r="C401" s="539">
        <f t="shared" ref="C401:N401" si="314">C377/C$380</f>
        <v>7.7461355886884437E-2</v>
      </c>
      <c r="D401" s="539">
        <f t="shared" si="314"/>
        <v>7.7494987399124859E-2</v>
      </c>
      <c r="E401" s="539">
        <f t="shared" si="314"/>
        <v>7.7721840476412563E-2</v>
      </c>
      <c r="F401" s="539">
        <f t="shared" si="314"/>
        <v>7.7898020123714981E-2</v>
      </c>
      <c r="G401" s="539">
        <f t="shared" si="314"/>
        <v>7.7977619269077578E-2</v>
      </c>
      <c r="H401" s="539">
        <f t="shared" si="314"/>
        <v>7.7996874256144946E-2</v>
      </c>
      <c r="I401" s="539">
        <f t="shared" si="314"/>
        <v>7.7955070960360737E-2</v>
      </c>
      <c r="J401" s="539">
        <f t="shared" si="314"/>
        <v>7.7913468401009392E-2</v>
      </c>
      <c r="K401" s="539">
        <f t="shared" si="314"/>
        <v>7.7802820217510893E-2</v>
      </c>
      <c r="L401" s="539">
        <f t="shared" si="314"/>
        <v>7.7695848274953766E-2</v>
      </c>
      <c r="M401" s="539">
        <f t="shared" si="314"/>
        <v>7.7585622046185312E-2</v>
      </c>
      <c r="N401" s="539">
        <f t="shared" si="314"/>
        <v>7.7490548062131306E-2</v>
      </c>
      <c r="P401" s="540"/>
      <c r="Q401" s="542"/>
      <c r="R401" s="542"/>
    </row>
    <row r="402" spans="1:18" s="5" customFormat="1">
      <c r="A402" s="884"/>
      <c r="B402" s="8" t="str">
        <f t="shared" si="297"/>
        <v>Physics</v>
      </c>
      <c r="C402" s="539">
        <f t="shared" ref="C402:N402" si="315">C378/C$380</f>
        <v>4.8926560180561643E-2</v>
      </c>
      <c r="D402" s="539">
        <f t="shared" si="315"/>
        <v>4.8919985674637463E-2</v>
      </c>
      <c r="E402" s="539">
        <f t="shared" si="315"/>
        <v>4.9020269380467864E-2</v>
      </c>
      <c r="F402" s="539">
        <f t="shared" si="315"/>
        <v>4.9020158813490575E-2</v>
      </c>
      <c r="G402" s="539">
        <f t="shared" si="315"/>
        <v>4.9030251454774028E-2</v>
      </c>
      <c r="H402" s="539">
        <f t="shared" si="315"/>
        <v>4.9102087202074068E-2</v>
      </c>
      <c r="I402" s="539">
        <f t="shared" si="315"/>
        <v>4.9237450258043464E-2</v>
      </c>
      <c r="J402" s="539">
        <f t="shared" si="315"/>
        <v>4.9212628238692345E-2</v>
      </c>
      <c r="K402" s="539">
        <f t="shared" si="315"/>
        <v>4.9217229160894958E-2</v>
      </c>
      <c r="L402" s="539">
        <f t="shared" si="315"/>
        <v>4.939803744339491E-2</v>
      </c>
      <c r="M402" s="539">
        <f t="shared" si="315"/>
        <v>4.9598805956886406E-2</v>
      </c>
      <c r="N402" s="539">
        <f t="shared" si="315"/>
        <v>4.9550886233331697E-2</v>
      </c>
      <c r="P402" s="540"/>
      <c r="Q402" s="542"/>
      <c r="R402" s="542"/>
    </row>
    <row r="403" spans="1:18" s="5" customFormat="1">
      <c r="A403" s="884"/>
      <c r="B403" s="8" t="str">
        <f t="shared" si="297"/>
        <v>Religious Education</v>
      </c>
      <c r="C403" s="539">
        <f t="shared" ref="C403:N403" si="316">C379/C$380</f>
        <v>3.4012291449240076E-2</v>
      </c>
      <c r="D403" s="539">
        <f t="shared" si="316"/>
        <v>3.3995729916148118E-2</v>
      </c>
      <c r="E403" s="539">
        <f t="shared" si="316"/>
        <v>3.4050002746086681E-2</v>
      </c>
      <c r="F403" s="539">
        <f t="shared" si="316"/>
        <v>3.4098429534692776E-2</v>
      </c>
      <c r="G403" s="539">
        <f t="shared" si="316"/>
        <v>3.4119492770132404E-2</v>
      </c>
      <c r="H403" s="539">
        <f t="shared" si="316"/>
        <v>3.4119002851129308E-2</v>
      </c>
      <c r="I403" s="539">
        <f t="shared" si="316"/>
        <v>3.4096619922193719E-2</v>
      </c>
      <c r="J403" s="539">
        <f t="shared" si="316"/>
        <v>3.408718442417194E-2</v>
      </c>
      <c r="K403" s="539">
        <f t="shared" si="316"/>
        <v>3.4056405666758223E-2</v>
      </c>
      <c r="L403" s="539">
        <f t="shared" si="316"/>
        <v>3.4012455423282052E-2</v>
      </c>
      <c r="M403" s="539">
        <f t="shared" si="316"/>
        <v>3.3966004362844998E-2</v>
      </c>
      <c r="N403" s="539">
        <f t="shared" si="316"/>
        <v>3.3943732772799079E-2</v>
      </c>
      <c r="P403" s="540"/>
      <c r="Q403" s="542"/>
      <c r="R403" s="542"/>
    </row>
    <row r="404" spans="1:18" s="5" customFormat="1">
      <c r="A404" s="884"/>
      <c r="B404" s="8" t="str">
        <f t="shared" si="297"/>
        <v>Total</v>
      </c>
      <c r="C404" s="539">
        <f t="shared" ref="C404:N404" si="317">C380/C$380</f>
        <v>1</v>
      </c>
      <c r="D404" s="539">
        <f t="shared" si="317"/>
        <v>1</v>
      </c>
      <c r="E404" s="539">
        <f t="shared" si="317"/>
        <v>1</v>
      </c>
      <c r="F404" s="539">
        <f t="shared" si="317"/>
        <v>1</v>
      </c>
      <c r="G404" s="539">
        <f t="shared" si="317"/>
        <v>1</v>
      </c>
      <c r="H404" s="539">
        <f t="shared" si="317"/>
        <v>1</v>
      </c>
      <c r="I404" s="539">
        <f t="shared" si="317"/>
        <v>1</v>
      </c>
      <c r="J404" s="539">
        <f t="shared" si="317"/>
        <v>1</v>
      </c>
      <c r="K404" s="539">
        <f t="shared" si="317"/>
        <v>1</v>
      </c>
      <c r="L404" s="539">
        <f t="shared" si="317"/>
        <v>1</v>
      </c>
      <c r="M404" s="539">
        <f t="shared" si="317"/>
        <v>1</v>
      </c>
      <c r="N404" s="539">
        <f t="shared" si="317"/>
        <v>1</v>
      </c>
      <c r="P404" s="540"/>
      <c r="Q404" s="542"/>
      <c r="R404" s="542"/>
    </row>
    <row r="405" spans="1:18">
      <c r="A405" s="10">
        <f>O405</f>
        <v>0</v>
      </c>
      <c r="B405" s="12"/>
      <c r="C405" s="10">
        <f>SUM(C385:C403)-C404</f>
        <v>0</v>
      </c>
      <c r="D405" s="10">
        <f t="shared" ref="D405:N405" si="318">SUM(D385:D403)-D404</f>
        <v>0</v>
      </c>
      <c r="E405" s="10">
        <f t="shared" si="318"/>
        <v>0</v>
      </c>
      <c r="F405" s="10">
        <f t="shared" si="318"/>
        <v>0</v>
      </c>
      <c r="G405" s="10">
        <f t="shared" si="318"/>
        <v>0</v>
      </c>
      <c r="H405" s="10">
        <f t="shared" si="318"/>
        <v>0</v>
      </c>
      <c r="I405" s="10">
        <f t="shared" si="318"/>
        <v>0</v>
      </c>
      <c r="J405" s="10">
        <f t="shared" si="318"/>
        <v>0</v>
      </c>
      <c r="K405" s="10">
        <f t="shared" si="318"/>
        <v>0</v>
      </c>
      <c r="L405" s="10">
        <f t="shared" si="318"/>
        <v>0</v>
      </c>
      <c r="M405" s="10">
        <f t="shared" si="318"/>
        <v>0</v>
      </c>
      <c r="N405" s="10">
        <f t="shared" si="318"/>
        <v>0</v>
      </c>
      <c r="O405" s="10">
        <f>SUM(C405:N405)</f>
        <v>0</v>
      </c>
    </row>
    <row r="406" spans="1:18">
      <c r="A406" s="883"/>
      <c r="B406" s="12"/>
      <c r="C406" s="10"/>
      <c r="D406" s="10"/>
      <c r="E406" s="10"/>
      <c r="F406" s="10"/>
      <c r="G406" s="10"/>
      <c r="H406" s="10"/>
      <c r="I406" s="10"/>
      <c r="J406" s="10"/>
      <c r="K406" s="10"/>
      <c r="L406" s="10"/>
      <c r="M406" s="10"/>
      <c r="N406" s="10"/>
      <c r="O406" s="10"/>
    </row>
    <row r="407" spans="1:18" ht="15.75">
      <c r="A407" s="883"/>
      <c r="B407" s="144" t="s">
        <v>1555</v>
      </c>
      <c r="C407" s="10"/>
      <c r="D407" s="10"/>
      <c r="E407" s="10"/>
      <c r="F407" s="10"/>
      <c r="G407" s="10"/>
      <c r="H407" s="10"/>
      <c r="I407" s="10"/>
      <c r="J407" s="10"/>
      <c r="K407" s="10"/>
      <c r="L407" s="10"/>
      <c r="M407" s="10"/>
      <c r="N407" s="10"/>
      <c r="O407" s="10"/>
    </row>
    <row r="408" spans="1:18">
      <c r="A408" s="883"/>
      <c r="B408" s="12"/>
      <c r="C408" s="10"/>
      <c r="D408" s="10"/>
      <c r="E408" s="10"/>
      <c r="F408" s="10"/>
      <c r="G408" s="10"/>
      <c r="H408" s="10"/>
      <c r="I408" s="10"/>
      <c r="J408" s="10"/>
      <c r="K408" s="10"/>
      <c r="L408" s="10"/>
      <c r="M408" s="10"/>
      <c r="N408" s="10"/>
      <c r="O408" s="10"/>
    </row>
    <row r="409" spans="1:18">
      <c r="A409" s="883"/>
      <c r="B409" s="108" t="s">
        <v>1164</v>
      </c>
      <c r="O409" s="10"/>
    </row>
    <row r="410" spans="1:18">
      <c r="A410" s="883"/>
      <c r="B410" s="12"/>
      <c r="O410" s="10"/>
    </row>
    <row r="411" spans="1:18">
      <c r="A411" s="883"/>
      <c r="B411" s="8" t="str">
        <f>Increased_EBacc_scenario_data!C22</f>
        <v>Subject</v>
      </c>
      <c r="C411" s="8" t="str">
        <f>Increased_EBacc_scenario_data!D22</f>
        <v>2016/17</v>
      </c>
      <c r="D411" s="8" t="str">
        <f>Increased_EBacc_scenario_data!E22</f>
        <v>2017/18</v>
      </c>
      <c r="E411" s="8" t="str">
        <f>Increased_EBacc_scenario_data!F22</f>
        <v>2018/19</v>
      </c>
      <c r="F411" s="8" t="str">
        <f>Increased_EBacc_scenario_data!G22</f>
        <v>2019/20</v>
      </c>
      <c r="G411" s="8" t="str">
        <f>Increased_EBacc_scenario_data!H22</f>
        <v>2020/21</v>
      </c>
      <c r="H411" s="8" t="str">
        <f>Increased_EBacc_scenario_data!I22</f>
        <v>2021/22</v>
      </c>
      <c r="I411" s="8" t="str">
        <f>Increased_EBacc_scenario_data!J22</f>
        <v>2022/23</v>
      </c>
      <c r="J411" s="8" t="str">
        <f>Increased_EBacc_scenario_data!K22</f>
        <v>2023/24</v>
      </c>
      <c r="K411" s="8" t="str">
        <f>Increased_EBacc_scenario_data!L22</f>
        <v>2024/25</v>
      </c>
      <c r="L411" s="8" t="str">
        <f>Increased_EBacc_scenario_data!M22</f>
        <v>2025/26</v>
      </c>
      <c r="M411" s="8" t="str">
        <f>Increased_EBacc_scenario_data!N22</f>
        <v>2026/27</v>
      </c>
      <c r="N411" s="8" t="str">
        <f>Increased_EBacc_scenario_data!O22</f>
        <v>2027/28</v>
      </c>
      <c r="O411" s="10"/>
    </row>
    <row r="412" spans="1:18">
      <c r="A412" s="883"/>
      <c r="B412" s="8" t="str">
        <f>Increased_EBacc_scenario_data!C23</f>
        <v>Art &amp; Design</v>
      </c>
      <c r="C412" s="307">
        <f>Increased_EBacc_scenario_data!D23</f>
        <v>0</v>
      </c>
      <c r="D412" s="307">
        <f>Increased_EBacc_scenario_data!E23</f>
        <v>0</v>
      </c>
      <c r="E412" s="307">
        <f>Increased_EBacc_scenario_data!F23</f>
        <v>-2406.1596583729843</v>
      </c>
      <c r="F412" s="307">
        <f>Increased_EBacc_scenario_data!G23</f>
        <v>-4946.8847666076326</v>
      </c>
      <c r="G412" s="307">
        <f>Increased_EBacc_scenario_data!H23</f>
        <v>-5331.4560004409577</v>
      </c>
      <c r="H412" s="307">
        <f>Increased_EBacc_scenario_data!I23</f>
        <v>-5482.9156805465755</v>
      </c>
      <c r="I412" s="307">
        <f>Increased_EBacc_scenario_data!J23</f>
        <v>-5675.2190498871641</v>
      </c>
      <c r="J412" s="307">
        <f>Increased_EBacc_scenario_data!K23</f>
        <v>-5775.5068777098204</v>
      </c>
      <c r="K412" s="307">
        <f>Increased_EBacc_scenario_data!L23</f>
        <v>-5813.7506736858049</v>
      </c>
      <c r="L412" s="307">
        <f>Increased_EBacc_scenario_data!M23</f>
        <v>-5912.5510618398257</v>
      </c>
      <c r="M412" s="307">
        <f>Increased_EBacc_scenario_data!N23</f>
        <v>-5997.5360563798458</v>
      </c>
      <c r="N412" s="307">
        <f>Increased_EBacc_scenario_data!O23</f>
        <v>-5948.2381429162779</v>
      </c>
      <c r="O412" s="10"/>
    </row>
    <row r="413" spans="1:18">
      <c r="A413" s="883"/>
      <c r="B413" s="8" t="str">
        <f>Increased_EBacc_scenario_data!C24</f>
        <v>Biology</v>
      </c>
      <c r="C413" s="307">
        <f>Increased_EBacc_scenario_data!D24</f>
        <v>0</v>
      </c>
      <c r="D413" s="307">
        <f>Increased_EBacc_scenario_data!E24</f>
        <v>0</v>
      </c>
      <c r="E413" s="307">
        <f>Increased_EBacc_scenario_data!F24</f>
        <v>298.74481289312826</v>
      </c>
      <c r="F413" s="307">
        <f>Increased_EBacc_scenario_data!G24</f>
        <v>614.77592912368709</v>
      </c>
      <c r="G413" s="307">
        <f>Increased_EBacc_scenario_data!H24</f>
        <v>706.38267425567028</v>
      </c>
      <c r="H413" s="307">
        <f>Increased_EBacc_scenario_data!I24</f>
        <v>724.94560923310928</v>
      </c>
      <c r="I413" s="307">
        <f>Increased_EBacc_scenario_data!J24</f>
        <v>747.09313172713155</v>
      </c>
      <c r="J413" s="307">
        <f>Increased_EBacc_scenario_data!K24</f>
        <v>760.64844355382957</v>
      </c>
      <c r="K413" s="307">
        <f>Increased_EBacc_scenario_data!L24</f>
        <v>765.00387191702612</v>
      </c>
      <c r="L413" s="307">
        <f>Increased_EBacc_scenario_data!M24</f>
        <v>773.25643252860755</v>
      </c>
      <c r="M413" s="307">
        <f>Increased_EBacc_scenario_data!N24</f>
        <v>779.20162404284929</v>
      </c>
      <c r="N413" s="307">
        <f>Increased_EBacc_scenario_data!O24</f>
        <v>773.35409915458877</v>
      </c>
      <c r="O413" s="10"/>
    </row>
    <row r="414" spans="1:18">
      <c r="A414" s="883"/>
      <c r="B414" s="8" t="str">
        <f>Increased_EBacc_scenario_data!C25</f>
        <v>Business Studies</v>
      </c>
      <c r="C414" s="307">
        <f>Increased_EBacc_scenario_data!D25</f>
        <v>0</v>
      </c>
      <c r="D414" s="307">
        <f>Increased_EBacc_scenario_data!E25</f>
        <v>0</v>
      </c>
      <c r="E414" s="307">
        <f>Increased_EBacc_scenario_data!F25</f>
        <v>-2421.812518993167</v>
      </c>
      <c r="F414" s="307">
        <f>Increased_EBacc_scenario_data!G25</f>
        <v>-4982.3670083817196</v>
      </c>
      <c r="G414" s="307">
        <f>Increased_EBacc_scenario_data!H25</f>
        <v>-5619.5513271046439</v>
      </c>
      <c r="H414" s="307">
        <f>Increased_EBacc_scenario_data!I25</f>
        <v>-5770.6159887500617</v>
      </c>
      <c r="I414" s="307">
        <f>Increased_EBacc_scenario_data!J25</f>
        <v>-5954.3131098128797</v>
      </c>
      <c r="J414" s="307">
        <f>Increased_EBacc_scenario_data!K25</f>
        <v>-6061.5475568318434</v>
      </c>
      <c r="K414" s="307">
        <f>Increased_EBacc_scenario_data!L25</f>
        <v>-6097.7998198075293</v>
      </c>
      <c r="L414" s="307">
        <f>Increased_EBacc_scenario_data!M25</f>
        <v>-6174.3507216399012</v>
      </c>
      <c r="M414" s="307">
        <f>Increased_EBacc_scenario_data!N25</f>
        <v>-6233.6199906656184</v>
      </c>
      <c r="N414" s="307">
        <f>Increased_EBacc_scenario_data!O25</f>
        <v>-6185.5594634523513</v>
      </c>
      <c r="O414" s="10"/>
    </row>
    <row r="415" spans="1:18">
      <c r="A415" s="883"/>
      <c r="B415" s="8" t="str">
        <f>Increased_EBacc_scenario_data!C26</f>
        <v>Chemistry</v>
      </c>
      <c r="C415" s="307">
        <f>Increased_EBacc_scenario_data!D26</f>
        <v>0</v>
      </c>
      <c r="D415" s="307">
        <f>Increased_EBacc_scenario_data!E26</f>
        <v>0</v>
      </c>
      <c r="E415" s="307">
        <f>Increased_EBacc_scenario_data!F26</f>
        <v>261.46483416884439</v>
      </c>
      <c r="F415" s="307">
        <f>Increased_EBacc_scenario_data!G26</f>
        <v>537.94051453491556</v>
      </c>
      <c r="G415" s="307">
        <f>Increased_EBacc_scenario_data!H26</f>
        <v>609.1510793666821</v>
      </c>
      <c r="H415" s="307">
        <f>Increased_EBacc_scenario_data!I26</f>
        <v>625.44704402101343</v>
      </c>
      <c r="I415" s="307">
        <f>Increased_EBacc_scenario_data!J26</f>
        <v>645.18411721280427</v>
      </c>
      <c r="J415" s="307">
        <f>Increased_EBacc_scenario_data!K26</f>
        <v>656.82227688914281</v>
      </c>
      <c r="K415" s="307">
        <f>Increased_EBacc_scenario_data!L26</f>
        <v>660.71449640282663</v>
      </c>
      <c r="L415" s="307">
        <f>Increased_EBacc_scenario_data!M26</f>
        <v>668.75775202125078</v>
      </c>
      <c r="M415" s="307">
        <f>Increased_EBacc_scenario_data!N26</f>
        <v>674.90259058083757</v>
      </c>
      <c r="N415" s="307">
        <f>Increased_EBacc_scenario_data!O26</f>
        <v>669.72892459653667</v>
      </c>
      <c r="O415" s="10"/>
    </row>
    <row r="416" spans="1:18">
      <c r="A416" s="883"/>
      <c r="B416" s="8" t="str">
        <f>Increased_EBacc_scenario_data!C27</f>
        <v>Classics</v>
      </c>
      <c r="C416" s="307">
        <f>Increased_EBacc_scenario_data!D27</f>
        <v>0</v>
      </c>
      <c r="D416" s="307">
        <f>Increased_EBacc_scenario_data!E27</f>
        <v>0</v>
      </c>
      <c r="E416" s="307">
        <f>Increased_EBacc_scenario_data!F27</f>
        <v>0</v>
      </c>
      <c r="F416" s="307">
        <f>Increased_EBacc_scenario_data!G27</f>
        <v>0</v>
      </c>
      <c r="G416" s="307">
        <f>Increased_EBacc_scenario_data!H27</f>
        <v>0</v>
      </c>
      <c r="H416" s="307">
        <f>Increased_EBacc_scenario_data!I27</f>
        <v>0</v>
      </c>
      <c r="I416" s="307">
        <f>Increased_EBacc_scenario_data!J27</f>
        <v>0</v>
      </c>
      <c r="J416" s="307">
        <f>Increased_EBacc_scenario_data!K27</f>
        <v>0</v>
      </c>
      <c r="K416" s="307">
        <f>Increased_EBacc_scenario_data!L27</f>
        <v>0</v>
      </c>
      <c r="L416" s="307">
        <f>Increased_EBacc_scenario_data!M27</f>
        <v>0</v>
      </c>
      <c r="M416" s="307">
        <f>Increased_EBacc_scenario_data!N27</f>
        <v>0</v>
      </c>
      <c r="N416" s="307">
        <f>Increased_EBacc_scenario_data!O27</f>
        <v>0</v>
      </c>
      <c r="O416" s="10"/>
    </row>
    <row r="417" spans="1:15">
      <c r="A417" s="883"/>
      <c r="B417" s="8" t="str">
        <f>Increased_EBacc_scenario_data!C28</f>
        <v>Computing</v>
      </c>
      <c r="C417" s="307">
        <f>Increased_EBacc_scenario_data!D28</f>
        <v>0</v>
      </c>
      <c r="D417" s="307">
        <f>Increased_EBacc_scenario_data!E28</f>
        <v>0</v>
      </c>
      <c r="E417" s="307">
        <f>Increased_EBacc_scenario_data!F28</f>
        <v>-4765.4851439616614</v>
      </c>
      <c r="F417" s="307">
        <f>Increased_EBacc_scenario_data!G28</f>
        <v>-9802.7761573749449</v>
      </c>
      <c r="G417" s="307">
        <f>Increased_EBacc_scenario_data!H28</f>
        <v>-10965.549689233478</v>
      </c>
      <c r="H417" s="307">
        <f>Increased_EBacc_scenario_data!I28</f>
        <v>-11263.307315123006</v>
      </c>
      <c r="I417" s="307">
        <f>Increased_EBacc_scenario_data!J28</f>
        <v>-11628.362432805079</v>
      </c>
      <c r="J417" s="307">
        <f>Increased_EBacc_scenario_data!K28</f>
        <v>-11837.080414190146</v>
      </c>
      <c r="K417" s="307">
        <f>Increased_EBacc_scenario_data!L28</f>
        <v>-11909.230698604137</v>
      </c>
      <c r="L417" s="307">
        <f>Increased_EBacc_scenario_data!M28</f>
        <v>-12068.194966044568</v>
      </c>
      <c r="M417" s="307">
        <f>Increased_EBacc_scenario_data!N28</f>
        <v>-12194.382500941734</v>
      </c>
      <c r="N417" s="307">
        <f>Increased_EBacc_scenario_data!O28</f>
        <v>-12099.245004731871</v>
      </c>
      <c r="O417" s="10"/>
    </row>
    <row r="418" spans="1:15">
      <c r="A418" s="883"/>
      <c r="B418" s="8" t="str">
        <f>Increased_EBacc_scenario_data!C29</f>
        <v>Design &amp; Technology</v>
      </c>
      <c r="C418" s="307">
        <f>Increased_EBacc_scenario_data!D29</f>
        <v>0</v>
      </c>
      <c r="D418" s="307">
        <f>Increased_EBacc_scenario_data!E29</f>
        <v>0</v>
      </c>
      <c r="E418" s="307">
        <f>Increased_EBacc_scenario_data!F29</f>
        <v>-6339.5796605843061</v>
      </c>
      <c r="F418" s="307">
        <f>Increased_EBacc_scenario_data!G29</f>
        <v>-13045.804550676054</v>
      </c>
      <c r="G418" s="307">
        <f>Increased_EBacc_scenario_data!H29</f>
        <v>-14975.934375841869</v>
      </c>
      <c r="H418" s="307">
        <f>Increased_EBacc_scenario_data!I29</f>
        <v>-15369.929529991612</v>
      </c>
      <c r="I418" s="307">
        <f>Increased_EBacc_scenario_data!J29</f>
        <v>-15840.460981912998</v>
      </c>
      <c r="J418" s="307">
        <f>Increased_EBacc_scenario_data!K29</f>
        <v>-16127.766372218612</v>
      </c>
      <c r="K418" s="307">
        <f>Increased_EBacc_scenario_data!L29</f>
        <v>-16220.31558240403</v>
      </c>
      <c r="L418" s="307">
        <f>Increased_EBacc_scenario_data!M29</f>
        <v>-16396.706789410702</v>
      </c>
      <c r="M418" s="307">
        <f>Increased_EBacc_scenario_data!N29</f>
        <v>-16524.32067863585</v>
      </c>
      <c r="N418" s="307">
        <f>Increased_EBacc_scenario_data!O29</f>
        <v>-16400.145835345378</v>
      </c>
      <c r="O418" s="10"/>
    </row>
    <row r="419" spans="1:15">
      <c r="A419" s="883"/>
      <c r="B419" s="8" t="str">
        <f>Increased_EBacc_scenario_data!C30</f>
        <v>Drama</v>
      </c>
      <c r="C419" s="307">
        <f>Increased_EBacc_scenario_data!D30</f>
        <v>0</v>
      </c>
      <c r="D419" s="307">
        <f>Increased_EBacc_scenario_data!E30</f>
        <v>0</v>
      </c>
      <c r="E419" s="307">
        <f>Increased_EBacc_scenario_data!F30</f>
        <v>-899.39126930492057</v>
      </c>
      <c r="F419" s="307">
        <f>Increased_EBacc_scenario_data!G30</f>
        <v>-1857.8359981476242</v>
      </c>
      <c r="G419" s="307">
        <f>Increased_EBacc_scenario_data!H30</f>
        <v>-2664.882634514157</v>
      </c>
      <c r="H419" s="307">
        <f>Increased_EBacc_scenario_data!I30</f>
        <v>-2717.8356865568203</v>
      </c>
      <c r="I419" s="307">
        <f>Increased_EBacc_scenario_data!J30</f>
        <v>-2763.5746332043927</v>
      </c>
      <c r="J419" s="307">
        <f>Increased_EBacc_scenario_data!K30</f>
        <v>-2817.7532699200819</v>
      </c>
      <c r="K419" s="307">
        <f>Increased_EBacc_scenario_data!L30</f>
        <v>-2826.1069393368089</v>
      </c>
      <c r="L419" s="307">
        <f>Increased_EBacc_scenario_data!M30</f>
        <v>-2802.3267517497588</v>
      </c>
      <c r="M419" s="307">
        <f>Increased_EBacc_scenario_data!N30</f>
        <v>-2764.4283783524734</v>
      </c>
      <c r="N419" s="307">
        <f>Increased_EBacc_scenario_data!O30</f>
        <v>-2750.1335231167031</v>
      </c>
      <c r="O419" s="10"/>
    </row>
    <row r="420" spans="1:15">
      <c r="A420" s="883"/>
      <c r="B420" s="8" t="str">
        <f>Increased_EBacc_scenario_data!C31</f>
        <v>English</v>
      </c>
      <c r="C420" s="307">
        <f>Increased_EBacc_scenario_data!D31</f>
        <v>0</v>
      </c>
      <c r="D420" s="307">
        <f>Increased_EBacc_scenario_data!E31</f>
        <v>0</v>
      </c>
      <c r="E420" s="307">
        <f>Increased_EBacc_scenario_data!F31</f>
        <v>0</v>
      </c>
      <c r="F420" s="307">
        <f>Increased_EBacc_scenario_data!G31</f>
        <v>0</v>
      </c>
      <c r="G420" s="307">
        <f>Increased_EBacc_scenario_data!H31</f>
        <v>0</v>
      </c>
      <c r="H420" s="307">
        <f>Increased_EBacc_scenario_data!I31</f>
        <v>0</v>
      </c>
      <c r="I420" s="307">
        <f>Increased_EBacc_scenario_data!J31</f>
        <v>0</v>
      </c>
      <c r="J420" s="307">
        <f>Increased_EBacc_scenario_data!K31</f>
        <v>0</v>
      </c>
      <c r="K420" s="307">
        <f>Increased_EBacc_scenario_data!L31</f>
        <v>0</v>
      </c>
      <c r="L420" s="307">
        <f>Increased_EBacc_scenario_data!M31</f>
        <v>0</v>
      </c>
      <c r="M420" s="307">
        <f>Increased_EBacc_scenario_data!N31</f>
        <v>0</v>
      </c>
      <c r="N420" s="307">
        <f>Increased_EBacc_scenario_data!O31</f>
        <v>0</v>
      </c>
      <c r="O420" s="10"/>
    </row>
    <row r="421" spans="1:15">
      <c r="A421" s="883"/>
      <c r="B421" s="8" t="str">
        <f>Increased_EBacc_scenario_data!C32</f>
        <v>Food</v>
      </c>
      <c r="C421" s="307">
        <f>Increased_EBacc_scenario_data!D32</f>
        <v>0</v>
      </c>
      <c r="D421" s="307">
        <f>Increased_EBacc_scenario_data!E32</f>
        <v>0</v>
      </c>
      <c r="E421" s="307">
        <f>Increased_EBacc_scenario_data!F32</f>
        <v>-1771.7447906149173</v>
      </c>
      <c r="F421" s="307">
        <f>Increased_EBacc_scenario_data!G32</f>
        <v>-3644.4815728225149</v>
      </c>
      <c r="G421" s="307">
        <f>Increased_EBacc_scenario_data!H32</f>
        <v>-4072.0985770844491</v>
      </c>
      <c r="H421" s="307">
        <f>Increased_EBacc_scenario_data!I32</f>
        <v>-4182.8268180701998</v>
      </c>
      <c r="I421" s="307">
        <f>Increased_EBacc_scenario_data!J32</f>
        <v>-4318.7342348735401</v>
      </c>
      <c r="J421" s="307">
        <f>Increased_EBacc_scenario_data!K32</f>
        <v>-4396.2148897384832</v>
      </c>
      <c r="K421" s="307">
        <f>Increased_EBacc_scenario_data!L32</f>
        <v>-4423.0814000936298</v>
      </c>
      <c r="L421" s="307">
        <f>Increased_EBacc_scenario_data!M32</f>
        <v>-4482.6112122941558</v>
      </c>
      <c r="M421" s="307">
        <f>Increased_EBacc_scenario_data!N32</f>
        <v>-4530.0183366974452</v>
      </c>
      <c r="N421" s="307">
        <f>Increased_EBacc_scenario_data!O32</f>
        <v>-4494.6182675531454</v>
      </c>
      <c r="O421" s="10"/>
    </row>
    <row r="422" spans="1:15">
      <c r="A422" s="883"/>
      <c r="B422" s="8" t="str">
        <f>Increased_EBacc_scenario_data!C33</f>
        <v>Geography</v>
      </c>
      <c r="C422" s="307">
        <f>Increased_EBacc_scenario_data!D33</f>
        <v>0</v>
      </c>
      <c r="D422" s="307">
        <f>Increased_EBacc_scenario_data!E33</f>
        <v>0</v>
      </c>
      <c r="E422" s="307">
        <f>Increased_EBacc_scenario_data!F33</f>
        <v>4802.7682063592074</v>
      </c>
      <c r="F422" s="307">
        <f>Increased_EBacc_scenario_data!G33</f>
        <v>9878.2387224402628</v>
      </c>
      <c r="G422" s="307">
        <f>Increased_EBacc_scenario_data!H33</f>
        <v>10956.914079791342</v>
      </c>
      <c r="H422" s="307">
        <f>Increased_EBacc_scenario_data!I33</f>
        <v>11257.515555929218</v>
      </c>
      <c r="I422" s="307">
        <f>Increased_EBacc_scenario_data!J33</f>
        <v>11629.099660789041</v>
      </c>
      <c r="J422" s="307">
        <f>Increased_EBacc_scenario_data!K33</f>
        <v>11837.105242144899</v>
      </c>
      <c r="K422" s="307">
        <f>Increased_EBacc_scenario_data!L33</f>
        <v>11910.65477584122</v>
      </c>
      <c r="L422" s="307">
        <f>Increased_EBacc_scenario_data!M33</f>
        <v>12079.392690279084</v>
      </c>
      <c r="M422" s="307">
        <f>Increased_EBacc_scenario_data!N33</f>
        <v>12216.355525492138</v>
      </c>
      <c r="N422" s="307">
        <f>Increased_EBacc_scenario_data!O33</f>
        <v>12119.893149475974</v>
      </c>
      <c r="O422" s="10"/>
    </row>
    <row r="423" spans="1:15">
      <c r="A423" s="883"/>
      <c r="B423" s="8" t="str">
        <f>Increased_EBacc_scenario_data!C34</f>
        <v>History</v>
      </c>
      <c r="C423" s="307">
        <f>Increased_EBacc_scenario_data!D34</f>
        <v>0</v>
      </c>
      <c r="D423" s="307">
        <f>Increased_EBacc_scenario_data!E34</f>
        <v>0</v>
      </c>
      <c r="E423" s="307">
        <f>Increased_EBacc_scenario_data!F34</f>
        <v>3993.9493437978381</v>
      </c>
      <c r="F423" s="307">
        <f>Increased_EBacc_scenario_data!G34</f>
        <v>8209.8379276515916</v>
      </c>
      <c r="G423" s="307">
        <f>Increased_EBacc_scenario_data!H34</f>
        <v>8740.2930230525089</v>
      </c>
      <c r="H423" s="307">
        <f>Increased_EBacc_scenario_data!I34</f>
        <v>8992.2941562751657</v>
      </c>
      <c r="I423" s="307">
        <f>Increased_EBacc_scenario_data!J34</f>
        <v>9315.7477793229045</v>
      </c>
      <c r="J423" s="307">
        <f>Increased_EBacc_scenario_data!K34</f>
        <v>9479.4989838725014</v>
      </c>
      <c r="K423" s="307">
        <f>Increased_EBacc_scenario_data!L34</f>
        <v>9543.9456980145769</v>
      </c>
      <c r="L423" s="307">
        <f>Increased_EBacc_scenario_data!M34</f>
        <v>9717.8179061086266</v>
      </c>
      <c r="M423" s="307">
        <f>Increased_EBacc_scenario_data!N34</f>
        <v>9870.2145871912944</v>
      </c>
      <c r="N423" s="307">
        <f>Increased_EBacc_scenario_data!O34</f>
        <v>9787.7135968334624</v>
      </c>
      <c r="O423" s="10"/>
    </row>
    <row r="424" spans="1:15">
      <c r="A424" s="883"/>
      <c r="B424" s="8" t="str">
        <f>Increased_EBacc_scenario_data!C35</f>
        <v>Mathematics</v>
      </c>
      <c r="C424" s="307">
        <f>Increased_EBacc_scenario_data!D35</f>
        <v>0</v>
      </c>
      <c r="D424" s="307">
        <f>Increased_EBacc_scenario_data!E35</f>
        <v>0</v>
      </c>
      <c r="E424" s="307">
        <f>Increased_EBacc_scenario_data!F35</f>
        <v>0</v>
      </c>
      <c r="F424" s="307">
        <f>Increased_EBacc_scenario_data!G35</f>
        <v>0</v>
      </c>
      <c r="G424" s="307">
        <f>Increased_EBacc_scenario_data!H35</f>
        <v>0</v>
      </c>
      <c r="H424" s="307">
        <f>Increased_EBacc_scenario_data!I35</f>
        <v>0</v>
      </c>
      <c r="I424" s="307">
        <f>Increased_EBacc_scenario_data!J35</f>
        <v>0</v>
      </c>
      <c r="J424" s="307">
        <f>Increased_EBacc_scenario_data!K35</f>
        <v>0</v>
      </c>
      <c r="K424" s="307">
        <f>Increased_EBacc_scenario_data!L35</f>
        <v>0</v>
      </c>
      <c r="L424" s="307">
        <f>Increased_EBacc_scenario_data!M35</f>
        <v>0</v>
      </c>
      <c r="M424" s="307">
        <f>Increased_EBacc_scenario_data!N35</f>
        <v>0</v>
      </c>
      <c r="N424" s="307">
        <f>Increased_EBacc_scenario_data!O35</f>
        <v>0</v>
      </c>
      <c r="O424" s="10"/>
    </row>
    <row r="425" spans="1:15">
      <c r="A425" s="883"/>
      <c r="B425" s="8" t="str">
        <f>Increased_EBacc_scenario_data!C36</f>
        <v>Modern Foreign Languages</v>
      </c>
      <c r="C425" s="307">
        <f>Increased_EBacc_scenario_data!D36</f>
        <v>0</v>
      </c>
      <c r="D425" s="307">
        <f>Increased_EBacc_scenario_data!E36</f>
        <v>0</v>
      </c>
      <c r="E425" s="307">
        <f>Increased_EBacc_scenario_data!F36</f>
        <v>22121.044663962151</v>
      </c>
      <c r="F425" s="307">
        <f>Increased_EBacc_scenario_data!G36</f>
        <v>45541.106042454398</v>
      </c>
      <c r="G425" s="307">
        <f>Increased_EBacc_scenario_data!H36</f>
        <v>53765.661701152014</v>
      </c>
      <c r="H425" s="307">
        <f>Increased_EBacc_scenario_data!I36</f>
        <v>55132.229643806873</v>
      </c>
      <c r="I425" s="307">
        <f>Increased_EBacc_scenario_data!J36</f>
        <v>56715.37183764088</v>
      </c>
      <c r="J425" s="307">
        <f>Increased_EBacc_scenario_data!K36</f>
        <v>57755.370310198981</v>
      </c>
      <c r="K425" s="307">
        <f>Increased_EBacc_scenario_data!L36</f>
        <v>58064.964155635738</v>
      </c>
      <c r="L425" s="307">
        <f>Increased_EBacc_scenario_data!M36</f>
        <v>58544.111120521964</v>
      </c>
      <c r="M425" s="307">
        <f>Increased_EBacc_scenario_data!N36</f>
        <v>58832.947282014764</v>
      </c>
      <c r="N425" s="307">
        <f>Increased_EBacc_scenario_data!O36</f>
        <v>58408.937017054937</v>
      </c>
      <c r="O425" s="10"/>
    </row>
    <row r="426" spans="1:15">
      <c r="A426" s="883"/>
      <c r="B426" s="8" t="str">
        <f>Increased_EBacc_scenario_data!C37</f>
        <v>Music</v>
      </c>
      <c r="C426" s="307">
        <f>Increased_EBacc_scenario_data!D37</f>
        <v>0</v>
      </c>
      <c r="D426" s="307">
        <f>Increased_EBacc_scenario_data!E37</f>
        <v>0</v>
      </c>
      <c r="E426" s="307">
        <f>Increased_EBacc_scenario_data!F37</f>
        <v>-2.5081794859725051</v>
      </c>
      <c r="F426" s="307">
        <f>Increased_EBacc_scenario_data!G37</f>
        <v>-4.1231216265296098</v>
      </c>
      <c r="G426" s="307">
        <f>Increased_EBacc_scenario_data!H37</f>
        <v>73.780183460839908</v>
      </c>
      <c r="H426" s="307">
        <f>Increased_EBacc_scenario_data!I37</f>
        <v>73.190157115546754</v>
      </c>
      <c r="I426" s="307">
        <f>Increased_EBacc_scenario_data!J37</f>
        <v>69.903620368160773</v>
      </c>
      <c r="J426" s="307">
        <f>Increased_EBacc_scenario_data!K37</f>
        <v>71.769655985423014</v>
      </c>
      <c r="K426" s="307">
        <f>Increased_EBacc_scenario_data!L37</f>
        <v>71.028396833688021</v>
      </c>
      <c r="L426" s="307">
        <f>Increased_EBacc_scenario_data!M37</f>
        <v>63.758373982389458</v>
      </c>
      <c r="M426" s="307">
        <f>Increased_EBacc_scenario_data!N37</f>
        <v>55.445688832725864</v>
      </c>
      <c r="N426" s="307">
        <f>Increased_EBacc_scenario_data!O37</f>
        <v>55.984878149392898</v>
      </c>
      <c r="O426" s="10"/>
    </row>
    <row r="427" spans="1:15">
      <c r="A427" s="883"/>
      <c r="B427" s="8" t="str">
        <f>Increased_EBacc_scenario_data!C38</f>
        <v>Others</v>
      </c>
      <c r="C427" s="307">
        <f>Increased_EBacc_scenario_data!D38</f>
        <v>0</v>
      </c>
      <c r="D427" s="307">
        <f>Increased_EBacc_scenario_data!E38</f>
        <v>0</v>
      </c>
      <c r="E427" s="307">
        <f>Increased_EBacc_scenario_data!F38</f>
        <v>-7894.1356423932812</v>
      </c>
      <c r="F427" s="307">
        <f>Increased_EBacc_scenario_data!G38</f>
        <v>-16258.982078367859</v>
      </c>
      <c r="G427" s="307">
        <f>Increased_EBacc_scenario_data!H38</f>
        <v>-19735.161444793222</v>
      </c>
      <c r="H427" s="307">
        <f>Increased_EBacc_scenario_data!I38</f>
        <v>-20219.849558153561</v>
      </c>
      <c r="I427" s="307">
        <f>Increased_EBacc_scenario_data!J38</f>
        <v>-20763.483310651587</v>
      </c>
      <c r="J427" s="307">
        <f>Increased_EBacc_scenario_data!K38</f>
        <v>-21148.236659740985</v>
      </c>
      <c r="K427" s="307">
        <f>Increased_EBacc_scenario_data!L38</f>
        <v>-21253.871289020419</v>
      </c>
      <c r="L427" s="307">
        <f>Increased_EBacc_scenario_data!M38</f>
        <v>-21375.329013747556</v>
      </c>
      <c r="M427" s="307">
        <f>Increased_EBacc_scenario_data!N38</f>
        <v>-21421.566932080168</v>
      </c>
      <c r="N427" s="307">
        <f>Increased_EBacc_scenario_data!O38</f>
        <v>-21273.625427361527</v>
      </c>
      <c r="O427" s="10"/>
    </row>
    <row r="428" spans="1:15">
      <c r="A428" s="883"/>
      <c r="B428" s="8" t="str">
        <f>Increased_EBacc_scenario_data!C39</f>
        <v>Physical Education</v>
      </c>
      <c r="C428" s="307">
        <f>Increased_EBacc_scenario_data!D39</f>
        <v>0</v>
      </c>
      <c r="D428" s="307">
        <f>Increased_EBacc_scenario_data!E39</f>
        <v>0</v>
      </c>
      <c r="E428" s="307">
        <f>Increased_EBacc_scenario_data!F39</f>
        <v>-5131.2223382037482</v>
      </c>
      <c r="F428" s="307">
        <f>Increased_EBacc_scenario_data!G39</f>
        <v>-10557.024471548502</v>
      </c>
      <c r="G428" s="307">
        <f>Increased_EBacc_scenario_data!H39</f>
        <v>-11954.023091655225</v>
      </c>
      <c r="H428" s="307">
        <f>Increased_EBacc_scenario_data!I39</f>
        <v>-12273.832607705845</v>
      </c>
      <c r="I428" s="307">
        <f>Increased_EBacc_scenario_data!J39</f>
        <v>-12661.190559971728</v>
      </c>
      <c r="J428" s="307">
        <f>Increased_EBacc_scenario_data!K39</f>
        <v>-12889.575698828208</v>
      </c>
      <c r="K428" s="307">
        <f>Increased_EBacc_scenario_data!L39</f>
        <v>-12965.964629789232</v>
      </c>
      <c r="L428" s="307">
        <f>Increased_EBacc_scenario_data!M39</f>
        <v>-13123.858688937849</v>
      </c>
      <c r="M428" s="307">
        <f>Increased_EBacc_scenario_data!N39</f>
        <v>-13244.503270395333</v>
      </c>
      <c r="N428" s="307">
        <f>Increased_EBacc_scenario_data!O39</f>
        <v>-13142.967444172536</v>
      </c>
      <c r="O428" s="10"/>
    </row>
    <row r="429" spans="1:15">
      <c r="A429" s="883"/>
      <c r="B429" s="8" t="str">
        <f>Increased_EBacc_scenario_data!C40</f>
        <v>Physics</v>
      </c>
      <c r="C429" s="307">
        <f>Increased_EBacc_scenario_data!D40</f>
        <v>0</v>
      </c>
      <c r="D429" s="307">
        <f>Increased_EBacc_scenario_data!E40</f>
        <v>0</v>
      </c>
      <c r="E429" s="307">
        <f>Increased_EBacc_scenario_data!F40</f>
        <v>256.74964741128497</v>
      </c>
      <c r="F429" s="307">
        <f>Increased_EBacc_scenario_data!G40</f>
        <v>528.23141644505085</v>
      </c>
      <c r="G429" s="307">
        <f>Increased_EBacc_scenario_data!H40</f>
        <v>597.54992338741431</v>
      </c>
      <c r="H429" s="307">
        <f>Increased_EBacc_scenario_data!I40</f>
        <v>613.55536566866795</v>
      </c>
      <c r="I429" s="307">
        <f>Increased_EBacc_scenario_data!J40</f>
        <v>632.96046262589516</v>
      </c>
      <c r="J429" s="307">
        <f>Increased_EBacc_scenario_data!K40</f>
        <v>644.37344551540446</v>
      </c>
      <c r="K429" s="307">
        <f>Increased_EBacc_scenario_data!L40</f>
        <v>648.20091861867695</v>
      </c>
      <c r="L429" s="307">
        <f>Increased_EBacc_scenario_data!M40</f>
        <v>656.15476111107273</v>
      </c>
      <c r="M429" s="307">
        <f>Increased_EBacc_scenario_data!N40</f>
        <v>662.25262794163427</v>
      </c>
      <c r="N429" s="307">
        <f>Increased_EBacc_scenario_data!O40</f>
        <v>657.16847572318511</v>
      </c>
      <c r="O429" s="10"/>
    </row>
    <row r="430" spans="1:15">
      <c r="A430" s="883"/>
      <c r="B430" s="8" t="str">
        <f>Increased_EBacc_scenario_data!C41</f>
        <v>Religious Education</v>
      </c>
      <c r="C430" s="307">
        <f>Increased_EBacc_scenario_data!D41</f>
        <v>0</v>
      </c>
      <c r="D430" s="307">
        <f>Increased_EBacc_scenario_data!E41</f>
        <v>0</v>
      </c>
      <c r="E430" s="307">
        <f>Increased_EBacc_scenario_data!F41</f>
        <v>-102.68230667749594</v>
      </c>
      <c r="F430" s="307">
        <f>Increased_EBacc_scenario_data!G41</f>
        <v>-209.85082709652488</v>
      </c>
      <c r="G430" s="307">
        <f>Increased_EBacc_scenario_data!H41</f>
        <v>-131.07552379847039</v>
      </c>
      <c r="H430" s="307">
        <f>Increased_EBacc_scenario_data!I41</f>
        <v>-138.06434715191426</v>
      </c>
      <c r="I430" s="307">
        <f>Increased_EBacc_scenario_data!J41</f>
        <v>-150.02229656744748</v>
      </c>
      <c r="J430" s="307">
        <f>Increased_EBacc_scenario_data!K41</f>
        <v>-151.90661898200051</v>
      </c>
      <c r="K430" s="307">
        <f>Increased_EBacc_scenario_data!L41</f>
        <v>-154.39128052216256</v>
      </c>
      <c r="L430" s="307">
        <f>Increased_EBacc_scenario_data!M41</f>
        <v>-167.31983088867855</v>
      </c>
      <c r="M430" s="307">
        <f>Increased_EBacc_scenario_data!N41</f>
        <v>-180.94378194777528</v>
      </c>
      <c r="N430" s="307">
        <f>Increased_EBacc_scenario_data!O41</f>
        <v>-178.24703233828768</v>
      </c>
      <c r="O430" s="10"/>
    </row>
    <row r="431" spans="1:15">
      <c r="A431" s="10">
        <f>SUM(C431:N431)</f>
        <v>0</v>
      </c>
      <c r="B431" s="8" t="s">
        <v>8</v>
      </c>
      <c r="C431" s="459">
        <f>SUM(C412:C430)</f>
        <v>0</v>
      </c>
      <c r="D431" s="459">
        <f t="shared" ref="D431:N431" si="319">SUM(D412:D430)</f>
        <v>0</v>
      </c>
      <c r="E431" s="459">
        <f t="shared" si="319"/>
        <v>0</v>
      </c>
      <c r="F431" s="459">
        <f t="shared" si="319"/>
        <v>0</v>
      </c>
      <c r="G431" s="459">
        <f t="shared" si="319"/>
        <v>0</v>
      </c>
      <c r="H431" s="459">
        <f t="shared" si="319"/>
        <v>0</v>
      </c>
      <c r="I431" s="459">
        <f t="shared" si="319"/>
        <v>0</v>
      </c>
      <c r="J431" s="459">
        <f t="shared" si="319"/>
        <v>0</v>
      </c>
      <c r="K431" s="459">
        <f t="shared" si="319"/>
        <v>0</v>
      </c>
      <c r="L431" s="459">
        <f t="shared" si="319"/>
        <v>0</v>
      </c>
      <c r="M431" s="459">
        <f t="shared" si="319"/>
        <v>0</v>
      </c>
      <c r="N431" s="459">
        <f t="shared" si="319"/>
        <v>0</v>
      </c>
      <c r="O431" s="10">
        <f>SUM(C431:N431)</f>
        <v>0</v>
      </c>
    </row>
    <row r="432" spans="1:15">
      <c r="A432" s="883"/>
      <c r="B432" s="12"/>
      <c r="O432" s="10"/>
    </row>
    <row r="433" spans="1:15">
      <c r="A433" s="883"/>
      <c r="B433" s="108" t="s">
        <v>1165</v>
      </c>
      <c r="O433" s="10"/>
    </row>
    <row r="434" spans="1:15">
      <c r="A434" s="883"/>
      <c r="B434" s="12"/>
      <c r="C434" s="10"/>
      <c r="D434" s="10"/>
      <c r="E434" s="10"/>
      <c r="F434" s="10"/>
      <c r="G434" s="10"/>
      <c r="H434" s="10"/>
      <c r="I434" s="10"/>
      <c r="J434" s="10"/>
      <c r="K434" s="10"/>
      <c r="L434" s="10"/>
      <c r="M434" s="10"/>
      <c r="N434" s="10"/>
      <c r="O434" s="10"/>
    </row>
    <row r="435" spans="1:15">
      <c r="A435" s="883"/>
      <c r="B435" s="8" t="str">
        <f>B411</f>
        <v>Subject</v>
      </c>
      <c r="C435" s="248" t="str">
        <f>C411</f>
        <v>2016/17</v>
      </c>
      <c r="D435" s="248" t="str">
        <f t="shared" ref="D435:N435" si="320">D411</f>
        <v>2017/18</v>
      </c>
      <c r="E435" s="248" t="str">
        <f t="shared" si="320"/>
        <v>2018/19</v>
      </c>
      <c r="F435" s="248" t="str">
        <f t="shared" si="320"/>
        <v>2019/20</v>
      </c>
      <c r="G435" s="248" t="str">
        <f t="shared" si="320"/>
        <v>2020/21</v>
      </c>
      <c r="H435" s="248" t="str">
        <f t="shared" si="320"/>
        <v>2021/22</v>
      </c>
      <c r="I435" s="248" t="str">
        <f t="shared" si="320"/>
        <v>2022/23</v>
      </c>
      <c r="J435" s="248" t="str">
        <f t="shared" si="320"/>
        <v>2023/24</v>
      </c>
      <c r="K435" s="248" t="str">
        <f t="shared" si="320"/>
        <v>2024/25</v>
      </c>
      <c r="L435" s="248" t="str">
        <f t="shared" si="320"/>
        <v>2025/26</v>
      </c>
      <c r="M435" s="248" t="str">
        <f t="shared" si="320"/>
        <v>2026/27</v>
      </c>
      <c r="N435" s="248" t="str">
        <f t="shared" si="320"/>
        <v>2027/28</v>
      </c>
      <c r="O435" s="10"/>
    </row>
    <row r="436" spans="1:15">
      <c r="A436" s="883"/>
      <c r="B436" s="8" t="str">
        <f t="shared" ref="B436:B455" si="321">B412</f>
        <v>Art &amp; Design</v>
      </c>
      <c r="C436" s="459">
        <f>C361+C412</f>
        <v>140481.54266561725</v>
      </c>
      <c r="D436" s="459">
        <f t="shared" ref="D436:N436" si="322">D361+D412</f>
        <v>142167.94817125329</v>
      </c>
      <c r="E436" s="459">
        <f t="shared" si="322"/>
        <v>142683.72173664777</v>
      </c>
      <c r="F436" s="459">
        <f t="shared" si="322"/>
        <v>143609.30309374529</v>
      </c>
      <c r="G436" s="459">
        <f t="shared" si="322"/>
        <v>146140.88904383645</v>
      </c>
      <c r="H436" s="459">
        <f t="shared" si="322"/>
        <v>149213.25190174335</v>
      </c>
      <c r="I436" s="459">
        <f t="shared" si="322"/>
        <v>152673.53927531815</v>
      </c>
      <c r="J436" s="459">
        <f t="shared" si="322"/>
        <v>155890.95360417664</v>
      </c>
      <c r="K436" s="459">
        <f t="shared" si="322"/>
        <v>157289.54122457441</v>
      </c>
      <c r="L436" s="459">
        <f t="shared" si="322"/>
        <v>157727.31156413039</v>
      </c>
      <c r="M436" s="459">
        <f t="shared" si="322"/>
        <v>157506.00427551026</v>
      </c>
      <c r="N436" s="459">
        <f t="shared" si="322"/>
        <v>157262.95961186895</v>
      </c>
      <c r="O436" s="10"/>
    </row>
    <row r="437" spans="1:15">
      <c r="A437" s="883"/>
      <c r="B437" s="8" t="str">
        <f t="shared" si="321"/>
        <v>Biology</v>
      </c>
      <c r="C437" s="459">
        <f t="shared" ref="C437:N454" si="323">C362+C413</f>
        <v>211480.20973080694</v>
      </c>
      <c r="D437" s="459">
        <f t="shared" si="323"/>
        <v>214360.69714547039</v>
      </c>
      <c r="E437" s="459">
        <f t="shared" si="323"/>
        <v>219593.25101787827</v>
      </c>
      <c r="F437" s="459">
        <f t="shared" si="323"/>
        <v>225116.82757117145</v>
      </c>
      <c r="G437" s="459">
        <f t="shared" si="323"/>
        <v>229660.92236637571</v>
      </c>
      <c r="H437" s="459">
        <f t="shared" si="323"/>
        <v>234983.85745354992</v>
      </c>
      <c r="I437" s="459">
        <f t="shared" si="323"/>
        <v>241385.86601144038</v>
      </c>
      <c r="J437" s="459">
        <f t="shared" si="323"/>
        <v>246291.32695967445</v>
      </c>
      <c r="K437" s="459">
        <f t="shared" si="323"/>
        <v>248528.02020996323</v>
      </c>
      <c r="L437" s="459">
        <f t="shared" si="323"/>
        <v>250534.6210308304</v>
      </c>
      <c r="M437" s="459">
        <f t="shared" si="323"/>
        <v>251648.29758206441</v>
      </c>
      <c r="N437" s="459">
        <f t="shared" si="323"/>
        <v>250901.3815489859</v>
      </c>
      <c r="O437" s="10"/>
    </row>
    <row r="438" spans="1:15">
      <c r="A438" s="883"/>
      <c r="B438" s="8" t="str">
        <f t="shared" si="321"/>
        <v>Business Studies</v>
      </c>
      <c r="C438" s="459">
        <f t="shared" si="323"/>
        <v>70741.343483666264</v>
      </c>
      <c r="D438" s="459">
        <f t="shared" si="323"/>
        <v>70321.383033344493</v>
      </c>
      <c r="E438" s="459">
        <f t="shared" si="323"/>
        <v>68316.887906681164</v>
      </c>
      <c r="F438" s="459">
        <f t="shared" si="323"/>
        <v>66404.766023312579</v>
      </c>
      <c r="G438" s="459">
        <f t="shared" si="323"/>
        <v>66717.673745445092</v>
      </c>
      <c r="H438" s="459">
        <f t="shared" si="323"/>
        <v>68198.805779466609</v>
      </c>
      <c r="I438" s="459">
        <f t="shared" si="323"/>
        <v>70434.635920815461</v>
      </c>
      <c r="J438" s="459">
        <f t="shared" si="323"/>
        <v>72119.620632294449</v>
      </c>
      <c r="K438" s="459">
        <f t="shared" si="323"/>
        <v>73512.242271952186</v>
      </c>
      <c r="L438" s="459">
        <f t="shared" si="323"/>
        <v>74964.24417696915</v>
      </c>
      <c r="M438" s="459">
        <f t="shared" si="323"/>
        <v>76191.686412946234</v>
      </c>
      <c r="N438" s="459">
        <f t="shared" si="323"/>
        <v>76559.344502005901</v>
      </c>
      <c r="O438" s="10"/>
    </row>
    <row r="439" spans="1:15">
      <c r="A439" s="883"/>
      <c r="B439" s="8" t="str">
        <f t="shared" si="321"/>
        <v>Chemistry</v>
      </c>
      <c r="C439" s="459">
        <f t="shared" si="323"/>
        <v>184705.75406821244</v>
      </c>
      <c r="D439" s="459">
        <f t="shared" si="323"/>
        <v>187252.38210011885</v>
      </c>
      <c r="E439" s="459">
        <f t="shared" si="323"/>
        <v>191942.48064392171</v>
      </c>
      <c r="F439" s="459">
        <f t="shared" si="323"/>
        <v>196803.13425679129</v>
      </c>
      <c r="G439" s="459">
        <f t="shared" si="323"/>
        <v>200789.99157193367</v>
      </c>
      <c r="H439" s="459">
        <f t="shared" si="323"/>
        <v>205507.37683030398</v>
      </c>
      <c r="I439" s="459">
        <f t="shared" si="323"/>
        <v>211213.71901308917</v>
      </c>
      <c r="J439" s="459">
        <f t="shared" si="323"/>
        <v>215476.06046318822</v>
      </c>
      <c r="K439" s="459">
        <f t="shared" si="323"/>
        <v>217414.53267596505</v>
      </c>
      <c r="L439" s="459">
        <f t="shared" si="323"/>
        <v>219307.69309400138</v>
      </c>
      <c r="M439" s="459">
        <f t="shared" si="323"/>
        <v>220436.96050930629</v>
      </c>
      <c r="N439" s="459">
        <f t="shared" si="323"/>
        <v>219721.21246375883</v>
      </c>
      <c r="O439" s="10"/>
    </row>
    <row r="440" spans="1:15">
      <c r="A440" s="883"/>
      <c r="B440" s="8" t="str">
        <f t="shared" si="321"/>
        <v>Classics</v>
      </c>
      <c r="C440" s="459">
        <f t="shared" si="323"/>
        <v>5478.3409443774844</v>
      </c>
      <c r="D440" s="459">
        <f t="shared" si="323"/>
        <v>5495.7397611306169</v>
      </c>
      <c r="E440" s="459">
        <f t="shared" si="323"/>
        <v>5559.5495002065072</v>
      </c>
      <c r="F440" s="459">
        <f t="shared" si="323"/>
        <v>5650.461334404863</v>
      </c>
      <c r="G440" s="459">
        <f t="shared" si="323"/>
        <v>5742.399952362488</v>
      </c>
      <c r="H440" s="459">
        <f t="shared" si="323"/>
        <v>5862.3811438720013</v>
      </c>
      <c r="I440" s="459">
        <f t="shared" si="323"/>
        <v>6016.3587849668802</v>
      </c>
      <c r="J440" s="459">
        <f t="shared" si="323"/>
        <v>6152.293637041068</v>
      </c>
      <c r="K440" s="459">
        <f t="shared" si="323"/>
        <v>6236.1201542132312</v>
      </c>
      <c r="L440" s="459">
        <f t="shared" si="323"/>
        <v>6291.6773010276829</v>
      </c>
      <c r="M440" s="459">
        <f t="shared" si="323"/>
        <v>6323.1980274937887</v>
      </c>
      <c r="N440" s="459">
        <f t="shared" si="323"/>
        <v>6334.9477105304513</v>
      </c>
      <c r="O440" s="10"/>
    </row>
    <row r="441" spans="1:15">
      <c r="A441" s="883"/>
      <c r="B441" s="8" t="str">
        <f t="shared" si="321"/>
        <v>Computing</v>
      </c>
      <c r="C441" s="459">
        <f t="shared" si="323"/>
        <v>126133.53455315834</v>
      </c>
      <c r="D441" s="459">
        <f t="shared" si="323"/>
        <v>127581.07757091353</v>
      </c>
      <c r="E441" s="459">
        <f t="shared" si="323"/>
        <v>125549.06666473049</v>
      </c>
      <c r="F441" s="459">
        <f t="shared" si="323"/>
        <v>123607.19116032757</v>
      </c>
      <c r="G441" s="459">
        <f t="shared" si="323"/>
        <v>125069.15372268509</v>
      </c>
      <c r="H441" s="459">
        <f t="shared" si="323"/>
        <v>127767.1256383303</v>
      </c>
      <c r="I441" s="459">
        <f t="shared" si="323"/>
        <v>130887.39138356484</v>
      </c>
      <c r="J441" s="459">
        <f t="shared" si="323"/>
        <v>133632.01633588807</v>
      </c>
      <c r="K441" s="459">
        <f t="shared" si="323"/>
        <v>134871.79126510094</v>
      </c>
      <c r="L441" s="459">
        <f t="shared" si="323"/>
        <v>135481.54811643783</v>
      </c>
      <c r="M441" s="459">
        <f t="shared" si="323"/>
        <v>135549.75251323846</v>
      </c>
      <c r="N441" s="459">
        <f t="shared" si="323"/>
        <v>135318.01174817554</v>
      </c>
      <c r="O441" s="10"/>
    </row>
    <row r="442" spans="1:15">
      <c r="A442" s="883"/>
      <c r="B442" s="8" t="str">
        <f t="shared" si="321"/>
        <v>Design &amp; Technology</v>
      </c>
      <c r="C442" s="459">
        <f t="shared" si="323"/>
        <v>177698.37939777359</v>
      </c>
      <c r="D442" s="459">
        <f t="shared" si="323"/>
        <v>180643.24257908348</v>
      </c>
      <c r="E442" s="459">
        <f t="shared" si="323"/>
        <v>178741.04365829463</v>
      </c>
      <c r="F442" s="459">
        <f t="shared" si="323"/>
        <v>177137.62185398897</v>
      </c>
      <c r="G442" s="459">
        <f t="shared" si="323"/>
        <v>179241.41203075083</v>
      </c>
      <c r="H442" s="459">
        <f t="shared" si="323"/>
        <v>182960.64540726555</v>
      </c>
      <c r="I442" s="459">
        <f t="shared" si="323"/>
        <v>186810.60931366563</v>
      </c>
      <c r="J442" s="459">
        <f t="shared" si="323"/>
        <v>190629.23722698595</v>
      </c>
      <c r="K442" s="459">
        <f t="shared" si="323"/>
        <v>191896.90017926437</v>
      </c>
      <c r="L442" s="459">
        <f t="shared" si="323"/>
        <v>191684.31669499658</v>
      </c>
      <c r="M442" s="459">
        <f t="shared" si="323"/>
        <v>190617.38147212929</v>
      </c>
      <c r="N442" s="459">
        <f t="shared" si="323"/>
        <v>190037.05758926878</v>
      </c>
      <c r="O442" s="10"/>
    </row>
    <row r="443" spans="1:15">
      <c r="A443" s="883"/>
      <c r="B443" s="8" t="str">
        <f t="shared" si="321"/>
        <v>Drama</v>
      </c>
      <c r="C443" s="459">
        <f t="shared" si="323"/>
        <v>86131.25896780724</v>
      </c>
      <c r="D443" s="459">
        <f t="shared" si="323"/>
        <v>87333.158820208933</v>
      </c>
      <c r="E443" s="459">
        <f t="shared" si="323"/>
        <v>88348.437933219917</v>
      </c>
      <c r="F443" s="459">
        <f t="shared" si="323"/>
        <v>89656.39089283369</v>
      </c>
      <c r="G443" s="459">
        <f t="shared" si="323"/>
        <v>90702.56221820091</v>
      </c>
      <c r="H443" s="459">
        <f t="shared" si="323"/>
        <v>92615.095440973892</v>
      </c>
      <c r="I443" s="459">
        <f t="shared" si="323"/>
        <v>94714.763676437826</v>
      </c>
      <c r="J443" s="459">
        <f t="shared" si="323"/>
        <v>96681.774248577014</v>
      </c>
      <c r="K443" s="459">
        <f t="shared" si="323"/>
        <v>97462.525977549405</v>
      </c>
      <c r="L443" s="459">
        <f t="shared" si="323"/>
        <v>97627.013946683466</v>
      </c>
      <c r="M443" s="459">
        <f t="shared" si="323"/>
        <v>97377.786045221656</v>
      </c>
      <c r="N443" s="459">
        <f t="shared" si="323"/>
        <v>97159.829877158598</v>
      </c>
      <c r="O443" s="10"/>
    </row>
    <row r="444" spans="1:15">
      <c r="A444" s="883"/>
      <c r="B444" s="8" t="str">
        <f t="shared" si="321"/>
        <v>English</v>
      </c>
      <c r="C444" s="459">
        <f t="shared" si="323"/>
        <v>516375.15308672126</v>
      </c>
      <c r="D444" s="459">
        <f t="shared" si="323"/>
        <v>525599.14391028625</v>
      </c>
      <c r="E444" s="459">
        <f t="shared" si="323"/>
        <v>539671.37148053735</v>
      </c>
      <c r="F444" s="459">
        <f t="shared" si="323"/>
        <v>554438.83827863913</v>
      </c>
      <c r="G444" s="459">
        <f t="shared" si="323"/>
        <v>566284.74549987714</v>
      </c>
      <c r="H444" s="459">
        <f t="shared" si="323"/>
        <v>579258.75902952033</v>
      </c>
      <c r="I444" s="459">
        <f t="shared" si="323"/>
        <v>593827.65854949539</v>
      </c>
      <c r="J444" s="459">
        <f t="shared" si="323"/>
        <v>605529.05251979991</v>
      </c>
      <c r="K444" s="459">
        <f t="shared" si="323"/>
        <v>609660.72980724438</v>
      </c>
      <c r="L444" s="459">
        <f t="shared" si="323"/>
        <v>612293.66468968301</v>
      </c>
      <c r="M444" s="459">
        <f t="shared" si="323"/>
        <v>612582.88480469317</v>
      </c>
      <c r="N444" s="459">
        <f t="shared" si="323"/>
        <v>609868.69061721594</v>
      </c>
      <c r="O444" s="10"/>
    </row>
    <row r="445" spans="1:15">
      <c r="A445" s="883"/>
      <c r="B445" s="8" t="str">
        <f t="shared" si="321"/>
        <v>Food</v>
      </c>
      <c r="C445" s="459">
        <f t="shared" si="323"/>
        <v>36358.197539993627</v>
      </c>
      <c r="D445" s="459">
        <f t="shared" si="323"/>
        <v>36879.708988397499</v>
      </c>
      <c r="E445" s="459">
        <f t="shared" si="323"/>
        <v>36149.151260212566</v>
      </c>
      <c r="F445" s="459">
        <f t="shared" si="323"/>
        <v>35299.855718437349</v>
      </c>
      <c r="G445" s="459">
        <f t="shared" si="323"/>
        <v>35705.314091953158</v>
      </c>
      <c r="H445" s="459">
        <f t="shared" si="323"/>
        <v>36558.931693756014</v>
      </c>
      <c r="I445" s="459">
        <f t="shared" si="323"/>
        <v>37556.7962933581</v>
      </c>
      <c r="J445" s="459">
        <f t="shared" si="323"/>
        <v>38288.484797591569</v>
      </c>
      <c r="K445" s="459">
        <f t="shared" si="323"/>
        <v>38566.536232959086</v>
      </c>
      <c r="L445" s="459">
        <f t="shared" si="323"/>
        <v>38847.95727830859</v>
      </c>
      <c r="M445" s="459">
        <f t="shared" si="323"/>
        <v>38992.93322938538</v>
      </c>
      <c r="N445" s="459">
        <f t="shared" si="323"/>
        <v>38806.128345866826</v>
      </c>
      <c r="O445" s="10"/>
    </row>
    <row r="446" spans="1:15">
      <c r="A446" s="883"/>
      <c r="B446" s="8" t="str">
        <f t="shared" si="321"/>
        <v>Geography</v>
      </c>
      <c r="C446" s="459">
        <f t="shared" si="323"/>
        <v>173983.15875245357</v>
      </c>
      <c r="D446" s="459">
        <f t="shared" si="323"/>
        <v>176641.10875419914</v>
      </c>
      <c r="E446" s="459">
        <f t="shared" si="323"/>
        <v>185717.22350455879</v>
      </c>
      <c r="F446" s="459">
        <f t="shared" si="323"/>
        <v>195622.57645864814</v>
      </c>
      <c r="G446" s="459">
        <f t="shared" si="323"/>
        <v>200582.3716033239</v>
      </c>
      <c r="H446" s="459">
        <f t="shared" si="323"/>
        <v>204982.37175040832</v>
      </c>
      <c r="I446" s="459">
        <f t="shared" si="323"/>
        <v>209810.05896467555</v>
      </c>
      <c r="J446" s="459">
        <f t="shared" si="323"/>
        <v>214037.37797494375</v>
      </c>
      <c r="K446" s="459">
        <f t="shared" si="323"/>
        <v>215557.2916733961</v>
      </c>
      <c r="L446" s="459">
        <f t="shared" si="323"/>
        <v>216068.88521331418</v>
      </c>
      <c r="M446" s="459">
        <f t="shared" si="323"/>
        <v>215699.0290075799</v>
      </c>
      <c r="N446" s="459">
        <f t="shared" si="323"/>
        <v>214933.35511510607</v>
      </c>
      <c r="O446" s="10"/>
    </row>
    <row r="447" spans="1:15">
      <c r="A447" s="883"/>
      <c r="B447" s="8" t="str">
        <f t="shared" si="321"/>
        <v>History</v>
      </c>
      <c r="C447" s="459">
        <f t="shared" si="323"/>
        <v>186942.68598729925</v>
      </c>
      <c r="D447" s="459">
        <f t="shared" si="323"/>
        <v>189553.45161542331</v>
      </c>
      <c r="E447" s="459">
        <f t="shared" si="323"/>
        <v>197897.01375011454</v>
      </c>
      <c r="F447" s="459">
        <f t="shared" si="323"/>
        <v>207081.15840777848</v>
      </c>
      <c r="G447" s="459">
        <f t="shared" si="323"/>
        <v>211673.87321229588</v>
      </c>
      <c r="H447" s="459">
        <f t="shared" si="323"/>
        <v>216308.9128446565</v>
      </c>
      <c r="I447" s="459">
        <f t="shared" si="323"/>
        <v>221491.71351493924</v>
      </c>
      <c r="J447" s="459">
        <f t="shared" si="323"/>
        <v>226005.05825630238</v>
      </c>
      <c r="K447" s="459">
        <f t="shared" si="323"/>
        <v>227763.38536189409</v>
      </c>
      <c r="L447" s="459">
        <f t="shared" si="323"/>
        <v>228497.3755877596</v>
      </c>
      <c r="M447" s="459">
        <f t="shared" si="323"/>
        <v>228309.91087035654</v>
      </c>
      <c r="N447" s="459">
        <f t="shared" si="323"/>
        <v>227619.1920381895</v>
      </c>
      <c r="O447" s="10"/>
    </row>
    <row r="448" spans="1:15">
      <c r="A448" s="883"/>
      <c r="B448" s="8" t="str">
        <f t="shared" si="321"/>
        <v>Mathematics</v>
      </c>
      <c r="C448" s="459">
        <f t="shared" si="323"/>
        <v>523374.29871558677</v>
      </c>
      <c r="D448" s="459">
        <f t="shared" si="323"/>
        <v>536355.08932093275</v>
      </c>
      <c r="E448" s="459">
        <f t="shared" si="323"/>
        <v>549971.76169211301</v>
      </c>
      <c r="F448" s="459">
        <f t="shared" si="323"/>
        <v>564502.8471360479</v>
      </c>
      <c r="G448" s="459">
        <f t="shared" si="323"/>
        <v>576316.07912341342</v>
      </c>
      <c r="H448" s="459">
        <f t="shared" si="323"/>
        <v>589392.85769564251</v>
      </c>
      <c r="I448" s="459">
        <f t="shared" si="323"/>
        <v>604215.91470576345</v>
      </c>
      <c r="J448" s="459">
        <f t="shared" si="323"/>
        <v>616279.58996099222</v>
      </c>
      <c r="K448" s="459">
        <f t="shared" si="323"/>
        <v>620836.82170478953</v>
      </c>
      <c r="L448" s="459">
        <f t="shared" si="323"/>
        <v>623682.91477228596</v>
      </c>
      <c r="M448" s="459">
        <f t="shared" si="323"/>
        <v>624133.0906012936</v>
      </c>
      <c r="N448" s="459">
        <f t="shared" si="323"/>
        <v>621724.46491069125</v>
      </c>
      <c r="O448" s="10"/>
    </row>
    <row r="449" spans="1:15">
      <c r="A449" s="883"/>
      <c r="B449" s="8" t="str">
        <f t="shared" si="321"/>
        <v>Modern Foreign Languages</v>
      </c>
      <c r="C449" s="459">
        <f t="shared" si="323"/>
        <v>248208.52654607996</v>
      </c>
      <c r="D449" s="459">
        <f t="shared" si="323"/>
        <v>252429.58750352543</v>
      </c>
      <c r="E449" s="459">
        <f t="shared" si="323"/>
        <v>280990.11265812832</v>
      </c>
      <c r="F449" s="459">
        <f t="shared" si="323"/>
        <v>311668.26794382662</v>
      </c>
      <c r="G449" s="459">
        <f t="shared" si="323"/>
        <v>325602.28211265407</v>
      </c>
      <c r="H449" s="459">
        <f t="shared" si="323"/>
        <v>332806.00838012312</v>
      </c>
      <c r="I449" s="459">
        <f t="shared" si="323"/>
        <v>340535.91777371295</v>
      </c>
      <c r="J449" s="459">
        <f t="shared" si="323"/>
        <v>347271.45010742807</v>
      </c>
      <c r="K449" s="459">
        <f t="shared" si="323"/>
        <v>349407.18502545817</v>
      </c>
      <c r="L449" s="459">
        <f t="shared" si="323"/>
        <v>349932.03666200576</v>
      </c>
      <c r="M449" s="459">
        <f t="shared" si="323"/>
        <v>349019.60344097263</v>
      </c>
      <c r="N449" s="459">
        <f t="shared" si="323"/>
        <v>347490.2386262971</v>
      </c>
      <c r="O449" s="10"/>
    </row>
    <row r="450" spans="1:15">
      <c r="A450" s="883"/>
      <c r="B450" s="8" t="str">
        <f t="shared" si="321"/>
        <v>Music</v>
      </c>
      <c r="C450" s="459">
        <f t="shared" si="323"/>
        <v>87162.74555798553</v>
      </c>
      <c r="D450" s="459">
        <f t="shared" si="323"/>
        <v>88587.702421611946</v>
      </c>
      <c r="E450" s="459">
        <f t="shared" si="323"/>
        <v>90615.366949565869</v>
      </c>
      <c r="F450" s="459">
        <f t="shared" si="323"/>
        <v>93067.771284479357</v>
      </c>
      <c r="G450" s="459">
        <f t="shared" si="323"/>
        <v>95089.889027783211</v>
      </c>
      <c r="H450" s="459">
        <f t="shared" si="323"/>
        <v>97027.696349846985</v>
      </c>
      <c r="I450" s="459">
        <f t="shared" si="323"/>
        <v>99014.496121097443</v>
      </c>
      <c r="J450" s="459">
        <f t="shared" si="323"/>
        <v>101057.34558507422</v>
      </c>
      <c r="K450" s="459">
        <f t="shared" si="323"/>
        <v>101746.60961599002</v>
      </c>
      <c r="L450" s="459">
        <f t="shared" si="323"/>
        <v>101566.97275967672</v>
      </c>
      <c r="M450" s="459">
        <f t="shared" si="323"/>
        <v>100925.30264137806</v>
      </c>
      <c r="N450" s="459">
        <f t="shared" si="323"/>
        <v>100657.47459111776</v>
      </c>
      <c r="O450" s="10"/>
    </row>
    <row r="451" spans="1:15">
      <c r="A451" s="883"/>
      <c r="B451" s="8" t="str">
        <f t="shared" si="321"/>
        <v>Others</v>
      </c>
      <c r="C451" s="459">
        <f t="shared" si="323"/>
        <v>262056.891100623</v>
      </c>
      <c r="D451" s="459">
        <f t="shared" si="323"/>
        <v>261373.69845086907</v>
      </c>
      <c r="E451" s="459">
        <f t="shared" si="323"/>
        <v>255048.81127950791</v>
      </c>
      <c r="F451" s="459">
        <f t="shared" si="323"/>
        <v>249667.46314497915</v>
      </c>
      <c r="G451" s="459">
        <f t="shared" si="323"/>
        <v>249924.53097925353</v>
      </c>
      <c r="H451" s="459">
        <f t="shared" si="323"/>
        <v>255052.89306315893</v>
      </c>
      <c r="I451" s="459">
        <f t="shared" si="323"/>
        <v>262329.50395026582</v>
      </c>
      <c r="J451" s="459">
        <f t="shared" si="323"/>
        <v>268635.64344618365</v>
      </c>
      <c r="K451" s="459">
        <f t="shared" si="323"/>
        <v>273402.68951372744</v>
      </c>
      <c r="L451" s="459">
        <f t="shared" si="323"/>
        <v>277141.37626170932</v>
      </c>
      <c r="M451" s="459">
        <f t="shared" si="323"/>
        <v>279887.7195620006</v>
      </c>
      <c r="N451" s="459">
        <f t="shared" si="323"/>
        <v>281275.83387894538</v>
      </c>
      <c r="O451" s="10"/>
    </row>
    <row r="452" spans="1:15">
      <c r="A452" s="883"/>
      <c r="B452" s="8" t="str">
        <f t="shared" si="321"/>
        <v>Physical Education</v>
      </c>
      <c r="C452" s="459">
        <f t="shared" si="323"/>
        <v>280221.96945751726</v>
      </c>
      <c r="D452" s="459">
        <f t="shared" si="323"/>
        <v>284524.97065331094</v>
      </c>
      <c r="E452" s="459">
        <f t="shared" si="323"/>
        <v>286769.16014919395</v>
      </c>
      <c r="F452" s="459">
        <f t="shared" si="323"/>
        <v>289258.4123291123</v>
      </c>
      <c r="G452" s="459">
        <f t="shared" si="323"/>
        <v>294217.95390411897</v>
      </c>
      <c r="H452" s="459">
        <f t="shared" si="323"/>
        <v>300789.58367502235</v>
      </c>
      <c r="I452" s="459">
        <f t="shared" si="323"/>
        <v>308072.3883369579</v>
      </c>
      <c r="J452" s="459">
        <f t="shared" si="323"/>
        <v>314224.00352100993</v>
      </c>
      <c r="K452" s="459">
        <f t="shared" si="323"/>
        <v>316421.35787046788</v>
      </c>
      <c r="L452" s="459">
        <f t="shared" si="323"/>
        <v>317427.71097605658</v>
      </c>
      <c r="M452" s="459">
        <f t="shared" si="323"/>
        <v>317172.13164795854</v>
      </c>
      <c r="N452" s="459">
        <f t="shared" si="323"/>
        <v>315932.61362056871</v>
      </c>
      <c r="O452" s="10"/>
    </row>
    <row r="453" spans="1:15">
      <c r="A453" s="883"/>
      <c r="B453" s="8" t="str">
        <f t="shared" si="321"/>
        <v>Physics</v>
      </c>
      <c r="C453" s="459">
        <f t="shared" si="323"/>
        <v>176995.31457465902</v>
      </c>
      <c r="D453" s="459">
        <f t="shared" si="323"/>
        <v>179611.06847787939</v>
      </c>
      <c r="E453" s="459">
        <f t="shared" si="323"/>
        <v>184362.46940499244</v>
      </c>
      <c r="F453" s="459">
        <f t="shared" si="323"/>
        <v>189197.98583848507</v>
      </c>
      <c r="G453" s="459">
        <f t="shared" si="323"/>
        <v>193110.33963433283</v>
      </c>
      <c r="H453" s="459">
        <f t="shared" si="323"/>
        <v>197699.23748686796</v>
      </c>
      <c r="I453" s="459">
        <f t="shared" si="323"/>
        <v>203212.51612811859</v>
      </c>
      <c r="J453" s="459">
        <f t="shared" si="323"/>
        <v>207259.72886929443</v>
      </c>
      <c r="K453" s="459">
        <f t="shared" si="323"/>
        <v>209015.08644881795</v>
      </c>
      <c r="L453" s="459">
        <f t="shared" si="323"/>
        <v>210816.66111789778</v>
      </c>
      <c r="M453" s="459">
        <f t="shared" si="323"/>
        <v>211890.44321314016</v>
      </c>
      <c r="N453" s="459">
        <f t="shared" si="323"/>
        <v>211082.66019417773</v>
      </c>
      <c r="O453" s="10"/>
    </row>
    <row r="454" spans="1:15">
      <c r="A454" s="883"/>
      <c r="B454" s="8" t="str">
        <f t="shared" si="321"/>
        <v>Religious Education</v>
      </c>
      <c r="C454" s="459">
        <f t="shared" si="323"/>
        <v>123041.88568022332</v>
      </c>
      <c r="D454" s="459">
        <f t="shared" si="323"/>
        <v>124816.25433284683</v>
      </c>
      <c r="E454" s="459">
        <f t="shared" si="323"/>
        <v>127779.11725384693</v>
      </c>
      <c r="F454" s="459">
        <f t="shared" si="323"/>
        <v>131028.85753704768</v>
      </c>
      <c r="G454" s="459">
        <f t="shared" si="323"/>
        <v>133835.98647994045</v>
      </c>
      <c r="H454" s="459">
        <f t="shared" si="323"/>
        <v>136808.59786980425</v>
      </c>
      <c r="I454" s="459">
        <f t="shared" si="323"/>
        <v>140135.02652975378</v>
      </c>
      <c r="J454" s="459">
        <f t="shared" si="323"/>
        <v>142960.46061806867</v>
      </c>
      <c r="K454" s="459">
        <f t="shared" si="323"/>
        <v>144027.37803317327</v>
      </c>
      <c r="L454" s="459">
        <f t="shared" si="323"/>
        <v>144536.30047762161</v>
      </c>
      <c r="M454" s="459">
        <f t="shared" si="323"/>
        <v>144471.28129801049</v>
      </c>
      <c r="N454" s="459">
        <f t="shared" si="323"/>
        <v>143969.0569299346</v>
      </c>
      <c r="O454" s="10"/>
    </row>
    <row r="455" spans="1:15">
      <c r="A455" s="883"/>
      <c r="B455" s="8" t="str">
        <f t="shared" si="321"/>
        <v>Total</v>
      </c>
      <c r="C455" s="459">
        <f>SUM(C436:C454)</f>
        <v>3617571.1908105626</v>
      </c>
      <c r="D455" s="459">
        <f t="shared" ref="D455:N455" si="324">SUM(D436:D454)</f>
        <v>3671527.4136108062</v>
      </c>
      <c r="E455" s="459">
        <f t="shared" si="324"/>
        <v>3755705.9984443518</v>
      </c>
      <c r="F455" s="459">
        <f t="shared" si="324"/>
        <v>3848819.730264056</v>
      </c>
      <c r="G455" s="459">
        <f t="shared" si="324"/>
        <v>3926408.3703205367</v>
      </c>
      <c r="H455" s="459">
        <f t="shared" si="324"/>
        <v>4013794.3894343125</v>
      </c>
      <c r="I455" s="459">
        <f t="shared" si="324"/>
        <v>4114338.8742474364</v>
      </c>
      <c r="J455" s="459">
        <f t="shared" si="324"/>
        <v>4198421.4787645154</v>
      </c>
      <c r="K455" s="459">
        <f t="shared" si="324"/>
        <v>4233616.7452465016</v>
      </c>
      <c r="L455" s="459">
        <f t="shared" si="324"/>
        <v>4254430.2817213964</v>
      </c>
      <c r="M455" s="459">
        <f t="shared" si="324"/>
        <v>4258735.3971546795</v>
      </c>
      <c r="N455" s="459">
        <f t="shared" si="324"/>
        <v>4246654.4539198643</v>
      </c>
      <c r="O455" s="10"/>
    </row>
    <row r="456" spans="1:15">
      <c r="A456" s="10">
        <f>SUM(C456:N456)</f>
        <v>0</v>
      </c>
      <c r="B456" s="192"/>
      <c r="C456" s="10">
        <f>C455-C380</f>
        <v>0</v>
      </c>
      <c r="D456" s="10">
        <f t="shared" ref="D456:N456" si="325">D455-D380</f>
        <v>0</v>
      </c>
      <c r="E456" s="10">
        <f t="shared" si="325"/>
        <v>0</v>
      </c>
      <c r="F456" s="10">
        <f t="shared" si="325"/>
        <v>0</v>
      </c>
      <c r="G456" s="10">
        <f t="shared" si="325"/>
        <v>0</v>
      </c>
      <c r="H456" s="10">
        <f t="shared" si="325"/>
        <v>0</v>
      </c>
      <c r="I456" s="10">
        <f t="shared" si="325"/>
        <v>0</v>
      </c>
      <c r="J456" s="10">
        <f t="shared" si="325"/>
        <v>0</v>
      </c>
      <c r="K456" s="10">
        <f t="shared" si="325"/>
        <v>0</v>
      </c>
      <c r="L456" s="10">
        <f t="shared" si="325"/>
        <v>0</v>
      </c>
      <c r="M456" s="10">
        <f t="shared" si="325"/>
        <v>0</v>
      </c>
      <c r="N456" s="10">
        <f t="shared" si="325"/>
        <v>0</v>
      </c>
      <c r="O456" s="10"/>
    </row>
    <row r="457" spans="1:15">
      <c r="A457" s="883"/>
      <c r="B457" s="150" t="s">
        <v>90</v>
      </c>
      <c r="C457" s="10"/>
      <c r="D457" s="10"/>
      <c r="E457" s="10"/>
      <c r="F457" s="10"/>
      <c r="G457" s="10"/>
      <c r="H457" s="10"/>
      <c r="I457" s="10"/>
      <c r="J457" s="10"/>
      <c r="K457" s="10"/>
      <c r="L457" s="10"/>
      <c r="M457" s="10"/>
      <c r="N457" s="10"/>
      <c r="O457" s="10"/>
    </row>
    <row r="458" spans="1:15">
      <c r="A458" s="883"/>
      <c r="C458" s="10"/>
      <c r="D458" s="10"/>
      <c r="E458" s="10"/>
      <c r="F458" s="10"/>
      <c r="G458" s="10"/>
      <c r="H458" s="10"/>
      <c r="I458" s="10"/>
      <c r="J458" s="10"/>
      <c r="K458" s="10"/>
      <c r="L458" s="10"/>
      <c r="M458" s="10"/>
      <c r="N458" s="10"/>
      <c r="O458" s="10"/>
    </row>
    <row r="459" spans="1:15">
      <c r="A459" s="883"/>
      <c r="B459" s="8" t="str">
        <f>B435</f>
        <v>Subject</v>
      </c>
      <c r="C459" s="248" t="str">
        <f>C435</f>
        <v>2016/17</v>
      </c>
      <c r="D459" s="248" t="str">
        <f t="shared" ref="D459:N459" si="326">D435</f>
        <v>2017/18</v>
      </c>
      <c r="E459" s="248" t="str">
        <f t="shared" si="326"/>
        <v>2018/19</v>
      </c>
      <c r="F459" s="248" t="str">
        <f t="shared" si="326"/>
        <v>2019/20</v>
      </c>
      <c r="G459" s="248" t="str">
        <f t="shared" si="326"/>
        <v>2020/21</v>
      </c>
      <c r="H459" s="248" t="str">
        <f t="shared" si="326"/>
        <v>2021/22</v>
      </c>
      <c r="I459" s="248" t="str">
        <f t="shared" si="326"/>
        <v>2022/23</v>
      </c>
      <c r="J459" s="248" t="str">
        <f t="shared" si="326"/>
        <v>2023/24</v>
      </c>
      <c r="K459" s="248" t="str">
        <f t="shared" si="326"/>
        <v>2024/25</v>
      </c>
      <c r="L459" s="248" t="str">
        <f t="shared" si="326"/>
        <v>2025/26</v>
      </c>
      <c r="M459" s="248" t="str">
        <f t="shared" si="326"/>
        <v>2026/27</v>
      </c>
      <c r="N459" s="248" t="str">
        <f t="shared" si="326"/>
        <v>2027/28</v>
      </c>
      <c r="O459" s="10"/>
    </row>
    <row r="460" spans="1:15">
      <c r="A460" s="883"/>
      <c r="B460" s="8" t="str">
        <f t="shared" ref="B460:B478" si="327">B436</f>
        <v>Art &amp; Design</v>
      </c>
      <c r="C460" s="415">
        <f>C436/C$455</f>
        <v>3.8833110740839512E-2</v>
      </c>
      <c r="D460" s="415">
        <f t="shared" ref="D460:N460" si="328">D436/D$455</f>
        <v>3.8721744973010175E-2</v>
      </c>
      <c r="E460" s="415">
        <f t="shared" si="328"/>
        <v>3.7991185091630894E-2</v>
      </c>
      <c r="F460" s="415">
        <f t="shared" si="328"/>
        <v>3.7312556357086822E-2</v>
      </c>
      <c r="G460" s="415">
        <f t="shared" si="328"/>
        <v>3.7219992232215539E-2</v>
      </c>
      <c r="H460" s="415">
        <f t="shared" si="328"/>
        <v>3.7175110985885065E-2</v>
      </c>
      <c r="I460" s="415">
        <f t="shared" si="328"/>
        <v>3.7107672445489563E-2</v>
      </c>
      <c r="J460" s="415">
        <f t="shared" si="328"/>
        <v>3.7130848913732986E-2</v>
      </c>
      <c r="K460" s="415">
        <f t="shared" si="328"/>
        <v>3.7152522462308109E-2</v>
      </c>
      <c r="L460" s="415">
        <f t="shared" si="328"/>
        <v>3.7073662304864925E-2</v>
      </c>
      <c r="M460" s="415">
        <f t="shared" si="328"/>
        <v>3.6984219395443593E-2</v>
      </c>
      <c r="N460" s="415">
        <f t="shared" si="328"/>
        <v>3.7032200598922697E-2</v>
      </c>
      <c r="O460" s="10"/>
    </row>
    <row r="461" spans="1:15">
      <c r="A461" s="883"/>
      <c r="B461" s="8" t="str">
        <f t="shared" si="327"/>
        <v>Biology</v>
      </c>
      <c r="C461" s="415">
        <f t="shared" ref="C461:N461" si="329">C437/C$455</f>
        <v>5.8459170138244636E-2</v>
      </c>
      <c r="D461" s="415">
        <f t="shared" si="329"/>
        <v>5.8384610271683866E-2</v>
      </c>
      <c r="E461" s="415">
        <f t="shared" si="329"/>
        <v>5.8469233509980768E-2</v>
      </c>
      <c r="F461" s="415">
        <f t="shared" si="329"/>
        <v>5.8489834117465112E-2</v>
      </c>
      <c r="G461" s="415">
        <f t="shared" si="329"/>
        <v>5.8491349015646857E-2</v>
      </c>
      <c r="H461" s="415">
        <f t="shared" si="329"/>
        <v>5.8544069440155742E-2</v>
      </c>
      <c r="I461" s="415">
        <f t="shared" si="329"/>
        <v>5.8669417709447391E-2</v>
      </c>
      <c r="J461" s="415">
        <f t="shared" si="329"/>
        <v>5.8662839880514211E-2</v>
      </c>
      <c r="K461" s="415">
        <f t="shared" si="329"/>
        <v>5.870347628632424E-2</v>
      </c>
      <c r="L461" s="415">
        <f t="shared" si="329"/>
        <v>5.8887936677965942E-2</v>
      </c>
      <c r="M461" s="415">
        <f t="shared" si="329"/>
        <v>5.9089911467661065E-2</v>
      </c>
      <c r="N461" s="415">
        <f t="shared" si="329"/>
        <v>5.9082127889494747E-2</v>
      </c>
      <c r="O461" s="10"/>
    </row>
    <row r="462" spans="1:15">
      <c r="A462" s="883"/>
      <c r="B462" s="8" t="str">
        <f t="shared" si="327"/>
        <v>Business Studies</v>
      </c>
      <c r="C462" s="415">
        <f t="shared" ref="C462:N462" si="330">C438/C$455</f>
        <v>1.9554927809953E-2</v>
      </c>
      <c r="D462" s="415">
        <f t="shared" si="330"/>
        <v>1.9153168453176852E-2</v>
      </c>
      <c r="E462" s="415">
        <f t="shared" si="330"/>
        <v>1.8190158637278492E-2</v>
      </c>
      <c r="F462" s="415">
        <f t="shared" si="330"/>
        <v>1.7253280402082315E-2</v>
      </c>
      <c r="G462" s="415">
        <f t="shared" si="330"/>
        <v>1.6992036347966151E-2</v>
      </c>
      <c r="H462" s="415">
        <f t="shared" si="330"/>
        <v>1.6991105961727718E-2</v>
      </c>
      <c r="I462" s="415">
        <f t="shared" si="330"/>
        <v>1.7119308368516151E-2</v>
      </c>
      <c r="J462" s="415">
        <f t="shared" si="330"/>
        <v>1.7177794320335209E-2</v>
      </c>
      <c r="K462" s="415">
        <f t="shared" si="330"/>
        <v>1.7363934124290211E-2</v>
      </c>
      <c r="L462" s="415">
        <f t="shared" si="330"/>
        <v>1.7620277972127837E-2</v>
      </c>
      <c r="M462" s="415">
        <f t="shared" si="330"/>
        <v>1.7890683338497845E-2</v>
      </c>
      <c r="N462" s="415">
        <f t="shared" si="330"/>
        <v>1.8028154947087344E-2</v>
      </c>
      <c r="O462" s="10"/>
    </row>
    <row r="463" spans="1:15">
      <c r="A463" s="883"/>
      <c r="B463" s="8" t="str">
        <f t="shared" si="327"/>
        <v>Chemistry</v>
      </c>
      <c r="C463" s="415">
        <f t="shared" ref="C463:N463" si="331">C439/C$455</f>
        <v>5.1057945877445686E-2</v>
      </c>
      <c r="D463" s="415">
        <f t="shared" si="331"/>
        <v>5.1001221291703043E-2</v>
      </c>
      <c r="E463" s="415">
        <f t="shared" si="331"/>
        <v>5.110689727135885E-2</v>
      </c>
      <c r="F463" s="415">
        <f t="shared" si="331"/>
        <v>5.1133372838766136E-2</v>
      </c>
      <c r="G463" s="415">
        <f t="shared" si="331"/>
        <v>5.1138336269271438E-2</v>
      </c>
      <c r="H463" s="415">
        <f t="shared" si="331"/>
        <v>5.1200275074196645E-2</v>
      </c>
      <c r="I463" s="415">
        <f t="shared" si="331"/>
        <v>5.1336004512200703E-2</v>
      </c>
      <c r="J463" s="415">
        <f t="shared" si="331"/>
        <v>5.1323113115979278E-2</v>
      </c>
      <c r="K463" s="415">
        <f t="shared" si="331"/>
        <v>5.1354325570465903E-2</v>
      </c>
      <c r="L463" s="415">
        <f t="shared" si="331"/>
        <v>5.1548075434736405E-2</v>
      </c>
      <c r="M463" s="415">
        <f t="shared" si="331"/>
        <v>5.1761130934921032E-2</v>
      </c>
      <c r="N463" s="415">
        <f t="shared" si="331"/>
        <v>5.1739837758861137E-2</v>
      </c>
      <c r="O463" s="10"/>
    </row>
    <row r="464" spans="1:15">
      <c r="A464" s="883"/>
      <c r="B464" s="8" t="str">
        <f t="shared" si="327"/>
        <v>Classics</v>
      </c>
      <c r="C464" s="415">
        <f t="shared" ref="C464:N464" si="332">C440/C$455</f>
        <v>1.5143699060556684E-3</v>
      </c>
      <c r="D464" s="415">
        <f t="shared" si="332"/>
        <v>1.4968538000716622E-3</v>
      </c>
      <c r="E464" s="415">
        <f t="shared" si="332"/>
        <v>1.4802941184718196E-3</v>
      </c>
      <c r="F464" s="415">
        <f t="shared" si="332"/>
        <v>1.4681023613483716E-3</v>
      </c>
      <c r="G464" s="415">
        <f t="shared" si="332"/>
        <v>1.462507057536071E-3</v>
      </c>
      <c r="H464" s="415">
        <f t="shared" si="332"/>
        <v>1.4605584080997784E-3</v>
      </c>
      <c r="I464" s="415">
        <f t="shared" si="332"/>
        <v>1.4622905329030164E-3</v>
      </c>
      <c r="J464" s="415">
        <f t="shared" si="332"/>
        <v>1.4653825653663352E-3</v>
      </c>
      <c r="K464" s="415">
        <f t="shared" si="332"/>
        <v>1.4730006350279906E-3</v>
      </c>
      <c r="L464" s="415">
        <f t="shared" si="332"/>
        <v>1.4788530741845865E-3</v>
      </c>
      <c r="M464" s="415">
        <f t="shared" si="332"/>
        <v>1.4847595442812448E-3</v>
      </c>
      <c r="N464" s="415">
        <f t="shared" si="332"/>
        <v>1.4917502187358318E-3</v>
      </c>
      <c r="O464" s="10"/>
    </row>
    <row r="465" spans="1:15">
      <c r="A465" s="883"/>
      <c r="B465" s="8" t="str">
        <f t="shared" si="327"/>
        <v>Computing</v>
      </c>
      <c r="C465" s="415">
        <f t="shared" ref="C465:N465" si="333">C441/C$455</f>
        <v>3.4866911499507082E-2</v>
      </c>
      <c r="D465" s="415">
        <f t="shared" si="333"/>
        <v>3.4748774337883113E-2</v>
      </c>
      <c r="E465" s="415">
        <f t="shared" si="333"/>
        <v>3.3428885731932714E-2</v>
      </c>
      <c r="F465" s="415">
        <f t="shared" si="333"/>
        <v>3.2115609413550593E-2</v>
      </c>
      <c r="G465" s="415">
        <f t="shared" si="333"/>
        <v>3.1853322916707956E-2</v>
      </c>
      <c r="H465" s="415">
        <f t="shared" si="333"/>
        <v>3.1832005639017613E-2</v>
      </c>
      <c r="I465" s="415">
        <f t="shared" si="333"/>
        <v>3.1812496584279475E-2</v>
      </c>
      <c r="J465" s="415">
        <f t="shared" si="333"/>
        <v>3.1829109347833374E-2</v>
      </c>
      <c r="K465" s="415">
        <f t="shared" si="333"/>
        <v>3.1857345475717606E-2</v>
      </c>
      <c r="L465" s="415">
        <f t="shared" si="333"/>
        <v>3.1844815673326837E-2</v>
      </c>
      <c r="M465" s="415">
        <f t="shared" si="333"/>
        <v>3.1828639225578825E-2</v>
      </c>
      <c r="N465" s="415">
        <f t="shared" si="333"/>
        <v>3.1864615597172165E-2</v>
      </c>
      <c r="O465" s="10"/>
    </row>
    <row r="466" spans="1:15">
      <c r="A466" s="883"/>
      <c r="B466" s="8" t="str">
        <f t="shared" si="327"/>
        <v>Design &amp; Technology</v>
      </c>
      <c r="C466" s="415">
        <f t="shared" ref="C466:N466" si="334">C442/C$455</f>
        <v>4.9120907378178792E-2</v>
      </c>
      <c r="D466" s="415">
        <f t="shared" si="334"/>
        <v>4.9201115020799421E-2</v>
      </c>
      <c r="E466" s="415">
        <f t="shared" si="334"/>
        <v>4.7591862550564613E-2</v>
      </c>
      <c r="F466" s="415">
        <f t="shared" si="334"/>
        <v>4.6023881155336961E-2</v>
      </c>
      <c r="G466" s="415">
        <f t="shared" si="334"/>
        <v>4.5650221557600811E-2</v>
      </c>
      <c r="H466" s="415">
        <f t="shared" si="334"/>
        <v>4.5582964062354792E-2</v>
      </c>
      <c r="I466" s="415">
        <f t="shared" si="334"/>
        <v>4.5404769763364619E-2</v>
      </c>
      <c r="J466" s="415">
        <f t="shared" si="334"/>
        <v>4.5404978559485436E-2</v>
      </c>
      <c r="K466" s="415">
        <f t="shared" si="334"/>
        <v>4.532694188597159E-2</v>
      </c>
      <c r="L466" s="415">
        <f t="shared" si="334"/>
        <v>4.5055225729880494E-2</v>
      </c>
      <c r="M466" s="415">
        <f t="shared" si="334"/>
        <v>4.4759151178888318E-2</v>
      </c>
      <c r="N466" s="415">
        <f t="shared" si="334"/>
        <v>4.4749828282792239E-2</v>
      </c>
      <c r="O466" s="10"/>
    </row>
    <row r="467" spans="1:15">
      <c r="A467" s="883"/>
      <c r="B467" s="8" t="str">
        <f t="shared" si="327"/>
        <v>Drama</v>
      </c>
      <c r="C467" s="415">
        <f t="shared" ref="C467:N467" si="335">C443/C$455</f>
        <v>2.3809140007140659E-2</v>
      </c>
      <c r="D467" s="415">
        <f t="shared" si="335"/>
        <v>2.3786601319236815E-2</v>
      </c>
      <c r="E467" s="415">
        <f t="shared" si="335"/>
        <v>2.3523789660270175E-2</v>
      </c>
      <c r="F467" s="415">
        <f t="shared" si="335"/>
        <v>2.3294515507662563E-2</v>
      </c>
      <c r="G467" s="415">
        <f t="shared" si="335"/>
        <v>2.3100644065404817E-2</v>
      </c>
      <c r="H467" s="415">
        <f t="shared" si="335"/>
        <v>2.3074200234264288E-2</v>
      </c>
      <c r="I467" s="415">
        <f t="shared" si="335"/>
        <v>2.3020652058895447E-2</v>
      </c>
      <c r="J467" s="415">
        <f t="shared" si="335"/>
        <v>2.3028124912563067E-2</v>
      </c>
      <c r="K467" s="415">
        <f t="shared" si="335"/>
        <v>2.302110272191742E-2</v>
      </c>
      <c r="L467" s="415">
        <f t="shared" si="335"/>
        <v>2.2947141563495626E-2</v>
      </c>
      <c r="M467" s="415">
        <f t="shared" si="335"/>
        <v>2.2865422939936843E-2</v>
      </c>
      <c r="N467" s="415">
        <f t="shared" si="335"/>
        <v>2.2879146615631854E-2</v>
      </c>
      <c r="O467" s="10"/>
    </row>
    <row r="468" spans="1:15">
      <c r="A468" s="883"/>
      <c r="B468" s="8" t="str">
        <f t="shared" si="327"/>
        <v>English</v>
      </c>
      <c r="C468" s="415">
        <f t="shared" ref="C468:N468" si="336">C444/C$455</f>
        <v>0.14274084070506457</v>
      </c>
      <c r="D468" s="415">
        <f t="shared" si="336"/>
        <v>0.14315544586752238</v>
      </c>
      <c r="E468" s="415">
        <f t="shared" si="336"/>
        <v>0.14369372142123857</v>
      </c>
      <c r="F468" s="415">
        <f t="shared" si="336"/>
        <v>0.14405424964930763</v>
      </c>
      <c r="G468" s="415">
        <f t="shared" si="336"/>
        <v>0.14422461753606333</v>
      </c>
      <c r="H468" s="415">
        <f t="shared" si="336"/>
        <v>0.14431699853742599</v>
      </c>
      <c r="I468" s="415">
        <f t="shared" si="336"/>
        <v>0.14433124657436339</v>
      </c>
      <c r="J468" s="415">
        <f t="shared" si="336"/>
        <v>0.14422779027368904</v>
      </c>
      <c r="K468" s="415">
        <f t="shared" si="336"/>
        <v>0.14400470484055283</v>
      </c>
      <c r="L468" s="415">
        <f t="shared" si="336"/>
        <v>0.14391907356440242</v>
      </c>
      <c r="M468" s="415">
        <f t="shared" si="336"/>
        <v>0.14384149933662663</v>
      </c>
      <c r="N468" s="415">
        <f t="shared" si="336"/>
        <v>0.14361156464102656</v>
      </c>
      <c r="O468" s="10"/>
    </row>
    <row r="469" spans="1:15">
      <c r="A469" s="883"/>
      <c r="B469" s="8" t="str">
        <f t="shared" si="327"/>
        <v>Food</v>
      </c>
      <c r="C469" s="415">
        <f t="shared" ref="C469:N469" si="337">C445/C$455</f>
        <v>1.0050444240697062E-2</v>
      </c>
      <c r="D469" s="415">
        <f t="shared" si="337"/>
        <v>1.0044786497216351E-2</v>
      </c>
      <c r="E469" s="415">
        <f t="shared" si="337"/>
        <v>9.6251280784986574E-3</v>
      </c>
      <c r="F469" s="415">
        <f t="shared" si="337"/>
        <v>9.1716053731660564E-3</v>
      </c>
      <c r="G469" s="415">
        <f t="shared" si="337"/>
        <v>9.0936323286816747E-3</v>
      </c>
      <c r="H469" s="415">
        <f t="shared" si="337"/>
        <v>9.1083219882891111E-3</v>
      </c>
      <c r="I469" s="415">
        <f t="shared" si="337"/>
        <v>9.1282700431980588E-3</v>
      </c>
      <c r="J469" s="415">
        <f t="shared" si="337"/>
        <v>9.1197334501201301E-3</v>
      </c>
      <c r="K469" s="415">
        <f t="shared" si="337"/>
        <v>9.1095955429271042E-3</v>
      </c>
      <c r="L469" s="415">
        <f t="shared" si="337"/>
        <v>9.1311773153772806E-3</v>
      </c>
      <c r="M469" s="415">
        <f t="shared" si="337"/>
        <v>9.1559887133248769E-3</v>
      </c>
      <c r="N469" s="415">
        <f t="shared" si="337"/>
        <v>9.1380470831684737E-3</v>
      </c>
      <c r="O469" s="10"/>
    </row>
    <row r="470" spans="1:15">
      <c r="A470" s="883"/>
      <c r="B470" s="8" t="str">
        <f t="shared" si="327"/>
        <v>Geography</v>
      </c>
      <c r="C470" s="415">
        <f t="shared" ref="C470:N470" si="338">C446/C$455</f>
        <v>4.8093914279948267E-2</v>
      </c>
      <c r="D470" s="415">
        <f t="shared" si="338"/>
        <v>4.8111069006149511E-2</v>
      </c>
      <c r="E470" s="415">
        <f t="shared" si="338"/>
        <v>4.9449350822850506E-2</v>
      </c>
      <c r="F470" s="415">
        <f t="shared" si="338"/>
        <v>5.0826640416652372E-2</v>
      </c>
      <c r="G470" s="415">
        <f t="shared" si="338"/>
        <v>5.1085458435631122E-2</v>
      </c>
      <c r="H470" s="415">
        <f t="shared" si="338"/>
        <v>5.1069474881422036E-2</v>
      </c>
      <c r="I470" s="415">
        <f t="shared" si="338"/>
        <v>5.0994841547429032E-2</v>
      </c>
      <c r="J470" s="415">
        <f t="shared" si="338"/>
        <v>5.0980440877014879E-2</v>
      </c>
      <c r="K470" s="415">
        <f t="shared" si="338"/>
        <v>5.0915636592618711E-2</v>
      </c>
      <c r="L470" s="415">
        <f t="shared" si="338"/>
        <v>5.0786796563954968E-2</v>
      </c>
      <c r="M470" s="415">
        <f t="shared" si="338"/>
        <v>5.0648610184068119E-2</v>
      </c>
      <c r="N470" s="415">
        <f t="shared" si="338"/>
        <v>5.0612395580410918E-2</v>
      </c>
      <c r="O470" s="10"/>
    </row>
    <row r="471" spans="1:15">
      <c r="A471" s="883"/>
      <c r="B471" s="8" t="str">
        <f t="shared" si="327"/>
        <v>History</v>
      </c>
      <c r="C471" s="415">
        <f t="shared" ref="C471:N471" si="339">C447/C$455</f>
        <v>5.167629774976519E-2</v>
      </c>
      <c r="D471" s="415">
        <f t="shared" si="339"/>
        <v>5.1627954870424014E-2</v>
      </c>
      <c r="E471" s="415">
        <f t="shared" si="339"/>
        <v>5.2692360326416741E-2</v>
      </c>
      <c r="F471" s="415">
        <f t="shared" si="339"/>
        <v>5.3803808159539668E-2</v>
      </c>
      <c r="G471" s="415">
        <f t="shared" si="339"/>
        <v>5.3910305105379461E-2</v>
      </c>
      <c r="H471" s="415">
        <f t="shared" si="339"/>
        <v>5.389137854546211E-2</v>
      </c>
      <c r="I471" s="415">
        <f t="shared" si="339"/>
        <v>5.3834095898445608E-2</v>
      </c>
      <c r="J471" s="415">
        <f t="shared" si="339"/>
        <v>5.3830959897530277E-2</v>
      </c>
      <c r="K471" s="415">
        <f t="shared" si="339"/>
        <v>5.3798772791048333E-2</v>
      </c>
      <c r="L471" s="415">
        <f t="shared" si="339"/>
        <v>5.3708102015320058E-2</v>
      </c>
      <c r="M471" s="415">
        <f t="shared" si="339"/>
        <v>5.3609790132275785E-2</v>
      </c>
      <c r="N471" s="415">
        <f t="shared" si="339"/>
        <v>5.3599649914554771E-2</v>
      </c>
      <c r="O471" s="10"/>
    </row>
    <row r="472" spans="1:15">
      <c r="A472" s="883"/>
      <c r="B472" s="8" t="str">
        <f t="shared" si="327"/>
        <v>Mathematics</v>
      </c>
      <c r="C472" s="415">
        <f t="shared" ref="C472:N472" si="340">C448/C$455</f>
        <v>0.14467560446220773</v>
      </c>
      <c r="D472" s="415">
        <f t="shared" si="340"/>
        <v>0.14608500193478008</v>
      </c>
      <c r="E472" s="415">
        <f t="shared" si="340"/>
        <v>0.14643631900897366</v>
      </c>
      <c r="F472" s="415">
        <f t="shared" si="340"/>
        <v>0.14666907953553829</v>
      </c>
      <c r="G472" s="415">
        <f t="shared" si="340"/>
        <v>0.14677945459767988</v>
      </c>
      <c r="H472" s="415">
        <f t="shared" si="340"/>
        <v>0.14684181612469419</v>
      </c>
      <c r="I472" s="415">
        <f t="shared" si="340"/>
        <v>0.1468561373220095</v>
      </c>
      <c r="J472" s="415">
        <f t="shared" si="340"/>
        <v>0.14678840442249905</v>
      </c>
      <c r="K472" s="415">
        <f t="shared" si="340"/>
        <v>0.14664454981709532</v>
      </c>
      <c r="L472" s="415">
        <f t="shared" si="340"/>
        <v>0.14659610652261904</v>
      </c>
      <c r="M472" s="415">
        <f t="shared" si="340"/>
        <v>0.14655362035835465</v>
      </c>
      <c r="N472" s="415">
        <f t="shared" si="340"/>
        <v>0.14640335625537179</v>
      </c>
      <c r="O472" s="10"/>
    </row>
    <row r="473" spans="1:15">
      <c r="A473" s="883"/>
      <c r="B473" s="8" t="str">
        <f t="shared" si="327"/>
        <v>Modern Foreign Languages</v>
      </c>
      <c r="C473" s="415">
        <f t="shared" ref="C473:N473" si="341">C449/C$455</f>
        <v>6.8611925917749714E-2</v>
      </c>
      <c r="D473" s="415">
        <f t="shared" si="341"/>
        <v>6.8753289589432928E-2</v>
      </c>
      <c r="E473" s="415">
        <f t="shared" si="341"/>
        <v>7.4816855412675284E-2</v>
      </c>
      <c r="F473" s="415">
        <f t="shared" si="341"/>
        <v>8.0977621657131751E-2</v>
      </c>
      <c r="G473" s="415">
        <f t="shared" si="341"/>
        <v>8.2926239810881708E-2</v>
      </c>
      <c r="H473" s="415">
        <f t="shared" si="341"/>
        <v>8.291555971481325E-2</v>
      </c>
      <c r="I473" s="415">
        <f t="shared" si="341"/>
        <v>8.276807724934937E-2</v>
      </c>
      <c r="J473" s="415">
        <f t="shared" si="341"/>
        <v>8.2714765981432833E-2</v>
      </c>
      <c r="K473" s="415">
        <f t="shared" si="341"/>
        <v>8.253160502016911E-2</v>
      </c>
      <c r="L473" s="415">
        <f t="shared" si="341"/>
        <v>8.2251209560406477E-2</v>
      </c>
      <c r="M473" s="415">
        <f t="shared" si="341"/>
        <v>8.1953812785400454E-2</v>
      </c>
      <c r="N473" s="415">
        <f t="shared" si="341"/>
        <v>8.1826822124778029E-2</v>
      </c>
      <c r="O473" s="10"/>
    </row>
    <row r="474" spans="1:15">
      <c r="A474" s="883"/>
      <c r="B474" s="8" t="str">
        <f t="shared" si="327"/>
        <v>Music</v>
      </c>
      <c r="C474" s="415">
        <f t="shared" ref="C474:N474" si="342">C450/C$455</f>
        <v>2.4094272361356243E-2</v>
      </c>
      <c r="D474" s="415">
        <f t="shared" si="342"/>
        <v>2.4128296602990453E-2</v>
      </c>
      <c r="E474" s="415">
        <f t="shared" si="342"/>
        <v>2.4127385633247008E-2</v>
      </c>
      <c r="F474" s="415">
        <f t="shared" si="342"/>
        <v>2.4180860057608947E-2</v>
      </c>
      <c r="G474" s="415">
        <f t="shared" si="342"/>
        <v>2.4218033393205211E-2</v>
      </c>
      <c r="H474" s="415">
        <f t="shared" si="342"/>
        <v>2.4173559215005448E-2</v>
      </c>
      <c r="I474" s="415">
        <f t="shared" si="342"/>
        <v>2.4065712413931489E-2</v>
      </c>
      <c r="J474" s="415">
        <f t="shared" si="342"/>
        <v>2.4070319308392242E-2</v>
      </c>
      <c r="K474" s="415">
        <f t="shared" si="342"/>
        <v>2.4033023237219325E-2</v>
      </c>
      <c r="L474" s="415">
        <f t="shared" si="342"/>
        <v>2.387322532844079E-2</v>
      </c>
      <c r="M474" s="415">
        <f t="shared" si="342"/>
        <v>2.3698420594246747E-2</v>
      </c>
      <c r="N474" s="415">
        <f t="shared" si="342"/>
        <v>2.3702770188472978E-2</v>
      </c>
      <c r="O474" s="10"/>
    </row>
    <row r="475" spans="1:15">
      <c r="A475" s="883"/>
      <c r="B475" s="8" t="str">
        <f t="shared" si="327"/>
        <v>Others</v>
      </c>
      <c r="C475" s="415">
        <f t="shared" ref="C475:N475" si="343">C451/C$455</f>
        <v>7.2440009409159914E-2</v>
      </c>
      <c r="D475" s="415">
        <f t="shared" si="343"/>
        <v>7.1189363174008841E-2</v>
      </c>
      <c r="E475" s="415">
        <f t="shared" si="343"/>
        <v>6.790968499268886E-2</v>
      </c>
      <c r="F475" s="415">
        <f t="shared" si="343"/>
        <v>6.4868578068698016E-2</v>
      </c>
      <c r="G475" s="415">
        <f t="shared" si="343"/>
        <v>6.3652200027999289E-2</v>
      </c>
      <c r="H475" s="415">
        <f t="shared" si="343"/>
        <v>6.3544085301067213E-2</v>
      </c>
      <c r="I475" s="415">
        <f t="shared" si="343"/>
        <v>6.3759819491837344E-2</v>
      </c>
      <c r="J475" s="415">
        <f t="shared" si="343"/>
        <v>6.3984915474764578E-2</v>
      </c>
      <c r="K475" s="415">
        <f t="shared" si="343"/>
        <v>6.4578989069027926E-2</v>
      </c>
      <c r="L475" s="415">
        <f t="shared" si="343"/>
        <v>6.5141830494299321E-2</v>
      </c>
      <c r="M475" s="415">
        <f t="shared" si="343"/>
        <v>6.5720852192178339E-2</v>
      </c>
      <c r="N475" s="415">
        <f t="shared" si="343"/>
        <v>6.6234688254259627E-2</v>
      </c>
      <c r="O475" s="10"/>
    </row>
    <row r="476" spans="1:15">
      <c r="A476" s="883"/>
      <c r="B476" s="8" t="str">
        <f t="shared" si="327"/>
        <v>Physical Education</v>
      </c>
      <c r="C476" s="415">
        <f t="shared" ref="C476:N476" si="344">C452/C$455</f>
        <v>7.7461355886884423E-2</v>
      </c>
      <c r="D476" s="415">
        <f t="shared" si="344"/>
        <v>7.7494987399124873E-2</v>
      </c>
      <c r="E476" s="415">
        <f t="shared" si="344"/>
        <v>7.6355593400542099E-2</v>
      </c>
      <c r="F476" s="415">
        <f t="shared" si="344"/>
        <v>7.5155094964467747E-2</v>
      </c>
      <c r="G476" s="415">
        <f t="shared" si="344"/>
        <v>7.4933100725867743E-2</v>
      </c>
      <c r="H476" s="415">
        <f t="shared" si="344"/>
        <v>7.4938961613680063E-2</v>
      </c>
      <c r="I476" s="415">
        <f t="shared" si="344"/>
        <v>7.4877738016489503E-2</v>
      </c>
      <c r="J476" s="415">
        <f t="shared" si="344"/>
        <v>7.4843367944439382E-2</v>
      </c>
      <c r="K476" s="415">
        <f t="shared" si="344"/>
        <v>7.4740198962446311E-2</v>
      </c>
      <c r="L476" s="415">
        <f t="shared" si="344"/>
        <v>7.4611097128525816E-2</v>
      </c>
      <c r="M476" s="415">
        <f t="shared" si="344"/>
        <v>7.4475660511772027E-2</v>
      </c>
      <c r="N476" s="415">
        <f t="shared" si="344"/>
        <v>7.4395648868710723E-2</v>
      </c>
      <c r="O476" s="10"/>
    </row>
    <row r="477" spans="1:15">
      <c r="A477" s="883"/>
      <c r="B477" s="8" t="str">
        <f>B453</f>
        <v>Physics</v>
      </c>
      <c r="C477" s="415">
        <f t="shared" ref="C477:N477" si="345">C453/C$455</f>
        <v>4.8926560180561636E-2</v>
      </c>
      <c r="D477" s="415">
        <f t="shared" si="345"/>
        <v>4.891998567463747E-2</v>
      </c>
      <c r="E477" s="415">
        <f t="shared" si="345"/>
        <v>4.9088631932679788E-2</v>
      </c>
      <c r="F477" s="415">
        <f t="shared" si="345"/>
        <v>4.9157403853129999E-2</v>
      </c>
      <c r="G477" s="415">
        <f t="shared" si="345"/>
        <v>4.9182438865514148E-2</v>
      </c>
      <c r="H477" s="415">
        <f t="shared" si="345"/>
        <v>4.9254948885094949E-2</v>
      </c>
      <c r="I477" s="415">
        <f t="shared" si="345"/>
        <v>4.9391292827158935E-2</v>
      </c>
      <c r="J477" s="415">
        <f t="shared" si="345"/>
        <v>4.9366108171275243E-2</v>
      </c>
      <c r="K477" s="415">
        <f t="shared" si="345"/>
        <v>4.9370337237894704E-2</v>
      </c>
      <c r="L477" s="415">
        <f t="shared" si="345"/>
        <v>4.9552266028108159E-2</v>
      </c>
      <c r="M477" s="415">
        <f t="shared" si="345"/>
        <v>4.9754310482568863E-2</v>
      </c>
      <c r="N477" s="415">
        <f t="shared" si="345"/>
        <v>4.9705635926967966E-2</v>
      </c>
      <c r="O477" s="10"/>
    </row>
    <row r="478" spans="1:15">
      <c r="A478" s="883"/>
      <c r="B478" s="8" t="str">
        <f t="shared" si="327"/>
        <v>Religious Education</v>
      </c>
      <c r="C478" s="415">
        <f t="shared" ref="C478:N478" si="346">C454/C$455</f>
        <v>3.4012291449240069E-2</v>
      </c>
      <c r="D478" s="415">
        <f t="shared" si="346"/>
        <v>3.3995729916148125E-2</v>
      </c>
      <c r="E478" s="415">
        <f t="shared" si="346"/>
        <v>3.4022662398700595E-2</v>
      </c>
      <c r="F478" s="415">
        <f t="shared" si="346"/>
        <v>3.4043906111460867E-2</v>
      </c>
      <c r="G478" s="415">
        <f t="shared" si="346"/>
        <v>3.4086109710746819E-2</v>
      </c>
      <c r="H478" s="415">
        <f t="shared" si="346"/>
        <v>3.4084605387344091E-2</v>
      </c>
      <c r="I478" s="415">
        <f t="shared" si="346"/>
        <v>3.4060156640691445E-2</v>
      </c>
      <c r="J478" s="415">
        <f t="shared" si="346"/>
        <v>3.4051002583032265E-2</v>
      </c>
      <c r="K478" s="415">
        <f t="shared" si="346"/>
        <v>3.4019937726977055E-2</v>
      </c>
      <c r="L478" s="415">
        <f t="shared" si="346"/>
        <v>3.3973127047962903E-2</v>
      </c>
      <c r="M478" s="415">
        <f t="shared" si="346"/>
        <v>3.3923516683974725E-2</v>
      </c>
      <c r="N478" s="415">
        <f t="shared" si="346"/>
        <v>3.3901759253580029E-2</v>
      </c>
      <c r="O478" s="10"/>
    </row>
    <row r="479" spans="1:15">
      <c r="A479" s="883"/>
      <c r="B479" s="8" t="str">
        <f>B455</f>
        <v>Total</v>
      </c>
      <c r="C479" s="415">
        <f>SUM(C460:C478)</f>
        <v>0.99999999999999978</v>
      </c>
      <c r="D479" s="415">
        <f t="shared" ref="D479:N479" si="347">SUM(D460:D478)</f>
        <v>0.99999999999999989</v>
      </c>
      <c r="E479" s="415">
        <f t="shared" si="347"/>
        <v>1</v>
      </c>
      <c r="F479" s="415">
        <f t="shared" si="347"/>
        <v>1.0000000000000002</v>
      </c>
      <c r="G479" s="415">
        <f t="shared" si="347"/>
        <v>0.99999999999999989</v>
      </c>
      <c r="H479" s="415">
        <f t="shared" si="347"/>
        <v>1</v>
      </c>
      <c r="I479" s="415">
        <f t="shared" si="347"/>
        <v>0.99999999999999989</v>
      </c>
      <c r="J479" s="415">
        <f t="shared" si="347"/>
        <v>0.99999999999999978</v>
      </c>
      <c r="K479" s="415">
        <f t="shared" si="347"/>
        <v>0.99999999999999989</v>
      </c>
      <c r="L479" s="415">
        <f t="shared" si="347"/>
        <v>1</v>
      </c>
      <c r="M479" s="415">
        <f t="shared" si="347"/>
        <v>1</v>
      </c>
      <c r="N479" s="415">
        <f t="shared" si="347"/>
        <v>0.99999999999999989</v>
      </c>
      <c r="O479" s="10"/>
    </row>
    <row r="480" spans="1:15">
      <c r="A480" s="10">
        <f>SUM(C480:N480)</f>
        <v>0</v>
      </c>
      <c r="B480" s="12"/>
      <c r="C480" s="10">
        <f>1-C479</f>
        <v>0</v>
      </c>
      <c r="D480" s="10">
        <f t="shared" ref="D480:N480" si="348">1-D479</f>
        <v>0</v>
      </c>
      <c r="E480" s="10">
        <f t="shared" si="348"/>
        <v>0</v>
      </c>
      <c r="F480" s="10">
        <f t="shared" si="348"/>
        <v>0</v>
      </c>
      <c r="G480" s="10">
        <f t="shared" si="348"/>
        <v>0</v>
      </c>
      <c r="H480" s="10">
        <f t="shared" si="348"/>
        <v>0</v>
      </c>
      <c r="I480" s="10">
        <f t="shared" si="348"/>
        <v>0</v>
      </c>
      <c r="J480" s="10">
        <f t="shared" si="348"/>
        <v>0</v>
      </c>
      <c r="K480" s="10">
        <f t="shared" si="348"/>
        <v>0</v>
      </c>
      <c r="L480" s="10">
        <f t="shared" si="348"/>
        <v>0</v>
      </c>
      <c r="M480" s="10">
        <f t="shared" si="348"/>
        <v>0</v>
      </c>
      <c r="N480" s="10">
        <f t="shared" si="348"/>
        <v>0</v>
      </c>
      <c r="O480" s="10"/>
    </row>
    <row r="481" spans="1:15">
      <c r="A481" s="883"/>
      <c r="B481" s="12"/>
      <c r="C481" s="10"/>
      <c r="D481" s="10"/>
      <c r="E481" s="10"/>
      <c r="F481" s="10"/>
      <c r="G481" s="10"/>
      <c r="H481" s="10"/>
      <c r="I481" s="10"/>
      <c r="J481" s="10"/>
      <c r="K481" s="10"/>
      <c r="L481" s="10"/>
      <c r="M481" s="10"/>
      <c r="N481" s="10"/>
      <c r="O481" s="10"/>
    </row>
    <row r="482" spans="1:15" ht="15.75">
      <c r="A482" s="883"/>
      <c r="B482" s="144" t="s">
        <v>1498</v>
      </c>
      <c r="D482" s="12"/>
      <c r="E482" s="12"/>
      <c r="F482" s="12"/>
    </row>
    <row r="483" spans="1:15">
      <c r="A483" s="883"/>
      <c r="B483" s="12"/>
      <c r="D483" s="12"/>
      <c r="E483" s="12"/>
      <c r="F483" s="12"/>
    </row>
    <row r="484" spans="1:15">
      <c r="A484" s="883"/>
      <c r="B484" s="150" t="s">
        <v>397</v>
      </c>
      <c r="D484" s="12"/>
      <c r="E484" s="12"/>
      <c r="F484" s="12"/>
    </row>
    <row r="485" spans="1:15">
      <c r="A485" s="883"/>
      <c r="B485" s="12"/>
      <c r="D485" s="12"/>
      <c r="E485" s="12"/>
      <c r="F485" s="12"/>
    </row>
    <row r="486" spans="1:15">
      <c r="A486" s="883"/>
      <c r="B486" s="141" t="str">
        <f t="shared" ref="B486:N486" si="349">B384</f>
        <v>Subject</v>
      </c>
      <c r="C486" s="141" t="str">
        <f t="shared" si="349"/>
        <v>2016/17</v>
      </c>
      <c r="D486" s="141" t="str">
        <f t="shared" si="349"/>
        <v>2017/18</v>
      </c>
      <c r="E486" s="141" t="str">
        <f t="shared" si="349"/>
        <v>2018/19</v>
      </c>
      <c r="F486" s="141" t="str">
        <f t="shared" si="349"/>
        <v>2019/20</v>
      </c>
      <c r="G486" s="141" t="str">
        <f t="shared" si="349"/>
        <v>2020/21</v>
      </c>
      <c r="H486" s="141" t="str">
        <f t="shared" si="349"/>
        <v>2021/22</v>
      </c>
      <c r="I486" s="141" t="str">
        <f t="shared" si="349"/>
        <v>2022/23</v>
      </c>
      <c r="J486" s="141" t="str">
        <f t="shared" si="349"/>
        <v>2023/24</v>
      </c>
      <c r="K486" s="141" t="str">
        <f t="shared" si="349"/>
        <v>2024/25</v>
      </c>
      <c r="L486" s="141" t="str">
        <f t="shared" si="349"/>
        <v>2025/26</v>
      </c>
      <c r="M486" s="141" t="str">
        <f t="shared" si="349"/>
        <v>2026/27</v>
      </c>
      <c r="N486" s="141" t="str">
        <f t="shared" si="349"/>
        <v>2027/28</v>
      </c>
    </row>
    <row r="487" spans="1:15" s="5" customFormat="1">
      <c r="A487" s="884"/>
      <c r="B487" s="141" t="str">
        <f t="shared" ref="B487:B506" si="350">B385</f>
        <v>Art &amp; Design</v>
      </c>
      <c r="C487" s="462">
        <f>C460*N$15</f>
        <v>8221.484366596027</v>
      </c>
      <c r="D487" s="817">
        <f t="shared" ref="D487:N487" si="351">D460*O$15</f>
        <v>8252.5093944663895</v>
      </c>
      <c r="E487" s="817">
        <f t="shared" si="351"/>
        <v>8174.7597021207011</v>
      </c>
      <c r="F487" s="817">
        <f t="shared" si="351"/>
        <v>8112.2217496981939</v>
      </c>
      <c r="G487" s="817">
        <f t="shared" si="351"/>
        <v>8158.6743801192542</v>
      </c>
      <c r="H487" s="817">
        <f t="shared" si="351"/>
        <v>8219.657370523928</v>
      </c>
      <c r="I487" s="817">
        <f t="shared" si="351"/>
        <v>8282.0066241085533</v>
      </c>
      <c r="J487" s="817">
        <f t="shared" si="351"/>
        <v>8353.3420076825514</v>
      </c>
      <c r="K487" s="817">
        <f t="shared" si="351"/>
        <v>8382.714128334037</v>
      </c>
      <c r="L487" s="817">
        <f t="shared" si="351"/>
        <v>8374.6717723718066</v>
      </c>
      <c r="M487" s="817">
        <f t="shared" si="351"/>
        <v>8350.7069026793652</v>
      </c>
      <c r="N487" s="817">
        <f t="shared" si="351"/>
        <v>8350.0950385091091</v>
      </c>
    </row>
    <row r="488" spans="1:15" s="5" customFormat="1">
      <c r="A488" s="884"/>
      <c r="B488" s="141" t="str">
        <f t="shared" si="350"/>
        <v>Biology</v>
      </c>
      <c r="C488" s="817">
        <f t="shared" ref="C488:C505" si="352">C461*N$15</f>
        <v>12376.581329867608</v>
      </c>
      <c r="D488" s="817">
        <f t="shared" ref="D488:D505" si="353">D461*O$15</f>
        <v>12443.125822329748</v>
      </c>
      <c r="E488" s="817">
        <f t="shared" ref="E488:E505" si="354">E461*P$15</f>
        <v>12581.127247240542</v>
      </c>
      <c r="F488" s="817">
        <f t="shared" ref="F488:F505" si="355">F461*Q$15</f>
        <v>12716.429823866005</v>
      </c>
      <c r="G488" s="817">
        <f t="shared" ref="G488:G505" si="356">G461*R$15</f>
        <v>12821.385552561285</v>
      </c>
      <c r="H488" s="817">
        <f t="shared" ref="H488:H505" si="357">H461*S$15</f>
        <v>12944.47223189061</v>
      </c>
      <c r="I488" s="817">
        <f t="shared" ref="I488:I505" si="358">I461*T$15</f>
        <v>13094.340713932224</v>
      </c>
      <c r="J488" s="817">
        <f t="shared" ref="J488:J505" si="359">J461*U$15</f>
        <v>13197.402671895681</v>
      </c>
      <c r="K488" s="817">
        <f t="shared" ref="K488:K505" si="360">K461*V$15</f>
        <v>13245.250320403706</v>
      </c>
      <c r="L488" s="817">
        <f t="shared" ref="L488:L505" si="361">L461*W$15</f>
        <v>13302.358342015343</v>
      </c>
      <c r="M488" s="817">
        <f t="shared" ref="M488:M505" si="362">M461*X$15</f>
        <v>13341.975027124712</v>
      </c>
      <c r="N488" s="817">
        <f t="shared" ref="N488:N505" si="363">N461*Y$15</f>
        <v>13321.956971927359</v>
      </c>
    </row>
    <row r="489" spans="1:15" s="5" customFormat="1">
      <c r="A489" s="884"/>
      <c r="B489" s="141" t="str">
        <f t="shared" si="350"/>
        <v>Business Studies</v>
      </c>
      <c r="C489" s="817">
        <f t="shared" si="352"/>
        <v>4140.0374631941431</v>
      </c>
      <c r="D489" s="817">
        <f t="shared" si="353"/>
        <v>4081.9881103966627</v>
      </c>
      <c r="E489" s="817">
        <f t="shared" si="354"/>
        <v>3914.0704730467673</v>
      </c>
      <c r="F489" s="817">
        <f t="shared" si="355"/>
        <v>3751.0814105565969</v>
      </c>
      <c r="G489" s="817">
        <f t="shared" si="356"/>
        <v>3724.6781448335196</v>
      </c>
      <c r="H489" s="817">
        <f t="shared" si="357"/>
        <v>3756.8433731023933</v>
      </c>
      <c r="I489" s="817">
        <f t="shared" si="358"/>
        <v>3820.8331583308827</v>
      </c>
      <c r="J489" s="817">
        <f t="shared" si="359"/>
        <v>3864.4952941626866</v>
      </c>
      <c r="K489" s="817">
        <f t="shared" si="360"/>
        <v>3917.8200095247671</v>
      </c>
      <c r="L489" s="817">
        <f t="shared" si="361"/>
        <v>3980.2931617888717</v>
      </c>
      <c r="M489" s="817">
        <f t="shared" si="362"/>
        <v>4039.5567431348982</v>
      </c>
      <c r="N489" s="817">
        <f t="shared" si="363"/>
        <v>4065.0246202632293</v>
      </c>
    </row>
    <row r="490" spans="1:15" s="5" customFormat="1">
      <c r="A490" s="884"/>
      <c r="B490" s="141" t="str">
        <f t="shared" si="350"/>
        <v>Chemistry</v>
      </c>
      <c r="C490" s="817">
        <f t="shared" si="352"/>
        <v>10809.644033499102</v>
      </c>
      <c r="D490" s="817">
        <f t="shared" si="353"/>
        <v>10869.552963907126</v>
      </c>
      <c r="E490" s="817">
        <f t="shared" si="354"/>
        <v>10996.935297139789</v>
      </c>
      <c r="F490" s="817">
        <f t="shared" si="355"/>
        <v>11117.042083858214</v>
      </c>
      <c r="G490" s="817">
        <f t="shared" si="356"/>
        <v>11209.594869310718</v>
      </c>
      <c r="H490" s="817">
        <f t="shared" si="357"/>
        <v>11320.71182104242</v>
      </c>
      <c r="I490" s="817">
        <f t="shared" si="358"/>
        <v>11457.607050128838</v>
      </c>
      <c r="J490" s="817">
        <f t="shared" si="359"/>
        <v>11546.181390918575</v>
      </c>
      <c r="K490" s="817">
        <f t="shared" si="360"/>
        <v>11587.063326517029</v>
      </c>
      <c r="L490" s="817">
        <f t="shared" si="361"/>
        <v>11644.336853301127</v>
      </c>
      <c r="M490" s="817">
        <f t="shared" si="362"/>
        <v>11687.201743184205</v>
      </c>
      <c r="N490" s="817">
        <f t="shared" si="363"/>
        <v>11666.402632742836</v>
      </c>
    </row>
    <row r="491" spans="1:15" s="5" customFormat="1">
      <c r="A491" s="884"/>
      <c r="B491" s="141" t="str">
        <f t="shared" si="350"/>
        <v>Classics</v>
      </c>
      <c r="C491" s="817">
        <f t="shared" si="352"/>
        <v>320.61218559002862</v>
      </c>
      <c r="D491" s="817">
        <f t="shared" si="353"/>
        <v>319.01454998591242</v>
      </c>
      <c r="E491" s="817">
        <f t="shared" si="354"/>
        <v>318.52253826205248</v>
      </c>
      <c r="F491" s="817">
        <f t="shared" si="355"/>
        <v>319.18402460922613</v>
      </c>
      <c r="G491" s="817">
        <f t="shared" si="356"/>
        <v>320.58359353270811</v>
      </c>
      <c r="H491" s="817">
        <f t="shared" si="357"/>
        <v>322.93890632300463</v>
      </c>
      <c r="I491" s="817">
        <f t="shared" si="358"/>
        <v>326.36646498549288</v>
      </c>
      <c r="J491" s="817">
        <f t="shared" si="359"/>
        <v>329.66770485209423</v>
      </c>
      <c r="K491" s="817">
        <f t="shared" si="360"/>
        <v>332.35275604290797</v>
      </c>
      <c r="L491" s="817">
        <f t="shared" si="361"/>
        <v>334.06219741699857</v>
      </c>
      <c r="M491" s="817">
        <f t="shared" si="362"/>
        <v>335.24546354967748</v>
      </c>
      <c r="N491" s="817">
        <f t="shared" si="363"/>
        <v>336.36283825172706</v>
      </c>
    </row>
    <row r="492" spans="1:15" s="5" customFormat="1">
      <c r="A492" s="884"/>
      <c r="B492" s="141" t="str">
        <f t="shared" si="350"/>
        <v>Computing</v>
      </c>
      <c r="C492" s="817">
        <f t="shared" si="352"/>
        <v>7381.7874060554232</v>
      </c>
      <c r="D492" s="817">
        <f t="shared" si="353"/>
        <v>7405.7764408461871</v>
      </c>
      <c r="E492" s="817">
        <f t="shared" si="354"/>
        <v>7193.066162824196</v>
      </c>
      <c r="F492" s="817">
        <f t="shared" si="355"/>
        <v>6982.3397436540035</v>
      </c>
      <c r="G492" s="817">
        <f t="shared" si="356"/>
        <v>6982.2929564523765</v>
      </c>
      <c r="H492" s="817">
        <f t="shared" si="357"/>
        <v>7038.2622359528386</v>
      </c>
      <c r="I492" s="817">
        <f t="shared" si="358"/>
        <v>7100.1841419040084</v>
      </c>
      <c r="J492" s="817">
        <f t="shared" si="359"/>
        <v>7160.6075261059104</v>
      </c>
      <c r="K492" s="817">
        <f t="shared" si="360"/>
        <v>7187.9647009552154</v>
      </c>
      <c r="L492" s="817">
        <f t="shared" si="361"/>
        <v>7193.5131933485191</v>
      </c>
      <c r="M492" s="817">
        <f t="shared" si="362"/>
        <v>7186.6228793969749</v>
      </c>
      <c r="N492" s="817">
        <f t="shared" si="363"/>
        <v>7184.8975836906529</v>
      </c>
    </row>
    <row r="493" spans="1:15" s="5" customFormat="1">
      <c r="A493" s="884"/>
      <c r="B493" s="141" t="str">
        <f t="shared" si="350"/>
        <v>Design &amp; Technology</v>
      </c>
      <c r="C493" s="817">
        <f t="shared" si="352"/>
        <v>10399.547303275807</v>
      </c>
      <c r="D493" s="817">
        <f t="shared" si="353"/>
        <v>10485.90822057171</v>
      </c>
      <c r="E493" s="817">
        <f t="shared" si="354"/>
        <v>10240.587104320877</v>
      </c>
      <c r="F493" s="817">
        <f t="shared" si="355"/>
        <v>10006.173957655876</v>
      </c>
      <c r="G493" s="817">
        <f t="shared" si="356"/>
        <v>10006.59244486348</v>
      </c>
      <c r="H493" s="817">
        <f t="shared" si="357"/>
        <v>10078.688041246787</v>
      </c>
      <c r="I493" s="817">
        <f t="shared" si="358"/>
        <v>10133.823523927798</v>
      </c>
      <c r="J493" s="817">
        <f t="shared" si="359"/>
        <v>10214.776280501248</v>
      </c>
      <c r="K493" s="817">
        <f t="shared" si="360"/>
        <v>10227.106289409794</v>
      </c>
      <c r="L493" s="817">
        <f t="shared" si="361"/>
        <v>10177.649135795158</v>
      </c>
      <c r="M493" s="817">
        <f t="shared" si="362"/>
        <v>10106.217160112887</v>
      </c>
      <c r="N493" s="817">
        <f t="shared" si="363"/>
        <v>10090.281243754884</v>
      </c>
    </row>
    <row r="494" spans="1:15" s="5" customFormat="1">
      <c r="A494" s="884"/>
      <c r="B494" s="141" t="str">
        <f t="shared" si="350"/>
        <v>Drama</v>
      </c>
      <c r="C494" s="817">
        <f t="shared" si="352"/>
        <v>5040.7105847676212</v>
      </c>
      <c r="D494" s="817">
        <f t="shared" si="353"/>
        <v>5069.4810108958891</v>
      </c>
      <c r="E494" s="817">
        <f t="shared" si="354"/>
        <v>5061.7354339468193</v>
      </c>
      <c r="F494" s="817">
        <f t="shared" si="355"/>
        <v>5064.5223431347858</v>
      </c>
      <c r="G494" s="817">
        <f t="shared" si="356"/>
        <v>5063.693504415688</v>
      </c>
      <c r="H494" s="817">
        <f t="shared" si="357"/>
        <v>5101.8548430568972</v>
      </c>
      <c r="I494" s="817">
        <f t="shared" si="358"/>
        <v>5137.9453433287126</v>
      </c>
      <c r="J494" s="817">
        <f t="shared" si="359"/>
        <v>5180.6465194801513</v>
      </c>
      <c r="K494" s="817">
        <f t="shared" si="360"/>
        <v>5194.2455113950136</v>
      </c>
      <c r="L494" s="817">
        <f t="shared" si="361"/>
        <v>5183.5930620538893</v>
      </c>
      <c r="M494" s="817">
        <f t="shared" si="362"/>
        <v>5162.8085788593808</v>
      </c>
      <c r="N494" s="817">
        <f t="shared" si="363"/>
        <v>5158.835973848868</v>
      </c>
    </row>
    <row r="495" spans="1:15" s="5" customFormat="1">
      <c r="A495" s="884"/>
      <c r="B495" s="141" t="str">
        <f t="shared" si="350"/>
        <v>English</v>
      </c>
      <c r="C495" s="817">
        <f t="shared" si="352"/>
        <v>30220.128337472765</v>
      </c>
      <c r="D495" s="817">
        <f t="shared" si="353"/>
        <v>30509.773325406866</v>
      </c>
      <c r="E495" s="817">
        <f t="shared" si="354"/>
        <v>30919.32090270241</v>
      </c>
      <c r="F495" s="817">
        <f t="shared" si="355"/>
        <v>31319.216136195209</v>
      </c>
      <c r="G495" s="817">
        <f t="shared" si="356"/>
        <v>31614.237980831935</v>
      </c>
      <c r="H495" s="817">
        <f t="shared" si="357"/>
        <v>31909.421364483453</v>
      </c>
      <c r="I495" s="817">
        <f t="shared" si="358"/>
        <v>32213.077819706192</v>
      </c>
      <c r="J495" s="817">
        <f t="shared" si="359"/>
        <v>32446.983961167705</v>
      </c>
      <c r="K495" s="817">
        <f t="shared" si="360"/>
        <v>32491.744673276236</v>
      </c>
      <c r="L495" s="817">
        <f t="shared" si="361"/>
        <v>32510.276243400487</v>
      </c>
      <c r="M495" s="817">
        <f t="shared" si="362"/>
        <v>32478.127726824507</v>
      </c>
      <c r="N495" s="817">
        <f t="shared" si="363"/>
        <v>32381.824303912716</v>
      </c>
    </row>
    <row r="496" spans="1:15" s="5" customFormat="1">
      <c r="A496" s="884"/>
      <c r="B496" s="141" t="str">
        <f t="shared" si="350"/>
        <v>Food</v>
      </c>
      <c r="C496" s="817">
        <f t="shared" si="352"/>
        <v>2127.8122876552648</v>
      </c>
      <c r="D496" s="817">
        <f t="shared" si="353"/>
        <v>2140.7789083747734</v>
      </c>
      <c r="E496" s="817">
        <f t="shared" si="354"/>
        <v>2071.0885684162149</v>
      </c>
      <c r="F496" s="817">
        <f t="shared" si="355"/>
        <v>1994.0230274175576</v>
      </c>
      <c r="G496" s="817">
        <f t="shared" si="356"/>
        <v>1993.3369313823487</v>
      </c>
      <c r="H496" s="817">
        <f t="shared" si="357"/>
        <v>2013.908875553107</v>
      </c>
      <c r="I496" s="817">
        <f t="shared" si="358"/>
        <v>2037.3251131682666</v>
      </c>
      <c r="J496" s="817">
        <f t="shared" si="359"/>
        <v>2051.6701006418584</v>
      </c>
      <c r="K496" s="817">
        <f t="shared" si="360"/>
        <v>2055.3957093647023</v>
      </c>
      <c r="L496" s="817">
        <f t="shared" si="361"/>
        <v>2062.6668140519032</v>
      </c>
      <c r="M496" s="817">
        <f t="shared" si="362"/>
        <v>2067.3405955037151</v>
      </c>
      <c r="N496" s="817">
        <f t="shared" si="363"/>
        <v>2060.4652269313815</v>
      </c>
    </row>
    <row r="497" spans="1:15" s="5" customFormat="1">
      <c r="A497" s="884"/>
      <c r="B497" s="141" t="str">
        <f t="shared" si="350"/>
        <v>Geography</v>
      </c>
      <c r="C497" s="817">
        <f t="shared" si="352"/>
        <v>10182.11924920996</v>
      </c>
      <c r="D497" s="817">
        <f t="shared" si="353"/>
        <v>10253.593923202901</v>
      </c>
      <c r="E497" s="817">
        <f t="shared" si="354"/>
        <v>10640.272458668762</v>
      </c>
      <c r="F497" s="817">
        <f t="shared" si="355"/>
        <v>11050.354575176267</v>
      </c>
      <c r="G497" s="817">
        <f t="shared" si="356"/>
        <v>11198.003974183555</v>
      </c>
      <c r="H497" s="817">
        <f t="shared" si="357"/>
        <v>11291.791052816228</v>
      </c>
      <c r="I497" s="817">
        <f t="shared" si="358"/>
        <v>11381.46339174417</v>
      </c>
      <c r="J497" s="817">
        <f t="shared" si="359"/>
        <v>11469.090279555667</v>
      </c>
      <c r="K497" s="817">
        <f t="shared" si="360"/>
        <v>11488.082044794508</v>
      </c>
      <c r="L497" s="817">
        <f t="shared" si="361"/>
        <v>11472.369470699172</v>
      </c>
      <c r="M497" s="817">
        <f t="shared" si="362"/>
        <v>11436.004479448906</v>
      </c>
      <c r="N497" s="817">
        <f t="shared" si="363"/>
        <v>11412.18470379921</v>
      </c>
    </row>
    <row r="498" spans="1:15" s="5" customFormat="1">
      <c r="A498" s="884"/>
      <c r="B498" s="141" t="str">
        <f t="shared" si="350"/>
        <v>History</v>
      </c>
      <c r="C498" s="817">
        <f t="shared" si="352"/>
        <v>10940.557322554356</v>
      </c>
      <c r="D498" s="817">
        <f t="shared" si="353"/>
        <v>11003.124546226763</v>
      </c>
      <c r="E498" s="817">
        <f t="shared" si="354"/>
        <v>11338.087579187015</v>
      </c>
      <c r="F498" s="817">
        <f t="shared" si="355"/>
        <v>11697.628503159576</v>
      </c>
      <c r="G498" s="817">
        <f t="shared" si="356"/>
        <v>11817.214317067313</v>
      </c>
      <c r="H498" s="817">
        <f t="shared" si="357"/>
        <v>11915.732196121553</v>
      </c>
      <c r="I498" s="817">
        <f t="shared" si="358"/>
        <v>12015.152378225092</v>
      </c>
      <c r="J498" s="817">
        <f t="shared" si="359"/>
        <v>12110.372689583266</v>
      </c>
      <c r="K498" s="817">
        <f t="shared" si="360"/>
        <v>12138.603326869141</v>
      </c>
      <c r="L498" s="817">
        <f t="shared" si="361"/>
        <v>12132.271211747635</v>
      </c>
      <c r="M498" s="817">
        <f t="shared" si="362"/>
        <v>12104.612503027198</v>
      </c>
      <c r="N498" s="817">
        <f t="shared" si="363"/>
        <v>12085.756816470934</v>
      </c>
    </row>
    <row r="499" spans="1:15" s="5" customFormat="1">
      <c r="A499" s="884"/>
      <c r="B499" s="141" t="str">
        <f t="shared" si="350"/>
        <v>Mathematics</v>
      </c>
      <c r="C499" s="817">
        <f t="shared" si="352"/>
        <v>30629.743474631494</v>
      </c>
      <c r="D499" s="817">
        <f t="shared" si="353"/>
        <v>31134.130233482974</v>
      </c>
      <c r="E499" s="817">
        <f t="shared" si="354"/>
        <v>31509.459804273269</v>
      </c>
      <c r="F499" s="817">
        <f t="shared" si="355"/>
        <v>31887.7132306274</v>
      </c>
      <c r="G499" s="817">
        <f t="shared" si="356"/>
        <v>32174.261839782357</v>
      </c>
      <c r="H499" s="817">
        <f t="shared" si="357"/>
        <v>32467.674855597365</v>
      </c>
      <c r="I499" s="817">
        <f t="shared" si="358"/>
        <v>32776.60445770467</v>
      </c>
      <c r="J499" s="817">
        <f t="shared" si="359"/>
        <v>33023.046355658502</v>
      </c>
      <c r="K499" s="817">
        <f t="shared" si="360"/>
        <v>33087.372219263852</v>
      </c>
      <c r="L499" s="817">
        <f t="shared" si="361"/>
        <v>33114.998597629397</v>
      </c>
      <c r="M499" s="817">
        <f t="shared" si="362"/>
        <v>33090.500465988938</v>
      </c>
      <c r="N499" s="817">
        <f t="shared" si="363"/>
        <v>33011.32308957693</v>
      </c>
    </row>
    <row r="500" spans="1:15" s="5" customFormat="1">
      <c r="A500" s="884"/>
      <c r="B500" s="141" t="str">
        <f t="shared" si="350"/>
        <v>Modern Foreign Languages</v>
      </c>
      <c r="C500" s="817">
        <f t="shared" si="352"/>
        <v>14526.054326664771</v>
      </c>
      <c r="D500" s="817">
        <f t="shared" si="353"/>
        <v>14652.93386526727</v>
      </c>
      <c r="E500" s="817">
        <f t="shared" si="354"/>
        <v>16098.729565602862</v>
      </c>
      <c r="F500" s="817">
        <f t="shared" si="355"/>
        <v>17605.559301783091</v>
      </c>
      <c r="G500" s="817">
        <f t="shared" si="356"/>
        <v>18177.5478071988</v>
      </c>
      <c r="H500" s="817">
        <f t="shared" si="357"/>
        <v>18333.166289664961</v>
      </c>
      <c r="I500" s="817">
        <f t="shared" si="358"/>
        <v>18472.884955282629</v>
      </c>
      <c r="J500" s="817">
        <f t="shared" si="359"/>
        <v>18608.374156314694</v>
      </c>
      <c r="K500" s="817">
        <f t="shared" si="360"/>
        <v>18621.584904188909</v>
      </c>
      <c r="L500" s="817">
        <f t="shared" si="361"/>
        <v>18579.952454780385</v>
      </c>
      <c r="M500" s="817">
        <f t="shared" si="362"/>
        <v>18504.440037262208</v>
      </c>
      <c r="N500" s="817">
        <f t="shared" si="363"/>
        <v>18450.476352759688</v>
      </c>
    </row>
    <row r="501" spans="1:15" s="5" customFormat="1">
      <c r="A501" s="884"/>
      <c r="B501" s="141" t="str">
        <f t="shared" si="350"/>
        <v>Music</v>
      </c>
      <c r="C501" s="817">
        <f t="shared" si="352"/>
        <v>5101.0768842443413</v>
      </c>
      <c r="D501" s="817">
        <f t="shared" si="353"/>
        <v>5142.3042666966612</v>
      </c>
      <c r="E501" s="817">
        <f t="shared" si="354"/>
        <v>5191.614299908817</v>
      </c>
      <c r="F501" s="817">
        <f t="shared" si="355"/>
        <v>5257.2248604051119</v>
      </c>
      <c r="G501" s="817">
        <f t="shared" si="356"/>
        <v>5308.6268086589134</v>
      </c>
      <c r="H501" s="817">
        <f t="shared" si="357"/>
        <v>5344.9302208905174</v>
      </c>
      <c r="I501" s="817">
        <f t="shared" si="358"/>
        <v>5371.1908209510575</v>
      </c>
      <c r="J501" s="817">
        <f t="shared" si="359"/>
        <v>5415.1094116988988</v>
      </c>
      <c r="K501" s="817">
        <f t="shared" si="360"/>
        <v>5422.5648781076816</v>
      </c>
      <c r="L501" s="817">
        <f t="shared" si="361"/>
        <v>5392.788676486628</v>
      </c>
      <c r="M501" s="817">
        <f t="shared" si="362"/>
        <v>5350.8920202694871</v>
      </c>
      <c r="N501" s="817">
        <f t="shared" si="363"/>
        <v>5344.5482728198313</v>
      </c>
    </row>
    <row r="502" spans="1:15" s="5" customFormat="1">
      <c r="A502" s="884"/>
      <c r="B502" s="141" t="str">
        <f t="shared" si="350"/>
        <v>Others</v>
      </c>
      <c r="C502" s="817">
        <f t="shared" si="352"/>
        <v>15336.510351902911</v>
      </c>
      <c r="D502" s="817">
        <f t="shared" si="353"/>
        <v>15172.118115779143</v>
      </c>
      <c r="E502" s="817">
        <f t="shared" si="354"/>
        <v>14612.477997803686</v>
      </c>
      <c r="F502" s="817">
        <f t="shared" si="355"/>
        <v>14103.249448920165</v>
      </c>
      <c r="G502" s="817">
        <f t="shared" si="356"/>
        <v>13952.651316170122</v>
      </c>
      <c r="H502" s="817">
        <f t="shared" si="357"/>
        <v>14050.008063094505</v>
      </c>
      <c r="I502" s="817">
        <f t="shared" si="358"/>
        <v>14230.459971831193</v>
      </c>
      <c r="J502" s="817">
        <f t="shared" si="359"/>
        <v>14394.712157946</v>
      </c>
      <c r="K502" s="817">
        <f t="shared" si="360"/>
        <v>14570.940764834369</v>
      </c>
      <c r="L502" s="817">
        <f t="shared" si="361"/>
        <v>14715.06765517605</v>
      </c>
      <c r="M502" s="817">
        <f t="shared" si="362"/>
        <v>14839.182305921733</v>
      </c>
      <c r="N502" s="817">
        <f t="shared" si="363"/>
        <v>14934.730662081693</v>
      </c>
    </row>
    <row r="503" spans="1:15" s="5" customFormat="1">
      <c r="A503" s="884"/>
      <c r="B503" s="141" t="str">
        <f t="shared" si="350"/>
        <v>Physical Education</v>
      </c>
      <c r="C503" s="817">
        <f t="shared" si="352"/>
        <v>16399.595970806426</v>
      </c>
      <c r="D503" s="817">
        <f t="shared" si="353"/>
        <v>16515.9941005008</v>
      </c>
      <c r="E503" s="817">
        <f t="shared" si="354"/>
        <v>16429.827773384408</v>
      </c>
      <c r="F503" s="817">
        <f t="shared" si="355"/>
        <v>16339.668344798149</v>
      </c>
      <c r="G503" s="817">
        <f t="shared" si="356"/>
        <v>16425.440534774702</v>
      </c>
      <c r="H503" s="817">
        <f t="shared" si="357"/>
        <v>16569.488881988065</v>
      </c>
      <c r="I503" s="817">
        <f t="shared" si="358"/>
        <v>16711.851791884852</v>
      </c>
      <c r="J503" s="817">
        <f t="shared" si="359"/>
        <v>16837.542575427015</v>
      </c>
      <c r="K503" s="817">
        <f t="shared" si="360"/>
        <v>16863.611950779847</v>
      </c>
      <c r="L503" s="817">
        <f t="shared" si="361"/>
        <v>16854.106397413085</v>
      </c>
      <c r="M503" s="817">
        <f t="shared" si="362"/>
        <v>16815.93994637291</v>
      </c>
      <c r="N503" s="817">
        <f t="shared" si="363"/>
        <v>16774.880467766714</v>
      </c>
    </row>
    <row r="504" spans="1:15" s="5" customFormat="1">
      <c r="A504" s="884"/>
      <c r="B504" s="141" t="str">
        <f t="shared" si="350"/>
        <v>Physics</v>
      </c>
      <c r="C504" s="817">
        <f t="shared" si="352"/>
        <v>10358.401425018343</v>
      </c>
      <c r="D504" s="817">
        <f t="shared" si="353"/>
        <v>10425.992982457343</v>
      </c>
      <c r="E504" s="817">
        <f t="shared" si="354"/>
        <v>10562.65471023451</v>
      </c>
      <c r="F504" s="817">
        <f t="shared" si="355"/>
        <v>10687.441430700017</v>
      </c>
      <c r="G504" s="817">
        <f t="shared" si="356"/>
        <v>10780.859421473511</v>
      </c>
      <c r="H504" s="817">
        <f t="shared" si="357"/>
        <v>10890.58762438853</v>
      </c>
      <c r="I504" s="817">
        <f t="shared" si="358"/>
        <v>11023.569720486112</v>
      </c>
      <c r="J504" s="817">
        <f t="shared" si="359"/>
        <v>11105.913201741987</v>
      </c>
      <c r="K504" s="817">
        <f t="shared" si="360"/>
        <v>11139.416547142437</v>
      </c>
      <c r="L504" s="817">
        <f t="shared" si="361"/>
        <v>11193.497964947484</v>
      </c>
      <c r="M504" s="817">
        <f t="shared" si="362"/>
        <v>11234.079582494232</v>
      </c>
      <c r="N504" s="817">
        <f t="shared" si="363"/>
        <v>11207.726714242021</v>
      </c>
    </row>
    <row r="505" spans="1:15" s="5" customFormat="1">
      <c r="A505" s="884"/>
      <c r="B505" s="141" t="str">
        <f t="shared" si="350"/>
        <v>Religious Education</v>
      </c>
      <c r="C505" s="817">
        <f t="shared" si="352"/>
        <v>7200.8530114471514</v>
      </c>
      <c r="D505" s="817">
        <f t="shared" si="353"/>
        <v>7245.2850639944945</v>
      </c>
      <c r="E505" s="817">
        <f t="shared" si="354"/>
        <v>7320.8321579055892</v>
      </c>
      <c r="F505" s="817">
        <f t="shared" si="355"/>
        <v>7401.5758384140427</v>
      </c>
      <c r="G505" s="817">
        <f t="shared" si="356"/>
        <v>7471.7229460971948</v>
      </c>
      <c r="H505" s="817">
        <f t="shared" si="357"/>
        <v>7536.3266030290315</v>
      </c>
      <c r="I505" s="817">
        <f t="shared" si="358"/>
        <v>7601.8360712534823</v>
      </c>
      <c r="J505" s="817">
        <f t="shared" si="359"/>
        <v>7660.4677404870581</v>
      </c>
      <c r="K505" s="817">
        <f t="shared" si="360"/>
        <v>7675.909836762612</v>
      </c>
      <c r="L505" s="817">
        <f t="shared" si="361"/>
        <v>7674.2833164998974</v>
      </c>
      <c r="M505" s="817">
        <f t="shared" si="362"/>
        <v>7659.6275267317578</v>
      </c>
      <c r="N505" s="817">
        <f t="shared" si="363"/>
        <v>7644.2368306971202</v>
      </c>
    </row>
    <row r="506" spans="1:15" s="5" customFormat="1">
      <c r="A506" s="884"/>
      <c r="B506" s="141" t="str">
        <f t="shared" si="350"/>
        <v>Total</v>
      </c>
      <c r="C506" s="462">
        <f t="shared" ref="C506:N506" si="364">SUM(C487:C505)</f>
        <v>211713.25731445357</v>
      </c>
      <c r="D506" s="462">
        <f t="shared" si="364"/>
        <v>213123.38584478962</v>
      </c>
      <c r="E506" s="462">
        <f t="shared" si="364"/>
        <v>215175.16977698932</v>
      </c>
      <c r="F506" s="462">
        <f t="shared" si="364"/>
        <v>217412.6498346295</v>
      </c>
      <c r="G506" s="462">
        <f t="shared" si="364"/>
        <v>219201.39932370977</v>
      </c>
      <c r="H506" s="462">
        <f t="shared" si="364"/>
        <v>221106.46485076624</v>
      </c>
      <c r="I506" s="462">
        <f t="shared" si="364"/>
        <v>223188.52351288419</v>
      </c>
      <c r="J506" s="462">
        <f t="shared" si="364"/>
        <v>224970.40202582156</v>
      </c>
      <c r="K506" s="462">
        <f t="shared" si="364"/>
        <v>225629.74389796678</v>
      </c>
      <c r="L506" s="462">
        <f t="shared" si="364"/>
        <v>225892.75652092384</v>
      </c>
      <c r="M506" s="462">
        <f t="shared" si="364"/>
        <v>225791.08168788772</v>
      </c>
      <c r="N506" s="462">
        <f t="shared" si="364"/>
        <v>225482.01034404692</v>
      </c>
    </row>
    <row r="507" spans="1:15">
      <c r="A507" s="10">
        <f>O507</f>
        <v>0</v>
      </c>
      <c r="B507" s="12"/>
      <c r="C507" s="10">
        <f t="shared" ref="C507:N507" si="365">N15-C506</f>
        <v>0</v>
      </c>
      <c r="D507" s="10">
        <f t="shared" si="365"/>
        <v>0</v>
      </c>
      <c r="E507" s="10">
        <f t="shared" si="365"/>
        <v>0</v>
      </c>
      <c r="F507" s="10">
        <f t="shared" si="365"/>
        <v>0</v>
      </c>
      <c r="G507" s="10">
        <f t="shared" si="365"/>
        <v>0</v>
      </c>
      <c r="H507" s="10">
        <f t="shared" si="365"/>
        <v>0</v>
      </c>
      <c r="I507" s="10">
        <f t="shared" si="365"/>
        <v>0</v>
      </c>
      <c r="J507" s="10">
        <f t="shared" si="365"/>
        <v>0</v>
      </c>
      <c r="K507" s="10">
        <f t="shared" si="365"/>
        <v>0</v>
      </c>
      <c r="L507" s="10">
        <f t="shared" si="365"/>
        <v>0</v>
      </c>
      <c r="M507" s="10">
        <f t="shared" si="365"/>
        <v>0</v>
      </c>
      <c r="N507" s="10">
        <f t="shared" si="365"/>
        <v>0</v>
      </c>
      <c r="O507" s="10">
        <f>SUM(C507:N507)</f>
        <v>0</v>
      </c>
    </row>
    <row r="508" spans="1:15">
      <c r="A508" s="883"/>
      <c r="B508" s="12"/>
      <c r="D508" s="12"/>
      <c r="E508" s="12"/>
      <c r="F508" s="12"/>
    </row>
    <row r="509" spans="1:15" ht="15.75">
      <c r="A509" s="883"/>
      <c r="B509" s="144" t="s">
        <v>1163</v>
      </c>
      <c r="D509" s="12"/>
      <c r="E509" s="12"/>
      <c r="F509" s="12"/>
    </row>
    <row r="510" spans="1:15">
      <c r="A510" s="883"/>
      <c r="B510" s="143"/>
    </row>
    <row r="511" spans="1:15">
      <c r="A511" s="883"/>
      <c r="B511" s="266" t="s">
        <v>1685</v>
      </c>
    </row>
    <row r="512" spans="1:15">
      <c r="A512" s="883"/>
      <c r="B512" s="266"/>
    </row>
    <row r="513" spans="1:14">
      <c r="A513" s="883"/>
      <c r="B513" s="267" t="s">
        <v>620</v>
      </c>
      <c r="C513" s="150" t="s">
        <v>1166</v>
      </c>
      <c r="E513" s="262" t="s">
        <v>1259</v>
      </c>
    </row>
    <row r="514" spans="1:14">
      <c r="A514" s="883"/>
      <c r="B514" s="143"/>
    </row>
    <row r="515" spans="1:14">
      <c r="A515" s="883"/>
      <c r="B515" s="265"/>
      <c r="C515" s="8" t="str">
        <f>C519</f>
        <v>2016/17</v>
      </c>
      <c r="D515" s="8" t="str">
        <f t="shared" ref="D515:N515" si="366">D519</f>
        <v>2017/18</v>
      </c>
      <c r="E515" s="8" t="str">
        <f t="shared" si="366"/>
        <v>2018/19</v>
      </c>
      <c r="F515" s="8" t="str">
        <f t="shared" si="366"/>
        <v>2019/20</v>
      </c>
      <c r="G515" s="8" t="str">
        <f t="shared" si="366"/>
        <v>2020/21</v>
      </c>
      <c r="H515" s="8" t="str">
        <f t="shared" si="366"/>
        <v>2021/22</v>
      </c>
      <c r="I515" s="8" t="str">
        <f t="shared" si="366"/>
        <v>2022/23</v>
      </c>
      <c r="J515" s="8" t="str">
        <f t="shared" si="366"/>
        <v>2023/24</v>
      </c>
      <c r="K515" s="8" t="str">
        <f t="shared" si="366"/>
        <v>2024/25</v>
      </c>
      <c r="L515" s="8" t="str">
        <f t="shared" si="366"/>
        <v>2025/26</v>
      </c>
      <c r="M515" s="8" t="str">
        <f t="shared" si="366"/>
        <v>2026/27</v>
      </c>
      <c r="N515" s="8" t="str">
        <f t="shared" si="366"/>
        <v>2027/28</v>
      </c>
    </row>
    <row r="516" spans="1:14" s="5" customFormat="1" ht="25.5">
      <c r="A516" s="884"/>
      <c r="B516" s="169" t="s">
        <v>1620</v>
      </c>
      <c r="C516" s="557">
        <f>57-24</f>
        <v>33</v>
      </c>
      <c r="D516" s="557">
        <f>82-24</f>
        <v>58</v>
      </c>
      <c r="E516" s="557">
        <f>135-24</f>
        <v>111</v>
      </c>
      <c r="F516" s="557">
        <f>232-24</f>
        <v>208</v>
      </c>
      <c r="G516" s="557">
        <f>360-24</f>
        <v>336</v>
      </c>
      <c r="H516" s="557">
        <f>G516</f>
        <v>336</v>
      </c>
      <c r="I516" s="557">
        <f t="shared" ref="I516:N516" si="367">H516</f>
        <v>336</v>
      </c>
      <c r="J516" s="557">
        <f t="shared" si="367"/>
        <v>336</v>
      </c>
      <c r="K516" s="557">
        <f t="shared" si="367"/>
        <v>336</v>
      </c>
      <c r="L516" s="557">
        <f t="shared" si="367"/>
        <v>336</v>
      </c>
      <c r="M516" s="557">
        <f t="shared" si="367"/>
        <v>336</v>
      </c>
      <c r="N516" s="557">
        <f t="shared" si="367"/>
        <v>336</v>
      </c>
    </row>
    <row r="517" spans="1:14">
      <c r="A517" s="883"/>
      <c r="B517" s="143"/>
    </row>
    <row r="518" spans="1:14">
      <c r="A518" s="883"/>
      <c r="B518" s="143"/>
    </row>
    <row r="519" spans="1:14">
      <c r="A519" s="883"/>
      <c r="B519" s="186" t="str">
        <f t="shared" ref="B519:N519" si="368">B486</f>
        <v>Subject</v>
      </c>
      <c r="C519" s="186" t="str">
        <f t="shared" si="368"/>
        <v>2016/17</v>
      </c>
      <c r="D519" s="186" t="str">
        <f t="shared" si="368"/>
        <v>2017/18</v>
      </c>
      <c r="E519" s="186" t="str">
        <f t="shared" si="368"/>
        <v>2018/19</v>
      </c>
      <c r="F519" s="186" t="str">
        <f t="shared" si="368"/>
        <v>2019/20</v>
      </c>
      <c r="G519" s="186" t="str">
        <f t="shared" si="368"/>
        <v>2020/21</v>
      </c>
      <c r="H519" s="186" t="str">
        <f t="shared" si="368"/>
        <v>2021/22</v>
      </c>
      <c r="I519" s="186" t="str">
        <f t="shared" si="368"/>
        <v>2022/23</v>
      </c>
      <c r="J519" s="186" t="str">
        <f t="shared" si="368"/>
        <v>2023/24</v>
      </c>
      <c r="K519" s="186" t="str">
        <f t="shared" si="368"/>
        <v>2024/25</v>
      </c>
      <c r="L519" s="186" t="str">
        <f t="shared" si="368"/>
        <v>2025/26</v>
      </c>
      <c r="M519" s="186" t="str">
        <f t="shared" si="368"/>
        <v>2026/27</v>
      </c>
      <c r="N519" s="186" t="str">
        <f t="shared" si="368"/>
        <v>2027/28</v>
      </c>
    </row>
    <row r="520" spans="1:14" s="5" customFormat="1">
      <c r="A520" s="884"/>
      <c r="B520" s="186" t="str">
        <f t="shared" ref="B520:N520" si="369">B487</f>
        <v>Art &amp; Design</v>
      </c>
      <c r="C520" s="414">
        <f t="shared" si="369"/>
        <v>8221.484366596027</v>
      </c>
      <c r="D520" s="414">
        <f t="shared" si="369"/>
        <v>8252.5093944663895</v>
      </c>
      <c r="E520" s="414">
        <f t="shared" si="369"/>
        <v>8174.7597021207011</v>
      </c>
      <c r="F520" s="414">
        <f t="shared" si="369"/>
        <v>8112.2217496981939</v>
      </c>
      <c r="G520" s="414">
        <f t="shared" si="369"/>
        <v>8158.6743801192542</v>
      </c>
      <c r="H520" s="414">
        <f t="shared" si="369"/>
        <v>8219.657370523928</v>
      </c>
      <c r="I520" s="414">
        <f t="shared" si="369"/>
        <v>8282.0066241085533</v>
      </c>
      <c r="J520" s="414">
        <f t="shared" si="369"/>
        <v>8353.3420076825514</v>
      </c>
      <c r="K520" s="414">
        <f t="shared" si="369"/>
        <v>8382.714128334037</v>
      </c>
      <c r="L520" s="414">
        <f t="shared" si="369"/>
        <v>8374.6717723718066</v>
      </c>
      <c r="M520" s="414">
        <f t="shared" si="369"/>
        <v>8350.7069026793652</v>
      </c>
      <c r="N520" s="414">
        <f t="shared" si="369"/>
        <v>8350.0950385091091</v>
      </c>
    </row>
    <row r="521" spans="1:14" s="5" customFormat="1">
      <c r="A521" s="884"/>
      <c r="B521" s="186" t="str">
        <f t="shared" ref="B521:N521" si="370">B488</f>
        <v>Biology</v>
      </c>
      <c r="C521" s="414">
        <f t="shared" si="370"/>
        <v>12376.581329867608</v>
      </c>
      <c r="D521" s="414">
        <f t="shared" si="370"/>
        <v>12443.125822329748</v>
      </c>
      <c r="E521" s="414">
        <f t="shared" si="370"/>
        <v>12581.127247240542</v>
      </c>
      <c r="F521" s="414">
        <f t="shared" si="370"/>
        <v>12716.429823866005</v>
      </c>
      <c r="G521" s="414">
        <f t="shared" si="370"/>
        <v>12821.385552561285</v>
      </c>
      <c r="H521" s="414">
        <f t="shared" si="370"/>
        <v>12944.47223189061</v>
      </c>
      <c r="I521" s="414">
        <f t="shared" si="370"/>
        <v>13094.340713932224</v>
      </c>
      <c r="J521" s="414">
        <f t="shared" si="370"/>
        <v>13197.402671895681</v>
      </c>
      <c r="K521" s="414">
        <f t="shared" si="370"/>
        <v>13245.250320403706</v>
      </c>
      <c r="L521" s="414">
        <f t="shared" si="370"/>
        <v>13302.358342015343</v>
      </c>
      <c r="M521" s="414">
        <f t="shared" si="370"/>
        <v>13341.975027124712</v>
      </c>
      <c r="N521" s="414">
        <f t="shared" si="370"/>
        <v>13321.956971927359</v>
      </c>
    </row>
    <row r="522" spans="1:14" s="5" customFormat="1">
      <c r="A522" s="884"/>
      <c r="B522" s="186" t="str">
        <f t="shared" ref="B522:N522" si="371">B489</f>
        <v>Business Studies</v>
      </c>
      <c r="C522" s="414">
        <f t="shared" si="371"/>
        <v>4140.0374631941431</v>
      </c>
      <c r="D522" s="414">
        <f t="shared" si="371"/>
        <v>4081.9881103966627</v>
      </c>
      <c r="E522" s="414">
        <f t="shared" si="371"/>
        <v>3914.0704730467673</v>
      </c>
      <c r="F522" s="414">
        <f t="shared" si="371"/>
        <v>3751.0814105565969</v>
      </c>
      <c r="G522" s="414">
        <f t="shared" si="371"/>
        <v>3724.6781448335196</v>
      </c>
      <c r="H522" s="414">
        <f t="shared" si="371"/>
        <v>3756.8433731023933</v>
      </c>
      <c r="I522" s="414">
        <f t="shared" si="371"/>
        <v>3820.8331583308827</v>
      </c>
      <c r="J522" s="414">
        <f t="shared" si="371"/>
        <v>3864.4952941626866</v>
      </c>
      <c r="K522" s="414">
        <f t="shared" si="371"/>
        <v>3917.8200095247671</v>
      </c>
      <c r="L522" s="414">
        <f t="shared" si="371"/>
        <v>3980.2931617888717</v>
      </c>
      <c r="M522" s="414">
        <f t="shared" si="371"/>
        <v>4039.5567431348982</v>
      </c>
      <c r="N522" s="414">
        <f t="shared" si="371"/>
        <v>4065.0246202632293</v>
      </c>
    </row>
    <row r="523" spans="1:14" s="5" customFormat="1">
      <c r="A523" s="884"/>
      <c r="B523" s="186" t="str">
        <f t="shared" ref="B523:N523" si="372">B490</f>
        <v>Chemistry</v>
      </c>
      <c r="C523" s="414">
        <f t="shared" si="372"/>
        <v>10809.644033499102</v>
      </c>
      <c r="D523" s="414">
        <f t="shared" si="372"/>
        <v>10869.552963907126</v>
      </c>
      <c r="E523" s="414">
        <f t="shared" si="372"/>
        <v>10996.935297139789</v>
      </c>
      <c r="F523" s="414">
        <f t="shared" si="372"/>
        <v>11117.042083858214</v>
      </c>
      <c r="G523" s="414">
        <f t="shared" si="372"/>
        <v>11209.594869310718</v>
      </c>
      <c r="H523" s="414">
        <f t="shared" si="372"/>
        <v>11320.71182104242</v>
      </c>
      <c r="I523" s="414">
        <f t="shared" si="372"/>
        <v>11457.607050128838</v>
      </c>
      <c r="J523" s="414">
        <f t="shared" si="372"/>
        <v>11546.181390918575</v>
      </c>
      <c r="K523" s="414">
        <f t="shared" si="372"/>
        <v>11587.063326517029</v>
      </c>
      <c r="L523" s="414">
        <f t="shared" si="372"/>
        <v>11644.336853301127</v>
      </c>
      <c r="M523" s="414">
        <f t="shared" si="372"/>
        <v>11687.201743184205</v>
      </c>
      <c r="N523" s="414">
        <f t="shared" si="372"/>
        <v>11666.402632742836</v>
      </c>
    </row>
    <row r="524" spans="1:14" s="5" customFormat="1">
      <c r="A524" s="884"/>
      <c r="B524" s="186" t="str">
        <f t="shared" ref="B524:N524" si="373">B491</f>
        <v>Classics</v>
      </c>
      <c r="C524" s="414">
        <f t="shared" si="373"/>
        <v>320.61218559002862</v>
      </c>
      <c r="D524" s="414">
        <f t="shared" si="373"/>
        <v>319.01454998591242</v>
      </c>
      <c r="E524" s="414">
        <f t="shared" si="373"/>
        <v>318.52253826205248</v>
      </c>
      <c r="F524" s="414">
        <f t="shared" si="373"/>
        <v>319.18402460922613</v>
      </c>
      <c r="G524" s="414">
        <f t="shared" si="373"/>
        <v>320.58359353270811</v>
      </c>
      <c r="H524" s="414">
        <f t="shared" si="373"/>
        <v>322.93890632300463</v>
      </c>
      <c r="I524" s="414">
        <f t="shared" si="373"/>
        <v>326.36646498549288</v>
      </c>
      <c r="J524" s="414">
        <f t="shared" si="373"/>
        <v>329.66770485209423</v>
      </c>
      <c r="K524" s="414">
        <f t="shared" si="373"/>
        <v>332.35275604290797</v>
      </c>
      <c r="L524" s="414">
        <f t="shared" si="373"/>
        <v>334.06219741699857</v>
      </c>
      <c r="M524" s="414">
        <f t="shared" si="373"/>
        <v>335.24546354967748</v>
      </c>
      <c r="N524" s="414">
        <f t="shared" si="373"/>
        <v>336.36283825172706</v>
      </c>
    </row>
    <row r="525" spans="1:14" s="5" customFormat="1">
      <c r="A525" s="884"/>
      <c r="B525" s="186" t="str">
        <f t="shared" ref="B525:N525" si="374">B492</f>
        <v>Computing</v>
      </c>
      <c r="C525" s="414">
        <f t="shared" si="374"/>
        <v>7381.7874060554232</v>
      </c>
      <c r="D525" s="414">
        <f t="shared" si="374"/>
        <v>7405.7764408461871</v>
      </c>
      <c r="E525" s="414">
        <f t="shared" si="374"/>
        <v>7193.066162824196</v>
      </c>
      <c r="F525" s="414">
        <f t="shared" si="374"/>
        <v>6982.3397436540035</v>
      </c>
      <c r="G525" s="414">
        <f t="shared" si="374"/>
        <v>6982.2929564523765</v>
      </c>
      <c r="H525" s="414">
        <f t="shared" si="374"/>
        <v>7038.2622359528386</v>
      </c>
      <c r="I525" s="414">
        <f t="shared" si="374"/>
        <v>7100.1841419040084</v>
      </c>
      <c r="J525" s="414">
        <f t="shared" si="374"/>
        <v>7160.6075261059104</v>
      </c>
      <c r="K525" s="414">
        <f t="shared" si="374"/>
        <v>7187.9647009552154</v>
      </c>
      <c r="L525" s="414">
        <f t="shared" si="374"/>
        <v>7193.5131933485191</v>
      </c>
      <c r="M525" s="414">
        <f t="shared" si="374"/>
        <v>7186.6228793969749</v>
      </c>
      <c r="N525" s="414">
        <f t="shared" si="374"/>
        <v>7184.8975836906529</v>
      </c>
    </row>
    <row r="526" spans="1:14" s="5" customFormat="1">
      <c r="A526" s="884"/>
      <c r="B526" s="186" t="str">
        <f t="shared" ref="B526:N526" si="375">B493</f>
        <v>Design &amp; Technology</v>
      </c>
      <c r="C526" s="414">
        <f t="shared" si="375"/>
        <v>10399.547303275807</v>
      </c>
      <c r="D526" s="414">
        <f t="shared" si="375"/>
        <v>10485.90822057171</v>
      </c>
      <c r="E526" s="414">
        <f t="shared" si="375"/>
        <v>10240.587104320877</v>
      </c>
      <c r="F526" s="414">
        <f t="shared" si="375"/>
        <v>10006.173957655876</v>
      </c>
      <c r="G526" s="414">
        <f t="shared" si="375"/>
        <v>10006.59244486348</v>
      </c>
      <c r="H526" s="414">
        <f t="shared" si="375"/>
        <v>10078.688041246787</v>
      </c>
      <c r="I526" s="414">
        <f t="shared" si="375"/>
        <v>10133.823523927798</v>
      </c>
      <c r="J526" s="414">
        <f t="shared" si="375"/>
        <v>10214.776280501248</v>
      </c>
      <c r="K526" s="414">
        <f t="shared" si="375"/>
        <v>10227.106289409794</v>
      </c>
      <c r="L526" s="414">
        <f t="shared" si="375"/>
        <v>10177.649135795158</v>
      </c>
      <c r="M526" s="414">
        <f t="shared" si="375"/>
        <v>10106.217160112887</v>
      </c>
      <c r="N526" s="414">
        <f t="shared" si="375"/>
        <v>10090.281243754884</v>
      </c>
    </row>
    <row r="527" spans="1:14" s="5" customFormat="1">
      <c r="A527" s="884"/>
      <c r="B527" s="186" t="str">
        <f t="shared" ref="B527:N527" si="376">B494</f>
        <v>Drama</v>
      </c>
      <c r="C527" s="414">
        <f t="shared" si="376"/>
        <v>5040.7105847676212</v>
      </c>
      <c r="D527" s="414">
        <f t="shared" si="376"/>
        <v>5069.4810108958891</v>
      </c>
      <c r="E527" s="414">
        <f t="shared" si="376"/>
        <v>5061.7354339468193</v>
      </c>
      <c r="F527" s="414">
        <f t="shared" si="376"/>
        <v>5064.5223431347858</v>
      </c>
      <c r="G527" s="414">
        <f t="shared" si="376"/>
        <v>5063.693504415688</v>
      </c>
      <c r="H527" s="414">
        <f t="shared" si="376"/>
        <v>5101.8548430568972</v>
      </c>
      <c r="I527" s="414">
        <f t="shared" si="376"/>
        <v>5137.9453433287126</v>
      </c>
      <c r="J527" s="414">
        <f t="shared" si="376"/>
        <v>5180.6465194801513</v>
      </c>
      <c r="K527" s="414">
        <f t="shared" si="376"/>
        <v>5194.2455113950136</v>
      </c>
      <c r="L527" s="414">
        <f t="shared" si="376"/>
        <v>5183.5930620538893</v>
      </c>
      <c r="M527" s="414">
        <f t="shared" si="376"/>
        <v>5162.8085788593808</v>
      </c>
      <c r="N527" s="414">
        <f t="shared" si="376"/>
        <v>5158.835973848868</v>
      </c>
    </row>
    <row r="528" spans="1:14" s="5" customFormat="1">
      <c r="A528" s="884"/>
      <c r="B528" s="186" t="str">
        <f t="shared" ref="B528:N528" si="377">B495</f>
        <v>English</v>
      </c>
      <c r="C528" s="414">
        <f t="shared" si="377"/>
        <v>30220.128337472765</v>
      </c>
      <c r="D528" s="414">
        <f t="shared" si="377"/>
        <v>30509.773325406866</v>
      </c>
      <c r="E528" s="414">
        <f t="shared" si="377"/>
        <v>30919.32090270241</v>
      </c>
      <c r="F528" s="414">
        <f t="shared" si="377"/>
        <v>31319.216136195209</v>
      </c>
      <c r="G528" s="414">
        <f t="shared" si="377"/>
        <v>31614.237980831935</v>
      </c>
      <c r="H528" s="414">
        <f t="shared" si="377"/>
        <v>31909.421364483453</v>
      </c>
      <c r="I528" s="414">
        <f t="shared" si="377"/>
        <v>32213.077819706192</v>
      </c>
      <c r="J528" s="414">
        <f t="shared" si="377"/>
        <v>32446.983961167705</v>
      </c>
      <c r="K528" s="414">
        <f t="shared" si="377"/>
        <v>32491.744673276236</v>
      </c>
      <c r="L528" s="414">
        <f t="shared" si="377"/>
        <v>32510.276243400487</v>
      </c>
      <c r="M528" s="414">
        <f t="shared" si="377"/>
        <v>32478.127726824507</v>
      </c>
      <c r="N528" s="414">
        <f t="shared" si="377"/>
        <v>32381.824303912716</v>
      </c>
    </row>
    <row r="529" spans="1:14" s="5" customFormat="1">
      <c r="A529" s="884"/>
      <c r="B529" s="186" t="str">
        <f t="shared" ref="B529:N529" si="378">B496</f>
        <v>Food</v>
      </c>
      <c r="C529" s="414">
        <f t="shared" si="378"/>
        <v>2127.8122876552648</v>
      </c>
      <c r="D529" s="414">
        <f t="shared" si="378"/>
        <v>2140.7789083747734</v>
      </c>
      <c r="E529" s="414">
        <f t="shared" si="378"/>
        <v>2071.0885684162149</v>
      </c>
      <c r="F529" s="414">
        <f t="shared" si="378"/>
        <v>1994.0230274175576</v>
      </c>
      <c r="G529" s="414">
        <f t="shared" si="378"/>
        <v>1993.3369313823487</v>
      </c>
      <c r="H529" s="414">
        <f t="shared" si="378"/>
        <v>2013.908875553107</v>
      </c>
      <c r="I529" s="414">
        <f t="shared" si="378"/>
        <v>2037.3251131682666</v>
      </c>
      <c r="J529" s="414">
        <f t="shared" si="378"/>
        <v>2051.6701006418584</v>
      </c>
      <c r="K529" s="414">
        <f t="shared" si="378"/>
        <v>2055.3957093647023</v>
      </c>
      <c r="L529" s="414">
        <f t="shared" si="378"/>
        <v>2062.6668140519032</v>
      </c>
      <c r="M529" s="414">
        <f t="shared" si="378"/>
        <v>2067.3405955037151</v>
      </c>
      <c r="N529" s="414">
        <f t="shared" si="378"/>
        <v>2060.4652269313815</v>
      </c>
    </row>
    <row r="530" spans="1:14" s="5" customFormat="1">
      <c r="A530" s="884"/>
      <c r="B530" s="186" t="str">
        <f t="shared" ref="B530:N530" si="379">B497</f>
        <v>Geography</v>
      </c>
      <c r="C530" s="414">
        <f t="shared" si="379"/>
        <v>10182.11924920996</v>
      </c>
      <c r="D530" s="414">
        <f t="shared" si="379"/>
        <v>10253.593923202901</v>
      </c>
      <c r="E530" s="414">
        <f t="shared" si="379"/>
        <v>10640.272458668762</v>
      </c>
      <c r="F530" s="414">
        <f t="shared" si="379"/>
        <v>11050.354575176267</v>
      </c>
      <c r="G530" s="414">
        <f t="shared" si="379"/>
        <v>11198.003974183555</v>
      </c>
      <c r="H530" s="414">
        <f t="shared" si="379"/>
        <v>11291.791052816228</v>
      </c>
      <c r="I530" s="414">
        <f t="shared" si="379"/>
        <v>11381.46339174417</v>
      </c>
      <c r="J530" s="414">
        <f t="shared" si="379"/>
        <v>11469.090279555667</v>
      </c>
      <c r="K530" s="414">
        <f t="shared" si="379"/>
        <v>11488.082044794508</v>
      </c>
      <c r="L530" s="414">
        <f t="shared" si="379"/>
        <v>11472.369470699172</v>
      </c>
      <c r="M530" s="414">
        <f t="shared" si="379"/>
        <v>11436.004479448906</v>
      </c>
      <c r="N530" s="414">
        <f t="shared" si="379"/>
        <v>11412.18470379921</v>
      </c>
    </row>
    <row r="531" spans="1:14" s="5" customFormat="1">
      <c r="A531" s="884"/>
      <c r="B531" s="186" t="str">
        <f t="shared" ref="B531:N531" si="380">B498</f>
        <v>History</v>
      </c>
      <c r="C531" s="414">
        <f t="shared" si="380"/>
        <v>10940.557322554356</v>
      </c>
      <c r="D531" s="414">
        <f t="shared" si="380"/>
        <v>11003.124546226763</v>
      </c>
      <c r="E531" s="414">
        <f t="shared" si="380"/>
        <v>11338.087579187015</v>
      </c>
      <c r="F531" s="414">
        <f t="shared" si="380"/>
        <v>11697.628503159576</v>
      </c>
      <c r="G531" s="414">
        <f t="shared" si="380"/>
        <v>11817.214317067313</v>
      </c>
      <c r="H531" s="414">
        <f t="shared" si="380"/>
        <v>11915.732196121553</v>
      </c>
      <c r="I531" s="414">
        <f t="shared" si="380"/>
        <v>12015.152378225092</v>
      </c>
      <c r="J531" s="414">
        <f t="shared" si="380"/>
        <v>12110.372689583266</v>
      </c>
      <c r="K531" s="414">
        <f t="shared" si="380"/>
        <v>12138.603326869141</v>
      </c>
      <c r="L531" s="414">
        <f t="shared" si="380"/>
        <v>12132.271211747635</v>
      </c>
      <c r="M531" s="414">
        <f t="shared" si="380"/>
        <v>12104.612503027198</v>
      </c>
      <c r="N531" s="414">
        <f t="shared" si="380"/>
        <v>12085.756816470934</v>
      </c>
    </row>
    <row r="532" spans="1:14" s="5" customFormat="1">
      <c r="A532" s="884"/>
      <c r="B532" s="186" t="str">
        <f t="shared" ref="B532:B539" si="381">B499</f>
        <v>Mathematics</v>
      </c>
      <c r="C532" s="462">
        <f t="shared" ref="C532:N532" si="382">C499+C516</f>
        <v>30662.743474631494</v>
      </c>
      <c r="D532" s="462">
        <f t="shared" si="382"/>
        <v>31192.130233482974</v>
      </c>
      <c r="E532" s="462">
        <f t="shared" si="382"/>
        <v>31620.459804273269</v>
      </c>
      <c r="F532" s="462">
        <f t="shared" si="382"/>
        <v>32095.7132306274</v>
      </c>
      <c r="G532" s="462">
        <f t="shared" si="382"/>
        <v>32510.261839782357</v>
      </c>
      <c r="H532" s="462">
        <f t="shared" si="382"/>
        <v>32803.674855597361</v>
      </c>
      <c r="I532" s="462">
        <f t="shared" si="382"/>
        <v>33112.60445770467</v>
      </c>
      <c r="J532" s="462">
        <f t="shared" si="382"/>
        <v>33359.046355658502</v>
      </c>
      <c r="K532" s="462">
        <f t="shared" si="382"/>
        <v>33423.372219263852</v>
      </c>
      <c r="L532" s="462">
        <f t="shared" si="382"/>
        <v>33450.998597629397</v>
      </c>
      <c r="M532" s="462">
        <f t="shared" si="382"/>
        <v>33426.500465988938</v>
      </c>
      <c r="N532" s="462">
        <f t="shared" si="382"/>
        <v>33347.32308957693</v>
      </c>
    </row>
    <row r="533" spans="1:14" s="5" customFormat="1">
      <c r="A533" s="884"/>
      <c r="B533" s="186" t="str">
        <f t="shared" si="381"/>
        <v>Modern Foreign Languages</v>
      </c>
      <c r="C533" s="414">
        <f t="shared" ref="C533:N533" si="383">C500</f>
        <v>14526.054326664771</v>
      </c>
      <c r="D533" s="414">
        <f t="shared" si="383"/>
        <v>14652.93386526727</v>
      </c>
      <c r="E533" s="414">
        <f t="shared" si="383"/>
        <v>16098.729565602862</v>
      </c>
      <c r="F533" s="414">
        <f t="shared" si="383"/>
        <v>17605.559301783091</v>
      </c>
      <c r="G533" s="414">
        <f t="shared" si="383"/>
        <v>18177.5478071988</v>
      </c>
      <c r="H533" s="414">
        <f t="shared" si="383"/>
        <v>18333.166289664961</v>
      </c>
      <c r="I533" s="414">
        <f t="shared" si="383"/>
        <v>18472.884955282629</v>
      </c>
      <c r="J533" s="414">
        <f t="shared" si="383"/>
        <v>18608.374156314694</v>
      </c>
      <c r="K533" s="414">
        <f t="shared" si="383"/>
        <v>18621.584904188909</v>
      </c>
      <c r="L533" s="414">
        <f t="shared" si="383"/>
        <v>18579.952454780385</v>
      </c>
      <c r="M533" s="414">
        <f t="shared" si="383"/>
        <v>18504.440037262208</v>
      </c>
      <c r="N533" s="414">
        <f t="shared" si="383"/>
        <v>18450.476352759688</v>
      </c>
    </row>
    <row r="534" spans="1:14" s="5" customFormat="1">
      <c r="A534" s="884"/>
      <c r="B534" s="186" t="str">
        <f t="shared" si="381"/>
        <v>Music</v>
      </c>
      <c r="C534" s="414">
        <f t="shared" ref="C534:N534" si="384">C501</f>
        <v>5101.0768842443413</v>
      </c>
      <c r="D534" s="414">
        <f t="shared" si="384"/>
        <v>5142.3042666966612</v>
      </c>
      <c r="E534" s="414">
        <f t="shared" si="384"/>
        <v>5191.614299908817</v>
      </c>
      <c r="F534" s="414">
        <f t="shared" si="384"/>
        <v>5257.2248604051119</v>
      </c>
      <c r="G534" s="414">
        <f t="shared" si="384"/>
        <v>5308.6268086589134</v>
      </c>
      <c r="H534" s="414">
        <f t="shared" si="384"/>
        <v>5344.9302208905174</v>
      </c>
      <c r="I534" s="414">
        <f t="shared" si="384"/>
        <v>5371.1908209510575</v>
      </c>
      <c r="J534" s="414">
        <f t="shared" si="384"/>
        <v>5415.1094116988988</v>
      </c>
      <c r="K534" s="414">
        <f t="shared" si="384"/>
        <v>5422.5648781076816</v>
      </c>
      <c r="L534" s="414">
        <f t="shared" si="384"/>
        <v>5392.788676486628</v>
      </c>
      <c r="M534" s="414">
        <f t="shared" si="384"/>
        <v>5350.8920202694871</v>
      </c>
      <c r="N534" s="414">
        <f t="shared" si="384"/>
        <v>5344.5482728198313</v>
      </c>
    </row>
    <row r="535" spans="1:14" s="5" customFormat="1">
      <c r="A535" s="884"/>
      <c r="B535" s="186" t="str">
        <f t="shared" si="381"/>
        <v>Others</v>
      </c>
      <c r="C535" s="414">
        <f t="shared" ref="C535:N535" si="385">C502</f>
        <v>15336.510351902911</v>
      </c>
      <c r="D535" s="414">
        <f t="shared" si="385"/>
        <v>15172.118115779143</v>
      </c>
      <c r="E535" s="414">
        <f t="shared" si="385"/>
        <v>14612.477997803686</v>
      </c>
      <c r="F535" s="414">
        <f t="shared" si="385"/>
        <v>14103.249448920165</v>
      </c>
      <c r="G535" s="414">
        <f t="shared" si="385"/>
        <v>13952.651316170122</v>
      </c>
      <c r="H535" s="414">
        <f t="shared" si="385"/>
        <v>14050.008063094505</v>
      </c>
      <c r="I535" s="414">
        <f t="shared" si="385"/>
        <v>14230.459971831193</v>
      </c>
      <c r="J535" s="414">
        <f t="shared" si="385"/>
        <v>14394.712157946</v>
      </c>
      <c r="K535" s="414">
        <f t="shared" si="385"/>
        <v>14570.940764834369</v>
      </c>
      <c r="L535" s="414">
        <f t="shared" si="385"/>
        <v>14715.06765517605</v>
      </c>
      <c r="M535" s="414">
        <f t="shared" si="385"/>
        <v>14839.182305921733</v>
      </c>
      <c r="N535" s="414">
        <f t="shared" si="385"/>
        <v>14934.730662081693</v>
      </c>
    </row>
    <row r="536" spans="1:14" s="5" customFormat="1">
      <c r="A536" s="884"/>
      <c r="B536" s="186" t="str">
        <f t="shared" si="381"/>
        <v>Physical Education</v>
      </c>
      <c r="C536" s="414">
        <f t="shared" ref="C536:N536" si="386">C503</f>
        <v>16399.595970806426</v>
      </c>
      <c r="D536" s="414">
        <f t="shared" si="386"/>
        <v>16515.9941005008</v>
      </c>
      <c r="E536" s="414">
        <f t="shared" si="386"/>
        <v>16429.827773384408</v>
      </c>
      <c r="F536" s="414">
        <f t="shared" si="386"/>
        <v>16339.668344798149</v>
      </c>
      <c r="G536" s="414">
        <f t="shared" si="386"/>
        <v>16425.440534774702</v>
      </c>
      <c r="H536" s="414">
        <f t="shared" si="386"/>
        <v>16569.488881988065</v>
      </c>
      <c r="I536" s="414">
        <f t="shared" si="386"/>
        <v>16711.851791884852</v>
      </c>
      <c r="J536" s="414">
        <f t="shared" si="386"/>
        <v>16837.542575427015</v>
      </c>
      <c r="K536" s="414">
        <f t="shared" si="386"/>
        <v>16863.611950779847</v>
      </c>
      <c r="L536" s="414">
        <f t="shared" si="386"/>
        <v>16854.106397413085</v>
      </c>
      <c r="M536" s="414">
        <f t="shared" si="386"/>
        <v>16815.93994637291</v>
      </c>
      <c r="N536" s="414">
        <f t="shared" si="386"/>
        <v>16774.880467766714</v>
      </c>
    </row>
    <row r="537" spans="1:14" s="5" customFormat="1">
      <c r="A537" s="884"/>
      <c r="B537" s="186" t="str">
        <f t="shared" si="381"/>
        <v>Physics</v>
      </c>
      <c r="C537" s="414">
        <f t="shared" ref="C537:N537" si="387">C504</f>
        <v>10358.401425018343</v>
      </c>
      <c r="D537" s="414">
        <f t="shared" si="387"/>
        <v>10425.992982457343</v>
      </c>
      <c r="E537" s="414">
        <f t="shared" si="387"/>
        <v>10562.65471023451</v>
      </c>
      <c r="F537" s="414">
        <f t="shared" si="387"/>
        <v>10687.441430700017</v>
      </c>
      <c r="G537" s="414">
        <f t="shared" si="387"/>
        <v>10780.859421473511</v>
      </c>
      <c r="H537" s="414">
        <f t="shared" si="387"/>
        <v>10890.58762438853</v>
      </c>
      <c r="I537" s="414">
        <f t="shared" si="387"/>
        <v>11023.569720486112</v>
      </c>
      <c r="J537" s="414">
        <f t="shared" si="387"/>
        <v>11105.913201741987</v>
      </c>
      <c r="K537" s="414">
        <f t="shared" si="387"/>
        <v>11139.416547142437</v>
      </c>
      <c r="L537" s="414">
        <f t="shared" si="387"/>
        <v>11193.497964947484</v>
      </c>
      <c r="M537" s="414">
        <f t="shared" si="387"/>
        <v>11234.079582494232</v>
      </c>
      <c r="N537" s="414">
        <f t="shared" si="387"/>
        <v>11207.726714242021</v>
      </c>
    </row>
    <row r="538" spans="1:14" s="5" customFormat="1">
      <c r="A538" s="884"/>
      <c r="B538" s="186" t="str">
        <f t="shared" si="381"/>
        <v>Religious Education</v>
      </c>
      <c r="C538" s="414">
        <f t="shared" ref="C538:N538" si="388">C505</f>
        <v>7200.8530114471514</v>
      </c>
      <c r="D538" s="414">
        <f t="shared" si="388"/>
        <v>7245.2850639944945</v>
      </c>
      <c r="E538" s="414">
        <f t="shared" si="388"/>
        <v>7320.8321579055892</v>
      </c>
      <c r="F538" s="414">
        <f t="shared" si="388"/>
        <v>7401.5758384140427</v>
      </c>
      <c r="G538" s="414">
        <f t="shared" si="388"/>
        <v>7471.7229460971948</v>
      </c>
      <c r="H538" s="414">
        <f t="shared" si="388"/>
        <v>7536.3266030290315</v>
      </c>
      <c r="I538" s="414">
        <f t="shared" si="388"/>
        <v>7601.8360712534823</v>
      </c>
      <c r="J538" s="414">
        <f t="shared" si="388"/>
        <v>7660.4677404870581</v>
      </c>
      <c r="K538" s="414">
        <f t="shared" si="388"/>
        <v>7675.909836762612</v>
      </c>
      <c r="L538" s="414">
        <f t="shared" si="388"/>
        <v>7674.2833164998974</v>
      </c>
      <c r="M538" s="414">
        <f t="shared" si="388"/>
        <v>7659.6275267317578</v>
      </c>
      <c r="N538" s="414">
        <f t="shared" si="388"/>
        <v>7644.2368306971202</v>
      </c>
    </row>
    <row r="539" spans="1:14" s="5" customFormat="1">
      <c r="A539" s="884"/>
      <c r="B539" s="186" t="str">
        <f t="shared" si="381"/>
        <v>Total</v>
      </c>
      <c r="C539" s="462">
        <f>SUM(C520:C538)</f>
        <v>211746.25731445357</v>
      </c>
      <c r="D539" s="462">
        <f t="shared" ref="D539:N539" si="389">SUM(D520:D538)</f>
        <v>213181.38584478962</v>
      </c>
      <c r="E539" s="462">
        <f t="shared" si="389"/>
        <v>215286.16977698932</v>
      </c>
      <c r="F539" s="462">
        <f t="shared" si="389"/>
        <v>217620.6498346295</v>
      </c>
      <c r="G539" s="462">
        <f t="shared" si="389"/>
        <v>219537.39932370977</v>
      </c>
      <c r="H539" s="462">
        <f t="shared" si="389"/>
        <v>221442.46485076624</v>
      </c>
      <c r="I539" s="462">
        <f t="shared" si="389"/>
        <v>223524.52351288419</v>
      </c>
      <c r="J539" s="462">
        <f t="shared" si="389"/>
        <v>225306.40202582156</v>
      </c>
      <c r="K539" s="462">
        <f t="shared" si="389"/>
        <v>225965.74389796678</v>
      </c>
      <c r="L539" s="462">
        <f t="shared" si="389"/>
        <v>226228.75652092384</v>
      </c>
      <c r="M539" s="462">
        <f t="shared" si="389"/>
        <v>226127.08168788772</v>
      </c>
      <c r="N539" s="462">
        <f t="shared" si="389"/>
        <v>225818.01034404692</v>
      </c>
    </row>
    <row r="540" spans="1:14">
      <c r="A540" s="263">
        <f>SUM(C540:N540)</f>
        <v>0</v>
      </c>
      <c r="C540" s="10">
        <f t="shared" ref="C540:N540" si="390">SUM(C520:C538)-C539</f>
        <v>0</v>
      </c>
      <c r="D540" s="10">
        <f t="shared" si="390"/>
        <v>0</v>
      </c>
      <c r="E540" s="10">
        <f t="shared" si="390"/>
        <v>0</v>
      </c>
      <c r="F540" s="10">
        <f t="shared" si="390"/>
        <v>0</v>
      </c>
      <c r="G540" s="10">
        <f t="shared" si="390"/>
        <v>0</v>
      </c>
      <c r="H540" s="10">
        <f t="shared" si="390"/>
        <v>0</v>
      </c>
      <c r="I540" s="10">
        <f t="shared" si="390"/>
        <v>0</v>
      </c>
      <c r="J540" s="10">
        <f t="shared" si="390"/>
        <v>0</v>
      </c>
      <c r="K540" s="10">
        <f t="shared" si="390"/>
        <v>0</v>
      </c>
      <c r="L540" s="10">
        <f t="shared" si="390"/>
        <v>0</v>
      </c>
      <c r="M540" s="10">
        <f t="shared" si="390"/>
        <v>0</v>
      </c>
      <c r="N540" s="10">
        <f t="shared" si="390"/>
        <v>0</v>
      </c>
    </row>
    <row r="541" spans="1:14">
      <c r="A541" s="883"/>
      <c r="B541" s="12"/>
    </row>
    <row r="542" spans="1:14" ht="15.75">
      <c r="A542" s="883"/>
      <c r="B542" s="144" t="s">
        <v>1161</v>
      </c>
    </row>
    <row r="543" spans="1:14">
      <c r="A543" s="883"/>
      <c r="B543" s="75"/>
    </row>
    <row r="544" spans="1:14">
      <c r="A544" s="883"/>
      <c r="B544" s="76" t="s">
        <v>176</v>
      </c>
    </row>
    <row r="545" spans="1:3">
      <c r="A545" s="883"/>
      <c r="B545" s="12"/>
    </row>
    <row r="546" spans="1:3">
      <c r="A546" s="883"/>
      <c r="B546" s="141" t="str">
        <f t="shared" ref="B546:B565" si="391">B486</f>
        <v>Subject</v>
      </c>
      <c r="C546" s="8" t="s">
        <v>91</v>
      </c>
    </row>
    <row r="547" spans="1:3" s="5" customFormat="1">
      <c r="A547" s="884"/>
      <c r="B547" s="141" t="str">
        <f t="shared" si="391"/>
        <v>Art &amp; Design</v>
      </c>
      <c r="C547" s="261">
        <f>Stock_calculations!C44</f>
        <v>0.93100000000000005</v>
      </c>
    </row>
    <row r="548" spans="1:3" s="5" customFormat="1">
      <c r="A548" s="884"/>
      <c r="B548" s="141" t="str">
        <f t="shared" si="391"/>
        <v>Biology</v>
      </c>
      <c r="C548" s="261">
        <f>Stock_calculations!C45</f>
        <v>0.93100000000000005</v>
      </c>
    </row>
    <row r="549" spans="1:3" s="5" customFormat="1">
      <c r="A549" s="884"/>
      <c r="B549" s="141" t="str">
        <f t="shared" si="391"/>
        <v>Business Studies</v>
      </c>
      <c r="C549" s="261">
        <f>Stock_calculations!C46</f>
        <v>0.93100000000000005</v>
      </c>
    </row>
    <row r="550" spans="1:3" s="5" customFormat="1">
      <c r="A550" s="884"/>
      <c r="B550" s="141" t="str">
        <f t="shared" si="391"/>
        <v>Chemistry</v>
      </c>
      <c r="C550" s="261">
        <f>Stock_calculations!C47</f>
        <v>0.93100000000000005</v>
      </c>
    </row>
    <row r="551" spans="1:3" s="5" customFormat="1">
      <c r="A551" s="884"/>
      <c r="B551" s="141" t="str">
        <f t="shared" si="391"/>
        <v>Classics</v>
      </c>
      <c r="C551" s="261">
        <f>Stock_calculations!C48</f>
        <v>0.93100000000000005</v>
      </c>
    </row>
    <row r="552" spans="1:3" s="5" customFormat="1">
      <c r="A552" s="884"/>
      <c r="B552" s="141" t="str">
        <f t="shared" si="391"/>
        <v>Computing</v>
      </c>
      <c r="C552" s="261">
        <f>Stock_calculations!C49</f>
        <v>0.93100000000000005</v>
      </c>
    </row>
    <row r="553" spans="1:3" s="5" customFormat="1">
      <c r="A553" s="884"/>
      <c r="B553" s="141" t="str">
        <f t="shared" si="391"/>
        <v>Design &amp; Technology</v>
      </c>
      <c r="C553" s="261">
        <f>Stock_calculations!C50</f>
        <v>0.93100000000000005</v>
      </c>
    </row>
    <row r="554" spans="1:3" s="5" customFormat="1">
      <c r="A554" s="884"/>
      <c r="B554" s="141" t="str">
        <f t="shared" si="391"/>
        <v>Drama</v>
      </c>
      <c r="C554" s="261">
        <f>Stock_calculations!C51</f>
        <v>0.93100000000000005</v>
      </c>
    </row>
    <row r="555" spans="1:3" s="5" customFormat="1">
      <c r="A555" s="884"/>
      <c r="B555" s="141" t="str">
        <f t="shared" si="391"/>
        <v>English</v>
      </c>
      <c r="C555" s="261">
        <f>Stock_calculations!C52</f>
        <v>0.93100000000000005</v>
      </c>
    </row>
    <row r="556" spans="1:3" s="5" customFormat="1">
      <c r="A556" s="884"/>
      <c r="B556" s="141" t="str">
        <f t="shared" si="391"/>
        <v>Food</v>
      </c>
      <c r="C556" s="261">
        <f>Stock_calculations!C53</f>
        <v>0.93100000000000005</v>
      </c>
    </row>
    <row r="557" spans="1:3" s="5" customFormat="1">
      <c r="A557" s="884"/>
      <c r="B557" s="141" t="str">
        <f t="shared" si="391"/>
        <v>Geography</v>
      </c>
      <c r="C557" s="261">
        <f>Stock_calculations!C54</f>
        <v>0.93100000000000005</v>
      </c>
    </row>
    <row r="558" spans="1:3" s="5" customFormat="1">
      <c r="A558" s="884"/>
      <c r="B558" s="141" t="str">
        <f t="shared" si="391"/>
        <v>History</v>
      </c>
      <c r="C558" s="261">
        <f>Stock_calculations!C55</f>
        <v>0.93100000000000005</v>
      </c>
    </row>
    <row r="559" spans="1:3" s="5" customFormat="1">
      <c r="A559" s="884"/>
      <c r="B559" s="141" t="str">
        <f t="shared" si="391"/>
        <v>Mathematics</v>
      </c>
      <c r="C559" s="261">
        <f>Stock_calculations!C56</f>
        <v>0.93100000000000005</v>
      </c>
    </row>
    <row r="560" spans="1:3" s="5" customFormat="1">
      <c r="A560" s="884"/>
      <c r="B560" s="141" t="str">
        <f t="shared" si="391"/>
        <v>Modern Foreign Languages</v>
      </c>
      <c r="C560" s="261">
        <f>Stock_calculations!C57</f>
        <v>0.93100000000000005</v>
      </c>
    </row>
    <row r="561" spans="1:14" s="5" customFormat="1">
      <c r="A561" s="884"/>
      <c r="B561" s="141" t="str">
        <f t="shared" si="391"/>
        <v>Music</v>
      </c>
      <c r="C561" s="261">
        <f>Stock_calculations!C58</f>
        <v>0.93100000000000005</v>
      </c>
    </row>
    <row r="562" spans="1:14" s="5" customFormat="1">
      <c r="A562" s="884"/>
      <c r="B562" s="141" t="str">
        <f t="shared" si="391"/>
        <v>Others</v>
      </c>
      <c r="C562" s="261">
        <f>Stock_calculations!C59</f>
        <v>0.93100000000000005</v>
      </c>
    </row>
    <row r="563" spans="1:14" s="5" customFormat="1">
      <c r="A563" s="884"/>
      <c r="B563" s="141" t="str">
        <f t="shared" si="391"/>
        <v>Physical Education</v>
      </c>
      <c r="C563" s="261">
        <f>Stock_calculations!C60</f>
        <v>0.93100000000000005</v>
      </c>
    </row>
    <row r="564" spans="1:14" s="5" customFormat="1">
      <c r="A564" s="884"/>
      <c r="B564" s="141" t="str">
        <f t="shared" si="391"/>
        <v>Physics</v>
      </c>
      <c r="C564" s="261">
        <f>Stock_calculations!C61</f>
        <v>0.93100000000000005</v>
      </c>
    </row>
    <row r="565" spans="1:14" s="5" customFormat="1">
      <c r="A565" s="884"/>
      <c r="B565" s="141" t="str">
        <f t="shared" si="391"/>
        <v>Religious Education</v>
      </c>
      <c r="C565" s="261">
        <f>Stock_calculations!C62</f>
        <v>0.93100000000000005</v>
      </c>
    </row>
    <row r="566" spans="1:14">
      <c r="A566" s="883"/>
    </row>
    <row r="567" spans="1:14">
      <c r="A567" s="883"/>
      <c r="B567" s="76" t="s">
        <v>259</v>
      </c>
      <c r="E567" s="12"/>
    </row>
    <row r="568" spans="1:14">
      <c r="A568" s="883"/>
      <c r="B568" s="12"/>
    </row>
    <row r="569" spans="1:14">
      <c r="A569" s="883"/>
      <c r="B569" s="141" t="str">
        <f t="shared" ref="B569:N569" si="392">B486</f>
        <v>Subject</v>
      </c>
      <c r="C569" s="141" t="str">
        <f t="shared" si="392"/>
        <v>2016/17</v>
      </c>
      <c r="D569" s="141" t="str">
        <f t="shared" si="392"/>
        <v>2017/18</v>
      </c>
      <c r="E569" s="141" t="str">
        <f t="shared" si="392"/>
        <v>2018/19</v>
      </c>
      <c r="F569" s="141" t="str">
        <f t="shared" si="392"/>
        <v>2019/20</v>
      </c>
      <c r="G569" s="141" t="str">
        <f t="shared" si="392"/>
        <v>2020/21</v>
      </c>
      <c r="H569" s="141" t="str">
        <f t="shared" si="392"/>
        <v>2021/22</v>
      </c>
      <c r="I569" s="141" t="str">
        <f t="shared" si="392"/>
        <v>2022/23</v>
      </c>
      <c r="J569" s="141" t="str">
        <f t="shared" si="392"/>
        <v>2023/24</v>
      </c>
      <c r="K569" s="141" t="str">
        <f t="shared" si="392"/>
        <v>2024/25</v>
      </c>
      <c r="L569" s="141" t="str">
        <f t="shared" si="392"/>
        <v>2025/26</v>
      </c>
      <c r="M569" s="141" t="str">
        <f t="shared" si="392"/>
        <v>2026/27</v>
      </c>
      <c r="N569" s="141" t="str">
        <f t="shared" si="392"/>
        <v>2027/28</v>
      </c>
    </row>
    <row r="570" spans="1:14" s="5" customFormat="1">
      <c r="A570" s="884"/>
      <c r="B570" s="141" t="str">
        <f t="shared" ref="B570:B589" si="393">B487</f>
        <v>Art &amp; Design</v>
      </c>
      <c r="C570" s="462">
        <f t="shared" ref="C570:N570" si="394">C520/$C547</f>
        <v>8830.8102756133467</v>
      </c>
      <c r="D570" s="462">
        <f t="shared" si="394"/>
        <v>8864.1346879338234</v>
      </c>
      <c r="E570" s="462">
        <f t="shared" si="394"/>
        <v>8780.6226660802367</v>
      </c>
      <c r="F570" s="462">
        <f t="shared" si="394"/>
        <v>8713.4497848530536</v>
      </c>
      <c r="G570" s="462">
        <f t="shared" si="394"/>
        <v>8763.3451988391553</v>
      </c>
      <c r="H570" s="462">
        <f t="shared" si="394"/>
        <v>8828.8478738173235</v>
      </c>
      <c r="I570" s="462">
        <f t="shared" si="394"/>
        <v>8895.8180710081124</v>
      </c>
      <c r="J570" s="462">
        <f t="shared" si="394"/>
        <v>8972.4403949329226</v>
      </c>
      <c r="K570" s="462">
        <f t="shared" si="394"/>
        <v>9003.9893967068056</v>
      </c>
      <c r="L570" s="462">
        <f t="shared" si="394"/>
        <v>8995.3509907323369</v>
      </c>
      <c r="M570" s="462">
        <f t="shared" si="394"/>
        <v>8969.6099921368041</v>
      </c>
      <c r="N570" s="462">
        <f t="shared" si="394"/>
        <v>8968.9527803535002</v>
      </c>
    </row>
    <row r="571" spans="1:14" s="5" customFormat="1">
      <c r="A571" s="884"/>
      <c r="B571" s="141" t="str">
        <f t="shared" si="393"/>
        <v>Biology</v>
      </c>
      <c r="C571" s="462">
        <f t="shared" ref="C571:N571" si="395">C521/$C548</f>
        <v>13293.85749717251</v>
      </c>
      <c r="D571" s="462">
        <f t="shared" si="395"/>
        <v>13365.333858571157</v>
      </c>
      <c r="E571" s="462">
        <f t="shared" si="395"/>
        <v>13513.563101225071</v>
      </c>
      <c r="F571" s="462">
        <f t="shared" si="395"/>
        <v>13658.893473540284</v>
      </c>
      <c r="G571" s="462">
        <f t="shared" si="395"/>
        <v>13771.627876005676</v>
      </c>
      <c r="H571" s="462">
        <f t="shared" si="395"/>
        <v>13903.836983770794</v>
      </c>
      <c r="I571" s="462">
        <f t="shared" si="395"/>
        <v>14064.812796919681</v>
      </c>
      <c r="J571" s="462">
        <f t="shared" si="395"/>
        <v>14175.513074001805</v>
      </c>
      <c r="K571" s="462">
        <f t="shared" si="395"/>
        <v>14226.906896244582</v>
      </c>
      <c r="L571" s="462">
        <f t="shared" si="395"/>
        <v>14288.247413550314</v>
      </c>
      <c r="M571" s="462">
        <f t="shared" si="395"/>
        <v>14330.800243957799</v>
      </c>
      <c r="N571" s="462">
        <f t="shared" si="395"/>
        <v>14309.298573498772</v>
      </c>
    </row>
    <row r="572" spans="1:14" s="5" customFormat="1">
      <c r="A572" s="884"/>
      <c r="B572" s="141" t="str">
        <f t="shared" si="393"/>
        <v>Business Studies</v>
      </c>
      <c r="C572" s="462">
        <f t="shared" ref="C572:N572" si="396">C522/$C549</f>
        <v>4446.8716038605189</v>
      </c>
      <c r="D572" s="462">
        <f t="shared" si="396"/>
        <v>4384.5199896849217</v>
      </c>
      <c r="E572" s="462">
        <f t="shared" si="396"/>
        <v>4204.157328729073</v>
      </c>
      <c r="F572" s="462">
        <f t="shared" si="396"/>
        <v>4029.088518320727</v>
      </c>
      <c r="G572" s="462">
        <f t="shared" si="396"/>
        <v>4000.7284047621047</v>
      </c>
      <c r="H572" s="462">
        <f t="shared" si="396"/>
        <v>4035.2775221293159</v>
      </c>
      <c r="I572" s="462">
        <f t="shared" si="396"/>
        <v>4104.0098370900996</v>
      </c>
      <c r="J572" s="462">
        <f t="shared" si="396"/>
        <v>4150.9079421725955</v>
      </c>
      <c r="K572" s="462">
        <f t="shared" si="396"/>
        <v>4208.1847578139277</v>
      </c>
      <c r="L572" s="462">
        <f t="shared" si="396"/>
        <v>4275.2880362930946</v>
      </c>
      <c r="M572" s="462">
        <f t="shared" si="396"/>
        <v>4338.9438701771196</v>
      </c>
      <c r="N572" s="462">
        <f t="shared" si="396"/>
        <v>4366.2992698853159</v>
      </c>
    </row>
    <row r="573" spans="1:14" s="5" customFormat="1">
      <c r="A573" s="884"/>
      <c r="B573" s="141" t="str">
        <f t="shared" si="393"/>
        <v>Chemistry</v>
      </c>
      <c r="C573" s="462">
        <f t="shared" ref="C573:N573" si="397">C523/$C550</f>
        <v>11610.788435552204</v>
      </c>
      <c r="D573" s="462">
        <f t="shared" si="397"/>
        <v>11675.137447805721</v>
      </c>
      <c r="E573" s="462">
        <f t="shared" si="397"/>
        <v>11811.96057694929</v>
      </c>
      <c r="F573" s="462">
        <f t="shared" si="397"/>
        <v>11940.968940771443</v>
      </c>
      <c r="G573" s="462">
        <f t="shared" si="397"/>
        <v>12040.381170043736</v>
      </c>
      <c r="H573" s="462">
        <f t="shared" si="397"/>
        <v>12159.733427542878</v>
      </c>
      <c r="I573" s="462">
        <f t="shared" si="397"/>
        <v>12306.774489934303</v>
      </c>
      <c r="J573" s="462">
        <f t="shared" si="397"/>
        <v>12401.913416668716</v>
      </c>
      <c r="K573" s="462">
        <f t="shared" si="397"/>
        <v>12445.825270157926</v>
      </c>
      <c r="L573" s="462">
        <f t="shared" si="397"/>
        <v>12507.343558862649</v>
      </c>
      <c r="M573" s="462">
        <f t="shared" si="397"/>
        <v>12553.385331024923</v>
      </c>
      <c r="N573" s="462">
        <f t="shared" si="397"/>
        <v>12531.044718305946</v>
      </c>
    </row>
    <row r="574" spans="1:14" s="5" customFormat="1">
      <c r="A574" s="884"/>
      <c r="B574" s="141" t="str">
        <f t="shared" si="393"/>
        <v>Classics</v>
      </c>
      <c r="C574" s="462">
        <f t="shared" ref="C574:N574" si="398">C524/$C551</f>
        <v>344.37399096673317</v>
      </c>
      <c r="D574" s="462">
        <f t="shared" si="398"/>
        <v>342.65794842740326</v>
      </c>
      <c r="E574" s="462">
        <f t="shared" si="398"/>
        <v>342.12947181745699</v>
      </c>
      <c r="F574" s="462">
        <f t="shared" si="398"/>
        <v>342.83998346855651</v>
      </c>
      <c r="G574" s="462">
        <f t="shared" si="398"/>
        <v>344.34327984179174</v>
      </c>
      <c r="H574" s="462">
        <f t="shared" si="398"/>
        <v>346.87315394522517</v>
      </c>
      <c r="I574" s="462">
        <f t="shared" si="398"/>
        <v>350.55474219709225</v>
      </c>
      <c r="J574" s="462">
        <f t="shared" si="398"/>
        <v>354.10064968001529</v>
      </c>
      <c r="K574" s="462">
        <f t="shared" si="398"/>
        <v>356.98470036832219</v>
      </c>
      <c r="L574" s="462">
        <f t="shared" si="398"/>
        <v>358.82083503437008</v>
      </c>
      <c r="M574" s="462">
        <f t="shared" si="398"/>
        <v>360.09179758289736</v>
      </c>
      <c r="N574" s="462">
        <f t="shared" si="398"/>
        <v>361.2919852327895</v>
      </c>
    </row>
    <row r="575" spans="1:14" s="5" customFormat="1">
      <c r="A575" s="884"/>
      <c r="B575" s="141" t="str">
        <f t="shared" si="393"/>
        <v>Computing</v>
      </c>
      <c r="C575" s="462">
        <f t="shared" ref="C575:N575" si="399">C525/$C552</f>
        <v>7928.8801353978761</v>
      </c>
      <c r="D575" s="462">
        <f t="shared" si="399"/>
        <v>7954.6470900603508</v>
      </c>
      <c r="E575" s="462">
        <f t="shared" si="399"/>
        <v>7726.1720331086954</v>
      </c>
      <c r="F575" s="462">
        <f t="shared" si="399"/>
        <v>7499.8278664382415</v>
      </c>
      <c r="G575" s="462">
        <f t="shared" si="399"/>
        <v>7499.7776116566874</v>
      </c>
      <c r="H575" s="462">
        <f t="shared" si="399"/>
        <v>7559.8949902823178</v>
      </c>
      <c r="I575" s="462">
        <f t="shared" si="399"/>
        <v>7626.4061674586555</v>
      </c>
      <c r="J575" s="462">
        <f t="shared" si="399"/>
        <v>7691.3077616604833</v>
      </c>
      <c r="K575" s="462">
        <f t="shared" si="399"/>
        <v>7720.6924822290175</v>
      </c>
      <c r="L575" s="462">
        <f t="shared" si="399"/>
        <v>7726.6521947889569</v>
      </c>
      <c r="M575" s="462">
        <f t="shared" si="399"/>
        <v>7719.2512131009389</v>
      </c>
      <c r="N575" s="462">
        <f t="shared" si="399"/>
        <v>7717.3980490769627</v>
      </c>
    </row>
    <row r="576" spans="1:14" s="5" customFormat="1">
      <c r="A576" s="884"/>
      <c r="B576" s="141" t="str">
        <f t="shared" si="393"/>
        <v>Design &amp; Technology</v>
      </c>
      <c r="C576" s="462">
        <f t="shared" ref="C576:N576" si="400">C526/$C553</f>
        <v>11170.297855290877</v>
      </c>
      <c r="D576" s="462">
        <f t="shared" si="400"/>
        <v>11263.059313181213</v>
      </c>
      <c r="E576" s="462">
        <f t="shared" si="400"/>
        <v>10999.556503029942</v>
      </c>
      <c r="F576" s="462">
        <f t="shared" si="400"/>
        <v>10747.770094152391</v>
      </c>
      <c r="G576" s="462">
        <f t="shared" si="400"/>
        <v>10748.219597060664</v>
      </c>
      <c r="H576" s="462">
        <f t="shared" si="400"/>
        <v>10825.658476097515</v>
      </c>
      <c r="I576" s="462">
        <f t="shared" si="400"/>
        <v>10884.880262006227</v>
      </c>
      <c r="J576" s="462">
        <f t="shared" si="400"/>
        <v>10971.832739528731</v>
      </c>
      <c r="K576" s="462">
        <f t="shared" si="400"/>
        <v>10985.076572942849</v>
      </c>
      <c r="L576" s="462">
        <f t="shared" si="400"/>
        <v>10931.95395896365</v>
      </c>
      <c r="M576" s="462">
        <f t="shared" si="400"/>
        <v>10855.227884116955</v>
      </c>
      <c r="N576" s="462">
        <f t="shared" si="400"/>
        <v>10838.110895547672</v>
      </c>
    </row>
    <row r="577" spans="1:14" s="5" customFormat="1">
      <c r="A577" s="884"/>
      <c r="B577" s="141" t="str">
        <f t="shared" si="393"/>
        <v>Drama</v>
      </c>
      <c r="C577" s="462">
        <f t="shared" ref="C577:N577" si="401">C527/$C554</f>
        <v>5414.297083531279</v>
      </c>
      <c r="D577" s="462">
        <f t="shared" si="401"/>
        <v>5445.1997968806536</v>
      </c>
      <c r="E577" s="462">
        <f t="shared" si="401"/>
        <v>5436.8801653564115</v>
      </c>
      <c r="F577" s="462">
        <f t="shared" si="401"/>
        <v>5439.8736231308112</v>
      </c>
      <c r="G577" s="462">
        <f t="shared" si="401"/>
        <v>5438.9833559781828</v>
      </c>
      <c r="H577" s="462">
        <f t="shared" si="401"/>
        <v>5479.9729785788368</v>
      </c>
      <c r="I577" s="462">
        <f t="shared" si="401"/>
        <v>5518.7382849932465</v>
      </c>
      <c r="J577" s="462">
        <f t="shared" si="401"/>
        <v>5564.6042099679389</v>
      </c>
      <c r="K577" s="462">
        <f t="shared" si="401"/>
        <v>5579.2110756122593</v>
      </c>
      <c r="L577" s="462">
        <f t="shared" si="401"/>
        <v>5567.7691321738876</v>
      </c>
      <c r="M577" s="462">
        <f t="shared" si="401"/>
        <v>5545.4442307834379</v>
      </c>
      <c r="N577" s="462">
        <f t="shared" si="401"/>
        <v>5541.1772006969577</v>
      </c>
    </row>
    <row r="578" spans="1:14" s="5" customFormat="1">
      <c r="A578" s="884"/>
      <c r="B578" s="141" t="str">
        <f t="shared" si="393"/>
        <v>English</v>
      </c>
      <c r="C578" s="462">
        <f t="shared" ref="C578:N578" si="402">C528/$C555</f>
        <v>32459.858579455169</v>
      </c>
      <c r="D578" s="462">
        <f t="shared" si="402"/>
        <v>32770.970274336054</v>
      </c>
      <c r="E578" s="462">
        <f t="shared" si="402"/>
        <v>33210.871001828578</v>
      </c>
      <c r="F578" s="462">
        <f t="shared" si="402"/>
        <v>33640.40401309904</v>
      </c>
      <c r="G578" s="462">
        <f t="shared" si="402"/>
        <v>33957.291064266312</v>
      </c>
      <c r="H578" s="462">
        <f t="shared" si="402"/>
        <v>34274.351626727657</v>
      </c>
      <c r="I578" s="462">
        <f t="shared" si="402"/>
        <v>34600.513232767124</v>
      </c>
      <c r="J578" s="462">
        <f t="shared" si="402"/>
        <v>34851.755060330506</v>
      </c>
      <c r="K578" s="462">
        <f t="shared" si="402"/>
        <v>34899.833161413786</v>
      </c>
      <c r="L578" s="462">
        <f t="shared" si="402"/>
        <v>34919.738177658954</v>
      </c>
      <c r="M578" s="462">
        <f t="shared" si="402"/>
        <v>34885.207010552636</v>
      </c>
      <c r="N578" s="462">
        <f t="shared" si="402"/>
        <v>34781.766169616232</v>
      </c>
    </row>
    <row r="579" spans="1:14" s="5" customFormat="1">
      <c r="A579" s="884"/>
      <c r="B579" s="141" t="str">
        <f t="shared" si="393"/>
        <v>Food</v>
      </c>
      <c r="C579" s="462">
        <f t="shared" ref="C579:N579" si="403">C529/$C556</f>
        <v>2285.5126612838503</v>
      </c>
      <c r="D579" s="462">
        <f t="shared" si="403"/>
        <v>2299.4402882650625</v>
      </c>
      <c r="E579" s="462">
        <f t="shared" si="403"/>
        <v>2224.5849284814335</v>
      </c>
      <c r="F579" s="462">
        <f t="shared" si="403"/>
        <v>2141.8077630693419</v>
      </c>
      <c r="G579" s="462">
        <f t="shared" si="403"/>
        <v>2141.0708178113305</v>
      </c>
      <c r="H579" s="462">
        <f t="shared" si="403"/>
        <v>2163.1674280914144</v>
      </c>
      <c r="I579" s="462">
        <f t="shared" si="403"/>
        <v>2188.3191333708555</v>
      </c>
      <c r="J579" s="462">
        <f t="shared" si="403"/>
        <v>2203.727283181373</v>
      </c>
      <c r="K579" s="462">
        <f t="shared" si="403"/>
        <v>2207.7290111328703</v>
      </c>
      <c r="L579" s="462">
        <f t="shared" si="403"/>
        <v>2215.5390054263189</v>
      </c>
      <c r="M579" s="462">
        <f t="shared" si="403"/>
        <v>2220.5591788439474</v>
      </c>
      <c r="N579" s="462">
        <f t="shared" si="403"/>
        <v>2213.1742501948243</v>
      </c>
    </row>
    <row r="580" spans="1:14" s="5" customFormat="1">
      <c r="A580" s="884"/>
      <c r="B580" s="141" t="str">
        <f t="shared" si="393"/>
        <v>Geography</v>
      </c>
      <c r="C580" s="462">
        <f t="shared" ref="C580:N580" si="404">C530/$C557</f>
        <v>10936.755369720686</v>
      </c>
      <c r="D580" s="462">
        <f t="shared" si="404"/>
        <v>11013.527307414501</v>
      </c>
      <c r="E580" s="462">
        <f t="shared" si="404"/>
        <v>11428.864080202751</v>
      </c>
      <c r="F580" s="462">
        <f t="shared" si="404"/>
        <v>11869.338963669459</v>
      </c>
      <c r="G580" s="462">
        <f t="shared" si="404"/>
        <v>12027.931228983411</v>
      </c>
      <c r="H580" s="462">
        <f t="shared" si="404"/>
        <v>12128.669229662974</v>
      </c>
      <c r="I580" s="462">
        <f t="shared" si="404"/>
        <v>12224.987531411567</v>
      </c>
      <c r="J580" s="462">
        <f t="shared" si="404"/>
        <v>12319.108785774077</v>
      </c>
      <c r="K580" s="462">
        <f t="shared" si="404"/>
        <v>12339.508103968321</v>
      </c>
      <c r="L580" s="462">
        <f t="shared" si="404"/>
        <v>12322.631010418014</v>
      </c>
      <c r="M580" s="462">
        <f t="shared" si="404"/>
        <v>12283.570869440286</v>
      </c>
      <c r="N580" s="462">
        <f t="shared" si="404"/>
        <v>12257.985718366497</v>
      </c>
    </row>
    <row r="581" spans="1:14" s="5" customFormat="1">
      <c r="A581" s="884"/>
      <c r="B581" s="141" t="str">
        <f t="shared" si="393"/>
        <v>History</v>
      </c>
      <c r="C581" s="462">
        <f t="shared" ref="C581:N581" si="405">C531/$C558</f>
        <v>11751.404213269983</v>
      </c>
      <c r="D581" s="462">
        <f t="shared" si="405"/>
        <v>11818.608535152269</v>
      </c>
      <c r="E581" s="462">
        <f t="shared" si="405"/>
        <v>12178.396970125686</v>
      </c>
      <c r="F581" s="462">
        <f t="shared" si="405"/>
        <v>12564.584858388373</v>
      </c>
      <c r="G581" s="462">
        <f t="shared" si="405"/>
        <v>12693.033638095932</v>
      </c>
      <c r="H581" s="462">
        <f t="shared" si="405"/>
        <v>12798.853057058595</v>
      </c>
      <c r="I581" s="462">
        <f t="shared" si="405"/>
        <v>12905.641652228884</v>
      </c>
      <c r="J581" s="462">
        <f t="shared" si="405"/>
        <v>13007.919108037879</v>
      </c>
      <c r="K581" s="462">
        <f t="shared" si="405"/>
        <v>13038.242026712289</v>
      </c>
      <c r="L581" s="462">
        <f t="shared" si="405"/>
        <v>13031.440614122055</v>
      </c>
      <c r="M581" s="462">
        <f t="shared" si="405"/>
        <v>13001.732011844466</v>
      </c>
      <c r="N581" s="462">
        <f t="shared" si="405"/>
        <v>12981.478857648694</v>
      </c>
    </row>
    <row r="582" spans="1:14" s="5" customFormat="1">
      <c r="A582" s="884"/>
      <c r="B582" s="141" t="str">
        <f t="shared" si="393"/>
        <v>Mathematics</v>
      </c>
      <c r="C582" s="462">
        <f t="shared" ref="C582:N582" si="406">C532/$C559</f>
        <v>32935.277631183126</v>
      </c>
      <c r="D582" s="462">
        <f t="shared" si="406"/>
        <v>33503.899284084822</v>
      </c>
      <c r="E582" s="462">
        <f t="shared" si="406"/>
        <v>33963.974011034661</v>
      </c>
      <c r="F582" s="462">
        <f t="shared" si="406"/>
        <v>34474.450301425779</v>
      </c>
      <c r="G582" s="462">
        <f t="shared" si="406"/>
        <v>34919.722706533139</v>
      </c>
      <c r="H582" s="462">
        <f t="shared" si="406"/>
        <v>35234.881692370953</v>
      </c>
      <c r="I582" s="462">
        <f t="shared" si="406"/>
        <v>35566.707258544222</v>
      </c>
      <c r="J582" s="462">
        <f t="shared" si="406"/>
        <v>35831.41391585231</v>
      </c>
      <c r="K582" s="462">
        <f t="shared" si="406"/>
        <v>35900.507217254402</v>
      </c>
      <c r="L582" s="462">
        <f t="shared" si="406"/>
        <v>35930.181093049832</v>
      </c>
      <c r="M582" s="462">
        <f t="shared" si="406"/>
        <v>35903.867310407019</v>
      </c>
      <c r="N582" s="462">
        <f t="shared" si="406"/>
        <v>35818.821793315714</v>
      </c>
    </row>
    <row r="583" spans="1:14" s="5" customFormat="1">
      <c r="A583" s="884"/>
      <c r="B583" s="141" t="str">
        <f t="shared" si="393"/>
        <v>Modern Foreign Languages</v>
      </c>
      <c r="C583" s="462">
        <f t="shared" ref="C583:N583" si="407">C533/$C560</f>
        <v>15602.636226277949</v>
      </c>
      <c r="D583" s="462">
        <f t="shared" si="407"/>
        <v>15738.919296742502</v>
      </c>
      <c r="E583" s="462">
        <f t="shared" si="407"/>
        <v>17291.868491517573</v>
      </c>
      <c r="F583" s="462">
        <f t="shared" si="407"/>
        <v>18910.375189885166</v>
      </c>
      <c r="G583" s="462">
        <f t="shared" si="407"/>
        <v>19524.75596906423</v>
      </c>
      <c r="H583" s="462">
        <f t="shared" si="407"/>
        <v>19691.907937341526</v>
      </c>
      <c r="I583" s="462">
        <f t="shared" si="407"/>
        <v>19841.981692032896</v>
      </c>
      <c r="J583" s="462">
        <f t="shared" si="407"/>
        <v>19987.512520209122</v>
      </c>
      <c r="K583" s="462">
        <f t="shared" si="407"/>
        <v>20001.702367549846</v>
      </c>
      <c r="L583" s="462">
        <f t="shared" si="407"/>
        <v>19956.984376778069</v>
      </c>
      <c r="M583" s="462">
        <f t="shared" si="407"/>
        <v>19875.875442816548</v>
      </c>
      <c r="N583" s="462">
        <f t="shared" si="407"/>
        <v>19817.912301567871</v>
      </c>
    </row>
    <row r="584" spans="1:14" s="5" customFormat="1">
      <c r="A584" s="884"/>
      <c r="B584" s="141" t="str">
        <f t="shared" si="393"/>
        <v>Music</v>
      </c>
      <c r="C584" s="462">
        <f t="shared" ref="C584:N584" si="408">C534/$C561</f>
        <v>5479.1373622388192</v>
      </c>
      <c r="D584" s="462">
        <f t="shared" si="408"/>
        <v>5523.4202649803019</v>
      </c>
      <c r="E584" s="462">
        <f t="shared" si="408"/>
        <v>5576.384854896688</v>
      </c>
      <c r="F584" s="462">
        <f t="shared" si="408"/>
        <v>5646.8580670301953</v>
      </c>
      <c r="G584" s="462">
        <f t="shared" si="408"/>
        <v>5702.0696118785318</v>
      </c>
      <c r="H584" s="462">
        <f t="shared" si="408"/>
        <v>5741.0636099790736</v>
      </c>
      <c r="I584" s="462">
        <f t="shared" si="408"/>
        <v>5769.2704843727788</v>
      </c>
      <c r="J584" s="462">
        <f t="shared" si="408"/>
        <v>5816.4440512340479</v>
      </c>
      <c r="K584" s="462">
        <f t="shared" si="408"/>
        <v>5824.4520710071765</v>
      </c>
      <c r="L584" s="462">
        <f t="shared" si="408"/>
        <v>5792.4690402649067</v>
      </c>
      <c r="M584" s="462">
        <f t="shared" si="408"/>
        <v>5747.4672612991262</v>
      </c>
      <c r="N584" s="462">
        <f t="shared" si="408"/>
        <v>5740.6533542640509</v>
      </c>
    </row>
    <row r="585" spans="1:14" s="5" customFormat="1">
      <c r="A585" s="884"/>
      <c r="B585" s="141" t="str">
        <f t="shared" si="393"/>
        <v>Others</v>
      </c>
      <c r="C585" s="462">
        <f t="shared" ref="C585:N585" si="409">C535/$C562</f>
        <v>16473.158272720633</v>
      </c>
      <c r="D585" s="462">
        <f t="shared" si="409"/>
        <v>16296.582294069971</v>
      </c>
      <c r="E585" s="462">
        <f t="shared" si="409"/>
        <v>15695.465088940586</v>
      </c>
      <c r="F585" s="462">
        <f t="shared" si="409"/>
        <v>15148.495648679016</v>
      </c>
      <c r="G585" s="462">
        <f t="shared" si="409"/>
        <v>14986.736107594115</v>
      </c>
      <c r="H585" s="462">
        <f t="shared" si="409"/>
        <v>15091.308338447372</v>
      </c>
      <c r="I585" s="462">
        <f t="shared" si="409"/>
        <v>15285.134233975501</v>
      </c>
      <c r="J585" s="462">
        <f t="shared" si="409"/>
        <v>15461.559782970999</v>
      </c>
      <c r="K585" s="462">
        <f t="shared" si="409"/>
        <v>15650.849371465487</v>
      </c>
      <c r="L585" s="462">
        <f t="shared" si="409"/>
        <v>15805.658061413587</v>
      </c>
      <c r="M585" s="462">
        <f t="shared" si="409"/>
        <v>15938.971327520658</v>
      </c>
      <c r="N585" s="462">
        <f t="shared" si="409"/>
        <v>16041.601140796662</v>
      </c>
    </row>
    <row r="586" spans="1:14" s="5" customFormat="1">
      <c r="A586" s="884"/>
      <c r="B586" s="141" t="str">
        <f t="shared" si="393"/>
        <v>Physical Education</v>
      </c>
      <c r="C586" s="462">
        <f t="shared" ref="C586:N586" si="410">C536/$C563</f>
        <v>17615.033266172315</v>
      </c>
      <c r="D586" s="462">
        <f t="shared" si="410"/>
        <v>17740.058110097529</v>
      </c>
      <c r="E586" s="462">
        <f t="shared" si="410"/>
        <v>17647.505664215259</v>
      </c>
      <c r="F586" s="462">
        <f t="shared" si="410"/>
        <v>17550.664172715518</v>
      </c>
      <c r="G586" s="462">
        <f t="shared" si="410"/>
        <v>17642.793270434693</v>
      </c>
      <c r="H586" s="462">
        <f t="shared" si="410"/>
        <v>17797.517596120371</v>
      </c>
      <c r="I586" s="462">
        <f t="shared" si="410"/>
        <v>17950.431570230776</v>
      </c>
      <c r="J586" s="462">
        <f t="shared" si="410"/>
        <v>18085.437782413548</v>
      </c>
      <c r="K586" s="462">
        <f t="shared" si="410"/>
        <v>18113.439259699084</v>
      </c>
      <c r="L586" s="462">
        <f t="shared" si="410"/>
        <v>18103.229213118244</v>
      </c>
      <c r="M586" s="462">
        <f t="shared" si="410"/>
        <v>18062.234099219022</v>
      </c>
      <c r="N586" s="462">
        <f t="shared" si="410"/>
        <v>18018.131544325148</v>
      </c>
    </row>
    <row r="587" spans="1:14" s="5" customFormat="1">
      <c r="A587" s="884"/>
      <c r="B587" s="141" t="str">
        <f t="shared" si="393"/>
        <v>Physics</v>
      </c>
      <c r="C587" s="462">
        <f t="shared" ref="C587:N587" si="411">C537/$C564</f>
        <v>11126.102497334417</v>
      </c>
      <c r="D587" s="462">
        <f t="shared" si="411"/>
        <v>11198.703525732913</v>
      </c>
      <c r="E587" s="462">
        <f t="shared" si="411"/>
        <v>11345.493781132664</v>
      </c>
      <c r="F587" s="462">
        <f t="shared" si="411"/>
        <v>11479.528926638041</v>
      </c>
      <c r="G587" s="462">
        <f t="shared" si="411"/>
        <v>11579.870484933954</v>
      </c>
      <c r="H587" s="462">
        <f t="shared" si="411"/>
        <v>11697.731068086498</v>
      </c>
      <c r="I587" s="462">
        <f t="shared" si="411"/>
        <v>11840.568980113976</v>
      </c>
      <c r="J587" s="462">
        <f t="shared" si="411"/>
        <v>11929.015254287848</v>
      </c>
      <c r="K587" s="462">
        <f t="shared" si="411"/>
        <v>11965.001661807128</v>
      </c>
      <c r="L587" s="462">
        <f t="shared" si="411"/>
        <v>12023.091262027372</v>
      </c>
      <c r="M587" s="462">
        <f t="shared" si="411"/>
        <v>12066.680539736017</v>
      </c>
      <c r="N587" s="462">
        <f t="shared" si="411"/>
        <v>12038.374558799162</v>
      </c>
    </row>
    <row r="588" spans="1:14" s="5" customFormat="1">
      <c r="A588" s="884"/>
      <c r="B588" s="141" t="str">
        <f t="shared" si="393"/>
        <v>Religious Education</v>
      </c>
      <c r="C588" s="462">
        <f t="shared" ref="C588:N588" si="412">C538/$C565</f>
        <v>7734.5359951097216</v>
      </c>
      <c r="D588" s="462">
        <f t="shared" si="412"/>
        <v>7782.2610784043973</v>
      </c>
      <c r="E588" s="462">
        <f t="shared" si="412"/>
        <v>7863.4072587600313</v>
      </c>
      <c r="F588" s="462">
        <f t="shared" si="412"/>
        <v>7950.1351647841484</v>
      </c>
      <c r="G588" s="462">
        <f t="shared" si="412"/>
        <v>8025.4811451097685</v>
      </c>
      <c r="H588" s="462">
        <f t="shared" si="412"/>
        <v>8094.8728281729655</v>
      </c>
      <c r="I588" s="462">
        <f t="shared" si="412"/>
        <v>8165.2374556965433</v>
      </c>
      <c r="J588" s="462">
        <f t="shared" si="412"/>
        <v>8228.2145440247659</v>
      </c>
      <c r="K588" s="462">
        <f t="shared" si="412"/>
        <v>8244.8011136010864</v>
      </c>
      <c r="L588" s="462">
        <f t="shared" si="412"/>
        <v>8243.0540456497274</v>
      </c>
      <c r="M588" s="462">
        <f t="shared" si="412"/>
        <v>8227.3120587881385</v>
      </c>
      <c r="N588" s="462">
        <f t="shared" si="412"/>
        <v>8210.780698922792</v>
      </c>
    </row>
    <row r="589" spans="1:14" s="5" customFormat="1">
      <c r="A589" s="884"/>
      <c r="B589" s="141" t="str">
        <f t="shared" si="393"/>
        <v>Total</v>
      </c>
      <c r="C589" s="462">
        <f t="shared" ref="C589:N589" si="413">SUM(C570:C588)</f>
        <v>227439.588952152</v>
      </c>
      <c r="D589" s="462">
        <f t="shared" si="413"/>
        <v>228981.08039182556</v>
      </c>
      <c r="E589" s="462">
        <f t="shared" si="413"/>
        <v>231241.85797743208</v>
      </c>
      <c r="F589" s="462">
        <f t="shared" si="413"/>
        <v>233749.35535405957</v>
      </c>
      <c r="G589" s="462">
        <f t="shared" si="413"/>
        <v>235808.1625388934</v>
      </c>
      <c r="H589" s="462">
        <f t="shared" si="413"/>
        <v>237854.41981822357</v>
      </c>
      <c r="I589" s="462">
        <f t="shared" si="413"/>
        <v>240090.78787635249</v>
      </c>
      <c r="J589" s="462">
        <f t="shared" si="413"/>
        <v>242004.72827692967</v>
      </c>
      <c r="K589" s="462">
        <f t="shared" si="413"/>
        <v>242712.93651768717</v>
      </c>
      <c r="L589" s="462">
        <f t="shared" si="413"/>
        <v>242995.44202032633</v>
      </c>
      <c r="M589" s="462">
        <f t="shared" si="413"/>
        <v>242886.23167334875</v>
      </c>
      <c r="N589" s="462">
        <f t="shared" si="413"/>
        <v>242554.25386041557</v>
      </c>
    </row>
    <row r="590" spans="1:14">
      <c r="A590" s="10">
        <f>SUM(C590:N590)</f>
        <v>0</v>
      </c>
      <c r="C590" s="10">
        <f t="shared" ref="C590:N590" si="414">SUM(C570:C588)-C589</f>
        <v>0</v>
      </c>
      <c r="D590" s="10">
        <f t="shared" si="414"/>
        <v>0</v>
      </c>
      <c r="E590" s="10">
        <f t="shared" si="414"/>
        <v>0</v>
      </c>
      <c r="F590" s="10">
        <f t="shared" si="414"/>
        <v>0</v>
      </c>
      <c r="G590" s="10">
        <f t="shared" si="414"/>
        <v>0</v>
      </c>
      <c r="H590" s="10">
        <f t="shared" si="414"/>
        <v>0</v>
      </c>
      <c r="I590" s="10">
        <f t="shared" si="414"/>
        <v>0</v>
      </c>
      <c r="J590" s="10">
        <f t="shared" si="414"/>
        <v>0</v>
      </c>
      <c r="K590" s="10">
        <f t="shared" si="414"/>
        <v>0</v>
      </c>
      <c r="L590" s="10">
        <f t="shared" si="414"/>
        <v>0</v>
      </c>
      <c r="M590" s="10">
        <f t="shared" si="414"/>
        <v>0</v>
      </c>
      <c r="N590" s="10">
        <f t="shared" si="414"/>
        <v>0</v>
      </c>
    </row>
    <row r="591" spans="1:14">
      <c r="A591" s="883"/>
      <c r="C591" s="10"/>
      <c r="D591" s="10"/>
      <c r="E591" s="10"/>
      <c r="F591" s="10"/>
      <c r="G591" s="10"/>
      <c r="H591" s="10"/>
      <c r="I591" s="10"/>
      <c r="J591" s="10"/>
      <c r="K591" s="10"/>
      <c r="L591" s="10"/>
      <c r="M591" s="10"/>
      <c r="N591" s="10"/>
    </row>
    <row r="592" spans="1:14" ht="15.75">
      <c r="A592" s="883"/>
      <c r="B592" s="144" t="s">
        <v>1162</v>
      </c>
    </row>
    <row r="593" spans="1:3">
      <c r="A593" s="883"/>
    </row>
    <row r="594" spans="1:3">
      <c r="A594" s="883"/>
      <c r="B594" s="76" t="s">
        <v>463</v>
      </c>
    </row>
    <row r="595" spans="1:3">
      <c r="A595" s="883"/>
    </row>
    <row r="596" spans="1:3" ht="25.5">
      <c r="A596" s="883"/>
      <c r="B596" s="141" t="str">
        <f t="shared" ref="B596:B615" si="415">B546</f>
        <v>Subject</v>
      </c>
      <c r="C596" s="152" t="str">
        <f>Stock_calculations!D43</f>
        <v>Unqualified teacher rate</v>
      </c>
    </row>
    <row r="597" spans="1:3" s="5" customFormat="1">
      <c r="A597" s="884"/>
      <c r="B597" s="141" t="str">
        <f t="shared" si="415"/>
        <v>Art &amp; Design</v>
      </c>
      <c r="C597" s="526">
        <f>Data_selected_by_user_testing!D231</f>
        <v>5.8909913433939996E-2</v>
      </c>
    </row>
    <row r="598" spans="1:3" s="5" customFormat="1">
      <c r="A598" s="884"/>
      <c r="B598" s="141" t="str">
        <f t="shared" si="415"/>
        <v>Biology</v>
      </c>
      <c r="C598" s="526">
        <f>Data_selected_by_user_testing!D232</f>
        <v>3.8128141845088857E-2</v>
      </c>
    </row>
    <row r="599" spans="1:3" s="5" customFormat="1">
      <c r="A599" s="884"/>
      <c r="B599" s="141" t="str">
        <f t="shared" si="415"/>
        <v>Business Studies</v>
      </c>
      <c r="C599" s="526">
        <f>Data_selected_by_user_testing!D233</f>
        <v>7.512836487244999E-2</v>
      </c>
    </row>
    <row r="600" spans="1:3" s="5" customFormat="1">
      <c r="A600" s="884"/>
      <c r="B600" s="141" t="str">
        <f t="shared" si="415"/>
        <v>Chemistry</v>
      </c>
      <c r="C600" s="526">
        <f>Data_selected_by_user_testing!D234</f>
        <v>4.670479162553192E-2</v>
      </c>
    </row>
    <row r="601" spans="1:3" s="5" customFormat="1">
      <c r="A601" s="884"/>
      <c r="B601" s="141" t="str">
        <f t="shared" si="415"/>
        <v>Classics</v>
      </c>
      <c r="C601" s="526">
        <f>Data_selected_by_user_testing!D235</f>
        <v>7.5860392627861428E-2</v>
      </c>
    </row>
    <row r="602" spans="1:3" s="5" customFormat="1">
      <c r="A602" s="884"/>
      <c r="B602" s="141" t="str">
        <f t="shared" si="415"/>
        <v>Computing</v>
      </c>
      <c r="C602" s="526">
        <f>Data_selected_by_user_testing!D236</f>
        <v>5.2800072970592159E-2</v>
      </c>
    </row>
    <row r="603" spans="1:3" s="5" customFormat="1">
      <c r="A603" s="884"/>
      <c r="B603" s="141" t="str">
        <f t="shared" si="415"/>
        <v>Design &amp; Technology</v>
      </c>
      <c r="C603" s="526">
        <f>Data_selected_by_user_testing!D237</f>
        <v>6.5282326752447217E-2</v>
      </c>
    </row>
    <row r="604" spans="1:3" s="5" customFormat="1">
      <c r="A604" s="884"/>
      <c r="B604" s="141" t="str">
        <f t="shared" si="415"/>
        <v>Drama</v>
      </c>
      <c r="C604" s="526">
        <f>Data_selected_by_user_testing!D238</f>
        <v>7.7019833615948927E-2</v>
      </c>
    </row>
    <row r="605" spans="1:3" s="5" customFormat="1">
      <c r="A605" s="884"/>
      <c r="B605" s="141" t="str">
        <f t="shared" si="415"/>
        <v>English</v>
      </c>
      <c r="C605" s="526">
        <f>Data_selected_by_user_testing!D239</f>
        <v>7.4381977472818855E-2</v>
      </c>
    </row>
    <row r="606" spans="1:3" s="5" customFormat="1">
      <c r="A606" s="884"/>
      <c r="B606" s="141" t="str">
        <f t="shared" si="415"/>
        <v>Food</v>
      </c>
      <c r="C606" s="526">
        <f>Data_selected_by_user_testing!D240</f>
        <v>9.1713975643362672E-2</v>
      </c>
    </row>
    <row r="607" spans="1:3" s="5" customFormat="1">
      <c r="A607" s="884"/>
      <c r="B607" s="141" t="str">
        <f t="shared" si="415"/>
        <v>Geography</v>
      </c>
      <c r="C607" s="526">
        <f>Data_selected_by_user_testing!D241</f>
        <v>3.8255695521574838E-2</v>
      </c>
    </row>
    <row r="608" spans="1:3" s="5" customFormat="1">
      <c r="A608" s="884"/>
      <c r="B608" s="141" t="str">
        <f t="shared" si="415"/>
        <v>History</v>
      </c>
      <c r="C608" s="526">
        <f>Data_selected_by_user_testing!D242</f>
        <v>4.7545449046448432E-2</v>
      </c>
    </row>
    <row r="609" spans="1:14" s="5" customFormat="1">
      <c r="A609" s="884"/>
      <c r="B609" s="141" t="str">
        <f t="shared" si="415"/>
        <v>Mathematics</v>
      </c>
      <c r="C609" s="526">
        <f>Data_selected_by_user_testing!D243</f>
        <v>5.4870266894444894E-2</v>
      </c>
    </row>
    <row r="610" spans="1:14" s="5" customFormat="1">
      <c r="A610" s="884"/>
      <c r="B610" s="141" t="str">
        <f t="shared" si="415"/>
        <v>Modern Foreign Languages</v>
      </c>
      <c r="C610" s="526">
        <f>Data_selected_by_user_testing!D244</f>
        <v>4.2484610330523712E-2</v>
      </c>
    </row>
    <row r="611" spans="1:14" s="5" customFormat="1">
      <c r="A611" s="884"/>
      <c r="B611" s="141" t="str">
        <f t="shared" si="415"/>
        <v>Music</v>
      </c>
      <c r="C611" s="526">
        <f>Data_selected_by_user_testing!D245</f>
        <v>5.4208287794685298E-2</v>
      </c>
    </row>
    <row r="612" spans="1:14" s="5" customFormat="1">
      <c r="A612" s="884"/>
      <c r="B612" s="141" t="str">
        <f t="shared" si="415"/>
        <v>Others</v>
      </c>
      <c r="C612" s="526">
        <f>Data_selected_by_user_testing!D246</f>
        <v>0.13067552640350238</v>
      </c>
    </row>
    <row r="613" spans="1:14" s="5" customFormat="1">
      <c r="A613" s="884"/>
      <c r="B613" s="141" t="str">
        <f t="shared" si="415"/>
        <v>Physical Education</v>
      </c>
      <c r="C613" s="526">
        <f>Data_selected_by_user_testing!D247</f>
        <v>3.9179398730569838E-2</v>
      </c>
    </row>
    <row r="614" spans="1:14" s="5" customFormat="1">
      <c r="A614" s="884"/>
      <c r="B614" s="141" t="str">
        <f t="shared" si="415"/>
        <v>Physics</v>
      </c>
      <c r="C614" s="526">
        <f>Data_selected_by_user_testing!D248</f>
        <v>3.6027952926980522E-2</v>
      </c>
    </row>
    <row r="615" spans="1:14" s="5" customFormat="1">
      <c r="A615" s="884"/>
      <c r="B615" s="141" t="str">
        <f t="shared" si="415"/>
        <v>Religious Education</v>
      </c>
      <c r="C615" s="526">
        <f>Data_selected_by_user_testing!D249</f>
        <v>4.6192057701311899E-2</v>
      </c>
    </row>
    <row r="616" spans="1:14">
      <c r="A616" s="883"/>
    </row>
    <row r="617" spans="1:14">
      <c r="A617" s="883"/>
      <c r="B617" s="76" t="s">
        <v>260</v>
      </c>
      <c r="E617" s="12"/>
    </row>
    <row r="618" spans="1:14">
      <c r="A618" s="883"/>
      <c r="B618" s="12"/>
    </row>
    <row r="619" spans="1:14">
      <c r="A619" s="883"/>
      <c r="B619" s="141" t="str">
        <f t="shared" ref="B619:B638" si="416">B596</f>
        <v>Subject</v>
      </c>
      <c r="C619" s="141" t="str">
        <f t="shared" ref="C619:N619" si="417">C569</f>
        <v>2016/17</v>
      </c>
      <c r="D619" s="141" t="str">
        <f t="shared" si="417"/>
        <v>2017/18</v>
      </c>
      <c r="E619" s="141" t="str">
        <f t="shared" si="417"/>
        <v>2018/19</v>
      </c>
      <c r="F619" s="141" t="str">
        <f t="shared" si="417"/>
        <v>2019/20</v>
      </c>
      <c r="G619" s="141" t="str">
        <f t="shared" si="417"/>
        <v>2020/21</v>
      </c>
      <c r="H619" s="141" t="str">
        <f t="shared" si="417"/>
        <v>2021/22</v>
      </c>
      <c r="I619" s="141" t="str">
        <f t="shared" si="417"/>
        <v>2022/23</v>
      </c>
      <c r="J619" s="141" t="str">
        <f t="shared" si="417"/>
        <v>2023/24</v>
      </c>
      <c r="K619" s="141" t="str">
        <f t="shared" si="417"/>
        <v>2024/25</v>
      </c>
      <c r="L619" s="141" t="str">
        <f t="shared" si="417"/>
        <v>2025/26</v>
      </c>
      <c r="M619" s="141" t="str">
        <f t="shared" si="417"/>
        <v>2026/27</v>
      </c>
      <c r="N619" s="141" t="str">
        <f t="shared" si="417"/>
        <v>2027/28</v>
      </c>
    </row>
    <row r="620" spans="1:14" s="5" customFormat="1">
      <c r="A620" s="884"/>
      <c r="B620" s="141" t="str">
        <f t="shared" si="416"/>
        <v>Art &amp; Design</v>
      </c>
      <c r="C620" s="282">
        <f t="shared" ref="C620:N620" si="418">C570-($C597*C570)</f>
        <v>8310.5880067254166</v>
      </c>
      <c r="D620" s="282">
        <f t="shared" si="418"/>
        <v>8341.9492808008581</v>
      </c>
      <c r="E620" s="282">
        <f t="shared" si="418"/>
        <v>8263.3569449253591</v>
      </c>
      <c r="F620" s="282">
        <f t="shared" si="418"/>
        <v>8200.1412123163773</v>
      </c>
      <c r="G620" s="282">
        <f t="shared" si="418"/>
        <v>8247.0972917838062</v>
      </c>
      <c r="H620" s="282">
        <f t="shared" si="418"/>
        <v>8308.7412098493205</v>
      </c>
      <c r="I620" s="282">
        <f t="shared" si="418"/>
        <v>8371.7661985209452</v>
      </c>
      <c r="J620" s="282">
        <f t="shared" si="418"/>
        <v>8443.8747079762379</v>
      </c>
      <c r="K620" s="282">
        <f t="shared" si="418"/>
        <v>8473.5651607866948</v>
      </c>
      <c r="L620" s="282">
        <f t="shared" si="418"/>
        <v>8465.4356425603892</v>
      </c>
      <c r="M620" s="282">
        <f t="shared" si="418"/>
        <v>8441.2110439638218</v>
      </c>
      <c r="N620" s="282">
        <f t="shared" si="418"/>
        <v>8440.59254846978</v>
      </c>
    </row>
    <row r="621" spans="1:14" s="5" customFormat="1">
      <c r="A621" s="884"/>
      <c r="B621" s="141" t="str">
        <f t="shared" si="416"/>
        <v>Biology</v>
      </c>
      <c r="C621" s="282">
        <f t="shared" ref="C621:N621" si="419">C571-($C598*C571)</f>
        <v>12786.987412851919</v>
      </c>
      <c r="D621" s="282">
        <f t="shared" si="419"/>
        <v>12855.738513404587</v>
      </c>
      <c r="E621" s="282">
        <f t="shared" si="419"/>
        <v>12998.316050469002</v>
      </c>
      <c r="F621" s="282">
        <f t="shared" si="419"/>
        <v>13138.105245734181</v>
      </c>
      <c r="G621" s="282">
        <f t="shared" si="419"/>
        <v>13246.541294911551</v>
      </c>
      <c r="H621" s="282">
        <f t="shared" si="419"/>
        <v>13373.709515062588</v>
      </c>
      <c r="I621" s="282">
        <f t="shared" si="419"/>
        <v>13528.547619574107</v>
      </c>
      <c r="J621" s="282">
        <f t="shared" si="419"/>
        <v>13635.027100789352</v>
      </c>
      <c r="K621" s="282">
        <f t="shared" si="419"/>
        <v>13684.461372087695</v>
      </c>
      <c r="L621" s="282">
        <f t="shared" si="419"/>
        <v>13743.463089448744</v>
      </c>
      <c r="M621" s="282">
        <f t="shared" si="419"/>
        <v>13784.393459502542</v>
      </c>
      <c r="N621" s="282">
        <f t="shared" si="419"/>
        <v>13763.711607784684</v>
      </c>
    </row>
    <row r="622" spans="1:14" s="5" customFormat="1">
      <c r="A622" s="884"/>
      <c r="B622" s="141" t="str">
        <f t="shared" si="416"/>
        <v>Business Studies</v>
      </c>
      <c r="C622" s="282">
        <f t="shared" ref="C622:N622" si="420">C572-($C599*C572)</f>
        <v>4112.7854114647489</v>
      </c>
      <c r="D622" s="282">
        <f t="shared" si="420"/>
        <v>4055.1181721093221</v>
      </c>
      <c r="E622" s="282">
        <f t="shared" si="420"/>
        <v>3888.3058629551306</v>
      </c>
      <c r="F622" s="282">
        <f t="shared" si="420"/>
        <v>3726.3896860129285</v>
      </c>
      <c r="G622" s="282">
        <f t="shared" si="420"/>
        <v>3700.1602214135623</v>
      </c>
      <c r="H622" s="282">
        <f t="shared" si="420"/>
        <v>3732.113720085189</v>
      </c>
      <c r="I622" s="282">
        <f t="shared" si="420"/>
        <v>3795.6822886090704</v>
      </c>
      <c r="J622" s="282">
        <f t="shared" si="420"/>
        <v>3839.0570157411021</v>
      </c>
      <c r="K622" s="282">
        <f t="shared" si="420"/>
        <v>3892.0307178782004</v>
      </c>
      <c r="L622" s="282">
        <f t="shared" si="420"/>
        <v>3954.0926367676466</v>
      </c>
      <c r="M622" s="282">
        <f t="shared" si="420"/>
        <v>4012.9661119373727</v>
      </c>
      <c r="N622" s="282">
        <f t="shared" si="420"/>
        <v>4038.2663451950598</v>
      </c>
    </row>
    <row r="623" spans="1:14" s="5" customFormat="1">
      <c r="A623" s="884"/>
      <c r="B623" s="141" t="str">
        <f t="shared" si="416"/>
        <v>Chemistry</v>
      </c>
      <c r="C623" s="282">
        <f t="shared" ref="C623:N623" si="421">C573-($C600*C573)</f>
        <v>11068.508981061603</v>
      </c>
      <c r="D623" s="282">
        <f t="shared" si="421"/>
        <v>11129.85258610651</v>
      </c>
      <c r="E623" s="282">
        <f t="shared" si="421"/>
        <v>11260.285419513875</v>
      </c>
      <c r="F623" s="282">
        <f t="shared" si="421"/>
        <v>11383.268474585764</v>
      </c>
      <c r="G623" s="282">
        <f t="shared" si="421"/>
        <v>11478.037676404865</v>
      </c>
      <c r="H623" s="282">
        <f t="shared" si="421"/>
        <v>11591.815611587474</v>
      </c>
      <c r="I623" s="282">
        <f t="shared" si="421"/>
        <v>11731.989151799509</v>
      </c>
      <c r="J623" s="282">
        <f t="shared" si="421"/>
        <v>11822.684634785315</v>
      </c>
      <c r="K623" s="282">
        <f t="shared" si="421"/>
        <v>11864.545594307421</v>
      </c>
      <c r="L623" s="282">
        <f t="shared" si="421"/>
        <v>11923.190684157031</v>
      </c>
      <c r="M623" s="282">
        <f t="shared" si="421"/>
        <v>11967.082084944395</v>
      </c>
      <c r="N623" s="282">
        <f t="shared" si="421"/>
        <v>11945.784885887244</v>
      </c>
    </row>
    <row r="624" spans="1:14" s="5" customFormat="1">
      <c r="A624" s="884"/>
      <c r="B624" s="141" t="str">
        <f t="shared" si="416"/>
        <v>Classics</v>
      </c>
      <c r="C624" s="282">
        <f t="shared" ref="C624:N624" si="422">C574-($C601*C574)</f>
        <v>318.24964480117319</v>
      </c>
      <c r="D624" s="282">
        <f t="shared" si="422"/>
        <v>316.66378192264295</v>
      </c>
      <c r="E624" s="282">
        <f t="shared" si="422"/>
        <v>316.17539575582185</v>
      </c>
      <c r="F624" s="282">
        <f t="shared" si="422"/>
        <v>316.8320077141023</v>
      </c>
      <c r="G624" s="282">
        <f t="shared" si="422"/>
        <v>318.22126343422786</v>
      </c>
      <c r="H624" s="282">
        <f t="shared" si="422"/>
        <v>320.55922029487579</v>
      </c>
      <c r="I624" s="282">
        <f t="shared" si="422"/>
        <v>323.9615218164621</v>
      </c>
      <c r="J624" s="282">
        <f t="shared" si="422"/>
        <v>327.23843536550851</v>
      </c>
      <c r="K624" s="282">
        <f t="shared" si="422"/>
        <v>329.9037008362418</v>
      </c>
      <c r="L624" s="282">
        <f t="shared" si="422"/>
        <v>331.60054560560565</v>
      </c>
      <c r="M624" s="282">
        <f t="shared" si="422"/>
        <v>332.77509243618636</v>
      </c>
      <c r="N624" s="282">
        <f t="shared" si="422"/>
        <v>333.88423337973057</v>
      </c>
    </row>
    <row r="625" spans="1:14" s="5" customFormat="1">
      <c r="A625" s="884"/>
      <c r="B625" s="141" t="str">
        <f t="shared" si="416"/>
        <v>Computing</v>
      </c>
      <c r="C625" s="282">
        <f t="shared" ref="C625:N625" si="423">C575-($C602*C575)</f>
        <v>7510.2346856737895</v>
      </c>
      <c r="D625" s="282">
        <f t="shared" si="423"/>
        <v>7534.6411432498553</v>
      </c>
      <c r="E625" s="282">
        <f t="shared" si="423"/>
        <v>7318.2295859772075</v>
      </c>
      <c r="F625" s="282">
        <f t="shared" si="423"/>
        <v>7103.8364078234217</v>
      </c>
      <c r="G625" s="282">
        <f t="shared" si="423"/>
        <v>7103.7888064980007</v>
      </c>
      <c r="H625" s="282">
        <f t="shared" si="423"/>
        <v>7160.731983145397</v>
      </c>
      <c r="I625" s="282">
        <f t="shared" si="423"/>
        <v>7223.7313653134643</v>
      </c>
      <c r="J625" s="282">
        <f t="shared" si="423"/>
        <v>7285.2061506055279</v>
      </c>
      <c r="K625" s="282">
        <f t="shared" si="423"/>
        <v>7313.0393557838233</v>
      </c>
      <c r="L625" s="282">
        <f t="shared" si="423"/>
        <v>7318.6843950857137</v>
      </c>
      <c r="M625" s="282">
        <f t="shared" si="423"/>
        <v>7311.6741857708776</v>
      </c>
      <c r="N625" s="282">
        <f t="shared" si="423"/>
        <v>7309.9188689425937</v>
      </c>
    </row>
    <row r="626" spans="1:14" s="5" customFormat="1">
      <c r="A626" s="884"/>
      <c r="B626" s="141" t="str">
        <f t="shared" si="416"/>
        <v>Design &amp; Technology</v>
      </c>
      <c r="C626" s="282">
        <f t="shared" ref="C626:N626" si="424">C576-($C603*C576)</f>
        <v>10441.074820779617</v>
      </c>
      <c r="D626" s="282">
        <f t="shared" si="424"/>
        <v>10527.780594865922</v>
      </c>
      <c r="E626" s="282">
        <f t="shared" si="424"/>
        <v>10281.479861267137</v>
      </c>
      <c r="F626" s="282">
        <f t="shared" si="424"/>
        <v>10046.130655005754</v>
      </c>
      <c r="G626" s="282">
        <f t="shared" si="424"/>
        <v>10046.550813318294</v>
      </c>
      <c r="H626" s="282">
        <f t="shared" si="424"/>
        <v>10118.934302150517</v>
      </c>
      <c r="I626" s="282">
        <f t="shared" si="424"/>
        <v>10174.289952080673</v>
      </c>
      <c r="J626" s="282">
        <f t="shared" si="424"/>
        <v>10255.565969553618</v>
      </c>
      <c r="K626" s="282">
        <f t="shared" si="424"/>
        <v>10267.945214707341</v>
      </c>
      <c r="L626" s="282">
        <f t="shared" si="424"/>
        <v>10218.290568571876</v>
      </c>
      <c r="M626" s="282">
        <f t="shared" si="424"/>
        <v>10146.573350413757</v>
      </c>
      <c r="N626" s="282">
        <f t="shared" si="424"/>
        <v>10130.573798685271</v>
      </c>
    </row>
    <row r="627" spans="1:14" s="5" customFormat="1">
      <c r="A627" s="884"/>
      <c r="B627" s="141" t="str">
        <f t="shared" si="416"/>
        <v>Drama</v>
      </c>
      <c r="C627" s="282">
        <f t="shared" ref="C627:N627" si="425">C577-($C604*C577)</f>
        <v>4997.2888230103827</v>
      </c>
      <c r="D627" s="282">
        <f t="shared" si="425"/>
        <v>5025.8114145193067</v>
      </c>
      <c r="E627" s="282">
        <f t="shared" si="425"/>
        <v>5018.1325596308079</v>
      </c>
      <c r="F627" s="282">
        <f t="shared" si="425"/>
        <v>5020.895461785487</v>
      </c>
      <c r="G627" s="282">
        <f t="shared" si="425"/>
        <v>5020.0737628608276</v>
      </c>
      <c r="H627" s="282">
        <f t="shared" si="425"/>
        <v>5057.9063715487991</v>
      </c>
      <c r="I627" s="282">
        <f t="shared" si="425"/>
        <v>5093.6859805130989</v>
      </c>
      <c r="J627" s="282">
        <f t="shared" si="425"/>
        <v>5136.0193195775992</v>
      </c>
      <c r="K627" s="282">
        <f t="shared" si="425"/>
        <v>5149.5011668603438</v>
      </c>
      <c r="L627" s="282">
        <f t="shared" si="425"/>
        <v>5138.9404800018383</v>
      </c>
      <c r="M627" s="282">
        <f t="shared" si="425"/>
        <v>5118.3350388019735</v>
      </c>
      <c r="N627" s="282">
        <f t="shared" si="425"/>
        <v>5114.396654662788</v>
      </c>
    </row>
    <row r="628" spans="1:14" s="5" customFormat="1">
      <c r="A628" s="884"/>
      <c r="B628" s="141" t="str">
        <f t="shared" si="416"/>
        <v>English</v>
      </c>
      <c r="C628" s="282">
        <f t="shared" ref="C628:N628" si="426">C578-($C605*C578)</f>
        <v>30045.430109827248</v>
      </c>
      <c r="D628" s="282">
        <f t="shared" si="426"/>
        <v>30333.400701627972</v>
      </c>
      <c r="E628" s="282">
        <f t="shared" si="426"/>
        <v>30740.580743117873</v>
      </c>
      <c r="F628" s="282">
        <f t="shared" si="426"/>
        <v>31138.164239620182</v>
      </c>
      <c r="G628" s="282">
        <f t="shared" si="426"/>
        <v>31431.480605286102</v>
      </c>
      <c r="H628" s="282">
        <f t="shared" si="426"/>
        <v>31724.957576132929</v>
      </c>
      <c r="I628" s="282">
        <f t="shared" si="426"/>
        <v>32026.858636939469</v>
      </c>
      <c r="J628" s="282">
        <f t="shared" si="426"/>
        <v>32259.412600544802</v>
      </c>
      <c r="K628" s="282">
        <f t="shared" si="426"/>
        <v>32303.914557396369</v>
      </c>
      <c r="L628" s="282">
        <f t="shared" si="426"/>
        <v>32322.338999171592</v>
      </c>
      <c r="M628" s="282">
        <f t="shared" si="426"/>
        <v>32290.376328559087</v>
      </c>
      <c r="N628" s="282">
        <f t="shared" si="426"/>
        <v>32194.629621922984</v>
      </c>
    </row>
    <row r="629" spans="1:14" s="5" customFormat="1">
      <c r="A629" s="884"/>
      <c r="B629" s="141" t="str">
        <f t="shared" si="416"/>
        <v>Food</v>
      </c>
      <c r="C629" s="282">
        <f t="shared" ref="C629:N629" si="427">C579-($C606*C579)</f>
        <v>2075.8992087342663</v>
      </c>
      <c r="D629" s="282">
        <f t="shared" si="427"/>
        <v>2088.5494776737537</v>
      </c>
      <c r="E629" s="282">
        <f t="shared" si="427"/>
        <v>2020.5594005340956</v>
      </c>
      <c r="F629" s="282">
        <f t="shared" si="427"/>
        <v>1945.3740580544352</v>
      </c>
      <c r="G629" s="282">
        <f t="shared" si="427"/>
        <v>1944.7047009758676</v>
      </c>
      <c r="H629" s="282">
        <f t="shared" si="427"/>
        <v>1964.7747432789229</v>
      </c>
      <c r="I629" s="282">
        <f t="shared" si="427"/>
        <v>1987.6196856729764</v>
      </c>
      <c r="J629" s="282">
        <f t="shared" si="427"/>
        <v>2001.6146928070627</v>
      </c>
      <c r="K629" s="282">
        <f t="shared" si="427"/>
        <v>2005.2494063786851</v>
      </c>
      <c r="L629" s="282">
        <f t="shared" si="427"/>
        <v>2012.3431150457295</v>
      </c>
      <c r="M629" s="282">
        <f t="shared" si="427"/>
        <v>2016.9028684008081</v>
      </c>
      <c r="N629" s="282">
        <f t="shared" si="427"/>
        <v>2010.1952409179387</v>
      </c>
    </row>
    <row r="630" spans="1:14" s="5" customFormat="1">
      <c r="A630" s="884"/>
      <c r="B630" s="141" t="str">
        <f t="shared" si="416"/>
        <v>Geography</v>
      </c>
      <c r="C630" s="282">
        <f>C580-($C607*C580)</f>
        <v>10518.362186302702</v>
      </c>
      <c r="D630" s="282">
        <f t="shared" ref="D630:N630" si="428">D580-($C607*D580)</f>
        <v>10592.197160123502</v>
      </c>
      <c r="E630" s="282">
        <f t="shared" si="428"/>
        <v>10991.644935793051</v>
      </c>
      <c r="F630" s="282">
        <f t="shared" si="428"/>
        <v>11415.269146232955</v>
      </c>
      <c r="G630" s="282">
        <f t="shared" si="428"/>
        <v>11567.794354132981</v>
      </c>
      <c r="H630" s="282">
        <f t="shared" si="428"/>
        <v>11664.678552531093</v>
      </c>
      <c r="I630" s="282">
        <f t="shared" si="428"/>
        <v>11757.312130654836</v>
      </c>
      <c r="J630" s="282">
        <f t="shared" si="428"/>
        <v>11847.832710968347</v>
      </c>
      <c r="K630" s="282">
        <f t="shared" si="428"/>
        <v>11867.451639056904</v>
      </c>
      <c r="L630" s="282">
        <f t="shared" si="428"/>
        <v>11851.220190458745</v>
      </c>
      <c r="M630" s="282">
        <f t="shared" si="428"/>
        <v>11813.654322341292</v>
      </c>
      <c r="N630" s="282">
        <f t="shared" si="428"/>
        <v>11789.047949016856</v>
      </c>
    </row>
    <row r="631" spans="1:14" s="5" customFormat="1">
      <c r="A631" s="884"/>
      <c r="B631" s="141" t="str">
        <f t="shared" si="416"/>
        <v>History</v>
      </c>
      <c r="C631" s="282">
        <f t="shared" ref="C631:N631" si="429">C581-($C608*C581)</f>
        <v>11192.678423023735</v>
      </c>
      <c r="D631" s="282">
        <f t="shared" si="429"/>
        <v>11256.687485244267</v>
      </c>
      <c r="E631" s="282">
        <f t="shared" si="429"/>
        <v>11599.369617515154</v>
      </c>
      <c r="F631" s="282">
        <f t="shared" si="429"/>
        <v>11967.19602921409</v>
      </c>
      <c r="G631" s="282">
        <f t="shared" si="429"/>
        <v>12089.537654010986</v>
      </c>
      <c r="H631" s="282">
        <f t="shared" si="429"/>
        <v>12190.325841181235</v>
      </c>
      <c r="I631" s="282">
        <f t="shared" si="429"/>
        <v>12292.037124641112</v>
      </c>
      <c r="J631" s="282">
        <f t="shared" si="429"/>
        <v>12389.451752886342</v>
      </c>
      <c r="K631" s="282">
        <f t="shared" si="429"/>
        <v>12418.332954775977</v>
      </c>
      <c r="L631" s="282">
        <f t="shared" si="429"/>
        <v>12411.854918401496</v>
      </c>
      <c r="M631" s="282">
        <f t="shared" si="429"/>
        <v>12383.558824959737</v>
      </c>
      <c r="N631" s="282">
        <f t="shared" si="429"/>
        <v>12364.268616074811</v>
      </c>
    </row>
    <row r="632" spans="1:14" s="5" customFormat="1">
      <c r="A632" s="884"/>
      <c r="B632" s="141" t="str">
        <f t="shared" si="416"/>
        <v>Mathematics</v>
      </c>
      <c r="C632" s="282">
        <f t="shared" ref="C632:N632" si="430">C582-($C609*C582)</f>
        <v>31128.110157317467</v>
      </c>
      <c r="D632" s="282">
        <f t="shared" si="430"/>
        <v>31665.531388362488</v>
      </c>
      <c r="E632" s="282">
        <f t="shared" si="430"/>
        <v>32100.361692253198</v>
      </c>
      <c r="F632" s="282">
        <f t="shared" si="430"/>
        <v>32582.828012347269</v>
      </c>
      <c r="G632" s="282">
        <f t="shared" si="430"/>
        <v>33003.668201745655</v>
      </c>
      <c r="H632" s="282">
        <f t="shared" si="430"/>
        <v>33301.534329916365</v>
      </c>
      <c r="I632" s="282">
        <f t="shared" si="430"/>
        <v>33615.152538711307</v>
      </c>
      <c r="J632" s="282">
        <f t="shared" si="430"/>
        <v>33865.334671084165</v>
      </c>
      <c r="K632" s="282">
        <f t="shared" si="430"/>
        <v>33930.636804597707</v>
      </c>
      <c r="L632" s="282">
        <f t="shared" si="430"/>
        <v>33958.682466908453</v>
      </c>
      <c r="M632" s="282">
        <f t="shared" si="430"/>
        <v>33933.81252854225</v>
      </c>
      <c r="N632" s="282">
        <f t="shared" si="430"/>
        <v>33853.43348167192</v>
      </c>
    </row>
    <row r="633" spans="1:14" s="5" customFormat="1">
      <c r="A633" s="884"/>
      <c r="B633" s="141" t="str">
        <f t="shared" si="416"/>
        <v>Modern Foreign Languages</v>
      </c>
      <c r="C633" s="282">
        <f t="shared" ref="C633:N633" si="431">C583-($C610*C583)</f>
        <v>14939.764306075618</v>
      </c>
      <c r="D633" s="282">
        <f t="shared" si="431"/>
        <v>15070.257443396837</v>
      </c>
      <c r="E633" s="282">
        <f t="shared" si="431"/>
        <v>16557.230196768789</v>
      </c>
      <c r="F633" s="282">
        <f t="shared" si="431"/>
        <v>18106.97526873889</v>
      </c>
      <c r="G633" s="282">
        <f t="shared" si="431"/>
        <v>18695.254319919968</v>
      </c>
      <c r="H633" s="282">
        <f t="shared" si="431"/>
        <v>18855.304901959025</v>
      </c>
      <c r="I633" s="282">
        <f t="shared" si="431"/>
        <v>18999.002831661492</v>
      </c>
      <c r="J633" s="282">
        <f t="shared" si="431"/>
        <v>19138.350839311574</v>
      </c>
      <c r="K633" s="282">
        <f t="shared" si="431"/>
        <v>19151.937836517376</v>
      </c>
      <c r="L633" s="282">
        <f t="shared" si="431"/>
        <v>19109.119672158304</v>
      </c>
      <c r="M633" s="282">
        <f t="shared" si="431"/>
        <v>19031.45661965046</v>
      </c>
      <c r="N633" s="282">
        <f t="shared" si="431"/>
        <v>18975.956019871268</v>
      </c>
    </row>
    <row r="634" spans="1:14" s="5" customFormat="1">
      <c r="A634" s="884"/>
      <c r="B634" s="141" t="str">
        <f t="shared" si="416"/>
        <v>Music</v>
      </c>
      <c r="C634" s="282">
        <f t="shared" ref="C634:N634" si="432">C584-($C611*C584)</f>
        <v>5182.1227072399643</v>
      </c>
      <c r="D634" s="282">
        <f t="shared" si="432"/>
        <v>5224.0051096452526</v>
      </c>
      <c r="E634" s="282">
        <f t="shared" si="432"/>
        <v>5274.0985798285237</v>
      </c>
      <c r="F634" s="282">
        <f t="shared" si="432"/>
        <v>5340.7515597968822</v>
      </c>
      <c r="G634" s="282">
        <f t="shared" si="432"/>
        <v>5392.9701813324909</v>
      </c>
      <c r="H634" s="282">
        <f t="shared" si="432"/>
        <v>5429.8503815617332</v>
      </c>
      <c r="I634" s="282">
        <f t="shared" si="432"/>
        <v>5456.5282095905159</v>
      </c>
      <c r="J634" s="282">
        <f t="shared" si="432"/>
        <v>5501.1445781630673</v>
      </c>
      <c r="K634" s="282">
        <f t="shared" si="432"/>
        <v>5508.718496895669</v>
      </c>
      <c r="L634" s="282">
        <f t="shared" si="432"/>
        <v>5478.4692114884219</v>
      </c>
      <c r="M634" s="282">
        <f t="shared" si="432"/>
        <v>5435.9069019080916</v>
      </c>
      <c r="N634" s="282">
        <f t="shared" si="432"/>
        <v>5429.4623651065795</v>
      </c>
    </row>
    <row r="635" spans="1:14" s="5" customFormat="1">
      <c r="A635" s="884"/>
      <c r="B635" s="141" t="str">
        <f t="shared" si="416"/>
        <v>Others</v>
      </c>
      <c r="C635" s="282">
        <f t="shared" ref="C635:N635" si="433">C585-($C612*C585)</f>
        <v>14320.519643904654</v>
      </c>
      <c r="D635" s="282">
        <f t="shared" si="433"/>
        <v>14167.017824214381</v>
      </c>
      <c r="E635" s="282">
        <f t="shared" si="433"/>
        <v>13644.45192629548</v>
      </c>
      <c r="F635" s="282">
        <f t="shared" si="433"/>
        <v>13168.958005566721</v>
      </c>
      <c r="G635" s="282">
        <f t="shared" si="433"/>
        <v>13028.336477663877</v>
      </c>
      <c r="H635" s="282">
        <f t="shared" si="433"/>
        <v>13119.243677203196</v>
      </c>
      <c r="I635" s="282">
        <f t="shared" si="433"/>
        <v>13287.741271802557</v>
      </c>
      <c r="J635" s="282">
        <f t="shared" si="433"/>
        <v>13441.112319312042</v>
      </c>
      <c r="K635" s="282">
        <f t="shared" si="433"/>
        <v>13605.666391187309</v>
      </c>
      <c r="L635" s="282">
        <f t="shared" si="433"/>
        <v>13740.245374084607</v>
      </c>
      <c r="M635" s="282">
        <f t="shared" si="433"/>
        <v>13856.137858966566</v>
      </c>
      <c r="N635" s="282">
        <f t="shared" si="433"/>
        <v>13945.356467368034</v>
      </c>
    </row>
    <row r="636" spans="1:14" s="5" customFormat="1">
      <c r="A636" s="884"/>
      <c r="B636" s="141" t="str">
        <f t="shared" si="416"/>
        <v>Physical Education</v>
      </c>
      <c r="C636" s="282">
        <f t="shared" ref="C636:N636" si="434">C586-($C613*C586)</f>
        <v>16924.886854184697</v>
      </c>
      <c r="D636" s="282">
        <f t="shared" si="434"/>
        <v>17045.013299898539</v>
      </c>
      <c r="E636" s="282">
        <f t="shared" si="434"/>
        <v>16956.087003196979</v>
      </c>
      <c r="F636" s="282">
        <f t="shared" si="434"/>
        <v>16863.039703106369</v>
      </c>
      <c r="G636" s="282">
        <f t="shared" si="434"/>
        <v>16951.559238171318</v>
      </c>
      <c r="H636" s="282">
        <f t="shared" si="434"/>
        <v>17100.221557807639</v>
      </c>
      <c r="I636" s="282">
        <f t="shared" si="434"/>
        <v>17247.144454354897</v>
      </c>
      <c r="J636" s="282">
        <f t="shared" si="434"/>
        <v>17376.861204319455</v>
      </c>
      <c r="K636" s="282">
        <f t="shared" si="434"/>
        <v>17403.765600561375</v>
      </c>
      <c r="L636" s="282">
        <f t="shared" si="434"/>
        <v>17393.955577466586</v>
      </c>
      <c r="M636" s="282">
        <f t="shared" si="434"/>
        <v>17354.566627480825</v>
      </c>
      <c r="N636" s="282">
        <f t="shared" si="434"/>
        <v>17312.191984170175</v>
      </c>
    </row>
    <row r="637" spans="1:14" s="5" customFormat="1">
      <c r="A637" s="884"/>
      <c r="B637" s="141" t="str">
        <f t="shared" si="416"/>
        <v>Physics</v>
      </c>
      <c r="C637" s="282">
        <f t="shared" ref="C637:N637" si="435">C587-($C614*C587)</f>
        <v>10725.251800299693</v>
      </c>
      <c r="D637" s="282">
        <f t="shared" si="435"/>
        <v>10795.237162264597</v>
      </c>
      <c r="E637" s="282">
        <f t="shared" si="435"/>
        <v>10936.738865252666</v>
      </c>
      <c r="F637" s="282">
        <f t="shared" si="435"/>
        <v>11065.944998845214</v>
      </c>
      <c r="G637" s="282">
        <f t="shared" si="435"/>
        <v>11162.671456202223</v>
      </c>
      <c r="H637" s="282">
        <f t="shared" si="435"/>
        <v>11276.285763812999</v>
      </c>
      <c r="I637" s="282">
        <f t="shared" si="435"/>
        <v>11413.977518269763</v>
      </c>
      <c r="J637" s="282">
        <f t="shared" si="435"/>
        <v>11499.237254241132</v>
      </c>
      <c r="K637" s="282">
        <f t="shared" si="435"/>
        <v>11533.927145164296</v>
      </c>
      <c r="L637" s="282">
        <f t="shared" si="435"/>
        <v>11589.923896002259</v>
      </c>
      <c r="M637" s="282">
        <f t="shared" si="435"/>
        <v>11631.942741265495</v>
      </c>
      <c r="N637" s="282">
        <f t="shared" si="435"/>
        <v>11604.656566877386</v>
      </c>
    </row>
    <row r="638" spans="1:14" s="5" customFormat="1">
      <c r="A638" s="884"/>
      <c r="B638" s="141" t="str">
        <f t="shared" si="416"/>
        <v>Religious Education</v>
      </c>
      <c r="C638" s="282">
        <f t="shared" ref="C638:N638" si="436">C588-($C615*C588)</f>
        <v>7377.2618621307392</v>
      </c>
      <c r="D638" s="282">
        <f t="shared" si="436"/>
        <v>7422.7824256240674</v>
      </c>
      <c r="E638" s="282">
        <f t="shared" si="436"/>
        <v>7500.1802969344735</v>
      </c>
      <c r="F638" s="282">
        <f t="shared" si="436"/>
        <v>7582.9020625192106</v>
      </c>
      <c r="G638" s="282">
        <f t="shared" si="436"/>
        <v>7654.767656974067</v>
      </c>
      <c r="H638" s="282">
        <f t="shared" si="436"/>
        <v>7720.9539954092179</v>
      </c>
      <c r="I638" s="282">
        <f t="shared" si="436"/>
        <v>7788.0683359980958</v>
      </c>
      <c r="J638" s="282">
        <f t="shared" si="436"/>
        <v>7848.1363830283999</v>
      </c>
      <c r="K638" s="282">
        <f t="shared" si="436"/>
        <v>7863.9567848257848</v>
      </c>
      <c r="L638" s="282">
        <f t="shared" si="436"/>
        <v>7862.2904175380427</v>
      </c>
      <c r="M638" s="282">
        <f t="shared" si="436"/>
        <v>7847.2755854418974</v>
      </c>
      <c r="N638" s="282">
        <f t="shared" si="436"/>
        <v>7831.5078431053325</v>
      </c>
    </row>
    <row r="639" spans="1:14" s="5" customFormat="1">
      <c r="A639" s="884"/>
      <c r="B639" s="141" t="s">
        <v>8</v>
      </c>
      <c r="C639" s="282">
        <f t="shared" ref="C639:N639" si="437">SUM(C620:C638)</f>
        <v>213976.00504540943</v>
      </c>
      <c r="D639" s="282">
        <f t="shared" si="437"/>
        <v>215448.23496505464</v>
      </c>
      <c r="E639" s="282">
        <f t="shared" si="437"/>
        <v>217665.58493798462</v>
      </c>
      <c r="F639" s="282">
        <f t="shared" si="437"/>
        <v>220113.00223502028</v>
      </c>
      <c r="G639" s="282">
        <f t="shared" si="437"/>
        <v>222083.21597704067</v>
      </c>
      <c r="H639" s="282">
        <f t="shared" si="437"/>
        <v>224012.64325451854</v>
      </c>
      <c r="I639" s="282">
        <f t="shared" si="437"/>
        <v>226115.09681652434</v>
      </c>
      <c r="J639" s="282">
        <f t="shared" si="437"/>
        <v>227913.16234106064</v>
      </c>
      <c r="K639" s="282">
        <f t="shared" si="437"/>
        <v>228568.5499006052</v>
      </c>
      <c r="L639" s="282">
        <f t="shared" si="437"/>
        <v>228824.14188092307</v>
      </c>
      <c r="M639" s="282">
        <f t="shared" si="437"/>
        <v>228710.60157528741</v>
      </c>
      <c r="N639" s="282">
        <f t="shared" si="437"/>
        <v>228387.83509911041</v>
      </c>
    </row>
    <row r="640" spans="1:14">
      <c r="A640" s="10">
        <f>SUM(C640:N640)</f>
        <v>0</v>
      </c>
      <c r="C640" s="10">
        <f>SUM(C620:C638)-C639</f>
        <v>0</v>
      </c>
      <c r="D640" s="10">
        <f t="shared" ref="D640:N640" si="438">SUM(D620:D638)-D639</f>
        <v>0</v>
      </c>
      <c r="E640" s="10">
        <f t="shared" si="438"/>
        <v>0</v>
      </c>
      <c r="F640" s="10">
        <f t="shared" si="438"/>
        <v>0</v>
      </c>
      <c r="G640" s="10">
        <f t="shared" si="438"/>
        <v>0</v>
      </c>
      <c r="H640" s="10">
        <f t="shared" si="438"/>
        <v>0</v>
      </c>
      <c r="I640" s="10">
        <f t="shared" si="438"/>
        <v>0</v>
      </c>
      <c r="J640" s="10">
        <f t="shared" si="438"/>
        <v>0</v>
      </c>
      <c r="K640" s="10">
        <f t="shared" si="438"/>
        <v>0</v>
      </c>
      <c r="L640" s="10">
        <f t="shared" si="438"/>
        <v>0</v>
      </c>
      <c r="M640" s="10">
        <f t="shared" si="438"/>
        <v>0</v>
      </c>
      <c r="N640" s="10">
        <f t="shared" si="438"/>
        <v>0</v>
      </c>
    </row>
    <row r="641" spans="1:5">
      <c r="A641" s="883"/>
    </row>
    <row r="642" spans="1:5">
      <c r="A642" s="883"/>
      <c r="C642" s="309"/>
      <c r="D642" s="309"/>
      <c r="E642" s="309"/>
    </row>
    <row r="643" spans="1:5">
      <c r="A643" s="883"/>
    </row>
    <row r="644" spans="1:5">
      <c r="A644" s="883"/>
      <c r="C644" s="309"/>
      <c r="D644" s="309"/>
      <c r="E644" s="309"/>
    </row>
    <row r="645" spans="1:5">
      <c r="A645" s="883"/>
    </row>
    <row r="646" spans="1:5">
      <c r="A646" s="883"/>
      <c r="C646" s="309"/>
      <c r="D646" s="309"/>
      <c r="E646" s="309"/>
    </row>
    <row r="647" spans="1:5">
      <c r="A647" s="883"/>
    </row>
    <row r="648" spans="1:5">
      <c r="A648" s="883"/>
    </row>
    <row r="649" spans="1:5">
      <c r="A649" s="883"/>
    </row>
    <row r="650" spans="1:5">
      <c r="A650" s="883"/>
    </row>
    <row r="651" spans="1:5">
      <c r="A651" s="883"/>
    </row>
    <row r="652" spans="1:5">
      <c r="A652" s="883"/>
    </row>
    <row r="653" spans="1:5">
      <c r="A653" s="883"/>
    </row>
    <row r="654" spans="1:5">
      <c r="A654" s="883"/>
    </row>
    <row r="655" spans="1:5">
      <c r="A655" s="883"/>
    </row>
    <row r="656" spans="1:5">
      <c r="A656" s="883"/>
    </row>
    <row r="657" spans="1:1">
      <c r="A657" s="883"/>
    </row>
    <row r="658" spans="1:1">
      <c r="A658" s="883"/>
    </row>
    <row r="659" spans="1:1">
      <c r="A659" s="883"/>
    </row>
    <row r="660" spans="1:1">
      <c r="A660" s="883"/>
    </row>
    <row r="661" spans="1:1">
      <c r="A661" s="883"/>
    </row>
    <row r="662" spans="1:1">
      <c r="A662" s="883"/>
    </row>
    <row r="663" spans="1:1">
      <c r="A663" s="883"/>
    </row>
    <row r="664" spans="1:1">
      <c r="A664" s="883"/>
    </row>
    <row r="665" spans="1:1">
      <c r="A665" s="883"/>
    </row>
    <row r="666" spans="1:1">
      <c r="A666" s="883"/>
    </row>
    <row r="667" spans="1:1">
      <c r="A667" s="883"/>
    </row>
    <row r="668" spans="1:1">
      <c r="A668" s="883"/>
    </row>
    <row r="669" spans="1:1">
      <c r="A669" s="883"/>
    </row>
    <row r="670" spans="1:1">
      <c r="A670" s="883"/>
    </row>
    <row r="671" spans="1:1">
      <c r="A671" s="883"/>
    </row>
    <row r="672" spans="1:1">
      <c r="A672" s="883"/>
    </row>
    <row r="673" spans="1:1">
      <c r="A673" s="883"/>
    </row>
    <row r="674" spans="1:1">
      <c r="A674" s="883"/>
    </row>
    <row r="675" spans="1:1">
      <c r="A675" s="883"/>
    </row>
    <row r="676" spans="1:1">
      <c r="A676" s="883"/>
    </row>
    <row r="677" spans="1:1">
      <c r="A677" s="883"/>
    </row>
    <row r="678" spans="1:1">
      <c r="A678" s="883"/>
    </row>
    <row r="679" spans="1:1">
      <c r="A679" s="883"/>
    </row>
    <row r="680" spans="1:1">
      <c r="A680" s="883"/>
    </row>
    <row r="681" spans="1:1">
      <c r="A681" s="883"/>
    </row>
    <row r="682" spans="1:1">
      <c r="A682" s="883"/>
    </row>
    <row r="683" spans="1:1">
      <c r="A683" s="883"/>
    </row>
    <row r="684" spans="1:1">
      <c r="A684" s="883"/>
    </row>
    <row r="685" spans="1:1">
      <c r="A685" s="883"/>
    </row>
    <row r="686" spans="1:1">
      <c r="A686" s="883"/>
    </row>
    <row r="687" spans="1:1">
      <c r="A687" s="883"/>
    </row>
    <row r="688" spans="1:1">
      <c r="A688" s="883"/>
    </row>
    <row r="689" spans="1:1">
      <c r="A689" s="883"/>
    </row>
    <row r="690" spans="1:1">
      <c r="A690" s="883"/>
    </row>
    <row r="691" spans="1:1">
      <c r="A691" s="883"/>
    </row>
    <row r="692" spans="1:1">
      <c r="A692" s="883"/>
    </row>
    <row r="693" spans="1:1">
      <c r="A693" s="883"/>
    </row>
    <row r="694" spans="1:1">
      <c r="A694" s="883"/>
    </row>
    <row r="695" spans="1:1">
      <c r="A695" s="883"/>
    </row>
    <row r="696" spans="1:1">
      <c r="A696" s="883"/>
    </row>
    <row r="697" spans="1:1">
      <c r="A697" s="883"/>
    </row>
    <row r="698" spans="1:1">
      <c r="A698" s="883"/>
    </row>
    <row r="699" spans="1:1">
      <c r="A699" s="883"/>
    </row>
    <row r="700" spans="1:1">
      <c r="A700" s="883"/>
    </row>
    <row r="701" spans="1:1">
      <c r="A701" s="883"/>
    </row>
    <row r="702" spans="1:1">
      <c r="A702" s="883"/>
    </row>
    <row r="703" spans="1:1">
      <c r="A703" s="883"/>
    </row>
    <row r="704" spans="1:1">
      <c r="A704" s="883"/>
    </row>
    <row r="705" spans="1:1">
      <c r="A705" s="883"/>
    </row>
    <row r="706" spans="1:1">
      <c r="A706" s="883"/>
    </row>
    <row r="707" spans="1:1">
      <c r="A707" s="883"/>
    </row>
    <row r="708" spans="1:1">
      <c r="A708" s="883"/>
    </row>
    <row r="709" spans="1:1">
      <c r="A709" s="883"/>
    </row>
    <row r="710" spans="1:1">
      <c r="A710" s="883"/>
    </row>
    <row r="711" spans="1:1">
      <c r="A711" s="883"/>
    </row>
    <row r="712" spans="1:1">
      <c r="A712" s="883"/>
    </row>
    <row r="713" spans="1:1">
      <c r="A713" s="883"/>
    </row>
    <row r="714" spans="1:1">
      <c r="A714" s="883"/>
    </row>
    <row r="715" spans="1:1">
      <c r="A715" s="883"/>
    </row>
    <row r="716" spans="1:1">
      <c r="A716" s="883"/>
    </row>
    <row r="717" spans="1:1">
      <c r="A717" s="883"/>
    </row>
    <row r="718" spans="1:1">
      <c r="A718" s="883"/>
    </row>
    <row r="719" spans="1:1">
      <c r="A719" s="883"/>
    </row>
    <row r="720" spans="1:1">
      <c r="A720" s="883"/>
    </row>
    <row r="721" spans="1:1">
      <c r="A721" s="883"/>
    </row>
    <row r="722" spans="1:1">
      <c r="A722" s="883"/>
    </row>
    <row r="723" spans="1:1">
      <c r="A723" s="883"/>
    </row>
    <row r="724" spans="1:1">
      <c r="A724" s="883"/>
    </row>
    <row r="725" spans="1:1">
      <c r="A725" s="883"/>
    </row>
    <row r="726" spans="1:1">
      <c r="A726" s="883"/>
    </row>
    <row r="727" spans="1:1">
      <c r="A727" s="883"/>
    </row>
    <row r="728" spans="1:1">
      <c r="A728" s="883"/>
    </row>
    <row r="729" spans="1:1">
      <c r="A729" s="883"/>
    </row>
    <row r="730" spans="1:1">
      <c r="A730" s="883"/>
    </row>
    <row r="731" spans="1:1">
      <c r="A731" s="883"/>
    </row>
    <row r="732" spans="1:1">
      <c r="A732" s="883"/>
    </row>
    <row r="733" spans="1:1">
      <c r="A733" s="883"/>
    </row>
    <row r="734" spans="1:1">
      <c r="A734" s="883"/>
    </row>
    <row r="735" spans="1:1">
      <c r="A735" s="883"/>
    </row>
    <row r="736" spans="1:1">
      <c r="A736" s="883"/>
    </row>
    <row r="737" spans="1:1">
      <c r="A737" s="883"/>
    </row>
    <row r="738" spans="1:1">
      <c r="A738" s="883"/>
    </row>
    <row r="739" spans="1:1">
      <c r="A739" s="883"/>
    </row>
    <row r="740" spans="1:1">
      <c r="A740" s="883"/>
    </row>
    <row r="741" spans="1:1">
      <c r="A741" s="883"/>
    </row>
    <row r="742" spans="1:1">
      <c r="A742" s="883"/>
    </row>
    <row r="743" spans="1:1">
      <c r="A743" s="883"/>
    </row>
    <row r="744" spans="1:1">
      <c r="A744" s="883"/>
    </row>
    <row r="745" spans="1:1">
      <c r="A745" s="883"/>
    </row>
    <row r="746" spans="1:1">
      <c r="A746" s="883"/>
    </row>
    <row r="747" spans="1:1">
      <c r="A747" s="883"/>
    </row>
    <row r="748" spans="1:1">
      <c r="A748" s="883"/>
    </row>
    <row r="749" spans="1:1">
      <c r="A749" s="883"/>
    </row>
    <row r="750" spans="1:1">
      <c r="A750" s="883"/>
    </row>
    <row r="751" spans="1:1">
      <c r="A751" s="883"/>
    </row>
    <row r="752" spans="1:1">
      <c r="A752" s="883"/>
    </row>
    <row r="753" spans="1:1">
      <c r="A753" s="883"/>
    </row>
    <row r="754" spans="1:1">
      <c r="A754" s="883"/>
    </row>
    <row r="755" spans="1:1">
      <c r="A755" s="883"/>
    </row>
    <row r="756" spans="1:1">
      <c r="A756" s="883"/>
    </row>
    <row r="757" spans="1:1">
      <c r="A757" s="883"/>
    </row>
    <row r="758" spans="1:1">
      <c r="A758" s="883"/>
    </row>
    <row r="759" spans="1:1">
      <c r="A759" s="883"/>
    </row>
    <row r="760" spans="1:1">
      <c r="A760" s="883"/>
    </row>
    <row r="761" spans="1:1">
      <c r="A761" s="883"/>
    </row>
    <row r="762" spans="1:1">
      <c r="A762" s="883"/>
    </row>
    <row r="763" spans="1:1">
      <c r="A763" s="883"/>
    </row>
    <row r="764" spans="1:1">
      <c r="A764" s="883"/>
    </row>
    <row r="765" spans="1:1">
      <c r="A765" s="883"/>
    </row>
    <row r="766" spans="1:1">
      <c r="A766" s="883"/>
    </row>
    <row r="767" spans="1:1">
      <c r="A767" s="883"/>
    </row>
    <row r="768" spans="1:1">
      <c r="A768" s="883"/>
    </row>
    <row r="769" spans="1:1">
      <c r="A769" s="883"/>
    </row>
    <row r="770" spans="1:1">
      <c r="A770" s="883"/>
    </row>
    <row r="771" spans="1:1">
      <c r="A771" s="883"/>
    </row>
    <row r="772" spans="1:1">
      <c r="A772" s="883"/>
    </row>
    <row r="773" spans="1:1">
      <c r="A773" s="883"/>
    </row>
    <row r="774" spans="1:1">
      <c r="A774" s="883"/>
    </row>
    <row r="775" spans="1:1">
      <c r="A775" s="883"/>
    </row>
    <row r="776" spans="1:1">
      <c r="A776" s="883"/>
    </row>
    <row r="777" spans="1:1">
      <c r="A777" s="883"/>
    </row>
    <row r="778" spans="1:1">
      <c r="A778" s="883"/>
    </row>
    <row r="779" spans="1:1">
      <c r="A779" s="883"/>
    </row>
    <row r="780" spans="1:1">
      <c r="A780" s="883"/>
    </row>
    <row r="781" spans="1:1">
      <c r="A781" s="883"/>
    </row>
    <row r="782" spans="1:1">
      <c r="A782" s="883"/>
    </row>
    <row r="783" spans="1:1">
      <c r="A783" s="883"/>
    </row>
    <row r="784" spans="1:1">
      <c r="A784" s="883"/>
    </row>
    <row r="785" spans="1:1">
      <c r="A785" s="883"/>
    </row>
    <row r="786" spans="1:1">
      <c r="A786" s="883"/>
    </row>
    <row r="787" spans="1:1">
      <c r="A787" s="883"/>
    </row>
    <row r="788" spans="1:1">
      <c r="A788" s="883"/>
    </row>
    <row r="789" spans="1:1">
      <c r="A789" s="883"/>
    </row>
    <row r="790" spans="1:1">
      <c r="A790" s="883"/>
    </row>
    <row r="791" spans="1:1">
      <c r="A791" s="883"/>
    </row>
    <row r="792" spans="1:1">
      <c r="A792" s="883"/>
    </row>
    <row r="793" spans="1:1">
      <c r="A793" s="883"/>
    </row>
    <row r="794" spans="1:1">
      <c r="A794" s="883"/>
    </row>
    <row r="795" spans="1:1">
      <c r="A795" s="883"/>
    </row>
    <row r="796" spans="1:1">
      <c r="A796" s="883"/>
    </row>
    <row r="797" spans="1:1">
      <c r="A797" s="883"/>
    </row>
    <row r="798" spans="1:1">
      <c r="A798" s="883"/>
    </row>
    <row r="799" spans="1:1">
      <c r="A799" s="883"/>
    </row>
    <row r="800" spans="1:1">
      <c r="A800" s="883"/>
    </row>
    <row r="801" spans="1:1">
      <c r="A801" s="883"/>
    </row>
    <row r="802" spans="1:1">
      <c r="A802" s="883"/>
    </row>
    <row r="803" spans="1:1">
      <c r="A803" s="883"/>
    </row>
    <row r="804" spans="1:1">
      <c r="A804" s="883"/>
    </row>
    <row r="805" spans="1:1">
      <c r="A805" s="883"/>
    </row>
    <row r="806" spans="1:1">
      <c r="A806" s="883"/>
    </row>
    <row r="807" spans="1:1">
      <c r="A807" s="883"/>
    </row>
    <row r="808" spans="1:1">
      <c r="A808" s="883"/>
    </row>
    <row r="809" spans="1:1">
      <c r="A809" s="883"/>
    </row>
    <row r="810" spans="1:1">
      <c r="A810" s="883"/>
    </row>
    <row r="811" spans="1:1">
      <c r="A811" s="883"/>
    </row>
    <row r="812" spans="1:1">
      <c r="A812" s="883"/>
    </row>
    <row r="813" spans="1:1">
      <c r="A813" s="883"/>
    </row>
    <row r="814" spans="1:1">
      <c r="A814" s="883"/>
    </row>
    <row r="815" spans="1:1">
      <c r="A815" s="883"/>
    </row>
    <row r="816" spans="1:1">
      <c r="A816" s="883"/>
    </row>
    <row r="817" spans="1:1">
      <c r="A817" s="883"/>
    </row>
    <row r="818" spans="1:1">
      <c r="A818" s="883"/>
    </row>
    <row r="819" spans="1:1">
      <c r="A819" s="883"/>
    </row>
    <row r="820" spans="1:1">
      <c r="A820" s="883"/>
    </row>
    <row r="821" spans="1:1">
      <c r="A821" s="883"/>
    </row>
    <row r="822" spans="1:1">
      <c r="A822" s="883"/>
    </row>
    <row r="823" spans="1:1">
      <c r="A823" s="883"/>
    </row>
    <row r="824" spans="1:1">
      <c r="A824" s="883"/>
    </row>
    <row r="825" spans="1:1">
      <c r="A825" s="883"/>
    </row>
    <row r="826" spans="1:1">
      <c r="A826" s="883"/>
    </row>
    <row r="827" spans="1:1">
      <c r="A827" s="883"/>
    </row>
    <row r="828" spans="1:1">
      <c r="A828" s="883"/>
    </row>
    <row r="829" spans="1:1">
      <c r="A829" s="883"/>
    </row>
    <row r="830" spans="1:1">
      <c r="A830" s="883"/>
    </row>
    <row r="831" spans="1:1">
      <c r="A831" s="883"/>
    </row>
    <row r="832" spans="1:1">
      <c r="A832" s="883"/>
    </row>
    <row r="833" spans="1:1">
      <c r="A833" s="883"/>
    </row>
    <row r="834" spans="1:1">
      <c r="A834" s="883"/>
    </row>
    <row r="835" spans="1:1">
      <c r="A835" s="883"/>
    </row>
    <row r="836" spans="1:1">
      <c r="A836" s="883"/>
    </row>
    <row r="837" spans="1:1">
      <c r="A837" s="883"/>
    </row>
    <row r="838" spans="1:1">
      <c r="A838" s="883"/>
    </row>
    <row r="839" spans="1:1">
      <c r="A839" s="883"/>
    </row>
    <row r="840" spans="1:1">
      <c r="A840" s="883"/>
    </row>
    <row r="841" spans="1:1">
      <c r="A841" s="883"/>
    </row>
    <row r="842" spans="1:1">
      <c r="A842" s="883"/>
    </row>
    <row r="843" spans="1:1">
      <c r="A843" s="883"/>
    </row>
    <row r="844" spans="1:1">
      <c r="A844" s="883"/>
    </row>
    <row r="845" spans="1:1">
      <c r="A845" s="883"/>
    </row>
    <row r="846" spans="1:1">
      <c r="A846" s="883"/>
    </row>
    <row r="847" spans="1:1">
      <c r="A847" s="883"/>
    </row>
    <row r="848" spans="1:1">
      <c r="A848" s="883"/>
    </row>
    <row r="849" spans="1:1">
      <c r="A849" s="883"/>
    </row>
    <row r="850" spans="1:1">
      <c r="A850" s="883"/>
    </row>
    <row r="851" spans="1:1">
      <c r="A851" s="883"/>
    </row>
    <row r="852" spans="1:1">
      <c r="A852" s="883"/>
    </row>
    <row r="853" spans="1:1">
      <c r="A853" s="883"/>
    </row>
    <row r="854" spans="1:1">
      <c r="A854" s="883"/>
    </row>
    <row r="855" spans="1:1">
      <c r="A855" s="883"/>
    </row>
    <row r="856" spans="1:1">
      <c r="A856" s="883"/>
    </row>
    <row r="857" spans="1:1">
      <c r="A857" s="883"/>
    </row>
    <row r="858" spans="1:1">
      <c r="A858" s="883"/>
    </row>
    <row r="859" spans="1:1">
      <c r="A859" s="883"/>
    </row>
    <row r="860" spans="1:1">
      <c r="A860" s="883"/>
    </row>
    <row r="861" spans="1:1">
      <c r="A861" s="883"/>
    </row>
    <row r="862" spans="1:1">
      <c r="A862" s="883"/>
    </row>
    <row r="863" spans="1:1">
      <c r="A863" s="883"/>
    </row>
    <row r="864" spans="1:1">
      <c r="A864" s="883"/>
    </row>
    <row r="865" spans="1:1">
      <c r="A865" s="883"/>
    </row>
    <row r="866" spans="1:1">
      <c r="A866" s="883"/>
    </row>
    <row r="867" spans="1:1">
      <c r="A867" s="883"/>
    </row>
    <row r="868" spans="1:1">
      <c r="A868" s="883"/>
    </row>
    <row r="869" spans="1:1">
      <c r="A869" s="883"/>
    </row>
    <row r="870" spans="1:1">
      <c r="A870" s="883"/>
    </row>
    <row r="871" spans="1:1">
      <c r="A871" s="883"/>
    </row>
    <row r="872" spans="1:1">
      <c r="A872" s="883"/>
    </row>
    <row r="873" spans="1:1">
      <c r="A873" s="883"/>
    </row>
    <row r="874" spans="1:1">
      <c r="A874" s="883"/>
    </row>
    <row r="875" spans="1:1">
      <c r="A875" s="883"/>
    </row>
    <row r="876" spans="1:1">
      <c r="A876" s="883"/>
    </row>
    <row r="877" spans="1:1">
      <c r="A877" s="883"/>
    </row>
    <row r="878" spans="1:1">
      <c r="A878" s="883"/>
    </row>
    <row r="879" spans="1:1">
      <c r="A879" s="883"/>
    </row>
    <row r="880" spans="1:1">
      <c r="A880" s="883"/>
    </row>
    <row r="881" spans="1:1">
      <c r="A881" s="883"/>
    </row>
    <row r="882" spans="1:1">
      <c r="A882" s="883"/>
    </row>
    <row r="883" spans="1:1">
      <c r="A883" s="883"/>
    </row>
    <row r="884" spans="1:1">
      <c r="A884" s="883"/>
    </row>
    <row r="885" spans="1:1">
      <c r="A885" s="883"/>
    </row>
    <row r="886" spans="1:1">
      <c r="A886" s="883"/>
    </row>
    <row r="887" spans="1:1">
      <c r="A887" s="883"/>
    </row>
    <row r="888" spans="1:1">
      <c r="A888" s="883"/>
    </row>
    <row r="889" spans="1:1">
      <c r="A889" s="883"/>
    </row>
    <row r="890" spans="1:1">
      <c r="A890" s="883"/>
    </row>
    <row r="891" spans="1:1">
      <c r="A891" s="883"/>
    </row>
    <row r="892" spans="1:1">
      <c r="A892" s="883"/>
    </row>
    <row r="893" spans="1:1">
      <c r="A893" s="883"/>
    </row>
    <row r="894" spans="1:1">
      <c r="A894" s="883"/>
    </row>
    <row r="895" spans="1:1">
      <c r="A895" s="883"/>
    </row>
    <row r="896" spans="1:1">
      <c r="A896" s="883"/>
    </row>
    <row r="897" spans="1:1">
      <c r="A897" s="883"/>
    </row>
    <row r="898" spans="1:1">
      <c r="A898" s="883"/>
    </row>
    <row r="899" spans="1:1">
      <c r="A899" s="883"/>
    </row>
    <row r="900" spans="1:1">
      <c r="A900" s="883"/>
    </row>
    <row r="901" spans="1:1">
      <c r="A901" s="883"/>
    </row>
    <row r="902" spans="1:1">
      <c r="A902" s="883"/>
    </row>
    <row r="903" spans="1:1">
      <c r="A903" s="883"/>
    </row>
    <row r="904" spans="1:1">
      <c r="A904" s="883"/>
    </row>
    <row r="905" spans="1:1">
      <c r="A905" s="883"/>
    </row>
    <row r="906" spans="1:1">
      <c r="A906" s="883"/>
    </row>
    <row r="907" spans="1:1">
      <c r="A907" s="883"/>
    </row>
    <row r="908" spans="1:1">
      <c r="A908" s="883"/>
    </row>
    <row r="909" spans="1:1">
      <c r="A909" s="883"/>
    </row>
    <row r="910" spans="1:1">
      <c r="A910" s="883"/>
    </row>
    <row r="911" spans="1:1">
      <c r="A911" s="883"/>
    </row>
    <row r="912" spans="1:1">
      <c r="A912" s="883"/>
    </row>
    <row r="913" spans="1:1">
      <c r="A913" s="883"/>
    </row>
    <row r="914" spans="1:1">
      <c r="A914" s="883"/>
    </row>
    <row r="915" spans="1:1">
      <c r="A915" s="883"/>
    </row>
    <row r="916" spans="1:1">
      <c r="A916" s="883"/>
    </row>
    <row r="917" spans="1:1">
      <c r="A917" s="883"/>
    </row>
    <row r="918" spans="1:1">
      <c r="A918" s="883"/>
    </row>
    <row r="919" spans="1:1">
      <c r="A919" s="883"/>
    </row>
    <row r="920" spans="1:1">
      <c r="A920" s="883"/>
    </row>
    <row r="921" spans="1:1">
      <c r="A921" s="883"/>
    </row>
    <row r="922" spans="1:1">
      <c r="A922" s="883"/>
    </row>
    <row r="923" spans="1:1">
      <c r="A923" s="883"/>
    </row>
    <row r="924" spans="1:1">
      <c r="A924" s="883"/>
    </row>
    <row r="925" spans="1:1">
      <c r="A925" s="883"/>
    </row>
    <row r="926" spans="1:1">
      <c r="A926" s="883"/>
    </row>
    <row r="927" spans="1:1">
      <c r="A927" s="883"/>
    </row>
    <row r="928" spans="1:1">
      <c r="A928" s="883"/>
    </row>
    <row r="929" spans="1:1">
      <c r="A929" s="883"/>
    </row>
    <row r="930" spans="1:1">
      <c r="A930" s="883"/>
    </row>
    <row r="931" spans="1:1">
      <c r="A931" s="883"/>
    </row>
    <row r="932" spans="1:1">
      <c r="A932" s="883"/>
    </row>
    <row r="933" spans="1:1">
      <c r="A933" s="883"/>
    </row>
    <row r="934" spans="1:1">
      <c r="A934" s="883"/>
    </row>
    <row r="935" spans="1:1">
      <c r="A935" s="883"/>
    </row>
    <row r="936" spans="1:1">
      <c r="A936" s="883"/>
    </row>
    <row r="937" spans="1:1">
      <c r="A937" s="883"/>
    </row>
    <row r="938" spans="1:1">
      <c r="A938" s="883"/>
    </row>
    <row r="939" spans="1:1">
      <c r="A939" s="883"/>
    </row>
    <row r="940" spans="1:1">
      <c r="A940" s="883"/>
    </row>
    <row r="941" spans="1:1">
      <c r="A941" s="883"/>
    </row>
    <row r="942" spans="1:1">
      <c r="A942" s="883"/>
    </row>
    <row r="943" spans="1:1">
      <c r="A943" s="883"/>
    </row>
    <row r="944" spans="1:1">
      <c r="A944" s="883"/>
    </row>
    <row r="945" spans="1:1">
      <c r="A945" s="883"/>
    </row>
    <row r="946" spans="1:1">
      <c r="A946" s="883"/>
    </row>
    <row r="947" spans="1:1">
      <c r="A947" s="883"/>
    </row>
    <row r="948" spans="1:1">
      <c r="A948" s="883"/>
    </row>
    <row r="949" spans="1:1">
      <c r="A949" s="883"/>
    </row>
    <row r="950" spans="1:1">
      <c r="A950" s="883"/>
    </row>
    <row r="951" spans="1:1">
      <c r="A951" s="883"/>
    </row>
    <row r="952" spans="1:1">
      <c r="A952" s="883"/>
    </row>
    <row r="953" spans="1:1">
      <c r="A953" s="883"/>
    </row>
    <row r="954" spans="1:1">
      <c r="A954" s="883"/>
    </row>
    <row r="955" spans="1:1">
      <c r="A955" s="883"/>
    </row>
    <row r="956" spans="1:1">
      <c r="A956" s="883"/>
    </row>
    <row r="957" spans="1:1">
      <c r="A957" s="883"/>
    </row>
    <row r="958" spans="1:1">
      <c r="A958" s="883"/>
    </row>
    <row r="959" spans="1:1">
      <c r="A959" s="883"/>
    </row>
    <row r="960" spans="1:1">
      <c r="A960" s="883"/>
    </row>
    <row r="961" spans="1:1">
      <c r="A961" s="883"/>
    </row>
    <row r="962" spans="1:1">
      <c r="A962" s="883"/>
    </row>
    <row r="963" spans="1:1">
      <c r="A963" s="883"/>
    </row>
    <row r="964" spans="1:1">
      <c r="A964" s="883"/>
    </row>
    <row r="965" spans="1:1">
      <c r="A965" s="883"/>
    </row>
    <row r="966" spans="1:1">
      <c r="A966" s="883"/>
    </row>
    <row r="967" spans="1:1">
      <c r="A967" s="883"/>
    </row>
    <row r="968" spans="1:1">
      <c r="A968" s="883"/>
    </row>
    <row r="969" spans="1:1">
      <c r="A969" s="883"/>
    </row>
    <row r="970" spans="1:1">
      <c r="A970" s="883"/>
    </row>
    <row r="971" spans="1:1">
      <c r="A971" s="883"/>
    </row>
    <row r="972" spans="1:1">
      <c r="A972" s="883"/>
    </row>
    <row r="973" spans="1:1">
      <c r="A973" s="883"/>
    </row>
  </sheetData>
  <mergeCells count="31">
    <mergeCell ref="E174:I174"/>
    <mergeCell ref="J174:N174"/>
    <mergeCell ref="B19:B20"/>
    <mergeCell ref="C19:E19"/>
    <mergeCell ref="B48:B49"/>
    <mergeCell ref="C48:E48"/>
    <mergeCell ref="B44:B45"/>
    <mergeCell ref="J162:N162"/>
    <mergeCell ref="J166:N166"/>
    <mergeCell ref="J167:N167"/>
    <mergeCell ref="J169:N169"/>
    <mergeCell ref="E173:I173"/>
    <mergeCell ref="J173:N173"/>
    <mergeCell ref="E171:I171"/>
    <mergeCell ref="E163:I163"/>
    <mergeCell ref="E162:I162"/>
    <mergeCell ref="E164:I164"/>
    <mergeCell ref="E165:I165"/>
    <mergeCell ref="J163:N165"/>
    <mergeCell ref="C163:C165"/>
    <mergeCell ref="J172:N172"/>
    <mergeCell ref="E172:I172"/>
    <mergeCell ref="J170:N170"/>
    <mergeCell ref="J171:N171"/>
    <mergeCell ref="E166:I166"/>
    <mergeCell ref="E169:I169"/>
    <mergeCell ref="E168:I168"/>
    <mergeCell ref="J168:N168"/>
    <mergeCell ref="E170:I170"/>
    <mergeCell ref="E167:I167"/>
    <mergeCell ref="D163:D165"/>
  </mergeCells>
  <conditionalFormatting sqref="Q385">
    <cfRule type="cellIs" dxfId="7" priority="1" stopIfTrue="1" operator="lessThan">
      <formula>0</formula>
    </cfRule>
    <cfRule type="cellIs" dxfId="6" priority="2" stopIfTrue="1" operator="greaterThan">
      <formula>0</formula>
    </cfRule>
  </conditionalFormatting>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0000"/>
  </sheetPr>
  <dimension ref="A1:Q67"/>
  <sheetViews>
    <sheetView showGridLines="0" workbookViewId="0"/>
  </sheetViews>
  <sheetFormatPr defaultRowHeight="12.75"/>
  <cols>
    <col min="2" max="2" width="37.4257812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c r="A4" s="58" t="s">
        <v>26</v>
      </c>
      <c r="B4" s="58"/>
      <c r="C4" s="58"/>
      <c r="D4" s="58"/>
      <c r="E4" s="292"/>
      <c r="F4" s="58"/>
      <c r="G4" s="58"/>
      <c r="H4" s="58"/>
      <c r="I4" s="58"/>
      <c r="J4" s="58"/>
      <c r="K4" s="58"/>
    </row>
    <row r="5" spans="1:17" s="47" customFormat="1">
      <c r="A5" s="60" t="s">
        <v>376</v>
      </c>
      <c r="B5" s="60"/>
      <c r="C5" s="60"/>
      <c r="D5" s="60"/>
      <c r="E5" s="60"/>
      <c r="F5" s="60"/>
      <c r="G5" s="60"/>
      <c r="H5" s="60"/>
      <c r="I5" s="60"/>
      <c r="J5" s="60"/>
      <c r="K5" s="60"/>
      <c r="L5" s="59"/>
      <c r="M5" s="59"/>
      <c r="N5" s="59"/>
      <c r="O5" s="59"/>
      <c r="P5" s="59"/>
      <c r="Q5" s="59"/>
    </row>
    <row r="6" spans="1:17" s="46" customFormat="1">
      <c r="A6" s="56" t="s">
        <v>1420</v>
      </c>
      <c r="B6" s="61"/>
      <c r="C6" s="61"/>
      <c r="D6" s="61"/>
      <c r="E6" s="292"/>
      <c r="F6" s="61"/>
      <c r="G6" s="61"/>
      <c r="H6" s="61"/>
      <c r="I6" s="61"/>
      <c r="J6" s="61"/>
      <c r="K6" s="61"/>
      <c r="L6" s="45"/>
      <c r="M6" s="45"/>
      <c r="N6" s="45"/>
      <c r="O6" s="45"/>
      <c r="P6" s="45"/>
      <c r="Q6" s="45"/>
    </row>
    <row r="7" spans="1:17" s="46" customFormat="1">
      <c r="A7" s="54" t="s">
        <v>1502</v>
      </c>
      <c r="B7" s="56"/>
      <c r="C7" s="61"/>
      <c r="D7" s="61"/>
      <c r="E7" s="292"/>
      <c r="F7" s="61"/>
      <c r="G7" s="61"/>
      <c r="H7" s="61"/>
      <c r="I7" s="61"/>
      <c r="J7" s="61"/>
      <c r="K7" s="61"/>
      <c r="L7" s="45"/>
      <c r="M7" s="45"/>
      <c r="N7" s="45"/>
      <c r="O7" s="45"/>
      <c r="P7" s="45"/>
      <c r="Q7" s="45"/>
    </row>
    <row r="8" spans="1:17" s="46" customFormat="1">
      <c r="A8" s="56" t="s">
        <v>24</v>
      </c>
      <c r="B8" s="61"/>
      <c r="C8" s="61"/>
      <c r="D8" s="61"/>
      <c r="E8" s="292"/>
      <c r="F8" s="61"/>
      <c r="G8" s="61"/>
      <c r="H8" s="61"/>
      <c r="I8" s="61"/>
      <c r="J8" s="61"/>
      <c r="K8" s="61"/>
      <c r="L8" s="45"/>
      <c r="M8" s="45"/>
      <c r="N8" s="45"/>
      <c r="O8" s="45"/>
      <c r="P8" s="45"/>
      <c r="Q8" s="45"/>
    </row>
    <row r="9" spans="1:17" s="46" customFormat="1">
      <c r="A9" s="54" t="s">
        <v>348</v>
      </c>
      <c r="B9" s="61"/>
      <c r="C9" s="61"/>
      <c r="D9" s="61"/>
      <c r="E9" s="292"/>
      <c r="F9" s="61"/>
      <c r="G9" s="61"/>
      <c r="H9" s="61"/>
      <c r="I9" s="61"/>
      <c r="J9" s="61"/>
      <c r="K9" s="61"/>
      <c r="L9" s="45"/>
      <c r="M9" s="45"/>
      <c r="N9" s="45"/>
      <c r="O9" s="45"/>
      <c r="P9" s="45"/>
      <c r="Q9" s="45"/>
    </row>
    <row r="10" spans="1:17" s="50" customFormat="1" ht="13.5" customHeight="1">
      <c r="A10" s="55">
        <f>SUM(A13:A2226)</f>
        <v>0</v>
      </c>
      <c r="B10" s="73"/>
      <c r="C10" s="71"/>
      <c r="D10" s="48"/>
      <c r="E10" s="48"/>
      <c r="F10" s="48"/>
      <c r="G10" s="72"/>
      <c r="H10" s="48"/>
      <c r="I10" s="48"/>
      <c r="J10" s="72"/>
      <c r="K10" s="49"/>
      <c r="L10" s="49"/>
      <c r="M10" s="49"/>
      <c r="N10" s="49"/>
      <c r="O10" s="49"/>
      <c r="P10" s="49"/>
      <c r="Q10" s="49"/>
    </row>
    <row r="12" spans="1:17" ht="15.75">
      <c r="B12" s="78" t="s">
        <v>261</v>
      </c>
    </row>
    <row r="14" spans="1:17">
      <c r="B14" s="8" t="s">
        <v>101</v>
      </c>
      <c r="C14" s="8" t="str">
        <f>Teacher_need_by_subject!C619</f>
        <v>2016/17</v>
      </c>
      <c r="D14" s="8" t="str">
        <f>Teacher_need_by_subject!D619</f>
        <v>2017/18</v>
      </c>
      <c r="E14" s="8" t="str">
        <f>Teacher_need_by_subject!E619</f>
        <v>2018/19</v>
      </c>
      <c r="F14" s="8" t="str">
        <f>Teacher_need_by_subject!F619</f>
        <v>2019/20</v>
      </c>
      <c r="G14" s="8" t="str">
        <f>Teacher_need_by_subject!G619</f>
        <v>2020/21</v>
      </c>
      <c r="H14" s="8" t="str">
        <f>Teacher_need_by_subject!H619</f>
        <v>2021/22</v>
      </c>
      <c r="I14" s="8" t="str">
        <f>Teacher_need_by_subject!I619</f>
        <v>2022/23</v>
      </c>
      <c r="J14" s="8" t="str">
        <f>Teacher_need_by_subject!J619</f>
        <v>2023/24</v>
      </c>
      <c r="K14" s="8" t="str">
        <f>Teacher_need_by_subject!K619</f>
        <v>2024/25</v>
      </c>
      <c r="L14" s="8" t="str">
        <f>Teacher_need_by_subject!L619</f>
        <v>2025/26</v>
      </c>
      <c r="M14" s="8" t="str">
        <f>Teacher_need_by_subject!M619</f>
        <v>2026/27</v>
      </c>
      <c r="N14" s="8" t="str">
        <f>Teacher_need_by_subject!N619</f>
        <v>2027/28</v>
      </c>
    </row>
    <row r="15" spans="1:17">
      <c r="B15" s="8" t="s">
        <v>43</v>
      </c>
      <c r="C15" s="444">
        <f>Calc_Primary_teacher_need!O63</f>
        <v>242289.97801032916</v>
      </c>
      <c r="D15" s="444">
        <f>Calc_Primary_teacher_need!P63</f>
        <v>243816.50498787969</v>
      </c>
      <c r="E15" s="444">
        <f>Calc_Primary_teacher_need!Q63</f>
        <v>244473.00051685341</v>
      </c>
      <c r="F15" s="444">
        <f>Calc_Primary_teacher_need!R63</f>
        <v>244493.08548462985</v>
      </c>
      <c r="G15" s="444">
        <f>Calc_Primary_teacher_need!S63</f>
        <v>244756.56223781532</v>
      </c>
      <c r="H15" s="444">
        <f>Calc_Primary_teacher_need!T63</f>
        <v>244837.80568339408</v>
      </c>
      <c r="I15" s="444">
        <f>Calc_Primary_teacher_need!U63</f>
        <v>244626.1931197551</v>
      </c>
      <c r="J15" s="444">
        <f>Calc_Primary_teacher_need!V63</f>
        <v>244233.40708441578</v>
      </c>
      <c r="K15" s="444">
        <f>Calc_Primary_teacher_need!W63</f>
        <v>244470.60548841688</v>
      </c>
      <c r="L15" s="444">
        <f>Calc_Primary_teacher_need!X63</f>
        <v>245157.17144903576</v>
      </c>
      <c r="M15" s="444">
        <f>Calc_Primary_teacher_need!Y63</f>
        <v>245898.02721211434</v>
      </c>
      <c r="N15" s="444">
        <f>Calc_Primary_teacher_need!Z63</f>
        <v>246453.8722658148</v>
      </c>
    </row>
    <row r="16" spans="1:17">
      <c r="B16" s="8" t="str">
        <f>Teacher_need_by_subject!B620</f>
        <v>Art &amp; Design</v>
      </c>
      <c r="C16" s="307">
        <f>Teacher_need_by_subject!C620</f>
        <v>8310.5880067254166</v>
      </c>
      <c r="D16" s="307">
        <f>Teacher_need_by_subject!D620</f>
        <v>8341.9492808008581</v>
      </c>
      <c r="E16" s="307">
        <f>Teacher_need_by_subject!E620</f>
        <v>8263.3569449253591</v>
      </c>
      <c r="F16" s="307">
        <f>Teacher_need_by_subject!F620</f>
        <v>8200.1412123163773</v>
      </c>
      <c r="G16" s="307">
        <f>Teacher_need_by_subject!G620</f>
        <v>8247.0972917838062</v>
      </c>
      <c r="H16" s="307">
        <f>Teacher_need_by_subject!H620</f>
        <v>8308.7412098493205</v>
      </c>
      <c r="I16" s="307">
        <f>Teacher_need_by_subject!I620</f>
        <v>8371.7661985209452</v>
      </c>
      <c r="J16" s="307">
        <f>Teacher_need_by_subject!J620</f>
        <v>8443.8747079762379</v>
      </c>
      <c r="K16" s="307">
        <f>Teacher_need_by_subject!K620</f>
        <v>8473.5651607866948</v>
      </c>
      <c r="L16" s="307">
        <f>Teacher_need_by_subject!L620</f>
        <v>8465.4356425603892</v>
      </c>
      <c r="M16" s="307">
        <f>Teacher_need_by_subject!M620</f>
        <v>8441.2110439638218</v>
      </c>
      <c r="N16" s="307">
        <f>Teacher_need_by_subject!N620</f>
        <v>8440.59254846978</v>
      </c>
    </row>
    <row r="17" spans="2:14">
      <c r="B17" s="8" t="str">
        <f>Teacher_need_by_subject!B621</f>
        <v>Biology</v>
      </c>
      <c r="C17" s="307">
        <f>Teacher_need_by_subject!C621</f>
        <v>12786.987412851919</v>
      </c>
      <c r="D17" s="307">
        <f>Teacher_need_by_subject!D621</f>
        <v>12855.738513404587</v>
      </c>
      <c r="E17" s="307">
        <f>Teacher_need_by_subject!E621</f>
        <v>12998.316050469002</v>
      </c>
      <c r="F17" s="307">
        <f>Teacher_need_by_subject!F621</f>
        <v>13138.105245734181</v>
      </c>
      <c r="G17" s="307">
        <f>Teacher_need_by_subject!G621</f>
        <v>13246.541294911551</v>
      </c>
      <c r="H17" s="307">
        <f>Teacher_need_by_subject!H621</f>
        <v>13373.709515062588</v>
      </c>
      <c r="I17" s="307">
        <f>Teacher_need_by_subject!I621</f>
        <v>13528.547619574107</v>
      </c>
      <c r="J17" s="307">
        <f>Teacher_need_by_subject!J621</f>
        <v>13635.027100789352</v>
      </c>
      <c r="K17" s="307">
        <f>Teacher_need_by_subject!K621</f>
        <v>13684.461372087695</v>
      </c>
      <c r="L17" s="307">
        <f>Teacher_need_by_subject!L621</f>
        <v>13743.463089448744</v>
      </c>
      <c r="M17" s="307">
        <f>Teacher_need_by_subject!M621</f>
        <v>13784.393459502542</v>
      </c>
      <c r="N17" s="307">
        <f>Teacher_need_by_subject!N621</f>
        <v>13763.711607784684</v>
      </c>
    </row>
    <row r="18" spans="2:14">
      <c r="B18" s="8" t="str">
        <f>Teacher_need_by_subject!B622</f>
        <v>Business Studies</v>
      </c>
      <c r="C18" s="307">
        <f>Teacher_need_by_subject!C622</f>
        <v>4112.7854114647489</v>
      </c>
      <c r="D18" s="307">
        <f>Teacher_need_by_subject!D622</f>
        <v>4055.1181721093221</v>
      </c>
      <c r="E18" s="307">
        <f>Teacher_need_by_subject!E622</f>
        <v>3888.3058629551306</v>
      </c>
      <c r="F18" s="307">
        <f>Teacher_need_by_subject!F622</f>
        <v>3726.3896860129285</v>
      </c>
      <c r="G18" s="307">
        <f>Teacher_need_by_subject!G622</f>
        <v>3700.1602214135623</v>
      </c>
      <c r="H18" s="307">
        <f>Teacher_need_by_subject!H622</f>
        <v>3732.113720085189</v>
      </c>
      <c r="I18" s="307">
        <f>Teacher_need_by_subject!I622</f>
        <v>3795.6822886090704</v>
      </c>
      <c r="J18" s="307">
        <f>Teacher_need_by_subject!J622</f>
        <v>3839.0570157411021</v>
      </c>
      <c r="K18" s="307">
        <f>Teacher_need_by_subject!K622</f>
        <v>3892.0307178782004</v>
      </c>
      <c r="L18" s="307">
        <f>Teacher_need_by_subject!L622</f>
        <v>3954.0926367676466</v>
      </c>
      <c r="M18" s="307">
        <f>Teacher_need_by_subject!M622</f>
        <v>4012.9661119373727</v>
      </c>
      <c r="N18" s="307">
        <f>Teacher_need_by_subject!N622</f>
        <v>4038.2663451950598</v>
      </c>
    </row>
    <row r="19" spans="2:14">
      <c r="B19" s="8" t="str">
        <f>Teacher_need_by_subject!B623</f>
        <v>Chemistry</v>
      </c>
      <c r="C19" s="307">
        <f>Teacher_need_by_subject!C623</f>
        <v>11068.508981061603</v>
      </c>
      <c r="D19" s="307">
        <f>Teacher_need_by_subject!D623</f>
        <v>11129.85258610651</v>
      </c>
      <c r="E19" s="307">
        <f>Teacher_need_by_subject!E623</f>
        <v>11260.285419513875</v>
      </c>
      <c r="F19" s="307">
        <f>Teacher_need_by_subject!F623</f>
        <v>11383.268474585764</v>
      </c>
      <c r="G19" s="307">
        <f>Teacher_need_by_subject!G623</f>
        <v>11478.037676404865</v>
      </c>
      <c r="H19" s="307">
        <f>Teacher_need_by_subject!H623</f>
        <v>11591.815611587474</v>
      </c>
      <c r="I19" s="307">
        <f>Teacher_need_by_subject!I623</f>
        <v>11731.989151799509</v>
      </c>
      <c r="J19" s="307">
        <f>Teacher_need_by_subject!J623</f>
        <v>11822.684634785315</v>
      </c>
      <c r="K19" s="307">
        <f>Teacher_need_by_subject!K623</f>
        <v>11864.545594307421</v>
      </c>
      <c r="L19" s="307">
        <f>Teacher_need_by_subject!L623</f>
        <v>11923.190684157031</v>
      </c>
      <c r="M19" s="307">
        <f>Teacher_need_by_subject!M623</f>
        <v>11967.082084944395</v>
      </c>
      <c r="N19" s="307">
        <f>Teacher_need_by_subject!N623</f>
        <v>11945.784885887244</v>
      </c>
    </row>
    <row r="20" spans="2:14">
      <c r="B20" s="8" t="str">
        <f>Teacher_need_by_subject!B624</f>
        <v>Classics</v>
      </c>
      <c r="C20" s="307">
        <f>Teacher_need_by_subject!C624</f>
        <v>318.24964480117319</v>
      </c>
      <c r="D20" s="307">
        <f>Teacher_need_by_subject!D624</f>
        <v>316.66378192264295</v>
      </c>
      <c r="E20" s="307">
        <f>Teacher_need_by_subject!E624</f>
        <v>316.17539575582185</v>
      </c>
      <c r="F20" s="307">
        <f>Teacher_need_by_subject!F624</f>
        <v>316.8320077141023</v>
      </c>
      <c r="G20" s="307">
        <f>Teacher_need_by_subject!G624</f>
        <v>318.22126343422786</v>
      </c>
      <c r="H20" s="307">
        <f>Teacher_need_by_subject!H624</f>
        <v>320.55922029487579</v>
      </c>
      <c r="I20" s="307">
        <f>Teacher_need_by_subject!I624</f>
        <v>323.9615218164621</v>
      </c>
      <c r="J20" s="307">
        <f>Teacher_need_by_subject!J624</f>
        <v>327.23843536550851</v>
      </c>
      <c r="K20" s="307">
        <f>Teacher_need_by_subject!K624</f>
        <v>329.9037008362418</v>
      </c>
      <c r="L20" s="307">
        <f>Teacher_need_by_subject!L624</f>
        <v>331.60054560560565</v>
      </c>
      <c r="M20" s="307">
        <f>Teacher_need_by_subject!M624</f>
        <v>332.77509243618636</v>
      </c>
      <c r="N20" s="307">
        <f>Teacher_need_by_subject!N624</f>
        <v>333.88423337973057</v>
      </c>
    </row>
    <row r="21" spans="2:14">
      <c r="B21" s="8" t="str">
        <f>Teacher_need_by_subject!B625</f>
        <v>Computing</v>
      </c>
      <c r="C21" s="307">
        <f>Teacher_need_by_subject!C625</f>
        <v>7510.2346856737895</v>
      </c>
      <c r="D21" s="307">
        <f>Teacher_need_by_subject!D625</f>
        <v>7534.6411432498553</v>
      </c>
      <c r="E21" s="307">
        <f>Teacher_need_by_subject!E625</f>
        <v>7318.2295859772075</v>
      </c>
      <c r="F21" s="307">
        <f>Teacher_need_by_subject!F625</f>
        <v>7103.8364078234217</v>
      </c>
      <c r="G21" s="307">
        <f>Teacher_need_by_subject!G625</f>
        <v>7103.7888064980007</v>
      </c>
      <c r="H21" s="307">
        <f>Teacher_need_by_subject!H625</f>
        <v>7160.731983145397</v>
      </c>
      <c r="I21" s="307">
        <f>Teacher_need_by_subject!I625</f>
        <v>7223.7313653134643</v>
      </c>
      <c r="J21" s="307">
        <f>Teacher_need_by_subject!J625</f>
        <v>7285.2061506055279</v>
      </c>
      <c r="K21" s="307">
        <f>Teacher_need_by_subject!K625</f>
        <v>7313.0393557838233</v>
      </c>
      <c r="L21" s="307">
        <f>Teacher_need_by_subject!L625</f>
        <v>7318.6843950857137</v>
      </c>
      <c r="M21" s="307">
        <f>Teacher_need_by_subject!M625</f>
        <v>7311.6741857708776</v>
      </c>
      <c r="N21" s="307">
        <f>Teacher_need_by_subject!N625</f>
        <v>7309.9188689425937</v>
      </c>
    </row>
    <row r="22" spans="2:14">
      <c r="B22" s="8" t="str">
        <f>Teacher_need_by_subject!B626</f>
        <v>Design &amp; Technology</v>
      </c>
      <c r="C22" s="307">
        <f>Teacher_need_by_subject!C626</f>
        <v>10441.074820779617</v>
      </c>
      <c r="D22" s="307">
        <f>Teacher_need_by_subject!D626</f>
        <v>10527.780594865922</v>
      </c>
      <c r="E22" s="307">
        <f>Teacher_need_by_subject!E626</f>
        <v>10281.479861267137</v>
      </c>
      <c r="F22" s="307">
        <f>Teacher_need_by_subject!F626</f>
        <v>10046.130655005754</v>
      </c>
      <c r="G22" s="307">
        <f>Teacher_need_by_subject!G626</f>
        <v>10046.550813318294</v>
      </c>
      <c r="H22" s="307">
        <f>Teacher_need_by_subject!H626</f>
        <v>10118.934302150517</v>
      </c>
      <c r="I22" s="307">
        <f>Teacher_need_by_subject!I626</f>
        <v>10174.289952080673</v>
      </c>
      <c r="J22" s="307">
        <f>Teacher_need_by_subject!J626</f>
        <v>10255.565969553618</v>
      </c>
      <c r="K22" s="307">
        <f>Teacher_need_by_subject!K626</f>
        <v>10267.945214707341</v>
      </c>
      <c r="L22" s="307">
        <f>Teacher_need_by_subject!L626</f>
        <v>10218.290568571876</v>
      </c>
      <c r="M22" s="307">
        <f>Teacher_need_by_subject!M626</f>
        <v>10146.573350413757</v>
      </c>
      <c r="N22" s="307">
        <f>Teacher_need_by_subject!N626</f>
        <v>10130.573798685271</v>
      </c>
    </row>
    <row r="23" spans="2:14">
      <c r="B23" s="8" t="str">
        <f>Teacher_need_by_subject!B627</f>
        <v>Drama</v>
      </c>
      <c r="C23" s="307">
        <f>Teacher_need_by_subject!C627</f>
        <v>4997.2888230103827</v>
      </c>
      <c r="D23" s="307">
        <f>Teacher_need_by_subject!D627</f>
        <v>5025.8114145193067</v>
      </c>
      <c r="E23" s="307">
        <f>Teacher_need_by_subject!E627</f>
        <v>5018.1325596308079</v>
      </c>
      <c r="F23" s="307">
        <f>Teacher_need_by_subject!F627</f>
        <v>5020.895461785487</v>
      </c>
      <c r="G23" s="307">
        <f>Teacher_need_by_subject!G627</f>
        <v>5020.0737628608276</v>
      </c>
      <c r="H23" s="307">
        <f>Teacher_need_by_subject!H627</f>
        <v>5057.9063715487991</v>
      </c>
      <c r="I23" s="307">
        <f>Teacher_need_by_subject!I627</f>
        <v>5093.6859805130989</v>
      </c>
      <c r="J23" s="307">
        <f>Teacher_need_by_subject!J627</f>
        <v>5136.0193195775992</v>
      </c>
      <c r="K23" s="307">
        <f>Teacher_need_by_subject!K627</f>
        <v>5149.5011668603438</v>
      </c>
      <c r="L23" s="307">
        <f>Teacher_need_by_subject!L627</f>
        <v>5138.9404800018383</v>
      </c>
      <c r="M23" s="307">
        <f>Teacher_need_by_subject!M627</f>
        <v>5118.3350388019735</v>
      </c>
      <c r="N23" s="307">
        <f>Teacher_need_by_subject!N627</f>
        <v>5114.396654662788</v>
      </c>
    </row>
    <row r="24" spans="2:14">
      <c r="B24" s="8" t="str">
        <f>Teacher_need_by_subject!B628</f>
        <v>English</v>
      </c>
      <c r="C24" s="307">
        <f>Teacher_need_by_subject!C628</f>
        <v>30045.430109827248</v>
      </c>
      <c r="D24" s="307">
        <f>Teacher_need_by_subject!D628</f>
        <v>30333.400701627972</v>
      </c>
      <c r="E24" s="307">
        <f>Teacher_need_by_subject!E628</f>
        <v>30740.580743117873</v>
      </c>
      <c r="F24" s="307">
        <f>Teacher_need_by_subject!F628</f>
        <v>31138.164239620182</v>
      </c>
      <c r="G24" s="307">
        <f>Teacher_need_by_subject!G628</f>
        <v>31431.480605286102</v>
      </c>
      <c r="H24" s="307">
        <f>Teacher_need_by_subject!H628</f>
        <v>31724.957576132929</v>
      </c>
      <c r="I24" s="307">
        <f>Teacher_need_by_subject!I628</f>
        <v>32026.858636939469</v>
      </c>
      <c r="J24" s="307">
        <f>Teacher_need_by_subject!J628</f>
        <v>32259.412600544802</v>
      </c>
      <c r="K24" s="307">
        <f>Teacher_need_by_subject!K628</f>
        <v>32303.914557396369</v>
      </c>
      <c r="L24" s="307">
        <f>Teacher_need_by_subject!L628</f>
        <v>32322.338999171592</v>
      </c>
      <c r="M24" s="307">
        <f>Teacher_need_by_subject!M628</f>
        <v>32290.376328559087</v>
      </c>
      <c r="N24" s="307">
        <f>Teacher_need_by_subject!N628</f>
        <v>32194.629621922984</v>
      </c>
    </row>
    <row r="25" spans="2:14">
      <c r="B25" s="8" t="str">
        <f>Teacher_need_by_subject!B629</f>
        <v>Food</v>
      </c>
      <c r="C25" s="307">
        <f>Teacher_need_by_subject!C629</f>
        <v>2075.8992087342663</v>
      </c>
      <c r="D25" s="307">
        <f>Teacher_need_by_subject!D629</f>
        <v>2088.5494776737537</v>
      </c>
      <c r="E25" s="307">
        <f>Teacher_need_by_subject!E629</f>
        <v>2020.5594005340956</v>
      </c>
      <c r="F25" s="307">
        <f>Teacher_need_by_subject!F629</f>
        <v>1945.3740580544352</v>
      </c>
      <c r="G25" s="307">
        <f>Teacher_need_by_subject!G629</f>
        <v>1944.7047009758676</v>
      </c>
      <c r="H25" s="307">
        <f>Teacher_need_by_subject!H629</f>
        <v>1964.7747432789229</v>
      </c>
      <c r="I25" s="307">
        <f>Teacher_need_by_subject!I629</f>
        <v>1987.6196856729764</v>
      </c>
      <c r="J25" s="307">
        <f>Teacher_need_by_subject!J629</f>
        <v>2001.6146928070627</v>
      </c>
      <c r="K25" s="307">
        <f>Teacher_need_by_subject!K629</f>
        <v>2005.2494063786851</v>
      </c>
      <c r="L25" s="307">
        <f>Teacher_need_by_subject!L629</f>
        <v>2012.3431150457295</v>
      </c>
      <c r="M25" s="307">
        <f>Teacher_need_by_subject!M629</f>
        <v>2016.9028684008081</v>
      </c>
      <c r="N25" s="307">
        <f>Teacher_need_by_subject!N629</f>
        <v>2010.1952409179387</v>
      </c>
    </row>
    <row r="26" spans="2:14">
      <c r="B26" s="8" t="str">
        <f>Teacher_need_by_subject!B630</f>
        <v>Geography</v>
      </c>
      <c r="C26" s="307">
        <f>Teacher_need_by_subject!C630</f>
        <v>10518.362186302702</v>
      </c>
      <c r="D26" s="307">
        <f>Teacher_need_by_subject!D630</f>
        <v>10592.197160123502</v>
      </c>
      <c r="E26" s="307">
        <f>Teacher_need_by_subject!E630</f>
        <v>10991.644935793051</v>
      </c>
      <c r="F26" s="307">
        <f>Teacher_need_by_subject!F630</f>
        <v>11415.269146232955</v>
      </c>
      <c r="G26" s="307">
        <f>Teacher_need_by_subject!G630</f>
        <v>11567.794354132981</v>
      </c>
      <c r="H26" s="307">
        <f>Teacher_need_by_subject!H630</f>
        <v>11664.678552531093</v>
      </c>
      <c r="I26" s="307">
        <f>Teacher_need_by_subject!I630</f>
        <v>11757.312130654836</v>
      </c>
      <c r="J26" s="307">
        <f>Teacher_need_by_subject!J630</f>
        <v>11847.832710968347</v>
      </c>
      <c r="K26" s="307">
        <f>Teacher_need_by_subject!K630</f>
        <v>11867.451639056904</v>
      </c>
      <c r="L26" s="307">
        <f>Teacher_need_by_subject!L630</f>
        <v>11851.220190458745</v>
      </c>
      <c r="M26" s="307">
        <f>Teacher_need_by_subject!M630</f>
        <v>11813.654322341292</v>
      </c>
      <c r="N26" s="307">
        <f>Teacher_need_by_subject!N630</f>
        <v>11789.047949016856</v>
      </c>
    </row>
    <row r="27" spans="2:14">
      <c r="B27" s="8" t="str">
        <f>Teacher_need_by_subject!B631</f>
        <v>History</v>
      </c>
      <c r="C27" s="307">
        <f>Teacher_need_by_subject!C631</f>
        <v>11192.678423023735</v>
      </c>
      <c r="D27" s="307">
        <f>Teacher_need_by_subject!D631</f>
        <v>11256.687485244267</v>
      </c>
      <c r="E27" s="307">
        <f>Teacher_need_by_subject!E631</f>
        <v>11599.369617515154</v>
      </c>
      <c r="F27" s="307">
        <f>Teacher_need_by_subject!F631</f>
        <v>11967.19602921409</v>
      </c>
      <c r="G27" s="307">
        <f>Teacher_need_by_subject!G631</f>
        <v>12089.537654010986</v>
      </c>
      <c r="H27" s="307">
        <f>Teacher_need_by_subject!H631</f>
        <v>12190.325841181235</v>
      </c>
      <c r="I27" s="307">
        <f>Teacher_need_by_subject!I631</f>
        <v>12292.037124641112</v>
      </c>
      <c r="J27" s="307">
        <f>Teacher_need_by_subject!J631</f>
        <v>12389.451752886342</v>
      </c>
      <c r="K27" s="307">
        <f>Teacher_need_by_subject!K631</f>
        <v>12418.332954775977</v>
      </c>
      <c r="L27" s="307">
        <f>Teacher_need_by_subject!L631</f>
        <v>12411.854918401496</v>
      </c>
      <c r="M27" s="307">
        <f>Teacher_need_by_subject!M631</f>
        <v>12383.558824959737</v>
      </c>
      <c r="N27" s="307">
        <f>Teacher_need_by_subject!N631</f>
        <v>12364.268616074811</v>
      </c>
    </row>
    <row r="28" spans="2:14">
      <c r="B28" s="8" t="str">
        <f>Teacher_need_by_subject!B632</f>
        <v>Mathematics</v>
      </c>
      <c r="C28" s="307">
        <f>Teacher_need_by_subject!C632</f>
        <v>31128.110157317467</v>
      </c>
      <c r="D28" s="307">
        <f>Teacher_need_by_subject!D632</f>
        <v>31665.531388362488</v>
      </c>
      <c r="E28" s="307">
        <f>Teacher_need_by_subject!E632</f>
        <v>32100.361692253198</v>
      </c>
      <c r="F28" s="307">
        <f>Teacher_need_by_subject!F632</f>
        <v>32582.828012347269</v>
      </c>
      <c r="G28" s="307">
        <f>Teacher_need_by_subject!G632</f>
        <v>33003.668201745655</v>
      </c>
      <c r="H28" s="307">
        <f>Teacher_need_by_subject!H632</f>
        <v>33301.534329916365</v>
      </c>
      <c r="I28" s="307">
        <f>Teacher_need_by_subject!I632</f>
        <v>33615.152538711307</v>
      </c>
      <c r="J28" s="307">
        <f>Teacher_need_by_subject!J632</f>
        <v>33865.334671084165</v>
      </c>
      <c r="K28" s="307">
        <f>Teacher_need_by_subject!K632</f>
        <v>33930.636804597707</v>
      </c>
      <c r="L28" s="307">
        <f>Teacher_need_by_subject!L632</f>
        <v>33958.682466908453</v>
      </c>
      <c r="M28" s="307">
        <f>Teacher_need_by_subject!M632</f>
        <v>33933.81252854225</v>
      </c>
      <c r="N28" s="307">
        <f>Teacher_need_by_subject!N632</f>
        <v>33853.43348167192</v>
      </c>
    </row>
    <row r="29" spans="2:14">
      <c r="B29" s="8" t="str">
        <f>Teacher_need_by_subject!B633</f>
        <v>Modern Foreign Languages</v>
      </c>
      <c r="C29" s="307">
        <f>Teacher_need_by_subject!C633</f>
        <v>14939.764306075618</v>
      </c>
      <c r="D29" s="307">
        <f>Teacher_need_by_subject!D633</f>
        <v>15070.257443396837</v>
      </c>
      <c r="E29" s="307">
        <f>Teacher_need_by_subject!E633</f>
        <v>16557.230196768789</v>
      </c>
      <c r="F29" s="307">
        <f>Teacher_need_by_subject!F633</f>
        <v>18106.97526873889</v>
      </c>
      <c r="G29" s="307">
        <f>Teacher_need_by_subject!G633</f>
        <v>18695.254319919968</v>
      </c>
      <c r="H29" s="307">
        <f>Teacher_need_by_subject!H633</f>
        <v>18855.304901959025</v>
      </c>
      <c r="I29" s="307">
        <f>Teacher_need_by_subject!I633</f>
        <v>18999.002831661492</v>
      </c>
      <c r="J29" s="307">
        <f>Teacher_need_by_subject!J633</f>
        <v>19138.350839311574</v>
      </c>
      <c r="K29" s="307">
        <f>Teacher_need_by_subject!K633</f>
        <v>19151.937836517376</v>
      </c>
      <c r="L29" s="307">
        <f>Teacher_need_by_subject!L633</f>
        <v>19109.119672158304</v>
      </c>
      <c r="M29" s="307">
        <f>Teacher_need_by_subject!M633</f>
        <v>19031.45661965046</v>
      </c>
      <c r="N29" s="307">
        <f>Teacher_need_by_subject!N633</f>
        <v>18975.956019871268</v>
      </c>
    </row>
    <row r="30" spans="2:14">
      <c r="B30" s="8" t="str">
        <f>Teacher_need_by_subject!B634</f>
        <v>Music</v>
      </c>
      <c r="C30" s="307">
        <f>Teacher_need_by_subject!C634</f>
        <v>5182.1227072399643</v>
      </c>
      <c r="D30" s="307">
        <f>Teacher_need_by_subject!D634</f>
        <v>5224.0051096452526</v>
      </c>
      <c r="E30" s="307">
        <f>Teacher_need_by_subject!E634</f>
        <v>5274.0985798285237</v>
      </c>
      <c r="F30" s="307">
        <f>Teacher_need_by_subject!F634</f>
        <v>5340.7515597968822</v>
      </c>
      <c r="G30" s="307">
        <f>Teacher_need_by_subject!G634</f>
        <v>5392.9701813324909</v>
      </c>
      <c r="H30" s="307">
        <f>Teacher_need_by_subject!H634</f>
        <v>5429.8503815617332</v>
      </c>
      <c r="I30" s="307">
        <f>Teacher_need_by_subject!I634</f>
        <v>5456.5282095905159</v>
      </c>
      <c r="J30" s="307">
        <f>Teacher_need_by_subject!J634</f>
        <v>5501.1445781630673</v>
      </c>
      <c r="K30" s="307">
        <f>Teacher_need_by_subject!K634</f>
        <v>5508.718496895669</v>
      </c>
      <c r="L30" s="307">
        <f>Teacher_need_by_subject!L634</f>
        <v>5478.4692114884219</v>
      </c>
      <c r="M30" s="307">
        <f>Teacher_need_by_subject!M634</f>
        <v>5435.9069019080916</v>
      </c>
      <c r="N30" s="307">
        <f>Teacher_need_by_subject!N634</f>
        <v>5429.4623651065795</v>
      </c>
    </row>
    <row r="31" spans="2:14">
      <c r="B31" s="8" t="str">
        <f>Teacher_need_by_subject!B635</f>
        <v>Others</v>
      </c>
      <c r="C31" s="307">
        <f>Teacher_need_by_subject!C635</f>
        <v>14320.519643904654</v>
      </c>
      <c r="D31" s="307">
        <f>Teacher_need_by_subject!D635</f>
        <v>14167.017824214381</v>
      </c>
      <c r="E31" s="307">
        <f>Teacher_need_by_subject!E635</f>
        <v>13644.45192629548</v>
      </c>
      <c r="F31" s="307">
        <f>Teacher_need_by_subject!F635</f>
        <v>13168.958005566721</v>
      </c>
      <c r="G31" s="307">
        <f>Teacher_need_by_subject!G635</f>
        <v>13028.336477663877</v>
      </c>
      <c r="H31" s="307">
        <f>Teacher_need_by_subject!H635</f>
        <v>13119.243677203196</v>
      </c>
      <c r="I31" s="307">
        <f>Teacher_need_by_subject!I635</f>
        <v>13287.741271802557</v>
      </c>
      <c r="J31" s="307">
        <f>Teacher_need_by_subject!J635</f>
        <v>13441.112319312042</v>
      </c>
      <c r="K31" s="307">
        <f>Teacher_need_by_subject!K635</f>
        <v>13605.666391187309</v>
      </c>
      <c r="L31" s="307">
        <f>Teacher_need_by_subject!L635</f>
        <v>13740.245374084607</v>
      </c>
      <c r="M31" s="307">
        <f>Teacher_need_by_subject!M635</f>
        <v>13856.137858966566</v>
      </c>
      <c r="N31" s="307">
        <f>Teacher_need_by_subject!N635</f>
        <v>13945.356467368034</v>
      </c>
    </row>
    <row r="32" spans="2:14">
      <c r="B32" s="8" t="str">
        <f>Teacher_need_by_subject!B636</f>
        <v>Physical Education</v>
      </c>
      <c r="C32" s="307">
        <f>Teacher_need_by_subject!C636</f>
        <v>16924.886854184697</v>
      </c>
      <c r="D32" s="307">
        <f>Teacher_need_by_subject!D636</f>
        <v>17045.013299898539</v>
      </c>
      <c r="E32" s="307">
        <f>Teacher_need_by_subject!E636</f>
        <v>16956.087003196979</v>
      </c>
      <c r="F32" s="307">
        <f>Teacher_need_by_subject!F636</f>
        <v>16863.039703106369</v>
      </c>
      <c r="G32" s="307">
        <f>Teacher_need_by_subject!G636</f>
        <v>16951.559238171318</v>
      </c>
      <c r="H32" s="307">
        <f>Teacher_need_by_subject!H636</f>
        <v>17100.221557807639</v>
      </c>
      <c r="I32" s="307">
        <f>Teacher_need_by_subject!I636</f>
        <v>17247.144454354897</v>
      </c>
      <c r="J32" s="307">
        <f>Teacher_need_by_subject!J636</f>
        <v>17376.861204319455</v>
      </c>
      <c r="K32" s="307">
        <f>Teacher_need_by_subject!K636</f>
        <v>17403.765600561375</v>
      </c>
      <c r="L32" s="307">
        <f>Teacher_need_by_subject!L636</f>
        <v>17393.955577466586</v>
      </c>
      <c r="M32" s="307">
        <f>Teacher_need_by_subject!M636</f>
        <v>17354.566627480825</v>
      </c>
      <c r="N32" s="307">
        <f>Teacher_need_by_subject!N636</f>
        <v>17312.191984170175</v>
      </c>
    </row>
    <row r="33" spans="2:14">
      <c r="B33" s="8" t="str">
        <f>Teacher_need_by_subject!B637</f>
        <v>Physics</v>
      </c>
      <c r="C33" s="307">
        <f>Teacher_need_by_subject!C637</f>
        <v>10725.251800299693</v>
      </c>
      <c r="D33" s="307">
        <f>Teacher_need_by_subject!D637</f>
        <v>10795.237162264597</v>
      </c>
      <c r="E33" s="307">
        <f>Teacher_need_by_subject!E637</f>
        <v>10936.738865252666</v>
      </c>
      <c r="F33" s="307">
        <f>Teacher_need_by_subject!F637</f>
        <v>11065.944998845214</v>
      </c>
      <c r="G33" s="307">
        <f>Teacher_need_by_subject!G637</f>
        <v>11162.671456202223</v>
      </c>
      <c r="H33" s="307">
        <f>Teacher_need_by_subject!H637</f>
        <v>11276.285763812999</v>
      </c>
      <c r="I33" s="307">
        <f>Teacher_need_by_subject!I637</f>
        <v>11413.977518269763</v>
      </c>
      <c r="J33" s="307">
        <f>Teacher_need_by_subject!J637</f>
        <v>11499.237254241132</v>
      </c>
      <c r="K33" s="307">
        <f>Teacher_need_by_subject!K637</f>
        <v>11533.927145164296</v>
      </c>
      <c r="L33" s="307">
        <f>Teacher_need_by_subject!L637</f>
        <v>11589.923896002259</v>
      </c>
      <c r="M33" s="307">
        <f>Teacher_need_by_subject!M637</f>
        <v>11631.942741265495</v>
      </c>
      <c r="N33" s="307">
        <f>Teacher_need_by_subject!N637</f>
        <v>11604.656566877386</v>
      </c>
    </row>
    <row r="34" spans="2:14">
      <c r="B34" s="8" t="str">
        <f>Teacher_need_by_subject!B638</f>
        <v>Religious Education</v>
      </c>
      <c r="C34" s="307">
        <f>Teacher_need_by_subject!C638</f>
        <v>7377.2618621307392</v>
      </c>
      <c r="D34" s="307">
        <f>Teacher_need_by_subject!D638</f>
        <v>7422.7824256240674</v>
      </c>
      <c r="E34" s="307">
        <f>Teacher_need_by_subject!E638</f>
        <v>7500.1802969344735</v>
      </c>
      <c r="F34" s="307">
        <f>Teacher_need_by_subject!F638</f>
        <v>7582.9020625192106</v>
      </c>
      <c r="G34" s="307">
        <f>Teacher_need_by_subject!G638</f>
        <v>7654.767656974067</v>
      </c>
      <c r="H34" s="307">
        <f>Teacher_need_by_subject!H638</f>
        <v>7720.9539954092179</v>
      </c>
      <c r="I34" s="307">
        <f>Teacher_need_by_subject!I638</f>
        <v>7788.0683359980958</v>
      </c>
      <c r="J34" s="307">
        <f>Teacher_need_by_subject!J638</f>
        <v>7848.1363830283999</v>
      </c>
      <c r="K34" s="307">
        <f>Teacher_need_by_subject!K638</f>
        <v>7863.9567848257848</v>
      </c>
      <c r="L34" s="307">
        <f>Teacher_need_by_subject!L638</f>
        <v>7862.2904175380427</v>
      </c>
      <c r="M34" s="307">
        <f>Teacher_need_by_subject!M638</f>
        <v>7847.2755854418974</v>
      </c>
      <c r="N34" s="307">
        <f>Teacher_need_by_subject!N638</f>
        <v>7831.5078431053325</v>
      </c>
    </row>
    <row r="36" spans="2:14" ht="15.75">
      <c r="B36" s="78" t="s">
        <v>102</v>
      </c>
      <c r="D36" s="150" t="s">
        <v>1119</v>
      </c>
    </row>
    <row r="38" spans="2:14">
      <c r="B38" s="8" t="str">
        <f>B14</f>
        <v>Phase/subject</v>
      </c>
      <c r="C38" s="8" t="str">
        <f>C14</f>
        <v>2016/17</v>
      </c>
      <c r="D38" s="8" t="str">
        <f t="shared" ref="D38:N38" si="0">D14</f>
        <v>2017/18</v>
      </c>
      <c r="E38" s="8" t="str">
        <f t="shared" si="0"/>
        <v>2018/19</v>
      </c>
      <c r="F38" s="8" t="str">
        <f t="shared" si="0"/>
        <v>2019/20</v>
      </c>
      <c r="G38" s="8" t="str">
        <f t="shared" si="0"/>
        <v>2020/21</v>
      </c>
      <c r="H38" s="8" t="str">
        <f t="shared" si="0"/>
        <v>2021/22</v>
      </c>
      <c r="I38" s="8" t="str">
        <f t="shared" si="0"/>
        <v>2022/23</v>
      </c>
      <c r="J38" s="8" t="str">
        <f t="shared" si="0"/>
        <v>2023/24</v>
      </c>
      <c r="K38" s="8" t="str">
        <f t="shared" si="0"/>
        <v>2024/25</v>
      </c>
      <c r="L38" s="8" t="str">
        <f t="shared" si="0"/>
        <v>2025/26</v>
      </c>
      <c r="M38" s="8" t="str">
        <f t="shared" si="0"/>
        <v>2026/27</v>
      </c>
      <c r="N38" s="8" t="str">
        <f t="shared" si="0"/>
        <v>2027/28</v>
      </c>
    </row>
    <row r="39" spans="2:14">
      <c r="B39" s="8" t="str">
        <f t="shared" ref="B39:B49" si="1">B15</f>
        <v>Primary</v>
      </c>
      <c r="C39" s="543">
        <f>RAW_DATA_INPUTS!AQ50+RAW_DATA_INPUTS!AR50</f>
        <v>239231.65000000002</v>
      </c>
      <c r="D39" s="459">
        <f>C15</f>
        <v>242289.97801032916</v>
      </c>
      <c r="E39" s="459">
        <f>D15</f>
        <v>243816.50498787969</v>
      </c>
      <c r="F39" s="459">
        <f t="shared" ref="F39:N39" si="2">E15</f>
        <v>244473.00051685341</v>
      </c>
      <c r="G39" s="459">
        <f t="shared" si="2"/>
        <v>244493.08548462985</v>
      </c>
      <c r="H39" s="459">
        <f t="shared" si="2"/>
        <v>244756.56223781532</v>
      </c>
      <c r="I39" s="459">
        <f t="shared" si="2"/>
        <v>244837.80568339408</v>
      </c>
      <c r="J39" s="459">
        <f t="shared" si="2"/>
        <v>244626.1931197551</v>
      </c>
      <c r="K39" s="459">
        <f t="shared" si="2"/>
        <v>244233.40708441578</v>
      </c>
      <c r="L39" s="459">
        <f t="shared" si="2"/>
        <v>244470.60548841688</v>
      </c>
      <c r="M39" s="459">
        <f t="shared" si="2"/>
        <v>245157.17144903576</v>
      </c>
      <c r="N39" s="459">
        <f t="shared" si="2"/>
        <v>245898.02721211434</v>
      </c>
    </row>
    <row r="40" spans="2:14">
      <c r="B40" s="8" t="str">
        <f t="shared" si="1"/>
        <v>Art &amp; Design</v>
      </c>
      <c r="C40" s="543">
        <f>Stock_calculations!E44</f>
        <v>8403.4718802046573</v>
      </c>
      <c r="D40" s="459">
        <f t="shared" ref="D40:E58" si="3">C16</f>
        <v>8310.5880067254166</v>
      </c>
      <c r="E40" s="459">
        <f t="shared" si="3"/>
        <v>8341.9492808008581</v>
      </c>
      <c r="F40" s="459">
        <f t="shared" ref="F40:N40" si="4">E16</f>
        <v>8263.3569449253591</v>
      </c>
      <c r="G40" s="459">
        <f t="shared" si="4"/>
        <v>8200.1412123163773</v>
      </c>
      <c r="H40" s="459">
        <f t="shared" si="4"/>
        <v>8247.0972917838062</v>
      </c>
      <c r="I40" s="459">
        <f t="shared" si="4"/>
        <v>8308.7412098493205</v>
      </c>
      <c r="J40" s="459">
        <f t="shared" si="4"/>
        <v>8371.7661985209452</v>
      </c>
      <c r="K40" s="459">
        <f t="shared" si="4"/>
        <v>8443.8747079762379</v>
      </c>
      <c r="L40" s="459">
        <f t="shared" si="4"/>
        <v>8473.5651607866948</v>
      </c>
      <c r="M40" s="459">
        <f t="shared" si="4"/>
        <v>8465.4356425603892</v>
      </c>
      <c r="N40" s="459">
        <f t="shared" si="4"/>
        <v>8441.2110439638218</v>
      </c>
    </row>
    <row r="41" spans="2:14">
      <c r="B41" s="8" t="str">
        <f t="shared" si="1"/>
        <v>Biology</v>
      </c>
      <c r="C41" s="543">
        <f>Stock_calculations!E45</f>
        <v>12195.46637304493</v>
      </c>
      <c r="D41" s="459">
        <f t="shared" si="3"/>
        <v>12786.987412851919</v>
      </c>
      <c r="E41" s="459">
        <f t="shared" si="3"/>
        <v>12855.738513404587</v>
      </c>
      <c r="F41" s="459">
        <f t="shared" ref="F41:N41" si="5">E17</f>
        <v>12998.316050469002</v>
      </c>
      <c r="G41" s="459">
        <f t="shared" si="5"/>
        <v>13138.105245734181</v>
      </c>
      <c r="H41" s="459">
        <f t="shared" si="5"/>
        <v>13246.541294911551</v>
      </c>
      <c r="I41" s="459">
        <f t="shared" si="5"/>
        <v>13373.709515062588</v>
      </c>
      <c r="J41" s="459">
        <f t="shared" si="5"/>
        <v>13528.547619574107</v>
      </c>
      <c r="K41" s="459">
        <f t="shared" si="5"/>
        <v>13635.027100789352</v>
      </c>
      <c r="L41" s="459">
        <f t="shared" si="5"/>
        <v>13684.461372087695</v>
      </c>
      <c r="M41" s="459">
        <f t="shared" si="5"/>
        <v>13743.463089448744</v>
      </c>
      <c r="N41" s="459">
        <f t="shared" si="5"/>
        <v>13784.393459502542</v>
      </c>
    </row>
    <row r="42" spans="2:14">
      <c r="B42" s="8" t="str">
        <f t="shared" si="1"/>
        <v>Business Studies</v>
      </c>
      <c r="C42" s="543">
        <f>Stock_calculations!E46</f>
        <v>4190.7656020219183</v>
      </c>
      <c r="D42" s="459">
        <f t="shared" si="3"/>
        <v>4112.7854114647489</v>
      </c>
      <c r="E42" s="459">
        <f t="shared" si="3"/>
        <v>4055.1181721093221</v>
      </c>
      <c r="F42" s="459">
        <f t="shared" ref="F42:N42" si="6">E18</f>
        <v>3888.3058629551306</v>
      </c>
      <c r="G42" s="459">
        <f t="shared" si="6"/>
        <v>3726.3896860129285</v>
      </c>
      <c r="H42" s="459">
        <f t="shared" si="6"/>
        <v>3700.1602214135623</v>
      </c>
      <c r="I42" s="459">
        <f t="shared" si="6"/>
        <v>3732.113720085189</v>
      </c>
      <c r="J42" s="459">
        <f t="shared" si="6"/>
        <v>3795.6822886090704</v>
      </c>
      <c r="K42" s="459">
        <f t="shared" si="6"/>
        <v>3839.0570157411021</v>
      </c>
      <c r="L42" s="459">
        <f t="shared" si="6"/>
        <v>3892.0307178782004</v>
      </c>
      <c r="M42" s="459">
        <f t="shared" si="6"/>
        <v>3954.0926367676466</v>
      </c>
      <c r="N42" s="459">
        <f t="shared" si="6"/>
        <v>4012.9661119373727</v>
      </c>
    </row>
    <row r="43" spans="2:14">
      <c r="B43" s="8" t="str">
        <f t="shared" si="1"/>
        <v>Chemistry</v>
      </c>
      <c r="C43" s="543">
        <f>Stock_calculations!E47</f>
        <v>10615.775802123964</v>
      </c>
      <c r="D43" s="459">
        <f t="shared" si="3"/>
        <v>11068.508981061603</v>
      </c>
      <c r="E43" s="459">
        <f t="shared" si="3"/>
        <v>11129.85258610651</v>
      </c>
      <c r="F43" s="459">
        <f t="shared" ref="F43:N43" si="7">E19</f>
        <v>11260.285419513875</v>
      </c>
      <c r="G43" s="459">
        <f t="shared" si="7"/>
        <v>11383.268474585764</v>
      </c>
      <c r="H43" s="459">
        <f t="shared" si="7"/>
        <v>11478.037676404865</v>
      </c>
      <c r="I43" s="459">
        <f t="shared" si="7"/>
        <v>11591.815611587474</v>
      </c>
      <c r="J43" s="459">
        <f t="shared" si="7"/>
        <v>11731.989151799509</v>
      </c>
      <c r="K43" s="459">
        <f t="shared" si="7"/>
        <v>11822.684634785315</v>
      </c>
      <c r="L43" s="459">
        <f t="shared" si="7"/>
        <v>11864.545594307421</v>
      </c>
      <c r="M43" s="459">
        <f t="shared" si="7"/>
        <v>11923.190684157031</v>
      </c>
      <c r="N43" s="459">
        <f t="shared" si="7"/>
        <v>11967.082084944395</v>
      </c>
    </row>
    <row r="44" spans="2:14">
      <c r="B44" s="8" t="str">
        <f t="shared" si="1"/>
        <v>Classics</v>
      </c>
      <c r="C44" s="543">
        <f>Stock_calculations!E48</f>
        <v>323.69501650688886</v>
      </c>
      <c r="D44" s="459">
        <f t="shared" si="3"/>
        <v>318.24964480117319</v>
      </c>
      <c r="E44" s="459">
        <f t="shared" si="3"/>
        <v>316.66378192264295</v>
      </c>
      <c r="F44" s="459">
        <f t="shared" ref="F44:N44" si="8">E20</f>
        <v>316.17539575582185</v>
      </c>
      <c r="G44" s="459">
        <f t="shared" si="8"/>
        <v>316.8320077141023</v>
      </c>
      <c r="H44" s="459">
        <f t="shared" si="8"/>
        <v>318.22126343422786</v>
      </c>
      <c r="I44" s="459">
        <f t="shared" si="8"/>
        <v>320.55922029487579</v>
      </c>
      <c r="J44" s="459">
        <f t="shared" si="8"/>
        <v>323.9615218164621</v>
      </c>
      <c r="K44" s="459">
        <f t="shared" si="8"/>
        <v>327.23843536550851</v>
      </c>
      <c r="L44" s="459">
        <f t="shared" si="8"/>
        <v>329.9037008362418</v>
      </c>
      <c r="M44" s="459">
        <f t="shared" si="8"/>
        <v>331.60054560560565</v>
      </c>
      <c r="N44" s="459">
        <f t="shared" si="8"/>
        <v>332.77509243618636</v>
      </c>
    </row>
    <row r="45" spans="2:14">
      <c r="B45" s="8" t="str">
        <f t="shared" si="1"/>
        <v>Computing</v>
      </c>
      <c r="C45" s="543">
        <f>Stock_calculations!E49</f>
        <v>7632.3179395789621</v>
      </c>
      <c r="D45" s="459">
        <f t="shared" si="3"/>
        <v>7510.2346856737895</v>
      </c>
      <c r="E45" s="459">
        <f t="shared" si="3"/>
        <v>7534.6411432498553</v>
      </c>
      <c r="F45" s="459">
        <f t="shared" ref="F45:N45" si="9">E21</f>
        <v>7318.2295859772075</v>
      </c>
      <c r="G45" s="459">
        <f t="shared" si="9"/>
        <v>7103.8364078234217</v>
      </c>
      <c r="H45" s="459">
        <f t="shared" si="9"/>
        <v>7103.7888064980007</v>
      </c>
      <c r="I45" s="459">
        <f t="shared" si="9"/>
        <v>7160.731983145397</v>
      </c>
      <c r="J45" s="459">
        <f t="shared" si="9"/>
        <v>7223.7313653134643</v>
      </c>
      <c r="K45" s="459">
        <f t="shared" si="9"/>
        <v>7285.2061506055279</v>
      </c>
      <c r="L45" s="459">
        <f t="shared" si="9"/>
        <v>7313.0393557838233</v>
      </c>
      <c r="M45" s="459">
        <f t="shared" si="9"/>
        <v>7318.6843950857137</v>
      </c>
      <c r="N45" s="459">
        <f t="shared" si="9"/>
        <v>7311.6741857708776</v>
      </c>
    </row>
    <row r="46" spans="2:14">
      <c r="B46" s="8" t="str">
        <f t="shared" si="1"/>
        <v>Design &amp; Technology</v>
      </c>
      <c r="C46" s="543">
        <f>Stock_calculations!E50</f>
        <v>10452.379425491614</v>
      </c>
      <c r="D46" s="459">
        <f t="shared" si="3"/>
        <v>10441.074820779617</v>
      </c>
      <c r="E46" s="459">
        <f t="shared" si="3"/>
        <v>10527.780594865922</v>
      </c>
      <c r="F46" s="459">
        <f t="shared" ref="F46:N46" si="10">E22</f>
        <v>10281.479861267137</v>
      </c>
      <c r="G46" s="459">
        <f t="shared" si="10"/>
        <v>10046.130655005754</v>
      </c>
      <c r="H46" s="459">
        <f t="shared" si="10"/>
        <v>10046.550813318294</v>
      </c>
      <c r="I46" s="459">
        <f t="shared" si="10"/>
        <v>10118.934302150517</v>
      </c>
      <c r="J46" s="459">
        <f t="shared" si="10"/>
        <v>10174.289952080673</v>
      </c>
      <c r="K46" s="459">
        <f t="shared" si="10"/>
        <v>10255.565969553618</v>
      </c>
      <c r="L46" s="459">
        <f t="shared" si="10"/>
        <v>10267.945214707341</v>
      </c>
      <c r="M46" s="459">
        <f t="shared" si="10"/>
        <v>10218.290568571876</v>
      </c>
      <c r="N46" s="459">
        <f t="shared" si="10"/>
        <v>10146.573350413757</v>
      </c>
    </row>
    <row r="47" spans="2:14">
      <c r="B47" s="8" t="str">
        <f t="shared" si="1"/>
        <v>Drama</v>
      </c>
      <c r="C47" s="543">
        <f>Stock_calculations!E51</f>
        <v>5011.1775217845561</v>
      </c>
      <c r="D47" s="459">
        <f t="shared" si="3"/>
        <v>4997.2888230103827</v>
      </c>
      <c r="E47" s="459">
        <f t="shared" si="3"/>
        <v>5025.8114145193067</v>
      </c>
      <c r="F47" s="459">
        <f t="shared" ref="F47:N47" si="11">E23</f>
        <v>5018.1325596308079</v>
      </c>
      <c r="G47" s="459">
        <f t="shared" si="11"/>
        <v>5020.895461785487</v>
      </c>
      <c r="H47" s="459">
        <f t="shared" si="11"/>
        <v>5020.0737628608276</v>
      </c>
      <c r="I47" s="459">
        <f t="shared" si="11"/>
        <v>5057.9063715487991</v>
      </c>
      <c r="J47" s="459">
        <f t="shared" si="11"/>
        <v>5093.6859805130989</v>
      </c>
      <c r="K47" s="459">
        <f t="shared" si="11"/>
        <v>5136.0193195775992</v>
      </c>
      <c r="L47" s="459">
        <f t="shared" si="11"/>
        <v>5149.5011668603438</v>
      </c>
      <c r="M47" s="459">
        <f t="shared" si="11"/>
        <v>5138.9404800018383</v>
      </c>
      <c r="N47" s="459">
        <f t="shared" si="11"/>
        <v>5118.3350388019735</v>
      </c>
    </row>
    <row r="48" spans="2:14">
      <c r="B48" s="8" t="str">
        <f t="shared" si="1"/>
        <v>English</v>
      </c>
      <c r="C48" s="543">
        <f>Stock_calculations!E52</f>
        <v>29584.626169854324</v>
      </c>
      <c r="D48" s="459">
        <f t="shared" si="3"/>
        <v>30045.430109827248</v>
      </c>
      <c r="E48" s="459">
        <f t="shared" si="3"/>
        <v>30333.400701627972</v>
      </c>
      <c r="F48" s="459">
        <f t="shared" ref="F48:N48" si="12">E24</f>
        <v>30740.580743117873</v>
      </c>
      <c r="G48" s="459">
        <f t="shared" si="12"/>
        <v>31138.164239620182</v>
      </c>
      <c r="H48" s="459">
        <f t="shared" si="12"/>
        <v>31431.480605286102</v>
      </c>
      <c r="I48" s="459">
        <f t="shared" si="12"/>
        <v>31724.957576132929</v>
      </c>
      <c r="J48" s="459">
        <f t="shared" si="12"/>
        <v>32026.858636939469</v>
      </c>
      <c r="K48" s="459">
        <f t="shared" si="12"/>
        <v>32259.412600544802</v>
      </c>
      <c r="L48" s="459">
        <f t="shared" si="12"/>
        <v>32303.914557396369</v>
      </c>
      <c r="M48" s="459">
        <f t="shared" si="12"/>
        <v>32322.338999171592</v>
      </c>
      <c r="N48" s="459">
        <f t="shared" si="12"/>
        <v>32290.376328559087</v>
      </c>
    </row>
    <row r="49" spans="1:14">
      <c r="B49" s="8" t="str">
        <f t="shared" si="1"/>
        <v>Food</v>
      </c>
      <c r="C49" s="543">
        <f>Stock_calculations!E53</f>
        <v>2132.1912790445504</v>
      </c>
      <c r="D49" s="459">
        <f t="shared" si="3"/>
        <v>2075.8992087342663</v>
      </c>
      <c r="E49" s="459">
        <f t="shared" si="3"/>
        <v>2088.5494776737537</v>
      </c>
      <c r="F49" s="459">
        <f t="shared" ref="F49:N49" si="13">E25</f>
        <v>2020.5594005340956</v>
      </c>
      <c r="G49" s="459">
        <f t="shared" si="13"/>
        <v>1945.3740580544352</v>
      </c>
      <c r="H49" s="459">
        <f t="shared" si="13"/>
        <v>1944.7047009758676</v>
      </c>
      <c r="I49" s="459">
        <f t="shared" si="13"/>
        <v>1964.7747432789229</v>
      </c>
      <c r="J49" s="459">
        <f t="shared" si="13"/>
        <v>1987.6196856729764</v>
      </c>
      <c r="K49" s="459">
        <f t="shared" si="13"/>
        <v>2001.6146928070627</v>
      </c>
      <c r="L49" s="459">
        <f t="shared" si="13"/>
        <v>2005.2494063786851</v>
      </c>
      <c r="M49" s="459">
        <f t="shared" si="13"/>
        <v>2012.3431150457295</v>
      </c>
      <c r="N49" s="459">
        <f t="shared" si="13"/>
        <v>2016.9028684008081</v>
      </c>
    </row>
    <row r="50" spans="1:14">
      <c r="B50" s="8" t="str">
        <f t="shared" ref="B50:B58" si="14">B26</f>
        <v>Geography</v>
      </c>
      <c r="C50" s="543">
        <f>Stock_calculations!E54</f>
        <v>10546.780943954087</v>
      </c>
      <c r="D50" s="459">
        <f t="shared" si="3"/>
        <v>10518.362186302702</v>
      </c>
      <c r="E50" s="459">
        <f t="shared" si="3"/>
        <v>10592.197160123502</v>
      </c>
      <c r="F50" s="459">
        <f t="shared" ref="F50:N50" si="15">E26</f>
        <v>10991.644935793051</v>
      </c>
      <c r="G50" s="459">
        <f t="shared" si="15"/>
        <v>11415.269146232955</v>
      </c>
      <c r="H50" s="459">
        <f t="shared" si="15"/>
        <v>11567.794354132981</v>
      </c>
      <c r="I50" s="459">
        <f t="shared" si="15"/>
        <v>11664.678552531093</v>
      </c>
      <c r="J50" s="459">
        <f t="shared" si="15"/>
        <v>11757.312130654836</v>
      </c>
      <c r="K50" s="459">
        <f t="shared" si="15"/>
        <v>11847.832710968347</v>
      </c>
      <c r="L50" s="459">
        <f t="shared" si="15"/>
        <v>11867.451639056904</v>
      </c>
      <c r="M50" s="459">
        <f t="shared" si="15"/>
        <v>11851.220190458745</v>
      </c>
      <c r="N50" s="459">
        <f t="shared" si="15"/>
        <v>11813.654322341292</v>
      </c>
    </row>
    <row r="51" spans="1:14">
      <c r="B51" s="8" t="str">
        <f t="shared" si="14"/>
        <v>History</v>
      </c>
      <c r="C51" s="543">
        <f>Stock_calculations!E55</f>
        <v>11319.183686291255</v>
      </c>
      <c r="D51" s="459">
        <f t="shared" si="3"/>
        <v>11192.678423023735</v>
      </c>
      <c r="E51" s="459">
        <f t="shared" si="3"/>
        <v>11256.687485244267</v>
      </c>
      <c r="F51" s="459">
        <f t="shared" ref="F51:N51" si="16">E27</f>
        <v>11599.369617515154</v>
      </c>
      <c r="G51" s="459">
        <f t="shared" si="16"/>
        <v>11967.19602921409</v>
      </c>
      <c r="H51" s="459">
        <f t="shared" si="16"/>
        <v>12089.537654010986</v>
      </c>
      <c r="I51" s="459">
        <f t="shared" si="16"/>
        <v>12190.325841181235</v>
      </c>
      <c r="J51" s="459">
        <f t="shared" si="16"/>
        <v>12292.037124641112</v>
      </c>
      <c r="K51" s="459">
        <f t="shared" si="16"/>
        <v>12389.451752886342</v>
      </c>
      <c r="L51" s="459">
        <f t="shared" si="16"/>
        <v>12418.332954775977</v>
      </c>
      <c r="M51" s="459">
        <f t="shared" si="16"/>
        <v>12411.854918401496</v>
      </c>
      <c r="N51" s="459">
        <f t="shared" si="16"/>
        <v>12383.558824959737</v>
      </c>
    </row>
    <row r="52" spans="1:14">
      <c r="B52" s="8" t="str">
        <f t="shared" si="14"/>
        <v>Mathematics</v>
      </c>
      <c r="C52" s="543">
        <f>Stock_calculations!E56</f>
        <v>30149.995151017931</v>
      </c>
      <c r="D52" s="459">
        <f t="shared" si="3"/>
        <v>31128.110157317467</v>
      </c>
      <c r="E52" s="459">
        <f t="shared" si="3"/>
        <v>31665.531388362488</v>
      </c>
      <c r="F52" s="459">
        <f t="shared" ref="F52:N52" si="17">E28</f>
        <v>32100.361692253198</v>
      </c>
      <c r="G52" s="459">
        <f t="shared" si="17"/>
        <v>32582.828012347269</v>
      </c>
      <c r="H52" s="459">
        <f t="shared" si="17"/>
        <v>33003.668201745655</v>
      </c>
      <c r="I52" s="459">
        <f t="shared" si="17"/>
        <v>33301.534329916365</v>
      </c>
      <c r="J52" s="459">
        <f t="shared" si="17"/>
        <v>33615.152538711307</v>
      </c>
      <c r="K52" s="459">
        <f t="shared" si="17"/>
        <v>33865.334671084165</v>
      </c>
      <c r="L52" s="459">
        <f t="shared" si="17"/>
        <v>33930.636804597707</v>
      </c>
      <c r="M52" s="459">
        <f t="shared" si="17"/>
        <v>33958.682466908453</v>
      </c>
      <c r="N52" s="459">
        <f t="shared" si="17"/>
        <v>33933.81252854225</v>
      </c>
    </row>
    <row r="53" spans="1:14">
      <c r="B53" s="8" t="str">
        <f t="shared" si="14"/>
        <v>Modern Foreign Languages</v>
      </c>
      <c r="C53" s="543">
        <f>Stock_calculations!E57</f>
        <v>15054.501758556102</v>
      </c>
      <c r="D53" s="459">
        <f t="shared" si="3"/>
        <v>14939.764306075618</v>
      </c>
      <c r="E53" s="459">
        <f t="shared" si="3"/>
        <v>15070.257443396837</v>
      </c>
      <c r="F53" s="459">
        <f t="shared" ref="F53:N53" si="18">E29</f>
        <v>16557.230196768789</v>
      </c>
      <c r="G53" s="459">
        <f t="shared" si="18"/>
        <v>18106.97526873889</v>
      </c>
      <c r="H53" s="459">
        <f t="shared" si="18"/>
        <v>18695.254319919968</v>
      </c>
      <c r="I53" s="459">
        <f t="shared" si="18"/>
        <v>18855.304901959025</v>
      </c>
      <c r="J53" s="459">
        <f t="shared" si="18"/>
        <v>18999.002831661492</v>
      </c>
      <c r="K53" s="459">
        <f t="shared" si="18"/>
        <v>19138.350839311574</v>
      </c>
      <c r="L53" s="459">
        <f t="shared" si="18"/>
        <v>19151.937836517376</v>
      </c>
      <c r="M53" s="459">
        <f t="shared" si="18"/>
        <v>19109.119672158304</v>
      </c>
      <c r="N53" s="459">
        <f t="shared" si="18"/>
        <v>19031.45661965046</v>
      </c>
    </row>
    <row r="54" spans="1:14">
      <c r="B54" s="8" t="str">
        <f t="shared" si="14"/>
        <v>Music</v>
      </c>
      <c r="C54" s="543">
        <f>Stock_calculations!E58</f>
        <v>5189.9197445003774</v>
      </c>
      <c r="D54" s="459">
        <f t="shared" si="3"/>
        <v>5182.1227072399643</v>
      </c>
      <c r="E54" s="459">
        <f t="shared" si="3"/>
        <v>5224.0051096452526</v>
      </c>
      <c r="F54" s="459">
        <f t="shared" ref="F54:N54" si="19">E30</f>
        <v>5274.0985798285237</v>
      </c>
      <c r="G54" s="459">
        <f t="shared" si="19"/>
        <v>5340.7515597968822</v>
      </c>
      <c r="H54" s="459">
        <f t="shared" si="19"/>
        <v>5392.9701813324909</v>
      </c>
      <c r="I54" s="459">
        <f t="shared" si="19"/>
        <v>5429.8503815617332</v>
      </c>
      <c r="J54" s="459">
        <f t="shared" si="19"/>
        <v>5456.5282095905159</v>
      </c>
      <c r="K54" s="459">
        <f t="shared" si="19"/>
        <v>5501.1445781630673</v>
      </c>
      <c r="L54" s="459">
        <f t="shared" si="19"/>
        <v>5508.718496895669</v>
      </c>
      <c r="M54" s="459">
        <f t="shared" si="19"/>
        <v>5478.4692114884219</v>
      </c>
      <c r="N54" s="459">
        <f t="shared" si="19"/>
        <v>5435.9069019080916</v>
      </c>
    </row>
    <row r="55" spans="1:14">
      <c r="B55" s="8" t="str">
        <f t="shared" si="14"/>
        <v>Others</v>
      </c>
      <c r="C55" s="543">
        <f>Stock_calculations!E59</f>
        <v>14456.572484646087</v>
      </c>
      <c r="D55" s="459">
        <f t="shared" si="3"/>
        <v>14320.519643904654</v>
      </c>
      <c r="E55" s="459">
        <f t="shared" si="3"/>
        <v>14167.017824214381</v>
      </c>
      <c r="F55" s="459">
        <f t="shared" ref="F55:N55" si="20">E31</f>
        <v>13644.45192629548</v>
      </c>
      <c r="G55" s="459">
        <f t="shared" si="20"/>
        <v>13168.958005566721</v>
      </c>
      <c r="H55" s="459">
        <f t="shared" si="20"/>
        <v>13028.336477663877</v>
      </c>
      <c r="I55" s="459">
        <f t="shared" si="20"/>
        <v>13119.243677203196</v>
      </c>
      <c r="J55" s="459">
        <f t="shared" si="20"/>
        <v>13287.741271802557</v>
      </c>
      <c r="K55" s="459">
        <f t="shared" si="20"/>
        <v>13441.112319312042</v>
      </c>
      <c r="L55" s="459">
        <f t="shared" si="20"/>
        <v>13605.666391187309</v>
      </c>
      <c r="M55" s="459">
        <f t="shared" si="20"/>
        <v>13740.245374084607</v>
      </c>
      <c r="N55" s="459">
        <f t="shared" si="20"/>
        <v>13856.137858966566</v>
      </c>
    </row>
    <row r="56" spans="1:14">
      <c r="B56" s="8" t="str">
        <f t="shared" si="14"/>
        <v>Physical Education</v>
      </c>
      <c r="C56" s="543">
        <f>Stock_calculations!E60</f>
        <v>17166.532058637091</v>
      </c>
      <c r="D56" s="459">
        <f t="shared" si="3"/>
        <v>16924.886854184697</v>
      </c>
      <c r="E56" s="459">
        <f t="shared" si="3"/>
        <v>17045.013299898539</v>
      </c>
      <c r="F56" s="459">
        <f t="shared" ref="F56:N56" si="21">E32</f>
        <v>16956.087003196979</v>
      </c>
      <c r="G56" s="459">
        <f t="shared" si="21"/>
        <v>16863.039703106369</v>
      </c>
      <c r="H56" s="459">
        <f t="shared" si="21"/>
        <v>16951.559238171318</v>
      </c>
      <c r="I56" s="459">
        <f t="shared" si="21"/>
        <v>17100.221557807639</v>
      </c>
      <c r="J56" s="459">
        <f t="shared" si="21"/>
        <v>17247.144454354897</v>
      </c>
      <c r="K56" s="459">
        <f t="shared" si="21"/>
        <v>17376.861204319455</v>
      </c>
      <c r="L56" s="459">
        <f t="shared" si="21"/>
        <v>17403.765600561375</v>
      </c>
      <c r="M56" s="459">
        <f t="shared" si="21"/>
        <v>17393.955577466586</v>
      </c>
      <c r="N56" s="459">
        <f t="shared" si="21"/>
        <v>17354.566627480825</v>
      </c>
    </row>
    <row r="57" spans="1:14">
      <c r="B57" s="8" t="str">
        <f t="shared" si="14"/>
        <v>Physics</v>
      </c>
      <c r="C57" s="543">
        <f>Stock_calculations!E61</f>
        <v>10265.321856439094</v>
      </c>
      <c r="D57" s="459">
        <f t="shared" si="3"/>
        <v>10725.251800299693</v>
      </c>
      <c r="E57" s="459">
        <f t="shared" si="3"/>
        <v>10795.237162264597</v>
      </c>
      <c r="F57" s="459">
        <f t="shared" ref="F57:N57" si="22">E33</f>
        <v>10936.738865252666</v>
      </c>
      <c r="G57" s="459">
        <f t="shared" si="22"/>
        <v>11065.944998845214</v>
      </c>
      <c r="H57" s="459">
        <f t="shared" si="22"/>
        <v>11162.671456202223</v>
      </c>
      <c r="I57" s="459">
        <f t="shared" si="22"/>
        <v>11276.285763812999</v>
      </c>
      <c r="J57" s="459">
        <f t="shared" si="22"/>
        <v>11413.977518269763</v>
      </c>
      <c r="K57" s="459">
        <f t="shared" si="22"/>
        <v>11499.237254241132</v>
      </c>
      <c r="L57" s="459">
        <f t="shared" si="22"/>
        <v>11533.927145164296</v>
      </c>
      <c r="M57" s="459">
        <f t="shared" si="22"/>
        <v>11589.923896002259</v>
      </c>
      <c r="N57" s="459">
        <f t="shared" si="22"/>
        <v>11631.942741265495</v>
      </c>
    </row>
    <row r="58" spans="1:14">
      <c r="B58" s="8" t="str">
        <f t="shared" si="14"/>
        <v>Religious Education</v>
      </c>
      <c r="C58" s="543">
        <f>Stock_calculations!E62</f>
        <v>7422.3926080902065</v>
      </c>
      <c r="D58" s="459">
        <f t="shared" si="3"/>
        <v>7377.2618621307392</v>
      </c>
      <c r="E58" s="459">
        <f t="shared" si="3"/>
        <v>7422.7824256240674</v>
      </c>
      <c r="F58" s="459">
        <f t="shared" ref="F58:N58" si="23">E34</f>
        <v>7500.1802969344735</v>
      </c>
      <c r="G58" s="459">
        <f t="shared" si="23"/>
        <v>7582.9020625192106</v>
      </c>
      <c r="H58" s="459">
        <f t="shared" si="23"/>
        <v>7654.767656974067</v>
      </c>
      <c r="I58" s="459">
        <f t="shared" si="23"/>
        <v>7720.9539954092179</v>
      </c>
      <c r="J58" s="459">
        <f t="shared" si="23"/>
        <v>7788.0683359980958</v>
      </c>
      <c r="K58" s="459">
        <f t="shared" si="23"/>
        <v>7848.1363830283999</v>
      </c>
      <c r="L58" s="459">
        <f t="shared" si="23"/>
        <v>7863.9567848257848</v>
      </c>
      <c r="M58" s="459">
        <f t="shared" si="23"/>
        <v>7862.2904175380427</v>
      </c>
      <c r="N58" s="459">
        <f t="shared" si="23"/>
        <v>7847.2755854418974</v>
      </c>
    </row>
    <row r="59" spans="1:14">
      <c r="C59" s="10"/>
      <c r="D59" s="10"/>
      <c r="E59" s="10"/>
      <c r="F59" s="10"/>
      <c r="G59" s="10"/>
      <c r="H59" s="10"/>
      <c r="I59" s="10"/>
      <c r="J59" s="10"/>
    </row>
    <row r="60" spans="1:14">
      <c r="C60" s="10">
        <f>SUM(C39:C58)</f>
        <v>451344.71730178857</v>
      </c>
      <c r="E60" s="10"/>
    </row>
    <row r="61" spans="1:14">
      <c r="A61" s="10">
        <f>C60-C61</f>
        <v>0</v>
      </c>
      <c r="C61" s="10">
        <f>SUM(RAW_DATA_INPUTS!C50:AR50)-RAW_DATA_INPUTS!AO50-RAW_DATA_INPUTS!AP50</f>
        <v>451344.71730178851</v>
      </c>
    </row>
    <row r="67" spans="3:14">
      <c r="C67" s="309">
        <f>SUM(C40:C58)</f>
        <v>212113.0673017886</v>
      </c>
      <c r="D67" s="309">
        <f t="shared" ref="D67:N67" si="24">SUM(D40:D58)</f>
        <v>213976.00504540943</v>
      </c>
      <c r="E67" s="309">
        <f t="shared" si="24"/>
        <v>215448.23496505464</v>
      </c>
      <c r="F67" s="309">
        <f t="shared" si="24"/>
        <v>217665.58493798462</v>
      </c>
      <c r="G67" s="309">
        <f t="shared" si="24"/>
        <v>220113.00223502028</v>
      </c>
      <c r="H67" s="309">
        <f t="shared" si="24"/>
        <v>222083.21597704067</v>
      </c>
      <c r="I67" s="309">
        <f t="shared" si="24"/>
        <v>224012.64325451854</v>
      </c>
      <c r="J67" s="309">
        <f>SUM(J40:J58)</f>
        <v>226115.09681652434</v>
      </c>
      <c r="K67" s="309">
        <f t="shared" si="24"/>
        <v>227913.16234106064</v>
      </c>
      <c r="L67" s="309">
        <f t="shared" si="24"/>
        <v>228568.5499006052</v>
      </c>
      <c r="M67" s="309">
        <f t="shared" si="24"/>
        <v>228824.14188092307</v>
      </c>
      <c r="N67" s="309">
        <f t="shared" si="24"/>
        <v>228710.60157528741</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sheetPr>
  <dimension ref="A1:Q87"/>
  <sheetViews>
    <sheetView showGridLines="0" zoomScaleNormal="100" workbookViewId="0"/>
  </sheetViews>
  <sheetFormatPr defaultRowHeight="12.75"/>
  <cols>
    <col min="2" max="2" width="12.7109375" customWidth="1"/>
    <col min="3" max="13" width="9.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c r="A4" s="58" t="s">
        <v>26</v>
      </c>
      <c r="B4" s="58"/>
      <c r="C4" s="58"/>
      <c r="D4" s="292"/>
      <c r="E4" s="58"/>
      <c r="F4" s="58"/>
      <c r="G4" s="58"/>
      <c r="H4" s="58"/>
      <c r="I4" s="58"/>
      <c r="J4" s="58"/>
      <c r="K4" s="58"/>
      <c r="L4" s="58"/>
      <c r="M4" s="58"/>
      <c r="N4" s="58"/>
      <c r="O4" s="58"/>
      <c r="P4" s="58"/>
      <c r="Q4" s="58"/>
    </row>
    <row r="5" spans="1:17" s="47" customFormat="1">
      <c r="A5" s="60" t="s">
        <v>355</v>
      </c>
      <c r="B5" s="60"/>
      <c r="C5" s="60"/>
      <c r="D5" s="60"/>
      <c r="E5" s="60"/>
      <c r="F5" s="60"/>
      <c r="G5" s="60"/>
      <c r="H5" s="60"/>
      <c r="I5" s="60"/>
      <c r="J5" s="60"/>
      <c r="K5" s="60"/>
      <c r="L5" s="60"/>
      <c r="M5" s="60"/>
      <c r="N5" s="60"/>
      <c r="O5" s="60"/>
      <c r="P5" s="60"/>
      <c r="Q5" s="60"/>
    </row>
    <row r="6" spans="1:17" s="46" customFormat="1">
      <c r="A6" s="56" t="s">
        <v>1420</v>
      </c>
      <c r="B6" s="61"/>
      <c r="C6" s="61"/>
      <c r="D6" s="292"/>
      <c r="E6" s="61"/>
      <c r="F6" s="61"/>
      <c r="G6" s="61"/>
      <c r="H6" s="61"/>
      <c r="I6" s="61"/>
      <c r="J6" s="61"/>
      <c r="K6" s="61"/>
      <c r="L6" s="61"/>
      <c r="M6" s="61"/>
      <c r="N6" s="61"/>
      <c r="O6" s="61"/>
      <c r="P6" s="333"/>
      <c r="Q6" s="333"/>
    </row>
    <row r="7" spans="1:17" s="46" customFormat="1">
      <c r="A7" s="54" t="s">
        <v>174</v>
      </c>
      <c r="B7" s="56"/>
      <c r="C7" s="61"/>
      <c r="D7" s="292"/>
      <c r="E7" s="61"/>
      <c r="F7" s="61"/>
      <c r="G7" s="61"/>
      <c r="H7" s="61"/>
      <c r="I7" s="61"/>
      <c r="J7" s="61"/>
      <c r="K7" s="61"/>
      <c r="L7" s="61"/>
      <c r="M7" s="61"/>
      <c r="N7" s="61"/>
      <c r="O7" s="61"/>
      <c r="P7" s="333"/>
      <c r="Q7" s="333"/>
    </row>
    <row r="8" spans="1:17" s="46" customFormat="1">
      <c r="A8" s="56" t="s">
        <v>24</v>
      </c>
      <c r="B8" s="61"/>
      <c r="C8" s="61"/>
      <c r="D8" s="292"/>
      <c r="E8" s="61"/>
      <c r="F8" s="61"/>
      <c r="G8" s="61"/>
      <c r="H8" s="61"/>
      <c r="I8" s="61"/>
      <c r="J8" s="61"/>
      <c r="K8" s="61"/>
      <c r="L8" s="61"/>
      <c r="M8" s="61"/>
      <c r="N8" s="61"/>
      <c r="O8" s="61"/>
      <c r="P8" s="333"/>
      <c r="Q8" s="333"/>
    </row>
    <row r="9" spans="1:17" s="46" customFormat="1">
      <c r="A9" s="54" t="s">
        <v>348</v>
      </c>
      <c r="B9" s="61"/>
      <c r="C9" s="61"/>
      <c r="D9" s="292"/>
      <c r="E9" s="61"/>
      <c r="F9" s="61"/>
      <c r="G9" s="61"/>
      <c r="H9" s="61"/>
      <c r="I9" s="61"/>
      <c r="J9" s="61"/>
      <c r="K9" s="61"/>
      <c r="L9" s="61"/>
      <c r="M9" s="61"/>
      <c r="N9" s="61"/>
      <c r="O9" s="61"/>
      <c r="P9" s="333"/>
      <c r="Q9" s="333"/>
    </row>
    <row r="10" spans="1:17" s="50" customFormat="1">
      <c r="A10" s="55">
        <f>SUM(A13:A2227)</f>
        <v>0</v>
      </c>
      <c r="B10" s="73"/>
      <c r="C10" s="48"/>
      <c r="D10" s="48"/>
      <c r="E10" s="48"/>
      <c r="F10" s="72"/>
      <c r="G10" s="48"/>
      <c r="H10" s="72"/>
      <c r="I10" s="49"/>
      <c r="J10" s="49"/>
      <c r="K10" s="49"/>
      <c r="L10" s="49"/>
      <c r="M10" s="49"/>
      <c r="N10" s="49"/>
      <c r="O10" s="49"/>
    </row>
    <row r="12" spans="1:17">
      <c r="H12" s="76" t="s">
        <v>110</v>
      </c>
    </row>
    <row r="14" spans="1:17">
      <c r="H14" s="5">
        <v>0.1</v>
      </c>
      <c r="I14" s="5">
        <v>0.2</v>
      </c>
      <c r="J14" s="5">
        <v>0.3</v>
      </c>
      <c r="K14" s="5">
        <v>0.4</v>
      </c>
    </row>
    <row r="17" spans="2:6" ht="18">
      <c r="B17" s="39" t="s">
        <v>158</v>
      </c>
    </row>
    <row r="19" spans="2:6">
      <c r="B19" s="76" t="s">
        <v>618</v>
      </c>
    </row>
    <row r="21" spans="2:6">
      <c r="B21" s="1180" t="str">
        <f>RAW_DATA_INPUTS!B131</f>
        <v>Age group</v>
      </c>
      <c r="C21" s="1160" t="s">
        <v>74</v>
      </c>
      <c r="D21" s="1160"/>
      <c r="E21" s="1160"/>
      <c r="F21" s="1160"/>
    </row>
    <row r="22" spans="2:6">
      <c r="B22" s="1181"/>
      <c r="C22" s="8" t="str">
        <f>RAW_DATA_INPUTS!C314</f>
        <v>2011/12</v>
      </c>
      <c r="D22" s="8" t="str">
        <f>RAW_DATA_INPUTS!D314</f>
        <v>2012/13</v>
      </c>
      <c r="E22" s="8" t="str">
        <f>RAW_DATA_INPUTS!E314</f>
        <v>2013/14</v>
      </c>
      <c r="F22" s="8" t="str">
        <f>RAW_DATA_INPUTS!F314</f>
        <v>2014/15</v>
      </c>
    </row>
    <row r="23" spans="2:6">
      <c r="B23" s="8" t="str">
        <f>RAW_DATA_INPUTS!B132</f>
        <v>20-24</v>
      </c>
      <c r="C23" s="307">
        <f>RAW_DATA_INPUTS!C315</f>
        <v>7080.8630000000003</v>
      </c>
      <c r="D23" s="307">
        <f>RAW_DATA_INPUTS!D315</f>
        <v>7796.5879999999997</v>
      </c>
      <c r="E23" s="307">
        <f>RAW_DATA_INPUTS!E315</f>
        <v>8377.4660000000003</v>
      </c>
      <c r="F23" s="307">
        <f>RAW_DATA_INPUTS!F315</f>
        <v>9014.5609999999997</v>
      </c>
    </row>
    <row r="24" spans="2:6">
      <c r="B24" s="8" t="str">
        <f>RAW_DATA_INPUTS!B133</f>
        <v>25-29</v>
      </c>
      <c r="C24" s="307">
        <f>RAW_DATA_INPUTS!C316</f>
        <v>5902.777</v>
      </c>
      <c r="D24" s="307">
        <f>RAW_DATA_INPUTS!D316</f>
        <v>6295.8</v>
      </c>
      <c r="E24" s="307">
        <f>RAW_DATA_INPUTS!E316</f>
        <v>6331.2280000000001</v>
      </c>
      <c r="F24" s="307">
        <f>RAW_DATA_INPUTS!F316</f>
        <v>6397.4290000000001</v>
      </c>
    </row>
    <row r="25" spans="2:6">
      <c r="B25" s="8" t="str">
        <f>RAW_DATA_INPUTS!B134</f>
        <v>30-34</v>
      </c>
      <c r="C25" s="307">
        <f>RAW_DATA_INPUTS!C317</f>
        <v>2953.5239999999999</v>
      </c>
      <c r="D25" s="307">
        <f>RAW_DATA_INPUTS!D317</f>
        <v>2962.81</v>
      </c>
      <c r="E25" s="307">
        <f>RAW_DATA_INPUTS!E317</f>
        <v>3023.2440000000001</v>
      </c>
      <c r="F25" s="307">
        <f>RAW_DATA_INPUTS!F317</f>
        <v>2947.4549999999999</v>
      </c>
    </row>
    <row r="26" spans="2:6">
      <c r="B26" s="8" t="str">
        <f>RAW_DATA_INPUTS!B135</f>
        <v>35-39</v>
      </c>
      <c r="C26" s="307">
        <f>RAW_DATA_INPUTS!C318</f>
        <v>2323.5360000000001</v>
      </c>
      <c r="D26" s="307">
        <f>RAW_DATA_INPUTS!D318</f>
        <v>2278.5720000000001</v>
      </c>
      <c r="E26" s="307">
        <f>RAW_DATA_INPUTS!E318</f>
        <v>2436.3000000000002</v>
      </c>
      <c r="F26" s="307">
        <f>RAW_DATA_INPUTS!F318</f>
        <v>2410.8040000000001</v>
      </c>
    </row>
    <row r="27" spans="2:6">
      <c r="B27" s="8" t="str">
        <f>RAW_DATA_INPUTS!B136</f>
        <v>40-44</v>
      </c>
      <c r="C27" s="307">
        <f>RAW_DATA_INPUTS!C319</f>
        <v>2273.547</v>
      </c>
      <c r="D27" s="307">
        <f>RAW_DATA_INPUTS!D319</f>
        <v>2323.7689999999998</v>
      </c>
      <c r="E27" s="307">
        <f>RAW_DATA_INPUTS!E319</f>
        <v>2418.538</v>
      </c>
      <c r="F27" s="307">
        <f>RAW_DATA_INPUTS!F319</f>
        <v>2310.0729999999999</v>
      </c>
    </row>
    <row r="28" spans="2:6">
      <c r="B28" s="8" t="str">
        <f>RAW_DATA_INPUTS!B137</f>
        <v>45-49</v>
      </c>
      <c r="C28" s="307">
        <f>RAW_DATA_INPUTS!C320</f>
        <v>1569.0170000000001</v>
      </c>
      <c r="D28" s="307">
        <f>RAW_DATA_INPUTS!D320</f>
        <v>1668.329</v>
      </c>
      <c r="E28" s="307">
        <f>RAW_DATA_INPUTS!E320</f>
        <v>1808.1020000000001</v>
      </c>
      <c r="F28" s="307">
        <f>RAW_DATA_INPUTS!F320</f>
        <v>1734.14</v>
      </c>
    </row>
    <row r="29" spans="2:6">
      <c r="B29" s="8" t="str">
        <f>RAW_DATA_INPUTS!B138</f>
        <v>50-54</v>
      </c>
      <c r="C29" s="307">
        <f>RAW_DATA_INPUTS!C321</f>
        <v>953.79</v>
      </c>
      <c r="D29" s="307">
        <f>RAW_DATA_INPUTS!D321</f>
        <v>969.89099999999996</v>
      </c>
      <c r="E29" s="307">
        <f>RAW_DATA_INPUTS!E321</f>
        <v>1080.498</v>
      </c>
      <c r="F29" s="307">
        <f>RAW_DATA_INPUTS!F321</f>
        <v>1131.0219999999999</v>
      </c>
    </row>
    <row r="30" spans="2:6">
      <c r="B30" s="8" t="str">
        <f>RAW_DATA_INPUTS!B139</f>
        <v>55-59</v>
      </c>
      <c r="C30" s="307">
        <f>RAW_DATA_INPUTS!C322</f>
        <v>584.29899999999998</v>
      </c>
      <c r="D30" s="307">
        <f>RAW_DATA_INPUTS!D322</f>
        <v>724.20600000000002</v>
      </c>
      <c r="E30" s="307">
        <f>RAW_DATA_INPUTS!E322</f>
        <v>700.11800000000005</v>
      </c>
      <c r="F30" s="307">
        <f>RAW_DATA_INPUTS!F322</f>
        <v>678.31100000000004</v>
      </c>
    </row>
    <row r="31" spans="2:6">
      <c r="B31" s="8" t="str">
        <f>RAW_DATA_INPUTS!B140</f>
        <v>60-64</v>
      </c>
      <c r="C31" s="307">
        <f>RAW_DATA_INPUTS!C323</f>
        <v>300.12099999999998</v>
      </c>
      <c r="D31" s="307">
        <f>RAW_DATA_INPUTS!D323</f>
        <v>267.71800000000002</v>
      </c>
      <c r="E31" s="307">
        <f>RAW_DATA_INPUTS!E323</f>
        <v>366.346</v>
      </c>
      <c r="F31" s="307">
        <f>RAW_DATA_INPUTS!F323</f>
        <v>318.20299999999997</v>
      </c>
    </row>
    <row r="32" spans="2:6">
      <c r="B32" s="8" t="str">
        <f>RAW_DATA_INPUTS!B141</f>
        <v>65 plus</v>
      </c>
      <c r="C32" s="307">
        <f>RAW_DATA_INPUTS!C324</f>
        <v>47.567</v>
      </c>
      <c r="D32" s="307">
        <f>RAW_DATA_INPUTS!D324</f>
        <v>60.412999999999997</v>
      </c>
      <c r="E32" s="307">
        <f>RAW_DATA_INPUTS!E324</f>
        <v>77.352999999999994</v>
      </c>
      <c r="F32" s="307">
        <f>RAW_DATA_INPUTS!F324</f>
        <v>99.998000000000005</v>
      </c>
    </row>
    <row r="33" spans="1:6">
      <c r="B33" s="8" t="str">
        <f>RAW_DATA_INPUTS!B142</f>
        <v>Total</v>
      </c>
      <c r="C33" s="307">
        <f>RAW_DATA_INPUTS!C325</f>
        <v>23989.040999999994</v>
      </c>
      <c r="D33" s="307">
        <f>RAW_DATA_INPUTS!D325</f>
        <v>25348.096000000001</v>
      </c>
      <c r="E33" s="307">
        <f>RAW_DATA_INPUTS!E325</f>
        <v>26619.192999999996</v>
      </c>
      <c r="F33" s="307">
        <f>RAW_DATA_INPUTS!F325</f>
        <v>27041.996000000003</v>
      </c>
    </row>
    <row r="34" spans="1:6">
      <c r="A34">
        <f>SUM(C34:F34)</f>
        <v>0</v>
      </c>
      <c r="C34">
        <f>SUM(C23:C32)-C33</f>
        <v>0</v>
      </c>
      <c r="D34">
        <f>SUM(D23:D32)-D33</f>
        <v>0</v>
      </c>
      <c r="E34">
        <f>SUM(E23:E32)-E33</f>
        <v>0</v>
      </c>
      <c r="F34">
        <f>SUM(F23:F32)-F33</f>
        <v>0</v>
      </c>
    </row>
    <row r="36" spans="1:6">
      <c r="B36" s="76" t="s">
        <v>159</v>
      </c>
    </row>
    <row r="38" spans="1:6">
      <c r="B38" s="1180" t="str">
        <f>RAW_DATA_INPUTS!B148</f>
        <v>Age group</v>
      </c>
      <c r="C38" s="1160" t="str">
        <f>C21</f>
        <v>Year</v>
      </c>
      <c r="D38" s="1160"/>
      <c r="E38" s="1160"/>
      <c r="F38" s="1160"/>
    </row>
    <row r="39" spans="1:6">
      <c r="B39" s="1181"/>
      <c r="C39" s="8" t="str">
        <f>C22</f>
        <v>2011/12</v>
      </c>
      <c r="D39" s="8" t="str">
        <f>D22</f>
        <v>2012/13</v>
      </c>
      <c r="E39" s="8" t="str">
        <f>E22</f>
        <v>2013/14</v>
      </c>
      <c r="F39" s="8" t="str">
        <f>F22</f>
        <v>2014/15</v>
      </c>
    </row>
    <row r="40" spans="1:6">
      <c r="B40" s="8" t="str">
        <f>RAW_DATA_INPUTS!B166</f>
        <v>20-24</v>
      </c>
      <c r="C40" s="307">
        <f>RAW_DATA_INPUTS!C331</f>
        <v>5366.5529999999999</v>
      </c>
      <c r="D40" s="307">
        <f>RAW_DATA_INPUTS!D331</f>
        <v>5179.7219999999998</v>
      </c>
      <c r="E40" s="307">
        <f>RAW_DATA_INPUTS!E331</f>
        <v>5460.3109999999997</v>
      </c>
      <c r="F40" s="307">
        <f>RAW_DATA_INPUTS!F331</f>
        <v>5493.3320000000003</v>
      </c>
    </row>
    <row r="41" spans="1:6">
      <c r="B41" s="8" t="str">
        <f>RAW_DATA_INPUTS!B167</f>
        <v>25-29</v>
      </c>
      <c r="C41" s="307">
        <f>RAW_DATA_INPUTS!C332</f>
        <v>6255.37</v>
      </c>
      <c r="D41" s="307">
        <f>RAW_DATA_INPUTS!D332</f>
        <v>5672.0010000000002</v>
      </c>
      <c r="E41" s="307">
        <f>RAW_DATA_INPUTS!E332</f>
        <v>5533.1469999999999</v>
      </c>
      <c r="F41" s="307">
        <f>RAW_DATA_INPUTS!F332</f>
        <v>5428.7579999999998</v>
      </c>
    </row>
    <row r="42" spans="1:6">
      <c r="B42" s="8" t="str">
        <f>RAW_DATA_INPUTS!B168</f>
        <v>30-34</v>
      </c>
      <c r="C42" s="307">
        <f>RAW_DATA_INPUTS!C333</f>
        <v>2963.08</v>
      </c>
      <c r="D42" s="307">
        <f>RAW_DATA_INPUTS!D333</f>
        <v>2829.7359999999999</v>
      </c>
      <c r="E42" s="307">
        <f>RAW_DATA_INPUTS!E333</f>
        <v>2751.3519999999999</v>
      </c>
      <c r="F42" s="307">
        <f>RAW_DATA_INPUTS!F333</f>
        <v>2719.346</v>
      </c>
    </row>
    <row r="43" spans="1:6">
      <c r="B43" s="8" t="str">
        <f>RAW_DATA_INPUTS!B169</f>
        <v>35-39</v>
      </c>
      <c r="C43" s="307">
        <f>RAW_DATA_INPUTS!C334</f>
        <v>1893.7339999999999</v>
      </c>
      <c r="D43" s="307">
        <f>RAW_DATA_INPUTS!D334</f>
        <v>1919.721</v>
      </c>
      <c r="E43" s="307">
        <f>RAW_DATA_INPUTS!E334</f>
        <v>2040.0070000000001</v>
      </c>
      <c r="F43" s="307">
        <f>RAW_DATA_INPUTS!F334</f>
        <v>1995.098</v>
      </c>
    </row>
    <row r="44" spans="1:6">
      <c r="B44" s="8" t="str">
        <f>RAW_DATA_INPUTS!B170</f>
        <v>40-44</v>
      </c>
      <c r="C44" s="307">
        <f>RAW_DATA_INPUTS!C335</f>
        <v>1670.44</v>
      </c>
      <c r="D44" s="307">
        <f>RAW_DATA_INPUTS!D335</f>
        <v>1731.74</v>
      </c>
      <c r="E44" s="307">
        <f>RAW_DATA_INPUTS!E335</f>
        <v>1821.454</v>
      </c>
      <c r="F44" s="307">
        <f>RAW_DATA_INPUTS!F335</f>
        <v>1658.1679999999999</v>
      </c>
    </row>
    <row r="45" spans="1:6">
      <c r="B45" s="8" t="str">
        <f>RAW_DATA_INPUTS!B171</f>
        <v>45-49</v>
      </c>
      <c r="C45" s="307">
        <f>RAW_DATA_INPUTS!C336</f>
        <v>1274.511</v>
      </c>
      <c r="D45" s="307">
        <f>RAW_DATA_INPUTS!D336</f>
        <v>1319.577</v>
      </c>
      <c r="E45" s="307">
        <f>RAW_DATA_INPUTS!E336</f>
        <v>1379.615</v>
      </c>
      <c r="F45" s="307">
        <f>RAW_DATA_INPUTS!F336</f>
        <v>1414.729</v>
      </c>
    </row>
    <row r="46" spans="1:6">
      <c r="B46" s="8" t="str">
        <f>RAW_DATA_INPUTS!B172</f>
        <v>50-54</v>
      </c>
      <c r="C46" s="307">
        <f>RAW_DATA_INPUTS!C337</f>
        <v>906.07</v>
      </c>
      <c r="D46" s="307">
        <f>RAW_DATA_INPUTS!D337</f>
        <v>900.76599999999996</v>
      </c>
      <c r="E46" s="307">
        <f>RAW_DATA_INPUTS!E337</f>
        <v>1027.066</v>
      </c>
      <c r="F46" s="307">
        <f>RAW_DATA_INPUTS!F337</f>
        <v>1060.989</v>
      </c>
    </row>
    <row r="47" spans="1:6">
      <c r="B47" s="8" t="str">
        <f>RAW_DATA_INPUTS!B173</f>
        <v>55-59</v>
      </c>
      <c r="C47" s="307">
        <f>RAW_DATA_INPUTS!C338</f>
        <v>584.64400000000001</v>
      </c>
      <c r="D47" s="307">
        <f>RAW_DATA_INPUTS!D338</f>
        <v>675.62300000000005</v>
      </c>
      <c r="E47" s="307">
        <f>RAW_DATA_INPUTS!E338</f>
        <v>671.70699999999999</v>
      </c>
      <c r="F47" s="307">
        <f>RAW_DATA_INPUTS!F338</f>
        <v>719.03800000000001</v>
      </c>
    </row>
    <row r="48" spans="1:6">
      <c r="B48" s="8" t="str">
        <f>RAW_DATA_INPUTS!B174</f>
        <v>60-64</v>
      </c>
      <c r="C48" s="307">
        <f>RAW_DATA_INPUTS!C339</f>
        <v>306.13499999999999</v>
      </c>
      <c r="D48" s="307">
        <f>RAW_DATA_INPUTS!D339</f>
        <v>287.83199999999999</v>
      </c>
      <c r="E48" s="307">
        <f>RAW_DATA_INPUTS!E339</f>
        <v>334.45100000000002</v>
      </c>
      <c r="F48" s="307">
        <f>RAW_DATA_INPUTS!F339</f>
        <v>364.75</v>
      </c>
    </row>
    <row r="49" spans="1:11">
      <c r="B49" s="8" t="str">
        <f>RAW_DATA_INPUTS!B175</f>
        <v>65 plus</v>
      </c>
      <c r="C49" s="307">
        <f>RAW_DATA_INPUTS!C340</f>
        <v>45.055999999999997</v>
      </c>
      <c r="D49" s="307">
        <f>RAW_DATA_INPUTS!D340</f>
        <v>58.271999999999998</v>
      </c>
      <c r="E49" s="307">
        <f>RAW_DATA_INPUTS!E340</f>
        <v>85.725999999999999</v>
      </c>
      <c r="F49" s="307">
        <f>RAW_DATA_INPUTS!F340</f>
        <v>105.015</v>
      </c>
    </row>
    <row r="50" spans="1:11">
      <c r="B50" s="8" t="str">
        <f>RAW_DATA_INPUTS!B176</f>
        <v>Total</v>
      </c>
      <c r="C50" s="307">
        <f>RAW_DATA_INPUTS!C341</f>
        <v>21265.592999999993</v>
      </c>
      <c r="D50" s="307">
        <f>RAW_DATA_INPUTS!D341</f>
        <v>20574.989999999998</v>
      </c>
      <c r="E50" s="307">
        <f>RAW_DATA_INPUTS!E341</f>
        <v>21104.835999999996</v>
      </c>
      <c r="F50" s="307">
        <f>RAW_DATA_INPUTS!F341</f>
        <v>20959.223000000002</v>
      </c>
    </row>
    <row r="51" spans="1:11">
      <c r="A51">
        <f>SUM(C51:F51)</f>
        <v>0</v>
      </c>
      <c r="C51">
        <f>SUM(C40:C49)-C50</f>
        <v>0</v>
      </c>
      <c r="D51">
        <f>SUM(D40:D49)-D50</f>
        <v>0</v>
      </c>
      <c r="E51">
        <f>SUM(E40:E49)-E50</f>
        <v>0</v>
      </c>
      <c r="F51">
        <f>SUM(F40:F49)-F50</f>
        <v>0</v>
      </c>
    </row>
    <row r="53" spans="1:11" ht="18">
      <c r="B53" s="39" t="s">
        <v>160</v>
      </c>
    </row>
    <row r="55" spans="1:11">
      <c r="B55" s="76" t="s">
        <v>619</v>
      </c>
    </row>
    <row r="57" spans="1:11">
      <c r="B57" s="1180" t="str">
        <f>B38</f>
        <v>Age group</v>
      </c>
      <c r="C57" s="1183" t="str">
        <f>C39</f>
        <v>2011/12</v>
      </c>
      <c r="D57" s="1183" t="str">
        <f>D39</f>
        <v>2012/13</v>
      </c>
      <c r="E57" s="1183" t="str">
        <f>E39</f>
        <v>2013/14</v>
      </c>
      <c r="F57" s="1183" t="str">
        <f>F39</f>
        <v>2014/15</v>
      </c>
      <c r="G57" s="1183" t="str">
        <f>C57</f>
        <v>2011/12</v>
      </c>
      <c r="H57" s="1183" t="str">
        <f>D57</f>
        <v>2012/13</v>
      </c>
      <c r="I57" s="1183" t="str">
        <f>E57</f>
        <v>2013/14</v>
      </c>
      <c r="J57" s="1183" t="str">
        <f>F57</f>
        <v>2014/15</v>
      </c>
      <c r="K57" s="1209" t="s">
        <v>8</v>
      </c>
    </row>
    <row r="58" spans="1:11">
      <c r="B58" s="1181"/>
      <c r="C58" s="1184"/>
      <c r="D58" s="1184"/>
      <c r="E58" s="1184"/>
      <c r="F58" s="1184"/>
      <c r="G58" s="1184"/>
      <c r="H58" s="1184"/>
      <c r="I58" s="1184"/>
      <c r="J58" s="1184"/>
      <c r="K58" s="1210"/>
    </row>
    <row r="59" spans="1:11">
      <c r="B59" s="141" t="str">
        <f t="shared" ref="B59:B69" si="0">B40</f>
        <v>20-24</v>
      </c>
      <c r="C59" s="523">
        <f t="shared" ref="C59:F69" si="1">C23/C$33</f>
        <v>0.29517074067279314</v>
      </c>
      <c r="D59" s="523">
        <f t="shared" si="1"/>
        <v>0.3075808139593601</v>
      </c>
      <c r="E59" s="523">
        <f t="shared" si="1"/>
        <v>0.31471525075910461</v>
      </c>
      <c r="F59" s="523">
        <f t="shared" si="1"/>
        <v>0.33335412814941612</v>
      </c>
      <c r="G59" s="561">
        <f t="shared" ref="G59:G69" si="2">C59*H$14</f>
        <v>2.9517074067279315E-2</v>
      </c>
      <c r="H59" s="561">
        <f t="shared" ref="H59:J69" si="3">D59*I$14</f>
        <v>6.1516162791872026E-2</v>
      </c>
      <c r="I59" s="561">
        <f t="shared" si="3"/>
        <v>9.4414575227731376E-2</v>
      </c>
      <c r="J59" s="561">
        <f t="shared" si="3"/>
        <v>0.13334165125976646</v>
      </c>
      <c r="K59" s="498">
        <f>SUM(G59:J59)</f>
        <v>0.31878946334664915</v>
      </c>
    </row>
    <row r="60" spans="1:11">
      <c r="B60" s="141" t="str">
        <f t="shared" si="0"/>
        <v>25-29</v>
      </c>
      <c r="C60" s="523">
        <f t="shared" si="1"/>
        <v>0.24606139945319205</v>
      </c>
      <c r="D60" s="523">
        <f t="shared" si="1"/>
        <v>0.24837368455603134</v>
      </c>
      <c r="E60" s="523">
        <f t="shared" si="1"/>
        <v>0.2378444756007442</v>
      </c>
      <c r="F60" s="523">
        <f t="shared" si="1"/>
        <v>0.2365738461021886</v>
      </c>
      <c r="G60" s="561">
        <f t="shared" si="2"/>
        <v>2.4606139945319207E-2</v>
      </c>
      <c r="H60" s="561">
        <f t="shared" si="3"/>
        <v>4.9674736911206274E-2</v>
      </c>
      <c r="I60" s="561">
        <f t="shared" si="3"/>
        <v>7.1353342680223253E-2</v>
      </c>
      <c r="J60" s="561">
        <f t="shared" si="3"/>
        <v>9.4629538440875446E-2</v>
      </c>
      <c r="K60" s="498">
        <f t="shared" ref="K60:K69" si="4">SUM(G60:J60)</f>
        <v>0.24026375797762417</v>
      </c>
    </row>
    <row r="61" spans="1:11">
      <c r="B61" s="141" t="str">
        <f t="shared" si="0"/>
        <v>30-34</v>
      </c>
      <c r="C61" s="523">
        <f t="shared" si="1"/>
        <v>0.12311971954193586</v>
      </c>
      <c r="D61" s="523">
        <f t="shared" si="1"/>
        <v>0.11688491317059868</v>
      </c>
      <c r="E61" s="523">
        <f t="shared" si="1"/>
        <v>0.11357384125055935</v>
      </c>
      <c r="F61" s="523">
        <f t="shared" si="1"/>
        <v>0.10899546764225539</v>
      </c>
      <c r="G61" s="561">
        <f t="shared" si="2"/>
        <v>1.2311971954193587E-2</v>
      </c>
      <c r="H61" s="561">
        <f t="shared" si="3"/>
        <v>2.3376982634119737E-2</v>
      </c>
      <c r="I61" s="561">
        <f t="shared" si="3"/>
        <v>3.4072152375167801E-2</v>
      </c>
      <c r="J61" s="561">
        <f t="shared" si="3"/>
        <v>4.359818705690216E-2</v>
      </c>
      <c r="K61" s="498">
        <f t="shared" si="4"/>
        <v>0.11335929402038328</v>
      </c>
    </row>
    <row r="62" spans="1:11">
      <c r="B62" s="141" t="str">
        <f t="shared" si="0"/>
        <v>35-39</v>
      </c>
      <c r="C62" s="523">
        <f t="shared" si="1"/>
        <v>9.6858227888309528E-2</v>
      </c>
      <c r="D62" s="523">
        <f t="shared" si="1"/>
        <v>8.9891248636583987E-2</v>
      </c>
      <c r="E62" s="523">
        <f t="shared" si="1"/>
        <v>9.1524187078098146E-2</v>
      </c>
      <c r="F62" s="523">
        <f t="shared" si="1"/>
        <v>8.9150371888228955E-2</v>
      </c>
      <c r="G62" s="561">
        <f t="shared" si="2"/>
        <v>9.6858227888309539E-3</v>
      </c>
      <c r="H62" s="561">
        <f t="shared" si="3"/>
        <v>1.7978249727316799E-2</v>
      </c>
      <c r="I62" s="561">
        <f t="shared" si="3"/>
        <v>2.7457256123429443E-2</v>
      </c>
      <c r="J62" s="561">
        <f t="shared" si="3"/>
        <v>3.5660148755291582E-2</v>
      </c>
      <c r="K62" s="498">
        <f t="shared" si="4"/>
        <v>9.0781477394868776E-2</v>
      </c>
    </row>
    <row r="63" spans="1:11">
      <c r="B63" s="141" t="str">
        <f t="shared" si="0"/>
        <v>40-44</v>
      </c>
      <c r="C63" s="523">
        <f t="shared" si="1"/>
        <v>9.4774401361021499E-2</v>
      </c>
      <c r="D63" s="523">
        <f t="shared" si="1"/>
        <v>9.1674301691140811E-2</v>
      </c>
      <c r="E63" s="523">
        <f t="shared" si="1"/>
        <v>9.0856924174974069E-2</v>
      </c>
      <c r="F63" s="523">
        <f t="shared" si="1"/>
        <v>8.5425387978017589E-2</v>
      </c>
      <c r="G63" s="561">
        <f t="shared" si="2"/>
        <v>9.4774401361021506E-3</v>
      </c>
      <c r="H63" s="561">
        <f t="shared" si="3"/>
        <v>1.8334860338228162E-2</v>
      </c>
      <c r="I63" s="561">
        <f t="shared" si="3"/>
        <v>2.7257077252492219E-2</v>
      </c>
      <c r="J63" s="561">
        <f t="shared" si="3"/>
        <v>3.4170155191207037E-2</v>
      </c>
      <c r="K63" s="498">
        <f t="shared" si="4"/>
        <v>8.9239532918029579E-2</v>
      </c>
    </row>
    <row r="64" spans="1:11">
      <c r="B64" s="141" t="str">
        <f t="shared" si="0"/>
        <v>45-49</v>
      </c>
      <c r="C64" s="523">
        <f t="shared" si="1"/>
        <v>6.5405574153631255E-2</v>
      </c>
      <c r="D64" s="523">
        <f t="shared" si="1"/>
        <v>6.5816738267047745E-2</v>
      </c>
      <c r="E64" s="523">
        <f t="shared" si="1"/>
        <v>6.7924748883258793E-2</v>
      </c>
      <c r="F64" s="523">
        <f t="shared" si="1"/>
        <v>6.4127662765721877E-2</v>
      </c>
      <c r="G64" s="561">
        <f t="shared" si="2"/>
        <v>6.5405574153631256E-3</v>
      </c>
      <c r="H64" s="561">
        <f t="shared" si="3"/>
        <v>1.3163347653409549E-2</v>
      </c>
      <c r="I64" s="561">
        <f t="shared" si="3"/>
        <v>2.0377424664977637E-2</v>
      </c>
      <c r="J64" s="561">
        <f t="shared" si="3"/>
        <v>2.5651065106288753E-2</v>
      </c>
      <c r="K64" s="498">
        <f t="shared" si="4"/>
        <v>6.5732394840039066E-2</v>
      </c>
    </row>
    <row r="65" spans="1:11">
      <c r="B65" s="141" t="str">
        <f t="shared" si="0"/>
        <v>50-54</v>
      </c>
      <c r="C65" s="523">
        <f t="shared" si="1"/>
        <v>3.9759405138371319E-2</v>
      </c>
      <c r="D65" s="523">
        <f t="shared" si="1"/>
        <v>3.8262873866344832E-2</v>
      </c>
      <c r="E65" s="523">
        <f t="shared" si="1"/>
        <v>4.0590937523913677E-2</v>
      </c>
      <c r="F65" s="523">
        <f t="shared" si="1"/>
        <v>4.1824649334316885E-2</v>
      </c>
      <c r="G65" s="561">
        <f t="shared" si="2"/>
        <v>3.9759405138371324E-3</v>
      </c>
      <c r="H65" s="561">
        <f t="shared" si="3"/>
        <v>7.6525747732689667E-3</v>
      </c>
      <c r="I65" s="561">
        <f t="shared" si="3"/>
        <v>1.2177281257174103E-2</v>
      </c>
      <c r="J65" s="561">
        <f t="shared" si="3"/>
        <v>1.6729859733726756E-2</v>
      </c>
      <c r="K65" s="498">
        <f t="shared" si="4"/>
        <v>4.0535656278006954E-2</v>
      </c>
    </row>
    <row r="66" spans="1:11">
      <c r="B66" s="141" t="str">
        <f t="shared" si="0"/>
        <v>55-59</v>
      </c>
      <c r="C66" s="523">
        <f t="shared" si="1"/>
        <v>2.4356913642358615E-2</v>
      </c>
      <c r="D66" s="523">
        <f t="shared" si="1"/>
        <v>2.8570429905267834E-2</v>
      </c>
      <c r="E66" s="523">
        <f t="shared" si="1"/>
        <v>2.6301248125741458E-2</v>
      </c>
      <c r="F66" s="523">
        <f t="shared" si="1"/>
        <v>2.5083614390002867E-2</v>
      </c>
      <c r="G66" s="561">
        <f t="shared" si="2"/>
        <v>2.4356913642358618E-3</v>
      </c>
      <c r="H66" s="561">
        <f t="shared" si="3"/>
        <v>5.7140859810535672E-3</v>
      </c>
      <c r="I66" s="561">
        <f t="shared" si="3"/>
        <v>7.8903744377224368E-3</v>
      </c>
      <c r="J66" s="561">
        <f t="shared" si="3"/>
        <v>1.0033445756001147E-2</v>
      </c>
      <c r="K66" s="498">
        <f t="shared" si="4"/>
        <v>2.6073597539013012E-2</v>
      </c>
    </row>
    <row r="67" spans="1:11">
      <c r="B67" s="141" t="str">
        <f t="shared" si="0"/>
        <v>60-64</v>
      </c>
      <c r="C67" s="523">
        <f t="shared" si="1"/>
        <v>1.2510754389889953E-2</v>
      </c>
      <c r="D67" s="523">
        <f t="shared" si="1"/>
        <v>1.0561661120424982E-2</v>
      </c>
      <c r="E67" s="523">
        <f t="shared" si="1"/>
        <v>1.3762475819608809E-2</v>
      </c>
      <c r="F67" s="523">
        <f t="shared" si="1"/>
        <v>1.1766993826934963E-2</v>
      </c>
      <c r="G67" s="561">
        <f t="shared" si="2"/>
        <v>1.2510754389889953E-3</v>
      </c>
      <c r="H67" s="561">
        <f t="shared" si="3"/>
        <v>2.1123322240849964E-3</v>
      </c>
      <c r="I67" s="561">
        <f t="shared" si="3"/>
        <v>4.1287427458826425E-3</v>
      </c>
      <c r="J67" s="561">
        <f t="shared" si="3"/>
        <v>4.7067975307739859E-3</v>
      </c>
      <c r="K67" s="498">
        <f t="shared" si="4"/>
        <v>1.219894793973062E-2</v>
      </c>
    </row>
    <row r="68" spans="1:11">
      <c r="B68" s="141" t="str">
        <f t="shared" si="0"/>
        <v>65 plus</v>
      </c>
      <c r="C68" s="523">
        <f t="shared" si="1"/>
        <v>1.9828637584970578E-3</v>
      </c>
      <c r="D68" s="523">
        <f t="shared" si="1"/>
        <v>2.3833348271996443E-3</v>
      </c>
      <c r="E68" s="523">
        <f t="shared" si="1"/>
        <v>2.9059107839970958E-3</v>
      </c>
      <c r="F68" s="523">
        <f t="shared" si="1"/>
        <v>3.6978779229166364E-3</v>
      </c>
      <c r="G68" s="561">
        <f t="shared" si="2"/>
        <v>1.9828637584970579E-4</v>
      </c>
      <c r="H68" s="561">
        <f t="shared" si="3"/>
        <v>4.766669654399289E-4</v>
      </c>
      <c r="I68" s="561">
        <f t="shared" si="3"/>
        <v>8.7177323519912868E-4</v>
      </c>
      <c r="J68" s="561">
        <f t="shared" si="3"/>
        <v>1.4791511691666546E-3</v>
      </c>
      <c r="K68" s="498">
        <f t="shared" si="4"/>
        <v>3.0258777456554182E-3</v>
      </c>
    </row>
    <row r="69" spans="1:11">
      <c r="B69" s="141" t="str">
        <f t="shared" si="0"/>
        <v>Total</v>
      </c>
      <c r="C69" s="524">
        <f t="shared" si="1"/>
        <v>1</v>
      </c>
      <c r="D69" s="524">
        <f t="shared" si="1"/>
        <v>1</v>
      </c>
      <c r="E69" s="524">
        <f t="shared" si="1"/>
        <v>1</v>
      </c>
      <c r="F69" s="524">
        <f t="shared" si="1"/>
        <v>1</v>
      </c>
      <c r="G69" s="562">
        <f t="shared" si="2"/>
        <v>0.1</v>
      </c>
      <c r="H69" s="561">
        <f t="shared" si="3"/>
        <v>0.2</v>
      </c>
      <c r="I69" s="561">
        <f t="shared" si="3"/>
        <v>0.3</v>
      </c>
      <c r="J69" s="561">
        <f t="shared" si="3"/>
        <v>0.4</v>
      </c>
      <c r="K69" s="498">
        <f t="shared" si="4"/>
        <v>1</v>
      </c>
    </row>
    <row r="70" spans="1:11">
      <c r="A70" s="187">
        <f>SUM(C70:G70)</f>
        <v>0</v>
      </c>
      <c r="C70" s="188">
        <f>C69-1</f>
        <v>0</v>
      </c>
      <c r="D70" s="188">
        <f>D69-1</f>
        <v>0</v>
      </c>
      <c r="E70" s="188">
        <f>E69-1</f>
        <v>0</v>
      </c>
      <c r="F70" s="188">
        <f>F69-1</f>
        <v>0</v>
      </c>
      <c r="G70" s="189">
        <f>SUM(G69:J69)-1</f>
        <v>0</v>
      </c>
    </row>
    <row r="71" spans="1:11">
      <c r="A71" s="187"/>
      <c r="C71" s="190"/>
      <c r="D71" s="190"/>
      <c r="E71" s="190"/>
      <c r="F71" s="190"/>
      <c r="G71" s="191"/>
    </row>
    <row r="72" spans="1:11">
      <c r="B72" s="76" t="s">
        <v>161</v>
      </c>
    </row>
    <row r="74" spans="1:11">
      <c r="B74" s="1180" t="str">
        <f>B57</f>
        <v>Age group</v>
      </c>
      <c r="C74" s="1183" t="str">
        <f>C57</f>
        <v>2011/12</v>
      </c>
      <c r="D74" s="1183" t="str">
        <f>D57</f>
        <v>2012/13</v>
      </c>
      <c r="E74" s="1183" t="str">
        <f>E57</f>
        <v>2013/14</v>
      </c>
      <c r="F74" s="1183" t="str">
        <f>F57</f>
        <v>2014/15</v>
      </c>
      <c r="G74" s="1183" t="str">
        <f>C74</f>
        <v>2011/12</v>
      </c>
      <c r="H74" s="1183" t="str">
        <f>D74</f>
        <v>2012/13</v>
      </c>
      <c r="I74" s="1183" t="str">
        <f>E74</f>
        <v>2013/14</v>
      </c>
      <c r="J74" s="1183" t="str">
        <f>F74</f>
        <v>2014/15</v>
      </c>
      <c r="K74" s="1209" t="s">
        <v>8</v>
      </c>
    </row>
    <row r="75" spans="1:11">
      <c r="B75" s="1181"/>
      <c r="C75" s="1184"/>
      <c r="D75" s="1184"/>
      <c r="E75" s="1184"/>
      <c r="F75" s="1184"/>
      <c r="G75" s="1184"/>
      <c r="H75" s="1184"/>
      <c r="I75" s="1184"/>
      <c r="J75" s="1184"/>
      <c r="K75" s="1210"/>
    </row>
    <row r="76" spans="1:11" s="5" customFormat="1">
      <c r="B76" s="141" t="str">
        <f t="shared" ref="B76:B86" si="5">B59</f>
        <v>20-24</v>
      </c>
      <c r="C76" s="523">
        <f t="shared" ref="C76:F86" si="6">C40/C$50</f>
        <v>0.25235849289507239</v>
      </c>
      <c r="D76" s="523">
        <f t="shared" si="6"/>
        <v>0.25174845771492477</v>
      </c>
      <c r="E76" s="523">
        <f t="shared" si="6"/>
        <v>0.25872321395911346</v>
      </c>
      <c r="F76" s="523">
        <f t="shared" si="6"/>
        <v>0.26209616644662831</v>
      </c>
      <c r="G76" s="561">
        <f>C76*H$14</f>
        <v>2.5235849289507242E-2</v>
      </c>
      <c r="H76" s="561">
        <f t="shared" ref="H76:J86" si="7">D76*I$14</f>
        <v>5.0349691542984958E-2</v>
      </c>
      <c r="I76" s="561">
        <f t="shared" si="7"/>
        <v>7.7616964187734033E-2</v>
      </c>
      <c r="J76" s="561">
        <f t="shared" si="7"/>
        <v>0.10483846657865133</v>
      </c>
      <c r="K76" s="498">
        <f>SUM(G76:J76)</f>
        <v>0.25804097159887757</v>
      </c>
    </row>
    <row r="77" spans="1:11" s="5" customFormat="1">
      <c r="B77" s="141" t="str">
        <f t="shared" si="5"/>
        <v>25-29</v>
      </c>
      <c r="C77" s="523">
        <f t="shared" si="6"/>
        <v>0.29415450582544311</v>
      </c>
      <c r="D77" s="523">
        <f t="shared" si="6"/>
        <v>0.27567454467778602</v>
      </c>
      <c r="E77" s="523">
        <f t="shared" si="6"/>
        <v>0.26217436610263167</v>
      </c>
      <c r="F77" s="523">
        <f t="shared" si="6"/>
        <v>0.25901523162380585</v>
      </c>
      <c r="G77" s="561">
        <f t="shared" ref="G77:G86" si="8">C77*H$14</f>
        <v>2.9415450582544314E-2</v>
      </c>
      <c r="H77" s="561">
        <f t="shared" si="7"/>
        <v>5.5134908935557204E-2</v>
      </c>
      <c r="I77" s="561">
        <f t="shared" si="7"/>
        <v>7.8652309830789496E-2</v>
      </c>
      <c r="J77" s="561">
        <f t="shared" si="7"/>
        <v>0.10360609264952235</v>
      </c>
      <c r="K77" s="498">
        <f t="shared" ref="K77:K86" si="9">SUM(G77:J77)</f>
        <v>0.26680876199841336</v>
      </c>
    </row>
    <row r="78" spans="1:11" s="5" customFormat="1">
      <c r="B78" s="141" t="str">
        <f t="shared" si="5"/>
        <v>30-34</v>
      </c>
      <c r="C78" s="523">
        <f t="shared" si="6"/>
        <v>0.13933681510785995</v>
      </c>
      <c r="D78" s="523">
        <f t="shared" si="6"/>
        <v>0.13753280074498214</v>
      </c>
      <c r="E78" s="523">
        <f t="shared" si="6"/>
        <v>0.13036595024950681</v>
      </c>
      <c r="F78" s="523">
        <f t="shared" si="6"/>
        <v>0.12974459978788336</v>
      </c>
      <c r="G78" s="561">
        <f t="shared" si="8"/>
        <v>1.3933681510785995E-2</v>
      </c>
      <c r="H78" s="561">
        <f t="shared" si="7"/>
        <v>2.7506560148996429E-2</v>
      </c>
      <c r="I78" s="561">
        <f t="shared" si="7"/>
        <v>3.9109785074852042E-2</v>
      </c>
      <c r="J78" s="561">
        <f t="shared" si="7"/>
        <v>5.1897839915153343E-2</v>
      </c>
      <c r="K78" s="498">
        <f t="shared" si="9"/>
        <v>0.1324478666497878</v>
      </c>
    </row>
    <row r="79" spans="1:11" s="5" customFormat="1">
      <c r="B79" s="141" t="str">
        <f t="shared" si="5"/>
        <v>35-39</v>
      </c>
      <c r="C79" s="523">
        <f t="shared" si="6"/>
        <v>8.9051549138554495E-2</v>
      </c>
      <c r="D79" s="523">
        <f t="shared" si="6"/>
        <v>9.330361764452863E-2</v>
      </c>
      <c r="E79" s="523">
        <f t="shared" si="6"/>
        <v>9.6660642139081321E-2</v>
      </c>
      <c r="F79" s="523">
        <f t="shared" si="6"/>
        <v>9.5189502015413444E-2</v>
      </c>
      <c r="G79" s="561">
        <f t="shared" si="8"/>
        <v>8.9051549138554498E-3</v>
      </c>
      <c r="H79" s="561">
        <f t="shared" si="7"/>
        <v>1.8660723528905725E-2</v>
      </c>
      <c r="I79" s="561">
        <f t="shared" si="7"/>
        <v>2.8998192641724395E-2</v>
      </c>
      <c r="J79" s="561">
        <f t="shared" si="7"/>
        <v>3.8075800806165377E-2</v>
      </c>
      <c r="K79" s="498">
        <f t="shared" si="9"/>
        <v>9.4639871890650956E-2</v>
      </c>
    </row>
    <row r="80" spans="1:11" s="5" customFormat="1">
      <c r="B80" s="141" t="str">
        <f t="shared" si="5"/>
        <v>40-44</v>
      </c>
      <c r="C80" s="523">
        <f t="shared" si="6"/>
        <v>7.8551301155815434E-2</v>
      </c>
      <c r="D80" s="523">
        <f t="shared" si="6"/>
        <v>8.4167234103151453E-2</v>
      </c>
      <c r="E80" s="523">
        <f t="shared" si="6"/>
        <v>8.6305053495795953E-2</v>
      </c>
      <c r="F80" s="523">
        <f t="shared" si="6"/>
        <v>7.9114001506639803E-2</v>
      </c>
      <c r="G80" s="561">
        <f t="shared" si="8"/>
        <v>7.8551301155815444E-3</v>
      </c>
      <c r="H80" s="561">
        <f t="shared" si="7"/>
        <v>1.6833446820630291E-2</v>
      </c>
      <c r="I80" s="561">
        <f t="shared" si="7"/>
        <v>2.5891516048738784E-2</v>
      </c>
      <c r="J80" s="561">
        <f t="shared" si="7"/>
        <v>3.1645600602655921E-2</v>
      </c>
      <c r="K80" s="498">
        <f t="shared" si="9"/>
        <v>8.2225693587606535E-2</v>
      </c>
    </row>
    <row r="81" spans="1:11" s="5" customFormat="1">
      <c r="B81" s="141" t="str">
        <f t="shared" si="5"/>
        <v>45-49</v>
      </c>
      <c r="C81" s="523">
        <f t="shared" si="6"/>
        <v>5.9933010097578766E-2</v>
      </c>
      <c r="D81" s="523">
        <f t="shared" si="6"/>
        <v>6.4135000794654104E-2</v>
      </c>
      <c r="E81" s="523">
        <f t="shared" si="6"/>
        <v>6.536961481245343E-2</v>
      </c>
      <c r="F81" s="523">
        <f t="shared" si="6"/>
        <v>6.7499114828827381E-2</v>
      </c>
      <c r="G81" s="561">
        <f t="shared" si="8"/>
        <v>5.9933010097578772E-3</v>
      </c>
      <c r="H81" s="561">
        <f t="shared" si="7"/>
        <v>1.2827000158930821E-2</v>
      </c>
      <c r="I81" s="561">
        <f t="shared" si="7"/>
        <v>1.9610884443736029E-2</v>
      </c>
      <c r="J81" s="561">
        <f t="shared" si="7"/>
        <v>2.6999645931530952E-2</v>
      </c>
      <c r="K81" s="498">
        <f t="shared" si="9"/>
        <v>6.5430831543955681E-2</v>
      </c>
    </row>
    <row r="82" spans="1:11" s="5" customFormat="1">
      <c r="B82" s="141" t="str">
        <f t="shared" si="5"/>
        <v>50-54</v>
      </c>
      <c r="C82" s="523">
        <f t="shared" si="6"/>
        <v>4.2607323482585238E-2</v>
      </c>
      <c r="D82" s="523">
        <f t="shared" si="6"/>
        <v>4.3779656758034878E-2</v>
      </c>
      <c r="E82" s="523">
        <f t="shared" si="6"/>
        <v>4.866496001200863E-2</v>
      </c>
      <c r="F82" s="523">
        <f t="shared" si="6"/>
        <v>5.0621580771386419E-2</v>
      </c>
      <c r="G82" s="561">
        <f t="shared" si="8"/>
        <v>4.2607323482585242E-3</v>
      </c>
      <c r="H82" s="561">
        <f t="shared" si="7"/>
        <v>8.755931351606976E-3</v>
      </c>
      <c r="I82" s="561">
        <f t="shared" si="7"/>
        <v>1.4599488003602588E-2</v>
      </c>
      <c r="J82" s="561">
        <f t="shared" si="7"/>
        <v>2.024863230855457E-2</v>
      </c>
      <c r="K82" s="498">
        <f t="shared" si="9"/>
        <v>4.7864784012022654E-2</v>
      </c>
    </row>
    <row r="83" spans="1:11" s="5" customFormat="1">
      <c r="B83" s="141" t="str">
        <f t="shared" si="5"/>
        <v>55-59</v>
      </c>
      <c r="C83" s="523">
        <f t="shared" si="6"/>
        <v>2.7492485161359017E-2</v>
      </c>
      <c r="D83" s="523">
        <f t="shared" si="6"/>
        <v>3.2837099799319473E-2</v>
      </c>
      <c r="E83" s="523">
        <f t="shared" si="6"/>
        <v>3.1827160372153572E-2</v>
      </c>
      <c r="F83" s="523">
        <f t="shared" si="6"/>
        <v>3.4306519855244633E-2</v>
      </c>
      <c r="G83" s="561">
        <f t="shared" si="8"/>
        <v>2.749248516135902E-3</v>
      </c>
      <c r="H83" s="561">
        <f t="shared" si="7"/>
        <v>6.5674199598638947E-3</v>
      </c>
      <c r="I83" s="561">
        <f t="shared" si="7"/>
        <v>9.548148111646072E-3</v>
      </c>
      <c r="J83" s="561">
        <f t="shared" si="7"/>
        <v>1.3722607942097854E-2</v>
      </c>
      <c r="K83" s="498">
        <f t="shared" si="9"/>
        <v>3.2587424529743725E-2</v>
      </c>
    </row>
    <row r="84" spans="1:11" s="5" customFormat="1">
      <c r="B84" s="141" t="str">
        <f t="shared" si="5"/>
        <v>60-64</v>
      </c>
      <c r="C84" s="523">
        <f t="shared" si="6"/>
        <v>1.439578948021812E-2</v>
      </c>
      <c r="D84" s="523">
        <f t="shared" si="6"/>
        <v>1.3989411416481856E-2</v>
      </c>
      <c r="E84" s="523">
        <f t="shared" si="6"/>
        <v>1.5847126222634476E-2</v>
      </c>
      <c r="F84" s="523">
        <f t="shared" si="6"/>
        <v>1.7402839790387266E-2</v>
      </c>
      <c r="G84" s="561">
        <f t="shared" si="8"/>
        <v>1.439578948021812E-3</v>
      </c>
      <c r="H84" s="561">
        <f t="shared" si="7"/>
        <v>2.7978822832963714E-3</v>
      </c>
      <c r="I84" s="561">
        <f t="shared" si="7"/>
        <v>4.7541378667903429E-3</v>
      </c>
      <c r="J84" s="561">
        <f t="shared" si="7"/>
        <v>6.9611359161549065E-3</v>
      </c>
      <c r="K84" s="498">
        <f t="shared" si="9"/>
        <v>1.5952735014263433E-2</v>
      </c>
    </row>
    <row r="85" spans="1:11" s="5" customFormat="1">
      <c r="B85" s="141" t="str">
        <f t="shared" si="5"/>
        <v>65 plus</v>
      </c>
      <c r="C85" s="523">
        <f t="shared" si="6"/>
        <v>2.1187276555137686E-3</v>
      </c>
      <c r="D85" s="523">
        <f t="shared" si="6"/>
        <v>2.8321763461367421E-3</v>
      </c>
      <c r="E85" s="523">
        <f t="shared" si="6"/>
        <v>4.0619126346208055E-3</v>
      </c>
      <c r="F85" s="523">
        <f t="shared" si="6"/>
        <v>5.010443373783465E-3</v>
      </c>
      <c r="G85" s="561">
        <f t="shared" si="8"/>
        <v>2.1187276555137687E-4</v>
      </c>
      <c r="H85" s="561">
        <f t="shared" si="7"/>
        <v>5.6643526922734843E-4</v>
      </c>
      <c r="I85" s="561">
        <f t="shared" si="7"/>
        <v>1.2185737903862416E-3</v>
      </c>
      <c r="J85" s="561">
        <f t="shared" si="7"/>
        <v>2.0041773495133859E-3</v>
      </c>
      <c r="K85" s="498">
        <f t="shared" si="9"/>
        <v>4.0010591746783529E-3</v>
      </c>
    </row>
    <row r="86" spans="1:11" s="5" customFormat="1">
      <c r="B86" s="141" t="str">
        <f t="shared" si="5"/>
        <v>Total</v>
      </c>
      <c r="C86" s="523">
        <f t="shared" si="6"/>
        <v>1</v>
      </c>
      <c r="D86" s="523">
        <f t="shared" si="6"/>
        <v>1</v>
      </c>
      <c r="E86" s="523">
        <f t="shared" si="6"/>
        <v>1</v>
      </c>
      <c r="F86" s="523">
        <f t="shared" si="6"/>
        <v>1</v>
      </c>
      <c r="G86" s="561">
        <f t="shared" si="8"/>
        <v>0.1</v>
      </c>
      <c r="H86" s="561">
        <f t="shared" si="7"/>
        <v>0.2</v>
      </c>
      <c r="I86" s="561">
        <f t="shared" si="7"/>
        <v>0.3</v>
      </c>
      <c r="J86" s="561">
        <f t="shared" si="7"/>
        <v>0.4</v>
      </c>
      <c r="K86" s="498">
        <f t="shared" si="9"/>
        <v>1</v>
      </c>
    </row>
    <row r="87" spans="1:11">
      <c r="A87" s="187">
        <f>SUM(C87:G87)</f>
        <v>0</v>
      </c>
      <c r="C87" s="188">
        <f>C86-1</f>
        <v>0</v>
      </c>
      <c r="D87" s="188">
        <f>D86-1</f>
        <v>0</v>
      </c>
      <c r="E87" s="188">
        <f>E86-1</f>
        <v>0</v>
      </c>
      <c r="F87" s="188">
        <f>F86-1</f>
        <v>0</v>
      </c>
      <c r="G87" s="189">
        <f>SUM(G86:J86)-1</f>
        <v>0</v>
      </c>
    </row>
  </sheetData>
  <mergeCells count="24">
    <mergeCell ref="B21:B22"/>
    <mergeCell ref="C21:F21"/>
    <mergeCell ref="B38:B39"/>
    <mergeCell ref="C38:F38"/>
    <mergeCell ref="B57:B58"/>
    <mergeCell ref="C57:C58"/>
    <mergeCell ref="D57:D58"/>
    <mergeCell ref="E57:E58"/>
    <mergeCell ref="F57:F58"/>
    <mergeCell ref="K57:K58"/>
    <mergeCell ref="G57:G58"/>
    <mergeCell ref="H57:H58"/>
    <mergeCell ref="I57:I58"/>
    <mergeCell ref="B74:B75"/>
    <mergeCell ref="C74:C75"/>
    <mergeCell ref="D74:D75"/>
    <mergeCell ref="E74:E75"/>
    <mergeCell ref="F74:F75"/>
    <mergeCell ref="K74:K75"/>
    <mergeCell ref="J57:J58"/>
    <mergeCell ref="G74:G75"/>
    <mergeCell ref="H74:H75"/>
    <mergeCell ref="I74:I75"/>
    <mergeCell ref="J74:J7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0000"/>
  </sheetPr>
  <dimension ref="A1:AC376"/>
  <sheetViews>
    <sheetView showGridLines="0" workbookViewId="0"/>
  </sheetViews>
  <sheetFormatPr defaultRowHeight="12.75"/>
  <cols>
    <col min="1" max="1" width="16.28515625" bestFit="1" customWidth="1"/>
    <col min="2" max="2" width="28.7109375" customWidth="1"/>
    <col min="3" max="14" width="10.7109375" customWidth="1"/>
  </cols>
  <sheetData>
    <row r="1" spans="1:17" s="66" customFormat="1" ht="15">
      <c r="A1" s="65" t="str">
        <f>'Title_&amp;_Contents'!E3</f>
        <v>TSM_201718 for publication</v>
      </c>
    </row>
    <row r="2" spans="1:17" s="66" customFormat="1" ht="15">
      <c r="A2" s="1003" t="s">
        <v>13</v>
      </c>
      <c r="B2" s="1003" t="s">
        <v>30</v>
      </c>
    </row>
    <row r="3" spans="1:17" s="66" customFormat="1" ht="15">
      <c r="A3" s="67"/>
    </row>
    <row r="4" spans="1:17" s="57" customFormat="1">
      <c r="A4" s="58" t="s">
        <v>26</v>
      </c>
      <c r="B4" s="58"/>
      <c r="C4" s="58"/>
      <c r="D4" s="58"/>
      <c r="E4" s="292"/>
      <c r="F4" s="58"/>
      <c r="G4" s="58"/>
      <c r="H4" s="58"/>
      <c r="I4" s="58"/>
      <c r="J4" s="58"/>
      <c r="K4" s="58"/>
    </row>
    <row r="5" spans="1:17" s="47" customFormat="1">
      <c r="A5" s="60" t="s">
        <v>1686</v>
      </c>
      <c r="B5" s="60"/>
      <c r="C5" s="60"/>
      <c r="D5" s="60"/>
      <c r="E5" s="60"/>
      <c r="F5" s="60"/>
      <c r="G5" s="60"/>
      <c r="H5" s="60"/>
      <c r="I5" s="60"/>
      <c r="J5" s="60"/>
      <c r="K5" s="60"/>
      <c r="L5" s="60"/>
      <c r="M5" s="60"/>
      <c r="N5" s="60"/>
      <c r="O5" s="59"/>
      <c r="P5" s="59"/>
      <c r="Q5" s="59"/>
    </row>
    <row r="6" spans="1:17" s="46" customFormat="1">
      <c r="A6" s="56" t="s">
        <v>1420</v>
      </c>
      <c r="B6" s="61"/>
      <c r="C6" s="61"/>
      <c r="D6" s="61"/>
      <c r="E6" s="292"/>
      <c r="F6" s="61"/>
      <c r="G6" s="61"/>
      <c r="H6" s="61"/>
      <c r="I6" s="61"/>
      <c r="J6" s="61"/>
      <c r="K6" s="61"/>
      <c r="L6" s="45"/>
      <c r="M6" s="45"/>
      <c r="N6" s="45"/>
      <c r="O6" s="45"/>
      <c r="P6" s="45"/>
      <c r="Q6" s="45"/>
    </row>
    <row r="7" spans="1:17" s="46" customFormat="1">
      <c r="A7" s="54" t="s">
        <v>350</v>
      </c>
      <c r="B7" s="56"/>
      <c r="C7" s="61"/>
      <c r="D7" s="61"/>
      <c r="E7" s="292"/>
      <c r="F7" s="61"/>
      <c r="G7" s="61"/>
      <c r="H7" s="61"/>
      <c r="I7" s="61"/>
      <c r="J7" s="61"/>
      <c r="K7" s="61"/>
      <c r="L7" s="45"/>
      <c r="M7" s="45"/>
      <c r="N7" s="45"/>
      <c r="O7" s="45"/>
      <c r="P7" s="45"/>
      <c r="Q7" s="45"/>
    </row>
    <row r="8" spans="1:17" s="46" customFormat="1">
      <c r="A8" s="56" t="s">
        <v>24</v>
      </c>
      <c r="B8" s="61"/>
      <c r="C8" s="61"/>
      <c r="D8" s="61"/>
      <c r="E8" s="292"/>
      <c r="F8" s="61"/>
      <c r="G8" s="61"/>
      <c r="H8" s="61"/>
      <c r="I8" s="61"/>
      <c r="J8" s="61"/>
      <c r="K8" s="61"/>
      <c r="L8" s="45"/>
      <c r="M8" s="45"/>
      <c r="N8" s="45"/>
      <c r="O8" s="45"/>
      <c r="P8" s="45"/>
      <c r="Q8" s="45"/>
    </row>
    <row r="9" spans="1:17" s="46" customFormat="1">
      <c r="A9" s="54" t="s">
        <v>351</v>
      </c>
      <c r="B9" s="61"/>
      <c r="C9" s="61"/>
      <c r="D9" s="61"/>
      <c r="E9" s="292"/>
      <c r="F9" s="61"/>
      <c r="G9" s="61"/>
      <c r="H9" s="61"/>
      <c r="I9" s="61"/>
      <c r="J9" s="61"/>
      <c r="K9" s="61"/>
      <c r="L9" s="45"/>
      <c r="M9" s="45"/>
      <c r="N9" s="45"/>
      <c r="O9" s="45"/>
      <c r="P9" s="45"/>
      <c r="Q9" s="45"/>
    </row>
    <row r="10" spans="1:17" s="50" customFormat="1">
      <c r="A10" s="55">
        <f>SUM(A13:A2249)</f>
        <v>0</v>
      </c>
      <c r="B10" s="73"/>
      <c r="C10" s="71"/>
      <c r="D10" s="48"/>
      <c r="E10" s="48"/>
      <c r="F10" s="48"/>
      <c r="G10" s="72"/>
      <c r="H10" s="48"/>
      <c r="I10" s="48"/>
      <c r="J10" s="72"/>
      <c r="K10" s="49"/>
      <c r="L10" s="49"/>
      <c r="M10" s="49"/>
      <c r="N10" s="49"/>
      <c r="O10" s="49"/>
      <c r="P10" s="49"/>
      <c r="Q10" s="49"/>
    </row>
    <row r="12" spans="1:17" ht="15.75">
      <c r="B12" s="78" t="s">
        <v>177</v>
      </c>
    </row>
    <row r="14" spans="1:17">
      <c r="B14" s="8" t="str">
        <f>Forecast_stock_figures!B14</f>
        <v>Phase/subject</v>
      </c>
      <c r="C14" s="8" t="str">
        <f>Forecast_stock_figures!C38</f>
        <v>2016/17</v>
      </c>
      <c r="D14" s="8" t="str">
        <f>Forecast_stock_figures!D38</f>
        <v>2017/18</v>
      </c>
      <c r="E14" s="8" t="str">
        <f>Forecast_stock_figures!E38</f>
        <v>2018/19</v>
      </c>
      <c r="F14" s="8" t="str">
        <f>Forecast_stock_figures!F38</f>
        <v>2019/20</v>
      </c>
      <c r="G14" s="8" t="str">
        <f>Forecast_stock_figures!G38</f>
        <v>2020/21</v>
      </c>
      <c r="H14" s="8" t="str">
        <f>Forecast_stock_figures!H38</f>
        <v>2021/22</v>
      </c>
      <c r="I14" s="8" t="str">
        <f>Forecast_stock_figures!I38</f>
        <v>2022/23</v>
      </c>
      <c r="J14" s="8" t="str">
        <f>Forecast_stock_figures!J38</f>
        <v>2023/24</v>
      </c>
      <c r="K14" s="8" t="str">
        <f>Forecast_stock_figures!K38</f>
        <v>2024/25</v>
      </c>
      <c r="L14" s="8" t="str">
        <f>Forecast_stock_figures!L38</f>
        <v>2025/26</v>
      </c>
      <c r="M14" s="8" t="str">
        <f>Forecast_stock_figures!M38</f>
        <v>2026/27</v>
      </c>
      <c r="N14" s="8" t="str">
        <f>Forecast_stock_figures!N38</f>
        <v>2027/28</v>
      </c>
    </row>
    <row r="15" spans="1:17" s="309" customFormat="1">
      <c r="B15" s="326" t="str">
        <f>Forecast_stock_figures!B15</f>
        <v>Primary</v>
      </c>
      <c r="C15" s="307">
        <f>Forecast_stock_figures!C39</f>
        <v>239231.65000000002</v>
      </c>
      <c r="D15" s="307">
        <f>Forecast_stock_figures!D39</f>
        <v>242289.97801032916</v>
      </c>
      <c r="E15" s="307">
        <f>Forecast_stock_figures!E39</f>
        <v>243816.50498787969</v>
      </c>
      <c r="F15" s="307">
        <f>Forecast_stock_figures!F39</f>
        <v>244473.00051685341</v>
      </c>
      <c r="G15" s="307">
        <f>Forecast_stock_figures!G39</f>
        <v>244493.08548462985</v>
      </c>
      <c r="H15" s="307">
        <f>Forecast_stock_figures!H39</f>
        <v>244756.56223781532</v>
      </c>
      <c r="I15" s="307">
        <f>Forecast_stock_figures!I39</f>
        <v>244837.80568339408</v>
      </c>
      <c r="J15" s="307">
        <f>Forecast_stock_figures!J39</f>
        <v>244626.1931197551</v>
      </c>
      <c r="K15" s="307">
        <f>Forecast_stock_figures!K39</f>
        <v>244233.40708441578</v>
      </c>
      <c r="L15" s="307">
        <f>Forecast_stock_figures!L39</f>
        <v>244470.60548841688</v>
      </c>
      <c r="M15" s="307">
        <f>Forecast_stock_figures!M39</f>
        <v>245157.17144903576</v>
      </c>
      <c r="N15" s="307">
        <f>Forecast_stock_figures!N39</f>
        <v>245898.02721211434</v>
      </c>
    </row>
    <row r="17" spans="1:9" ht="15.75">
      <c r="B17" s="78" t="s">
        <v>149</v>
      </c>
    </row>
    <row r="19" spans="1:9">
      <c r="B19" s="1104" t="str">
        <f>Stock_ages_breakdowns!B73</f>
        <v>Age group</v>
      </c>
      <c r="C19" s="1239" t="str">
        <f>Stock_ages_breakdowns!AQ73</f>
        <v>Primary</v>
      </c>
      <c r="D19" s="1240"/>
      <c r="H19" s="12" t="s">
        <v>120</v>
      </c>
    </row>
    <row r="20" spans="1:9">
      <c r="B20" s="1104"/>
      <c r="C20" s="141" t="str">
        <f>Stock_ages_breakdowns!AQ74</f>
        <v>Male</v>
      </c>
      <c r="D20" s="141" t="str">
        <f>Stock_ages_breakdowns!AR74</f>
        <v>Female</v>
      </c>
    </row>
    <row r="21" spans="1:9">
      <c r="B21" s="141" t="str">
        <f>Stock_ages_breakdowns!B75</f>
        <v>20-24</v>
      </c>
      <c r="C21" s="331">
        <f>Stock_ages_breakdowns!AQ20</f>
        <v>2201.1010000000001</v>
      </c>
      <c r="D21" s="331">
        <f>Stock_ages_breakdowns!AR20</f>
        <v>15881.828</v>
      </c>
    </row>
    <row r="22" spans="1:9">
      <c r="B22" s="141" t="str">
        <f>Stock_ages_breakdowns!B76</f>
        <v>25-29</v>
      </c>
      <c r="C22" s="331">
        <f>Stock_ages_breakdowns!AQ21</f>
        <v>6376.2039999999997</v>
      </c>
      <c r="D22" s="331">
        <f>Stock_ages_breakdowns!AR21</f>
        <v>36112.19</v>
      </c>
    </row>
    <row r="23" spans="1:9">
      <c r="B23" s="141" t="str">
        <f>Stock_ages_breakdowns!B77</f>
        <v>30-34</v>
      </c>
      <c r="C23" s="331">
        <f>Stock_ages_breakdowns!AQ22</f>
        <v>5885.4409999999998</v>
      </c>
      <c r="D23" s="331">
        <f>Stock_ages_breakdowns!AR22</f>
        <v>33344.974000000002</v>
      </c>
    </row>
    <row r="24" spans="1:9">
      <c r="B24" s="141" t="str">
        <f>Stock_ages_breakdowns!B78</f>
        <v>35-39</v>
      </c>
      <c r="C24" s="331">
        <f>Stock_ages_breakdowns!AQ23</f>
        <v>5055.6980000000003</v>
      </c>
      <c r="D24" s="331">
        <f>Stock_ages_breakdowns!AR23</f>
        <v>30412.830999999998</v>
      </c>
    </row>
    <row r="25" spans="1:9">
      <c r="B25" s="141" t="str">
        <f>Stock_ages_breakdowns!B79</f>
        <v>40-44</v>
      </c>
      <c r="C25" s="331">
        <f>Stock_ages_breakdowns!AQ24</f>
        <v>4719.7929999999997</v>
      </c>
      <c r="D25" s="331">
        <f>Stock_ages_breakdowns!AR24</f>
        <v>28764.807000000001</v>
      </c>
    </row>
    <row r="26" spans="1:9">
      <c r="B26" s="141" t="str">
        <f>Stock_ages_breakdowns!B80</f>
        <v>45-49</v>
      </c>
      <c r="C26" s="331">
        <f>Stock_ages_breakdowns!AQ25</f>
        <v>3577.8429999999998</v>
      </c>
      <c r="D26" s="331">
        <f>Stock_ages_breakdowns!AR25</f>
        <v>24094.242999999999</v>
      </c>
    </row>
    <row r="27" spans="1:9">
      <c r="B27" s="141" t="str">
        <f>Stock_ages_breakdowns!B81</f>
        <v>50-54</v>
      </c>
      <c r="C27" s="331">
        <f>Stock_ages_breakdowns!AQ26</f>
        <v>2816.739</v>
      </c>
      <c r="D27" s="331">
        <f>Stock_ages_breakdowns!AR26</f>
        <v>19230.936000000002</v>
      </c>
    </row>
    <row r="28" spans="1:9">
      <c r="B28" s="141" t="str">
        <f>Stock_ages_breakdowns!B82</f>
        <v>55-59</v>
      </c>
      <c r="C28" s="331">
        <f>Stock_ages_breakdowns!AQ27</f>
        <v>1551.135</v>
      </c>
      <c r="D28" s="331">
        <f>Stock_ages_breakdowns!AR27</f>
        <v>13056.163</v>
      </c>
    </row>
    <row r="29" spans="1:9">
      <c r="B29" s="141" t="str">
        <f>Stock_ages_breakdowns!B83</f>
        <v>60-64</v>
      </c>
      <c r="C29" s="331">
        <f>Stock_ages_breakdowns!AQ28</f>
        <v>578.90700000000004</v>
      </c>
      <c r="D29" s="331">
        <f>Stock_ages_breakdowns!AR28</f>
        <v>4723.0529999999999</v>
      </c>
      <c r="F29" s="12"/>
    </row>
    <row r="30" spans="1:9">
      <c r="B30" s="141" t="str">
        <f>Stock_ages_breakdowns!B84</f>
        <v>65 plus</v>
      </c>
      <c r="C30" s="331">
        <f>Stock_ages_breakdowns!AQ29</f>
        <v>129.684</v>
      </c>
      <c r="D30" s="331">
        <f>Stock_ages_breakdowns!AR29</f>
        <v>718.08</v>
      </c>
      <c r="G30" s="8" t="s">
        <v>49</v>
      </c>
      <c r="H30" s="8" t="s">
        <v>50</v>
      </c>
    </row>
    <row r="31" spans="1:9">
      <c r="A31" s="10">
        <f>I31</f>
        <v>0</v>
      </c>
      <c r="B31" s="141" t="str">
        <f>Stock_ages_breakdowns!B85</f>
        <v>Total</v>
      </c>
      <c r="C31" s="331">
        <f>Stock_ages_breakdowns!AQ30</f>
        <v>32892.544999999998</v>
      </c>
      <c r="D31" s="331">
        <f>Stock_ages_breakdowns!AR30</f>
        <v>206339.10500000001</v>
      </c>
      <c r="E31" s="327">
        <f>SUM(C31:D31)</f>
        <v>239231.65000000002</v>
      </c>
      <c r="G31" s="368">
        <f>C31/$E$31</f>
        <v>0.13749244717410924</v>
      </c>
      <c r="H31" s="368">
        <f>D31/$E$31</f>
        <v>0.86250755282589064</v>
      </c>
      <c r="I31" s="10">
        <f>(G31+H31)-1</f>
        <v>0</v>
      </c>
    </row>
    <row r="33" spans="2:29" ht="15.75">
      <c r="B33" s="78" t="s">
        <v>262</v>
      </c>
      <c r="H33" s="12"/>
    </row>
    <row r="34" spans="2:29">
      <c r="H34" s="12"/>
    </row>
    <row r="35" spans="2:29">
      <c r="B35" s="8" t="str">
        <f>B14</f>
        <v>Phase/subject</v>
      </c>
      <c r="C35" s="8" t="str">
        <f>C14</f>
        <v>2016/17</v>
      </c>
      <c r="D35" s="8" t="str">
        <f t="shared" ref="D35:N35" si="0">D14</f>
        <v>2017/18</v>
      </c>
      <c r="E35" s="8" t="str">
        <f t="shared" si="0"/>
        <v>2018/19</v>
      </c>
      <c r="F35" s="8" t="str">
        <f t="shared" si="0"/>
        <v>2019/20</v>
      </c>
      <c r="G35" s="8" t="str">
        <f t="shared" si="0"/>
        <v>2020/21</v>
      </c>
      <c r="H35" s="8" t="str">
        <f t="shared" si="0"/>
        <v>2021/22</v>
      </c>
      <c r="I35" s="8" t="str">
        <f t="shared" si="0"/>
        <v>2022/23</v>
      </c>
      <c r="J35" s="8" t="str">
        <f t="shared" si="0"/>
        <v>2023/24</v>
      </c>
      <c r="K35" s="8" t="str">
        <f t="shared" si="0"/>
        <v>2024/25</v>
      </c>
      <c r="L35" s="8" t="str">
        <f t="shared" si="0"/>
        <v>2025/26</v>
      </c>
      <c r="M35" s="8" t="str">
        <f t="shared" si="0"/>
        <v>2026/27</v>
      </c>
      <c r="N35" s="8" t="str">
        <f t="shared" si="0"/>
        <v>2027/28</v>
      </c>
    </row>
    <row r="36" spans="2:29">
      <c r="B36" s="8" t="str">
        <f>B15</f>
        <v>Primary</v>
      </c>
      <c r="C36" s="307">
        <f>Forecast_stock_figures!C15</f>
        <v>242289.97801032916</v>
      </c>
      <c r="D36" s="307">
        <f>Forecast_stock_figures!D15</f>
        <v>243816.50498787969</v>
      </c>
      <c r="E36" s="307">
        <f>Forecast_stock_figures!E15</f>
        <v>244473.00051685341</v>
      </c>
      <c r="F36" s="307">
        <f>Forecast_stock_figures!F15</f>
        <v>244493.08548462985</v>
      </c>
      <c r="G36" s="307">
        <f>Forecast_stock_figures!G15</f>
        <v>244756.56223781532</v>
      </c>
      <c r="H36" s="307">
        <f>Forecast_stock_figures!H15</f>
        <v>244837.80568339408</v>
      </c>
      <c r="I36" s="307">
        <f>Forecast_stock_figures!I15</f>
        <v>244626.1931197551</v>
      </c>
      <c r="J36" s="307">
        <f>Forecast_stock_figures!J15</f>
        <v>244233.40708441578</v>
      </c>
      <c r="K36" s="307">
        <f>Forecast_stock_figures!K15</f>
        <v>244470.60548841688</v>
      </c>
      <c r="L36" s="307">
        <f>Forecast_stock_figures!L15</f>
        <v>245157.17144903576</v>
      </c>
      <c r="M36" s="307">
        <f>Forecast_stock_figures!M15</f>
        <v>245898.02721211434</v>
      </c>
      <c r="N36" s="307">
        <f>Forecast_stock_figures!N15</f>
        <v>246453.8722658148</v>
      </c>
    </row>
    <row r="37" spans="2:29">
      <c r="C37" s="309"/>
      <c r="D37" s="309"/>
      <c r="E37" s="309"/>
      <c r="F37" s="309"/>
      <c r="G37" s="309"/>
      <c r="H37" s="325"/>
      <c r="I37" s="309"/>
      <c r="J37" s="309"/>
      <c r="K37" s="309"/>
      <c r="L37" s="309"/>
      <c r="M37" s="309"/>
      <c r="N37" s="309"/>
    </row>
    <row r="38" spans="2:29" ht="15.75">
      <c r="B38" s="78" t="s">
        <v>157</v>
      </c>
      <c r="C38" s="309"/>
      <c r="D38" s="309"/>
      <c r="E38" s="309"/>
      <c r="F38" s="309"/>
      <c r="G38" s="309"/>
      <c r="H38" s="325"/>
      <c r="I38" s="309"/>
      <c r="J38" s="309"/>
      <c r="K38" s="309"/>
      <c r="L38" s="309"/>
      <c r="M38" s="309"/>
      <c r="N38" s="309"/>
    </row>
    <row r="39" spans="2:29">
      <c r="C39" s="309"/>
      <c r="D39" s="309"/>
      <c r="E39" s="309"/>
      <c r="F39" s="309"/>
      <c r="G39" s="309"/>
      <c r="H39" s="325"/>
      <c r="I39" s="309"/>
      <c r="J39" s="309"/>
      <c r="K39" s="309"/>
      <c r="L39" s="309"/>
      <c r="M39" s="309"/>
      <c r="N39" s="309"/>
    </row>
    <row r="40" spans="2:29">
      <c r="B40" s="76" t="s">
        <v>49</v>
      </c>
      <c r="C40" s="309"/>
      <c r="D40" s="309"/>
      <c r="E40" s="309"/>
      <c r="F40" s="309"/>
      <c r="G40" s="309"/>
      <c r="H40" s="325"/>
      <c r="I40" s="309"/>
      <c r="J40" s="309"/>
      <c r="K40" s="309"/>
      <c r="L40" s="309"/>
      <c r="M40" s="309"/>
      <c r="N40" s="309"/>
    </row>
    <row r="41" spans="2:29">
      <c r="C41" s="309"/>
      <c r="D41" s="309"/>
      <c r="E41" s="309"/>
      <c r="F41" s="309"/>
      <c r="G41" s="309"/>
      <c r="H41" s="325"/>
      <c r="I41" s="309"/>
      <c r="J41" s="309"/>
      <c r="K41" s="309"/>
      <c r="L41" s="309"/>
      <c r="M41" s="309"/>
      <c r="N41" s="309"/>
    </row>
    <row r="42" spans="2:29">
      <c r="B42" s="152"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29">
      <c r="B43" s="141" t="str">
        <f>B21</f>
        <v>20-24</v>
      </c>
      <c r="C43" s="307">
        <f>C21</f>
        <v>2201.1010000000001</v>
      </c>
      <c r="D43" s="307">
        <f t="shared" ref="D43:L43" si="2">C340</f>
        <v>2769.0106878508054</v>
      </c>
      <c r="E43" s="307">
        <f t="shared" si="2"/>
        <v>3109.1820059340116</v>
      </c>
      <c r="F43" s="307">
        <f t="shared" si="2"/>
        <v>3311.5307747202778</v>
      </c>
      <c r="G43" s="307">
        <f t="shared" si="2"/>
        <v>3424.2192855669355</v>
      </c>
      <c r="H43" s="307">
        <f t="shared" si="2"/>
        <v>3510.6692693900513</v>
      </c>
      <c r="I43" s="307">
        <f t="shared" si="2"/>
        <v>3562.1662627100559</v>
      </c>
      <c r="J43" s="307">
        <f t="shared" si="2"/>
        <v>3584.2478569981567</v>
      </c>
      <c r="K43" s="307">
        <f t="shared" si="2"/>
        <v>3589.8751240135198</v>
      </c>
      <c r="L43" s="307">
        <f t="shared" si="2"/>
        <v>3619.1725598032335</v>
      </c>
      <c r="M43" s="307">
        <f t="shared" ref="M43:M53" si="3">L340</f>
        <v>3660.4004934257136</v>
      </c>
      <c r="N43" s="307">
        <f t="shared" ref="N43:N53" si="4">M340</f>
        <v>3694.9020303884668</v>
      </c>
      <c r="Q43" s="309"/>
      <c r="R43" s="309"/>
      <c r="S43" s="309"/>
      <c r="T43" s="309"/>
      <c r="U43" s="309"/>
      <c r="V43" s="309"/>
      <c r="W43" s="309"/>
      <c r="X43" s="309"/>
      <c r="Y43" s="309"/>
      <c r="Z43" s="309"/>
      <c r="AA43" s="309"/>
      <c r="AB43" s="309"/>
      <c r="AC43" s="309"/>
    </row>
    <row r="44" spans="2:29">
      <c r="B44" s="141" t="str">
        <f t="shared" ref="B44:C53" si="5">B22</f>
        <v>25-29</v>
      </c>
      <c r="C44" s="307">
        <f t="shared" si="5"/>
        <v>6376.2039999999997</v>
      </c>
      <c r="D44" s="307">
        <f t="shared" ref="D44:G52" si="6">C341</f>
        <v>5865.2354400629847</v>
      </c>
      <c r="E44" s="307">
        <f t="shared" si="6"/>
        <v>5553.8863140970552</v>
      </c>
      <c r="F44" s="307">
        <f t="shared" si="6"/>
        <v>5362.5481429031861</v>
      </c>
      <c r="G44" s="307">
        <f t="shared" si="6"/>
        <v>5238.5569698027757</v>
      </c>
      <c r="H44" s="307">
        <f t="shared" ref="F44:K53" si="7">G341</f>
        <v>5174.8897668313648</v>
      </c>
      <c r="I44" s="307">
        <f t="shared" si="7"/>
        <v>5137.3779273926875</v>
      </c>
      <c r="J44" s="307">
        <f t="shared" si="7"/>
        <v>5108.8513148319716</v>
      </c>
      <c r="K44" s="307">
        <f t="shared" si="7"/>
        <v>5084.8228732249836</v>
      </c>
      <c r="L44" s="307">
        <f t="shared" ref="L44:L53" si="8">K341</f>
        <v>5087.7094706364824</v>
      </c>
      <c r="M44" s="307">
        <f t="shared" si="3"/>
        <v>5110.418184052839</v>
      </c>
      <c r="N44" s="307">
        <f t="shared" si="4"/>
        <v>5137.9921294801197</v>
      </c>
      <c r="Q44" s="309"/>
      <c r="R44" s="309"/>
      <c r="S44" s="309"/>
      <c r="T44" s="309"/>
      <c r="U44" s="309"/>
      <c r="V44" s="309"/>
      <c r="W44" s="309"/>
      <c r="X44" s="309"/>
      <c r="Y44" s="309"/>
      <c r="Z44" s="309"/>
      <c r="AA44" s="309"/>
      <c r="AB44" s="309"/>
      <c r="AC44" s="309"/>
    </row>
    <row r="45" spans="2:29">
      <c r="B45" s="141" t="str">
        <f t="shared" si="5"/>
        <v>30-34</v>
      </c>
      <c r="C45" s="307">
        <f t="shared" si="5"/>
        <v>5885.4409999999998</v>
      </c>
      <c r="D45" s="307">
        <f t="shared" si="6"/>
        <v>5883.405825323146</v>
      </c>
      <c r="E45" s="307">
        <f t="shared" si="6"/>
        <v>5766.4264701160237</v>
      </c>
      <c r="F45" s="307">
        <f t="shared" si="6"/>
        <v>5610.4777463968949</v>
      </c>
      <c r="G45" s="307">
        <f t="shared" si="6"/>
        <v>5450.8858359498627</v>
      </c>
      <c r="H45" s="307">
        <f t="shared" si="7"/>
        <v>5314.2094713632705</v>
      </c>
      <c r="I45" s="307">
        <f t="shared" si="7"/>
        <v>5199.4328768445557</v>
      </c>
      <c r="J45" s="307">
        <f t="shared" si="7"/>
        <v>5103.7543566468266</v>
      </c>
      <c r="K45" s="307">
        <f t="shared" si="7"/>
        <v>5025.2121780620037</v>
      </c>
      <c r="L45" s="307">
        <f t="shared" si="8"/>
        <v>4972.5552008586883</v>
      </c>
      <c r="M45" s="307">
        <f t="shared" si="3"/>
        <v>4941.9504422293785</v>
      </c>
      <c r="N45" s="307">
        <f t="shared" si="4"/>
        <v>4925.6378605240261</v>
      </c>
      <c r="Q45" s="309"/>
      <c r="R45" s="309"/>
      <c r="S45" s="309"/>
      <c r="T45" s="309"/>
      <c r="U45" s="309"/>
      <c r="V45" s="309"/>
      <c r="W45" s="309"/>
      <c r="X45" s="309"/>
      <c r="Y45" s="309"/>
      <c r="Z45" s="309"/>
      <c r="AA45" s="309"/>
      <c r="AB45" s="309"/>
      <c r="AC45" s="309"/>
    </row>
    <row r="46" spans="2:29">
      <c r="B46" s="141" t="str">
        <f t="shared" si="5"/>
        <v>35-39</v>
      </c>
      <c r="C46" s="307">
        <f t="shared" si="5"/>
        <v>5055.6980000000003</v>
      </c>
      <c r="D46" s="307">
        <f t="shared" si="6"/>
        <v>5182.1684708767834</v>
      </c>
      <c r="E46" s="307">
        <f t="shared" si="6"/>
        <v>5257.6493827756631</v>
      </c>
      <c r="F46" s="307">
        <f t="shared" si="6"/>
        <v>5280.8044110582423</v>
      </c>
      <c r="G46" s="307">
        <f t="shared" si="6"/>
        <v>5260.2676878889288</v>
      </c>
      <c r="H46" s="307">
        <f t="shared" si="7"/>
        <v>5217.3142377308113</v>
      </c>
      <c r="I46" s="307">
        <f t="shared" si="7"/>
        <v>5157.3390242121422</v>
      </c>
      <c r="J46" s="307">
        <f t="shared" si="7"/>
        <v>5087.4909906812891</v>
      </c>
      <c r="K46" s="307">
        <f t="shared" si="7"/>
        <v>5015.1222326115021</v>
      </c>
      <c r="L46" s="307">
        <f t="shared" si="8"/>
        <v>4954.1262742343642</v>
      </c>
      <c r="M46" s="307">
        <f t="shared" si="3"/>
        <v>4904.9721164430839</v>
      </c>
      <c r="N46" s="307">
        <f t="shared" si="4"/>
        <v>4864.3565343994287</v>
      </c>
      <c r="Q46" s="309"/>
      <c r="R46" s="309"/>
      <c r="S46" s="309"/>
      <c r="T46" s="309"/>
      <c r="U46" s="309"/>
      <c r="V46" s="309"/>
      <c r="W46" s="309"/>
      <c r="X46" s="309"/>
      <c r="Y46" s="309"/>
      <c r="Z46" s="309"/>
      <c r="AA46" s="309"/>
      <c r="AB46" s="309"/>
      <c r="AC46" s="309"/>
    </row>
    <row r="47" spans="2:29">
      <c r="B47" s="141" t="str">
        <f t="shared" si="5"/>
        <v>40-44</v>
      </c>
      <c r="C47" s="307">
        <f t="shared" si="5"/>
        <v>4719.7929999999997</v>
      </c>
      <c r="D47" s="307">
        <f t="shared" si="6"/>
        <v>4754.8098747611102</v>
      </c>
      <c r="E47" s="307">
        <f t="shared" si="6"/>
        <v>4786.4073234229263</v>
      </c>
      <c r="F47" s="307">
        <f t="shared" si="6"/>
        <v>4812.729937860614</v>
      </c>
      <c r="G47" s="307">
        <f t="shared" si="6"/>
        <v>4827.7821093331477</v>
      </c>
      <c r="H47" s="307">
        <f t="shared" si="7"/>
        <v>4836.9179287203779</v>
      </c>
      <c r="I47" s="307">
        <f t="shared" si="7"/>
        <v>4832.97755156329</v>
      </c>
      <c r="J47" s="307">
        <f t="shared" si="7"/>
        <v>4814.9527396228668</v>
      </c>
      <c r="K47" s="307">
        <f t="shared" si="7"/>
        <v>4785.9467076423653</v>
      </c>
      <c r="L47" s="307">
        <f t="shared" si="8"/>
        <v>4758.2643191203406</v>
      </c>
      <c r="M47" s="307">
        <f t="shared" si="3"/>
        <v>4732.295410213821</v>
      </c>
      <c r="N47" s="307">
        <f t="shared" si="4"/>
        <v>4705.5236830064041</v>
      </c>
      <c r="Q47" s="309"/>
      <c r="R47" s="309"/>
      <c r="S47" s="309"/>
      <c r="T47" s="309"/>
      <c r="U47" s="309"/>
      <c r="V47" s="309"/>
      <c r="W47" s="309"/>
      <c r="X47" s="309"/>
      <c r="Y47" s="309"/>
      <c r="Z47" s="309"/>
      <c r="AA47" s="309"/>
      <c r="AB47" s="309"/>
      <c r="AC47" s="309"/>
    </row>
    <row r="48" spans="2:29">
      <c r="B48" s="141" t="str">
        <f t="shared" si="5"/>
        <v>45-49</v>
      </c>
      <c r="C48" s="307">
        <f t="shared" si="5"/>
        <v>3577.8429999999998</v>
      </c>
      <c r="D48" s="307">
        <f t="shared" si="6"/>
        <v>3718.0454987154017</v>
      </c>
      <c r="E48" s="307">
        <f t="shared" si="6"/>
        <v>3813.7018780466979</v>
      </c>
      <c r="F48" s="307">
        <f t="shared" si="6"/>
        <v>3881.1587422650214</v>
      </c>
      <c r="G48" s="307">
        <f t="shared" si="6"/>
        <v>3928.7712434194191</v>
      </c>
      <c r="H48" s="307">
        <f t="shared" si="7"/>
        <v>3967.5686483453642</v>
      </c>
      <c r="I48" s="307">
        <f t="shared" si="7"/>
        <v>3995.4921729697221</v>
      </c>
      <c r="J48" s="307">
        <f t="shared" si="7"/>
        <v>4012.1524173046655</v>
      </c>
      <c r="K48" s="307">
        <f t="shared" si="7"/>
        <v>4018.9438847432134</v>
      </c>
      <c r="L48" s="307">
        <f t="shared" si="8"/>
        <v>4023.8260051687712</v>
      </c>
      <c r="M48" s="307">
        <f t="shared" si="3"/>
        <v>4026.5537538327799</v>
      </c>
      <c r="N48" s="307">
        <f t="shared" si="4"/>
        <v>4024.890358448054</v>
      </c>
      <c r="Q48" s="309"/>
      <c r="R48" s="309"/>
      <c r="S48" s="309"/>
      <c r="T48" s="309"/>
      <c r="U48" s="309"/>
      <c r="V48" s="309"/>
      <c r="W48" s="309"/>
      <c r="X48" s="309"/>
      <c r="Y48" s="309"/>
      <c r="Z48" s="309"/>
      <c r="AA48" s="309"/>
      <c r="AB48" s="309"/>
      <c r="AC48" s="309"/>
    </row>
    <row r="49" spans="1:29">
      <c r="B49" s="141" t="str">
        <f t="shared" si="5"/>
        <v>50-54</v>
      </c>
      <c r="C49" s="307">
        <f t="shared" si="5"/>
        <v>2816.739</v>
      </c>
      <c r="D49" s="307">
        <f t="shared" si="6"/>
        <v>2804.1927255873729</v>
      </c>
      <c r="E49" s="307">
        <f t="shared" si="6"/>
        <v>2812.2767492692124</v>
      </c>
      <c r="F49" s="307">
        <f t="shared" si="6"/>
        <v>2830.1663184859135</v>
      </c>
      <c r="G49" s="307">
        <f t="shared" si="6"/>
        <v>2851.0594844885213</v>
      </c>
      <c r="H49" s="307">
        <f t="shared" si="7"/>
        <v>2875.308456815118</v>
      </c>
      <c r="I49" s="307">
        <f t="shared" si="7"/>
        <v>2898.3033946581609</v>
      </c>
      <c r="J49" s="307">
        <f t="shared" si="7"/>
        <v>2917.8745790230569</v>
      </c>
      <c r="K49" s="307">
        <f t="shared" si="7"/>
        <v>2933.5511560301325</v>
      </c>
      <c r="L49" s="307">
        <f t="shared" si="8"/>
        <v>2949.1783387708501</v>
      </c>
      <c r="M49" s="307">
        <f t="shared" si="3"/>
        <v>2963.8105015685151</v>
      </c>
      <c r="N49" s="307">
        <f t="shared" si="4"/>
        <v>2975.4154699424316</v>
      </c>
      <c r="Q49" s="309"/>
      <c r="R49" s="309"/>
      <c r="S49" s="309"/>
      <c r="T49" s="309"/>
      <c r="U49" s="309"/>
      <c r="V49" s="309"/>
      <c r="W49" s="309"/>
      <c r="X49" s="309"/>
      <c r="Y49" s="309"/>
      <c r="Z49" s="309"/>
      <c r="AA49" s="309"/>
      <c r="AB49" s="309"/>
      <c r="AC49" s="309"/>
    </row>
    <row r="50" spans="1:29">
      <c r="B50" s="141" t="str">
        <f t="shared" si="5"/>
        <v>55-59</v>
      </c>
      <c r="C50" s="307">
        <f t="shared" si="5"/>
        <v>1551.135</v>
      </c>
      <c r="D50" s="307">
        <f t="shared" si="6"/>
        <v>1450.2018089955152</v>
      </c>
      <c r="E50" s="307">
        <f t="shared" si="6"/>
        <v>1382.6998883522126</v>
      </c>
      <c r="F50" s="307">
        <f t="shared" si="6"/>
        <v>1340.2674930033486</v>
      </c>
      <c r="G50" s="307">
        <f t="shared" si="6"/>
        <v>1314.9927125722695</v>
      </c>
      <c r="H50" s="307">
        <f t="shared" si="7"/>
        <v>1303.5072921333588</v>
      </c>
      <c r="I50" s="307">
        <f t="shared" si="7"/>
        <v>1299.4518471880779</v>
      </c>
      <c r="J50" s="307">
        <f t="shared" si="7"/>
        <v>1299.283683153486</v>
      </c>
      <c r="K50" s="307">
        <f t="shared" si="7"/>
        <v>1301.2935050932952</v>
      </c>
      <c r="L50" s="307">
        <f t="shared" si="8"/>
        <v>1306.9159923097855</v>
      </c>
      <c r="M50" s="307">
        <f t="shared" si="3"/>
        <v>1314.2979029075393</v>
      </c>
      <c r="N50" s="307">
        <f t="shared" si="4"/>
        <v>1321.3424713466079</v>
      </c>
      <c r="Q50" s="309"/>
      <c r="R50" s="309"/>
      <c r="S50" s="309"/>
      <c r="T50" s="309"/>
      <c r="U50" s="309"/>
      <c r="V50" s="309"/>
      <c r="W50" s="309"/>
      <c r="X50" s="309"/>
      <c r="Y50" s="309"/>
      <c r="Z50" s="309"/>
      <c r="AA50" s="309"/>
      <c r="AB50" s="309"/>
      <c r="AC50" s="309"/>
    </row>
    <row r="51" spans="1:29">
      <c r="B51" s="141" t="str">
        <f t="shared" si="5"/>
        <v>60-64</v>
      </c>
      <c r="C51" s="307">
        <f t="shared" si="5"/>
        <v>578.90700000000004</v>
      </c>
      <c r="D51" s="307">
        <f t="shared" si="6"/>
        <v>536.18135653145157</v>
      </c>
      <c r="E51" s="307">
        <f t="shared" si="6"/>
        <v>499.33019914731</v>
      </c>
      <c r="F51" s="307">
        <f t="shared" si="6"/>
        <v>470.60330050075231</v>
      </c>
      <c r="G51" s="307">
        <f t="shared" si="6"/>
        <v>449.48276184521592</v>
      </c>
      <c r="H51" s="307">
        <f t="shared" si="7"/>
        <v>435.82256352838374</v>
      </c>
      <c r="I51" s="307">
        <f t="shared" si="7"/>
        <v>427.06618178159124</v>
      </c>
      <c r="J51" s="307">
        <f t="shared" si="7"/>
        <v>421.56046809028362</v>
      </c>
      <c r="K51" s="307">
        <f t="shared" si="7"/>
        <v>418.36415663883304</v>
      </c>
      <c r="L51" s="307">
        <f t="shared" si="8"/>
        <v>417.9670078384666</v>
      </c>
      <c r="M51" s="307">
        <f t="shared" si="3"/>
        <v>419.260254114573</v>
      </c>
      <c r="N51" s="307">
        <f t="shared" si="4"/>
        <v>421.05190459209723</v>
      </c>
      <c r="Q51" s="309"/>
      <c r="R51" s="309"/>
      <c r="S51" s="309"/>
      <c r="T51" s="309"/>
      <c r="U51" s="309"/>
      <c r="V51" s="309"/>
      <c r="W51" s="309"/>
      <c r="X51" s="309"/>
      <c r="Y51" s="309"/>
      <c r="Z51" s="309"/>
      <c r="AA51" s="309"/>
      <c r="AB51" s="309"/>
      <c r="AC51" s="309"/>
    </row>
    <row r="52" spans="1:29">
      <c r="B52" s="141" t="str">
        <f t="shared" si="5"/>
        <v>65 plus</v>
      </c>
      <c r="C52" s="307">
        <f t="shared" si="5"/>
        <v>129.684</v>
      </c>
      <c r="D52" s="307">
        <f t="shared" si="6"/>
        <v>182.15032643452435</v>
      </c>
      <c r="E52" s="307">
        <f t="shared" si="6"/>
        <v>212.09612909903987</v>
      </c>
      <c r="F52" s="307">
        <f t="shared" si="6"/>
        <v>227.42425425497197</v>
      </c>
      <c r="G52" s="307">
        <f t="shared" si="6"/>
        <v>233.79463185635527</v>
      </c>
      <c r="H52" s="307">
        <f t="shared" si="7"/>
        <v>235.34865373145635</v>
      </c>
      <c r="I52" s="307">
        <f t="shared" si="7"/>
        <v>234.43597822583891</v>
      </c>
      <c r="J52" s="307">
        <f t="shared" si="7"/>
        <v>232.44623059450552</v>
      </c>
      <c r="K52" s="307">
        <f t="shared" si="7"/>
        <v>230.20154638459795</v>
      </c>
      <c r="L52" s="307">
        <f t="shared" si="8"/>
        <v>228.43627042872313</v>
      </c>
      <c r="M52" s="307">
        <f t="shared" si="3"/>
        <v>227.3474763841283</v>
      </c>
      <c r="N52" s="307">
        <f t="shared" si="4"/>
        <v>226.81998933772132</v>
      </c>
      <c r="Q52" s="309"/>
      <c r="R52" s="309"/>
      <c r="S52" s="309"/>
      <c r="T52" s="309"/>
      <c r="U52" s="309"/>
      <c r="V52" s="309"/>
      <c r="W52" s="309"/>
      <c r="X52" s="309"/>
      <c r="Y52" s="309"/>
      <c r="Z52" s="309"/>
      <c r="AA52" s="309"/>
      <c r="AB52" s="309"/>
      <c r="AC52" s="309"/>
    </row>
    <row r="53" spans="1:29">
      <c r="B53" s="141" t="str">
        <f t="shared" si="5"/>
        <v>Total</v>
      </c>
      <c r="C53" s="307">
        <f t="shared" si="5"/>
        <v>32892.544999999998</v>
      </c>
      <c r="D53" s="307">
        <f>C350</f>
        <v>33145.402015139094</v>
      </c>
      <c r="E53" s="307">
        <f>D350</f>
        <v>33193.656340260153</v>
      </c>
      <c r="F53" s="307">
        <f t="shared" si="7"/>
        <v>33127.711121449225</v>
      </c>
      <c r="G53" s="307">
        <f>F350</f>
        <v>32979.812722723422</v>
      </c>
      <c r="H53" s="307">
        <f t="shared" si="7"/>
        <v>32871.556288589556</v>
      </c>
      <c r="I53" s="307">
        <f t="shared" si="7"/>
        <v>32744.043217546125</v>
      </c>
      <c r="J53" s="307">
        <f t="shared" si="7"/>
        <v>32582.614636947103</v>
      </c>
      <c r="K53" s="307">
        <f t="shared" si="7"/>
        <v>32403.333364444443</v>
      </c>
      <c r="L53" s="307">
        <f t="shared" si="8"/>
        <v>32318.151439169709</v>
      </c>
      <c r="M53" s="307">
        <f t="shared" si="3"/>
        <v>32301.306535172374</v>
      </c>
      <c r="N53" s="307">
        <f t="shared" si="4"/>
        <v>32297.932431465357</v>
      </c>
    </row>
    <row r="54" spans="1:29">
      <c r="A54" s="10">
        <f>SUM(C54:N54)</f>
        <v>0</v>
      </c>
      <c r="C54" s="309">
        <f>SUM(C43:C52)-C53</f>
        <v>0</v>
      </c>
      <c r="D54" s="309">
        <f t="shared" ref="D54:N54" si="9">SUM(D43:D52)-D53</f>
        <v>0</v>
      </c>
      <c r="E54" s="309">
        <f t="shared" si="9"/>
        <v>0</v>
      </c>
      <c r="F54" s="309">
        <f t="shared" si="9"/>
        <v>0</v>
      </c>
      <c r="G54" s="309">
        <f t="shared" si="9"/>
        <v>0</v>
      </c>
      <c r="H54" s="309">
        <f t="shared" si="9"/>
        <v>0</v>
      </c>
      <c r="I54" s="309">
        <f t="shared" si="9"/>
        <v>0</v>
      </c>
      <c r="J54" s="309">
        <f t="shared" si="9"/>
        <v>0</v>
      </c>
      <c r="K54" s="309">
        <f t="shared" si="9"/>
        <v>0</v>
      </c>
      <c r="L54" s="309">
        <f t="shared" si="9"/>
        <v>0</v>
      </c>
      <c r="M54" s="309">
        <f t="shared" si="9"/>
        <v>0</v>
      </c>
      <c r="N54" s="309">
        <f t="shared" si="9"/>
        <v>0</v>
      </c>
    </row>
    <row r="55" spans="1:29">
      <c r="A55" s="10"/>
      <c r="C55" s="309"/>
      <c r="D55" s="309"/>
      <c r="E55" s="309"/>
      <c r="F55" s="309"/>
      <c r="G55" s="309"/>
      <c r="H55" s="309"/>
      <c r="I55" s="309"/>
      <c r="J55" s="309"/>
      <c r="K55" s="309"/>
      <c r="L55" s="309"/>
      <c r="M55" s="309"/>
      <c r="N55" s="309"/>
    </row>
    <row r="56" spans="1:29">
      <c r="B56" s="76" t="s">
        <v>50</v>
      </c>
      <c r="C56" s="309"/>
      <c r="D56" s="309"/>
      <c r="E56" s="309"/>
      <c r="F56" s="309"/>
      <c r="G56" s="309"/>
      <c r="H56" s="325"/>
      <c r="I56" s="309"/>
      <c r="J56" s="309"/>
      <c r="K56" s="309"/>
      <c r="L56" s="309"/>
      <c r="M56" s="309"/>
      <c r="N56" s="309"/>
    </row>
    <row r="57" spans="1:29">
      <c r="C57" s="309"/>
      <c r="D57" s="309"/>
      <c r="E57" s="309"/>
      <c r="F57" s="309"/>
      <c r="G57" s="309"/>
      <c r="H57" s="325"/>
      <c r="I57" s="309"/>
      <c r="J57" s="309"/>
      <c r="K57" s="309"/>
      <c r="L57" s="309"/>
      <c r="M57" s="309"/>
      <c r="N57" s="309"/>
    </row>
    <row r="58" spans="1:29">
      <c r="B58" s="152" t="str">
        <f t="shared" ref="B58:B69" si="10">B42</f>
        <v>Age group</v>
      </c>
      <c r="C58" s="338" t="str">
        <f t="shared" ref="C58:N58" si="11">C42</f>
        <v>2016/17</v>
      </c>
      <c r="D58" s="338" t="str">
        <f t="shared" si="11"/>
        <v>2017/18</v>
      </c>
      <c r="E58" s="338" t="str">
        <f t="shared" si="11"/>
        <v>2018/19</v>
      </c>
      <c r="F58" s="338" t="str">
        <f t="shared" si="11"/>
        <v>2019/20</v>
      </c>
      <c r="G58" s="338" t="str">
        <f t="shared" si="11"/>
        <v>2020/21</v>
      </c>
      <c r="H58" s="338" t="str">
        <f t="shared" si="11"/>
        <v>2021/22</v>
      </c>
      <c r="I58" s="338" t="str">
        <f t="shared" si="11"/>
        <v>2022/23</v>
      </c>
      <c r="J58" s="338" t="str">
        <f t="shared" si="11"/>
        <v>2023/24</v>
      </c>
      <c r="K58" s="338" t="str">
        <f t="shared" si="11"/>
        <v>2024/25</v>
      </c>
      <c r="L58" s="338" t="str">
        <f t="shared" si="11"/>
        <v>2025/26</v>
      </c>
      <c r="M58" s="338" t="str">
        <f t="shared" si="11"/>
        <v>2026/27</v>
      </c>
      <c r="N58" s="338" t="str">
        <f t="shared" si="11"/>
        <v>2027/28</v>
      </c>
    </row>
    <row r="59" spans="1:29">
      <c r="A59" s="10"/>
      <c r="B59" s="152" t="str">
        <f t="shared" si="10"/>
        <v>20-24</v>
      </c>
      <c r="C59" s="307">
        <f t="shared" ref="C59:C69" si="12">D21</f>
        <v>15881.828</v>
      </c>
      <c r="D59" s="307">
        <f t="shared" ref="D59:L59" si="13">C356</f>
        <v>19079.187473724327</v>
      </c>
      <c r="E59" s="307">
        <f t="shared" si="13"/>
        <v>21001.681464151836</v>
      </c>
      <c r="F59" s="307">
        <f t="shared" si="13"/>
        <v>22149.687022583057</v>
      </c>
      <c r="G59" s="307">
        <f t="shared" si="13"/>
        <v>22787.613769984535</v>
      </c>
      <c r="H59" s="307">
        <f t="shared" si="13"/>
        <v>23290.494344735067</v>
      </c>
      <c r="I59" s="307">
        <f t="shared" si="13"/>
        <v>23593.065400759686</v>
      </c>
      <c r="J59" s="307">
        <f t="shared" si="13"/>
        <v>23721.571393763657</v>
      </c>
      <c r="K59" s="307">
        <f t="shared" si="13"/>
        <v>23751.683188030074</v>
      </c>
      <c r="L59" s="307">
        <f t="shared" si="13"/>
        <v>23932.237030174052</v>
      </c>
      <c r="M59" s="307">
        <f t="shared" ref="M59:M69" si="14">L356</f>
        <v>24191.265794827246</v>
      </c>
      <c r="N59" s="307">
        <f t="shared" ref="N59:N69" si="15">M356</f>
        <v>24411.848601132937</v>
      </c>
    </row>
    <row r="60" spans="1:29">
      <c r="A60" s="10"/>
      <c r="B60" s="152" t="str">
        <f t="shared" si="10"/>
        <v>25-29</v>
      </c>
      <c r="C60" s="307">
        <f t="shared" si="12"/>
        <v>36112.19</v>
      </c>
      <c r="D60" s="307">
        <f t="shared" ref="D60:K69" si="16">C357</f>
        <v>34937.501924100499</v>
      </c>
      <c r="E60" s="307">
        <f t="shared" si="16"/>
        <v>34366.703230160718</v>
      </c>
      <c r="F60" s="307">
        <f t="shared" si="16"/>
        <v>34116.333454389984</v>
      </c>
      <c r="G60" s="307">
        <f t="shared" si="16"/>
        <v>33996.936338206157</v>
      </c>
      <c r="H60" s="307">
        <f t="shared" si="16"/>
        <v>34056.819264588034</v>
      </c>
      <c r="I60" s="307">
        <f t="shared" si="16"/>
        <v>34145.600569609342</v>
      </c>
      <c r="J60" s="307">
        <f t="shared" si="16"/>
        <v>34197.132967162441</v>
      </c>
      <c r="K60" s="307">
        <f t="shared" si="16"/>
        <v>34210.662329976389</v>
      </c>
      <c r="L60" s="307">
        <f t="shared" ref="L60:L69" si="17">K357</f>
        <v>34345.654189603098</v>
      </c>
      <c r="M60" s="307">
        <f t="shared" si="14"/>
        <v>34573.643274629067</v>
      </c>
      <c r="N60" s="307">
        <f t="shared" si="15"/>
        <v>34811.929563147067</v>
      </c>
    </row>
    <row r="61" spans="1:29">
      <c r="A61" s="10"/>
      <c r="B61" s="152" t="str">
        <f t="shared" si="10"/>
        <v>30-34</v>
      </c>
      <c r="C61" s="307">
        <f t="shared" si="12"/>
        <v>33344.974000000002</v>
      </c>
      <c r="D61" s="307">
        <f t="shared" si="16"/>
        <v>33876.596629732252</v>
      </c>
      <c r="E61" s="307">
        <f t="shared" si="16"/>
        <v>33911.552296559901</v>
      </c>
      <c r="F61" s="307">
        <f t="shared" si="16"/>
        <v>33745.158518264623</v>
      </c>
      <c r="G61" s="307">
        <f t="shared" si="16"/>
        <v>33507.701099606013</v>
      </c>
      <c r="H61" s="307">
        <f t="shared" si="16"/>
        <v>33325.440434323187</v>
      </c>
      <c r="I61" s="307">
        <f t="shared" si="16"/>
        <v>33180.351724212502</v>
      </c>
      <c r="J61" s="307">
        <f t="shared" si="16"/>
        <v>33057.648942245469</v>
      </c>
      <c r="K61" s="307">
        <f t="shared" si="16"/>
        <v>32954.426549641277</v>
      </c>
      <c r="L61" s="307">
        <f t="shared" si="17"/>
        <v>32937.395604852441</v>
      </c>
      <c r="M61" s="307">
        <f t="shared" si="14"/>
        <v>32995.288157043018</v>
      </c>
      <c r="N61" s="307">
        <f t="shared" si="15"/>
        <v>33091.540270557183</v>
      </c>
    </row>
    <row r="62" spans="1:29">
      <c r="A62" s="10"/>
      <c r="B62" s="152" t="str">
        <f t="shared" si="10"/>
        <v>35-39</v>
      </c>
      <c r="C62" s="307">
        <f t="shared" si="12"/>
        <v>30412.830999999998</v>
      </c>
      <c r="D62" s="307">
        <f t="shared" si="16"/>
        <v>30793.234493820019</v>
      </c>
      <c r="E62" s="307">
        <f t="shared" si="16"/>
        <v>31060.342691644757</v>
      </c>
      <c r="F62" s="307">
        <f t="shared" si="16"/>
        <v>31194.451080627427</v>
      </c>
      <c r="G62" s="307">
        <f t="shared" si="16"/>
        <v>31207.612532754934</v>
      </c>
      <c r="H62" s="307">
        <f t="shared" si="16"/>
        <v>31185.048040407561</v>
      </c>
      <c r="I62" s="307">
        <f t="shared" si="16"/>
        <v>31117.101029204405</v>
      </c>
      <c r="J62" s="307">
        <f t="shared" si="16"/>
        <v>31014.244142089479</v>
      </c>
      <c r="K62" s="307">
        <f t="shared" si="16"/>
        <v>30897.61889871399</v>
      </c>
      <c r="L62" s="307">
        <f t="shared" si="17"/>
        <v>30837.560548591402</v>
      </c>
      <c r="M62" s="307">
        <f t="shared" si="14"/>
        <v>30826.538287258347</v>
      </c>
      <c r="N62" s="307">
        <f t="shared" si="15"/>
        <v>30838.458259214931</v>
      </c>
    </row>
    <row r="63" spans="1:29">
      <c r="A63" s="10"/>
      <c r="B63" s="152" t="str">
        <f t="shared" si="10"/>
        <v>40-44</v>
      </c>
      <c r="C63" s="307">
        <f t="shared" si="12"/>
        <v>28764.807000000001</v>
      </c>
      <c r="D63" s="307">
        <f t="shared" si="16"/>
        <v>29127.701774786106</v>
      </c>
      <c r="E63" s="307">
        <f t="shared" si="16"/>
        <v>29357.484786247969</v>
      </c>
      <c r="F63" s="307">
        <f t="shared" si="16"/>
        <v>29509.152008203077</v>
      </c>
      <c r="G63" s="307">
        <f t="shared" si="16"/>
        <v>29592.41425149819</v>
      </c>
      <c r="H63" s="307">
        <f t="shared" si="16"/>
        <v>29668.075445488397</v>
      </c>
      <c r="I63" s="307">
        <f t="shared" si="16"/>
        <v>29702.77678634207</v>
      </c>
      <c r="J63" s="307">
        <f t="shared" si="16"/>
        <v>29690.535910303613</v>
      </c>
      <c r="K63" s="307">
        <f t="shared" si="16"/>
        <v>29644.714125123402</v>
      </c>
      <c r="L63" s="307">
        <f t="shared" si="17"/>
        <v>29633.468392691371</v>
      </c>
      <c r="M63" s="307">
        <f t="shared" si="14"/>
        <v>29649.856167071925</v>
      </c>
      <c r="N63" s="307">
        <f t="shared" si="15"/>
        <v>29669.190390255713</v>
      </c>
    </row>
    <row r="64" spans="1:29">
      <c r="A64" s="10"/>
      <c r="B64" s="152" t="str">
        <f t="shared" si="10"/>
        <v>45-49</v>
      </c>
      <c r="C64" s="307">
        <f t="shared" si="12"/>
        <v>24094.242999999999</v>
      </c>
      <c r="D64" s="307">
        <f t="shared" si="16"/>
        <v>24689.316865296445</v>
      </c>
      <c r="E64" s="307">
        <f t="shared" si="16"/>
        <v>25115.024254231921</v>
      </c>
      <c r="F64" s="307">
        <f t="shared" si="16"/>
        <v>25421.693273600318</v>
      </c>
      <c r="G64" s="307">
        <f t="shared" si="16"/>
        <v>25636.457527216469</v>
      </c>
      <c r="H64" s="307">
        <f t="shared" si="16"/>
        <v>25818.997465050696</v>
      </c>
      <c r="I64" s="307">
        <f t="shared" si="16"/>
        <v>25955.183636291509</v>
      </c>
      <c r="J64" s="307">
        <f t="shared" si="16"/>
        <v>26043.56721548353</v>
      </c>
      <c r="K64" s="307">
        <f t="shared" si="16"/>
        <v>26093.653497080999</v>
      </c>
      <c r="L64" s="307">
        <f t="shared" si="17"/>
        <v>26154.942085622217</v>
      </c>
      <c r="M64" s="307">
        <f t="shared" si="14"/>
        <v>26224.607466963018</v>
      </c>
      <c r="N64" s="307">
        <f t="shared" si="15"/>
        <v>26285.921192303034</v>
      </c>
    </row>
    <row r="65" spans="1:14">
      <c r="A65" s="10"/>
      <c r="B65" s="152" t="str">
        <f t="shared" si="10"/>
        <v>50-54</v>
      </c>
      <c r="C65" s="307">
        <f t="shared" si="12"/>
        <v>19230.936000000002</v>
      </c>
      <c r="D65" s="307">
        <f t="shared" si="16"/>
        <v>19187.824291684876</v>
      </c>
      <c r="E65" s="307">
        <f t="shared" si="16"/>
        <v>19213.951993901996</v>
      </c>
      <c r="F65" s="307">
        <f t="shared" si="16"/>
        <v>19278.464651743154</v>
      </c>
      <c r="G65" s="307">
        <f t="shared" si="16"/>
        <v>19355.696858004412</v>
      </c>
      <c r="H65" s="307">
        <f t="shared" si="16"/>
        <v>19455.349378599767</v>
      </c>
      <c r="I65" s="307">
        <f t="shared" si="16"/>
        <v>19552.339445135982</v>
      </c>
      <c r="J65" s="307">
        <f t="shared" si="16"/>
        <v>19635.36669025302</v>
      </c>
      <c r="K65" s="307">
        <f t="shared" si="16"/>
        <v>19703.218776663922</v>
      </c>
      <c r="L65" s="307">
        <f t="shared" si="17"/>
        <v>19781.404858970007</v>
      </c>
      <c r="M65" s="307">
        <f t="shared" si="14"/>
        <v>19865.187723106432</v>
      </c>
      <c r="N65" s="307">
        <f t="shared" si="15"/>
        <v>19942.402282042451</v>
      </c>
    </row>
    <row r="66" spans="1:14">
      <c r="A66" s="10"/>
      <c r="B66" s="152" t="str">
        <f t="shared" si="10"/>
        <v>55-59</v>
      </c>
      <c r="C66" s="307">
        <f t="shared" si="12"/>
        <v>13056.163</v>
      </c>
      <c r="D66" s="307">
        <f t="shared" si="16"/>
        <v>11813.953800158382</v>
      </c>
      <c r="E66" s="307">
        <f t="shared" si="16"/>
        <v>10996.51430821511</v>
      </c>
      <c r="F66" s="307">
        <f t="shared" si="16"/>
        <v>10468.314455085476</v>
      </c>
      <c r="G66" s="307">
        <f t="shared" si="16"/>
        <v>10131.561842162462</v>
      </c>
      <c r="H66" s="307">
        <f t="shared" si="16"/>
        <v>9935.9572384079111</v>
      </c>
      <c r="I66" s="307">
        <f t="shared" si="16"/>
        <v>9823.9371568891711</v>
      </c>
      <c r="J66" s="307">
        <f t="shared" si="16"/>
        <v>9761.5131373960885</v>
      </c>
      <c r="K66" s="307">
        <f t="shared" si="16"/>
        <v>9730.2492851786683</v>
      </c>
      <c r="L66" s="307">
        <f t="shared" si="17"/>
        <v>9734.2704202504647</v>
      </c>
      <c r="M66" s="307">
        <f t="shared" si="14"/>
        <v>9759.5254457558676</v>
      </c>
      <c r="N66" s="307">
        <f t="shared" si="15"/>
        <v>9791.1688368697596</v>
      </c>
    </row>
    <row r="67" spans="1:14">
      <c r="A67" s="10"/>
      <c r="B67" s="152" t="str">
        <f t="shared" si="10"/>
        <v>60-64</v>
      </c>
      <c r="C67" s="307">
        <f t="shared" si="12"/>
        <v>4723.0529999999999</v>
      </c>
      <c r="D67" s="307">
        <f t="shared" si="16"/>
        <v>4440.7675812714742</v>
      </c>
      <c r="E67" s="307">
        <f t="shared" si="16"/>
        <v>4117.5774068899782</v>
      </c>
      <c r="F67" s="307">
        <f t="shared" si="16"/>
        <v>3834.0283615845601</v>
      </c>
      <c r="G67" s="307">
        <f t="shared" si="16"/>
        <v>3610.6166308572588</v>
      </c>
      <c r="H67" s="307">
        <f t="shared" si="16"/>
        <v>3452.3084697553686</v>
      </c>
      <c r="I67" s="307">
        <f t="shared" si="16"/>
        <v>3342.254002262041</v>
      </c>
      <c r="J67" s="307">
        <f t="shared" si="16"/>
        <v>3267.0307117680968</v>
      </c>
      <c r="K67" s="307">
        <f t="shared" si="16"/>
        <v>3217.4146282639326</v>
      </c>
      <c r="L67" s="307">
        <f t="shared" si="17"/>
        <v>3193.6405842556815</v>
      </c>
      <c r="M67" s="307">
        <f t="shared" si="14"/>
        <v>3186.7133699963952</v>
      </c>
      <c r="N67" s="307">
        <f t="shared" si="15"/>
        <v>3187.653612309211</v>
      </c>
    </row>
    <row r="68" spans="1:14">
      <c r="A68" s="10"/>
      <c r="B68" s="152" t="str">
        <f t="shared" si="10"/>
        <v>65 plus</v>
      </c>
      <c r="C68" s="307">
        <f t="shared" si="12"/>
        <v>718.08</v>
      </c>
      <c r="D68" s="307">
        <f t="shared" si="16"/>
        <v>1198.4911606156554</v>
      </c>
      <c r="E68" s="307">
        <f t="shared" si="16"/>
        <v>1482.0162156153092</v>
      </c>
      <c r="F68" s="307">
        <f t="shared" si="16"/>
        <v>1628.0065693224778</v>
      </c>
      <c r="G68" s="307">
        <f t="shared" si="16"/>
        <v>1686.6619116159391</v>
      </c>
      <c r="H68" s="307">
        <f t="shared" si="16"/>
        <v>1696.5158678697321</v>
      </c>
      <c r="I68" s="307">
        <f t="shared" si="16"/>
        <v>1681.1527151412124</v>
      </c>
      <c r="J68" s="307">
        <f t="shared" si="16"/>
        <v>1654.9673723425526</v>
      </c>
      <c r="K68" s="307">
        <f t="shared" si="16"/>
        <v>1626.4324412986316</v>
      </c>
      <c r="L68" s="307">
        <f t="shared" si="17"/>
        <v>1601.8803342363954</v>
      </c>
      <c r="M68" s="307">
        <f t="shared" si="14"/>
        <v>1583.2392272120055</v>
      </c>
      <c r="N68" s="307">
        <f t="shared" si="15"/>
        <v>1569.9817728166163</v>
      </c>
    </row>
    <row r="69" spans="1:14">
      <c r="B69" s="152" t="str">
        <f t="shared" si="10"/>
        <v>Total</v>
      </c>
      <c r="C69" s="307">
        <f t="shared" si="12"/>
        <v>206339.10500000001</v>
      </c>
      <c r="D69" s="307">
        <f t="shared" si="16"/>
        <v>209144.57599519004</v>
      </c>
      <c r="E69" s="307">
        <f t="shared" si="16"/>
        <v>210622.84864761954</v>
      </c>
      <c r="F69" s="307">
        <f t="shared" si="16"/>
        <v>211345.28939540414</v>
      </c>
      <c r="G69" s="307">
        <f t="shared" si="16"/>
        <v>211513.27276190635</v>
      </c>
      <c r="H69" s="307">
        <f t="shared" si="16"/>
        <v>211885.00594922571</v>
      </c>
      <c r="I69" s="307">
        <f t="shared" si="16"/>
        <v>212093.76246584795</v>
      </c>
      <c r="J69" s="307">
        <f t="shared" si="16"/>
        <v>212043.57848280796</v>
      </c>
      <c r="K69" s="307">
        <f t="shared" si="16"/>
        <v>211830.07371997129</v>
      </c>
      <c r="L69" s="307">
        <f t="shared" si="17"/>
        <v>212152.45404924711</v>
      </c>
      <c r="M69" s="307">
        <f t="shared" si="14"/>
        <v>212855.8649138633</v>
      </c>
      <c r="N69" s="307">
        <f t="shared" si="15"/>
        <v>213600.09478064894</v>
      </c>
    </row>
    <row r="70" spans="1:14">
      <c r="A70" s="10">
        <f>SUM(C70:N70)</f>
        <v>0</v>
      </c>
      <c r="C70" s="10">
        <f t="shared" ref="C70:N70" si="18">SUM(C59:C68)-C69</f>
        <v>0</v>
      </c>
      <c r="D70" s="10">
        <f t="shared" si="18"/>
        <v>0</v>
      </c>
      <c r="E70" s="10">
        <f t="shared" si="18"/>
        <v>0</v>
      </c>
      <c r="F70" s="10">
        <f t="shared" si="18"/>
        <v>0</v>
      </c>
      <c r="G70" s="10">
        <f t="shared" si="18"/>
        <v>0</v>
      </c>
      <c r="H70" s="10">
        <f t="shared" si="18"/>
        <v>0</v>
      </c>
      <c r="I70" s="10">
        <f t="shared" si="18"/>
        <v>0</v>
      </c>
      <c r="J70" s="10">
        <f t="shared" si="18"/>
        <v>0</v>
      </c>
      <c r="K70" s="10">
        <f t="shared" si="18"/>
        <v>0</v>
      </c>
      <c r="L70" s="10">
        <f t="shared" si="18"/>
        <v>0</v>
      </c>
      <c r="M70" s="10">
        <f t="shared" si="18"/>
        <v>0</v>
      </c>
      <c r="N70" s="10">
        <f t="shared" si="18"/>
        <v>0</v>
      </c>
    </row>
    <row r="71" spans="1:14">
      <c r="A71" s="10"/>
      <c r="C71" s="10"/>
      <c r="D71" s="10"/>
      <c r="E71" s="10"/>
      <c r="F71" s="10"/>
      <c r="G71" s="10"/>
      <c r="H71" s="10"/>
      <c r="I71" s="10"/>
      <c r="J71" s="10"/>
      <c r="K71" s="10"/>
      <c r="L71" s="10"/>
      <c r="M71" s="10"/>
      <c r="N71" s="10"/>
    </row>
    <row r="72" spans="1:14" ht="15.75">
      <c r="B72" s="78" t="s">
        <v>150</v>
      </c>
      <c r="H72" s="12"/>
    </row>
    <row r="73" spans="1:14">
      <c r="H73" s="12"/>
    </row>
    <row r="74" spans="1:14">
      <c r="B74" s="76" t="s">
        <v>49</v>
      </c>
      <c r="C74" s="262" t="s">
        <v>453</v>
      </c>
      <c r="H74" s="12"/>
    </row>
    <row r="75" spans="1:14">
      <c r="H75" s="12"/>
    </row>
    <row r="76" spans="1:14">
      <c r="B76" s="152" t="str">
        <f t="shared" ref="B76:B87" si="19">B42</f>
        <v>Age group</v>
      </c>
      <c r="C76" s="152" t="str">
        <f t="shared" ref="C76:N76" si="20">C42</f>
        <v>2016/17</v>
      </c>
      <c r="D76" s="152" t="str">
        <f t="shared" si="20"/>
        <v>2017/18</v>
      </c>
      <c r="E76" s="152" t="str">
        <f t="shared" si="20"/>
        <v>2018/19</v>
      </c>
      <c r="F76" s="152" t="str">
        <f t="shared" si="20"/>
        <v>2019/20</v>
      </c>
      <c r="G76" s="152" t="str">
        <f t="shared" si="20"/>
        <v>2020/21</v>
      </c>
      <c r="H76" s="152" t="str">
        <f t="shared" si="20"/>
        <v>2021/22</v>
      </c>
      <c r="I76" s="152" t="str">
        <f t="shared" si="20"/>
        <v>2022/23</v>
      </c>
      <c r="J76" s="152" t="str">
        <f t="shared" si="20"/>
        <v>2023/24</v>
      </c>
      <c r="K76" s="152" t="str">
        <f t="shared" si="20"/>
        <v>2024/25</v>
      </c>
      <c r="L76" s="152" t="str">
        <f t="shared" si="20"/>
        <v>2025/26</v>
      </c>
      <c r="M76" s="152" t="str">
        <f t="shared" si="20"/>
        <v>2026/27</v>
      </c>
      <c r="N76" s="152" t="str">
        <f t="shared" si="20"/>
        <v>2027/28</v>
      </c>
    </row>
    <row r="77" spans="1:14">
      <c r="B77" s="152" t="str">
        <f t="shared" si="19"/>
        <v>20-24</v>
      </c>
      <c r="C77" s="459">
        <f>C43-(0.2*C43)</f>
        <v>1760.8808000000001</v>
      </c>
      <c r="D77" s="459">
        <f>D43-(0.2*D43)</f>
        <v>2215.2085502806444</v>
      </c>
      <c r="E77" s="459">
        <f t="shared" ref="E77:N77" si="21">E43-(0.2*E43)</f>
        <v>2487.3456047472091</v>
      </c>
      <c r="F77" s="459">
        <f t="shared" si="21"/>
        <v>2649.2246197762224</v>
      </c>
      <c r="G77" s="459">
        <f t="shared" si="21"/>
        <v>2739.3754284535485</v>
      </c>
      <c r="H77" s="459">
        <f t="shared" si="21"/>
        <v>2808.5354155120413</v>
      </c>
      <c r="I77" s="459">
        <f t="shared" si="21"/>
        <v>2849.7330101680445</v>
      </c>
      <c r="J77" s="459">
        <f t="shared" si="21"/>
        <v>2867.3982855985255</v>
      </c>
      <c r="K77" s="459">
        <f t="shared" si="21"/>
        <v>2871.9000992108158</v>
      </c>
      <c r="L77" s="459">
        <f t="shared" si="21"/>
        <v>2895.338047842587</v>
      </c>
      <c r="M77" s="459">
        <f t="shared" si="21"/>
        <v>2928.3203947405709</v>
      </c>
      <c r="N77" s="459">
        <f t="shared" si="21"/>
        <v>2955.9216243107735</v>
      </c>
    </row>
    <row r="78" spans="1:14">
      <c r="B78" s="152" t="str">
        <f t="shared" si="19"/>
        <v>25-29</v>
      </c>
      <c r="C78" s="459">
        <f t="shared" ref="C78:C85" si="22">C44+(0.2*C43)-(0.2*C44)</f>
        <v>5541.1833999999999</v>
      </c>
      <c r="D78" s="459">
        <f t="shared" ref="D78:K78" si="23">D44+(0.2*D43)-(0.2*D44)</f>
        <v>5245.9904896205489</v>
      </c>
      <c r="E78" s="459">
        <f t="shared" si="23"/>
        <v>5064.9454524644461</v>
      </c>
      <c r="F78" s="459">
        <f t="shared" si="23"/>
        <v>4952.3446692666039</v>
      </c>
      <c r="G78" s="459">
        <f t="shared" si="23"/>
        <v>4875.689432955608</v>
      </c>
      <c r="H78" s="459">
        <f t="shared" si="23"/>
        <v>4842.0456673431017</v>
      </c>
      <c r="I78" s="459">
        <f t="shared" si="23"/>
        <v>4822.3355944561608</v>
      </c>
      <c r="J78" s="459">
        <f t="shared" si="23"/>
        <v>4803.9306232652089</v>
      </c>
      <c r="K78" s="459">
        <f t="shared" si="23"/>
        <v>4785.8333233826907</v>
      </c>
      <c r="L78" s="459">
        <f t="shared" ref="L78:N85" si="24">L44+(0.2*L43)-(0.2*L44)</f>
        <v>4794.0020884698324</v>
      </c>
      <c r="M78" s="459">
        <f t="shared" si="24"/>
        <v>4820.4146459274143</v>
      </c>
      <c r="N78" s="459">
        <f t="shared" si="24"/>
        <v>4849.3741096617887</v>
      </c>
    </row>
    <row r="79" spans="1:14">
      <c r="B79" s="152" t="str">
        <f t="shared" si="19"/>
        <v>30-34</v>
      </c>
      <c r="C79" s="459">
        <f t="shared" si="22"/>
        <v>5983.5936000000002</v>
      </c>
      <c r="D79" s="459">
        <f t="shared" ref="D79:K85" si="25">D45+(0.2*D44)-(0.2*D45)</f>
        <v>5879.7717482711132</v>
      </c>
      <c r="E79" s="459">
        <f t="shared" si="25"/>
        <v>5723.9184389122302</v>
      </c>
      <c r="F79" s="459">
        <f t="shared" si="25"/>
        <v>5560.8918256981533</v>
      </c>
      <c r="G79" s="459">
        <f t="shared" si="25"/>
        <v>5408.4200627204455</v>
      </c>
      <c r="H79" s="459">
        <f t="shared" si="25"/>
        <v>5286.3455304568897</v>
      </c>
      <c r="I79" s="459">
        <f t="shared" si="25"/>
        <v>5187.0218869541823</v>
      </c>
      <c r="J79" s="459">
        <f t="shared" si="25"/>
        <v>5104.7737482838556</v>
      </c>
      <c r="K79" s="459">
        <f t="shared" si="25"/>
        <v>5037.1343170946002</v>
      </c>
      <c r="L79" s="459">
        <f t="shared" si="24"/>
        <v>4995.5860548142473</v>
      </c>
      <c r="M79" s="459">
        <f t="shared" si="24"/>
        <v>4975.6439905940697</v>
      </c>
      <c r="N79" s="459">
        <f t="shared" si="24"/>
        <v>4968.1087143152454</v>
      </c>
    </row>
    <row r="80" spans="1:14">
      <c r="B80" s="152" t="str">
        <f t="shared" si="19"/>
        <v>35-39</v>
      </c>
      <c r="C80" s="459">
        <f t="shared" si="22"/>
        <v>5221.6466</v>
      </c>
      <c r="D80" s="459">
        <f t="shared" si="25"/>
        <v>5322.4159417660558</v>
      </c>
      <c r="E80" s="459">
        <f t="shared" si="25"/>
        <v>5359.4048002437357</v>
      </c>
      <c r="F80" s="459">
        <f t="shared" si="25"/>
        <v>5346.7390781259728</v>
      </c>
      <c r="G80" s="459">
        <f t="shared" si="25"/>
        <v>5298.3913175011148</v>
      </c>
      <c r="H80" s="459">
        <f t="shared" si="25"/>
        <v>5236.693284457303</v>
      </c>
      <c r="I80" s="459">
        <f t="shared" si="25"/>
        <v>5165.7577947386253</v>
      </c>
      <c r="J80" s="459">
        <f t="shared" si="25"/>
        <v>5090.7436638743966</v>
      </c>
      <c r="K80" s="459">
        <f t="shared" si="25"/>
        <v>5017.1402217016021</v>
      </c>
      <c r="L80" s="459">
        <f t="shared" si="24"/>
        <v>4957.8120595592291</v>
      </c>
      <c r="M80" s="459">
        <f t="shared" si="24"/>
        <v>4912.3677816003419</v>
      </c>
      <c r="N80" s="459">
        <f t="shared" si="24"/>
        <v>4876.6127996243476</v>
      </c>
    </row>
    <row r="81" spans="1:14">
      <c r="B81" s="152" t="str">
        <f t="shared" si="19"/>
        <v>40-44</v>
      </c>
      <c r="C81" s="459">
        <f t="shared" si="22"/>
        <v>4786.9740000000002</v>
      </c>
      <c r="D81" s="459">
        <f t="shared" si="25"/>
        <v>4840.281593984244</v>
      </c>
      <c r="E81" s="459">
        <f t="shared" si="25"/>
        <v>4880.6557352934733</v>
      </c>
      <c r="F81" s="459">
        <f t="shared" si="25"/>
        <v>4906.34483250014</v>
      </c>
      <c r="G81" s="459">
        <f t="shared" si="25"/>
        <v>4914.2792250443035</v>
      </c>
      <c r="H81" s="459">
        <f t="shared" si="25"/>
        <v>4912.9971905224647</v>
      </c>
      <c r="I81" s="459">
        <f t="shared" si="25"/>
        <v>4897.8498460930605</v>
      </c>
      <c r="J81" s="459">
        <f t="shared" si="25"/>
        <v>4869.4603898345513</v>
      </c>
      <c r="K81" s="459">
        <f t="shared" si="25"/>
        <v>4831.7818126361926</v>
      </c>
      <c r="L81" s="459">
        <f t="shared" si="24"/>
        <v>4797.4367101431453</v>
      </c>
      <c r="M81" s="459">
        <f t="shared" si="24"/>
        <v>4766.8307514596745</v>
      </c>
      <c r="N81" s="459">
        <f t="shared" si="24"/>
        <v>4737.2902532850094</v>
      </c>
    </row>
    <row r="82" spans="1:14">
      <c r="B82" s="152" t="str">
        <f t="shared" si="19"/>
        <v>45-49</v>
      </c>
      <c r="C82" s="459">
        <f t="shared" si="22"/>
        <v>3806.2329999999997</v>
      </c>
      <c r="D82" s="459">
        <f t="shared" si="25"/>
        <v>3925.3983739245432</v>
      </c>
      <c r="E82" s="459">
        <f t="shared" si="25"/>
        <v>4008.2429671219438</v>
      </c>
      <c r="F82" s="459">
        <f t="shared" si="25"/>
        <v>4067.47298138414</v>
      </c>
      <c r="G82" s="459">
        <f t="shared" si="25"/>
        <v>4108.5734166021648</v>
      </c>
      <c r="H82" s="459">
        <f t="shared" si="25"/>
        <v>4141.4385044203673</v>
      </c>
      <c r="I82" s="459">
        <f t="shared" si="25"/>
        <v>4162.9892486884355</v>
      </c>
      <c r="J82" s="459">
        <f t="shared" si="25"/>
        <v>4172.7124817683061</v>
      </c>
      <c r="K82" s="459">
        <f t="shared" si="25"/>
        <v>4172.3444493230436</v>
      </c>
      <c r="L82" s="459">
        <f t="shared" si="24"/>
        <v>4170.7136679590849</v>
      </c>
      <c r="M82" s="459">
        <f t="shared" si="24"/>
        <v>4167.7020851089883</v>
      </c>
      <c r="N82" s="459">
        <f t="shared" si="24"/>
        <v>4161.0170233597237</v>
      </c>
    </row>
    <row r="83" spans="1:14">
      <c r="B83" s="152" t="str">
        <f t="shared" si="19"/>
        <v>50-54</v>
      </c>
      <c r="C83" s="459">
        <f t="shared" si="22"/>
        <v>2968.9598000000001</v>
      </c>
      <c r="D83" s="459">
        <f t="shared" si="25"/>
        <v>2986.963280212979</v>
      </c>
      <c r="E83" s="459">
        <f t="shared" si="25"/>
        <v>3012.5617750247093</v>
      </c>
      <c r="F83" s="459">
        <f t="shared" si="25"/>
        <v>3040.364803241735</v>
      </c>
      <c r="G83" s="459">
        <f t="shared" si="25"/>
        <v>3066.6018362747009</v>
      </c>
      <c r="H83" s="459">
        <f t="shared" si="25"/>
        <v>3093.760495121167</v>
      </c>
      <c r="I83" s="459">
        <f t="shared" si="25"/>
        <v>3117.741150320473</v>
      </c>
      <c r="J83" s="459">
        <f t="shared" si="25"/>
        <v>3136.7301466793783</v>
      </c>
      <c r="K83" s="459">
        <f t="shared" si="25"/>
        <v>3150.6297017727488</v>
      </c>
      <c r="L83" s="459">
        <f t="shared" si="24"/>
        <v>3164.1078720504343</v>
      </c>
      <c r="M83" s="459">
        <f t="shared" si="24"/>
        <v>3176.3591520213677</v>
      </c>
      <c r="N83" s="459">
        <f t="shared" si="24"/>
        <v>3185.310447643556</v>
      </c>
    </row>
    <row r="84" spans="1:14">
      <c r="B84" s="152" t="str">
        <f t="shared" si="19"/>
        <v>55-59</v>
      </c>
      <c r="C84" s="459">
        <f t="shared" si="22"/>
        <v>1804.2557999999997</v>
      </c>
      <c r="D84" s="459">
        <f t="shared" si="25"/>
        <v>1720.9999923138869</v>
      </c>
      <c r="E84" s="459">
        <f t="shared" si="25"/>
        <v>1668.6152605356124</v>
      </c>
      <c r="F84" s="459">
        <f t="shared" si="25"/>
        <v>1638.2472580998615</v>
      </c>
      <c r="G84" s="459">
        <f t="shared" si="25"/>
        <v>1622.2060669555199</v>
      </c>
      <c r="H84" s="459">
        <f t="shared" si="25"/>
        <v>1617.8675250697106</v>
      </c>
      <c r="I84" s="459">
        <f t="shared" si="25"/>
        <v>1619.2221566820945</v>
      </c>
      <c r="J84" s="459">
        <f t="shared" si="25"/>
        <v>1623.0018623274002</v>
      </c>
      <c r="K84" s="459">
        <f t="shared" si="25"/>
        <v>1627.7450352806627</v>
      </c>
      <c r="L84" s="459">
        <f t="shared" si="24"/>
        <v>1635.3684616019984</v>
      </c>
      <c r="M84" s="459">
        <f t="shared" si="24"/>
        <v>1644.2004226397344</v>
      </c>
      <c r="N84" s="459">
        <f t="shared" si="24"/>
        <v>1652.1570710657727</v>
      </c>
    </row>
    <row r="85" spans="1:14">
      <c r="B85" s="152" t="str">
        <f t="shared" si="19"/>
        <v>60-64</v>
      </c>
      <c r="C85" s="459">
        <f t="shared" si="22"/>
        <v>773.35259999999994</v>
      </c>
      <c r="D85" s="459">
        <f t="shared" si="25"/>
        <v>718.98544702426432</v>
      </c>
      <c r="E85" s="459">
        <f t="shared" si="25"/>
        <v>676.0041369882905</v>
      </c>
      <c r="F85" s="459">
        <f t="shared" si="25"/>
        <v>644.53613900127152</v>
      </c>
      <c r="G85" s="459">
        <f t="shared" si="25"/>
        <v>622.58475199062661</v>
      </c>
      <c r="H85" s="459">
        <f t="shared" si="25"/>
        <v>609.35950924937879</v>
      </c>
      <c r="I85" s="459">
        <f t="shared" si="25"/>
        <v>601.54331486288856</v>
      </c>
      <c r="J85" s="459">
        <f t="shared" si="25"/>
        <v>597.10511110292418</v>
      </c>
      <c r="K85" s="459">
        <f t="shared" si="25"/>
        <v>594.95002632972546</v>
      </c>
      <c r="L85" s="459">
        <f t="shared" si="24"/>
        <v>595.75680473273042</v>
      </c>
      <c r="M85" s="459">
        <f t="shared" si="24"/>
        <v>598.26778387316631</v>
      </c>
      <c r="N85" s="459">
        <f t="shared" si="24"/>
        <v>601.11001794299943</v>
      </c>
    </row>
    <row r="86" spans="1:14">
      <c r="B86" s="152" t="str">
        <f t="shared" si="19"/>
        <v>65 plus</v>
      </c>
      <c r="C86" s="459">
        <f>C52+(0.2*C51)</f>
        <v>245.46540000000002</v>
      </c>
      <c r="D86" s="459">
        <f t="shared" ref="D86:N86" si="26">D52+(0.2*D51)</f>
        <v>289.38659774081464</v>
      </c>
      <c r="E86" s="459">
        <f t="shared" si="26"/>
        <v>311.96216892850191</v>
      </c>
      <c r="F86" s="459">
        <f t="shared" si="26"/>
        <v>321.54491435512244</v>
      </c>
      <c r="G86" s="459">
        <f t="shared" si="26"/>
        <v>323.69118422539844</v>
      </c>
      <c r="H86" s="459">
        <f t="shared" si="26"/>
        <v>322.51316643713312</v>
      </c>
      <c r="I86" s="459">
        <f t="shared" si="26"/>
        <v>319.84921458215717</v>
      </c>
      <c r="J86" s="459">
        <f t="shared" si="26"/>
        <v>316.75832421256223</v>
      </c>
      <c r="K86" s="459">
        <f t="shared" si="26"/>
        <v>313.87437771236455</v>
      </c>
      <c r="L86" s="459">
        <f t="shared" si="26"/>
        <v>312.02967199641648</v>
      </c>
      <c r="M86" s="459">
        <f t="shared" si="26"/>
        <v>311.19952720704293</v>
      </c>
      <c r="N86" s="459">
        <f t="shared" si="26"/>
        <v>311.03037025614077</v>
      </c>
    </row>
    <row r="87" spans="1:14">
      <c r="B87" s="152" t="str">
        <f t="shared" si="19"/>
        <v>Total</v>
      </c>
      <c r="C87" s="459">
        <f>SUM(C77:C86)</f>
        <v>32892.544999999998</v>
      </c>
      <c r="D87" s="459">
        <f t="shared" ref="D87:N87" si="27">SUM(D77:D86)</f>
        <v>33145.402015139087</v>
      </c>
      <c r="E87" s="459">
        <f t="shared" si="27"/>
        <v>33193.656340260153</v>
      </c>
      <c r="F87" s="459">
        <f t="shared" si="27"/>
        <v>33127.711121449225</v>
      </c>
      <c r="G87" s="459">
        <f t="shared" si="27"/>
        <v>32979.812722723436</v>
      </c>
      <c r="H87" s="459">
        <f t="shared" si="27"/>
        <v>32871.556288589563</v>
      </c>
      <c r="I87" s="459">
        <f t="shared" si="27"/>
        <v>32744.043217546125</v>
      </c>
      <c r="J87" s="459">
        <f t="shared" si="27"/>
        <v>32582.61463694711</v>
      </c>
      <c r="K87" s="459">
        <f t="shared" si="27"/>
        <v>32403.33336444445</v>
      </c>
      <c r="L87" s="459">
        <f t="shared" si="27"/>
        <v>32318.151439169706</v>
      </c>
      <c r="M87" s="459">
        <f t="shared" si="27"/>
        <v>32301.306535172364</v>
      </c>
      <c r="N87" s="459">
        <f t="shared" si="27"/>
        <v>32297.932431465353</v>
      </c>
    </row>
    <row r="88" spans="1:14">
      <c r="A88" s="10">
        <f>SUM(C88:N88)</f>
        <v>0</v>
      </c>
      <c r="C88" s="309">
        <f t="shared" ref="C88:N88" si="28">SUM(C77:C86)-C87</f>
        <v>0</v>
      </c>
      <c r="D88" s="309">
        <f t="shared" si="28"/>
        <v>0</v>
      </c>
      <c r="E88" s="309">
        <f t="shared" si="28"/>
        <v>0</v>
      </c>
      <c r="F88" s="309">
        <f t="shared" si="28"/>
        <v>0</v>
      </c>
      <c r="G88" s="309">
        <f t="shared" si="28"/>
        <v>0</v>
      </c>
      <c r="H88" s="309">
        <f t="shared" si="28"/>
        <v>0</v>
      </c>
      <c r="I88" s="309">
        <f t="shared" si="28"/>
        <v>0</v>
      </c>
      <c r="J88" s="309">
        <f t="shared" si="28"/>
        <v>0</v>
      </c>
      <c r="K88" s="309">
        <f t="shared" si="28"/>
        <v>0</v>
      </c>
      <c r="L88" s="309">
        <f t="shared" si="28"/>
        <v>0</v>
      </c>
      <c r="M88" s="309">
        <f t="shared" si="28"/>
        <v>0</v>
      </c>
      <c r="N88" s="309">
        <f t="shared" si="28"/>
        <v>0</v>
      </c>
    </row>
    <row r="89" spans="1:14">
      <c r="A89" s="10"/>
      <c r="C89" s="309"/>
      <c r="D89" s="309"/>
      <c r="E89" s="309"/>
      <c r="F89" s="309"/>
      <c r="G89" s="309"/>
      <c r="H89" s="309"/>
      <c r="I89" s="309"/>
      <c r="J89" s="309"/>
      <c r="K89" s="309"/>
      <c r="L89" s="309"/>
      <c r="M89" s="309"/>
      <c r="N89" s="309"/>
    </row>
    <row r="90" spans="1:14">
      <c r="B90" s="76" t="s">
        <v>50</v>
      </c>
      <c r="C90" s="309"/>
      <c r="D90" s="309"/>
      <c r="E90" s="309"/>
      <c r="F90" s="309"/>
      <c r="G90" s="309"/>
      <c r="H90" s="325"/>
      <c r="I90" s="309"/>
      <c r="J90" s="309"/>
      <c r="K90" s="309"/>
      <c r="L90" s="309"/>
      <c r="M90" s="309"/>
      <c r="N90" s="309"/>
    </row>
    <row r="91" spans="1:14">
      <c r="C91" s="309"/>
      <c r="D91" s="309"/>
      <c r="E91" s="309"/>
      <c r="F91" s="309"/>
      <c r="G91" s="309"/>
      <c r="H91" s="325"/>
      <c r="I91" s="309"/>
      <c r="J91" s="309"/>
      <c r="K91" s="309"/>
      <c r="L91" s="309"/>
      <c r="M91" s="309"/>
      <c r="N91" s="309"/>
    </row>
    <row r="92" spans="1:14">
      <c r="B92" s="152" t="str">
        <f t="shared" ref="B92:B103" si="29">B76</f>
        <v>Age group</v>
      </c>
      <c r="C92" s="338" t="str">
        <f t="shared" ref="C92:N92" si="30">C76</f>
        <v>2016/17</v>
      </c>
      <c r="D92" s="338" t="str">
        <f t="shared" si="30"/>
        <v>2017/18</v>
      </c>
      <c r="E92" s="338" t="str">
        <f t="shared" si="30"/>
        <v>2018/19</v>
      </c>
      <c r="F92" s="338" t="str">
        <f t="shared" si="30"/>
        <v>2019/20</v>
      </c>
      <c r="G92" s="338" t="str">
        <f t="shared" si="30"/>
        <v>2020/21</v>
      </c>
      <c r="H92" s="338" t="str">
        <f t="shared" si="30"/>
        <v>2021/22</v>
      </c>
      <c r="I92" s="338" t="str">
        <f t="shared" si="30"/>
        <v>2022/23</v>
      </c>
      <c r="J92" s="338" t="str">
        <f t="shared" si="30"/>
        <v>2023/24</v>
      </c>
      <c r="K92" s="338" t="str">
        <f t="shared" si="30"/>
        <v>2024/25</v>
      </c>
      <c r="L92" s="338" t="str">
        <f t="shared" si="30"/>
        <v>2025/26</v>
      </c>
      <c r="M92" s="338" t="str">
        <f t="shared" si="30"/>
        <v>2026/27</v>
      </c>
      <c r="N92" s="338" t="str">
        <f t="shared" si="30"/>
        <v>2027/28</v>
      </c>
    </row>
    <row r="93" spans="1:14">
      <c r="B93" s="152" t="str">
        <f t="shared" si="29"/>
        <v>20-24</v>
      </c>
      <c r="C93" s="459">
        <f>C59-(0.2*C59)</f>
        <v>12705.4624</v>
      </c>
      <c r="D93" s="459">
        <f t="shared" ref="D93:N93" si="31">D59-(0.2*D59)</f>
        <v>15263.349978979462</v>
      </c>
      <c r="E93" s="459">
        <f t="shared" si="31"/>
        <v>16801.345171321467</v>
      </c>
      <c r="F93" s="459">
        <f t="shared" si="31"/>
        <v>17719.749618066446</v>
      </c>
      <c r="G93" s="459">
        <f t="shared" si="31"/>
        <v>18230.091015987629</v>
      </c>
      <c r="H93" s="459">
        <f t="shared" si="31"/>
        <v>18632.395475788053</v>
      </c>
      <c r="I93" s="459">
        <f t="shared" si="31"/>
        <v>18874.45232060775</v>
      </c>
      <c r="J93" s="459">
        <f t="shared" si="31"/>
        <v>18977.257115010925</v>
      </c>
      <c r="K93" s="459">
        <f t="shared" si="31"/>
        <v>19001.346550424059</v>
      </c>
      <c r="L93" s="459">
        <f t="shared" si="31"/>
        <v>19145.789624139241</v>
      </c>
      <c r="M93" s="459">
        <f t="shared" si="31"/>
        <v>19353.012635861796</v>
      </c>
      <c r="N93" s="459">
        <f t="shared" si="31"/>
        <v>19529.47888090635</v>
      </c>
    </row>
    <row r="94" spans="1:14">
      <c r="B94" s="152" t="str">
        <f t="shared" si="29"/>
        <v>25-29</v>
      </c>
      <c r="C94" s="459">
        <f t="shared" ref="C94:C101" si="32">C60+(0.2*C59)-(0.2*C60)</f>
        <v>32066.117599999998</v>
      </c>
      <c r="D94" s="459">
        <f t="shared" ref="D94:J94" si="33">D60+(0.2*D59)-(0.2*D60)</f>
        <v>31765.839034025266</v>
      </c>
      <c r="E94" s="459">
        <f t="shared" si="33"/>
        <v>31693.698876958944</v>
      </c>
      <c r="F94" s="459">
        <f t="shared" si="33"/>
        <v>31723.004168028598</v>
      </c>
      <c r="G94" s="459">
        <f t="shared" si="33"/>
        <v>31755.07182456183</v>
      </c>
      <c r="H94" s="459">
        <f t="shared" si="33"/>
        <v>31903.554280617438</v>
      </c>
      <c r="I94" s="459">
        <f t="shared" si="33"/>
        <v>32035.093535839413</v>
      </c>
      <c r="J94" s="459">
        <f t="shared" si="33"/>
        <v>32102.020652482686</v>
      </c>
      <c r="K94" s="459">
        <f t="shared" ref="K94:N101" si="34">K60+(0.2*K59)-(0.2*K60)</f>
        <v>32118.866501587127</v>
      </c>
      <c r="L94" s="459">
        <f t="shared" si="34"/>
        <v>32262.970757717285</v>
      </c>
      <c r="M94" s="459">
        <f t="shared" si="34"/>
        <v>32497.1677786687</v>
      </c>
      <c r="N94" s="459">
        <f t="shared" si="34"/>
        <v>32731.913370744245</v>
      </c>
    </row>
    <row r="95" spans="1:14">
      <c r="B95" s="152" t="str">
        <f t="shared" si="29"/>
        <v>30-34</v>
      </c>
      <c r="C95" s="459">
        <f t="shared" si="32"/>
        <v>33898.417200000004</v>
      </c>
      <c r="D95" s="459">
        <f t="shared" ref="D95:J101" si="35">D61+(0.2*D60)-(0.2*D61)</f>
        <v>34088.7776886059</v>
      </c>
      <c r="E95" s="459">
        <f t="shared" si="35"/>
        <v>34002.582483280064</v>
      </c>
      <c r="F95" s="459">
        <f t="shared" si="35"/>
        <v>33819.393505489694</v>
      </c>
      <c r="G95" s="459">
        <f t="shared" si="35"/>
        <v>33605.548147326037</v>
      </c>
      <c r="H95" s="459">
        <f t="shared" si="35"/>
        <v>33471.716200376162</v>
      </c>
      <c r="I95" s="459">
        <f t="shared" si="35"/>
        <v>33373.401493291865</v>
      </c>
      <c r="J95" s="459">
        <f t="shared" si="35"/>
        <v>33285.545747228862</v>
      </c>
      <c r="K95" s="459">
        <f t="shared" si="34"/>
        <v>33205.673705708301</v>
      </c>
      <c r="L95" s="459">
        <f t="shared" si="34"/>
        <v>33219.047321802573</v>
      </c>
      <c r="M95" s="459">
        <f t="shared" si="34"/>
        <v>33310.959180560225</v>
      </c>
      <c r="N95" s="459">
        <f t="shared" si="34"/>
        <v>33435.618129075156</v>
      </c>
    </row>
    <row r="96" spans="1:14">
      <c r="B96" s="152" t="str">
        <f t="shared" si="29"/>
        <v>35-39</v>
      </c>
      <c r="C96" s="459">
        <f t="shared" si="32"/>
        <v>30999.259599999998</v>
      </c>
      <c r="D96" s="459">
        <f t="shared" si="35"/>
        <v>31409.906921002468</v>
      </c>
      <c r="E96" s="459">
        <f t="shared" si="35"/>
        <v>31630.584612627783</v>
      </c>
      <c r="F96" s="459">
        <f t="shared" si="35"/>
        <v>31704.592568154865</v>
      </c>
      <c r="G96" s="459">
        <f t="shared" si="35"/>
        <v>31667.630246125147</v>
      </c>
      <c r="H96" s="459">
        <f t="shared" si="35"/>
        <v>31613.126519190686</v>
      </c>
      <c r="I96" s="459">
        <f t="shared" si="35"/>
        <v>31529.751168206025</v>
      </c>
      <c r="J96" s="459">
        <f t="shared" si="35"/>
        <v>31422.92510212068</v>
      </c>
      <c r="K96" s="459">
        <f t="shared" si="34"/>
        <v>31308.980428899449</v>
      </c>
      <c r="L96" s="459">
        <f t="shared" si="34"/>
        <v>31257.527559843609</v>
      </c>
      <c r="M96" s="459">
        <f t="shared" si="34"/>
        <v>31260.288261215279</v>
      </c>
      <c r="N96" s="459">
        <f t="shared" si="34"/>
        <v>31289.074661483384</v>
      </c>
    </row>
    <row r="97" spans="1:14">
      <c r="B97" s="152" t="str">
        <f t="shared" si="29"/>
        <v>40-44</v>
      </c>
      <c r="C97" s="459">
        <f t="shared" si="32"/>
        <v>29094.411800000002</v>
      </c>
      <c r="D97" s="459">
        <f t="shared" si="35"/>
        <v>29460.808318592884</v>
      </c>
      <c r="E97" s="459">
        <f t="shared" si="35"/>
        <v>29698.056367327325</v>
      </c>
      <c r="F97" s="459">
        <f t="shared" si="35"/>
        <v>29846.21182268795</v>
      </c>
      <c r="G97" s="459">
        <f t="shared" si="35"/>
        <v>29915.453907749543</v>
      </c>
      <c r="H97" s="459">
        <f t="shared" si="35"/>
        <v>29971.469964472235</v>
      </c>
      <c r="I97" s="459">
        <f t="shared" si="35"/>
        <v>29985.641634914537</v>
      </c>
      <c r="J97" s="459">
        <f t="shared" si="35"/>
        <v>29955.277556660782</v>
      </c>
      <c r="K97" s="459">
        <f t="shared" si="34"/>
        <v>29895.295079841515</v>
      </c>
      <c r="L97" s="459">
        <f t="shared" si="34"/>
        <v>29874.286823871375</v>
      </c>
      <c r="M97" s="459">
        <f t="shared" si="34"/>
        <v>29885.192591109211</v>
      </c>
      <c r="N97" s="459">
        <f t="shared" si="34"/>
        <v>29903.04396404756</v>
      </c>
    </row>
    <row r="98" spans="1:14">
      <c r="B98" s="152" t="str">
        <f t="shared" si="29"/>
        <v>45-49</v>
      </c>
      <c r="C98" s="459">
        <f t="shared" si="32"/>
        <v>25028.355799999998</v>
      </c>
      <c r="D98" s="459">
        <f t="shared" si="35"/>
        <v>25576.993847194379</v>
      </c>
      <c r="E98" s="459">
        <f t="shared" si="35"/>
        <v>25963.516360635131</v>
      </c>
      <c r="F98" s="459">
        <f t="shared" si="35"/>
        <v>26239.185020520868</v>
      </c>
      <c r="G98" s="459">
        <f t="shared" si="35"/>
        <v>26427.648872072816</v>
      </c>
      <c r="H98" s="459">
        <f t="shared" si="35"/>
        <v>26588.813061138237</v>
      </c>
      <c r="I98" s="459">
        <f t="shared" si="35"/>
        <v>26704.702266301621</v>
      </c>
      <c r="J98" s="459">
        <f t="shared" si="35"/>
        <v>26772.960954447546</v>
      </c>
      <c r="K98" s="459">
        <f t="shared" si="34"/>
        <v>26803.865622689482</v>
      </c>
      <c r="L98" s="459">
        <f t="shared" si="34"/>
        <v>26850.647347036047</v>
      </c>
      <c r="M98" s="459">
        <f t="shared" si="34"/>
        <v>26909.657206984797</v>
      </c>
      <c r="N98" s="459">
        <f t="shared" si="34"/>
        <v>26962.575031893572</v>
      </c>
    </row>
    <row r="99" spans="1:14">
      <c r="B99" s="152" t="str">
        <f t="shared" si="29"/>
        <v>50-54</v>
      </c>
      <c r="C99" s="459">
        <f t="shared" si="32"/>
        <v>20203.597400000002</v>
      </c>
      <c r="D99" s="459">
        <f t="shared" si="35"/>
        <v>20288.122806407187</v>
      </c>
      <c r="E99" s="459">
        <f t="shared" si="35"/>
        <v>20394.166445967981</v>
      </c>
      <c r="F99" s="459">
        <f t="shared" si="35"/>
        <v>20507.110376114586</v>
      </c>
      <c r="G99" s="459">
        <f t="shared" si="35"/>
        <v>20611.848991846826</v>
      </c>
      <c r="H99" s="459">
        <f t="shared" si="35"/>
        <v>20728.078995889951</v>
      </c>
      <c r="I99" s="459">
        <f t="shared" si="35"/>
        <v>20832.908283367087</v>
      </c>
      <c r="J99" s="459">
        <f t="shared" si="35"/>
        <v>20917.006795299123</v>
      </c>
      <c r="K99" s="459">
        <f t="shared" si="34"/>
        <v>20981.305720747336</v>
      </c>
      <c r="L99" s="459">
        <f t="shared" si="34"/>
        <v>21056.112304300448</v>
      </c>
      <c r="M99" s="459">
        <f t="shared" si="34"/>
        <v>21137.071671877751</v>
      </c>
      <c r="N99" s="459">
        <f t="shared" si="34"/>
        <v>21211.106064094565</v>
      </c>
    </row>
    <row r="100" spans="1:14">
      <c r="B100" s="152" t="str">
        <f t="shared" si="29"/>
        <v>55-59</v>
      </c>
      <c r="C100" s="459">
        <f t="shared" si="32"/>
        <v>14291.117600000001</v>
      </c>
      <c r="D100" s="459">
        <f t="shared" si="35"/>
        <v>13288.72789846368</v>
      </c>
      <c r="E100" s="459">
        <f t="shared" si="35"/>
        <v>12640.001845352488</v>
      </c>
      <c r="F100" s="459">
        <f t="shared" si="35"/>
        <v>12230.344494417011</v>
      </c>
      <c r="G100" s="459">
        <f t="shared" si="35"/>
        <v>11976.388845330852</v>
      </c>
      <c r="H100" s="459">
        <f t="shared" si="35"/>
        <v>11839.835666446283</v>
      </c>
      <c r="I100" s="459">
        <f t="shared" si="35"/>
        <v>11769.617614538534</v>
      </c>
      <c r="J100" s="459">
        <f t="shared" si="35"/>
        <v>11736.283847967476</v>
      </c>
      <c r="K100" s="459">
        <f t="shared" si="34"/>
        <v>11724.843183475719</v>
      </c>
      <c r="L100" s="459">
        <f t="shared" si="34"/>
        <v>11743.697307994373</v>
      </c>
      <c r="M100" s="459">
        <f t="shared" si="34"/>
        <v>11780.657901225981</v>
      </c>
      <c r="N100" s="459">
        <f t="shared" si="34"/>
        <v>11821.415525904296</v>
      </c>
    </row>
    <row r="101" spans="1:14">
      <c r="B101" s="152" t="str">
        <f t="shared" si="29"/>
        <v>60-64</v>
      </c>
      <c r="C101" s="459">
        <f t="shared" si="32"/>
        <v>6389.6750000000002</v>
      </c>
      <c r="D101" s="459">
        <f t="shared" si="35"/>
        <v>5915.4048250488559</v>
      </c>
      <c r="E101" s="459">
        <f t="shared" si="35"/>
        <v>5493.3647871550047</v>
      </c>
      <c r="F101" s="459">
        <f t="shared" si="35"/>
        <v>5160.8855802847429</v>
      </c>
      <c r="G101" s="459">
        <f t="shared" si="35"/>
        <v>4914.8056731182996</v>
      </c>
      <c r="H101" s="459">
        <f t="shared" si="35"/>
        <v>4749.0382234858771</v>
      </c>
      <c r="I101" s="459">
        <f t="shared" si="35"/>
        <v>4638.5906331874667</v>
      </c>
      <c r="J101" s="459">
        <f t="shared" si="35"/>
        <v>4565.9271968936946</v>
      </c>
      <c r="K101" s="459">
        <f t="shared" si="34"/>
        <v>4519.9815596468798</v>
      </c>
      <c r="L101" s="459">
        <f t="shared" si="34"/>
        <v>4501.7665514546379</v>
      </c>
      <c r="M101" s="459">
        <f t="shared" si="34"/>
        <v>4501.2757851482893</v>
      </c>
      <c r="N101" s="459">
        <f t="shared" si="34"/>
        <v>4508.3566572213203</v>
      </c>
    </row>
    <row r="102" spans="1:14">
      <c r="B102" s="152" t="str">
        <f t="shared" si="29"/>
        <v>65 plus</v>
      </c>
      <c r="C102" s="459">
        <f>C68+(0.2*C67)</f>
        <v>1662.6905999999999</v>
      </c>
      <c r="D102" s="459">
        <f t="shared" ref="D102:N102" si="36">D68+(0.2*D67)</f>
        <v>2086.6446768699502</v>
      </c>
      <c r="E102" s="459">
        <f t="shared" si="36"/>
        <v>2305.5316969933046</v>
      </c>
      <c r="F102" s="459">
        <f t="shared" si="36"/>
        <v>2394.8122416393899</v>
      </c>
      <c r="G102" s="459">
        <f t="shared" si="36"/>
        <v>2408.785237787391</v>
      </c>
      <c r="H102" s="459">
        <f t="shared" si="36"/>
        <v>2386.9775618208059</v>
      </c>
      <c r="I102" s="459">
        <f t="shared" si="36"/>
        <v>2349.6035155936206</v>
      </c>
      <c r="J102" s="459">
        <f t="shared" si="36"/>
        <v>2308.3735146961722</v>
      </c>
      <c r="K102" s="459">
        <f t="shared" si="36"/>
        <v>2269.915366951418</v>
      </c>
      <c r="L102" s="459">
        <f t="shared" si="36"/>
        <v>2240.6084510875316</v>
      </c>
      <c r="M102" s="459">
        <f t="shared" si="36"/>
        <v>2220.5819012112847</v>
      </c>
      <c r="N102" s="459">
        <f t="shared" si="36"/>
        <v>2207.5124952784586</v>
      </c>
    </row>
    <row r="103" spans="1:14">
      <c r="B103" s="152" t="str">
        <f t="shared" si="29"/>
        <v>Total</v>
      </c>
      <c r="C103" s="459">
        <f>SUM(C93:C102)</f>
        <v>206339.10499999998</v>
      </c>
      <c r="D103" s="459">
        <f t="shared" ref="D103:N103" si="37">SUM(D93:D102)</f>
        <v>209144.57599519004</v>
      </c>
      <c r="E103" s="459">
        <f t="shared" si="37"/>
        <v>210622.84864761948</v>
      </c>
      <c r="F103" s="459">
        <f t="shared" si="37"/>
        <v>211345.28939540416</v>
      </c>
      <c r="G103" s="459">
        <f t="shared" si="37"/>
        <v>211513.27276190638</v>
      </c>
      <c r="H103" s="459">
        <f t="shared" si="37"/>
        <v>211885.00594922571</v>
      </c>
      <c r="I103" s="459">
        <f t="shared" si="37"/>
        <v>212093.76246584792</v>
      </c>
      <c r="J103" s="459">
        <f t="shared" si="37"/>
        <v>212043.57848280793</v>
      </c>
      <c r="K103" s="459">
        <f t="shared" si="37"/>
        <v>211830.07371997126</v>
      </c>
      <c r="L103" s="459">
        <f t="shared" si="37"/>
        <v>212152.45404924714</v>
      </c>
      <c r="M103" s="459">
        <f t="shared" si="37"/>
        <v>212855.86491386333</v>
      </c>
      <c r="N103" s="459">
        <f t="shared" si="37"/>
        <v>213600.09478064894</v>
      </c>
    </row>
    <row r="104" spans="1:14">
      <c r="A104" s="10">
        <f>SUM(C104:N104)</f>
        <v>0</v>
      </c>
      <c r="C104" s="10">
        <f t="shared" ref="C104:N104" si="38">SUM(C93:C102)-C103</f>
        <v>0</v>
      </c>
      <c r="D104" s="10">
        <f t="shared" si="38"/>
        <v>0</v>
      </c>
      <c r="E104" s="10">
        <f t="shared" si="38"/>
        <v>0</v>
      </c>
      <c r="F104" s="10">
        <f t="shared" si="38"/>
        <v>0</v>
      </c>
      <c r="G104" s="10">
        <f t="shared" si="38"/>
        <v>0</v>
      </c>
      <c r="H104" s="10">
        <f t="shared" si="38"/>
        <v>0</v>
      </c>
      <c r="I104" s="10">
        <f t="shared" si="38"/>
        <v>0</v>
      </c>
      <c r="J104" s="10">
        <f t="shared" si="38"/>
        <v>0</v>
      </c>
      <c r="K104" s="10">
        <f t="shared" si="38"/>
        <v>0</v>
      </c>
      <c r="L104" s="10">
        <f t="shared" si="38"/>
        <v>0</v>
      </c>
      <c r="M104" s="10">
        <f t="shared" si="38"/>
        <v>0</v>
      </c>
      <c r="N104" s="10">
        <f t="shared" si="38"/>
        <v>0</v>
      </c>
    </row>
    <row r="105" spans="1:14">
      <c r="A105" s="10"/>
      <c r="C105" s="10"/>
      <c r="D105" s="10"/>
      <c r="E105" s="10"/>
      <c r="F105" s="10"/>
      <c r="G105" s="10"/>
      <c r="H105" s="10"/>
      <c r="I105" s="10"/>
      <c r="J105" s="10"/>
      <c r="K105" s="10"/>
      <c r="L105" s="10"/>
      <c r="M105" s="10"/>
      <c r="N105" s="10"/>
    </row>
    <row r="106" spans="1:14" ht="15.75">
      <c r="B106" s="78" t="s">
        <v>151</v>
      </c>
      <c r="H106" s="12"/>
    </row>
    <row r="107" spans="1:14">
      <c r="H107" s="12"/>
    </row>
    <row r="108" spans="1:14">
      <c r="B108" s="76" t="s">
        <v>49</v>
      </c>
      <c r="H108" s="12"/>
    </row>
    <row r="109" spans="1:14">
      <c r="H109" s="12"/>
    </row>
    <row r="110" spans="1:14">
      <c r="B110" s="152" t="str">
        <f t="shared" ref="B110:B121" si="39">B76</f>
        <v>Age group</v>
      </c>
      <c r="C110" s="152" t="str">
        <f t="shared" ref="C110:N110" si="40">C76</f>
        <v>2016/17</v>
      </c>
      <c r="D110" s="152" t="str">
        <f t="shared" si="40"/>
        <v>2017/18</v>
      </c>
      <c r="E110" s="152" t="str">
        <f t="shared" si="40"/>
        <v>2018/19</v>
      </c>
      <c r="F110" s="152" t="str">
        <f t="shared" si="40"/>
        <v>2019/20</v>
      </c>
      <c r="G110" s="152" t="str">
        <f t="shared" si="40"/>
        <v>2020/21</v>
      </c>
      <c r="H110" s="152" t="str">
        <f t="shared" si="40"/>
        <v>2021/22</v>
      </c>
      <c r="I110" s="152" t="str">
        <f t="shared" si="40"/>
        <v>2022/23</v>
      </c>
      <c r="J110" s="152" t="str">
        <f t="shared" si="40"/>
        <v>2023/24</v>
      </c>
      <c r="K110" s="152" t="str">
        <f t="shared" si="40"/>
        <v>2024/25</v>
      </c>
      <c r="L110" s="152" t="str">
        <f t="shared" si="40"/>
        <v>2025/26</v>
      </c>
      <c r="M110" s="152" t="str">
        <f t="shared" si="40"/>
        <v>2026/27</v>
      </c>
      <c r="N110" s="152" t="str">
        <f t="shared" si="40"/>
        <v>2027/28</v>
      </c>
    </row>
    <row r="111" spans="1:14">
      <c r="B111" s="152" t="str">
        <f t="shared" si="39"/>
        <v>20-24</v>
      </c>
      <c r="C111" s="459">
        <f>C77*Projected_PRIM_wastage_rates!E55</f>
        <v>198.91601357846761</v>
      </c>
      <c r="D111" s="459">
        <f>D77*Projected_PRIM_wastage_rates!F55</f>
        <v>250.23866128062852</v>
      </c>
      <c r="E111" s="459">
        <f>E77*Projected_PRIM_wastage_rates!G55</f>
        <v>280.98033216571929</v>
      </c>
      <c r="F111" s="459">
        <f>F77*Projected_PRIM_wastage_rates!H55</f>
        <v>299.26682171775496</v>
      </c>
      <c r="G111" s="459">
        <f>G77*Projected_PRIM_wastage_rates!I55</f>
        <v>309.45061126385531</v>
      </c>
      <c r="H111" s="459">
        <f>H77*Projected_PRIM_wastage_rates!J55</f>
        <v>317.26319512802928</v>
      </c>
      <c r="I111" s="459">
        <f>I77*Projected_PRIM_wastage_rates!K55</f>
        <v>321.91703728361063</v>
      </c>
      <c r="J111" s="459">
        <f>J77*Projected_PRIM_wastage_rates!L55</f>
        <v>323.91257620220006</v>
      </c>
      <c r="K111" s="459">
        <f>K77*Projected_PRIM_wastage_rates!M55</f>
        <v>324.42111875523949</v>
      </c>
      <c r="L111" s="459">
        <f>L77*Projected_PRIM_wastage_rates!N55</f>
        <v>327.06876151918397</v>
      </c>
      <c r="M111" s="459">
        <f>M77*Projected_PRIM_wastage_rates!O55</f>
        <v>330.79457701073176</v>
      </c>
      <c r="N111" s="459">
        <f>N77*Projected_PRIM_wastage_rates!P55</f>
        <v>333.91252034679906</v>
      </c>
    </row>
    <row r="112" spans="1:14">
      <c r="B112" s="152" t="str">
        <f t="shared" si="39"/>
        <v>25-29</v>
      </c>
      <c r="C112" s="459">
        <f>C78*Projected_PRIM_wastage_rates!E56</f>
        <v>585.66869312678205</v>
      </c>
      <c r="D112" s="459">
        <f>D78*Projected_PRIM_wastage_rates!F56</f>
        <v>554.46863466233492</v>
      </c>
      <c r="E112" s="459">
        <f>E78*Projected_PRIM_wastage_rates!G56</f>
        <v>535.33329792031248</v>
      </c>
      <c r="F112" s="459">
        <f>F78*Projected_PRIM_wastage_rates!H56</f>
        <v>523.43209401131855</v>
      </c>
      <c r="G112" s="459">
        <f>G78*Projected_PRIM_wastage_rates!I56</f>
        <v>515.33011130639932</v>
      </c>
      <c r="H112" s="459">
        <f>H78*Projected_PRIM_wastage_rates!J56</f>
        <v>511.77417409664366</v>
      </c>
      <c r="I112" s="459">
        <f>I78*Projected_PRIM_wastage_rates!K56</f>
        <v>509.69094172625717</v>
      </c>
      <c r="J112" s="459">
        <f>J78*Projected_PRIM_wastage_rates!L56</f>
        <v>507.74565050481141</v>
      </c>
      <c r="K112" s="459">
        <f>K78*Projected_PRIM_wastage_rates!M56</f>
        <v>505.83287823105525</v>
      </c>
      <c r="L112" s="459">
        <f>L78*Projected_PRIM_wastage_rates!N56</f>
        <v>506.69626600000117</v>
      </c>
      <c r="M112" s="459">
        <f>M78*Projected_PRIM_wastage_rates!O56</f>
        <v>509.48790938944717</v>
      </c>
      <c r="N112" s="459">
        <f>N78*Projected_PRIM_wastage_rates!P56</f>
        <v>512.54874496456341</v>
      </c>
    </row>
    <row r="113" spans="1:14">
      <c r="B113" s="152" t="str">
        <f t="shared" si="39"/>
        <v>30-34</v>
      </c>
      <c r="C113" s="459">
        <f>C79*Projected_PRIM_wastage_rates!E57</f>
        <v>529.40481905398269</v>
      </c>
      <c r="D113" s="459">
        <f>D79*Projected_PRIM_wastage_rates!F57</f>
        <v>520.21907010399036</v>
      </c>
      <c r="E113" s="459">
        <f>E79*Projected_PRIM_wastage_rates!G57</f>
        <v>506.42978250262257</v>
      </c>
      <c r="F113" s="459">
        <f>F79*Projected_PRIM_wastage_rates!H57</f>
        <v>492.00582919978098</v>
      </c>
      <c r="G113" s="459">
        <f>G79*Projected_PRIM_wastage_rates!I57</f>
        <v>478.51572751739815</v>
      </c>
      <c r="H113" s="459">
        <f>H79*Projected_PRIM_wastage_rates!J57</f>
        <v>467.71505320955623</v>
      </c>
      <c r="I113" s="459">
        <f>I79*Projected_PRIM_wastage_rates!K57</f>
        <v>458.92728802504683</v>
      </c>
      <c r="J113" s="459">
        <f>J79*Projected_PRIM_wastage_rates!L57</f>
        <v>451.6502963238907</v>
      </c>
      <c r="K113" s="459">
        <f>K79*Projected_PRIM_wastage_rates!M57</f>
        <v>445.66582558215077</v>
      </c>
      <c r="L113" s="459">
        <f>L79*Projected_PRIM_wastage_rates!N57</f>
        <v>441.98979880878539</v>
      </c>
      <c r="M113" s="459">
        <f>M79*Projected_PRIM_wastage_rates!O57</f>
        <v>440.22540342938566</v>
      </c>
      <c r="N113" s="459">
        <f>N79*Projected_PRIM_wastage_rates!P57</f>
        <v>439.55871183206312</v>
      </c>
    </row>
    <row r="114" spans="1:14">
      <c r="B114" s="152" t="str">
        <f t="shared" si="39"/>
        <v>35-39</v>
      </c>
      <c r="C114" s="459">
        <f>C80*Projected_PRIM_wastage_rates!E58</f>
        <v>383.20784046570475</v>
      </c>
      <c r="D114" s="459">
        <f>D80*Projected_PRIM_wastage_rates!F58</f>
        <v>390.60313256443101</v>
      </c>
      <c r="E114" s="459">
        <f>E80*Projected_PRIM_wastage_rates!G58</f>
        <v>393.31768252622339</v>
      </c>
      <c r="F114" s="459">
        <f>F80*Projected_PRIM_wastage_rates!H58</f>
        <v>392.38816653395253</v>
      </c>
      <c r="G114" s="459">
        <f>G80*Projected_PRIM_wastage_rates!I58</f>
        <v>388.8400058942791</v>
      </c>
      <c r="H114" s="459">
        <f>H80*Projected_PRIM_wastage_rates!J58</f>
        <v>384.3120912698576</v>
      </c>
      <c r="I114" s="459">
        <f>I80*Projected_PRIM_wastage_rates!K58</f>
        <v>379.10625527408729</v>
      </c>
      <c r="J114" s="459">
        <f>J80*Projected_PRIM_wastage_rates!L58</f>
        <v>373.6010946810872</v>
      </c>
      <c r="K114" s="459">
        <f>K80*Projected_PRIM_wastage_rates!M58</f>
        <v>368.19946215278111</v>
      </c>
      <c r="L114" s="459">
        <f>L80*Projected_PRIM_wastage_rates!N58</f>
        <v>363.84546835829912</v>
      </c>
      <c r="M114" s="459">
        <f>M80*Projected_PRIM_wastage_rates!O58</f>
        <v>360.51038941631396</v>
      </c>
      <c r="N114" s="459">
        <f>N80*Projected_PRIM_wastage_rates!P58</f>
        <v>357.88639157070889</v>
      </c>
    </row>
    <row r="115" spans="1:14">
      <c r="B115" s="152" t="str">
        <f t="shared" si="39"/>
        <v>40-44</v>
      </c>
      <c r="C115" s="459">
        <f>C81*Projected_PRIM_wastage_rates!E59</f>
        <v>365.70885314151559</v>
      </c>
      <c r="D115" s="459">
        <f>D81*Projected_PRIM_wastage_rates!F59</f>
        <v>369.78137558674121</v>
      </c>
      <c r="E115" s="459">
        <f>E81*Projected_PRIM_wastage_rates!G59</f>
        <v>372.86582536958349</v>
      </c>
      <c r="F115" s="459">
        <f>F81*Projected_PRIM_wastage_rates!H59</f>
        <v>374.82838674503512</v>
      </c>
      <c r="G115" s="459">
        <f>G81*Projected_PRIM_wastage_rates!I59</f>
        <v>375.43454788100547</v>
      </c>
      <c r="H115" s="459">
        <f>H81*Projected_PRIM_wastage_rates!J59</f>
        <v>375.33660471802409</v>
      </c>
      <c r="I115" s="459">
        <f>I81*Projected_PRIM_wastage_rates!K59</f>
        <v>374.17939810703837</v>
      </c>
      <c r="J115" s="459">
        <f>J81*Projected_PRIM_wastage_rates!L59</f>
        <v>372.01053830341073</v>
      </c>
      <c r="K115" s="459">
        <f>K81*Projected_PRIM_wastage_rates!M59</f>
        <v>369.13202063124123</v>
      </c>
      <c r="L115" s="459">
        <f>L81*Projected_PRIM_wastage_rates!N59</f>
        <v>366.50816931227433</v>
      </c>
      <c r="M115" s="459">
        <f>M81*Projected_PRIM_wastage_rates!O59</f>
        <v>364.1699761135169</v>
      </c>
      <c r="N115" s="459">
        <f>N81*Projected_PRIM_wastage_rates!P59</f>
        <v>361.91318054523396</v>
      </c>
    </row>
    <row r="116" spans="1:14">
      <c r="B116" s="152" t="str">
        <f t="shared" si="39"/>
        <v>45-49</v>
      </c>
      <c r="C116" s="459">
        <f>C82*Projected_PRIM_wastage_rates!E60</f>
        <v>323.34828756793161</v>
      </c>
      <c r="D116" s="459">
        <f>D82*Projected_PRIM_wastage_rates!F60</f>
        <v>333.47166141180645</v>
      </c>
      <c r="E116" s="459">
        <f>E82*Projected_PRIM_wastage_rates!G60</f>
        <v>340.50950101454265</v>
      </c>
      <c r="F116" s="459">
        <f>F82*Projected_PRIM_wastage_rates!H60</f>
        <v>345.54122757576613</v>
      </c>
      <c r="G116" s="459">
        <f>G82*Projected_PRIM_wastage_rates!I60</f>
        <v>349.03280450919215</v>
      </c>
      <c r="H116" s="459">
        <f>H82*Projected_PRIM_wastage_rates!J60</f>
        <v>351.82476965341363</v>
      </c>
      <c r="I116" s="459">
        <f>I82*Projected_PRIM_wastage_rates!K60</f>
        <v>353.65555517150835</v>
      </c>
      <c r="J116" s="459">
        <f>J82*Projected_PRIM_wastage_rates!L60</f>
        <v>354.48156628696029</v>
      </c>
      <c r="K116" s="459">
        <f>K82*Projected_PRIM_wastage_rates!M60</f>
        <v>354.45030108040436</v>
      </c>
      <c r="L116" s="459">
        <f>L82*Projected_PRIM_wastage_rates!N60</f>
        <v>354.31176243565147</v>
      </c>
      <c r="M116" s="459">
        <f>M82*Projected_PRIM_wastage_rates!O60</f>
        <v>354.05592151433956</v>
      </c>
      <c r="N116" s="459">
        <f>N82*Projected_PRIM_wastage_rates!P60</f>
        <v>353.48801007305087</v>
      </c>
    </row>
    <row r="117" spans="1:14">
      <c r="B117" s="152" t="str">
        <f t="shared" si="39"/>
        <v>50-54</v>
      </c>
      <c r="C117" s="459">
        <f>C83*Projected_PRIM_wastage_rates!E61</f>
        <v>246.22525226027147</v>
      </c>
      <c r="D117" s="459">
        <f>D83*Projected_PRIM_wastage_rates!F61</f>
        <v>247.71833797231227</v>
      </c>
      <c r="E117" s="459">
        <f>E83*Projected_PRIM_wastage_rates!G61</f>
        <v>249.84130233259143</v>
      </c>
      <c r="F117" s="459">
        <f>F83*Projected_PRIM_wastage_rates!H61</f>
        <v>252.14709563984221</v>
      </c>
      <c r="G117" s="459">
        <f>G83*Projected_PRIM_wastage_rates!I61</f>
        <v>254.32301599993031</v>
      </c>
      <c r="H117" s="459">
        <f>H83*Projected_PRIM_wastage_rates!J61</f>
        <v>256.57536971166525</v>
      </c>
      <c r="I117" s="459">
        <f>I83*Projected_PRIM_wastage_rates!K61</f>
        <v>258.56416150191302</v>
      </c>
      <c r="J117" s="459">
        <f>J83*Projected_PRIM_wastage_rates!L61</f>
        <v>260.13897919349671</v>
      </c>
      <c r="K117" s="459">
        <f>K83*Projected_PRIM_wastage_rates!M61</f>
        <v>261.29171337978335</v>
      </c>
      <c r="L117" s="459">
        <f>L83*Projected_PRIM_wastage_rates!N61</f>
        <v>262.40950078688468</v>
      </c>
      <c r="M117" s="459">
        <f>M83*Projected_PRIM_wastage_rates!O61</f>
        <v>263.42553828976844</v>
      </c>
      <c r="N117" s="459">
        <f>N83*Projected_PRIM_wastage_rates!P61</f>
        <v>264.16789762472121</v>
      </c>
    </row>
    <row r="118" spans="1:14">
      <c r="B118" s="152" t="str">
        <f t="shared" si="39"/>
        <v>55-59</v>
      </c>
      <c r="C118" s="459">
        <f>C84*Projected_PRIM_wastage_rates!E62</f>
        <v>82.802473604361495</v>
      </c>
      <c r="D118" s="459">
        <f>D84*Projected_PRIM_wastage_rates!F62</f>
        <v>78.981625796451354</v>
      </c>
      <c r="E118" s="459">
        <f>E84*Projected_PRIM_wastage_rates!G62</f>
        <v>76.577540205959068</v>
      </c>
      <c r="F118" s="459">
        <f>F84*Projected_PRIM_wastage_rates!H62</f>
        <v>75.183865473083912</v>
      </c>
      <c r="G118" s="459">
        <f>G84*Projected_PRIM_wastage_rates!I62</f>
        <v>74.447689202340115</v>
      </c>
      <c r="H118" s="459">
        <f>H84*Projected_PRIM_wastage_rates!J62</f>
        <v>74.248581071452506</v>
      </c>
      <c r="I118" s="459">
        <f>I84*Projected_PRIM_wastage_rates!K62</f>
        <v>74.310749001481071</v>
      </c>
      <c r="J118" s="459">
        <f>J84*Projected_PRIM_wastage_rates!L62</f>
        <v>74.484210534445353</v>
      </c>
      <c r="K118" s="459">
        <f>K84*Projected_PRIM_wastage_rates!M62</f>
        <v>74.70188834557581</v>
      </c>
      <c r="L118" s="459">
        <f>L84*Projected_PRIM_wastage_rates!N62</f>
        <v>75.05174924487136</v>
      </c>
      <c r="M118" s="459">
        <f>M84*Projected_PRIM_wastage_rates!O62</f>
        <v>75.457073268605612</v>
      </c>
      <c r="N118" s="459">
        <f>N84*Projected_PRIM_wastage_rates!P62</f>
        <v>75.82222668602914</v>
      </c>
    </row>
    <row r="119" spans="1:14">
      <c r="B119" s="152" t="str">
        <f t="shared" si="39"/>
        <v>60-64</v>
      </c>
      <c r="C119" s="459">
        <f>C85*Projected_PRIM_wastage_rates!E63</f>
        <v>12.483223993521323</v>
      </c>
      <c r="D119" s="459">
        <f>D85*Projected_PRIM_wastage_rates!F63</f>
        <v>11.605645837727772</v>
      </c>
      <c r="E119" s="459">
        <f>E85*Projected_PRIM_wastage_rates!G63</f>
        <v>10.911854518329548</v>
      </c>
      <c r="F119" s="459">
        <f>F85*Projected_PRIM_wastage_rates!H63</f>
        <v>10.403907603171268</v>
      </c>
      <c r="G119" s="459">
        <f>G85*Projected_PRIM_wastage_rates!I63</f>
        <v>10.049574946861124</v>
      </c>
      <c r="H119" s="459">
        <f>H85*Projected_PRIM_wastage_rates!J63</f>
        <v>9.8360970746619643</v>
      </c>
      <c r="I119" s="459">
        <f>I85*Projected_PRIM_wastage_rates!K63</f>
        <v>9.7099304266110469</v>
      </c>
      <c r="J119" s="459">
        <f>J85*Projected_PRIM_wastage_rates!L63</f>
        <v>9.6382902825622345</v>
      </c>
      <c r="K119" s="459">
        <f>K85*Projected_PRIM_wastage_rates!M63</f>
        <v>9.6035035553321624</v>
      </c>
      <c r="L119" s="459">
        <f>L85*Projected_PRIM_wastage_rates!N63</f>
        <v>9.6165263285378728</v>
      </c>
      <c r="M119" s="459">
        <f>M85*Projected_PRIM_wastage_rates!O63</f>
        <v>9.6570577951070948</v>
      </c>
      <c r="N119" s="459">
        <f>N85*Projected_PRIM_wastage_rates!P63</f>
        <v>9.7029362786548905</v>
      </c>
    </row>
    <row r="120" spans="1:14">
      <c r="B120" s="152" t="str">
        <f t="shared" si="39"/>
        <v>65 plus</v>
      </c>
      <c r="C120" s="459">
        <f>C86*Projected_PRIM_wastage_rates!E64</f>
        <v>7.2580812219021205</v>
      </c>
      <c r="D120" s="459">
        <f>D86*Projected_PRIM_wastage_rates!F64</f>
        <v>8.5567718747031112</v>
      </c>
      <c r="E120" s="459">
        <f>E86*Projected_PRIM_wastage_rates!G64</f>
        <v>9.2243011041222776</v>
      </c>
      <c r="F120" s="459">
        <f>F86*Projected_PRIM_wastage_rates!H64</f>
        <v>9.5076499778748431</v>
      </c>
      <c r="G120" s="459">
        <f>G86*Projected_PRIM_wastage_rates!I64</f>
        <v>9.5711122867891927</v>
      </c>
      <c r="H120" s="459">
        <f>H86*Projected_PRIM_wastage_rates!J64</f>
        <v>9.5362798876483161</v>
      </c>
      <c r="I120" s="459">
        <f>I86*Projected_PRIM_wastage_rates!K64</f>
        <v>9.4575104197939783</v>
      </c>
      <c r="J120" s="459">
        <f>J86*Projected_PRIM_wastage_rates!L64</f>
        <v>9.3661169551732399</v>
      </c>
      <c r="K120" s="459">
        <f>K86*Projected_PRIM_wastage_rates!M64</f>
        <v>9.2808425420052121</v>
      </c>
      <c r="L120" s="459">
        <f>L86*Projected_PRIM_wastage_rates!N64</f>
        <v>9.2262970789099725</v>
      </c>
      <c r="M120" s="459">
        <f>M86*Projected_PRIM_wastage_rates!O64</f>
        <v>9.2017508157412653</v>
      </c>
      <c r="N120" s="459">
        <f>N86*Projected_PRIM_wastage_rates!P64</f>
        <v>9.1967490725672896</v>
      </c>
    </row>
    <row r="121" spans="1:14">
      <c r="B121" s="152" t="str">
        <f t="shared" si="39"/>
        <v>Total</v>
      </c>
      <c r="C121" s="459">
        <f>SUM(C111:C120)</f>
        <v>2735.0235380144409</v>
      </c>
      <c r="D121" s="459">
        <f t="shared" ref="D121:N121" si="41">SUM(D111:D120)</f>
        <v>2765.6449170911269</v>
      </c>
      <c r="E121" s="459">
        <f t="shared" si="41"/>
        <v>2775.9914196600066</v>
      </c>
      <c r="F121" s="459">
        <f t="shared" si="41"/>
        <v>2774.7050444775805</v>
      </c>
      <c r="G121" s="459">
        <f t="shared" si="41"/>
        <v>2764.99520080805</v>
      </c>
      <c r="H121" s="459">
        <f t="shared" si="41"/>
        <v>2758.4222158209523</v>
      </c>
      <c r="I121" s="459">
        <f t="shared" si="41"/>
        <v>2749.5188269373475</v>
      </c>
      <c r="J121" s="459">
        <f t="shared" si="41"/>
        <v>2737.0293192680379</v>
      </c>
      <c r="K121" s="459">
        <f t="shared" si="41"/>
        <v>2722.5795542555684</v>
      </c>
      <c r="L121" s="459">
        <f t="shared" si="41"/>
        <v>2716.7242998733991</v>
      </c>
      <c r="M121" s="459">
        <f t="shared" si="41"/>
        <v>2716.9855970429576</v>
      </c>
      <c r="N121" s="459">
        <f t="shared" si="41"/>
        <v>2718.197368994392</v>
      </c>
    </row>
    <row r="122" spans="1:14">
      <c r="A122" s="10">
        <f>SUM(C122:N122)</f>
        <v>0</v>
      </c>
      <c r="C122" s="309">
        <f t="shared" ref="C122:N122" si="42">SUM(C111:C120)-C121</f>
        <v>0</v>
      </c>
      <c r="D122" s="309">
        <f t="shared" si="42"/>
        <v>0</v>
      </c>
      <c r="E122" s="309">
        <f t="shared" si="42"/>
        <v>0</v>
      </c>
      <c r="F122" s="309">
        <f t="shared" si="42"/>
        <v>0</v>
      </c>
      <c r="G122" s="309">
        <f t="shared" si="42"/>
        <v>0</v>
      </c>
      <c r="H122" s="309">
        <f t="shared" si="42"/>
        <v>0</v>
      </c>
      <c r="I122" s="309">
        <f t="shared" si="42"/>
        <v>0</v>
      </c>
      <c r="J122" s="309">
        <f t="shared" si="42"/>
        <v>0</v>
      </c>
      <c r="K122" s="309">
        <f t="shared" si="42"/>
        <v>0</v>
      </c>
      <c r="L122" s="309">
        <f t="shared" si="42"/>
        <v>0</v>
      </c>
      <c r="M122" s="309">
        <f t="shared" si="42"/>
        <v>0</v>
      </c>
      <c r="N122" s="309">
        <f t="shared" si="42"/>
        <v>0</v>
      </c>
    </row>
    <row r="123" spans="1:14">
      <c r="A123" s="10"/>
      <c r="C123" s="309"/>
      <c r="D123" s="309"/>
      <c r="E123" s="309"/>
      <c r="F123" s="309"/>
      <c r="G123" s="309"/>
      <c r="H123" s="309"/>
      <c r="I123" s="309"/>
      <c r="J123" s="309"/>
      <c r="K123" s="309"/>
      <c r="L123" s="309"/>
      <c r="M123" s="309"/>
      <c r="N123" s="309"/>
    </row>
    <row r="124" spans="1:14">
      <c r="B124" s="76" t="s">
        <v>50</v>
      </c>
      <c r="C124" s="329"/>
      <c r="D124" s="329"/>
      <c r="E124" s="329"/>
      <c r="F124" s="329"/>
      <c r="G124" s="329"/>
      <c r="H124" s="339"/>
      <c r="I124" s="329"/>
      <c r="J124" s="329"/>
      <c r="K124" s="329"/>
      <c r="L124" s="329"/>
      <c r="M124" s="309"/>
      <c r="N124" s="309"/>
    </row>
    <row r="125" spans="1:14">
      <c r="C125" s="329"/>
      <c r="D125" s="329"/>
      <c r="E125" s="329"/>
      <c r="F125" s="329"/>
      <c r="G125" s="329"/>
      <c r="H125" s="339"/>
      <c r="I125" s="329"/>
      <c r="J125" s="329"/>
      <c r="K125" s="329"/>
      <c r="L125" s="329"/>
      <c r="M125" s="309"/>
      <c r="N125" s="309"/>
    </row>
    <row r="126" spans="1:14">
      <c r="B126" s="152" t="str">
        <f t="shared" ref="B126:B137" si="43">B110</f>
        <v>Age group</v>
      </c>
      <c r="C126" s="338" t="str">
        <f t="shared" ref="C126:N126" si="44">C110</f>
        <v>2016/17</v>
      </c>
      <c r="D126" s="338" t="str">
        <f t="shared" si="44"/>
        <v>2017/18</v>
      </c>
      <c r="E126" s="338" t="str">
        <f t="shared" si="44"/>
        <v>2018/19</v>
      </c>
      <c r="F126" s="338" t="str">
        <f t="shared" si="44"/>
        <v>2019/20</v>
      </c>
      <c r="G126" s="338" t="str">
        <f t="shared" si="44"/>
        <v>2020/21</v>
      </c>
      <c r="H126" s="338" t="str">
        <f t="shared" si="44"/>
        <v>2021/22</v>
      </c>
      <c r="I126" s="338" t="str">
        <f t="shared" si="44"/>
        <v>2022/23</v>
      </c>
      <c r="J126" s="338" t="str">
        <f t="shared" si="44"/>
        <v>2023/24</v>
      </c>
      <c r="K126" s="338" t="str">
        <f t="shared" si="44"/>
        <v>2024/25</v>
      </c>
      <c r="L126" s="338" t="str">
        <f t="shared" si="44"/>
        <v>2025/26</v>
      </c>
      <c r="M126" s="338" t="str">
        <f t="shared" si="44"/>
        <v>2026/27</v>
      </c>
      <c r="N126" s="338" t="str">
        <f t="shared" si="44"/>
        <v>2027/28</v>
      </c>
    </row>
    <row r="127" spans="1:14">
      <c r="B127" s="152" t="str">
        <f t="shared" si="43"/>
        <v>20-24</v>
      </c>
      <c r="C127" s="459">
        <f>C93*Projected_PRIM_wastage_rates!E70</f>
        <v>1198.226898822476</v>
      </c>
      <c r="D127" s="459">
        <f>D93*Projected_PRIM_wastage_rates!F70</f>
        <v>1439.4561909808701</v>
      </c>
      <c r="E127" s="459">
        <f>E93*Projected_PRIM_wastage_rates!G70</f>
        <v>1584.5014598349844</v>
      </c>
      <c r="F127" s="459">
        <f>F93*Projected_PRIM_wastage_rates!H70</f>
        <v>1671.1143572993071</v>
      </c>
      <c r="G127" s="459">
        <f>G93*Projected_PRIM_wastage_rates!I70</f>
        <v>1719.2436399117862</v>
      </c>
      <c r="H127" s="459">
        <f>H93*Projected_PRIM_wastage_rates!J70</f>
        <v>1757.1841736816639</v>
      </c>
      <c r="I127" s="459">
        <f>I93*Projected_PRIM_wastage_rates!K70</f>
        <v>1780.0120734759334</v>
      </c>
      <c r="J127" s="459">
        <f>J93*Projected_PRIM_wastage_rates!L70</f>
        <v>1789.7073892467156</v>
      </c>
      <c r="K127" s="459">
        <f>K93*Projected_PRIM_wastage_rates!M70</f>
        <v>1791.979216007579</v>
      </c>
      <c r="L127" s="459">
        <f>L93*Projected_PRIM_wastage_rates!N70</f>
        <v>1805.6013551179296</v>
      </c>
      <c r="M127" s="459">
        <f>M93*Projected_PRIM_wastage_rates!O70</f>
        <v>1825.1441453670252</v>
      </c>
      <c r="N127" s="459">
        <f>N93*Projected_PRIM_wastage_rates!P70</f>
        <v>1841.7863260991946</v>
      </c>
    </row>
    <row r="128" spans="1:14">
      <c r="B128" s="152" t="str">
        <f t="shared" si="43"/>
        <v>25-29</v>
      </c>
      <c r="C128" s="459">
        <f>C94*Projected_PRIM_wastage_rates!E71</f>
        <v>2830.6443849655666</v>
      </c>
      <c r="D128" s="459">
        <f>D94*Projected_PRIM_wastage_rates!F71</f>
        <v>2804.1372210081227</v>
      </c>
      <c r="E128" s="459">
        <f>E94*Projected_PRIM_wastage_rates!G71</f>
        <v>2797.7690309740938</v>
      </c>
      <c r="F128" s="459">
        <f>F94*Projected_PRIM_wastage_rates!H71</f>
        <v>2800.3559627208947</v>
      </c>
      <c r="G128" s="459">
        <f>G94*Projected_PRIM_wastage_rates!I71</f>
        <v>2803.1867429555682</v>
      </c>
      <c r="H128" s="459">
        <f>H94*Projected_PRIM_wastage_rates!J71</f>
        <v>2816.2940681310893</v>
      </c>
      <c r="I128" s="459">
        <f>I94*Projected_PRIM_wastage_rates!K71</f>
        <v>2827.9057281031914</v>
      </c>
      <c r="J128" s="459">
        <f>J94*Projected_PRIM_wastage_rates!L71</f>
        <v>2833.8137357170667</v>
      </c>
      <c r="K128" s="459">
        <f>K94*Projected_PRIM_wastage_rates!M71</f>
        <v>2835.3008071727472</v>
      </c>
      <c r="L128" s="459">
        <f>L94*Projected_PRIM_wastage_rates!N71</f>
        <v>2848.0216456775147</v>
      </c>
      <c r="M128" s="459">
        <f>M94*Projected_PRIM_wastage_rates!O71</f>
        <v>2868.6954450629378</v>
      </c>
      <c r="N128" s="459">
        <f>N94*Projected_PRIM_wastage_rates!P71</f>
        <v>2889.4176696987029</v>
      </c>
    </row>
    <row r="129" spans="1:14">
      <c r="B129" s="152" t="str">
        <f t="shared" si="43"/>
        <v>30-34</v>
      </c>
      <c r="C129" s="459">
        <f>C95*Projected_PRIM_wastage_rates!E72</f>
        <v>2704.269410494876</v>
      </c>
      <c r="D129" s="459">
        <f>D95*Projected_PRIM_wastage_rates!F72</f>
        <v>2719.4555486342042</v>
      </c>
      <c r="E129" s="459">
        <f>E95*Projected_PRIM_wastage_rates!G72</f>
        <v>2712.5792671925451</v>
      </c>
      <c r="F129" s="459">
        <f>F95*Projected_PRIM_wastage_rates!H72</f>
        <v>2697.9652412321138</v>
      </c>
      <c r="G129" s="459">
        <f>G95*Projected_PRIM_wastage_rates!I72</f>
        <v>2680.9055815658126</v>
      </c>
      <c r="H129" s="459">
        <f>H95*Projected_PRIM_wastage_rates!J72</f>
        <v>2670.2290464890207</v>
      </c>
      <c r="I129" s="459">
        <f>I95*Projected_PRIM_wastage_rates!K72</f>
        <v>2662.3859235077557</v>
      </c>
      <c r="J129" s="459">
        <f>J95*Projected_PRIM_wastage_rates!L72</f>
        <v>2655.3771712933785</v>
      </c>
      <c r="K129" s="459">
        <f>K95*Projected_PRIM_wastage_rates!M72</f>
        <v>2649.0053245678082</v>
      </c>
      <c r="L129" s="459">
        <f>L95*Projected_PRIM_wastage_rates!N72</f>
        <v>2650.072213936066</v>
      </c>
      <c r="M129" s="459">
        <f>M95*Projected_PRIM_wastage_rates!O72</f>
        <v>2657.4045453140643</v>
      </c>
      <c r="N129" s="459">
        <f>N95*Projected_PRIM_wastage_rates!P72</f>
        <v>2667.3492981685836</v>
      </c>
    </row>
    <row r="130" spans="1:14">
      <c r="B130" s="152" t="str">
        <f t="shared" si="43"/>
        <v>35-39</v>
      </c>
      <c r="C130" s="459">
        <f>C96*Projected_PRIM_wastage_rates!E73</f>
        <v>2346.416826731373</v>
      </c>
      <c r="D130" s="459">
        <f>D96*Projected_PRIM_wastage_rates!F73</f>
        <v>2377.4998202055899</v>
      </c>
      <c r="E130" s="459">
        <f>E96*Projected_PRIM_wastage_rates!G73</f>
        <v>2394.2035046030674</v>
      </c>
      <c r="F130" s="459">
        <f>F96*Projected_PRIM_wastage_rates!H73</f>
        <v>2399.8053645959017</v>
      </c>
      <c r="G130" s="459">
        <f>G96*Projected_PRIM_wastage_rates!I73</f>
        <v>2397.0075876333322</v>
      </c>
      <c r="H130" s="459">
        <f>H96*Projected_PRIM_wastage_rates!J73</f>
        <v>2392.8820548416202</v>
      </c>
      <c r="I130" s="459">
        <f>I96*Projected_PRIM_wastage_rates!K73</f>
        <v>2386.5711516455631</v>
      </c>
      <c r="J130" s="459">
        <f>J96*Projected_PRIM_wastage_rates!L73</f>
        <v>2378.4852011347912</v>
      </c>
      <c r="K130" s="459">
        <f>K96*Projected_PRIM_wastage_rates!M73</f>
        <v>2369.8604242203551</v>
      </c>
      <c r="L130" s="459">
        <f>L96*Projected_PRIM_wastage_rates!N73</f>
        <v>2365.9658190170671</v>
      </c>
      <c r="M130" s="459">
        <f>M96*Projected_PRIM_wastage_rates!O73</f>
        <v>2366.1747838838301</v>
      </c>
      <c r="N130" s="459">
        <f>N96*Projected_PRIM_wastage_rates!P73</f>
        <v>2368.3537034722872</v>
      </c>
    </row>
    <row r="131" spans="1:14">
      <c r="B131" s="152" t="str">
        <f t="shared" si="43"/>
        <v>40-44</v>
      </c>
      <c r="C131" s="459">
        <f>C97*Projected_PRIM_wastage_rates!E74</f>
        <v>2057.0914158424089</v>
      </c>
      <c r="D131" s="459">
        <f>D97*Projected_PRIM_wastage_rates!F74</f>
        <v>2082.9971168537609</v>
      </c>
      <c r="E131" s="459">
        <f>E97*Projected_PRIM_wastage_rates!G74</f>
        <v>2099.7715039021004</v>
      </c>
      <c r="F131" s="459">
        <f>F97*Projected_PRIM_wastage_rates!H74</f>
        <v>2110.246687849025</v>
      </c>
      <c r="G131" s="459">
        <f>G97*Projected_PRIM_wastage_rates!I74</f>
        <v>2115.1423805261743</v>
      </c>
      <c r="H131" s="459">
        <f>H97*Projected_PRIM_wastage_rates!J74</f>
        <v>2119.1029400393109</v>
      </c>
      <c r="I131" s="459">
        <f>I97*Projected_PRIM_wastage_rates!K74</f>
        <v>2120.104933886631</v>
      </c>
      <c r="J131" s="459">
        <f>J97*Projected_PRIM_wastage_rates!L74</f>
        <v>2117.9580719684341</v>
      </c>
      <c r="K131" s="459">
        <f>K97*Projected_PRIM_wastage_rates!M74</f>
        <v>2113.7170706718935</v>
      </c>
      <c r="L131" s="459">
        <f>L97*Projected_PRIM_wastage_rates!N74</f>
        <v>2112.2317028522907</v>
      </c>
      <c r="M131" s="459">
        <f>M97*Projected_PRIM_wastage_rates!O74</f>
        <v>2113.0027842655304</v>
      </c>
      <c r="N131" s="459">
        <f>N97*Projected_PRIM_wastage_rates!P74</f>
        <v>2114.264947813806</v>
      </c>
    </row>
    <row r="132" spans="1:14">
      <c r="B132" s="152" t="str">
        <f t="shared" si="43"/>
        <v>45-49</v>
      </c>
      <c r="C132" s="459">
        <f>C98*Projected_PRIM_wastage_rates!E75</f>
        <v>1862.0974917580152</v>
      </c>
      <c r="D132" s="459">
        <f>D98*Projected_PRIM_wastage_rates!F75</f>
        <v>1902.9158954808706</v>
      </c>
      <c r="E132" s="459">
        <f>E98*Projected_PRIM_wastage_rates!G75</f>
        <v>1931.6729823841195</v>
      </c>
      <c r="F132" s="459">
        <f>F98*Projected_PRIM_wastage_rates!H75</f>
        <v>1952.18259652863</v>
      </c>
      <c r="G132" s="459">
        <f>G98*Projected_PRIM_wastage_rates!I75</f>
        <v>1966.2042153703255</v>
      </c>
      <c r="H132" s="459">
        <f>H98*Projected_PRIM_wastage_rates!J75</f>
        <v>1978.1947526080905</v>
      </c>
      <c r="I132" s="459">
        <f>I98*Projected_PRIM_wastage_rates!K75</f>
        <v>1986.8168530760954</v>
      </c>
      <c r="J132" s="459">
        <f>J98*Projected_PRIM_wastage_rates!L75</f>
        <v>1991.8952662568452</v>
      </c>
      <c r="K132" s="459">
        <f>K98*Projected_PRIM_wastage_rates!M75</f>
        <v>1994.1945585346432</v>
      </c>
      <c r="L132" s="459">
        <f>L98*Projected_PRIM_wastage_rates!N75</f>
        <v>1997.6750960602387</v>
      </c>
      <c r="M132" s="459">
        <f>M98*Projected_PRIM_wastage_rates!O75</f>
        <v>2002.0654009239549</v>
      </c>
      <c r="N132" s="459">
        <f>N98*Projected_PRIM_wastage_rates!P75</f>
        <v>2006.0024613453159</v>
      </c>
    </row>
    <row r="133" spans="1:14">
      <c r="B133" s="152" t="str">
        <f t="shared" si="43"/>
        <v>50-54</v>
      </c>
      <c r="C133" s="459">
        <f>C99*Projected_PRIM_wastage_rates!E76</f>
        <v>1616.7551004698555</v>
      </c>
      <c r="D133" s="459">
        <f>D99*Projected_PRIM_wastage_rates!F76</f>
        <v>1623.5190880519929</v>
      </c>
      <c r="E133" s="459">
        <f>E99*Projected_PRIM_wastage_rates!G76</f>
        <v>1632.0050320023659</v>
      </c>
      <c r="F133" s="459">
        <f>F99*Projected_PRIM_wastage_rates!H76</f>
        <v>1641.0431588030729</v>
      </c>
      <c r="G133" s="459">
        <f>G99*Projected_PRIM_wastage_rates!I76</f>
        <v>1649.4246706620081</v>
      </c>
      <c r="H133" s="459">
        <f>H99*Projected_PRIM_wastage_rates!J76</f>
        <v>1658.725759381206</v>
      </c>
      <c r="I133" s="459">
        <f>I99*Projected_PRIM_wastage_rates!K76</f>
        <v>1667.1145270769669</v>
      </c>
      <c r="J133" s="459">
        <f>J99*Projected_PRIM_wastage_rates!L76</f>
        <v>1673.8443532270387</v>
      </c>
      <c r="K133" s="459">
        <f>K99*Projected_PRIM_wastage_rates!M76</f>
        <v>1678.9897544946925</v>
      </c>
      <c r="L133" s="459">
        <f>L99*Projected_PRIM_wastage_rates!N76</f>
        <v>1684.9760114524865</v>
      </c>
      <c r="M133" s="459">
        <f>M99*Projected_PRIM_wastage_rates!O76</f>
        <v>1691.4546334458855</v>
      </c>
      <c r="N133" s="459">
        <f>N99*Projected_PRIM_wastage_rates!P76</f>
        <v>1697.3790972360184</v>
      </c>
    </row>
    <row r="134" spans="1:14">
      <c r="B134" s="152" t="str">
        <f t="shared" si="43"/>
        <v>55-59</v>
      </c>
      <c r="C134" s="459">
        <f>C100*Projected_PRIM_wastage_rates!E77</f>
        <v>704.24977464653011</v>
      </c>
      <c r="D134" s="459">
        <f>D100*Projected_PRIM_wastage_rates!F77</f>
        <v>654.85316752498795</v>
      </c>
      <c r="E134" s="459">
        <f>E100*Projected_PRIM_wastage_rates!G77</f>
        <v>622.88469665390016</v>
      </c>
      <c r="F134" s="459">
        <f>F100*Projected_PRIM_wastage_rates!H77</f>
        <v>602.69725539468027</v>
      </c>
      <c r="G134" s="459">
        <f>G100*Projected_PRIM_wastage_rates!I77</f>
        <v>590.18261422769831</v>
      </c>
      <c r="H134" s="459">
        <f>H100*Projected_PRIM_wastage_rates!J77</f>
        <v>583.45343123806799</v>
      </c>
      <c r="I134" s="459">
        <f>I100*Projected_PRIM_wastage_rates!K77</f>
        <v>579.99316671458882</v>
      </c>
      <c r="J134" s="459">
        <f>J100*Projected_PRIM_wastage_rates!L77</f>
        <v>578.35051718550028</v>
      </c>
      <c r="K134" s="459">
        <f>K100*Projected_PRIM_wastage_rates!M77</f>
        <v>577.78673444886351</v>
      </c>
      <c r="L134" s="459">
        <f>L100*Projected_PRIM_wastage_rates!N77</f>
        <v>578.71584393596333</v>
      </c>
      <c r="M134" s="459">
        <f>M100*Projected_PRIM_wastage_rates!O77</f>
        <v>580.5372192953098</v>
      </c>
      <c r="N134" s="459">
        <f>N100*Projected_PRIM_wastage_rates!P77</f>
        <v>582.54570798025566</v>
      </c>
    </row>
    <row r="135" spans="1:14">
      <c r="B135" s="152" t="str">
        <f t="shared" si="43"/>
        <v>60-64</v>
      </c>
      <c r="C135" s="459">
        <f>C101*Projected_PRIM_wastage_rates!E78</f>
        <v>121.87263589347083</v>
      </c>
      <c r="D135" s="459">
        <f>D101*Projected_PRIM_wastage_rates!F78</f>
        <v>112.8267053340991</v>
      </c>
      <c r="E135" s="459">
        <f>E101*Projected_PRIM_wastage_rates!G78</f>
        <v>104.77697950755801</v>
      </c>
      <c r="F135" s="459">
        <f>F101*Projected_PRIM_wastage_rates!H78</f>
        <v>98.43548055478665</v>
      </c>
      <c r="G135" s="459">
        <f>G101*Projected_PRIM_wastage_rates!I78</f>
        <v>93.741907418939363</v>
      </c>
      <c r="H135" s="459">
        <f>H101*Projected_PRIM_wastage_rates!J78</f>
        <v>90.580163506762062</v>
      </c>
      <c r="I135" s="459">
        <f>I101*Projected_PRIM_wastage_rates!K78</f>
        <v>88.473555743808632</v>
      </c>
      <c r="J135" s="459">
        <f>J101*Projected_PRIM_wastage_rates!L78</f>
        <v>87.087619132916956</v>
      </c>
      <c r="K135" s="459">
        <f>K101*Projected_PRIM_wastage_rates!M78</f>
        <v>86.211280990668001</v>
      </c>
      <c r="L135" s="459">
        <f>L101*Projected_PRIM_wastage_rates!N78</f>
        <v>85.863859398613684</v>
      </c>
      <c r="M135" s="459">
        <f>M101*Projected_PRIM_wastage_rates!O78</f>
        <v>85.854498831235475</v>
      </c>
      <c r="N135" s="459">
        <f>N101*Projected_PRIM_wastage_rates!P78</f>
        <v>85.989554924693238</v>
      </c>
    </row>
    <row r="136" spans="1:14">
      <c r="B136" s="152" t="str">
        <f t="shared" si="43"/>
        <v>65 plus</v>
      </c>
      <c r="C136" s="459">
        <f>C102*Projected_PRIM_wastage_rates!E79</f>
        <v>33.638409080600667</v>
      </c>
      <c r="D136" s="459">
        <f>D102*Projected_PRIM_wastage_rates!F79</f>
        <v>42.215555465586426</v>
      </c>
      <c r="E136" s="459">
        <f>E102*Projected_PRIM_wastage_rates!G79</f>
        <v>46.643926640201279</v>
      </c>
      <c r="F136" s="459">
        <f>F102*Projected_PRIM_wastage_rates!H79</f>
        <v>48.450189022236664</v>
      </c>
      <c r="G136" s="459">
        <f>G102*Projected_PRIM_wastage_rates!I79</f>
        <v>48.732881039926617</v>
      </c>
      <c r="H136" s="459">
        <f>H102*Projected_PRIM_wastage_rates!J79</f>
        <v>48.291683185520533</v>
      </c>
      <c r="I136" s="459">
        <f>I102*Projected_PRIM_wastage_rates!K79</f>
        <v>47.53555726769352</v>
      </c>
      <c r="J136" s="459">
        <f>J102*Projected_PRIM_wastage_rates!L79</f>
        <v>46.701420335313017</v>
      </c>
      <c r="K136" s="459">
        <f>K102*Projected_PRIM_wastage_rates!M79</f>
        <v>45.923361623535719</v>
      </c>
      <c r="L136" s="459">
        <f>L102*Projected_PRIM_wastage_rates!N79</f>
        <v>45.330444321471127</v>
      </c>
      <c r="M136" s="459">
        <f>M102*Projected_PRIM_wastage_rates!O79</f>
        <v>44.925280981274071</v>
      </c>
      <c r="N136" s="459">
        <f>N102*Projected_PRIM_wastage_rates!P79</f>
        <v>44.660869777404372</v>
      </c>
    </row>
    <row r="137" spans="1:14">
      <c r="B137" s="152" t="str">
        <f t="shared" si="43"/>
        <v>Total</v>
      </c>
      <c r="C137" s="459">
        <f>SUM(C127:C136)</f>
        <v>15475.262348705173</v>
      </c>
      <c r="D137" s="459">
        <f t="shared" ref="D137:N137" si="45">SUM(D127:D136)</f>
        <v>15759.876309540085</v>
      </c>
      <c r="E137" s="459">
        <f t="shared" si="45"/>
        <v>15926.808383694935</v>
      </c>
      <c r="F137" s="459">
        <f t="shared" si="45"/>
        <v>16022.296294000649</v>
      </c>
      <c r="G137" s="459">
        <f t="shared" si="45"/>
        <v>16063.772221311574</v>
      </c>
      <c r="H137" s="459">
        <f t="shared" si="45"/>
        <v>16114.938073102352</v>
      </c>
      <c r="I137" s="459">
        <f t="shared" si="45"/>
        <v>16146.913470498226</v>
      </c>
      <c r="J137" s="459">
        <f t="shared" si="45"/>
        <v>16153.220745498</v>
      </c>
      <c r="K137" s="459">
        <f t="shared" si="45"/>
        <v>16142.968532732788</v>
      </c>
      <c r="L137" s="459">
        <f t="shared" si="45"/>
        <v>16174.453991769642</v>
      </c>
      <c r="M137" s="459">
        <f t="shared" si="45"/>
        <v>16235.258737371045</v>
      </c>
      <c r="N137" s="459">
        <f t="shared" si="45"/>
        <v>16297.749636516262</v>
      </c>
    </row>
    <row r="138" spans="1:14">
      <c r="A138" s="10">
        <f>SUM(C138:N138)</f>
        <v>0</v>
      </c>
      <c r="C138" s="10">
        <f t="shared" ref="C138:N138" si="46">SUM(C127:C136)-C137</f>
        <v>0</v>
      </c>
      <c r="D138" s="10">
        <f t="shared" si="46"/>
        <v>0</v>
      </c>
      <c r="E138" s="10">
        <f t="shared" si="46"/>
        <v>0</v>
      </c>
      <c r="F138" s="10">
        <f t="shared" si="46"/>
        <v>0</v>
      </c>
      <c r="G138" s="10">
        <f t="shared" si="46"/>
        <v>0</v>
      </c>
      <c r="H138" s="10">
        <f t="shared" si="46"/>
        <v>0</v>
      </c>
      <c r="I138" s="10">
        <f t="shared" si="46"/>
        <v>0</v>
      </c>
      <c r="J138" s="10">
        <f t="shared" si="46"/>
        <v>0</v>
      </c>
      <c r="K138" s="10">
        <f t="shared" si="46"/>
        <v>0</v>
      </c>
      <c r="L138" s="10">
        <f t="shared" si="46"/>
        <v>0</v>
      </c>
      <c r="M138" s="10">
        <f t="shared" si="46"/>
        <v>0</v>
      </c>
      <c r="N138" s="10">
        <f t="shared" si="46"/>
        <v>0</v>
      </c>
    </row>
    <row r="139" spans="1:14">
      <c r="A139" s="10"/>
      <c r="C139" s="10"/>
      <c r="D139" s="10"/>
      <c r="E139" s="10"/>
      <c r="F139" s="10"/>
      <c r="G139" s="10"/>
      <c r="H139" s="10"/>
      <c r="I139" s="10"/>
      <c r="J139" s="10"/>
      <c r="K139" s="10"/>
      <c r="L139" s="10"/>
      <c r="M139" s="10"/>
      <c r="N139" s="10"/>
    </row>
    <row r="140" spans="1:14" ht="15.75">
      <c r="B140" s="78" t="s">
        <v>152</v>
      </c>
      <c r="H140" s="12"/>
    </row>
    <row r="141" spans="1:14">
      <c r="H141" s="12"/>
    </row>
    <row r="142" spans="1:14">
      <c r="B142" s="76" t="s">
        <v>49</v>
      </c>
      <c r="H142" s="12"/>
    </row>
    <row r="143" spans="1:14">
      <c r="H143" s="12"/>
    </row>
    <row r="144" spans="1:14">
      <c r="B144" s="152" t="str">
        <f t="shared" ref="B144:B155" si="47">B110</f>
        <v>Age group</v>
      </c>
      <c r="C144" s="152" t="str">
        <f t="shared" ref="C144:N144" si="48">C110</f>
        <v>2016/17</v>
      </c>
      <c r="D144" s="152" t="str">
        <f t="shared" si="48"/>
        <v>2017/18</v>
      </c>
      <c r="E144" s="152" t="str">
        <f t="shared" si="48"/>
        <v>2018/19</v>
      </c>
      <c r="F144" s="152" t="str">
        <f t="shared" si="48"/>
        <v>2019/20</v>
      </c>
      <c r="G144" s="152" t="str">
        <f t="shared" si="48"/>
        <v>2020/21</v>
      </c>
      <c r="H144" s="152" t="str">
        <f t="shared" si="48"/>
        <v>2021/22</v>
      </c>
      <c r="I144" s="152" t="str">
        <f t="shared" si="48"/>
        <v>2022/23</v>
      </c>
      <c r="J144" s="152" t="str">
        <f t="shared" si="48"/>
        <v>2023/24</v>
      </c>
      <c r="K144" s="152" t="str">
        <f t="shared" si="48"/>
        <v>2024/25</v>
      </c>
      <c r="L144" s="152" t="str">
        <f t="shared" si="48"/>
        <v>2025/26</v>
      </c>
      <c r="M144" s="152" t="str">
        <f t="shared" si="48"/>
        <v>2026/27</v>
      </c>
      <c r="N144" s="152" t="str">
        <f t="shared" si="48"/>
        <v>2027/28</v>
      </c>
    </row>
    <row r="145" spans="1:14">
      <c r="B145" s="152" t="str">
        <f t="shared" si="47"/>
        <v>20-24</v>
      </c>
      <c r="C145" s="544">
        <f>C77*Calc_PRIM_retirement_rates!$G124</f>
        <v>0</v>
      </c>
      <c r="D145" s="544">
        <f>D77*Calc_PRIM_retirement_rates!$G124</f>
        <v>0</v>
      </c>
      <c r="E145" s="544">
        <f>E77*Calc_PRIM_retirement_rates!$G124</f>
        <v>0</v>
      </c>
      <c r="F145" s="544">
        <f>F77*Calc_PRIM_retirement_rates!$G124</f>
        <v>0</v>
      </c>
      <c r="G145" s="544">
        <f>G77*Calc_PRIM_retirement_rates!$G124</f>
        <v>0</v>
      </c>
      <c r="H145" s="544">
        <f>H77*Calc_PRIM_retirement_rates!$G124</f>
        <v>0</v>
      </c>
      <c r="I145" s="544">
        <f>I77*Calc_PRIM_retirement_rates!$G124</f>
        <v>0</v>
      </c>
      <c r="J145" s="544">
        <f>J77*Calc_PRIM_retirement_rates!$G124</f>
        <v>0</v>
      </c>
      <c r="K145" s="544">
        <f>K77*Calc_PRIM_retirement_rates!$G124</f>
        <v>0</v>
      </c>
      <c r="L145" s="544">
        <f>L77*Calc_PRIM_retirement_rates!$G124</f>
        <v>0</v>
      </c>
      <c r="M145" s="544">
        <f>M77*Calc_PRIM_retirement_rates!$G124</f>
        <v>0</v>
      </c>
      <c r="N145" s="544">
        <f>N77*Calc_PRIM_retirement_rates!$G124</f>
        <v>0</v>
      </c>
    </row>
    <row r="146" spans="1:14">
      <c r="B146" s="152" t="str">
        <f t="shared" si="47"/>
        <v>25-29</v>
      </c>
      <c r="C146" s="544">
        <f>C78*Calc_PRIM_retirement_rates!$G125</f>
        <v>0</v>
      </c>
      <c r="D146" s="544">
        <f>D78*Calc_PRIM_retirement_rates!$G125</f>
        <v>0</v>
      </c>
      <c r="E146" s="544">
        <f>E78*Calc_PRIM_retirement_rates!$G125</f>
        <v>0</v>
      </c>
      <c r="F146" s="544">
        <f>F78*Calc_PRIM_retirement_rates!$G125</f>
        <v>0</v>
      </c>
      <c r="G146" s="544">
        <f>G78*Calc_PRIM_retirement_rates!$G125</f>
        <v>0</v>
      </c>
      <c r="H146" s="544">
        <f>H78*Calc_PRIM_retirement_rates!$G125</f>
        <v>0</v>
      </c>
      <c r="I146" s="544">
        <f>I78*Calc_PRIM_retirement_rates!$G125</f>
        <v>0</v>
      </c>
      <c r="J146" s="544">
        <f>J78*Calc_PRIM_retirement_rates!$G125</f>
        <v>0</v>
      </c>
      <c r="K146" s="544">
        <f>K78*Calc_PRIM_retirement_rates!$G125</f>
        <v>0</v>
      </c>
      <c r="L146" s="544">
        <f>L78*Calc_PRIM_retirement_rates!$G125</f>
        <v>0</v>
      </c>
      <c r="M146" s="544">
        <f>M78*Calc_PRIM_retirement_rates!$G125</f>
        <v>0</v>
      </c>
      <c r="N146" s="544">
        <f>N78*Calc_PRIM_retirement_rates!$G125</f>
        <v>0</v>
      </c>
    </row>
    <row r="147" spans="1:14">
      <c r="B147" s="152" t="str">
        <f t="shared" si="47"/>
        <v>30-34</v>
      </c>
      <c r="C147" s="544">
        <f>C79*Calc_PRIM_retirement_rates!$G126</f>
        <v>0</v>
      </c>
      <c r="D147" s="544">
        <f>D79*Calc_PRIM_retirement_rates!$G126</f>
        <v>0</v>
      </c>
      <c r="E147" s="544">
        <f>E79*Calc_PRIM_retirement_rates!$G126</f>
        <v>0</v>
      </c>
      <c r="F147" s="544">
        <f>F79*Calc_PRIM_retirement_rates!$G126</f>
        <v>0</v>
      </c>
      <c r="G147" s="544">
        <f>G79*Calc_PRIM_retirement_rates!$G126</f>
        <v>0</v>
      </c>
      <c r="H147" s="544">
        <f>H79*Calc_PRIM_retirement_rates!$G126</f>
        <v>0</v>
      </c>
      <c r="I147" s="544">
        <f>I79*Calc_PRIM_retirement_rates!$G126</f>
        <v>0</v>
      </c>
      <c r="J147" s="544">
        <f>J79*Calc_PRIM_retirement_rates!$G126</f>
        <v>0</v>
      </c>
      <c r="K147" s="544">
        <f>K79*Calc_PRIM_retirement_rates!$G126</f>
        <v>0</v>
      </c>
      <c r="L147" s="544">
        <f>L79*Calc_PRIM_retirement_rates!$G126</f>
        <v>0</v>
      </c>
      <c r="M147" s="544">
        <f>M79*Calc_PRIM_retirement_rates!$G126</f>
        <v>0</v>
      </c>
      <c r="N147" s="544">
        <f>N79*Calc_PRIM_retirement_rates!$G126</f>
        <v>0</v>
      </c>
    </row>
    <row r="148" spans="1:14">
      <c r="B148" s="152" t="str">
        <f t="shared" si="47"/>
        <v>35-39</v>
      </c>
      <c r="C148" s="544">
        <f>C80*Calc_PRIM_retirement_rates!$G127</f>
        <v>0</v>
      </c>
      <c r="D148" s="544">
        <f>D80*Calc_PRIM_retirement_rates!$G127</f>
        <v>0</v>
      </c>
      <c r="E148" s="544">
        <f>E80*Calc_PRIM_retirement_rates!$G127</f>
        <v>0</v>
      </c>
      <c r="F148" s="544">
        <f>F80*Calc_PRIM_retirement_rates!$G127</f>
        <v>0</v>
      </c>
      <c r="G148" s="544">
        <f>G80*Calc_PRIM_retirement_rates!$G127</f>
        <v>0</v>
      </c>
      <c r="H148" s="544">
        <f>H80*Calc_PRIM_retirement_rates!$G127</f>
        <v>0</v>
      </c>
      <c r="I148" s="544">
        <f>I80*Calc_PRIM_retirement_rates!$G127</f>
        <v>0</v>
      </c>
      <c r="J148" s="544">
        <f>J80*Calc_PRIM_retirement_rates!$G127</f>
        <v>0</v>
      </c>
      <c r="K148" s="544">
        <f>K80*Calc_PRIM_retirement_rates!$G127</f>
        <v>0</v>
      </c>
      <c r="L148" s="544">
        <f>L80*Calc_PRIM_retirement_rates!$G127</f>
        <v>0</v>
      </c>
      <c r="M148" s="544">
        <f>M80*Calc_PRIM_retirement_rates!$G127</f>
        <v>0</v>
      </c>
      <c r="N148" s="544">
        <f>N80*Calc_PRIM_retirement_rates!$G127</f>
        <v>0</v>
      </c>
    </row>
    <row r="149" spans="1:14">
      <c r="B149" s="152" t="str">
        <f t="shared" si="47"/>
        <v>40-44</v>
      </c>
      <c r="C149" s="544">
        <f>C81*Calc_PRIM_retirement_rates!$G128</f>
        <v>0</v>
      </c>
      <c r="D149" s="544">
        <f>D81*Calc_PRIM_retirement_rates!$G128</f>
        <v>0</v>
      </c>
      <c r="E149" s="544">
        <f>E81*Calc_PRIM_retirement_rates!$G128</f>
        <v>0</v>
      </c>
      <c r="F149" s="544">
        <f>F81*Calc_PRIM_retirement_rates!$G128</f>
        <v>0</v>
      </c>
      <c r="G149" s="544">
        <f>G81*Calc_PRIM_retirement_rates!$G128</f>
        <v>0</v>
      </c>
      <c r="H149" s="544">
        <f>H81*Calc_PRIM_retirement_rates!$G128</f>
        <v>0</v>
      </c>
      <c r="I149" s="544">
        <f>I81*Calc_PRIM_retirement_rates!$G128</f>
        <v>0</v>
      </c>
      <c r="J149" s="544">
        <f>J81*Calc_PRIM_retirement_rates!$G128</f>
        <v>0</v>
      </c>
      <c r="K149" s="544">
        <f>K81*Calc_PRIM_retirement_rates!$G128</f>
        <v>0</v>
      </c>
      <c r="L149" s="544">
        <f>L81*Calc_PRIM_retirement_rates!$G128</f>
        <v>0</v>
      </c>
      <c r="M149" s="544">
        <f>M81*Calc_PRIM_retirement_rates!$G128</f>
        <v>0</v>
      </c>
      <c r="N149" s="544">
        <f>N81*Calc_PRIM_retirement_rates!$G128</f>
        <v>0</v>
      </c>
    </row>
    <row r="150" spans="1:14">
      <c r="B150" s="152" t="str">
        <f t="shared" si="47"/>
        <v>45-49</v>
      </c>
      <c r="C150" s="544">
        <f>C82*Calc_PRIM_retirement_rates!$G129</f>
        <v>7.4011351773268395</v>
      </c>
      <c r="D150" s="544">
        <f>D82*Calc_PRIM_retirement_rates!$G129</f>
        <v>7.6328495891540307</v>
      </c>
      <c r="E150" s="544">
        <f>E82*Calc_PRIM_retirement_rates!$G129</f>
        <v>7.7939390529269037</v>
      </c>
      <c r="F150" s="544">
        <f>F82*Calc_PRIM_retirement_rates!$G129</f>
        <v>7.9091104946409319</v>
      </c>
      <c r="G150" s="544">
        <f>G82*Calc_PRIM_retirement_rates!$G129</f>
        <v>7.9890293742511833</v>
      </c>
      <c r="H150" s="544">
        <f>H82*Calc_PRIM_retirement_rates!$G129</f>
        <v>8.0529348045170757</v>
      </c>
      <c r="I150" s="544">
        <f>I82*Calc_PRIM_retirement_rates!$G129</f>
        <v>8.0948397460957899</v>
      </c>
      <c r="J150" s="544">
        <f>J82*Calc_PRIM_retirement_rates!$G129</f>
        <v>8.1137463559603926</v>
      </c>
      <c r="K150" s="544">
        <f>K82*Calc_PRIM_retirement_rates!$G129</f>
        <v>8.1130307250788807</v>
      </c>
      <c r="L150" s="544">
        <f>L82*Calc_PRIM_retirement_rates!$G129</f>
        <v>8.1098597070883045</v>
      </c>
      <c r="M150" s="544">
        <f>M82*Calc_PRIM_retirement_rates!$G129</f>
        <v>8.1040037514042247</v>
      </c>
      <c r="N150" s="544">
        <f>N82*Calc_PRIM_retirement_rates!$G129</f>
        <v>8.0910047979310438</v>
      </c>
    </row>
    <row r="151" spans="1:14">
      <c r="B151" s="152" t="str">
        <f t="shared" si="47"/>
        <v>50-54</v>
      </c>
      <c r="C151" s="544">
        <f>C83*Calc_PRIM_retirement_rates!$G130</f>
        <v>65.25130611010502</v>
      </c>
      <c r="D151" s="544">
        <f>D83*Calc_PRIM_retirement_rates!$G130</f>
        <v>65.646983612516578</v>
      </c>
      <c r="E151" s="544">
        <f>E83*Calc_PRIM_retirement_rates!$G130</f>
        <v>66.209583086217137</v>
      </c>
      <c r="F151" s="544">
        <f>F83*Calc_PRIM_retirement_rates!$G130</f>
        <v>66.820633429497988</v>
      </c>
      <c r="G151" s="544">
        <f>G83*Calc_PRIM_retirement_rates!$G130</f>
        <v>67.397266590329266</v>
      </c>
      <c r="H151" s="544">
        <f>H83*Calc_PRIM_retirement_rates!$G130</f>
        <v>67.994155090446597</v>
      </c>
      <c r="I151" s="544">
        <f>I83*Calc_PRIM_retirement_rates!$G130</f>
        <v>68.521197953448919</v>
      </c>
      <c r="J151" s="544">
        <f>J83*Calc_PRIM_retirement_rates!$G130</f>
        <v>68.93853496627699</v>
      </c>
      <c r="K151" s="544">
        <f>K83*Calc_PRIM_retirement_rates!$G130</f>
        <v>69.244017083007492</v>
      </c>
      <c r="L151" s="544">
        <f>L83*Calc_PRIM_retirement_rates!$G130</f>
        <v>69.540238074141612</v>
      </c>
      <c r="M151" s="544">
        <f>M83*Calc_PRIM_retirement_rates!$G130</f>
        <v>69.809494673582265</v>
      </c>
      <c r="N151" s="544">
        <f>N83*Calc_PRIM_retirement_rates!$G130</f>
        <v>70.006224764277817</v>
      </c>
    </row>
    <row r="152" spans="1:14">
      <c r="B152" s="152" t="str">
        <f t="shared" si="47"/>
        <v>55-59</v>
      </c>
      <c r="C152" s="544">
        <f>C84*Calc_PRIM_retirement_rates!$G131</f>
        <v>365.33256074388754</v>
      </c>
      <c r="D152" s="544">
        <f>D84*Calc_PRIM_retirement_rates!$G131</f>
        <v>348.47460888430743</v>
      </c>
      <c r="E152" s="544">
        <f>E84*Calc_PRIM_retirement_rates!$G131</f>
        <v>337.86754961674751</v>
      </c>
      <c r="F152" s="544">
        <f>F84*Calc_PRIM_retirement_rates!$G131</f>
        <v>331.71852125029886</v>
      </c>
      <c r="G152" s="544">
        <f>G84*Calc_PRIM_retirement_rates!$G131</f>
        <v>328.47043999810364</v>
      </c>
      <c r="H152" s="544">
        <f>H84*Calc_PRIM_retirement_rates!$G131</f>
        <v>327.59195557420026</v>
      </c>
      <c r="I152" s="544">
        <f>I84*Calc_PRIM_retirement_rates!$G131</f>
        <v>327.86624652330892</v>
      </c>
      <c r="J152" s="544">
        <f>J84*Calc_PRIM_retirement_rates!$G131</f>
        <v>328.63157566469658</v>
      </c>
      <c r="K152" s="544">
        <f>K84*Calc_PRIM_retirement_rates!$G131</f>
        <v>329.59199132253542</v>
      </c>
      <c r="L152" s="544">
        <f>L84*Calc_PRIM_retirement_rates!$G131</f>
        <v>331.13561161164074</v>
      </c>
      <c r="M152" s="544">
        <f>M84*Calc_PRIM_retirement_rates!$G131</f>
        <v>332.92394059598223</v>
      </c>
      <c r="N152" s="544">
        <f>N84*Calc_PRIM_retirement_rates!$G131</f>
        <v>334.53503296127957</v>
      </c>
    </row>
    <row r="153" spans="1:14">
      <c r="B153" s="152" t="str">
        <f t="shared" si="47"/>
        <v>60-64</v>
      </c>
      <c r="C153" s="544">
        <f>C85*Calc_PRIM_retirement_rates!$G132</f>
        <v>270.87740715999388</v>
      </c>
      <c r="D153" s="544">
        <f>D85*Calc_PRIM_retirement_rates!$G132</f>
        <v>251.83456249542817</v>
      </c>
      <c r="E153" s="544">
        <f>E85*Calc_PRIM_retirement_rates!$G132</f>
        <v>236.77976624998411</v>
      </c>
      <c r="F153" s="544">
        <f>F85*Calc_PRIM_retirement_rates!$G132</f>
        <v>225.75766623604531</v>
      </c>
      <c r="G153" s="544">
        <f>G85*Calc_PRIM_retirement_rates!$G132</f>
        <v>218.06889038269063</v>
      </c>
      <c r="H153" s="544">
        <f>H85*Calc_PRIM_retirement_rates!$G132</f>
        <v>213.43656683091004</v>
      </c>
      <c r="I153" s="544">
        <f>I85*Calc_PRIM_retirement_rates!$G132</f>
        <v>210.69883701753517</v>
      </c>
      <c r="J153" s="544">
        <f>J85*Calc_PRIM_retirement_rates!$G132</f>
        <v>209.14429497947015</v>
      </c>
      <c r="K153" s="544">
        <f>K85*Calc_PRIM_retirement_rates!$G132</f>
        <v>208.3894468344273</v>
      </c>
      <c r="L153" s="544">
        <f>L85*Calc_PRIM_retirement_rates!$G132</f>
        <v>208.67203208979294</v>
      </c>
      <c r="M153" s="544">
        <f>M85*Calc_PRIM_retirement_rates!$G132</f>
        <v>209.55153714220253</v>
      </c>
      <c r="N153" s="544">
        <f>N85*Calc_PRIM_retirement_rates!$G132</f>
        <v>210.54706879927357</v>
      </c>
    </row>
    <row r="154" spans="1:14">
      <c r="B154" s="152" t="str">
        <f t="shared" si="47"/>
        <v>65 plus</v>
      </c>
      <c r="C154" s="544">
        <f>C86*Calc_PRIM_retirement_rates!$G133</f>
        <v>67.514000027506498</v>
      </c>
      <c r="D154" s="544">
        <f>D86*Calc_PRIM_retirement_rates!$G133</f>
        <v>79.594300328410313</v>
      </c>
      <c r="E154" s="544">
        <f>E86*Calc_PRIM_retirement_rates!$G133</f>
        <v>85.803595462414918</v>
      </c>
      <c r="F154" s="544">
        <f>F86*Calc_PRIM_retirement_rates!$G133</f>
        <v>88.439280471367084</v>
      </c>
      <c r="G154" s="544">
        <f>G86*Calc_PRIM_retirement_rates!$G133</f>
        <v>89.029600997522095</v>
      </c>
      <c r="H154" s="544">
        <f>H86*Calc_PRIM_retirement_rates!$G133</f>
        <v>88.705593243315803</v>
      </c>
      <c r="I154" s="544">
        <f>I86*Calc_PRIM_retirement_rates!$G133</f>
        <v>87.972886940879206</v>
      </c>
      <c r="J154" s="544">
        <f>J86*Calc_PRIM_retirement_rates!$G133</f>
        <v>87.122753388460595</v>
      </c>
      <c r="K154" s="544">
        <f>K86*Calc_PRIM_retirement_rates!$G133</f>
        <v>86.329538686536523</v>
      </c>
      <c r="L154" s="544">
        <f>L86*Calc_PRIM_retirement_rates!$G133</f>
        <v>85.822161835227703</v>
      </c>
      <c r="M154" s="544">
        <f>M86*Calc_PRIM_retirement_rates!$G133</f>
        <v>85.593834766188237</v>
      </c>
      <c r="N154" s="544">
        <f>N86*Calc_PRIM_retirement_rates!$G133</f>
        <v>85.547309013932079</v>
      </c>
    </row>
    <row r="155" spans="1:14">
      <c r="B155" s="152" t="str">
        <f t="shared" si="47"/>
        <v>Total</v>
      </c>
      <c r="C155" s="544">
        <f t="shared" ref="C155:N155" si="49">SUM(C145:C154)</f>
        <v>776.37640921881973</v>
      </c>
      <c r="D155" s="544">
        <f t="shared" si="49"/>
        <v>753.18330490981657</v>
      </c>
      <c r="E155" s="544">
        <f t="shared" si="49"/>
        <v>734.45443346829052</v>
      </c>
      <c r="F155" s="544">
        <f t="shared" si="49"/>
        <v>720.64521188185017</v>
      </c>
      <c r="G155" s="544">
        <f t="shared" si="49"/>
        <v>710.95522734289671</v>
      </c>
      <c r="H155" s="544">
        <f t="shared" si="49"/>
        <v>705.78120554338977</v>
      </c>
      <c r="I155" s="544">
        <f t="shared" si="49"/>
        <v>703.15400818126807</v>
      </c>
      <c r="J155" s="544">
        <f t="shared" si="49"/>
        <v>701.95090535486474</v>
      </c>
      <c r="K155" s="544">
        <f t="shared" si="49"/>
        <v>701.66802465158571</v>
      </c>
      <c r="L155" s="544">
        <f t="shared" si="49"/>
        <v>703.27990331789124</v>
      </c>
      <c r="M155" s="544">
        <f t="shared" si="49"/>
        <v>705.98281092935952</v>
      </c>
      <c r="N155" s="544">
        <f t="shared" si="49"/>
        <v>708.72664033669412</v>
      </c>
    </row>
    <row r="156" spans="1:14">
      <c r="A156" s="10">
        <f>SUM(C156:N156)</f>
        <v>0</v>
      </c>
      <c r="C156" s="10">
        <f t="shared" ref="C156:N156" si="50">SUM(C145:C154)-C155</f>
        <v>0</v>
      </c>
      <c r="D156" s="10">
        <f t="shared" si="50"/>
        <v>0</v>
      </c>
      <c r="E156" s="10">
        <f t="shared" si="50"/>
        <v>0</v>
      </c>
      <c r="F156" s="10">
        <f t="shared" si="50"/>
        <v>0</v>
      </c>
      <c r="G156" s="10">
        <f t="shared" si="50"/>
        <v>0</v>
      </c>
      <c r="H156" s="10">
        <f t="shared" si="50"/>
        <v>0</v>
      </c>
      <c r="I156" s="10">
        <f t="shared" si="50"/>
        <v>0</v>
      </c>
      <c r="J156" s="10">
        <f t="shared" si="50"/>
        <v>0</v>
      </c>
      <c r="K156" s="10">
        <f t="shared" si="50"/>
        <v>0</v>
      </c>
      <c r="L156" s="10">
        <f t="shared" si="50"/>
        <v>0</v>
      </c>
      <c r="M156" s="10">
        <f t="shared" si="50"/>
        <v>0</v>
      </c>
      <c r="N156" s="10">
        <f t="shared" si="50"/>
        <v>0</v>
      </c>
    </row>
    <row r="157" spans="1:14">
      <c r="A157" s="10"/>
      <c r="C157" s="10"/>
      <c r="D157" s="10"/>
      <c r="E157" s="10"/>
      <c r="F157" s="10"/>
      <c r="G157" s="10"/>
      <c r="H157" s="10"/>
      <c r="I157" s="10"/>
      <c r="J157" s="10"/>
      <c r="K157" s="10"/>
      <c r="L157" s="10"/>
      <c r="M157" s="10"/>
      <c r="N157" s="10"/>
    </row>
    <row r="158" spans="1:14">
      <c r="B158" s="76" t="s">
        <v>50</v>
      </c>
      <c r="C158" s="117"/>
      <c r="D158" s="117"/>
      <c r="E158" s="117"/>
      <c r="F158" s="117"/>
      <c r="G158" s="117"/>
      <c r="H158" s="119"/>
      <c r="I158" s="117"/>
      <c r="J158" s="117"/>
      <c r="K158" s="117"/>
      <c r="L158" s="117"/>
    </row>
    <row r="159" spans="1:14">
      <c r="C159" s="117"/>
      <c r="D159" s="117"/>
      <c r="E159" s="117"/>
      <c r="F159" s="117"/>
      <c r="G159" s="117"/>
      <c r="H159" s="119"/>
      <c r="I159" s="117"/>
      <c r="J159" s="117"/>
      <c r="K159" s="117"/>
      <c r="L159" s="117"/>
    </row>
    <row r="160" spans="1:14">
      <c r="B160" s="152" t="str">
        <f t="shared" ref="B160:B171" si="51">B144</f>
        <v>Age group</v>
      </c>
      <c r="C160" s="152" t="str">
        <f t="shared" ref="C160:N160" si="52">C144</f>
        <v>2016/17</v>
      </c>
      <c r="D160" s="152" t="str">
        <f t="shared" si="52"/>
        <v>2017/18</v>
      </c>
      <c r="E160" s="152" t="str">
        <f t="shared" si="52"/>
        <v>2018/19</v>
      </c>
      <c r="F160" s="152" t="str">
        <f t="shared" si="52"/>
        <v>2019/20</v>
      </c>
      <c r="G160" s="152" t="str">
        <f t="shared" si="52"/>
        <v>2020/21</v>
      </c>
      <c r="H160" s="152" t="str">
        <f t="shared" si="52"/>
        <v>2021/22</v>
      </c>
      <c r="I160" s="152" t="str">
        <f t="shared" si="52"/>
        <v>2022/23</v>
      </c>
      <c r="J160" s="152" t="str">
        <f t="shared" si="52"/>
        <v>2023/24</v>
      </c>
      <c r="K160" s="152" t="str">
        <f t="shared" si="52"/>
        <v>2024/25</v>
      </c>
      <c r="L160" s="152" t="str">
        <f t="shared" si="52"/>
        <v>2025/26</v>
      </c>
      <c r="M160" s="152" t="str">
        <f t="shared" si="52"/>
        <v>2026/27</v>
      </c>
      <c r="N160" s="152" t="str">
        <f t="shared" si="52"/>
        <v>2027/28</v>
      </c>
    </row>
    <row r="161" spans="1:14">
      <c r="B161" s="152" t="str">
        <f t="shared" si="51"/>
        <v>20-24</v>
      </c>
      <c r="C161" s="459">
        <f>C93*Calc_PRIM_retirement_rates!$G140</f>
        <v>0</v>
      </c>
      <c r="D161" s="459">
        <f>D93*Calc_PRIM_retirement_rates!$G140</f>
        <v>0</v>
      </c>
      <c r="E161" s="459">
        <f>E93*Calc_PRIM_retirement_rates!$G140</f>
        <v>0</v>
      </c>
      <c r="F161" s="459">
        <f>F93*Calc_PRIM_retirement_rates!$G140</f>
        <v>0</v>
      </c>
      <c r="G161" s="459">
        <f>G93*Calc_PRIM_retirement_rates!$G140</f>
        <v>0</v>
      </c>
      <c r="H161" s="459">
        <f>H93*Calc_PRIM_retirement_rates!$G140</f>
        <v>0</v>
      </c>
      <c r="I161" s="459">
        <f>I93*Calc_PRIM_retirement_rates!$G140</f>
        <v>0</v>
      </c>
      <c r="J161" s="459">
        <f>J93*Calc_PRIM_retirement_rates!$G140</f>
        <v>0</v>
      </c>
      <c r="K161" s="459">
        <f>K93*Calc_PRIM_retirement_rates!$G140</f>
        <v>0</v>
      </c>
      <c r="L161" s="459">
        <f>L93*Calc_PRIM_retirement_rates!$G140</f>
        <v>0</v>
      </c>
      <c r="M161" s="459">
        <f>M93*Calc_PRIM_retirement_rates!$G140</f>
        <v>0</v>
      </c>
      <c r="N161" s="459">
        <f>N93*Calc_PRIM_retirement_rates!$G140</f>
        <v>0</v>
      </c>
    </row>
    <row r="162" spans="1:14">
      <c r="B162" s="152" t="str">
        <f t="shared" si="51"/>
        <v>25-29</v>
      </c>
      <c r="C162" s="459">
        <f>C94*Calc_PRIM_retirement_rates!$G141</f>
        <v>0</v>
      </c>
      <c r="D162" s="459">
        <f>D94*Calc_PRIM_retirement_rates!$G141</f>
        <v>0</v>
      </c>
      <c r="E162" s="459">
        <f>E94*Calc_PRIM_retirement_rates!$G141</f>
        <v>0</v>
      </c>
      <c r="F162" s="459">
        <f>F94*Calc_PRIM_retirement_rates!$G141</f>
        <v>0</v>
      </c>
      <c r="G162" s="459">
        <f>G94*Calc_PRIM_retirement_rates!$G141</f>
        <v>0</v>
      </c>
      <c r="H162" s="459">
        <f>H94*Calc_PRIM_retirement_rates!$G141</f>
        <v>0</v>
      </c>
      <c r="I162" s="459">
        <f>I94*Calc_PRIM_retirement_rates!$G141</f>
        <v>0</v>
      </c>
      <c r="J162" s="459">
        <f>J94*Calc_PRIM_retirement_rates!$G141</f>
        <v>0</v>
      </c>
      <c r="K162" s="459">
        <f>K94*Calc_PRIM_retirement_rates!$G141</f>
        <v>0</v>
      </c>
      <c r="L162" s="459">
        <f>L94*Calc_PRIM_retirement_rates!$G141</f>
        <v>0</v>
      </c>
      <c r="M162" s="459">
        <f>M94*Calc_PRIM_retirement_rates!$G141</f>
        <v>0</v>
      </c>
      <c r="N162" s="459">
        <f>N94*Calc_PRIM_retirement_rates!$G141</f>
        <v>0</v>
      </c>
    </row>
    <row r="163" spans="1:14">
      <c r="B163" s="152" t="str">
        <f t="shared" si="51"/>
        <v>30-34</v>
      </c>
      <c r="C163" s="459">
        <f>C95*Calc_PRIM_retirement_rates!$G142</f>
        <v>4.8549808793517109</v>
      </c>
      <c r="D163" s="459">
        <f>D95*Calc_PRIM_retirement_rates!$G142</f>
        <v>4.8822445868845126</v>
      </c>
      <c r="E163" s="459">
        <f>E95*Calc_PRIM_retirement_rates!$G142</f>
        <v>4.869899583538789</v>
      </c>
      <c r="F163" s="459">
        <f>F95*Calc_PRIM_retirement_rates!$G142</f>
        <v>4.8436629902715307</v>
      </c>
      <c r="G163" s="459">
        <f>G95*Calc_PRIM_retirement_rates!$G142</f>
        <v>4.8130357453799117</v>
      </c>
      <c r="H163" s="459">
        <f>H95*Calc_PRIM_retirement_rates!$G142</f>
        <v>4.7938681382419581</v>
      </c>
      <c r="I163" s="459">
        <f>I95*Calc_PRIM_retirement_rates!$G142</f>
        <v>4.7797873621326437</v>
      </c>
      <c r="J163" s="459">
        <f>J95*Calc_PRIM_retirement_rates!$G142</f>
        <v>4.7672045337144171</v>
      </c>
      <c r="K163" s="459">
        <f>K95*Calc_PRIM_retirement_rates!$G142</f>
        <v>4.7557651431349326</v>
      </c>
      <c r="L163" s="459">
        <f>L95*Calc_PRIM_retirement_rates!$G142</f>
        <v>4.7576805319875275</v>
      </c>
      <c r="M163" s="459">
        <f>M95*Calc_PRIM_retirement_rates!$G142</f>
        <v>4.7708442827969328</v>
      </c>
      <c r="N163" s="459">
        <f>N95*Calc_PRIM_retirement_rates!$G142</f>
        <v>4.7886981196858152</v>
      </c>
    </row>
    <row r="164" spans="1:14">
      <c r="B164" s="152" t="str">
        <f t="shared" si="51"/>
        <v>35-39</v>
      </c>
      <c r="C164" s="459">
        <f>C96*Calc_PRIM_retirement_rates!$G143</f>
        <v>7.9826010739748767</v>
      </c>
      <c r="D164" s="459">
        <f>D96*Calc_PRIM_retirement_rates!$G143</f>
        <v>8.0883466236414634</v>
      </c>
      <c r="E164" s="459">
        <f>E96*Calc_PRIM_retirement_rates!$G143</f>
        <v>8.1451732059825002</v>
      </c>
      <c r="F164" s="459">
        <f>F96*Calc_PRIM_retirement_rates!$G143</f>
        <v>8.1642309510027431</v>
      </c>
      <c r="G164" s="459">
        <f>G96*Calc_PRIM_retirement_rates!$G143</f>
        <v>8.1547128052360929</v>
      </c>
      <c r="H164" s="459">
        <f>H96*Calc_PRIM_retirement_rates!$G143</f>
        <v>8.1406775826283031</v>
      </c>
      <c r="I164" s="459">
        <f>I96*Calc_PRIM_retirement_rates!$G143</f>
        <v>8.1192076451233071</v>
      </c>
      <c r="J164" s="459">
        <f>J96*Calc_PRIM_retirement_rates!$G143</f>
        <v>8.0916989277905422</v>
      </c>
      <c r="K164" s="459">
        <f>K96*Calc_PRIM_retirement_rates!$G143</f>
        <v>8.0623571021286953</v>
      </c>
      <c r="L164" s="459">
        <f>L96*Calc_PRIM_retirement_rates!$G143</f>
        <v>8.0491075041355806</v>
      </c>
      <c r="M164" s="459">
        <f>M96*Calc_PRIM_retirement_rates!$G143</f>
        <v>8.0498184107191175</v>
      </c>
      <c r="N164" s="459">
        <f>N96*Calc_PRIM_retirement_rates!$G143</f>
        <v>8.0572311796904135</v>
      </c>
    </row>
    <row r="165" spans="1:14">
      <c r="B165" s="152" t="str">
        <f t="shared" si="51"/>
        <v>40-44</v>
      </c>
      <c r="C165" s="459">
        <f>C97*Calc_PRIM_retirement_rates!$G144</f>
        <v>17.521556134376077</v>
      </c>
      <c r="D165" s="459">
        <f>D97*Calc_PRIM_retirement_rates!$G144</f>
        <v>17.742211468881418</v>
      </c>
      <c r="E165" s="459">
        <f>E97*Calc_PRIM_retirement_rates!$G144</f>
        <v>17.885089593802704</v>
      </c>
      <c r="F165" s="459">
        <f>F97*Calc_PRIM_retirement_rates!$G144</f>
        <v>17.974313398894896</v>
      </c>
      <c r="G165" s="459">
        <f>G97*Calc_PRIM_retirement_rates!$G144</f>
        <v>18.016013127647206</v>
      </c>
      <c r="H165" s="459">
        <f>H97*Calc_PRIM_retirement_rates!$G144</f>
        <v>18.049747732389861</v>
      </c>
      <c r="I165" s="459">
        <f>I97*Calc_PRIM_retirement_rates!$G144</f>
        <v>18.058282351370288</v>
      </c>
      <c r="J165" s="459">
        <f>J97*Calc_PRIM_retirement_rates!$G144</f>
        <v>18.039996162763039</v>
      </c>
      <c r="K165" s="459">
        <f>K97*Calc_PRIM_retirement_rates!$G144</f>
        <v>18.003872856958051</v>
      </c>
      <c r="L165" s="459">
        <f>L97*Calc_PRIM_retirement_rates!$G144</f>
        <v>17.991221034374508</v>
      </c>
      <c r="M165" s="459">
        <f>M97*Calc_PRIM_retirement_rates!$G144</f>
        <v>17.997788825267129</v>
      </c>
      <c r="N165" s="459">
        <f>N97*Calc_PRIM_retirement_rates!$G144</f>
        <v>18.008539475088305</v>
      </c>
    </row>
    <row r="166" spans="1:14">
      <c r="B166" s="152" t="str">
        <f t="shared" si="51"/>
        <v>45-49</v>
      </c>
      <c r="C166" s="459">
        <f>C98*Calc_PRIM_retirement_rates!$G145</f>
        <v>21.09362161271941</v>
      </c>
      <c r="D166" s="459">
        <f>D98*Calc_PRIM_retirement_rates!$G145</f>
        <v>21.55600769442357</v>
      </c>
      <c r="E166" s="459">
        <f>E98*Calc_PRIM_retirement_rates!$G145</f>
        <v>21.881764596253952</v>
      </c>
      <c r="F166" s="459">
        <f>F98*Calc_PRIM_retirement_rates!$G145</f>
        <v>22.114095095651567</v>
      </c>
      <c r="G166" s="459">
        <f>G98*Calc_PRIM_retirement_rates!$G145</f>
        <v>22.272930346519804</v>
      </c>
      <c r="H166" s="459">
        <f>H98*Calc_PRIM_retirement_rates!$G145</f>
        <v>22.40875774360622</v>
      </c>
      <c r="I166" s="459">
        <f>I98*Calc_PRIM_retirement_rates!$G145</f>
        <v>22.50642788471534</v>
      </c>
      <c r="J166" s="459">
        <f>J98*Calc_PRIM_retirement_rates!$G145</f>
        <v>22.5639555525748</v>
      </c>
      <c r="K166" s="459">
        <f>K98*Calc_PRIM_retirement_rates!$G145</f>
        <v>22.590001665358685</v>
      </c>
      <c r="L166" s="459">
        <f>L98*Calc_PRIM_retirement_rates!$G145</f>
        <v>22.629428785527601</v>
      </c>
      <c r="M166" s="459">
        <f>M98*Calc_PRIM_retirement_rates!$G145</f>
        <v>22.679161643216098</v>
      </c>
      <c r="N166" s="459">
        <f>N98*Calc_PRIM_retirement_rates!$G145</f>
        <v>22.723760201112331</v>
      </c>
    </row>
    <row r="167" spans="1:14">
      <c r="B167" s="152" t="str">
        <f t="shared" si="51"/>
        <v>50-54</v>
      </c>
      <c r="C167" s="459">
        <f>C99*Calc_PRIM_retirement_rates!$G146</f>
        <v>348.19294001452573</v>
      </c>
      <c r="D167" s="459">
        <f>D99*Calc_PRIM_retirement_rates!$G146</f>
        <v>349.64966819912325</v>
      </c>
      <c r="E167" s="459">
        <f>E99*Calc_PRIM_retirement_rates!$G146</f>
        <v>351.47724602585788</v>
      </c>
      <c r="F167" s="459">
        <f>F99*Calc_PRIM_retirement_rates!$G146</f>
        <v>353.42374487534204</v>
      </c>
      <c r="G167" s="459">
        <f>G99*Calc_PRIM_retirement_rates!$G146</f>
        <v>355.22883165384121</v>
      </c>
      <c r="H167" s="459">
        <f>H99*Calc_PRIM_retirement_rates!$G146</f>
        <v>357.23196337461468</v>
      </c>
      <c r="I167" s="459">
        <f>I99*Calc_PRIM_retirement_rates!$G146</f>
        <v>359.03861280855619</v>
      </c>
      <c r="J167" s="459">
        <f>J99*Calc_PRIM_retirement_rates!$G146</f>
        <v>360.48798380624106</v>
      </c>
      <c r="K167" s="459">
        <f>K99*Calc_PRIM_retirement_rates!$G146</f>
        <v>361.5961246708768</v>
      </c>
      <c r="L167" s="459">
        <f>L99*Calc_PRIM_retirement_rates!$G146</f>
        <v>362.88535666971876</v>
      </c>
      <c r="M167" s="459">
        <f>M99*Calc_PRIM_retirement_rates!$G146</f>
        <v>364.2806270099631</v>
      </c>
      <c r="N167" s="459">
        <f>N99*Calc_PRIM_retirement_rates!$G146</f>
        <v>365.55655090498988</v>
      </c>
    </row>
    <row r="168" spans="1:14">
      <c r="B168" s="152" t="str">
        <f t="shared" si="51"/>
        <v>55-59</v>
      </c>
      <c r="C168" s="459">
        <f>C100*Calc_PRIM_retirement_rates!$G147</f>
        <v>2378.9934465292858</v>
      </c>
      <c r="D168" s="459">
        <f>D100*Calc_PRIM_retirement_rates!$G147</f>
        <v>2212.1290628212296</v>
      </c>
      <c r="E168" s="459">
        <f>E100*Calc_PRIM_retirement_rates!$G147</f>
        <v>2104.1378565250661</v>
      </c>
      <c r="F168" s="459">
        <f>F100*Calc_PRIM_retirement_rates!$G147</f>
        <v>2035.9435990515954</v>
      </c>
      <c r="G168" s="459">
        <f>G100*Calc_PRIM_retirement_rates!$G147</f>
        <v>1993.6684711158302</v>
      </c>
      <c r="H168" s="459">
        <f>H100*Calc_PRIM_retirement_rates!$G147</f>
        <v>1970.936930674995</v>
      </c>
      <c r="I168" s="459">
        <f>I100*Calc_PRIM_retirement_rates!$G147</f>
        <v>1959.2479718411116</v>
      </c>
      <c r="J168" s="459">
        <f>J100*Calc_PRIM_retirement_rates!$G147</f>
        <v>1953.6990137791693</v>
      </c>
      <c r="K168" s="459">
        <f>K100*Calc_PRIM_retirement_rates!$G147</f>
        <v>1951.7945255080892</v>
      </c>
      <c r="L168" s="459">
        <f>L100*Calc_PRIM_retirement_rates!$G147</f>
        <v>1954.9331071029899</v>
      </c>
      <c r="M168" s="459">
        <f>M100*Calc_PRIM_retirement_rates!$G147</f>
        <v>1961.0858105890932</v>
      </c>
      <c r="N168" s="459">
        <f>N100*Calc_PRIM_retirement_rates!$G147</f>
        <v>1967.8705929077141</v>
      </c>
    </row>
    <row r="169" spans="1:14">
      <c r="B169" s="152" t="str">
        <f t="shared" si="51"/>
        <v>60-64</v>
      </c>
      <c r="C169" s="459">
        <f>C101*Calc_PRIM_retirement_rates!$G148</f>
        <v>2110.2325267166975</v>
      </c>
      <c r="D169" s="459">
        <f>D101*Calc_PRIM_retirement_rates!$G148</f>
        <v>1953.601657441887</v>
      </c>
      <c r="E169" s="459">
        <f>E101*Calc_PRIM_retirement_rates!$G148</f>
        <v>1814.2201371704566</v>
      </c>
      <c r="F169" s="459">
        <f>F101*Calc_PRIM_retirement_rates!$G148</f>
        <v>1704.4166750546844</v>
      </c>
      <c r="G169" s="459">
        <f>G101*Calc_PRIM_retirement_rates!$G148</f>
        <v>1623.147154418024</v>
      </c>
      <c r="H169" s="459">
        <f>H101*Calc_PRIM_retirement_rates!$G148</f>
        <v>1568.4013552834499</v>
      </c>
      <c r="I169" s="459">
        <f>I101*Calc_PRIM_retirement_rates!$G148</f>
        <v>1531.9253064163033</v>
      </c>
      <c r="J169" s="459">
        <f>J101*Calc_PRIM_retirement_rates!$G148</f>
        <v>1507.9277248851417</v>
      </c>
      <c r="K169" s="459">
        <f>K101*Calc_PRIM_retirement_rates!$G148</f>
        <v>1492.7538736049194</v>
      </c>
      <c r="L169" s="459">
        <f>L101*Calc_PRIM_retirement_rates!$G148</f>
        <v>1486.7382463998299</v>
      </c>
      <c r="M169" s="459">
        <f>M101*Calc_PRIM_retirement_rates!$G148</f>
        <v>1486.5761675738061</v>
      </c>
      <c r="N169" s="459">
        <f>N101*Calc_PRIM_retirement_rates!$G148</f>
        <v>1488.9146725159244</v>
      </c>
    </row>
    <row r="170" spans="1:14">
      <c r="B170" s="152" t="str">
        <f t="shared" si="51"/>
        <v>65 plus</v>
      </c>
      <c r="C170" s="459">
        <f>C102*Calc_PRIM_retirement_rates!$G149</f>
        <v>502.43229205867499</v>
      </c>
      <c r="D170" s="459">
        <f>D102*Calc_PRIM_retirement_rates!$G149</f>
        <v>630.54284886905737</v>
      </c>
      <c r="E170" s="459">
        <f>E102*Calc_PRIM_retirement_rates!$G149</f>
        <v>696.68618739666454</v>
      </c>
      <c r="F170" s="459">
        <f>F102*Calc_PRIM_retirement_rates!$G149</f>
        <v>723.66500635599436</v>
      </c>
      <c r="G170" s="459">
        <f>G102*Calc_PRIM_retirement_rates!$G149</f>
        <v>727.88737008474061</v>
      </c>
      <c r="H170" s="459">
        <f>H102*Calc_PRIM_retirement_rates!$G149</f>
        <v>721.29752070424593</v>
      </c>
      <c r="I170" s="459">
        <f>I102*Calc_PRIM_retirement_rates!$G149</f>
        <v>710.00382137772567</v>
      </c>
      <c r="J170" s="459">
        <f>J102*Calc_PRIM_retirement_rates!$G149</f>
        <v>697.54492863334724</v>
      </c>
      <c r="K170" s="459">
        <f>K102*Calc_PRIM_retirement_rates!$G149</f>
        <v>685.92363521908965</v>
      </c>
      <c r="L170" s="459">
        <f>L102*Calc_PRIM_retirement_rates!$G149</f>
        <v>677.06766351234933</v>
      </c>
      <c r="M170" s="459">
        <f>M102*Calc_PRIM_retirement_rates!$G149</f>
        <v>671.0160352921921</v>
      </c>
      <c r="N170" s="459">
        <f>N102*Calc_PRIM_retirement_rates!$G149</f>
        <v>667.06671869734566</v>
      </c>
    </row>
    <row r="171" spans="1:14">
      <c r="B171" s="152" t="str">
        <f t="shared" si="51"/>
        <v>Total</v>
      </c>
      <c r="C171" s="459">
        <f t="shared" ref="C171:N171" si="53">SUM(C161:C170)</f>
        <v>5391.303965019606</v>
      </c>
      <c r="D171" s="459">
        <f t="shared" si="53"/>
        <v>5198.192047705129</v>
      </c>
      <c r="E171" s="459">
        <f t="shared" si="53"/>
        <v>5019.303354097623</v>
      </c>
      <c r="F171" s="459">
        <f t="shared" si="53"/>
        <v>4870.5453277734368</v>
      </c>
      <c r="G171" s="459">
        <f t="shared" si="53"/>
        <v>4753.1885192972186</v>
      </c>
      <c r="H171" s="459">
        <f t="shared" si="53"/>
        <v>4671.260821234172</v>
      </c>
      <c r="I171" s="459">
        <f t="shared" si="53"/>
        <v>4613.6794176870389</v>
      </c>
      <c r="J171" s="459">
        <f t="shared" si="53"/>
        <v>4573.1225062807416</v>
      </c>
      <c r="K171" s="459">
        <f t="shared" si="53"/>
        <v>4545.4801557705559</v>
      </c>
      <c r="L171" s="459">
        <f t="shared" si="53"/>
        <v>4535.0518115409131</v>
      </c>
      <c r="M171" s="459">
        <f t="shared" si="53"/>
        <v>4536.4562536270532</v>
      </c>
      <c r="N171" s="459">
        <f t="shared" si="53"/>
        <v>4542.9867640015509</v>
      </c>
    </row>
    <row r="172" spans="1:14">
      <c r="A172" s="10">
        <f>SUM(C172:N172)</f>
        <v>0</v>
      </c>
      <c r="C172" s="10">
        <f t="shared" ref="C172:N172" si="54">SUM(C161:C170)-C171</f>
        <v>0</v>
      </c>
      <c r="D172" s="10">
        <f t="shared" si="54"/>
        <v>0</v>
      </c>
      <c r="E172" s="10">
        <f t="shared" si="54"/>
        <v>0</v>
      </c>
      <c r="F172" s="10">
        <f t="shared" si="54"/>
        <v>0</v>
      </c>
      <c r="G172" s="10">
        <f t="shared" si="54"/>
        <v>0</v>
      </c>
      <c r="H172" s="10">
        <f t="shared" si="54"/>
        <v>0</v>
      </c>
      <c r="I172" s="10">
        <f t="shared" si="54"/>
        <v>0</v>
      </c>
      <c r="J172" s="10">
        <f t="shared" si="54"/>
        <v>0</v>
      </c>
      <c r="K172" s="10">
        <f t="shared" si="54"/>
        <v>0</v>
      </c>
      <c r="L172" s="10">
        <f t="shared" si="54"/>
        <v>0</v>
      </c>
      <c r="M172" s="10">
        <f t="shared" si="54"/>
        <v>0</v>
      </c>
      <c r="N172" s="10">
        <f t="shared" si="54"/>
        <v>0</v>
      </c>
    </row>
    <row r="173" spans="1:14">
      <c r="A173" s="10"/>
      <c r="C173" s="10"/>
      <c r="D173" s="10"/>
      <c r="E173" s="10"/>
      <c r="F173" s="10"/>
      <c r="G173" s="10"/>
      <c r="H173" s="10"/>
      <c r="I173" s="10"/>
      <c r="J173" s="10"/>
      <c r="K173" s="10"/>
      <c r="L173" s="10"/>
      <c r="M173" s="10"/>
      <c r="N173" s="10"/>
    </row>
    <row r="174" spans="1:14" ht="15.75">
      <c r="B174" s="78" t="s">
        <v>516</v>
      </c>
      <c r="H174" s="12"/>
    </row>
    <row r="175" spans="1:14">
      <c r="H175" s="12"/>
    </row>
    <row r="176" spans="1:14">
      <c r="B176" s="76" t="s">
        <v>49</v>
      </c>
      <c r="H176" s="12"/>
    </row>
    <row r="177" spans="1:14">
      <c r="H177" s="12"/>
    </row>
    <row r="178" spans="1:14">
      <c r="B178" s="152" t="str">
        <f t="shared" ref="B178:B189" si="55">B144</f>
        <v>Age group</v>
      </c>
      <c r="C178" s="152" t="str">
        <f t="shared" ref="C178:N178" si="56">C144</f>
        <v>2016/17</v>
      </c>
      <c r="D178" s="152" t="str">
        <f t="shared" si="56"/>
        <v>2017/18</v>
      </c>
      <c r="E178" s="152" t="str">
        <f t="shared" si="56"/>
        <v>2018/19</v>
      </c>
      <c r="F178" s="152" t="str">
        <f t="shared" si="56"/>
        <v>2019/20</v>
      </c>
      <c r="G178" s="152" t="str">
        <f t="shared" si="56"/>
        <v>2020/21</v>
      </c>
      <c r="H178" s="152" t="str">
        <f t="shared" si="56"/>
        <v>2021/22</v>
      </c>
      <c r="I178" s="152" t="str">
        <f t="shared" si="56"/>
        <v>2022/23</v>
      </c>
      <c r="J178" s="152" t="str">
        <f t="shared" si="56"/>
        <v>2023/24</v>
      </c>
      <c r="K178" s="152" t="str">
        <f t="shared" si="56"/>
        <v>2024/25</v>
      </c>
      <c r="L178" s="152" t="str">
        <f t="shared" si="56"/>
        <v>2025/26</v>
      </c>
      <c r="M178" s="152" t="str">
        <f t="shared" si="56"/>
        <v>2026/27</v>
      </c>
      <c r="N178" s="152" t="str">
        <f t="shared" si="56"/>
        <v>2027/28</v>
      </c>
    </row>
    <row r="179" spans="1:14">
      <c r="B179" s="152" t="str">
        <f t="shared" si="55"/>
        <v>20-24</v>
      </c>
      <c r="C179" s="544">
        <f>C77*Calc_PRIM_death_rates!$G124</f>
        <v>0</v>
      </c>
      <c r="D179" s="544">
        <f>D77*Calc_PRIM_death_rates!$G124</f>
        <v>0</v>
      </c>
      <c r="E179" s="544">
        <f>E77*Calc_PRIM_death_rates!$G124</f>
        <v>0</v>
      </c>
      <c r="F179" s="544">
        <f>F77*Calc_PRIM_death_rates!$G124</f>
        <v>0</v>
      </c>
      <c r="G179" s="544">
        <f>G77*Calc_PRIM_death_rates!$G124</f>
        <v>0</v>
      </c>
      <c r="H179" s="544">
        <f>H77*Calc_PRIM_death_rates!$G124</f>
        <v>0</v>
      </c>
      <c r="I179" s="544">
        <f>I77*Calc_PRIM_death_rates!$G124</f>
        <v>0</v>
      </c>
      <c r="J179" s="544">
        <f>J77*Calc_PRIM_death_rates!$G124</f>
        <v>0</v>
      </c>
      <c r="K179" s="544">
        <f>K77*Calc_PRIM_death_rates!$G124</f>
        <v>0</v>
      </c>
      <c r="L179" s="544">
        <f>L77*Calc_PRIM_death_rates!$G124</f>
        <v>0</v>
      </c>
      <c r="M179" s="544">
        <f>M77*Calc_PRIM_death_rates!$G124</f>
        <v>0</v>
      </c>
      <c r="N179" s="544">
        <f>N77*Calc_PRIM_death_rates!$G124</f>
        <v>0</v>
      </c>
    </row>
    <row r="180" spans="1:14">
      <c r="B180" s="152" t="str">
        <f t="shared" si="55"/>
        <v>25-29</v>
      </c>
      <c r="C180" s="544">
        <f>C78*Calc_PRIM_death_rates!$G125</f>
        <v>0</v>
      </c>
      <c r="D180" s="544">
        <f>D78*Calc_PRIM_death_rates!$G125</f>
        <v>0</v>
      </c>
      <c r="E180" s="544">
        <f>E78*Calc_PRIM_death_rates!$G125</f>
        <v>0</v>
      </c>
      <c r="F180" s="544">
        <f>F78*Calc_PRIM_death_rates!$G125</f>
        <v>0</v>
      </c>
      <c r="G180" s="544">
        <f>G78*Calc_PRIM_death_rates!$G125</f>
        <v>0</v>
      </c>
      <c r="H180" s="544">
        <f>H78*Calc_PRIM_death_rates!$G125</f>
        <v>0</v>
      </c>
      <c r="I180" s="544">
        <f>I78*Calc_PRIM_death_rates!$G125</f>
        <v>0</v>
      </c>
      <c r="J180" s="544">
        <f>J78*Calc_PRIM_death_rates!$G125</f>
        <v>0</v>
      </c>
      <c r="K180" s="544">
        <f>K78*Calc_PRIM_death_rates!$G125</f>
        <v>0</v>
      </c>
      <c r="L180" s="544">
        <f>L78*Calc_PRIM_death_rates!$G125</f>
        <v>0</v>
      </c>
      <c r="M180" s="544">
        <f>M78*Calc_PRIM_death_rates!$G125</f>
        <v>0</v>
      </c>
      <c r="N180" s="544">
        <f>N78*Calc_PRIM_death_rates!$G125</f>
        <v>0</v>
      </c>
    </row>
    <row r="181" spans="1:14">
      <c r="B181" s="152" t="str">
        <f t="shared" si="55"/>
        <v>30-34</v>
      </c>
      <c r="C181" s="544">
        <f>C79*Calc_PRIM_death_rates!$G126</f>
        <v>0</v>
      </c>
      <c r="D181" s="544">
        <f>D79*Calc_PRIM_death_rates!$G126</f>
        <v>0</v>
      </c>
      <c r="E181" s="544">
        <f>E79*Calc_PRIM_death_rates!$G126</f>
        <v>0</v>
      </c>
      <c r="F181" s="544">
        <f>F79*Calc_PRIM_death_rates!$G126</f>
        <v>0</v>
      </c>
      <c r="G181" s="544">
        <f>G79*Calc_PRIM_death_rates!$G126</f>
        <v>0</v>
      </c>
      <c r="H181" s="544">
        <f>H79*Calc_PRIM_death_rates!$G126</f>
        <v>0</v>
      </c>
      <c r="I181" s="544">
        <f>I79*Calc_PRIM_death_rates!$G126</f>
        <v>0</v>
      </c>
      <c r="J181" s="544">
        <f>J79*Calc_PRIM_death_rates!$G126</f>
        <v>0</v>
      </c>
      <c r="K181" s="544">
        <f>K79*Calc_PRIM_death_rates!$G126</f>
        <v>0</v>
      </c>
      <c r="L181" s="544">
        <f>L79*Calc_PRIM_death_rates!$G126</f>
        <v>0</v>
      </c>
      <c r="M181" s="544">
        <f>M79*Calc_PRIM_death_rates!$G126</f>
        <v>0</v>
      </c>
      <c r="N181" s="544">
        <f>N79*Calc_PRIM_death_rates!$G126</f>
        <v>0</v>
      </c>
    </row>
    <row r="182" spans="1:14">
      <c r="B182" s="152" t="str">
        <f t="shared" si="55"/>
        <v>35-39</v>
      </c>
      <c r="C182" s="544">
        <f>C80*Calc_PRIM_death_rates!$G127</f>
        <v>0</v>
      </c>
      <c r="D182" s="544">
        <f>D80*Calc_PRIM_death_rates!$G127</f>
        <v>0</v>
      </c>
      <c r="E182" s="544">
        <f>E80*Calc_PRIM_death_rates!$G127</f>
        <v>0</v>
      </c>
      <c r="F182" s="544">
        <f>F80*Calc_PRIM_death_rates!$G127</f>
        <v>0</v>
      </c>
      <c r="G182" s="544">
        <f>G80*Calc_PRIM_death_rates!$G127</f>
        <v>0</v>
      </c>
      <c r="H182" s="544">
        <f>H80*Calc_PRIM_death_rates!$G127</f>
        <v>0</v>
      </c>
      <c r="I182" s="544">
        <f>I80*Calc_PRIM_death_rates!$G127</f>
        <v>0</v>
      </c>
      <c r="J182" s="544">
        <f>J80*Calc_PRIM_death_rates!$G127</f>
        <v>0</v>
      </c>
      <c r="K182" s="544">
        <f>K80*Calc_PRIM_death_rates!$G127</f>
        <v>0</v>
      </c>
      <c r="L182" s="544">
        <f>L80*Calc_PRIM_death_rates!$G127</f>
        <v>0</v>
      </c>
      <c r="M182" s="544">
        <f>M80*Calc_PRIM_death_rates!$G127</f>
        <v>0</v>
      </c>
      <c r="N182" s="544">
        <f>N80*Calc_PRIM_death_rates!$G127</f>
        <v>0</v>
      </c>
    </row>
    <row r="183" spans="1:14">
      <c r="B183" s="152" t="str">
        <f t="shared" si="55"/>
        <v>40-44</v>
      </c>
      <c r="C183" s="544">
        <f>C81*Calc_PRIM_death_rates!$G128</f>
        <v>4.3466544641756579</v>
      </c>
      <c r="D183" s="544">
        <f>D81*Calc_PRIM_death_rates!$G128</f>
        <v>4.3950586734665533</v>
      </c>
      <c r="E183" s="544">
        <f>E81*Calc_PRIM_death_rates!$G128</f>
        <v>4.4317190859858231</v>
      </c>
      <c r="F183" s="544">
        <f>F81*Calc_PRIM_death_rates!$G128</f>
        <v>4.4550452266863996</v>
      </c>
      <c r="G183" s="544">
        <f>G81*Calc_PRIM_death_rates!$G128</f>
        <v>4.4622497911508425</v>
      </c>
      <c r="H183" s="544">
        <f>H81*Calc_PRIM_death_rates!$G128</f>
        <v>4.4610856818246631</v>
      </c>
      <c r="I183" s="544">
        <f>I81*Calc_PRIM_death_rates!$G128</f>
        <v>4.4473316333831052</v>
      </c>
      <c r="J183" s="544">
        <f>J81*Calc_PRIM_death_rates!$G128</f>
        <v>4.4215535203660785</v>
      </c>
      <c r="K183" s="544">
        <f>K81*Calc_PRIM_death_rates!$G128</f>
        <v>4.3873407262746476</v>
      </c>
      <c r="L183" s="544">
        <f>L81*Calc_PRIM_death_rates!$G128</f>
        <v>4.3561547843677202</v>
      </c>
      <c r="M183" s="544">
        <f>M81*Calc_PRIM_death_rates!$G128</f>
        <v>4.3283640491471225</v>
      </c>
      <c r="N183" s="544">
        <f>N81*Calc_PRIM_death_rates!$G128</f>
        <v>4.3015407703357313</v>
      </c>
    </row>
    <row r="184" spans="1:14">
      <c r="B184" s="152" t="str">
        <f t="shared" si="55"/>
        <v>45-49</v>
      </c>
      <c r="C184" s="544">
        <f>C82*Calc_PRIM_death_rates!$G129</f>
        <v>6.3233991201013948</v>
      </c>
      <c r="D184" s="544">
        <f>D82*Calc_PRIM_death_rates!$G129</f>
        <v>6.5213718192559158</v>
      </c>
      <c r="E184" s="544">
        <f>E82*Calc_PRIM_death_rates!$G129</f>
        <v>6.6590038107103542</v>
      </c>
      <c r="F184" s="544">
        <f>F82*Calc_PRIM_death_rates!$G129</f>
        <v>6.7574042554727125</v>
      </c>
      <c r="G184" s="544">
        <f>G82*Calc_PRIM_death_rates!$G129</f>
        <v>6.8256855340737443</v>
      </c>
      <c r="H184" s="544">
        <f>H82*Calc_PRIM_death_rates!$G129</f>
        <v>6.8802852045068672</v>
      </c>
      <c r="I184" s="544">
        <f>I82*Calc_PRIM_death_rates!$G129</f>
        <v>6.9160880461464185</v>
      </c>
      <c r="J184" s="544">
        <f>J82*Calc_PRIM_death_rates!$G129</f>
        <v>6.932241519541714</v>
      </c>
      <c r="K184" s="544">
        <f>K82*Calc_PRIM_death_rates!$G129</f>
        <v>6.9316300971614906</v>
      </c>
      <c r="L184" s="544">
        <f>L82*Calc_PRIM_death_rates!$G129</f>
        <v>6.9289208354210947</v>
      </c>
      <c r="M184" s="544">
        <f>M82*Calc_PRIM_death_rates!$G129</f>
        <v>6.9239176103572548</v>
      </c>
      <c r="N184" s="544">
        <f>N82*Calc_PRIM_death_rates!$G129</f>
        <v>6.9128115341966199</v>
      </c>
    </row>
    <row r="185" spans="1:14">
      <c r="B185" s="152" t="str">
        <f t="shared" si="55"/>
        <v>50-54</v>
      </c>
      <c r="C185" s="544">
        <f>C83*Calc_PRIM_death_rates!$G130</f>
        <v>6.7723697348544984</v>
      </c>
      <c r="D185" s="544">
        <f>D83*Calc_PRIM_death_rates!$G130</f>
        <v>6.8134367188252583</v>
      </c>
      <c r="E185" s="544">
        <f>E83*Calc_PRIM_death_rates!$G130</f>
        <v>6.871828372198534</v>
      </c>
      <c r="F185" s="544">
        <f>F83*Calc_PRIM_death_rates!$G130</f>
        <v>6.9352486943040379</v>
      </c>
      <c r="G185" s="544">
        <f>G83*Calc_PRIM_death_rates!$G130</f>
        <v>6.995096890444934</v>
      </c>
      <c r="H185" s="544">
        <f>H83*Calc_PRIM_death_rates!$G130</f>
        <v>7.0570473685925483</v>
      </c>
      <c r="I185" s="544">
        <f>I83*Calc_PRIM_death_rates!$G130</f>
        <v>7.1117486358491009</v>
      </c>
      <c r="J185" s="544">
        <f>J83*Calc_PRIM_death_rates!$G130</f>
        <v>7.1550636393854612</v>
      </c>
      <c r="K185" s="544">
        <f>K83*Calc_PRIM_death_rates!$G130</f>
        <v>7.1867693318108978</v>
      </c>
      <c r="L185" s="544">
        <f>L83*Calc_PRIM_death_rates!$G130</f>
        <v>7.2175138209985965</v>
      </c>
      <c r="M185" s="544">
        <f>M83*Calc_PRIM_death_rates!$G130</f>
        <v>7.2454597021413383</v>
      </c>
      <c r="N185" s="544">
        <f>N83*Calc_PRIM_death_rates!$G130</f>
        <v>7.2658781273283157</v>
      </c>
    </row>
    <row r="186" spans="1:14">
      <c r="B186" s="152" t="str">
        <f t="shared" si="55"/>
        <v>55-59</v>
      </c>
      <c r="C186" s="544">
        <f>C84*Calc_PRIM_death_rates!$G131</f>
        <v>4.6425114268005387</v>
      </c>
      <c r="D186" s="544">
        <f>D84*Calc_PRIM_death_rates!$G131</f>
        <v>4.4282867927268743</v>
      </c>
      <c r="E186" s="544">
        <f>E84*Calc_PRIM_death_rates!$G131</f>
        <v>4.2934961960329234</v>
      </c>
      <c r="F186" s="544">
        <f>F84*Calc_PRIM_death_rates!$G131</f>
        <v>4.2153566116585353</v>
      </c>
      <c r="G186" s="544">
        <f>G84*Calc_PRIM_death_rates!$G131</f>
        <v>4.1740811931801254</v>
      </c>
      <c r="H186" s="544">
        <f>H84*Calc_PRIM_death_rates!$G131</f>
        <v>4.1629177371554738</v>
      </c>
      <c r="I186" s="544">
        <f>I84*Calc_PRIM_death_rates!$G131</f>
        <v>4.1664033253628654</v>
      </c>
      <c r="J186" s="544">
        <f>J84*Calc_PRIM_death_rates!$G131</f>
        <v>4.1761288457953194</v>
      </c>
      <c r="K186" s="544">
        <f>K84*Calc_PRIM_death_rates!$G131</f>
        <v>4.1883334537199897</v>
      </c>
      <c r="L186" s="544">
        <f>L84*Calc_PRIM_death_rates!$G131</f>
        <v>4.2079492109802263</v>
      </c>
      <c r="M186" s="544">
        <f>M84*Calc_PRIM_death_rates!$G131</f>
        <v>4.2306746360772367</v>
      </c>
      <c r="N186" s="544">
        <f>N84*Calc_PRIM_death_rates!$G131</f>
        <v>4.2511478035942352</v>
      </c>
    </row>
    <row r="187" spans="1:14">
      <c r="B187" s="152" t="str">
        <f t="shared" si="55"/>
        <v>60-64</v>
      </c>
      <c r="C187" s="544">
        <f>C85*Calc_PRIM_death_rates!$G132</f>
        <v>0</v>
      </c>
      <c r="D187" s="544">
        <f>D85*Calc_PRIM_death_rates!$G132</f>
        <v>0</v>
      </c>
      <c r="E187" s="544">
        <f>E85*Calc_PRIM_death_rates!$G132</f>
        <v>0</v>
      </c>
      <c r="F187" s="544">
        <f>F85*Calc_PRIM_death_rates!$G132</f>
        <v>0</v>
      </c>
      <c r="G187" s="544">
        <f>G85*Calc_PRIM_death_rates!$G132</f>
        <v>0</v>
      </c>
      <c r="H187" s="544">
        <f>H85*Calc_PRIM_death_rates!$G132</f>
        <v>0</v>
      </c>
      <c r="I187" s="544">
        <f>I85*Calc_PRIM_death_rates!$G132</f>
        <v>0</v>
      </c>
      <c r="J187" s="544">
        <f>J85*Calc_PRIM_death_rates!$G132</f>
        <v>0</v>
      </c>
      <c r="K187" s="544">
        <f>K85*Calc_PRIM_death_rates!$G132</f>
        <v>0</v>
      </c>
      <c r="L187" s="544">
        <f>L85*Calc_PRIM_death_rates!$G132</f>
        <v>0</v>
      </c>
      <c r="M187" s="544">
        <f>M85*Calc_PRIM_death_rates!$G132</f>
        <v>0</v>
      </c>
      <c r="N187" s="544">
        <f>N85*Calc_PRIM_death_rates!$G132</f>
        <v>0</v>
      </c>
    </row>
    <row r="188" spans="1:14">
      <c r="B188" s="152" t="str">
        <f t="shared" si="55"/>
        <v>65 plus</v>
      </c>
      <c r="C188" s="544">
        <f>C86*Calc_PRIM_death_rates!$G133</f>
        <v>0</v>
      </c>
      <c r="D188" s="544">
        <f>D86*Calc_PRIM_death_rates!$G133</f>
        <v>0</v>
      </c>
      <c r="E188" s="544">
        <f>E86*Calc_PRIM_death_rates!$G133</f>
        <v>0</v>
      </c>
      <c r="F188" s="544">
        <f>F86*Calc_PRIM_death_rates!$G133</f>
        <v>0</v>
      </c>
      <c r="G188" s="544">
        <f>G86*Calc_PRIM_death_rates!$G133</f>
        <v>0</v>
      </c>
      <c r="H188" s="544">
        <f>H86*Calc_PRIM_death_rates!$G133</f>
        <v>0</v>
      </c>
      <c r="I188" s="544">
        <f>I86*Calc_PRIM_death_rates!$G133</f>
        <v>0</v>
      </c>
      <c r="J188" s="544">
        <f>J86*Calc_PRIM_death_rates!$G133</f>
        <v>0</v>
      </c>
      <c r="K188" s="544">
        <f>K86*Calc_PRIM_death_rates!$G133</f>
        <v>0</v>
      </c>
      <c r="L188" s="544">
        <f>L86*Calc_PRIM_death_rates!$G133</f>
        <v>0</v>
      </c>
      <c r="M188" s="544">
        <f>M86*Calc_PRIM_death_rates!$G133</f>
        <v>0</v>
      </c>
      <c r="N188" s="544">
        <f>N86*Calc_PRIM_death_rates!$G133</f>
        <v>0</v>
      </c>
    </row>
    <row r="189" spans="1:14">
      <c r="B189" s="152" t="str">
        <f t="shared" si="55"/>
        <v>Total</v>
      </c>
      <c r="C189" s="544">
        <f>SUM(C179:C188)</f>
        <v>22.084934745932088</v>
      </c>
      <c r="D189" s="544">
        <f t="shared" ref="D189:N189" si="57">SUM(D179:D188)</f>
        <v>22.1581540042746</v>
      </c>
      <c r="E189" s="544">
        <f t="shared" si="57"/>
        <v>22.256047464927637</v>
      </c>
      <c r="F189" s="544">
        <f t="shared" si="57"/>
        <v>22.363054788121687</v>
      </c>
      <c r="G189" s="544">
        <f t="shared" si="57"/>
        <v>22.457113408849647</v>
      </c>
      <c r="H189" s="544">
        <f t="shared" si="57"/>
        <v>22.561335992079552</v>
      </c>
      <c r="I189" s="544">
        <f t="shared" si="57"/>
        <v>22.641571640741489</v>
      </c>
      <c r="J189" s="544">
        <f t="shared" si="57"/>
        <v>22.684987525088573</v>
      </c>
      <c r="K189" s="544">
        <f t="shared" si="57"/>
        <v>22.694073608967024</v>
      </c>
      <c r="L189" s="544">
        <f t="shared" si="57"/>
        <v>22.710538651767635</v>
      </c>
      <c r="M189" s="544">
        <f t="shared" si="57"/>
        <v>22.728415997722951</v>
      </c>
      <c r="N189" s="544">
        <f t="shared" si="57"/>
        <v>22.731378235454905</v>
      </c>
    </row>
    <row r="190" spans="1:14">
      <c r="A190" s="10">
        <f>SUM(C190:N190)</f>
        <v>0</v>
      </c>
      <c r="C190" s="10">
        <f t="shared" ref="C190:N190" si="58">SUM(C179:C188)-C189</f>
        <v>0</v>
      </c>
      <c r="D190" s="10">
        <f t="shared" si="58"/>
        <v>0</v>
      </c>
      <c r="E190" s="10">
        <f t="shared" si="58"/>
        <v>0</v>
      </c>
      <c r="F190" s="10">
        <f t="shared" si="58"/>
        <v>0</v>
      </c>
      <c r="G190" s="10">
        <f t="shared" si="58"/>
        <v>0</v>
      </c>
      <c r="H190" s="10">
        <f t="shared" si="58"/>
        <v>0</v>
      </c>
      <c r="I190" s="10">
        <f t="shared" si="58"/>
        <v>0</v>
      </c>
      <c r="J190" s="10">
        <f t="shared" si="58"/>
        <v>0</v>
      </c>
      <c r="K190" s="10">
        <f t="shared" si="58"/>
        <v>0</v>
      </c>
      <c r="L190" s="10">
        <f t="shared" si="58"/>
        <v>0</v>
      </c>
      <c r="M190" s="10">
        <f t="shared" si="58"/>
        <v>0</v>
      </c>
      <c r="N190" s="10">
        <f t="shared" si="58"/>
        <v>0</v>
      </c>
    </row>
    <row r="191" spans="1:14">
      <c r="A191" s="10"/>
      <c r="C191" s="10"/>
      <c r="D191" s="10"/>
      <c r="E191" s="10"/>
      <c r="F191" s="10"/>
      <c r="G191" s="10"/>
      <c r="H191" s="10"/>
      <c r="I191" s="10"/>
      <c r="J191" s="10"/>
      <c r="K191" s="10"/>
      <c r="L191" s="10"/>
      <c r="M191" s="10"/>
      <c r="N191" s="10"/>
    </row>
    <row r="192" spans="1:14">
      <c r="B192" s="76" t="s">
        <v>50</v>
      </c>
      <c r="C192" s="117"/>
      <c r="D192" s="117"/>
      <c r="E192" s="117"/>
      <c r="F192" s="117"/>
      <c r="G192" s="117"/>
      <c r="H192" s="119"/>
      <c r="I192" s="117"/>
      <c r="J192" s="117"/>
      <c r="K192" s="117"/>
      <c r="L192" s="117"/>
    </row>
    <row r="193" spans="1:14">
      <c r="C193" s="117"/>
      <c r="D193" s="117"/>
      <c r="E193" s="117"/>
      <c r="F193" s="117"/>
      <c r="G193" s="117"/>
      <c r="H193" s="119"/>
      <c r="I193" s="117"/>
      <c r="J193" s="117"/>
      <c r="K193" s="117"/>
      <c r="L193" s="117"/>
    </row>
    <row r="194" spans="1:14">
      <c r="B194" s="152" t="str">
        <f t="shared" ref="B194:B205" si="59">B178</f>
        <v>Age group</v>
      </c>
      <c r="C194" s="152" t="str">
        <f t="shared" ref="C194:N194" si="60">C178</f>
        <v>2016/17</v>
      </c>
      <c r="D194" s="152" t="str">
        <f t="shared" si="60"/>
        <v>2017/18</v>
      </c>
      <c r="E194" s="152" t="str">
        <f t="shared" si="60"/>
        <v>2018/19</v>
      </c>
      <c r="F194" s="152" t="str">
        <f t="shared" si="60"/>
        <v>2019/20</v>
      </c>
      <c r="G194" s="152" t="str">
        <f t="shared" si="60"/>
        <v>2020/21</v>
      </c>
      <c r="H194" s="152" t="str">
        <f t="shared" si="60"/>
        <v>2021/22</v>
      </c>
      <c r="I194" s="152" t="str">
        <f t="shared" si="60"/>
        <v>2022/23</v>
      </c>
      <c r="J194" s="152" t="str">
        <f t="shared" si="60"/>
        <v>2023/24</v>
      </c>
      <c r="K194" s="152" t="str">
        <f t="shared" si="60"/>
        <v>2024/25</v>
      </c>
      <c r="L194" s="152" t="str">
        <f t="shared" si="60"/>
        <v>2025/26</v>
      </c>
      <c r="M194" s="152" t="str">
        <f t="shared" si="60"/>
        <v>2026/27</v>
      </c>
      <c r="N194" s="152" t="str">
        <f t="shared" si="60"/>
        <v>2027/28</v>
      </c>
    </row>
    <row r="195" spans="1:14">
      <c r="B195" s="152" t="str">
        <f t="shared" si="59"/>
        <v>20-24</v>
      </c>
      <c r="C195" s="544">
        <f>C93*Calc_PRIM_death_rates!$G140</f>
        <v>0</v>
      </c>
      <c r="D195" s="544">
        <f>D93*Calc_PRIM_death_rates!$G140</f>
        <v>0</v>
      </c>
      <c r="E195" s="544">
        <f>E93*Calc_PRIM_death_rates!$G140</f>
        <v>0</v>
      </c>
      <c r="F195" s="544">
        <f>F93*Calc_PRIM_death_rates!$G140</f>
        <v>0</v>
      </c>
      <c r="G195" s="544">
        <f>G93*Calc_PRIM_death_rates!$G140</f>
        <v>0</v>
      </c>
      <c r="H195" s="544">
        <f>H93*Calc_PRIM_death_rates!$G140</f>
        <v>0</v>
      </c>
      <c r="I195" s="544">
        <f>I93*Calc_PRIM_death_rates!$G140</f>
        <v>0</v>
      </c>
      <c r="J195" s="544">
        <f>J93*Calc_PRIM_death_rates!$G140</f>
        <v>0</v>
      </c>
      <c r="K195" s="544">
        <f>K93*Calc_PRIM_death_rates!$G140</f>
        <v>0</v>
      </c>
      <c r="L195" s="544">
        <f>L93*Calc_PRIM_death_rates!$G140</f>
        <v>0</v>
      </c>
      <c r="M195" s="544">
        <f>M93*Calc_PRIM_death_rates!$G140</f>
        <v>0</v>
      </c>
      <c r="N195" s="544">
        <f>N93*Calc_PRIM_death_rates!$G140</f>
        <v>0</v>
      </c>
    </row>
    <row r="196" spans="1:14">
      <c r="B196" s="152" t="str">
        <f t="shared" si="59"/>
        <v>25-29</v>
      </c>
      <c r="C196" s="544">
        <f>C94*Calc_PRIM_death_rates!$G141</f>
        <v>4.7647873423214318</v>
      </c>
      <c r="D196" s="544">
        <f>D94*Calc_PRIM_death_rates!$G141</f>
        <v>4.7201681736345797</v>
      </c>
      <c r="E196" s="544">
        <f>E94*Calc_PRIM_death_rates!$G141</f>
        <v>4.7094486811300467</v>
      </c>
      <c r="F196" s="544">
        <f>F94*Calc_PRIM_death_rates!$G141</f>
        <v>4.7138032301182822</v>
      </c>
      <c r="G196" s="544">
        <f>G94*Calc_PRIM_death_rates!$G141</f>
        <v>4.7185682461346721</v>
      </c>
      <c r="H196" s="544">
        <f>H94*Calc_PRIM_death_rates!$G141</f>
        <v>4.7406316382794875</v>
      </c>
      <c r="I196" s="544">
        <f>I94*Calc_PRIM_death_rates!$G141</f>
        <v>4.7601773963945906</v>
      </c>
      <c r="J196" s="544">
        <f>J94*Calc_PRIM_death_rates!$G141</f>
        <v>4.7701222697409023</v>
      </c>
      <c r="K196" s="544">
        <f>K94*Calc_PRIM_death_rates!$G141</f>
        <v>4.7726254380254067</v>
      </c>
      <c r="L196" s="544">
        <f>L94*Calc_PRIM_death_rates!$G141</f>
        <v>4.7940382621205702</v>
      </c>
      <c r="M196" s="544">
        <f>M94*Calc_PRIM_death_rates!$G141</f>
        <v>4.8288382031349038</v>
      </c>
      <c r="N196" s="544">
        <f>N94*Calc_PRIM_death_rates!$G141</f>
        <v>4.8637196577512647</v>
      </c>
    </row>
    <row r="197" spans="1:14">
      <c r="B197" s="152" t="str">
        <f t="shared" si="59"/>
        <v>30-34</v>
      </c>
      <c r="C197" s="544">
        <f>C95*Calc_PRIM_death_rates!$G142</f>
        <v>5.2291156888356864</v>
      </c>
      <c r="D197" s="544">
        <f>D95*Calc_PRIM_death_rates!$G142</f>
        <v>5.2584803937312152</v>
      </c>
      <c r="E197" s="544">
        <f>E95*Calc_PRIM_death_rates!$G142</f>
        <v>5.2451840590435967</v>
      </c>
      <c r="F197" s="544">
        <f>F95*Calc_PRIM_death_rates!$G142</f>
        <v>5.2169256199508887</v>
      </c>
      <c r="G197" s="544">
        <f>G95*Calc_PRIM_death_rates!$G142</f>
        <v>5.1839381765914903</v>
      </c>
      <c r="H197" s="544">
        <f>H95*Calc_PRIM_death_rates!$G142</f>
        <v>5.1632934742346199</v>
      </c>
      <c r="I197" s="544">
        <f>I95*Calc_PRIM_death_rates!$G142</f>
        <v>5.1481276045651123</v>
      </c>
      <c r="J197" s="544">
        <f>J95*Calc_PRIM_death_rates!$G142</f>
        <v>5.1345751175158822</v>
      </c>
      <c r="K197" s="544">
        <f>K95*Calc_PRIM_death_rates!$G142</f>
        <v>5.12225418397641</v>
      </c>
      <c r="L197" s="544">
        <f>L95*Calc_PRIM_death_rates!$G142</f>
        <v>5.1243171766324513</v>
      </c>
      <c r="M197" s="544">
        <f>M95*Calc_PRIM_death_rates!$G142</f>
        <v>5.1384953531468307</v>
      </c>
      <c r="N197" s="544">
        <f>N95*Calc_PRIM_death_rates!$G142</f>
        <v>5.1577250434178321</v>
      </c>
    </row>
    <row r="198" spans="1:14">
      <c r="B198" s="152" t="str">
        <f t="shared" si="59"/>
        <v>35-39</v>
      </c>
      <c r="C198" s="544">
        <f>C96*Calc_PRIM_death_rates!$G143</f>
        <v>7.885736704486388</v>
      </c>
      <c r="D198" s="544">
        <f>D96*Calc_PRIM_death_rates!$G143</f>
        <v>7.9901990914470167</v>
      </c>
      <c r="E198" s="544">
        <f>E96*Calc_PRIM_death_rates!$G143</f>
        <v>8.0463361152071275</v>
      </c>
      <c r="F198" s="544">
        <f>F96*Calc_PRIM_death_rates!$G143</f>
        <v>8.0651626052218734</v>
      </c>
      <c r="G198" s="544">
        <f>G96*Calc_PRIM_death_rates!$G143</f>
        <v>8.0557599567949811</v>
      </c>
      <c r="H198" s="544">
        <f>H96*Calc_PRIM_death_rates!$G143</f>
        <v>8.0418950437111079</v>
      </c>
      <c r="I198" s="544">
        <f>I96*Calc_PRIM_death_rates!$G143</f>
        <v>8.0206856318092452</v>
      </c>
      <c r="J198" s="544">
        <f>J96*Calc_PRIM_death_rates!$G143</f>
        <v>7.993510717272736</v>
      </c>
      <c r="K198" s="544">
        <f>K96*Calc_PRIM_death_rates!$G143</f>
        <v>7.9645249381445993</v>
      </c>
      <c r="L198" s="544">
        <f>L96*Calc_PRIM_death_rates!$G143</f>
        <v>7.9514361165630421</v>
      </c>
      <c r="M198" s="544">
        <f>M96*Calc_PRIM_death_rates!$G143</f>
        <v>7.9521383966954584</v>
      </c>
      <c r="N198" s="544">
        <f>N96*Calc_PRIM_death_rates!$G143</f>
        <v>7.959461215888993</v>
      </c>
    </row>
    <row r="199" spans="1:14">
      <c r="B199" s="152" t="str">
        <f t="shared" si="59"/>
        <v>40-44</v>
      </c>
      <c r="C199" s="544">
        <f>C97*Calc_PRIM_death_rates!$G144</f>
        <v>11.732533701719074</v>
      </c>
      <c r="D199" s="544">
        <f>D97*Calc_PRIM_death_rates!$G144</f>
        <v>11.880285769440324</v>
      </c>
      <c r="E199" s="544">
        <f>E97*Calc_PRIM_death_rates!$G144</f>
        <v>11.975957774998584</v>
      </c>
      <c r="F199" s="544">
        <f>F97*Calc_PRIM_death_rates!$G144</f>
        <v>12.035702542655722</v>
      </c>
      <c r="G199" s="544">
        <f>G97*Calc_PRIM_death_rates!$G144</f>
        <v>12.063624918338959</v>
      </c>
      <c r="H199" s="544">
        <f>H97*Calc_PRIM_death_rates!$G144</f>
        <v>12.086213801656285</v>
      </c>
      <c r="I199" s="544">
        <f>I97*Calc_PRIM_death_rates!$G144</f>
        <v>12.091928631095591</v>
      </c>
      <c r="J199" s="544">
        <f>J97*Calc_PRIM_death_rates!$G144</f>
        <v>12.079684095138559</v>
      </c>
      <c r="K199" s="544">
        <f>K97*Calc_PRIM_death_rates!$G144</f>
        <v>12.055495723995939</v>
      </c>
      <c r="L199" s="544">
        <f>L97*Calc_PRIM_death_rates!$G144</f>
        <v>12.047023991593223</v>
      </c>
      <c r="M199" s="544">
        <f>M97*Calc_PRIM_death_rates!$G144</f>
        <v>12.051421821751832</v>
      </c>
      <c r="N199" s="544">
        <f>N97*Calc_PRIM_death_rates!$G144</f>
        <v>12.058620518053406</v>
      </c>
    </row>
    <row r="200" spans="1:14">
      <c r="B200" s="152" t="str">
        <f t="shared" si="59"/>
        <v>45-49</v>
      </c>
      <c r="C200" s="544">
        <f>C98*Calc_PRIM_death_rates!$G145</f>
        <v>17.13699175950671</v>
      </c>
      <c r="D200" s="544">
        <f>D98*Calc_PRIM_death_rates!$G145</f>
        <v>17.512645908299096</v>
      </c>
      <c r="E200" s="544">
        <f>E98*Calc_PRIM_death_rates!$G145</f>
        <v>17.777299055338741</v>
      </c>
      <c r="F200" s="544">
        <f>F98*Calc_PRIM_death_rates!$G145</f>
        <v>17.966050229829243</v>
      </c>
      <c r="G200" s="544">
        <f>G98*Calc_PRIM_death_rates!$G145</f>
        <v>18.095092005358527</v>
      </c>
      <c r="H200" s="544">
        <f>H98*Calc_PRIM_death_rates!$G145</f>
        <v>18.205441618493786</v>
      </c>
      <c r="I200" s="544">
        <f>I98*Calc_PRIM_death_rates!$G145</f>
        <v>18.284791311688604</v>
      </c>
      <c r="J200" s="544">
        <f>J98*Calc_PRIM_death_rates!$G145</f>
        <v>18.331528244215008</v>
      </c>
      <c r="K200" s="544">
        <f>K98*Calc_PRIM_death_rates!$G145</f>
        <v>18.352688765074806</v>
      </c>
      <c r="L200" s="544">
        <f>L98*Calc_PRIM_death_rates!$G145</f>
        <v>18.384720354805626</v>
      </c>
      <c r="M200" s="544">
        <f>M98*Calc_PRIM_death_rates!$G145</f>
        <v>18.425124586380097</v>
      </c>
      <c r="N200" s="544">
        <f>N98*Calc_PRIM_death_rates!$G145</f>
        <v>18.461357582931658</v>
      </c>
    </row>
    <row r="201" spans="1:14">
      <c r="B201" s="152" t="str">
        <f t="shared" si="59"/>
        <v>50-54</v>
      </c>
      <c r="C201" s="544">
        <f>C99*Calc_PRIM_death_rates!$G146</f>
        <v>13.636194931820057</v>
      </c>
      <c r="D201" s="544">
        <f>D99*Calc_PRIM_death_rates!$G146</f>
        <v>13.693244421355999</v>
      </c>
      <c r="E201" s="544">
        <f>E99*Calc_PRIM_death_rates!$G146</f>
        <v>13.764817404706511</v>
      </c>
      <c r="F201" s="544">
        <f>F99*Calc_PRIM_death_rates!$G146</f>
        <v>13.841047662979475</v>
      </c>
      <c r="G201" s="544">
        <f>G99*Calc_PRIM_death_rates!$G146</f>
        <v>13.911739834909897</v>
      </c>
      <c r="H201" s="544">
        <f>H99*Calc_PRIM_death_rates!$G146</f>
        <v>13.990187992467138</v>
      </c>
      <c r="I201" s="544">
        <f>I99*Calc_PRIM_death_rates!$G146</f>
        <v>14.060941362290377</v>
      </c>
      <c r="J201" s="544">
        <f>J99*Calc_PRIM_death_rates!$G146</f>
        <v>14.117702724115041</v>
      </c>
      <c r="K201" s="544">
        <f>K99*Calc_PRIM_death_rates!$G146</f>
        <v>14.161100573713766</v>
      </c>
      <c r="L201" s="544">
        <f>L99*Calc_PRIM_death_rates!$G146</f>
        <v>14.211590451101332</v>
      </c>
      <c r="M201" s="544">
        <f>M99*Calc_PRIM_death_rates!$G146</f>
        <v>14.266233082113221</v>
      </c>
      <c r="N201" s="544">
        <f>N99*Calc_PRIM_death_rates!$G146</f>
        <v>14.316201777486615</v>
      </c>
    </row>
    <row r="202" spans="1:14">
      <c r="B202" s="152" t="str">
        <f t="shared" si="59"/>
        <v>55-59</v>
      </c>
      <c r="C202" s="544">
        <f>C100*Calc_PRIM_death_rates!$G147</f>
        <v>13.225954208403072</v>
      </c>
      <c r="D202" s="544">
        <f>D100*Calc_PRIM_death_rates!$G147</f>
        <v>12.298275865633419</v>
      </c>
      <c r="E202" s="544">
        <f>E100*Calc_PRIM_death_rates!$G147</f>
        <v>11.697901471384037</v>
      </c>
      <c r="F202" s="544">
        <f>F100*Calc_PRIM_death_rates!$G147</f>
        <v>11.318777212788033</v>
      </c>
      <c r="G202" s="544">
        <f>G100*Calc_PRIM_death_rates!$G147</f>
        <v>11.083749702708706</v>
      </c>
      <c r="H202" s="544">
        <f>H100*Calc_PRIM_death_rates!$G147</f>
        <v>10.957374275573519</v>
      </c>
      <c r="I202" s="544">
        <f>I100*Calc_PRIM_death_rates!$G147</f>
        <v>10.892389803041075</v>
      </c>
      <c r="J202" s="544">
        <f>J100*Calc_PRIM_death_rates!$G147</f>
        <v>10.861540510312393</v>
      </c>
      <c r="K202" s="544">
        <f>K100*Calc_PRIM_death_rates!$G147</f>
        <v>10.850952555687929</v>
      </c>
      <c r="L202" s="544">
        <f>L100*Calc_PRIM_death_rates!$G147</f>
        <v>10.868401421095296</v>
      </c>
      <c r="M202" s="544">
        <f>M100*Calc_PRIM_death_rates!$G147</f>
        <v>10.902607221318831</v>
      </c>
      <c r="N202" s="544">
        <f>N100*Calc_PRIM_death_rates!$G147</f>
        <v>10.940327047908088</v>
      </c>
    </row>
    <row r="203" spans="1:14">
      <c r="B203" s="152" t="str">
        <f t="shared" si="59"/>
        <v>60-64</v>
      </c>
      <c r="C203" s="544">
        <f>C101*Calc_PRIM_death_rates!$G148</f>
        <v>6.5541410945457557</v>
      </c>
      <c r="D203" s="544">
        <f>D101*Calc_PRIM_death_rates!$G148</f>
        <v>6.0676635125772362</v>
      </c>
      <c r="E203" s="544">
        <f>E101*Calc_PRIM_death_rates!$G148</f>
        <v>5.6347604375532736</v>
      </c>
      <c r="F203" s="544">
        <f>F101*Calc_PRIM_death_rates!$G148</f>
        <v>5.2937234313158106</v>
      </c>
      <c r="G203" s="544">
        <f>G101*Calc_PRIM_death_rates!$G148</f>
        <v>5.0413095867773023</v>
      </c>
      <c r="H203" s="544">
        <f>H101*Calc_PRIM_death_rates!$G148</f>
        <v>4.8712753903942465</v>
      </c>
      <c r="I203" s="544">
        <f>I101*Calc_PRIM_death_rates!$G148</f>
        <v>4.7579849506819976</v>
      </c>
      <c r="J203" s="544">
        <f>J101*Calc_PRIM_death_rates!$G148</f>
        <v>4.6834512046176169</v>
      </c>
      <c r="K203" s="544">
        <f>K101*Calc_PRIM_death_rates!$G148</f>
        <v>4.6363229564368504</v>
      </c>
      <c r="L203" s="544">
        <f>L101*Calc_PRIM_death_rates!$G148</f>
        <v>4.6176391057354831</v>
      </c>
      <c r="M203" s="544">
        <f>M101*Calc_PRIM_death_rates!$G148</f>
        <v>4.6171357074223831</v>
      </c>
      <c r="N203" s="544">
        <f>N101*Calc_PRIM_death_rates!$G148</f>
        <v>4.6243988365547839</v>
      </c>
    </row>
    <row r="204" spans="1:14">
      <c r="B204" s="152" t="str">
        <f t="shared" si="59"/>
        <v>65 plus</v>
      </c>
      <c r="C204" s="544">
        <f>C102*Calc_PRIM_death_rates!$G149</f>
        <v>0</v>
      </c>
      <c r="D204" s="544">
        <f>D102*Calc_PRIM_death_rates!$G149</f>
        <v>0</v>
      </c>
      <c r="E204" s="544">
        <f>E102*Calc_PRIM_death_rates!$G149</f>
        <v>0</v>
      </c>
      <c r="F204" s="544">
        <f>F102*Calc_PRIM_death_rates!$G149</f>
        <v>0</v>
      </c>
      <c r="G204" s="544">
        <f>G102*Calc_PRIM_death_rates!$G149</f>
        <v>0</v>
      </c>
      <c r="H204" s="544">
        <f>H102*Calc_PRIM_death_rates!$G149</f>
        <v>0</v>
      </c>
      <c r="I204" s="544">
        <f>I102*Calc_PRIM_death_rates!$G149</f>
        <v>0</v>
      </c>
      <c r="J204" s="544">
        <f>J102*Calc_PRIM_death_rates!$G149</f>
        <v>0</v>
      </c>
      <c r="K204" s="544">
        <f>K102*Calc_PRIM_death_rates!$G149</f>
        <v>0</v>
      </c>
      <c r="L204" s="544">
        <f>L102*Calc_PRIM_death_rates!$G149</f>
        <v>0</v>
      </c>
      <c r="M204" s="544">
        <f>M102*Calc_PRIM_death_rates!$G149</f>
        <v>0</v>
      </c>
      <c r="N204" s="544">
        <f>N102*Calc_PRIM_death_rates!$G149</f>
        <v>0</v>
      </c>
    </row>
    <row r="205" spans="1:14">
      <c r="B205" s="152" t="str">
        <f t="shared" si="59"/>
        <v>Total</v>
      </c>
      <c r="C205" s="544">
        <f>SUM(C195:C204)</f>
        <v>80.165455431638165</v>
      </c>
      <c r="D205" s="544">
        <f t="shared" ref="D205:N205" si="61">SUM(D195:D204)</f>
        <v>79.420963136118885</v>
      </c>
      <c r="E205" s="544">
        <f t="shared" si="61"/>
        <v>78.851704999361914</v>
      </c>
      <c r="F205" s="544">
        <f t="shared" si="61"/>
        <v>78.451192534859331</v>
      </c>
      <c r="G205" s="544">
        <f t="shared" si="61"/>
        <v>78.15378242761453</v>
      </c>
      <c r="H205" s="544">
        <f t="shared" si="61"/>
        <v>78.05631323481019</v>
      </c>
      <c r="I205" s="544">
        <f t="shared" si="61"/>
        <v>78.017026691566599</v>
      </c>
      <c r="J205" s="544">
        <f t="shared" si="61"/>
        <v>77.972114882928139</v>
      </c>
      <c r="K205" s="544">
        <f t="shared" si="61"/>
        <v>77.915965135055714</v>
      </c>
      <c r="L205" s="544">
        <f t="shared" si="61"/>
        <v>77.999166879647021</v>
      </c>
      <c r="M205" s="544">
        <f t="shared" si="61"/>
        <v>78.18199437196354</v>
      </c>
      <c r="N205" s="544">
        <f t="shared" si="61"/>
        <v>78.381811679992637</v>
      </c>
    </row>
    <row r="206" spans="1:14">
      <c r="A206" s="10">
        <f>SUM(C206:N206)</f>
        <v>0</v>
      </c>
      <c r="C206" s="10">
        <f t="shared" ref="C206:N206" si="62">SUM(C195:C204)-C205</f>
        <v>0</v>
      </c>
      <c r="D206" s="10">
        <f t="shared" si="62"/>
        <v>0</v>
      </c>
      <c r="E206" s="10">
        <f t="shared" si="62"/>
        <v>0</v>
      </c>
      <c r="F206" s="10">
        <f t="shared" si="62"/>
        <v>0</v>
      </c>
      <c r="G206" s="10">
        <f t="shared" si="62"/>
        <v>0</v>
      </c>
      <c r="H206" s="10">
        <f t="shared" si="62"/>
        <v>0</v>
      </c>
      <c r="I206" s="10">
        <f t="shared" si="62"/>
        <v>0</v>
      </c>
      <c r="J206" s="10">
        <f t="shared" si="62"/>
        <v>0</v>
      </c>
      <c r="K206" s="10">
        <f t="shared" si="62"/>
        <v>0</v>
      </c>
      <c r="L206" s="10">
        <f t="shared" si="62"/>
        <v>0</v>
      </c>
      <c r="M206" s="10">
        <f t="shared" si="62"/>
        <v>0</v>
      </c>
      <c r="N206" s="10">
        <f t="shared" si="62"/>
        <v>0</v>
      </c>
    </row>
    <row r="207" spans="1:14">
      <c r="A207" s="10"/>
      <c r="C207" s="10"/>
      <c r="D207" s="10"/>
      <c r="E207" s="10"/>
      <c r="F207" s="10"/>
      <c r="G207" s="10"/>
      <c r="H207" s="10"/>
      <c r="I207" s="10"/>
      <c r="J207" s="10"/>
      <c r="K207" s="10"/>
      <c r="L207" s="10"/>
      <c r="M207" s="10"/>
      <c r="N207" s="10"/>
    </row>
    <row r="208" spans="1:14" ht="15.75">
      <c r="B208" s="78" t="s">
        <v>153</v>
      </c>
      <c r="C208" s="117"/>
      <c r="D208" s="117"/>
      <c r="E208" s="117"/>
      <c r="F208" s="117"/>
      <c r="G208" s="117"/>
      <c r="H208" s="119"/>
      <c r="I208" s="117"/>
      <c r="J208" s="117"/>
      <c r="K208" s="117"/>
      <c r="L208" s="117"/>
    </row>
    <row r="209" spans="1:14">
      <c r="C209" s="117"/>
      <c r="D209" s="117"/>
      <c r="E209" s="117"/>
      <c r="F209" s="117"/>
      <c r="G209" s="117"/>
      <c r="H209" s="119"/>
      <c r="I209" s="117"/>
      <c r="J209" s="117"/>
      <c r="K209" s="117"/>
      <c r="L209" s="117"/>
    </row>
    <row r="210" spans="1:14">
      <c r="B210" s="76" t="s">
        <v>49</v>
      </c>
      <c r="C210" s="117"/>
      <c r="D210" s="117"/>
      <c r="E210" s="117"/>
      <c r="F210" s="117"/>
      <c r="G210" s="117"/>
      <c r="H210" s="119"/>
      <c r="I210" s="117"/>
      <c r="J210" s="117"/>
      <c r="K210" s="117"/>
      <c r="L210" s="117"/>
    </row>
    <row r="211" spans="1:14">
      <c r="C211" s="117"/>
      <c r="D211" s="117"/>
      <c r="E211" s="117"/>
      <c r="F211" s="117"/>
      <c r="G211" s="117"/>
      <c r="H211" s="119"/>
      <c r="I211" s="117"/>
      <c r="J211" s="117"/>
      <c r="K211" s="117"/>
      <c r="L211" s="117"/>
    </row>
    <row r="212" spans="1:14">
      <c r="B212" s="152" t="str">
        <f t="shared" ref="B212:B223" si="63">B178</f>
        <v>Age group</v>
      </c>
      <c r="C212" s="152" t="str">
        <f t="shared" ref="C212:N212" si="64">C178</f>
        <v>2016/17</v>
      </c>
      <c r="D212" s="152" t="str">
        <f t="shared" si="64"/>
        <v>2017/18</v>
      </c>
      <c r="E212" s="152" t="str">
        <f t="shared" si="64"/>
        <v>2018/19</v>
      </c>
      <c r="F212" s="152" t="str">
        <f t="shared" si="64"/>
        <v>2019/20</v>
      </c>
      <c r="G212" s="152" t="str">
        <f t="shared" si="64"/>
        <v>2020/21</v>
      </c>
      <c r="H212" s="152" t="str">
        <f t="shared" si="64"/>
        <v>2021/22</v>
      </c>
      <c r="I212" s="152" t="str">
        <f t="shared" si="64"/>
        <v>2022/23</v>
      </c>
      <c r="J212" s="152" t="str">
        <f t="shared" si="64"/>
        <v>2023/24</v>
      </c>
      <c r="K212" s="152" t="str">
        <f t="shared" si="64"/>
        <v>2024/25</v>
      </c>
      <c r="L212" s="152" t="str">
        <f t="shared" si="64"/>
        <v>2025/26</v>
      </c>
      <c r="M212" s="152" t="str">
        <f t="shared" si="64"/>
        <v>2026/27</v>
      </c>
      <c r="N212" s="152" t="str">
        <f t="shared" si="64"/>
        <v>2027/28</v>
      </c>
    </row>
    <row r="213" spans="1:14">
      <c r="B213" s="152" t="str">
        <f t="shared" si="63"/>
        <v>20-24</v>
      </c>
      <c r="C213" s="459">
        <f t="shared" ref="C213:C222" si="65">C111+C145+C179</f>
        <v>198.91601357846761</v>
      </c>
      <c r="D213" s="459">
        <f t="shared" ref="D213:L213" si="66">D111+D145+D179</f>
        <v>250.23866128062852</v>
      </c>
      <c r="E213" s="459">
        <f t="shared" si="66"/>
        <v>280.98033216571929</v>
      </c>
      <c r="F213" s="459">
        <f t="shared" si="66"/>
        <v>299.26682171775496</v>
      </c>
      <c r="G213" s="459">
        <f t="shared" si="66"/>
        <v>309.45061126385531</v>
      </c>
      <c r="H213" s="459">
        <f t="shared" si="66"/>
        <v>317.26319512802928</v>
      </c>
      <c r="I213" s="459">
        <f t="shared" si="66"/>
        <v>321.91703728361063</v>
      </c>
      <c r="J213" s="459">
        <f t="shared" si="66"/>
        <v>323.91257620220006</v>
      </c>
      <c r="K213" s="459">
        <f t="shared" si="66"/>
        <v>324.42111875523949</v>
      </c>
      <c r="L213" s="459">
        <f t="shared" si="66"/>
        <v>327.06876151918397</v>
      </c>
      <c r="M213" s="459">
        <f t="shared" ref="M213:N222" si="67">M111+M145+M179</f>
        <v>330.79457701073176</v>
      </c>
      <c r="N213" s="459">
        <f t="shared" si="67"/>
        <v>333.91252034679906</v>
      </c>
    </row>
    <row r="214" spans="1:14">
      <c r="B214" s="152" t="str">
        <f t="shared" si="63"/>
        <v>25-29</v>
      </c>
      <c r="C214" s="459">
        <f t="shared" si="65"/>
        <v>585.66869312678205</v>
      </c>
      <c r="D214" s="459">
        <f t="shared" ref="D214:L214" si="68">D112+D146+D180</f>
        <v>554.46863466233492</v>
      </c>
      <c r="E214" s="459">
        <f t="shared" si="68"/>
        <v>535.33329792031248</v>
      </c>
      <c r="F214" s="459">
        <f t="shared" si="68"/>
        <v>523.43209401131855</v>
      </c>
      <c r="G214" s="459">
        <f t="shared" si="68"/>
        <v>515.33011130639932</v>
      </c>
      <c r="H214" s="459">
        <f t="shared" si="68"/>
        <v>511.77417409664366</v>
      </c>
      <c r="I214" s="459">
        <f t="shared" si="68"/>
        <v>509.69094172625717</v>
      </c>
      <c r="J214" s="459">
        <f t="shared" si="68"/>
        <v>507.74565050481141</v>
      </c>
      <c r="K214" s="459">
        <f t="shared" si="68"/>
        <v>505.83287823105525</v>
      </c>
      <c r="L214" s="459">
        <f t="shared" si="68"/>
        <v>506.69626600000117</v>
      </c>
      <c r="M214" s="459">
        <f t="shared" si="67"/>
        <v>509.48790938944717</v>
      </c>
      <c r="N214" s="459">
        <f t="shared" si="67"/>
        <v>512.54874496456341</v>
      </c>
    </row>
    <row r="215" spans="1:14">
      <c r="B215" s="152" t="str">
        <f t="shared" si="63"/>
        <v>30-34</v>
      </c>
      <c r="C215" s="459">
        <f t="shared" si="65"/>
        <v>529.40481905398269</v>
      </c>
      <c r="D215" s="459">
        <f t="shared" ref="D215:L215" si="69">D113+D147+D181</f>
        <v>520.21907010399036</v>
      </c>
      <c r="E215" s="459">
        <f t="shared" si="69"/>
        <v>506.42978250262257</v>
      </c>
      <c r="F215" s="459">
        <f t="shared" si="69"/>
        <v>492.00582919978098</v>
      </c>
      <c r="G215" s="459">
        <f t="shared" si="69"/>
        <v>478.51572751739815</v>
      </c>
      <c r="H215" s="459">
        <f t="shared" si="69"/>
        <v>467.71505320955623</v>
      </c>
      <c r="I215" s="459">
        <f t="shared" si="69"/>
        <v>458.92728802504683</v>
      </c>
      <c r="J215" s="459">
        <f t="shared" si="69"/>
        <v>451.6502963238907</v>
      </c>
      <c r="K215" s="459">
        <f t="shared" si="69"/>
        <v>445.66582558215077</v>
      </c>
      <c r="L215" s="459">
        <f t="shared" si="69"/>
        <v>441.98979880878539</v>
      </c>
      <c r="M215" s="459">
        <f t="shared" si="67"/>
        <v>440.22540342938566</v>
      </c>
      <c r="N215" s="459">
        <f t="shared" si="67"/>
        <v>439.55871183206312</v>
      </c>
    </row>
    <row r="216" spans="1:14">
      <c r="B216" s="152" t="str">
        <f t="shared" si="63"/>
        <v>35-39</v>
      </c>
      <c r="C216" s="459">
        <f t="shared" si="65"/>
        <v>383.20784046570475</v>
      </c>
      <c r="D216" s="459">
        <f t="shared" ref="D216:L216" si="70">D114+D148+D182</f>
        <v>390.60313256443101</v>
      </c>
      <c r="E216" s="459">
        <f t="shared" si="70"/>
        <v>393.31768252622339</v>
      </c>
      <c r="F216" s="459">
        <f t="shared" si="70"/>
        <v>392.38816653395253</v>
      </c>
      <c r="G216" s="459">
        <f t="shared" si="70"/>
        <v>388.8400058942791</v>
      </c>
      <c r="H216" s="459">
        <f t="shared" si="70"/>
        <v>384.3120912698576</v>
      </c>
      <c r="I216" s="459">
        <f t="shared" si="70"/>
        <v>379.10625527408729</v>
      </c>
      <c r="J216" s="459">
        <f t="shared" si="70"/>
        <v>373.6010946810872</v>
      </c>
      <c r="K216" s="459">
        <f t="shared" si="70"/>
        <v>368.19946215278111</v>
      </c>
      <c r="L216" s="459">
        <f t="shared" si="70"/>
        <v>363.84546835829912</v>
      </c>
      <c r="M216" s="459">
        <f t="shared" si="67"/>
        <v>360.51038941631396</v>
      </c>
      <c r="N216" s="459">
        <f t="shared" si="67"/>
        <v>357.88639157070889</v>
      </c>
    </row>
    <row r="217" spans="1:14">
      <c r="B217" s="152" t="str">
        <f t="shared" si="63"/>
        <v>40-44</v>
      </c>
      <c r="C217" s="459">
        <f t="shared" si="65"/>
        <v>370.05550760569128</v>
      </c>
      <c r="D217" s="459">
        <f t="shared" ref="D217:L217" si="71">D115+D149+D183</f>
        <v>374.17643426020777</v>
      </c>
      <c r="E217" s="459">
        <f t="shared" si="71"/>
        <v>377.29754445556932</v>
      </c>
      <c r="F217" s="459">
        <f t="shared" si="71"/>
        <v>379.28343197172154</v>
      </c>
      <c r="G217" s="459">
        <f t="shared" si="71"/>
        <v>379.89679767215631</v>
      </c>
      <c r="H217" s="459">
        <f t="shared" si="71"/>
        <v>379.79769039984876</v>
      </c>
      <c r="I217" s="459">
        <f t="shared" si="71"/>
        <v>378.62672974042147</v>
      </c>
      <c r="J217" s="459">
        <f t="shared" si="71"/>
        <v>376.43209182377683</v>
      </c>
      <c r="K217" s="459">
        <f t="shared" si="71"/>
        <v>373.51936135751589</v>
      </c>
      <c r="L217" s="459">
        <f t="shared" si="71"/>
        <v>370.86432409664206</v>
      </c>
      <c r="M217" s="459">
        <f t="shared" si="67"/>
        <v>368.49834016266402</v>
      </c>
      <c r="N217" s="459">
        <f t="shared" si="67"/>
        <v>366.2147213155697</v>
      </c>
    </row>
    <row r="218" spans="1:14">
      <c r="B218" s="152" t="str">
        <f t="shared" si="63"/>
        <v>45-49</v>
      </c>
      <c r="C218" s="459">
        <f t="shared" si="65"/>
        <v>337.07282186535986</v>
      </c>
      <c r="D218" s="459">
        <f t="shared" ref="D218:L218" si="72">D116+D150+D184</f>
        <v>347.62588282021642</v>
      </c>
      <c r="E218" s="459">
        <f t="shared" si="72"/>
        <v>354.96244387817995</v>
      </c>
      <c r="F218" s="459">
        <f t="shared" si="72"/>
        <v>360.20774232587974</v>
      </c>
      <c r="G218" s="459">
        <f t="shared" si="72"/>
        <v>363.84751941751705</v>
      </c>
      <c r="H218" s="459">
        <f t="shared" si="72"/>
        <v>366.75798966243758</v>
      </c>
      <c r="I218" s="459">
        <f t="shared" si="72"/>
        <v>368.66648296375052</v>
      </c>
      <c r="J218" s="459">
        <f t="shared" si="72"/>
        <v>369.52755416246242</v>
      </c>
      <c r="K218" s="459">
        <f t="shared" si="72"/>
        <v>369.49496190264472</v>
      </c>
      <c r="L218" s="459">
        <f t="shared" si="72"/>
        <v>369.35054297816089</v>
      </c>
      <c r="M218" s="459">
        <f t="shared" si="67"/>
        <v>369.08384287610102</v>
      </c>
      <c r="N218" s="459">
        <f t="shared" si="67"/>
        <v>368.49182640517853</v>
      </c>
    </row>
    <row r="219" spans="1:14">
      <c r="B219" s="152" t="str">
        <f t="shared" si="63"/>
        <v>50-54</v>
      </c>
      <c r="C219" s="459">
        <f t="shared" si="65"/>
        <v>318.24892810523102</v>
      </c>
      <c r="D219" s="459">
        <f t="shared" ref="D219:L219" si="73">D117+D151+D185</f>
        <v>320.17875830365409</v>
      </c>
      <c r="E219" s="459">
        <f t="shared" si="73"/>
        <v>322.92271379100708</v>
      </c>
      <c r="F219" s="459">
        <f t="shared" si="73"/>
        <v>325.90297776364423</v>
      </c>
      <c r="G219" s="459">
        <f t="shared" si="73"/>
        <v>328.71537948070448</v>
      </c>
      <c r="H219" s="459">
        <f t="shared" si="73"/>
        <v>331.62657217070438</v>
      </c>
      <c r="I219" s="459">
        <f t="shared" si="73"/>
        <v>334.19710809121102</v>
      </c>
      <c r="J219" s="459">
        <f t="shared" si="73"/>
        <v>336.23257779915917</v>
      </c>
      <c r="K219" s="459">
        <f t="shared" si="73"/>
        <v>337.72249979460179</v>
      </c>
      <c r="L219" s="459">
        <f t="shared" si="73"/>
        <v>339.16725268202487</v>
      </c>
      <c r="M219" s="459">
        <f t="shared" si="67"/>
        <v>340.48049266549202</v>
      </c>
      <c r="N219" s="459">
        <f t="shared" si="67"/>
        <v>341.44000051632736</v>
      </c>
    </row>
    <row r="220" spans="1:14">
      <c r="B220" s="152" t="str">
        <f t="shared" si="63"/>
        <v>55-59</v>
      </c>
      <c r="C220" s="459">
        <f t="shared" si="65"/>
        <v>452.77754577504959</v>
      </c>
      <c r="D220" s="459">
        <f t="shared" ref="D220:L220" si="74">D118+D152+D186</f>
        <v>431.88452147348562</v>
      </c>
      <c r="E220" s="459">
        <f t="shared" si="74"/>
        <v>418.73858601873951</v>
      </c>
      <c r="F220" s="459">
        <f t="shared" si="74"/>
        <v>411.11774333504133</v>
      </c>
      <c r="G220" s="459">
        <f t="shared" si="74"/>
        <v>407.09221039362393</v>
      </c>
      <c r="H220" s="459">
        <f t="shared" si="74"/>
        <v>406.00345438280823</v>
      </c>
      <c r="I220" s="459">
        <f t="shared" si="74"/>
        <v>406.34339885015282</v>
      </c>
      <c r="J220" s="459">
        <f t="shared" si="74"/>
        <v>407.2919150449373</v>
      </c>
      <c r="K220" s="459">
        <f t="shared" si="74"/>
        <v>408.48221312183119</v>
      </c>
      <c r="L220" s="459">
        <f t="shared" si="74"/>
        <v>410.39531006749235</v>
      </c>
      <c r="M220" s="459">
        <f t="shared" si="67"/>
        <v>412.61168850066508</v>
      </c>
      <c r="N220" s="459">
        <f t="shared" si="67"/>
        <v>414.60840745090292</v>
      </c>
    </row>
    <row r="221" spans="1:14">
      <c r="B221" s="152" t="str">
        <f t="shared" si="63"/>
        <v>60-64</v>
      </c>
      <c r="C221" s="459">
        <f t="shared" si="65"/>
        <v>283.36063115351521</v>
      </c>
      <c r="D221" s="459">
        <f t="shared" ref="D221:L221" si="75">D119+D153+D187</f>
        <v>263.44020833315597</v>
      </c>
      <c r="E221" s="459">
        <f t="shared" si="75"/>
        <v>247.69162076831367</v>
      </c>
      <c r="F221" s="459">
        <f t="shared" si="75"/>
        <v>236.16157383921657</v>
      </c>
      <c r="G221" s="459">
        <f t="shared" si="75"/>
        <v>228.11846532955175</v>
      </c>
      <c r="H221" s="459">
        <f t="shared" si="75"/>
        <v>223.27266390557202</v>
      </c>
      <c r="I221" s="459">
        <f t="shared" si="75"/>
        <v>220.40876744414621</v>
      </c>
      <c r="J221" s="459">
        <f t="shared" si="75"/>
        <v>218.78258526203237</v>
      </c>
      <c r="K221" s="459">
        <f t="shared" si="75"/>
        <v>217.99295038975947</v>
      </c>
      <c r="L221" s="459">
        <f t="shared" si="75"/>
        <v>218.28855841833081</v>
      </c>
      <c r="M221" s="459">
        <f t="shared" si="67"/>
        <v>219.20859493730964</v>
      </c>
      <c r="N221" s="459">
        <f t="shared" si="67"/>
        <v>220.25000507792848</v>
      </c>
    </row>
    <row r="222" spans="1:14">
      <c r="B222" s="152" t="str">
        <f t="shared" si="63"/>
        <v>65 plus</v>
      </c>
      <c r="C222" s="459">
        <f t="shared" si="65"/>
        <v>74.772081249408615</v>
      </c>
      <c r="D222" s="459">
        <f t="shared" ref="D222:L222" si="76">D120+D154+D188</f>
        <v>88.151072203113429</v>
      </c>
      <c r="E222" s="459">
        <f t="shared" si="76"/>
        <v>95.027896566537194</v>
      </c>
      <c r="F222" s="459">
        <f t="shared" si="76"/>
        <v>97.946930449241933</v>
      </c>
      <c r="G222" s="459">
        <f t="shared" si="76"/>
        <v>98.600713284311283</v>
      </c>
      <c r="H222" s="459">
        <f t="shared" si="76"/>
        <v>98.241873130964123</v>
      </c>
      <c r="I222" s="459">
        <f t="shared" si="76"/>
        <v>97.430397360673183</v>
      </c>
      <c r="J222" s="459">
        <f t="shared" si="76"/>
        <v>96.488870343633835</v>
      </c>
      <c r="K222" s="459">
        <f t="shared" si="76"/>
        <v>95.61038122854174</v>
      </c>
      <c r="L222" s="459">
        <f t="shared" si="76"/>
        <v>95.048458914137683</v>
      </c>
      <c r="M222" s="459">
        <f t="shared" si="67"/>
        <v>94.795585581929501</v>
      </c>
      <c r="N222" s="459">
        <f t="shared" si="67"/>
        <v>94.744058086499365</v>
      </c>
    </row>
    <row r="223" spans="1:14">
      <c r="B223" s="152" t="str">
        <f t="shared" si="63"/>
        <v>Total</v>
      </c>
      <c r="C223" s="459">
        <f>SUM(C213:C222)</f>
        <v>3533.4848819791928</v>
      </c>
      <c r="D223" s="459">
        <f t="shared" ref="D223:N223" si="77">SUM(D213:D222)</f>
        <v>3540.9863760052176</v>
      </c>
      <c r="E223" s="459">
        <f t="shared" si="77"/>
        <v>3532.7019005932239</v>
      </c>
      <c r="F223" s="459">
        <f t="shared" si="77"/>
        <v>3517.7133111475523</v>
      </c>
      <c r="G223" s="459">
        <f t="shared" si="77"/>
        <v>3498.4075415597972</v>
      </c>
      <c r="H223" s="459">
        <f t="shared" si="77"/>
        <v>3486.7647573564213</v>
      </c>
      <c r="I223" s="459">
        <f t="shared" si="77"/>
        <v>3475.3144067593571</v>
      </c>
      <c r="J223" s="459">
        <f t="shared" si="77"/>
        <v>3461.665212147991</v>
      </c>
      <c r="K223" s="459">
        <f t="shared" si="77"/>
        <v>3446.9416525161214</v>
      </c>
      <c r="L223" s="459">
        <f t="shared" si="77"/>
        <v>3442.7147418430582</v>
      </c>
      <c r="M223" s="459">
        <f t="shared" si="77"/>
        <v>3445.69682397004</v>
      </c>
      <c r="N223" s="459">
        <f t="shared" si="77"/>
        <v>3449.6553875665413</v>
      </c>
    </row>
    <row r="224" spans="1:14">
      <c r="A224" s="10">
        <f>SUM(C224:N224)</f>
        <v>0</v>
      </c>
      <c r="C224" s="10">
        <f t="shared" ref="C224:N224" si="78">SUM(C213:C222)-C223</f>
        <v>0</v>
      </c>
      <c r="D224" s="10">
        <f t="shared" si="78"/>
        <v>0</v>
      </c>
      <c r="E224" s="10">
        <f t="shared" si="78"/>
        <v>0</v>
      </c>
      <c r="F224" s="10">
        <f t="shared" si="78"/>
        <v>0</v>
      </c>
      <c r="G224" s="10">
        <f t="shared" si="78"/>
        <v>0</v>
      </c>
      <c r="H224" s="10">
        <f t="shared" si="78"/>
        <v>0</v>
      </c>
      <c r="I224" s="10">
        <f t="shared" si="78"/>
        <v>0</v>
      </c>
      <c r="J224" s="10">
        <f t="shared" si="78"/>
        <v>0</v>
      </c>
      <c r="K224" s="10">
        <f t="shared" si="78"/>
        <v>0</v>
      </c>
      <c r="L224" s="10">
        <f t="shared" si="78"/>
        <v>0</v>
      </c>
      <c r="M224" s="10">
        <f t="shared" si="78"/>
        <v>0</v>
      </c>
      <c r="N224" s="10">
        <f t="shared" si="78"/>
        <v>0</v>
      </c>
    </row>
    <row r="225" spans="1:14">
      <c r="A225" s="10"/>
      <c r="C225" s="10"/>
      <c r="D225" s="10"/>
      <c r="E225" s="10"/>
      <c r="F225" s="10"/>
      <c r="G225" s="10"/>
      <c r="H225" s="10"/>
      <c r="I225" s="10"/>
      <c r="J225" s="10"/>
      <c r="K225" s="10"/>
      <c r="L225" s="10"/>
      <c r="M225" s="10"/>
      <c r="N225" s="10"/>
    </row>
    <row r="226" spans="1:14">
      <c r="B226" s="76" t="s">
        <v>50</v>
      </c>
      <c r="C226" s="329"/>
      <c r="D226" s="329"/>
      <c r="E226" s="329"/>
      <c r="F226" s="329"/>
      <c r="G226" s="329"/>
      <c r="H226" s="339"/>
      <c r="I226" s="329"/>
      <c r="J226" s="329"/>
      <c r="K226" s="329"/>
      <c r="L226" s="329"/>
      <c r="M226" s="309"/>
      <c r="N226" s="309"/>
    </row>
    <row r="227" spans="1:14">
      <c r="C227" s="329"/>
      <c r="D227" s="329"/>
      <c r="E227" s="329"/>
      <c r="F227" s="329"/>
      <c r="G227" s="329"/>
      <c r="H227" s="339"/>
      <c r="I227" s="329"/>
      <c r="J227" s="329"/>
      <c r="K227" s="329"/>
      <c r="L227" s="329"/>
      <c r="M227" s="309"/>
      <c r="N227" s="309"/>
    </row>
    <row r="228" spans="1:14">
      <c r="B228" s="152" t="str">
        <f t="shared" ref="B228:B239" si="79">B212</f>
        <v>Age group</v>
      </c>
      <c r="C228" s="338" t="str">
        <f t="shared" ref="C228:N228" si="80">C212</f>
        <v>2016/17</v>
      </c>
      <c r="D228" s="338" t="str">
        <f t="shared" si="80"/>
        <v>2017/18</v>
      </c>
      <c r="E228" s="338" t="str">
        <f t="shared" si="80"/>
        <v>2018/19</v>
      </c>
      <c r="F228" s="338" t="str">
        <f t="shared" si="80"/>
        <v>2019/20</v>
      </c>
      <c r="G228" s="338" t="str">
        <f t="shared" si="80"/>
        <v>2020/21</v>
      </c>
      <c r="H228" s="338" t="str">
        <f t="shared" si="80"/>
        <v>2021/22</v>
      </c>
      <c r="I228" s="338" t="str">
        <f t="shared" si="80"/>
        <v>2022/23</v>
      </c>
      <c r="J228" s="338" t="str">
        <f t="shared" si="80"/>
        <v>2023/24</v>
      </c>
      <c r="K228" s="338" t="str">
        <f t="shared" si="80"/>
        <v>2024/25</v>
      </c>
      <c r="L228" s="338" t="str">
        <f t="shared" si="80"/>
        <v>2025/26</v>
      </c>
      <c r="M228" s="338" t="str">
        <f t="shared" si="80"/>
        <v>2026/27</v>
      </c>
      <c r="N228" s="338" t="str">
        <f t="shared" si="80"/>
        <v>2027/28</v>
      </c>
    </row>
    <row r="229" spans="1:14">
      <c r="B229" s="152" t="str">
        <f t="shared" si="79"/>
        <v>20-24</v>
      </c>
      <c r="C229" s="459">
        <f t="shared" ref="C229:C238" si="81">C195+C161+C127</f>
        <v>1198.226898822476</v>
      </c>
      <c r="D229" s="459">
        <f t="shared" ref="D229:L229" si="82">D195+D161+D127</f>
        <v>1439.4561909808701</v>
      </c>
      <c r="E229" s="459">
        <f t="shared" si="82"/>
        <v>1584.5014598349844</v>
      </c>
      <c r="F229" s="459">
        <f t="shared" si="82"/>
        <v>1671.1143572993071</v>
      </c>
      <c r="G229" s="459">
        <f t="shared" si="82"/>
        <v>1719.2436399117862</v>
      </c>
      <c r="H229" s="459">
        <f t="shared" si="82"/>
        <v>1757.1841736816639</v>
      </c>
      <c r="I229" s="459">
        <f t="shared" si="82"/>
        <v>1780.0120734759334</v>
      </c>
      <c r="J229" s="459">
        <f t="shared" si="82"/>
        <v>1789.7073892467156</v>
      </c>
      <c r="K229" s="459">
        <f t="shared" si="82"/>
        <v>1791.979216007579</v>
      </c>
      <c r="L229" s="459">
        <f t="shared" si="82"/>
        <v>1805.6013551179296</v>
      </c>
      <c r="M229" s="459">
        <f t="shared" ref="M229:N238" si="83">M195+M161+M127</f>
        <v>1825.1441453670252</v>
      </c>
      <c r="N229" s="459">
        <f t="shared" si="83"/>
        <v>1841.7863260991946</v>
      </c>
    </row>
    <row r="230" spans="1:14">
      <c r="B230" s="152" t="str">
        <f t="shared" si="79"/>
        <v>25-29</v>
      </c>
      <c r="C230" s="459">
        <f t="shared" si="81"/>
        <v>2835.4091723078882</v>
      </c>
      <c r="D230" s="459">
        <f t="shared" ref="D230:L230" si="84">D196+D162+D128</f>
        <v>2808.8573891817573</v>
      </c>
      <c r="E230" s="459">
        <f t="shared" si="84"/>
        <v>2802.478479655224</v>
      </c>
      <c r="F230" s="459">
        <f t="shared" si="84"/>
        <v>2805.0697659510129</v>
      </c>
      <c r="G230" s="459">
        <f t="shared" si="84"/>
        <v>2807.9053112017027</v>
      </c>
      <c r="H230" s="459">
        <f t="shared" si="84"/>
        <v>2821.0346997693687</v>
      </c>
      <c r="I230" s="459">
        <f t="shared" si="84"/>
        <v>2832.6659054995862</v>
      </c>
      <c r="J230" s="459">
        <f t="shared" si="84"/>
        <v>2838.5838579868077</v>
      </c>
      <c r="K230" s="459">
        <f t="shared" si="84"/>
        <v>2840.0734326107727</v>
      </c>
      <c r="L230" s="459">
        <f t="shared" si="84"/>
        <v>2852.8156839396352</v>
      </c>
      <c r="M230" s="459">
        <f t="shared" si="83"/>
        <v>2873.5242832660729</v>
      </c>
      <c r="N230" s="459">
        <f t="shared" si="83"/>
        <v>2894.2813893564539</v>
      </c>
    </row>
    <row r="231" spans="1:14">
      <c r="B231" s="152" t="str">
        <f t="shared" si="79"/>
        <v>30-34</v>
      </c>
      <c r="C231" s="459">
        <f t="shared" si="81"/>
        <v>2714.3535070630633</v>
      </c>
      <c r="D231" s="459">
        <f t="shared" ref="D231:L231" si="85">D197+D163+D129</f>
        <v>2729.5962736148199</v>
      </c>
      <c r="E231" s="459">
        <f t="shared" si="85"/>
        <v>2722.6943508351274</v>
      </c>
      <c r="F231" s="459">
        <f t="shared" si="85"/>
        <v>2708.0258298423364</v>
      </c>
      <c r="G231" s="459">
        <f t="shared" si="85"/>
        <v>2690.902555487784</v>
      </c>
      <c r="H231" s="459">
        <f t="shared" si="85"/>
        <v>2680.1862081014974</v>
      </c>
      <c r="I231" s="459">
        <f t="shared" si="85"/>
        <v>2672.3138384744534</v>
      </c>
      <c r="J231" s="459">
        <f t="shared" si="85"/>
        <v>2665.2789509446088</v>
      </c>
      <c r="K231" s="459">
        <f t="shared" si="85"/>
        <v>2658.8833438949196</v>
      </c>
      <c r="L231" s="459">
        <f t="shared" si="85"/>
        <v>2659.954211644686</v>
      </c>
      <c r="M231" s="459">
        <f t="shared" si="83"/>
        <v>2667.3138849500083</v>
      </c>
      <c r="N231" s="459">
        <f t="shared" si="83"/>
        <v>2677.2957213316872</v>
      </c>
    </row>
    <row r="232" spans="1:14">
      <c r="B232" s="152" t="str">
        <f t="shared" si="79"/>
        <v>35-39</v>
      </c>
      <c r="C232" s="459">
        <f t="shared" si="81"/>
        <v>2362.2851645098344</v>
      </c>
      <c r="D232" s="459">
        <f t="shared" ref="D232:L232" si="86">D198+D164+D130</f>
        <v>2393.5783659206786</v>
      </c>
      <c r="E232" s="459">
        <f t="shared" si="86"/>
        <v>2410.395013924257</v>
      </c>
      <c r="F232" s="459">
        <f t="shared" si="86"/>
        <v>2416.0347581521264</v>
      </c>
      <c r="G232" s="459">
        <f t="shared" si="86"/>
        <v>2413.2180603953634</v>
      </c>
      <c r="H232" s="459">
        <f t="shared" si="86"/>
        <v>2409.0646274679598</v>
      </c>
      <c r="I232" s="459">
        <f t="shared" si="86"/>
        <v>2402.7110449224956</v>
      </c>
      <c r="J232" s="459">
        <f t="shared" si="86"/>
        <v>2394.5704107798542</v>
      </c>
      <c r="K232" s="459">
        <f t="shared" si="86"/>
        <v>2385.8873062606285</v>
      </c>
      <c r="L232" s="459">
        <f t="shared" si="86"/>
        <v>2381.9663626377655</v>
      </c>
      <c r="M232" s="459">
        <f t="shared" si="83"/>
        <v>2382.1767406912445</v>
      </c>
      <c r="N232" s="459">
        <f t="shared" si="83"/>
        <v>2384.3703958678666</v>
      </c>
    </row>
    <row r="233" spans="1:14">
      <c r="B233" s="152" t="str">
        <f t="shared" si="79"/>
        <v>40-44</v>
      </c>
      <c r="C233" s="459">
        <f t="shared" si="81"/>
        <v>2086.3455056785042</v>
      </c>
      <c r="D233" s="459">
        <f t="shared" ref="D233:L233" si="87">D199+D165+D131</f>
        <v>2112.6196140920824</v>
      </c>
      <c r="E233" s="459">
        <f t="shared" si="87"/>
        <v>2129.6325512709018</v>
      </c>
      <c r="F233" s="459">
        <f t="shared" si="87"/>
        <v>2140.2567037905756</v>
      </c>
      <c r="G233" s="459">
        <f t="shared" si="87"/>
        <v>2145.2220185721603</v>
      </c>
      <c r="H233" s="459">
        <f t="shared" si="87"/>
        <v>2149.238901573357</v>
      </c>
      <c r="I233" s="459">
        <f t="shared" si="87"/>
        <v>2150.255144869097</v>
      </c>
      <c r="J233" s="459">
        <f t="shared" si="87"/>
        <v>2148.0777522263356</v>
      </c>
      <c r="K233" s="459">
        <f t="shared" si="87"/>
        <v>2143.7764392528475</v>
      </c>
      <c r="L233" s="459">
        <f t="shared" si="87"/>
        <v>2142.2699478782583</v>
      </c>
      <c r="M233" s="459">
        <f t="shared" si="83"/>
        <v>2143.0519949125492</v>
      </c>
      <c r="N233" s="459">
        <f t="shared" si="83"/>
        <v>2144.3321078069475</v>
      </c>
    </row>
    <row r="234" spans="1:14">
      <c r="B234" s="152" t="str">
        <f t="shared" si="79"/>
        <v>45-49</v>
      </c>
      <c r="C234" s="459">
        <f t="shared" si="81"/>
        <v>1900.3281051302413</v>
      </c>
      <c r="D234" s="459">
        <f t="shared" ref="D234:L234" si="88">D200+D166+D132</f>
        <v>1941.9845490835933</v>
      </c>
      <c r="E234" s="459">
        <f t="shared" si="88"/>
        <v>1971.3320460357122</v>
      </c>
      <c r="F234" s="459">
        <f t="shared" si="88"/>
        <v>1992.2627418541108</v>
      </c>
      <c r="G234" s="459">
        <f t="shared" si="88"/>
        <v>2006.5722377222039</v>
      </c>
      <c r="H234" s="459">
        <f t="shared" si="88"/>
        <v>2018.8089519701905</v>
      </c>
      <c r="I234" s="459">
        <f t="shared" si="88"/>
        <v>2027.6080722724994</v>
      </c>
      <c r="J234" s="459">
        <f t="shared" si="88"/>
        <v>2032.7907500536351</v>
      </c>
      <c r="K234" s="459">
        <f t="shared" si="88"/>
        <v>2035.1372489650767</v>
      </c>
      <c r="L234" s="459">
        <f t="shared" si="88"/>
        <v>2038.689245200572</v>
      </c>
      <c r="M234" s="459">
        <f t="shared" si="83"/>
        <v>2043.1696871535512</v>
      </c>
      <c r="N234" s="459">
        <f t="shared" si="83"/>
        <v>2047.1875791293598</v>
      </c>
    </row>
    <row r="235" spans="1:14">
      <c r="B235" s="152" t="str">
        <f t="shared" si="79"/>
        <v>50-54</v>
      </c>
      <c r="C235" s="459">
        <f t="shared" si="81"/>
        <v>1978.5842354162014</v>
      </c>
      <c r="D235" s="459">
        <f t="shared" ref="D235:L235" si="89">D201+D167+D133</f>
        <v>1986.862000672472</v>
      </c>
      <c r="E235" s="459">
        <f t="shared" si="89"/>
        <v>1997.2470954329301</v>
      </c>
      <c r="F235" s="459">
        <f t="shared" si="89"/>
        <v>2008.3079513413943</v>
      </c>
      <c r="G235" s="459">
        <f t="shared" si="89"/>
        <v>2018.5652421507593</v>
      </c>
      <c r="H235" s="459">
        <f t="shared" si="89"/>
        <v>2029.9479107482878</v>
      </c>
      <c r="I235" s="459">
        <f t="shared" si="89"/>
        <v>2040.2140812478133</v>
      </c>
      <c r="J235" s="459">
        <f t="shared" si="89"/>
        <v>2048.4500397573947</v>
      </c>
      <c r="K235" s="459">
        <f t="shared" si="89"/>
        <v>2054.7469797392832</v>
      </c>
      <c r="L235" s="459">
        <f t="shared" si="89"/>
        <v>2062.0729585733066</v>
      </c>
      <c r="M235" s="459">
        <f t="shared" si="83"/>
        <v>2070.0014935379618</v>
      </c>
      <c r="N235" s="459">
        <f t="shared" si="83"/>
        <v>2077.2518499184948</v>
      </c>
    </row>
    <row r="236" spans="1:14">
      <c r="B236" s="152" t="str">
        <f t="shared" si="79"/>
        <v>55-59</v>
      </c>
      <c r="C236" s="459">
        <f t="shared" si="81"/>
        <v>3096.4691753842189</v>
      </c>
      <c r="D236" s="459">
        <f t="shared" ref="D236:L236" si="90">D202+D168+D134</f>
        <v>2879.2805062118509</v>
      </c>
      <c r="E236" s="459">
        <f t="shared" si="90"/>
        <v>2738.7204546503499</v>
      </c>
      <c r="F236" s="459">
        <f t="shared" si="90"/>
        <v>2649.9596316590637</v>
      </c>
      <c r="G236" s="459">
        <f t="shared" si="90"/>
        <v>2594.9348350462374</v>
      </c>
      <c r="H236" s="459">
        <f t="shared" si="90"/>
        <v>2565.3477361886366</v>
      </c>
      <c r="I236" s="459">
        <f t="shared" si="90"/>
        <v>2550.1335283587414</v>
      </c>
      <c r="J236" s="459">
        <f t="shared" si="90"/>
        <v>2542.9110714749818</v>
      </c>
      <c r="K236" s="459">
        <f t="shared" si="90"/>
        <v>2540.4322125126405</v>
      </c>
      <c r="L236" s="459">
        <f t="shared" si="90"/>
        <v>2544.5173524600486</v>
      </c>
      <c r="M236" s="459">
        <f t="shared" si="83"/>
        <v>2552.5256371057221</v>
      </c>
      <c r="N236" s="459">
        <f t="shared" si="83"/>
        <v>2561.3566279358779</v>
      </c>
    </row>
    <row r="237" spans="1:14">
      <c r="B237" s="152" t="str">
        <f t="shared" si="79"/>
        <v>60-64</v>
      </c>
      <c r="C237" s="459">
        <f t="shared" si="81"/>
        <v>2238.6593037047141</v>
      </c>
      <c r="D237" s="459">
        <f t="shared" ref="D237:L237" si="91">D203+D169+D135</f>
        <v>2072.4960262885634</v>
      </c>
      <c r="E237" s="459">
        <f t="shared" si="91"/>
        <v>1924.6318771155679</v>
      </c>
      <c r="F237" s="459">
        <f t="shared" si="91"/>
        <v>1808.1458790407869</v>
      </c>
      <c r="G237" s="459">
        <f t="shared" si="91"/>
        <v>1721.9303714237406</v>
      </c>
      <c r="H237" s="459">
        <f t="shared" si="91"/>
        <v>1663.8527941806062</v>
      </c>
      <c r="I237" s="459">
        <f t="shared" si="91"/>
        <v>1625.1568471107939</v>
      </c>
      <c r="J237" s="459">
        <f t="shared" si="91"/>
        <v>1599.6987952226762</v>
      </c>
      <c r="K237" s="459">
        <f t="shared" si="91"/>
        <v>1583.6014775520241</v>
      </c>
      <c r="L237" s="459">
        <f t="shared" si="91"/>
        <v>1577.2197449041789</v>
      </c>
      <c r="M237" s="459">
        <f t="shared" si="83"/>
        <v>1577.0478021124641</v>
      </c>
      <c r="N237" s="459">
        <f t="shared" si="83"/>
        <v>1579.5286262771724</v>
      </c>
    </row>
    <row r="238" spans="1:14">
      <c r="B238" s="152" t="str">
        <f t="shared" si="79"/>
        <v>65 plus</v>
      </c>
      <c r="C238" s="459">
        <f t="shared" si="81"/>
        <v>536.07070113927568</v>
      </c>
      <c r="D238" s="459">
        <f t="shared" ref="D238:L238" si="92">D204+D170+D136</f>
        <v>672.75840433464384</v>
      </c>
      <c r="E238" s="459">
        <f t="shared" si="92"/>
        <v>743.33011403686578</v>
      </c>
      <c r="F238" s="459">
        <f t="shared" si="92"/>
        <v>772.11519537823108</v>
      </c>
      <c r="G238" s="459">
        <f t="shared" si="92"/>
        <v>776.62025112466722</v>
      </c>
      <c r="H238" s="459">
        <f t="shared" si="92"/>
        <v>769.58920388976651</v>
      </c>
      <c r="I238" s="459">
        <f t="shared" si="92"/>
        <v>757.53937864541922</v>
      </c>
      <c r="J238" s="459">
        <f t="shared" si="92"/>
        <v>744.2463489686603</v>
      </c>
      <c r="K238" s="459">
        <f t="shared" si="92"/>
        <v>731.84699684262534</v>
      </c>
      <c r="L238" s="459">
        <f t="shared" si="92"/>
        <v>722.3981078338204</v>
      </c>
      <c r="M238" s="459">
        <f t="shared" si="83"/>
        <v>715.94131627346621</v>
      </c>
      <c r="N238" s="459">
        <f t="shared" si="83"/>
        <v>711.72758847475006</v>
      </c>
    </row>
    <row r="239" spans="1:14">
      <c r="B239" s="152" t="str">
        <f t="shared" si="79"/>
        <v>Total</v>
      </c>
      <c r="C239" s="459">
        <f>SUM(C229:C238)</f>
        <v>20946.73176915642</v>
      </c>
      <c r="D239" s="459">
        <f t="shared" ref="D239:N239" si="93">SUM(D229:D238)</f>
        <v>21037.489320381334</v>
      </c>
      <c r="E239" s="459">
        <f t="shared" si="93"/>
        <v>21024.963442791923</v>
      </c>
      <c r="F239" s="459">
        <f t="shared" si="93"/>
        <v>20971.292814308945</v>
      </c>
      <c r="G239" s="459">
        <f t="shared" si="93"/>
        <v>20895.114523036405</v>
      </c>
      <c r="H239" s="459">
        <f t="shared" si="93"/>
        <v>20864.255207571332</v>
      </c>
      <c r="I239" s="459">
        <f t="shared" si="93"/>
        <v>20838.609914876833</v>
      </c>
      <c r="J239" s="459">
        <f t="shared" si="93"/>
        <v>20804.315366661667</v>
      </c>
      <c r="K239" s="459">
        <f t="shared" si="93"/>
        <v>20766.364653638397</v>
      </c>
      <c r="L239" s="459">
        <f t="shared" si="93"/>
        <v>20787.504970190199</v>
      </c>
      <c r="M239" s="459">
        <f t="shared" si="93"/>
        <v>20849.896985370066</v>
      </c>
      <c r="N239" s="459">
        <f t="shared" si="93"/>
        <v>20919.118212197809</v>
      </c>
    </row>
    <row r="240" spans="1:14">
      <c r="A240" s="10">
        <f>SUM(C240:N240)</f>
        <v>0</v>
      </c>
      <c r="C240" s="10">
        <f t="shared" ref="C240:N240" si="94">SUM(C229:C238)-C239</f>
        <v>0</v>
      </c>
      <c r="D240" s="10">
        <f t="shared" si="94"/>
        <v>0</v>
      </c>
      <c r="E240" s="10">
        <f t="shared" si="94"/>
        <v>0</v>
      </c>
      <c r="F240" s="10">
        <f t="shared" si="94"/>
        <v>0</v>
      </c>
      <c r="G240" s="10">
        <f t="shared" si="94"/>
        <v>0</v>
      </c>
      <c r="H240" s="10">
        <f t="shared" si="94"/>
        <v>0</v>
      </c>
      <c r="I240" s="10">
        <f t="shared" si="94"/>
        <v>0</v>
      </c>
      <c r="J240" s="10">
        <f t="shared" si="94"/>
        <v>0</v>
      </c>
      <c r="K240" s="10">
        <f t="shared" si="94"/>
        <v>0</v>
      </c>
      <c r="L240" s="10">
        <f t="shared" si="94"/>
        <v>0</v>
      </c>
      <c r="M240" s="10">
        <f t="shared" si="94"/>
        <v>0</v>
      </c>
      <c r="N240" s="10">
        <f t="shared" si="94"/>
        <v>0</v>
      </c>
    </row>
    <row r="241" spans="1:14">
      <c r="A241" s="10"/>
      <c r="C241" s="10"/>
      <c r="D241" s="10"/>
      <c r="E241" s="10"/>
      <c r="F241" s="10"/>
      <c r="G241" s="10"/>
      <c r="H241" s="10"/>
      <c r="I241" s="10"/>
      <c r="J241" s="10"/>
      <c r="K241" s="10"/>
      <c r="L241" s="10"/>
      <c r="M241" s="10"/>
      <c r="N241" s="10"/>
    </row>
    <row r="242" spans="1:14" ht="15.75">
      <c r="B242" s="78" t="s">
        <v>154</v>
      </c>
      <c r="C242" s="117"/>
      <c r="D242" s="117"/>
      <c r="E242" s="117"/>
      <c r="F242" s="117"/>
      <c r="G242" s="117"/>
      <c r="H242" s="119"/>
      <c r="I242" s="117"/>
      <c r="J242" s="117"/>
      <c r="K242" s="117"/>
      <c r="L242" s="117"/>
    </row>
    <row r="243" spans="1:14">
      <c r="C243" s="117"/>
      <c r="D243" s="117"/>
      <c r="E243" s="117"/>
      <c r="F243" s="117"/>
      <c r="G243" s="117"/>
      <c r="H243" s="119"/>
      <c r="I243" s="117"/>
      <c r="J243" s="117"/>
      <c r="K243" s="117"/>
      <c r="L243" s="117"/>
    </row>
    <row r="244" spans="1:14">
      <c r="B244" s="76" t="s">
        <v>49</v>
      </c>
      <c r="C244" s="117"/>
      <c r="D244" s="117"/>
      <c r="E244" s="117"/>
      <c r="F244" s="117"/>
      <c r="G244" s="117"/>
      <c r="H244" s="119"/>
      <c r="I244" s="117"/>
      <c r="J244" s="117"/>
      <c r="K244" s="117"/>
      <c r="L244" s="117"/>
    </row>
    <row r="245" spans="1:14">
      <c r="C245" s="117"/>
      <c r="D245" s="117"/>
      <c r="E245" s="117"/>
      <c r="F245" s="117"/>
      <c r="G245" s="117"/>
      <c r="H245" s="119"/>
      <c r="I245" s="117"/>
      <c r="J245" s="117"/>
      <c r="K245" s="117"/>
      <c r="L245" s="117"/>
    </row>
    <row r="246" spans="1:14">
      <c r="B246" s="152" t="str">
        <f t="shared" ref="B246:B257" si="95">B212</f>
        <v>Age group</v>
      </c>
      <c r="C246" s="152" t="str">
        <f t="shared" ref="C246:N246" si="96">C212</f>
        <v>2016/17</v>
      </c>
      <c r="D246" s="152" t="str">
        <f t="shared" si="96"/>
        <v>2017/18</v>
      </c>
      <c r="E246" s="152" t="str">
        <f t="shared" si="96"/>
        <v>2018/19</v>
      </c>
      <c r="F246" s="152" t="str">
        <f t="shared" si="96"/>
        <v>2019/20</v>
      </c>
      <c r="G246" s="152" t="str">
        <f t="shared" si="96"/>
        <v>2020/21</v>
      </c>
      <c r="H246" s="152" t="str">
        <f t="shared" si="96"/>
        <v>2021/22</v>
      </c>
      <c r="I246" s="152" t="str">
        <f t="shared" si="96"/>
        <v>2022/23</v>
      </c>
      <c r="J246" s="152" t="str">
        <f t="shared" si="96"/>
        <v>2023/24</v>
      </c>
      <c r="K246" s="152" t="str">
        <f t="shared" si="96"/>
        <v>2024/25</v>
      </c>
      <c r="L246" s="152" t="str">
        <f t="shared" si="96"/>
        <v>2025/26</v>
      </c>
      <c r="M246" s="152" t="str">
        <f t="shared" si="96"/>
        <v>2026/27</v>
      </c>
      <c r="N246" s="152" t="str">
        <f t="shared" si="96"/>
        <v>2027/28</v>
      </c>
    </row>
    <row r="247" spans="1:14">
      <c r="B247" s="152" t="str">
        <f t="shared" si="95"/>
        <v>20-24</v>
      </c>
      <c r="C247" s="459">
        <f t="shared" ref="C247:C256" si="97">C77-C213</f>
        <v>1561.9647864215326</v>
      </c>
      <c r="D247" s="459">
        <f t="shared" ref="D247:L247" si="98">D77-D213</f>
        <v>1964.9698890000159</v>
      </c>
      <c r="E247" s="459">
        <f t="shared" si="98"/>
        <v>2206.36527258149</v>
      </c>
      <c r="F247" s="459">
        <f t="shared" si="98"/>
        <v>2349.9577980584672</v>
      </c>
      <c r="G247" s="459">
        <f t="shared" si="98"/>
        <v>2429.9248171896934</v>
      </c>
      <c r="H247" s="459">
        <f t="shared" si="98"/>
        <v>2491.2722203840121</v>
      </c>
      <c r="I247" s="459">
        <f t="shared" si="98"/>
        <v>2527.8159728844339</v>
      </c>
      <c r="J247" s="459">
        <f t="shared" si="98"/>
        <v>2543.4857093963255</v>
      </c>
      <c r="K247" s="459">
        <f t="shared" si="98"/>
        <v>2547.4789804555762</v>
      </c>
      <c r="L247" s="459">
        <f t="shared" si="98"/>
        <v>2568.2692863234029</v>
      </c>
      <c r="M247" s="459">
        <f t="shared" ref="M247:N256" si="99">M77-M213</f>
        <v>2597.5258177298392</v>
      </c>
      <c r="N247" s="459">
        <f t="shared" si="99"/>
        <v>2622.0091039639747</v>
      </c>
    </row>
    <row r="248" spans="1:14">
      <c r="B248" s="152" t="str">
        <f t="shared" si="95"/>
        <v>25-29</v>
      </c>
      <c r="C248" s="459">
        <f t="shared" si="97"/>
        <v>4955.5147068732176</v>
      </c>
      <c r="D248" s="459">
        <f t="shared" ref="D248:L248" si="100">D78-D214</f>
        <v>4691.5218549582141</v>
      </c>
      <c r="E248" s="459">
        <f t="shared" si="100"/>
        <v>4529.6121545441338</v>
      </c>
      <c r="F248" s="459">
        <f t="shared" si="100"/>
        <v>4428.9125752552854</v>
      </c>
      <c r="G248" s="459">
        <f t="shared" si="100"/>
        <v>4360.3593216492091</v>
      </c>
      <c r="H248" s="459">
        <f t="shared" si="100"/>
        <v>4330.2714932464578</v>
      </c>
      <c r="I248" s="459">
        <f t="shared" si="100"/>
        <v>4312.644652729904</v>
      </c>
      <c r="J248" s="459">
        <f t="shared" si="100"/>
        <v>4296.1849727603976</v>
      </c>
      <c r="K248" s="459">
        <f t="shared" si="100"/>
        <v>4280.0004451516352</v>
      </c>
      <c r="L248" s="459">
        <f t="shared" si="100"/>
        <v>4287.3058224698316</v>
      </c>
      <c r="M248" s="459">
        <f t="shared" si="99"/>
        <v>4310.9267365379674</v>
      </c>
      <c r="N248" s="459">
        <f t="shared" si="99"/>
        <v>4336.8253646972253</v>
      </c>
    </row>
    <row r="249" spans="1:14">
      <c r="B249" s="152" t="str">
        <f t="shared" si="95"/>
        <v>30-34</v>
      </c>
      <c r="C249" s="459">
        <f t="shared" si="97"/>
        <v>5454.1887809460177</v>
      </c>
      <c r="D249" s="459">
        <f t="shared" ref="D249:L249" si="101">D79-D215</f>
        <v>5359.5526781671233</v>
      </c>
      <c r="E249" s="459">
        <f t="shared" si="101"/>
        <v>5217.4886564096078</v>
      </c>
      <c r="F249" s="459">
        <f t="shared" si="101"/>
        <v>5068.8859964983722</v>
      </c>
      <c r="G249" s="459">
        <f t="shared" si="101"/>
        <v>4929.9043352030476</v>
      </c>
      <c r="H249" s="459">
        <f t="shared" si="101"/>
        <v>4818.6304772473331</v>
      </c>
      <c r="I249" s="459">
        <f t="shared" si="101"/>
        <v>4728.0945989291358</v>
      </c>
      <c r="J249" s="459">
        <f t="shared" si="101"/>
        <v>4653.1234519599648</v>
      </c>
      <c r="K249" s="459">
        <f t="shared" si="101"/>
        <v>4591.468491512449</v>
      </c>
      <c r="L249" s="459">
        <f t="shared" si="101"/>
        <v>4553.5962560054622</v>
      </c>
      <c r="M249" s="459">
        <f t="shared" si="99"/>
        <v>4535.4185871646841</v>
      </c>
      <c r="N249" s="459">
        <f t="shared" si="99"/>
        <v>4528.5500024831827</v>
      </c>
    </row>
    <row r="250" spans="1:14">
      <c r="B250" s="152" t="str">
        <f t="shared" si="95"/>
        <v>35-39</v>
      </c>
      <c r="C250" s="459">
        <f t="shared" si="97"/>
        <v>4838.4387595342951</v>
      </c>
      <c r="D250" s="459">
        <f t="shared" ref="D250:L250" si="102">D80-D216</f>
        <v>4931.812809201625</v>
      </c>
      <c r="E250" s="459">
        <f t="shared" si="102"/>
        <v>4966.0871177175122</v>
      </c>
      <c r="F250" s="459">
        <f t="shared" si="102"/>
        <v>4954.3509115920206</v>
      </c>
      <c r="G250" s="459">
        <f t="shared" si="102"/>
        <v>4909.551311606836</v>
      </c>
      <c r="H250" s="459">
        <f t="shared" si="102"/>
        <v>4852.3811931874452</v>
      </c>
      <c r="I250" s="459">
        <f t="shared" si="102"/>
        <v>4786.6515394645376</v>
      </c>
      <c r="J250" s="459">
        <f t="shared" si="102"/>
        <v>4717.1425691933091</v>
      </c>
      <c r="K250" s="459">
        <f t="shared" si="102"/>
        <v>4648.940759548821</v>
      </c>
      <c r="L250" s="459">
        <f t="shared" si="102"/>
        <v>4593.9665912009295</v>
      </c>
      <c r="M250" s="459">
        <f t="shared" si="99"/>
        <v>4551.857392184028</v>
      </c>
      <c r="N250" s="459">
        <f t="shared" si="99"/>
        <v>4518.7264080536388</v>
      </c>
    </row>
    <row r="251" spans="1:14">
      <c r="B251" s="152" t="str">
        <f t="shared" si="95"/>
        <v>40-44</v>
      </c>
      <c r="C251" s="459">
        <f t="shared" si="97"/>
        <v>4416.9184923943085</v>
      </c>
      <c r="D251" s="459">
        <f t="shared" ref="D251:L251" si="103">D81-D217</f>
        <v>4466.1051597240366</v>
      </c>
      <c r="E251" s="459">
        <f t="shared" si="103"/>
        <v>4503.3581908379037</v>
      </c>
      <c r="F251" s="459">
        <f t="shared" si="103"/>
        <v>4527.0614005284187</v>
      </c>
      <c r="G251" s="459">
        <f t="shared" si="103"/>
        <v>4534.3824273721475</v>
      </c>
      <c r="H251" s="459">
        <f t="shared" si="103"/>
        <v>4533.199500122616</v>
      </c>
      <c r="I251" s="459">
        <f t="shared" si="103"/>
        <v>4519.2231163526394</v>
      </c>
      <c r="J251" s="459">
        <f t="shared" si="103"/>
        <v>4493.0282980107741</v>
      </c>
      <c r="K251" s="459">
        <f t="shared" si="103"/>
        <v>4458.262451278677</v>
      </c>
      <c r="L251" s="459">
        <f t="shared" si="103"/>
        <v>4426.5723860465032</v>
      </c>
      <c r="M251" s="459">
        <f t="shared" si="99"/>
        <v>4398.3324112970104</v>
      </c>
      <c r="N251" s="459">
        <f t="shared" si="99"/>
        <v>4371.0755319694399</v>
      </c>
    </row>
    <row r="252" spans="1:14">
      <c r="B252" s="152" t="str">
        <f t="shared" si="95"/>
        <v>45-49</v>
      </c>
      <c r="C252" s="459">
        <f t="shared" si="97"/>
        <v>3469.1601781346399</v>
      </c>
      <c r="D252" s="459">
        <f t="shared" ref="D252:L252" si="104">D82-D218</f>
        <v>3577.7724911043269</v>
      </c>
      <c r="E252" s="459">
        <f t="shared" si="104"/>
        <v>3653.280523243764</v>
      </c>
      <c r="F252" s="459">
        <f t="shared" si="104"/>
        <v>3707.2652390582602</v>
      </c>
      <c r="G252" s="459">
        <f t="shared" si="104"/>
        <v>3744.7258971846477</v>
      </c>
      <c r="H252" s="459">
        <f t="shared" si="104"/>
        <v>3774.6805147579298</v>
      </c>
      <c r="I252" s="459">
        <f t="shared" si="104"/>
        <v>3794.3227657246848</v>
      </c>
      <c r="J252" s="459">
        <f t="shared" si="104"/>
        <v>3803.1849276058438</v>
      </c>
      <c r="K252" s="459">
        <f t="shared" si="104"/>
        <v>3802.8494874203989</v>
      </c>
      <c r="L252" s="459">
        <f t="shared" si="104"/>
        <v>3801.3631249809241</v>
      </c>
      <c r="M252" s="459">
        <f t="shared" si="99"/>
        <v>3798.6182422328875</v>
      </c>
      <c r="N252" s="459">
        <f t="shared" si="99"/>
        <v>3792.5251969545452</v>
      </c>
    </row>
    <row r="253" spans="1:14">
      <c r="B253" s="152" t="str">
        <f t="shared" si="95"/>
        <v>50-54</v>
      </c>
      <c r="C253" s="459">
        <f t="shared" si="97"/>
        <v>2650.7108718947693</v>
      </c>
      <c r="D253" s="459">
        <f t="shared" ref="D253:L253" si="105">D83-D219</f>
        <v>2666.7845219093251</v>
      </c>
      <c r="E253" s="459">
        <f t="shared" si="105"/>
        <v>2689.6390612337023</v>
      </c>
      <c r="F253" s="459">
        <f t="shared" si="105"/>
        <v>2714.4618254780908</v>
      </c>
      <c r="G253" s="459">
        <f t="shared" si="105"/>
        <v>2737.8864567939963</v>
      </c>
      <c r="H253" s="459">
        <f t="shared" si="105"/>
        <v>2762.1339229504624</v>
      </c>
      <c r="I253" s="459">
        <f t="shared" si="105"/>
        <v>2783.5440422292622</v>
      </c>
      <c r="J253" s="459">
        <f t="shared" si="105"/>
        <v>2800.4975688802192</v>
      </c>
      <c r="K253" s="459">
        <f t="shared" si="105"/>
        <v>2812.907201978147</v>
      </c>
      <c r="L253" s="459">
        <f t="shared" si="105"/>
        <v>2824.9406193684094</v>
      </c>
      <c r="M253" s="459">
        <f t="shared" si="99"/>
        <v>2835.8786593558757</v>
      </c>
      <c r="N253" s="459">
        <f t="shared" si="99"/>
        <v>2843.8704471272285</v>
      </c>
    </row>
    <row r="254" spans="1:14">
      <c r="B254" s="152" t="str">
        <f t="shared" si="95"/>
        <v>55-59</v>
      </c>
      <c r="C254" s="459">
        <f t="shared" si="97"/>
        <v>1351.47825422495</v>
      </c>
      <c r="D254" s="459">
        <f t="shared" ref="D254:L254" si="106">D84-D220</f>
        <v>1289.1154708404013</v>
      </c>
      <c r="E254" s="459">
        <f t="shared" si="106"/>
        <v>1249.8766745168728</v>
      </c>
      <c r="F254" s="459">
        <f t="shared" si="106"/>
        <v>1227.1295147648202</v>
      </c>
      <c r="G254" s="459">
        <f t="shared" si="106"/>
        <v>1215.113856561896</v>
      </c>
      <c r="H254" s="459">
        <f t="shared" si="106"/>
        <v>1211.8640706869023</v>
      </c>
      <c r="I254" s="459">
        <f t="shared" si="106"/>
        <v>1212.8787578319416</v>
      </c>
      <c r="J254" s="459">
        <f t="shared" si="106"/>
        <v>1215.709947282463</v>
      </c>
      <c r="K254" s="459">
        <f t="shared" si="106"/>
        <v>1219.2628221588316</v>
      </c>
      <c r="L254" s="459">
        <f t="shared" si="106"/>
        <v>1224.9731515345061</v>
      </c>
      <c r="M254" s="459">
        <f t="shared" si="99"/>
        <v>1231.5887341390694</v>
      </c>
      <c r="N254" s="459">
        <f t="shared" si="99"/>
        <v>1237.5486636148698</v>
      </c>
    </row>
    <row r="255" spans="1:14">
      <c r="B255" s="152" t="str">
        <f t="shared" si="95"/>
        <v>60-64</v>
      </c>
      <c r="C255" s="459">
        <f t="shared" si="97"/>
        <v>489.99196884648472</v>
      </c>
      <c r="D255" s="459">
        <f t="shared" ref="D255:L255" si="107">D85-D221</f>
        <v>455.54523869110835</v>
      </c>
      <c r="E255" s="459">
        <f t="shared" si="107"/>
        <v>428.31251621997683</v>
      </c>
      <c r="F255" s="459">
        <f t="shared" si="107"/>
        <v>408.37456516205498</v>
      </c>
      <c r="G255" s="459">
        <f t="shared" si="107"/>
        <v>394.46628666107483</v>
      </c>
      <c r="H255" s="459">
        <f t="shared" si="107"/>
        <v>386.08684534380677</v>
      </c>
      <c r="I255" s="459">
        <f t="shared" si="107"/>
        <v>381.13454741874239</v>
      </c>
      <c r="J255" s="459">
        <f t="shared" si="107"/>
        <v>378.32252584089179</v>
      </c>
      <c r="K255" s="459">
        <f t="shared" si="107"/>
        <v>376.95707593996599</v>
      </c>
      <c r="L255" s="459">
        <f t="shared" si="107"/>
        <v>377.46824631439961</v>
      </c>
      <c r="M255" s="459">
        <f t="shared" si="99"/>
        <v>379.0591889358567</v>
      </c>
      <c r="N255" s="459">
        <f t="shared" si="99"/>
        <v>380.86001286507098</v>
      </c>
    </row>
    <row r="256" spans="1:14">
      <c r="B256" s="152" t="str">
        <f t="shared" si="95"/>
        <v>65 plus</v>
      </c>
      <c r="C256" s="459">
        <f t="shared" si="97"/>
        <v>170.6933187505914</v>
      </c>
      <c r="D256" s="459">
        <f t="shared" ref="D256:L256" si="108">D86-D222</f>
        <v>201.23552553770122</v>
      </c>
      <c r="E256" s="459">
        <f t="shared" si="108"/>
        <v>216.9342723619647</v>
      </c>
      <c r="F256" s="459">
        <f t="shared" si="108"/>
        <v>223.59798390588051</v>
      </c>
      <c r="G256" s="459">
        <f t="shared" si="108"/>
        <v>225.09047094108718</v>
      </c>
      <c r="H256" s="459">
        <f t="shared" si="108"/>
        <v>224.27129330616901</v>
      </c>
      <c r="I256" s="459">
        <f t="shared" si="108"/>
        <v>222.41881722148401</v>
      </c>
      <c r="J256" s="459">
        <f t="shared" si="108"/>
        <v>220.26945386892839</v>
      </c>
      <c r="K256" s="459">
        <f t="shared" si="108"/>
        <v>218.26399648382281</v>
      </c>
      <c r="L256" s="459">
        <f t="shared" si="108"/>
        <v>216.9812130822788</v>
      </c>
      <c r="M256" s="459">
        <f t="shared" si="99"/>
        <v>216.40394162511342</v>
      </c>
      <c r="N256" s="459">
        <f t="shared" si="99"/>
        <v>216.28631216964141</v>
      </c>
    </row>
    <row r="257" spans="1:14">
      <c r="B257" s="152" t="str">
        <f t="shared" si="95"/>
        <v>Total</v>
      </c>
      <c r="C257" s="459">
        <f>SUM(C247:C256)</f>
        <v>29359.06011802081</v>
      </c>
      <c r="D257" s="459">
        <f t="shared" ref="D257:N257" si="109">SUM(D247:D256)</f>
        <v>29604.415639133877</v>
      </c>
      <c r="E257" s="459">
        <f t="shared" si="109"/>
        <v>29660.954439666923</v>
      </c>
      <c r="F257" s="459">
        <f t="shared" si="109"/>
        <v>29609.997810301673</v>
      </c>
      <c r="G257" s="459">
        <f t="shared" si="109"/>
        <v>29481.405181163635</v>
      </c>
      <c r="H257" s="459">
        <f t="shared" si="109"/>
        <v>29384.791531233132</v>
      </c>
      <c r="I257" s="459">
        <f t="shared" si="109"/>
        <v>29268.728810786772</v>
      </c>
      <c r="J257" s="459">
        <f t="shared" si="109"/>
        <v>29120.949424799117</v>
      </c>
      <c r="K257" s="459">
        <f t="shared" si="109"/>
        <v>28956.391711928321</v>
      </c>
      <c r="L257" s="459">
        <f t="shared" si="109"/>
        <v>28875.436697326644</v>
      </c>
      <c r="M257" s="459">
        <f t="shared" si="109"/>
        <v>28855.609711202334</v>
      </c>
      <c r="N257" s="459">
        <f t="shared" si="109"/>
        <v>28848.277043898819</v>
      </c>
    </row>
    <row r="258" spans="1:14">
      <c r="A258" s="10">
        <f>SUM(C258:N258)</f>
        <v>0</v>
      </c>
      <c r="C258" s="309">
        <f t="shared" ref="C258:N258" si="110">SUM(C247:C256)-C257</f>
        <v>0</v>
      </c>
      <c r="D258" s="309">
        <f t="shared" si="110"/>
        <v>0</v>
      </c>
      <c r="E258" s="309">
        <f t="shared" si="110"/>
        <v>0</v>
      </c>
      <c r="F258" s="309">
        <f t="shared" si="110"/>
        <v>0</v>
      </c>
      <c r="G258" s="309">
        <f t="shared" si="110"/>
        <v>0</v>
      </c>
      <c r="H258" s="309">
        <f t="shared" si="110"/>
        <v>0</v>
      </c>
      <c r="I258" s="309">
        <f t="shared" si="110"/>
        <v>0</v>
      </c>
      <c r="J258" s="309">
        <f t="shared" si="110"/>
        <v>0</v>
      </c>
      <c r="K258" s="309">
        <f t="shared" si="110"/>
        <v>0</v>
      </c>
      <c r="L258" s="309">
        <f t="shared" si="110"/>
        <v>0</v>
      </c>
      <c r="M258" s="309">
        <f t="shared" si="110"/>
        <v>0</v>
      </c>
      <c r="N258" s="309">
        <f t="shared" si="110"/>
        <v>0</v>
      </c>
    </row>
    <row r="259" spans="1:14">
      <c r="A259" s="10"/>
      <c r="C259" s="309"/>
      <c r="D259" s="309"/>
      <c r="E259" s="309"/>
      <c r="F259" s="309"/>
      <c r="G259" s="309"/>
      <c r="H259" s="309"/>
      <c r="I259" s="309"/>
      <c r="J259" s="309"/>
      <c r="K259" s="309"/>
      <c r="L259" s="309"/>
      <c r="M259" s="309"/>
      <c r="N259" s="309"/>
    </row>
    <row r="260" spans="1:14">
      <c r="B260" s="76" t="s">
        <v>50</v>
      </c>
      <c r="C260" s="329"/>
      <c r="D260" s="329"/>
      <c r="E260" s="329"/>
      <c r="F260" s="329"/>
      <c r="G260" s="329"/>
      <c r="H260" s="339"/>
      <c r="I260" s="329"/>
      <c r="J260" s="329"/>
      <c r="K260" s="329"/>
      <c r="L260" s="329"/>
      <c r="M260" s="309"/>
      <c r="N260" s="309"/>
    </row>
    <row r="261" spans="1:14">
      <c r="C261" s="329"/>
      <c r="D261" s="329"/>
      <c r="E261" s="329"/>
      <c r="F261" s="329"/>
      <c r="G261" s="329"/>
      <c r="H261" s="339"/>
      <c r="I261" s="329"/>
      <c r="J261" s="329"/>
      <c r="K261" s="329"/>
      <c r="L261" s="329"/>
      <c r="M261" s="309"/>
      <c r="N261" s="309"/>
    </row>
    <row r="262" spans="1:14">
      <c r="B262" s="152" t="str">
        <f t="shared" ref="B262:B273" si="111">B246</f>
        <v>Age group</v>
      </c>
      <c r="C262" s="338" t="str">
        <f t="shared" ref="C262:N262" si="112">C246</f>
        <v>2016/17</v>
      </c>
      <c r="D262" s="338" t="str">
        <f t="shared" si="112"/>
        <v>2017/18</v>
      </c>
      <c r="E262" s="338" t="str">
        <f t="shared" si="112"/>
        <v>2018/19</v>
      </c>
      <c r="F262" s="338" t="str">
        <f t="shared" si="112"/>
        <v>2019/20</v>
      </c>
      <c r="G262" s="338" t="str">
        <f t="shared" si="112"/>
        <v>2020/21</v>
      </c>
      <c r="H262" s="338" t="str">
        <f t="shared" si="112"/>
        <v>2021/22</v>
      </c>
      <c r="I262" s="338" t="str">
        <f t="shared" si="112"/>
        <v>2022/23</v>
      </c>
      <c r="J262" s="338" t="str">
        <f t="shared" si="112"/>
        <v>2023/24</v>
      </c>
      <c r="K262" s="338" t="str">
        <f t="shared" si="112"/>
        <v>2024/25</v>
      </c>
      <c r="L262" s="338" t="str">
        <f t="shared" si="112"/>
        <v>2025/26</v>
      </c>
      <c r="M262" s="338" t="str">
        <f t="shared" si="112"/>
        <v>2026/27</v>
      </c>
      <c r="N262" s="338" t="str">
        <f t="shared" si="112"/>
        <v>2027/28</v>
      </c>
    </row>
    <row r="263" spans="1:14">
      <c r="B263" s="152" t="str">
        <f t="shared" si="111"/>
        <v>20-24</v>
      </c>
      <c r="C263" s="459">
        <f t="shared" ref="C263:C272" si="113">C93-C229</f>
        <v>11507.235501177525</v>
      </c>
      <c r="D263" s="459">
        <f t="shared" ref="D263:L263" si="114">D93-D229</f>
        <v>13823.893787998592</v>
      </c>
      <c r="E263" s="459">
        <f t="shared" si="114"/>
        <v>15216.843711486483</v>
      </c>
      <c r="F263" s="459">
        <f t="shared" si="114"/>
        <v>16048.635260767138</v>
      </c>
      <c r="G263" s="459">
        <f t="shared" si="114"/>
        <v>16510.847376075842</v>
      </c>
      <c r="H263" s="459">
        <f t="shared" si="114"/>
        <v>16875.211302106389</v>
      </c>
      <c r="I263" s="459">
        <f t="shared" si="114"/>
        <v>17094.440247131817</v>
      </c>
      <c r="J263" s="459">
        <f t="shared" si="114"/>
        <v>17187.549725764209</v>
      </c>
      <c r="K263" s="459">
        <f t="shared" si="114"/>
        <v>17209.367334416482</v>
      </c>
      <c r="L263" s="459">
        <f t="shared" si="114"/>
        <v>17340.18826902131</v>
      </c>
      <c r="M263" s="459">
        <f t="shared" ref="M263:N272" si="115">M93-M229</f>
        <v>17527.86849049477</v>
      </c>
      <c r="N263" s="459">
        <f t="shared" si="115"/>
        <v>17687.692554807156</v>
      </c>
    </row>
    <row r="264" spans="1:14">
      <c r="B264" s="152" t="str">
        <f t="shared" si="111"/>
        <v>25-29</v>
      </c>
      <c r="C264" s="459">
        <f t="shared" si="113"/>
        <v>29230.708427692109</v>
      </c>
      <c r="D264" s="459">
        <f t="shared" ref="D264:L264" si="116">D94-D230</f>
        <v>28956.981644843509</v>
      </c>
      <c r="E264" s="459">
        <f t="shared" si="116"/>
        <v>28891.220397303721</v>
      </c>
      <c r="F264" s="459">
        <f t="shared" si="116"/>
        <v>28917.934402077586</v>
      </c>
      <c r="G264" s="459">
        <f t="shared" si="116"/>
        <v>28947.166513360127</v>
      </c>
      <c r="H264" s="459">
        <f t="shared" si="116"/>
        <v>29082.519580848071</v>
      </c>
      <c r="I264" s="459">
        <f t="shared" si="116"/>
        <v>29202.427630339826</v>
      </c>
      <c r="J264" s="459">
        <f t="shared" si="116"/>
        <v>29263.436794495879</v>
      </c>
      <c r="K264" s="459">
        <f t="shared" si="116"/>
        <v>29278.793068976353</v>
      </c>
      <c r="L264" s="459">
        <f t="shared" si="116"/>
        <v>29410.155073777649</v>
      </c>
      <c r="M264" s="459">
        <f t="shared" si="115"/>
        <v>29623.643495402626</v>
      </c>
      <c r="N264" s="459">
        <f t="shared" si="115"/>
        <v>29837.631981387793</v>
      </c>
    </row>
    <row r="265" spans="1:14">
      <c r="B265" s="152" t="str">
        <f t="shared" si="111"/>
        <v>30-34</v>
      </c>
      <c r="C265" s="459">
        <f t="shared" si="113"/>
        <v>31184.063692936939</v>
      </c>
      <c r="D265" s="459">
        <f t="shared" ref="D265:L265" si="117">D95-D231</f>
        <v>31359.181414991079</v>
      </c>
      <c r="E265" s="459">
        <f t="shared" si="117"/>
        <v>31279.888132444936</v>
      </c>
      <c r="F265" s="459">
        <f t="shared" si="117"/>
        <v>31111.367675647358</v>
      </c>
      <c r="G265" s="459">
        <f t="shared" si="117"/>
        <v>30914.645591838253</v>
      </c>
      <c r="H265" s="459">
        <f t="shared" si="117"/>
        <v>30791.529992274664</v>
      </c>
      <c r="I265" s="459">
        <f t="shared" si="117"/>
        <v>30701.087654817413</v>
      </c>
      <c r="J265" s="459">
        <f t="shared" si="117"/>
        <v>30620.266796284253</v>
      </c>
      <c r="K265" s="459">
        <f t="shared" si="117"/>
        <v>30546.790361813382</v>
      </c>
      <c r="L265" s="459">
        <f t="shared" si="117"/>
        <v>30559.093110157886</v>
      </c>
      <c r="M265" s="459">
        <f t="shared" si="115"/>
        <v>30643.645295610215</v>
      </c>
      <c r="N265" s="459">
        <f t="shared" si="115"/>
        <v>30758.322407743468</v>
      </c>
    </row>
    <row r="266" spans="1:14">
      <c r="B266" s="152" t="str">
        <f t="shared" si="111"/>
        <v>35-39</v>
      </c>
      <c r="C266" s="459">
        <f t="shared" si="113"/>
        <v>28636.974435490163</v>
      </c>
      <c r="D266" s="459">
        <f t="shared" ref="D266:L266" si="118">D96-D232</f>
        <v>29016.328555081789</v>
      </c>
      <c r="E266" s="459">
        <f t="shared" si="118"/>
        <v>29220.189598703524</v>
      </c>
      <c r="F266" s="459">
        <f t="shared" si="118"/>
        <v>29288.557810002738</v>
      </c>
      <c r="G266" s="459">
        <f t="shared" si="118"/>
        <v>29254.412185729783</v>
      </c>
      <c r="H266" s="459">
        <f t="shared" si="118"/>
        <v>29204.061891722726</v>
      </c>
      <c r="I266" s="459">
        <f t="shared" si="118"/>
        <v>29127.040123283528</v>
      </c>
      <c r="J266" s="459">
        <f t="shared" si="118"/>
        <v>29028.354691340825</v>
      </c>
      <c r="K266" s="459">
        <f t="shared" si="118"/>
        <v>28923.09312263882</v>
      </c>
      <c r="L266" s="459">
        <f t="shared" si="118"/>
        <v>28875.561197205843</v>
      </c>
      <c r="M266" s="459">
        <f t="shared" si="115"/>
        <v>28878.111520524035</v>
      </c>
      <c r="N266" s="459">
        <f t="shared" si="115"/>
        <v>28904.704265615517</v>
      </c>
    </row>
    <row r="267" spans="1:14">
      <c r="B267" s="152" t="str">
        <f t="shared" si="111"/>
        <v>40-44</v>
      </c>
      <c r="C267" s="459">
        <f t="shared" si="113"/>
        <v>27008.066294321499</v>
      </c>
      <c r="D267" s="459">
        <f t="shared" ref="D267:L267" si="119">D97-D233</f>
        <v>27348.188704500801</v>
      </c>
      <c r="E267" s="459">
        <f t="shared" si="119"/>
        <v>27568.423816056424</v>
      </c>
      <c r="F267" s="459">
        <f t="shared" si="119"/>
        <v>27705.955118897375</v>
      </c>
      <c r="G267" s="459">
        <f t="shared" si="119"/>
        <v>27770.231889177383</v>
      </c>
      <c r="H267" s="459">
        <f t="shared" si="119"/>
        <v>27822.231062898878</v>
      </c>
      <c r="I267" s="459">
        <f t="shared" si="119"/>
        <v>27835.386490045439</v>
      </c>
      <c r="J267" s="459">
        <f t="shared" si="119"/>
        <v>27807.199804434447</v>
      </c>
      <c r="K267" s="459">
        <f t="shared" si="119"/>
        <v>27751.518640588667</v>
      </c>
      <c r="L267" s="459">
        <f t="shared" si="119"/>
        <v>27732.016875993115</v>
      </c>
      <c r="M267" s="459">
        <f t="shared" si="115"/>
        <v>27742.140596196663</v>
      </c>
      <c r="N267" s="459">
        <f t="shared" si="115"/>
        <v>27758.71185624061</v>
      </c>
    </row>
    <row r="268" spans="1:14">
      <c r="B268" s="152" t="str">
        <f t="shared" si="111"/>
        <v>45-49</v>
      </c>
      <c r="C268" s="459">
        <f t="shared" si="113"/>
        <v>23128.027694869757</v>
      </c>
      <c r="D268" s="459">
        <f t="shared" ref="D268:L268" si="120">D98-D234</f>
        <v>23635.009298110785</v>
      </c>
      <c r="E268" s="459">
        <f t="shared" si="120"/>
        <v>23992.184314599417</v>
      </c>
      <c r="F268" s="459">
        <f t="shared" si="120"/>
        <v>24246.922278666756</v>
      </c>
      <c r="G268" s="459">
        <f t="shared" si="120"/>
        <v>24421.076634350611</v>
      </c>
      <c r="H268" s="459">
        <f t="shared" si="120"/>
        <v>24570.004109168047</v>
      </c>
      <c r="I268" s="459">
        <f t="shared" si="120"/>
        <v>24677.094194029123</v>
      </c>
      <c r="J268" s="459">
        <f t="shared" si="120"/>
        <v>24740.170204393911</v>
      </c>
      <c r="K268" s="459">
        <f t="shared" si="120"/>
        <v>24768.728373724407</v>
      </c>
      <c r="L268" s="459">
        <f t="shared" si="120"/>
        <v>24811.958101835477</v>
      </c>
      <c r="M268" s="459">
        <f t="shared" si="115"/>
        <v>24866.487519831247</v>
      </c>
      <c r="N268" s="459">
        <f t="shared" si="115"/>
        <v>24915.387452764211</v>
      </c>
    </row>
    <row r="269" spans="1:14">
      <c r="B269" s="152" t="str">
        <f t="shared" si="111"/>
        <v>50-54</v>
      </c>
      <c r="C269" s="459">
        <f t="shared" si="113"/>
        <v>18225.013164583801</v>
      </c>
      <c r="D269" s="459">
        <f t="shared" ref="D269:L269" si="121">D99-D235</f>
        <v>18301.260805734717</v>
      </c>
      <c r="E269" s="459">
        <f t="shared" si="121"/>
        <v>18396.919350535052</v>
      </c>
      <c r="F269" s="459">
        <f t="shared" si="121"/>
        <v>18498.802424773192</v>
      </c>
      <c r="G269" s="459">
        <f t="shared" si="121"/>
        <v>18593.283749696067</v>
      </c>
      <c r="H269" s="459">
        <f t="shared" si="121"/>
        <v>18698.131085141664</v>
      </c>
      <c r="I269" s="459">
        <f t="shared" si="121"/>
        <v>18792.694202119274</v>
      </c>
      <c r="J269" s="459">
        <f t="shared" si="121"/>
        <v>18868.556755541729</v>
      </c>
      <c r="K269" s="459">
        <f t="shared" si="121"/>
        <v>18926.558741008052</v>
      </c>
      <c r="L269" s="459">
        <f t="shared" si="121"/>
        <v>18994.039345727142</v>
      </c>
      <c r="M269" s="459">
        <f t="shared" si="115"/>
        <v>19067.070178339789</v>
      </c>
      <c r="N269" s="459">
        <f t="shared" si="115"/>
        <v>19133.85421417607</v>
      </c>
    </row>
    <row r="270" spans="1:14">
      <c r="B270" s="152" t="str">
        <f t="shared" si="111"/>
        <v>55-59</v>
      </c>
      <c r="C270" s="459">
        <f t="shared" si="113"/>
        <v>11194.648424615782</v>
      </c>
      <c r="D270" s="459">
        <f t="shared" ref="D270:L270" si="122">D100-D236</f>
        <v>10409.447392251828</v>
      </c>
      <c r="E270" s="459">
        <f t="shared" si="122"/>
        <v>9901.2813907021373</v>
      </c>
      <c r="F270" s="459">
        <f t="shared" si="122"/>
        <v>9580.3848627579482</v>
      </c>
      <c r="G270" s="459">
        <f t="shared" si="122"/>
        <v>9381.4540102846149</v>
      </c>
      <c r="H270" s="459">
        <f t="shared" si="122"/>
        <v>9274.4879302576464</v>
      </c>
      <c r="I270" s="459">
        <f t="shared" si="122"/>
        <v>9219.4840861797929</v>
      </c>
      <c r="J270" s="459">
        <f t="shared" si="122"/>
        <v>9193.3727764924934</v>
      </c>
      <c r="K270" s="459">
        <f t="shared" si="122"/>
        <v>9184.4109709630793</v>
      </c>
      <c r="L270" s="459">
        <f t="shared" si="122"/>
        <v>9199.1799555343241</v>
      </c>
      <c r="M270" s="459">
        <f t="shared" si="115"/>
        <v>9228.1322641202587</v>
      </c>
      <c r="N270" s="459">
        <f t="shared" si="115"/>
        <v>9260.058897968418</v>
      </c>
    </row>
    <row r="271" spans="1:14">
      <c r="B271" s="152" t="str">
        <f t="shared" si="111"/>
        <v>60-64</v>
      </c>
      <c r="C271" s="459">
        <f t="shared" si="113"/>
        <v>4151.015696295286</v>
      </c>
      <c r="D271" s="459">
        <f t="shared" ref="D271:L271" si="123">D101-D237</f>
        <v>3842.9087987602925</v>
      </c>
      <c r="E271" s="459">
        <f t="shared" si="123"/>
        <v>3568.7329100394368</v>
      </c>
      <c r="F271" s="459">
        <f t="shared" si="123"/>
        <v>3352.739701243956</v>
      </c>
      <c r="G271" s="459">
        <f t="shared" si="123"/>
        <v>3192.8753016945593</v>
      </c>
      <c r="H271" s="459">
        <f t="shared" si="123"/>
        <v>3085.1854293052711</v>
      </c>
      <c r="I271" s="459">
        <f t="shared" si="123"/>
        <v>3013.4337860766727</v>
      </c>
      <c r="J271" s="459">
        <f t="shared" si="123"/>
        <v>2966.2284016710182</v>
      </c>
      <c r="K271" s="459">
        <f t="shared" si="123"/>
        <v>2936.3800820948554</v>
      </c>
      <c r="L271" s="459">
        <f t="shared" si="123"/>
        <v>2924.5468065504592</v>
      </c>
      <c r="M271" s="459">
        <f t="shared" si="115"/>
        <v>2924.2279830358252</v>
      </c>
      <c r="N271" s="459">
        <f t="shared" si="115"/>
        <v>2928.8280309441479</v>
      </c>
    </row>
    <row r="272" spans="1:14">
      <c r="B272" s="152" t="str">
        <f t="shared" si="111"/>
        <v>65 plus</v>
      </c>
      <c r="C272" s="459">
        <f t="shared" si="113"/>
        <v>1126.6198988607243</v>
      </c>
      <c r="D272" s="459">
        <f t="shared" ref="D272:L272" si="124">D102-D238</f>
        <v>1413.8862725353065</v>
      </c>
      <c r="E272" s="459">
        <f t="shared" si="124"/>
        <v>1562.2015829564389</v>
      </c>
      <c r="F272" s="459">
        <f t="shared" si="124"/>
        <v>1622.6970462611589</v>
      </c>
      <c r="G272" s="459">
        <f t="shared" si="124"/>
        <v>1632.1649866627238</v>
      </c>
      <c r="H272" s="459">
        <f t="shared" si="124"/>
        <v>1617.3883579310395</v>
      </c>
      <c r="I272" s="459">
        <f t="shared" si="124"/>
        <v>1592.0641369482014</v>
      </c>
      <c r="J272" s="459">
        <f t="shared" si="124"/>
        <v>1564.127165727512</v>
      </c>
      <c r="K272" s="459">
        <f t="shared" si="124"/>
        <v>1538.0683701087928</v>
      </c>
      <c r="L272" s="459">
        <f t="shared" si="124"/>
        <v>1518.2103432537112</v>
      </c>
      <c r="M272" s="459">
        <f t="shared" si="115"/>
        <v>1504.6405849378184</v>
      </c>
      <c r="N272" s="459">
        <f t="shared" si="115"/>
        <v>1495.7849068037085</v>
      </c>
    </row>
    <row r="273" spans="1:14">
      <c r="B273" s="152" t="str">
        <f t="shared" si="111"/>
        <v>Total</v>
      </c>
      <c r="C273" s="459">
        <f>SUM(C263:C272)</f>
        <v>185392.37323084357</v>
      </c>
      <c r="D273" s="459">
        <f t="shared" ref="D273:N273" si="125">SUM(D263:D272)</f>
        <v>188107.08667480873</v>
      </c>
      <c r="E273" s="459">
        <f t="shared" si="125"/>
        <v>189597.88520482756</v>
      </c>
      <c r="F273" s="459">
        <f t="shared" si="125"/>
        <v>190373.99658109521</v>
      </c>
      <c r="G273" s="459">
        <f t="shared" si="125"/>
        <v>190618.15823886998</v>
      </c>
      <c r="H273" s="459">
        <f t="shared" si="125"/>
        <v>191020.75074165442</v>
      </c>
      <c r="I273" s="459">
        <f t="shared" si="125"/>
        <v>191255.15255097108</v>
      </c>
      <c r="J273" s="459">
        <f t="shared" si="125"/>
        <v>191239.26311614629</v>
      </c>
      <c r="K273" s="459">
        <f t="shared" si="125"/>
        <v>191063.7090663329</v>
      </c>
      <c r="L273" s="459">
        <f t="shared" si="125"/>
        <v>191364.94907905691</v>
      </c>
      <c r="M273" s="459">
        <f t="shared" si="125"/>
        <v>192005.96792849325</v>
      </c>
      <c r="N273" s="459">
        <f t="shared" si="125"/>
        <v>192680.97656845112</v>
      </c>
    </row>
    <row r="274" spans="1:14">
      <c r="A274" s="10">
        <f>SUM(C274:N274)</f>
        <v>0</v>
      </c>
      <c r="C274" s="10">
        <f t="shared" ref="C274:N274" si="126">SUM(C263:C272)-C273</f>
        <v>0</v>
      </c>
      <c r="D274" s="10">
        <f t="shared" si="126"/>
        <v>0</v>
      </c>
      <c r="E274" s="10">
        <f t="shared" si="126"/>
        <v>0</v>
      </c>
      <c r="F274" s="10">
        <f t="shared" si="126"/>
        <v>0</v>
      </c>
      <c r="G274" s="10">
        <f t="shared" si="126"/>
        <v>0</v>
      </c>
      <c r="H274" s="10">
        <f t="shared" si="126"/>
        <v>0</v>
      </c>
      <c r="I274" s="10">
        <f t="shared" si="126"/>
        <v>0</v>
      </c>
      <c r="J274" s="10">
        <f t="shared" si="126"/>
        <v>0</v>
      </c>
      <c r="K274" s="10">
        <f t="shared" si="126"/>
        <v>0</v>
      </c>
      <c r="L274" s="10">
        <f t="shared" si="126"/>
        <v>0</v>
      </c>
      <c r="M274" s="10">
        <f t="shared" si="126"/>
        <v>0</v>
      </c>
      <c r="N274" s="10">
        <f t="shared" si="126"/>
        <v>0</v>
      </c>
    </row>
    <row r="275" spans="1:14" ht="15.75">
      <c r="B275" s="78"/>
      <c r="H275" s="5"/>
    </row>
    <row r="276" spans="1:14" ht="15.75">
      <c r="B276" s="78" t="s">
        <v>1621</v>
      </c>
      <c r="H276" s="5"/>
    </row>
    <row r="277" spans="1:14" ht="15.75">
      <c r="B277" s="78"/>
      <c r="H277" s="5"/>
    </row>
    <row r="278" spans="1:14" ht="15.75">
      <c r="B278" s="78"/>
      <c r="C278" s="8" t="str">
        <f>C262</f>
        <v>2016/17</v>
      </c>
      <c r="D278" s="8" t="str">
        <f t="shared" ref="D278:N278" si="127">D262</f>
        <v>2017/18</v>
      </c>
      <c r="E278" s="8" t="str">
        <f t="shared" si="127"/>
        <v>2018/19</v>
      </c>
      <c r="F278" s="8" t="str">
        <f t="shared" si="127"/>
        <v>2019/20</v>
      </c>
      <c r="G278" s="8" t="str">
        <f t="shared" si="127"/>
        <v>2020/21</v>
      </c>
      <c r="H278" s="8" t="str">
        <f t="shared" si="127"/>
        <v>2021/22</v>
      </c>
      <c r="I278" s="8" t="str">
        <f t="shared" si="127"/>
        <v>2022/23</v>
      </c>
      <c r="J278" s="8" t="str">
        <f t="shared" si="127"/>
        <v>2023/24</v>
      </c>
      <c r="K278" s="8" t="str">
        <f t="shared" si="127"/>
        <v>2024/25</v>
      </c>
      <c r="L278" s="8" t="str">
        <f t="shared" si="127"/>
        <v>2025/26</v>
      </c>
      <c r="M278" s="8" t="str">
        <f t="shared" si="127"/>
        <v>2026/27</v>
      </c>
      <c r="N278" s="8" t="str">
        <f t="shared" si="127"/>
        <v>2027/28</v>
      </c>
    </row>
    <row r="279" spans="1:14">
      <c r="B279" s="8" t="s">
        <v>193</v>
      </c>
      <c r="C279" s="459">
        <f>C223+C239</f>
        <v>24480.216651135612</v>
      </c>
      <c r="D279" s="459">
        <f t="shared" ref="D279:N279" si="128">D223+D239</f>
        <v>24578.475696386551</v>
      </c>
      <c r="E279" s="459">
        <f t="shared" si="128"/>
        <v>24557.665343385146</v>
      </c>
      <c r="F279" s="459">
        <f t="shared" si="128"/>
        <v>24489.006125456497</v>
      </c>
      <c r="G279" s="459">
        <f t="shared" si="128"/>
        <v>24393.522064596204</v>
      </c>
      <c r="H279" s="459">
        <f t="shared" si="128"/>
        <v>24351.019964927753</v>
      </c>
      <c r="I279" s="459">
        <f t="shared" si="128"/>
        <v>24313.92432163619</v>
      </c>
      <c r="J279" s="459">
        <f t="shared" si="128"/>
        <v>24265.980578809656</v>
      </c>
      <c r="K279" s="459">
        <f t="shared" si="128"/>
        <v>24213.306306154518</v>
      </c>
      <c r="L279" s="459">
        <f t="shared" si="128"/>
        <v>24230.219712033257</v>
      </c>
      <c r="M279" s="459">
        <f t="shared" si="128"/>
        <v>24295.593809340106</v>
      </c>
      <c r="N279" s="459">
        <f t="shared" si="128"/>
        <v>24368.77359976435</v>
      </c>
    </row>
    <row r="280" spans="1:14">
      <c r="B280" s="8" t="s">
        <v>194</v>
      </c>
      <c r="C280" s="459">
        <f>C155+C171</f>
        <v>6167.6803742384254</v>
      </c>
      <c r="D280" s="459">
        <f t="shared" ref="D280:N280" si="129">D155+D171</f>
        <v>5951.3753526149458</v>
      </c>
      <c r="E280" s="459">
        <f t="shared" si="129"/>
        <v>5753.7577875659135</v>
      </c>
      <c r="F280" s="459">
        <f t="shared" si="129"/>
        <v>5591.1905396552866</v>
      </c>
      <c r="G280" s="459">
        <f t="shared" si="129"/>
        <v>5464.1437466401148</v>
      </c>
      <c r="H280" s="459">
        <f t="shared" si="129"/>
        <v>5377.0420267775617</v>
      </c>
      <c r="I280" s="459">
        <f t="shared" si="129"/>
        <v>5316.8334258683071</v>
      </c>
      <c r="J280" s="459">
        <f t="shared" si="129"/>
        <v>5275.0734116356061</v>
      </c>
      <c r="K280" s="459">
        <f t="shared" si="129"/>
        <v>5247.1481804221421</v>
      </c>
      <c r="L280" s="459">
        <f t="shared" si="129"/>
        <v>5238.3317148588048</v>
      </c>
      <c r="M280" s="459">
        <f t="shared" si="129"/>
        <v>5242.4390645564126</v>
      </c>
      <c r="N280" s="459">
        <f t="shared" si="129"/>
        <v>5251.7134043382448</v>
      </c>
    </row>
    <row r="281" spans="1:14">
      <c r="B281" s="8" t="s">
        <v>518</v>
      </c>
      <c r="C281" s="459">
        <f>C189+C205</f>
        <v>102.25039017757025</v>
      </c>
      <c r="D281" s="459">
        <f t="shared" ref="D281:N281" si="130">D189+D205</f>
        <v>101.57911714039349</v>
      </c>
      <c r="E281" s="459">
        <f t="shared" si="130"/>
        <v>101.10775246428955</v>
      </c>
      <c r="F281" s="459">
        <f t="shared" si="130"/>
        <v>100.81424732298102</v>
      </c>
      <c r="G281" s="459">
        <f t="shared" si="130"/>
        <v>100.61089583646418</v>
      </c>
      <c r="H281" s="459">
        <f t="shared" si="130"/>
        <v>100.61764922688974</v>
      </c>
      <c r="I281" s="459">
        <f t="shared" si="130"/>
        <v>100.65859833230809</v>
      </c>
      <c r="J281" s="459">
        <f t="shared" si="130"/>
        <v>100.65710240801671</v>
      </c>
      <c r="K281" s="459">
        <f t="shared" si="130"/>
        <v>100.61003874402275</v>
      </c>
      <c r="L281" s="459">
        <f t="shared" si="130"/>
        <v>100.70970553141466</v>
      </c>
      <c r="M281" s="459">
        <f t="shared" si="130"/>
        <v>100.91041036968649</v>
      </c>
      <c r="N281" s="459">
        <f t="shared" si="130"/>
        <v>101.11318991544755</v>
      </c>
    </row>
    <row r="282" spans="1:14">
      <c r="B282" s="8" t="s">
        <v>195</v>
      </c>
      <c r="C282" s="459">
        <f>C121+C137</f>
        <v>18210.285886719616</v>
      </c>
      <c r="D282" s="459">
        <f t="shared" ref="D282:N282" si="131">D121+D137</f>
        <v>18525.521226631212</v>
      </c>
      <c r="E282" s="459">
        <f t="shared" si="131"/>
        <v>18702.799803354941</v>
      </c>
      <c r="F282" s="459">
        <f t="shared" si="131"/>
        <v>18797.001338478229</v>
      </c>
      <c r="G282" s="459">
        <f t="shared" si="131"/>
        <v>18828.767422119625</v>
      </c>
      <c r="H282" s="459">
        <f t="shared" si="131"/>
        <v>18873.360288923304</v>
      </c>
      <c r="I282" s="459">
        <f t="shared" si="131"/>
        <v>18896.432297435575</v>
      </c>
      <c r="J282" s="459">
        <f t="shared" si="131"/>
        <v>18890.250064766038</v>
      </c>
      <c r="K282" s="459">
        <f t="shared" si="131"/>
        <v>18865.548086988358</v>
      </c>
      <c r="L282" s="459">
        <f t="shared" si="131"/>
        <v>18891.178291643042</v>
      </c>
      <c r="M282" s="459">
        <f t="shared" si="131"/>
        <v>18952.244334414001</v>
      </c>
      <c r="N282" s="459">
        <f t="shared" si="131"/>
        <v>19015.947005510654</v>
      </c>
    </row>
    <row r="283" spans="1:14" ht="15.75">
      <c r="A283" s="10">
        <f>SUM(C283:N283)</f>
        <v>0</v>
      </c>
      <c r="B283" s="78"/>
      <c r="C283" s="10">
        <f>C282+C281+C280-C279</f>
        <v>0</v>
      </c>
      <c r="D283" s="10">
        <f t="shared" ref="D283:N283" si="132">D282+D281+D280-D279</f>
        <v>0</v>
      </c>
      <c r="E283" s="10">
        <f t="shared" si="132"/>
        <v>0</v>
      </c>
      <c r="F283" s="10">
        <f t="shared" si="132"/>
        <v>0</v>
      </c>
      <c r="G283" s="10">
        <f t="shared" si="132"/>
        <v>0</v>
      </c>
      <c r="H283" s="10">
        <f t="shared" si="132"/>
        <v>0</v>
      </c>
      <c r="I283" s="10">
        <f t="shared" si="132"/>
        <v>0</v>
      </c>
      <c r="J283" s="10">
        <f t="shared" si="132"/>
        <v>0</v>
      </c>
      <c r="K283" s="10">
        <f t="shared" si="132"/>
        <v>0</v>
      </c>
      <c r="L283" s="10">
        <f t="shared" si="132"/>
        <v>0</v>
      </c>
      <c r="M283" s="10">
        <f t="shared" si="132"/>
        <v>0</v>
      </c>
      <c r="N283" s="10">
        <f t="shared" si="132"/>
        <v>0</v>
      </c>
    </row>
    <row r="284" spans="1:14" ht="15.75">
      <c r="B284" s="78"/>
      <c r="H284" s="5"/>
    </row>
    <row r="285" spans="1:14" ht="15.75">
      <c r="B285" s="78" t="s">
        <v>1622</v>
      </c>
      <c r="G285" s="150" t="s">
        <v>265</v>
      </c>
      <c r="H285" s="5"/>
    </row>
    <row r="286" spans="1:14" ht="15.75">
      <c r="B286" s="78"/>
      <c r="H286" s="5"/>
    </row>
    <row r="287" spans="1:14" ht="15.75">
      <c r="B287" s="78" t="s">
        <v>199</v>
      </c>
      <c r="H287" s="5"/>
    </row>
    <row r="288" spans="1:14" ht="15.75">
      <c r="B288" s="78"/>
      <c r="H288" s="5"/>
    </row>
    <row r="289" spans="2:14" ht="15.75">
      <c r="B289" s="78"/>
      <c r="C289" s="8" t="str">
        <f>C278</f>
        <v>2016/17</v>
      </c>
      <c r="D289" s="8" t="str">
        <f t="shared" ref="D289:N289" si="133">D278</f>
        <v>2017/18</v>
      </c>
      <c r="E289" s="8" t="str">
        <f t="shared" si="133"/>
        <v>2018/19</v>
      </c>
      <c r="F289" s="8" t="str">
        <f t="shared" si="133"/>
        <v>2019/20</v>
      </c>
      <c r="G289" s="8" t="str">
        <f t="shared" si="133"/>
        <v>2020/21</v>
      </c>
      <c r="H289" s="8" t="str">
        <f t="shared" si="133"/>
        <v>2021/22</v>
      </c>
      <c r="I289" s="8" t="str">
        <f t="shared" si="133"/>
        <v>2022/23</v>
      </c>
      <c r="J289" s="8" t="str">
        <f t="shared" si="133"/>
        <v>2023/24</v>
      </c>
      <c r="K289" s="8" t="str">
        <f t="shared" si="133"/>
        <v>2024/25</v>
      </c>
      <c r="L289" s="8" t="str">
        <f t="shared" si="133"/>
        <v>2025/26</v>
      </c>
      <c r="M289" s="8" t="str">
        <f t="shared" si="133"/>
        <v>2026/27</v>
      </c>
      <c r="N289" s="8" t="str">
        <f t="shared" si="133"/>
        <v>2027/28</v>
      </c>
    </row>
    <row r="290" spans="2:14" ht="15.75">
      <c r="B290" s="78"/>
      <c r="C290" s="544">
        <f>C53+C69-C15</f>
        <v>0</v>
      </c>
      <c r="D290" s="544">
        <f>D53+D69-D15</f>
        <v>0</v>
      </c>
      <c r="E290" s="544">
        <f>E53+E69-E15</f>
        <v>0</v>
      </c>
      <c r="F290" s="544">
        <f t="shared" ref="F290:N290" si="134">F53+F69-F15</f>
        <v>0</v>
      </c>
      <c r="G290" s="544">
        <f t="shared" si="134"/>
        <v>0</v>
      </c>
      <c r="H290" s="544">
        <f t="shared" si="134"/>
        <v>0</v>
      </c>
      <c r="I290" s="544">
        <f t="shared" si="134"/>
        <v>0</v>
      </c>
      <c r="J290" s="544">
        <f t="shared" si="134"/>
        <v>0</v>
      </c>
      <c r="K290" s="544">
        <f t="shared" si="134"/>
        <v>0</v>
      </c>
      <c r="L290" s="544">
        <f t="shared" si="134"/>
        <v>0</v>
      </c>
      <c r="M290" s="544">
        <f t="shared" si="134"/>
        <v>0</v>
      </c>
      <c r="N290" s="544">
        <f t="shared" si="134"/>
        <v>0</v>
      </c>
    </row>
    <row r="291" spans="2:14" ht="15.75">
      <c r="B291" s="78"/>
      <c r="H291" s="5"/>
    </row>
    <row r="292" spans="2:14" ht="15.75">
      <c r="B292" s="78" t="s">
        <v>263</v>
      </c>
      <c r="H292" s="5"/>
    </row>
    <row r="293" spans="2:14" ht="15.75">
      <c r="B293" s="78"/>
      <c r="C293" s="182" t="str">
        <f t="shared" ref="C293:N293" si="135">C262</f>
        <v>2016/17</v>
      </c>
      <c r="D293" s="182" t="str">
        <f t="shared" si="135"/>
        <v>2017/18</v>
      </c>
      <c r="E293" s="182" t="str">
        <f t="shared" si="135"/>
        <v>2018/19</v>
      </c>
      <c r="F293" s="182" t="str">
        <f t="shared" si="135"/>
        <v>2019/20</v>
      </c>
      <c r="G293" s="182" t="str">
        <f t="shared" si="135"/>
        <v>2020/21</v>
      </c>
      <c r="H293" s="182" t="str">
        <f t="shared" si="135"/>
        <v>2021/22</v>
      </c>
      <c r="I293" s="182" t="str">
        <f t="shared" si="135"/>
        <v>2022/23</v>
      </c>
      <c r="J293" s="182" t="str">
        <f t="shared" si="135"/>
        <v>2023/24</v>
      </c>
      <c r="K293" s="182" t="str">
        <f t="shared" si="135"/>
        <v>2024/25</v>
      </c>
      <c r="L293" s="182" t="str">
        <f t="shared" si="135"/>
        <v>2025/26</v>
      </c>
      <c r="M293" s="182" t="str">
        <f t="shared" si="135"/>
        <v>2026/27</v>
      </c>
      <c r="N293" s="182" t="str">
        <f t="shared" si="135"/>
        <v>2027/28</v>
      </c>
    </row>
    <row r="294" spans="2:14">
      <c r="B294" s="363" t="s">
        <v>266</v>
      </c>
      <c r="C294" s="459">
        <f>C36-C15+C279-C290</f>
        <v>27538.544661464744</v>
      </c>
      <c r="D294" s="459">
        <f t="shared" ref="D294:N294" si="136">D36-D15+D279-D290</f>
        <v>26105.002673937081</v>
      </c>
      <c r="E294" s="459">
        <f t="shared" si="136"/>
        <v>25214.160872358872</v>
      </c>
      <c r="F294" s="459">
        <f t="shared" si="136"/>
        <v>24509.091093232932</v>
      </c>
      <c r="G294" s="459">
        <f t="shared" si="136"/>
        <v>24656.998817781678</v>
      </c>
      <c r="H294" s="459">
        <f t="shared" si="136"/>
        <v>24432.263410506512</v>
      </c>
      <c r="I294" s="459">
        <f t="shared" si="136"/>
        <v>24102.311757997213</v>
      </c>
      <c r="J294" s="459">
        <f t="shared" si="136"/>
        <v>23873.194543470338</v>
      </c>
      <c r="K294" s="459">
        <f t="shared" si="136"/>
        <v>24450.504710155619</v>
      </c>
      <c r="L294" s="459">
        <f t="shared" si="136"/>
        <v>24916.785672652128</v>
      </c>
      <c r="M294" s="459">
        <f t="shared" si="136"/>
        <v>25036.449572418685</v>
      </c>
      <c r="N294" s="459">
        <f t="shared" si="136"/>
        <v>24924.618653464819</v>
      </c>
    </row>
    <row r="295" spans="2:14" ht="12.75" customHeight="1">
      <c r="B295" s="1241" t="s">
        <v>264</v>
      </c>
      <c r="C295" s="1242"/>
      <c r="D295" s="1242"/>
      <c r="E295" s="1242"/>
      <c r="F295" s="1242"/>
      <c r="G295" s="1242"/>
      <c r="H295" s="1242"/>
      <c r="I295" s="1242"/>
      <c r="J295" s="1242"/>
      <c r="K295" s="1242"/>
      <c r="L295" s="1242"/>
      <c r="M295" s="1242"/>
      <c r="N295" s="1242"/>
    </row>
    <row r="296" spans="2:14">
      <c r="B296" s="326" t="s">
        <v>43</v>
      </c>
      <c r="C296" s="282">
        <f>IF(C294&lt;0,0,C294)</f>
        <v>27538.544661464744</v>
      </c>
      <c r="D296" s="282">
        <f t="shared" ref="D296:N296" si="137">IF(D294&lt;0,0,D294)</f>
        <v>26105.002673937081</v>
      </c>
      <c r="E296" s="282">
        <f t="shared" si="137"/>
        <v>25214.160872358872</v>
      </c>
      <c r="F296" s="282">
        <f t="shared" si="137"/>
        <v>24509.091093232932</v>
      </c>
      <c r="G296" s="282">
        <f t="shared" si="137"/>
        <v>24656.998817781678</v>
      </c>
      <c r="H296" s="282">
        <f t="shared" si="137"/>
        <v>24432.263410506512</v>
      </c>
      <c r="I296" s="282">
        <f t="shared" si="137"/>
        <v>24102.311757997213</v>
      </c>
      <c r="J296" s="282">
        <f t="shared" si="137"/>
        <v>23873.194543470338</v>
      </c>
      <c r="K296" s="282">
        <f t="shared" si="137"/>
        <v>24450.504710155619</v>
      </c>
      <c r="L296" s="282">
        <f t="shared" si="137"/>
        <v>24916.785672652128</v>
      </c>
      <c r="M296" s="282">
        <f t="shared" si="137"/>
        <v>25036.449572418685</v>
      </c>
      <c r="N296" s="282">
        <f t="shared" si="137"/>
        <v>24924.618653464819</v>
      </c>
    </row>
    <row r="297" spans="2:14" ht="15.75">
      <c r="B297" s="340"/>
      <c r="C297" s="309"/>
      <c r="D297" s="309"/>
      <c r="E297" s="309"/>
      <c r="F297" s="309"/>
      <c r="G297" s="309"/>
      <c r="H297" s="327"/>
      <c r="I297" s="309"/>
      <c r="J297" s="309"/>
      <c r="K297" s="309"/>
      <c r="L297" s="309"/>
      <c r="M297" s="309"/>
      <c r="N297" s="309"/>
    </row>
    <row r="298" spans="2:14" ht="15.75">
      <c r="B298" s="340" t="s">
        <v>162</v>
      </c>
      <c r="C298" s="309"/>
      <c r="D298" s="309"/>
      <c r="E298" s="309"/>
      <c r="F298" s="309"/>
      <c r="G298" s="309"/>
      <c r="H298" s="327"/>
      <c r="I298" s="309"/>
      <c r="J298" s="309"/>
      <c r="K298" s="309"/>
      <c r="L298" s="309"/>
      <c r="M298" s="309"/>
      <c r="N298" s="309"/>
    </row>
    <row r="299" spans="2:14" ht="15.75">
      <c r="B299" s="340"/>
      <c r="C299" s="309"/>
      <c r="D299" s="309"/>
      <c r="E299" s="309"/>
      <c r="F299" s="309"/>
      <c r="G299" s="309"/>
      <c r="H299" s="327"/>
      <c r="I299" s="309"/>
      <c r="J299" s="309"/>
      <c r="K299" s="309"/>
      <c r="L299" s="309"/>
      <c r="M299" s="309"/>
      <c r="N299" s="309"/>
    </row>
    <row r="300" spans="2:14">
      <c r="B300" s="341" t="s">
        <v>49</v>
      </c>
      <c r="C300" s="309"/>
      <c r="D300" s="309"/>
      <c r="E300" s="309"/>
      <c r="F300" s="309"/>
      <c r="G300" s="309"/>
      <c r="H300" s="325"/>
      <c r="I300" s="309"/>
      <c r="J300" s="309"/>
      <c r="K300" s="309"/>
      <c r="L300" s="309"/>
      <c r="M300" s="309"/>
      <c r="N300" s="309"/>
    </row>
    <row r="301" spans="2:14">
      <c r="B301" s="309"/>
      <c r="C301" s="309"/>
      <c r="D301" s="309"/>
      <c r="E301" s="309"/>
      <c r="F301" s="309"/>
      <c r="G301" s="309"/>
      <c r="H301" s="325"/>
      <c r="I301" s="309"/>
      <c r="J301" s="309"/>
      <c r="K301" s="309"/>
      <c r="L301" s="309"/>
      <c r="M301" s="309"/>
      <c r="N301" s="309"/>
    </row>
    <row r="302" spans="2:14">
      <c r="B302" s="338" t="str">
        <f t="shared" ref="B302:B313" si="138">B262</f>
        <v>Age group</v>
      </c>
      <c r="C302" s="338" t="str">
        <f>C293</f>
        <v>2016/17</v>
      </c>
      <c r="D302" s="338" t="str">
        <f t="shared" ref="D302:N302" si="139">D293</f>
        <v>2017/18</v>
      </c>
      <c r="E302" s="338" t="str">
        <f t="shared" si="139"/>
        <v>2018/19</v>
      </c>
      <c r="F302" s="338" t="str">
        <f t="shared" si="139"/>
        <v>2019/20</v>
      </c>
      <c r="G302" s="338" t="str">
        <f t="shared" si="139"/>
        <v>2020/21</v>
      </c>
      <c r="H302" s="338" t="str">
        <f t="shared" si="139"/>
        <v>2021/22</v>
      </c>
      <c r="I302" s="338" t="str">
        <f t="shared" si="139"/>
        <v>2022/23</v>
      </c>
      <c r="J302" s="338" t="str">
        <f t="shared" si="139"/>
        <v>2023/24</v>
      </c>
      <c r="K302" s="338" t="str">
        <f t="shared" si="139"/>
        <v>2024/25</v>
      </c>
      <c r="L302" s="338" t="str">
        <f t="shared" si="139"/>
        <v>2025/26</v>
      </c>
      <c r="M302" s="338" t="str">
        <f t="shared" si="139"/>
        <v>2026/27</v>
      </c>
      <c r="N302" s="338" t="str">
        <f t="shared" si="139"/>
        <v>2027/28</v>
      </c>
    </row>
    <row r="303" spans="2:14">
      <c r="B303" s="338" t="str">
        <f t="shared" si="138"/>
        <v>20-24</v>
      </c>
      <c r="C303" s="459">
        <f>C$296*Entrant_age_breakdowns!$K59*$G$31</f>
        <v>1207.0459014292728</v>
      </c>
      <c r="D303" s="459">
        <f>D$296*Entrant_age_breakdowns!$K59*$G$31</f>
        <v>1144.212116933996</v>
      </c>
      <c r="E303" s="459">
        <f>E$296*Entrant_age_breakdowns!$K59*$G$31</f>
        <v>1105.1655021387878</v>
      </c>
      <c r="F303" s="459">
        <f>F$296*Entrant_age_breakdowns!$K59*$G$31</f>
        <v>1074.2614875084685</v>
      </c>
      <c r="G303" s="459">
        <f>G$296*Entrant_age_breakdowns!$K59*$G$31</f>
        <v>1080.7444522003577</v>
      </c>
      <c r="H303" s="459">
        <f>H$296*Entrant_age_breakdowns!$K59*$G$31</f>
        <v>1070.8940423260437</v>
      </c>
      <c r="I303" s="459">
        <f>I$296*Entrant_age_breakdowns!$K59*$G$31</f>
        <v>1056.4318841137231</v>
      </c>
      <c r="J303" s="459">
        <f>J$296*Entrant_age_breakdowns!$K59*$G$31</f>
        <v>1046.3894146171942</v>
      </c>
      <c r="K303" s="459">
        <f>K$296*Entrant_age_breakdowns!$K59*$G$31</f>
        <v>1071.6935793476573</v>
      </c>
      <c r="L303" s="459">
        <f>L$296*Entrant_age_breakdowns!$K59*$G$31</f>
        <v>1092.1312071023106</v>
      </c>
      <c r="M303" s="459">
        <f>M$296*Entrant_age_breakdowns!$K59*$G$31</f>
        <v>1097.3762126586275</v>
      </c>
      <c r="N303" s="459">
        <f>N$296*Entrant_age_breakdowns!$K59*$G$31</f>
        <v>1092.4745356079436</v>
      </c>
    </row>
    <row r="304" spans="2:14">
      <c r="B304" s="338" t="str">
        <f t="shared" si="138"/>
        <v>25-29</v>
      </c>
      <c r="C304" s="459">
        <f>C$296*Entrant_age_breakdowns!$K60*$G$31</f>
        <v>909.72073318976709</v>
      </c>
      <c r="D304" s="459">
        <f>D$296*Entrant_age_breakdowns!$K60*$G$31</f>
        <v>862.36445913884131</v>
      </c>
      <c r="E304" s="459">
        <f>E$296*Entrant_age_breakdowns!$K60*$G$31</f>
        <v>832.93598835905266</v>
      </c>
      <c r="F304" s="459">
        <f>F$296*Entrant_age_breakdowns!$K60*$G$31</f>
        <v>809.64439454749061</v>
      </c>
      <c r="G304" s="459">
        <f>G$296*Entrant_age_breakdowns!$K60*$G$31</f>
        <v>814.53044518215609</v>
      </c>
      <c r="H304" s="459">
        <f>H$296*Entrant_age_breakdowns!$K60*$G$31</f>
        <v>807.10643414622984</v>
      </c>
      <c r="I304" s="459">
        <f>I$296*Entrant_age_breakdowns!$K60*$G$31</f>
        <v>796.20666210206798</v>
      </c>
      <c r="J304" s="459">
        <f>J$296*Entrant_age_breakdowns!$K60*$G$31</f>
        <v>788.63790046458575</v>
      </c>
      <c r="K304" s="459">
        <f>K$296*Entrant_age_breakdowns!$K60*$G$31</f>
        <v>807.70902548484696</v>
      </c>
      <c r="L304" s="459">
        <f>L$296*Entrant_age_breakdowns!$K60*$G$31</f>
        <v>823.11236158300778</v>
      </c>
      <c r="M304" s="459">
        <f>M$296*Entrant_age_breakdowns!$K60*$G$31</f>
        <v>827.06539294215258</v>
      </c>
      <c r="N304" s="459">
        <f>N$296*Entrant_age_breakdowns!$K60*$G$31</f>
        <v>823.37111981208557</v>
      </c>
    </row>
    <row r="305" spans="1:14">
      <c r="B305" s="338" t="str">
        <f t="shared" si="138"/>
        <v>30-34</v>
      </c>
      <c r="C305" s="459">
        <f>C$296*Entrant_age_breakdowns!$K61*$G$31</f>
        <v>429.21704437712799</v>
      </c>
      <c r="D305" s="459">
        <f>D$296*Entrant_age_breakdowns!$K61*$G$31</f>
        <v>406.87379194889996</v>
      </c>
      <c r="E305" s="459">
        <f>E$296*Entrant_age_breakdowns!$K61*$G$31</f>
        <v>392.98908998728746</v>
      </c>
      <c r="F305" s="459">
        <f>F$296*Entrant_age_breakdowns!$K61*$G$31</f>
        <v>381.99983945149046</v>
      </c>
      <c r="G305" s="459">
        <f>G$296*Entrant_age_breakdowns!$K61*$G$31</f>
        <v>384.30513616022301</v>
      </c>
      <c r="H305" s="459">
        <f>H$296*Entrant_age_breakdowns!$K61*$G$31</f>
        <v>380.8023995972224</v>
      </c>
      <c r="I305" s="459">
        <f>I$296*Entrant_age_breakdowns!$K61*$G$31</f>
        <v>375.65975771769121</v>
      </c>
      <c r="J305" s="459">
        <f>J$296*Entrant_age_breakdowns!$K61*$G$31</f>
        <v>372.08872610203878</v>
      </c>
      <c r="K305" s="459">
        <f>K$296*Entrant_age_breakdowns!$K61*$G$31</f>
        <v>381.08670934623916</v>
      </c>
      <c r="L305" s="459">
        <f>L$296*Entrant_age_breakdowns!$K61*$G$31</f>
        <v>388.35418622391626</v>
      </c>
      <c r="M305" s="459">
        <f>M$296*Entrant_age_breakdowns!$K61*$G$31</f>
        <v>390.21927335934197</v>
      </c>
      <c r="N305" s="459">
        <f>N$296*Entrant_age_breakdowns!$K61*$G$31</f>
        <v>388.47627142901399</v>
      </c>
    </row>
    <row r="306" spans="1:14">
      <c r="B306" s="338" t="str">
        <f t="shared" si="138"/>
        <v>35-39</v>
      </c>
      <c r="C306" s="459">
        <f>C$296*Entrant_age_breakdowns!$K62*$G$31</f>
        <v>343.7297113424886</v>
      </c>
      <c r="D306" s="459">
        <f>D$296*Entrant_age_breakdowns!$K62*$G$31</f>
        <v>325.8365735740378</v>
      </c>
      <c r="E306" s="459">
        <f>E$296*Entrant_age_breakdowns!$K62*$G$31</f>
        <v>314.71729334072967</v>
      </c>
      <c r="F306" s="459">
        <f>F$296*Entrant_age_breakdowns!$K62*$G$31</f>
        <v>305.91677629690776</v>
      </c>
      <c r="G306" s="459">
        <f>G$296*Entrant_age_breakdowns!$K62*$G$31</f>
        <v>307.76292612397566</v>
      </c>
      <c r="H306" s="459">
        <f>H$296*Entrant_age_breakdowns!$K62*$G$31</f>
        <v>304.95783102469744</v>
      </c>
      <c r="I306" s="459">
        <f>I$296*Entrant_age_breakdowns!$K62*$G$31</f>
        <v>300.83945121675129</v>
      </c>
      <c r="J306" s="459">
        <f>J$296*Entrant_age_breakdowns!$K62*$G$31</f>
        <v>297.97966341819267</v>
      </c>
      <c r="K306" s="459">
        <f>K$296*Entrant_age_breakdowns!$K62*$G$31</f>
        <v>305.18551468554364</v>
      </c>
      <c r="L306" s="459">
        <f>L$296*Entrant_age_breakdowns!$K62*$G$31</f>
        <v>311.00552524215442</v>
      </c>
      <c r="M306" s="459">
        <f>M$296*Entrant_age_breakdowns!$K62*$G$31</f>
        <v>312.49914221540109</v>
      </c>
      <c r="N306" s="459">
        <f>N$296*Entrant_age_breakdowns!$K62*$G$31</f>
        <v>311.1032946873737</v>
      </c>
    </row>
    <row r="307" spans="1:14">
      <c r="B307" s="338" t="str">
        <f t="shared" si="138"/>
        <v>40-44</v>
      </c>
      <c r="C307" s="459">
        <f>C$296*Entrant_age_breakdowns!$K63*$G$31</f>
        <v>337.89138236680213</v>
      </c>
      <c r="D307" s="459">
        <f>D$296*Entrant_age_breakdowns!$K63*$G$31</f>
        <v>320.30216369888973</v>
      </c>
      <c r="E307" s="459">
        <f>E$296*Entrant_age_breakdowns!$K63*$G$31</f>
        <v>309.37174702271005</v>
      </c>
      <c r="F307" s="459">
        <f>F$296*Entrant_age_breakdowns!$K63*$G$31</f>
        <v>300.72070880472864</v>
      </c>
      <c r="G307" s="459">
        <f>G$296*Entrant_age_breakdowns!$K63*$G$31</f>
        <v>302.53550134822996</v>
      </c>
      <c r="H307" s="459">
        <f>H$296*Entrant_age_breakdowns!$K63*$G$31</f>
        <v>299.77805144067435</v>
      </c>
      <c r="I307" s="459">
        <f>I$296*Entrant_age_breakdowns!$K63*$G$31</f>
        <v>295.72962327022765</v>
      </c>
      <c r="J307" s="459">
        <f>J$296*Entrant_age_breakdowns!$K63*$G$31</f>
        <v>292.91840963159092</v>
      </c>
      <c r="K307" s="459">
        <f>K$296*Entrant_age_breakdowns!$K63*$G$31</f>
        <v>300.00186784166334</v>
      </c>
      <c r="L307" s="459">
        <f>L$296*Entrant_age_breakdowns!$K63*$G$31</f>
        <v>305.72302416731816</v>
      </c>
      <c r="M307" s="459">
        <f>M$296*Entrant_age_breakdowns!$K63*$G$31</f>
        <v>307.19127170939345</v>
      </c>
      <c r="N307" s="459">
        <f>N$296*Entrant_age_breakdowns!$K63*$G$31</f>
        <v>305.81913297580428</v>
      </c>
    </row>
    <row r="308" spans="1:14">
      <c r="B308" s="338" t="str">
        <f t="shared" si="138"/>
        <v>45-49</v>
      </c>
      <c r="C308" s="459">
        <f>C$296*Entrant_age_breakdowns!$K64*$G$31</f>
        <v>248.885320580762</v>
      </c>
      <c r="D308" s="459">
        <f>D$296*Entrant_age_breakdowns!$K64*$G$31</f>
        <v>235.92938694237094</v>
      </c>
      <c r="E308" s="459">
        <f>E$296*Entrant_age_breakdowns!$K64*$G$31</f>
        <v>227.87821902125745</v>
      </c>
      <c r="F308" s="459">
        <f>F$296*Entrant_age_breakdowns!$K64*$G$31</f>
        <v>221.5060043611588</v>
      </c>
      <c r="G308" s="459">
        <f>G$296*Entrant_age_breakdowns!$K64*$G$31</f>
        <v>222.84275116071635</v>
      </c>
      <c r="H308" s="459">
        <f>H$296*Entrant_age_breakdowns!$K64*$G$31</f>
        <v>220.81165821179243</v>
      </c>
      <c r="I308" s="459">
        <f>I$296*Entrant_age_breakdowns!$K64*$G$31</f>
        <v>217.82965157998078</v>
      </c>
      <c r="J308" s="459">
        <f>J$296*Entrant_age_breakdowns!$K64*$G$31</f>
        <v>215.75895713736969</v>
      </c>
      <c r="K308" s="459">
        <f>K$296*Entrant_age_breakdowns!$K64*$G$31</f>
        <v>220.97651774837249</v>
      </c>
      <c r="L308" s="459">
        <f>L$296*Entrant_age_breakdowns!$K64*$G$31</f>
        <v>225.19062885185579</v>
      </c>
      <c r="M308" s="459">
        <f>M$296*Entrant_age_breakdowns!$K64*$G$31</f>
        <v>226.27211621516656</v>
      </c>
      <c r="N308" s="459">
        <f>N$296*Entrant_age_breakdowns!$K64*$G$31</f>
        <v>225.26142104384107</v>
      </c>
    </row>
    <row r="309" spans="1:14">
      <c r="B309" s="338" t="str">
        <f t="shared" si="138"/>
        <v>50-54</v>
      </c>
      <c r="C309" s="459">
        <f>C$296*Entrant_age_breakdowns!$K65*$G$31</f>
        <v>153.48185369260375</v>
      </c>
      <c r="D309" s="459">
        <f>D$296*Entrant_age_breakdowns!$K65*$G$31</f>
        <v>145.49222735988735</v>
      </c>
      <c r="E309" s="459">
        <f>E$296*Entrant_age_breakdowns!$K65*$G$31</f>
        <v>140.52725725221103</v>
      </c>
      <c r="F309" s="459">
        <f>F$296*Entrant_age_breakdowns!$K65*$G$31</f>
        <v>136.59765901043059</v>
      </c>
      <c r="G309" s="459">
        <f>G$296*Entrant_age_breakdowns!$K65*$G$31</f>
        <v>137.42200002112179</v>
      </c>
      <c r="H309" s="459">
        <f>H$296*Entrant_age_breakdowns!$K65*$G$31</f>
        <v>136.16947170769853</v>
      </c>
      <c r="I309" s="459">
        <f>I$296*Entrant_age_breakdowns!$K65*$G$31</f>
        <v>134.33053679379481</v>
      </c>
      <c r="J309" s="459">
        <f>J$296*Entrant_age_breakdowns!$K65*$G$31</f>
        <v>133.05358714991337</v>
      </c>
      <c r="K309" s="459">
        <f>K$296*Entrant_age_breakdowns!$K65*$G$31</f>
        <v>136.27113679270303</v>
      </c>
      <c r="L309" s="459">
        <f>L$296*Entrant_age_breakdowns!$K65*$G$31</f>
        <v>138.86988220010571</v>
      </c>
      <c r="M309" s="459">
        <f>M$296*Entrant_age_breakdowns!$K65*$G$31</f>
        <v>139.5368105865559</v>
      </c>
      <c r="N309" s="459">
        <f>N$296*Entrant_age_breakdowns!$K65*$G$31</f>
        <v>138.9135381169252</v>
      </c>
    </row>
    <row r="310" spans="1:14">
      <c r="B310" s="338" t="str">
        <f t="shared" si="138"/>
        <v>55-59</v>
      </c>
      <c r="C310" s="459">
        <f>C$296*Entrant_age_breakdowns!$K66*$G$31</f>
        <v>98.723554770565286</v>
      </c>
      <c r="D310" s="459">
        <f>D$296*Entrant_age_breakdowns!$K66*$G$31</f>
        <v>93.584417511811367</v>
      </c>
      <c r="E310" s="459">
        <f>E$296*Entrant_age_breakdowns!$K66*$G$31</f>
        <v>90.390818486475752</v>
      </c>
      <c r="F310" s="459">
        <f>F$296*Entrant_age_breakdowns!$K66*$G$31</f>
        <v>87.863197807449353</v>
      </c>
      <c r="G310" s="459">
        <f>G$296*Entrant_age_breakdowns!$K66*$G$31</f>
        <v>88.393435571462746</v>
      </c>
      <c r="H310" s="459">
        <f>H$296*Entrant_age_breakdowns!$K66*$G$31</f>
        <v>87.587776501175654</v>
      </c>
      <c r="I310" s="459">
        <f>I$296*Entrant_age_breakdowns!$K66*$G$31</f>
        <v>86.404925321544439</v>
      </c>
      <c r="J310" s="459">
        <f>J$296*Entrant_age_breakdowns!$K66*$G$31</f>
        <v>85.583557810832261</v>
      </c>
      <c r="K310" s="459">
        <f>K$296*Entrant_age_breakdowns!$K66*$G$31</f>
        <v>87.653170150953912</v>
      </c>
      <c r="L310" s="459">
        <f>L$296*Entrant_age_breakdowns!$K66*$G$31</f>
        <v>89.324751373033195</v>
      </c>
      <c r="M310" s="459">
        <f>M$296*Entrant_age_breakdowns!$K66*$G$31</f>
        <v>89.753737207538606</v>
      </c>
      <c r="N310" s="459">
        <f>N$296*Entrant_age_breakdowns!$K66*$G$31</f>
        <v>89.352832004010068</v>
      </c>
    </row>
    <row r="311" spans="1:14">
      <c r="B311" s="338" t="str">
        <f t="shared" si="138"/>
        <v>60-64</v>
      </c>
      <c r="C311" s="459">
        <f>C$296*Entrant_age_breakdowns!$K67*$G$31</f>
        <v>46.189387684966881</v>
      </c>
      <c r="D311" s="459">
        <f>D$296*Entrant_age_breakdowns!$K67*$G$31</f>
        <v>43.784960456201652</v>
      </c>
      <c r="E311" s="459">
        <f>E$296*Entrant_age_breakdowns!$K67*$G$31</f>
        <v>42.290784280775476</v>
      </c>
      <c r="F311" s="459">
        <f>F$296*Entrant_age_breakdowns!$K67*$G$31</f>
        <v>41.108196683160948</v>
      </c>
      <c r="G311" s="459">
        <f>G$296*Entrant_age_breakdowns!$K67*$G$31</f>
        <v>41.356276867308928</v>
      </c>
      <c r="H311" s="459">
        <f>H$296*Entrant_age_breakdowns!$K67*$G$31</f>
        <v>40.97933643778444</v>
      </c>
      <c r="I311" s="459">
        <f>I$296*Entrant_age_breakdowns!$K67*$G$31</f>
        <v>40.425920671541228</v>
      </c>
      <c r="J311" s="459">
        <f>J$296*Entrant_age_breakdowns!$K67*$G$31</f>
        <v>40.041630797941252</v>
      </c>
      <c r="K311" s="459">
        <f>K$296*Entrant_age_breakdowns!$K67*$G$31</f>
        <v>41.009931898500611</v>
      </c>
      <c r="L311" s="459">
        <f>L$296*Entrant_age_breakdowns!$K67*$G$31</f>
        <v>41.79200780017338</v>
      </c>
      <c r="M311" s="459">
        <f>M$296*Entrant_age_breakdowns!$K67*$G$31</f>
        <v>41.992715656240541</v>
      </c>
      <c r="N311" s="459">
        <f>N$296*Entrant_age_breakdowns!$K67*$G$31</f>
        <v>41.805145770677406</v>
      </c>
    </row>
    <row r="312" spans="1:14">
      <c r="B312" s="338" t="str">
        <f t="shared" si="138"/>
        <v>65 plus</v>
      </c>
      <c r="C312" s="459">
        <f>C$296*Entrant_age_breakdowns!$K68*$G$31</f>
        <v>11.45700768393295</v>
      </c>
      <c r="D312" s="459">
        <f>D$296*Entrant_age_breakdowns!$K68*$G$31</f>
        <v>10.860603561338644</v>
      </c>
      <c r="E312" s="459">
        <f>E$296*Entrant_age_breakdowns!$K68*$G$31</f>
        <v>10.489981893007267</v>
      </c>
      <c r="F312" s="459">
        <f>F$296*Entrant_age_breakdowns!$K68*$G$31</f>
        <v>10.196647950474768</v>
      </c>
      <c r="G312" s="459">
        <f>G$296*Entrant_age_breakdowns!$K68*$G$31</f>
        <v>10.258182790369167</v>
      </c>
      <c r="H312" s="459">
        <f>H$296*Entrant_age_breakdowns!$K68*$G$31</f>
        <v>10.164684919669908</v>
      </c>
      <c r="I312" s="459">
        <f>I$296*Entrant_age_breakdowns!$K68*$G$31</f>
        <v>10.027413373021504</v>
      </c>
      <c r="J312" s="459">
        <f>J$296*Entrant_age_breakdowns!$K68*$G$31</f>
        <v>9.9320925156695576</v>
      </c>
      <c r="K312" s="459">
        <f>K$296*Entrant_age_breakdowns!$K68*$G$31</f>
        <v>10.172273944900324</v>
      </c>
      <c r="L312" s="459">
        <f>L$296*Entrant_age_breakdowns!$K68*$G$31</f>
        <v>10.366263301849514</v>
      </c>
      <c r="M312" s="459">
        <f>M$296*Entrant_age_breakdowns!$K68*$G$31</f>
        <v>10.416047712607913</v>
      </c>
      <c r="N312" s="459">
        <f>N$296*Entrant_age_breakdowns!$K68*$G$31</f>
        <v>10.369522098654585</v>
      </c>
    </row>
    <row r="313" spans="1:14">
      <c r="B313" s="338" t="str">
        <f t="shared" si="138"/>
        <v>Total</v>
      </c>
      <c r="C313" s="459">
        <f>SUM(C303:C312)</f>
        <v>3786.3418971182896</v>
      </c>
      <c r="D313" s="459">
        <f t="shared" ref="D313:N313" si="140">SUM(D303:D312)</f>
        <v>3589.2407011262744</v>
      </c>
      <c r="E313" s="459">
        <f t="shared" si="140"/>
        <v>3466.7566817822944</v>
      </c>
      <c r="F313" s="459">
        <f t="shared" si="140"/>
        <v>3369.8149124217607</v>
      </c>
      <c r="G313" s="459">
        <f t="shared" si="140"/>
        <v>3390.1511074259215</v>
      </c>
      <c r="H313" s="459">
        <f t="shared" si="140"/>
        <v>3359.2516863129886</v>
      </c>
      <c r="I313" s="459">
        <f t="shared" si="140"/>
        <v>3313.8858261603432</v>
      </c>
      <c r="J313" s="459">
        <f t="shared" si="140"/>
        <v>3282.3839396453277</v>
      </c>
      <c r="K313" s="459">
        <f t="shared" si="140"/>
        <v>3361.7597272413805</v>
      </c>
      <c r="L313" s="459">
        <f t="shared" si="140"/>
        <v>3425.8698378457243</v>
      </c>
      <c r="M313" s="459">
        <f t="shared" si="140"/>
        <v>3442.3227202630264</v>
      </c>
      <c r="N313" s="459">
        <f t="shared" si="140"/>
        <v>3426.9468135463298</v>
      </c>
    </row>
    <row r="314" spans="1:14">
      <c r="A314" s="10">
        <f>SUM(C314:N314)</f>
        <v>0</v>
      </c>
      <c r="C314" s="10">
        <f t="shared" ref="C314:N314" si="141">SUM(C303:C312)-C313</f>
        <v>0</v>
      </c>
      <c r="D314" s="10">
        <f t="shared" si="141"/>
        <v>0</v>
      </c>
      <c r="E314" s="10">
        <f t="shared" si="141"/>
        <v>0</v>
      </c>
      <c r="F314" s="10">
        <f t="shared" si="141"/>
        <v>0</v>
      </c>
      <c r="G314" s="10">
        <f t="shared" si="141"/>
        <v>0</v>
      </c>
      <c r="H314" s="10">
        <f t="shared" si="141"/>
        <v>0</v>
      </c>
      <c r="I314" s="10">
        <f t="shared" si="141"/>
        <v>0</v>
      </c>
      <c r="J314" s="10">
        <f t="shared" si="141"/>
        <v>0</v>
      </c>
      <c r="K314" s="10">
        <f t="shared" si="141"/>
        <v>0</v>
      </c>
      <c r="L314" s="10">
        <f t="shared" si="141"/>
        <v>0</v>
      </c>
      <c r="M314" s="10">
        <f t="shared" si="141"/>
        <v>0</v>
      </c>
      <c r="N314" s="10">
        <f t="shared" si="141"/>
        <v>0</v>
      </c>
    </row>
    <row r="315" spans="1:14">
      <c r="A315" s="10"/>
      <c r="C315" s="10"/>
      <c r="D315" s="10"/>
      <c r="E315" s="10"/>
      <c r="F315" s="10"/>
      <c r="G315" s="10"/>
      <c r="H315" s="10"/>
      <c r="I315" s="10"/>
      <c r="J315" s="10"/>
      <c r="K315" s="10"/>
      <c r="L315" s="10"/>
      <c r="M315" s="10"/>
      <c r="N315" s="10"/>
    </row>
    <row r="316" spans="1:14">
      <c r="B316" s="76" t="s">
        <v>50</v>
      </c>
      <c r="H316" s="12"/>
    </row>
    <row r="317" spans="1:14">
      <c r="H317" s="12"/>
    </row>
    <row r="318" spans="1:14">
      <c r="B318" s="152" t="str">
        <f t="shared" ref="B318:B329" si="142">B302</f>
        <v>Age group</v>
      </c>
      <c r="C318" s="152" t="str">
        <f>C293</f>
        <v>2016/17</v>
      </c>
      <c r="D318" s="152" t="str">
        <f t="shared" ref="D318:N318" si="143">D302</f>
        <v>2017/18</v>
      </c>
      <c r="E318" s="152" t="str">
        <f t="shared" si="143"/>
        <v>2018/19</v>
      </c>
      <c r="F318" s="152" t="str">
        <f t="shared" si="143"/>
        <v>2019/20</v>
      </c>
      <c r="G318" s="152" t="str">
        <f t="shared" si="143"/>
        <v>2020/21</v>
      </c>
      <c r="H318" s="152" t="str">
        <f t="shared" si="143"/>
        <v>2021/22</v>
      </c>
      <c r="I318" s="152" t="str">
        <f t="shared" si="143"/>
        <v>2022/23</v>
      </c>
      <c r="J318" s="152" t="str">
        <f t="shared" si="143"/>
        <v>2023/24</v>
      </c>
      <c r="K318" s="152" t="str">
        <f t="shared" si="143"/>
        <v>2024/25</v>
      </c>
      <c r="L318" s="152" t="str">
        <f t="shared" si="143"/>
        <v>2025/26</v>
      </c>
      <c r="M318" s="152" t="str">
        <f t="shared" si="143"/>
        <v>2026/27</v>
      </c>
      <c r="N318" s="152" t="str">
        <f t="shared" si="143"/>
        <v>2027/28</v>
      </c>
    </row>
    <row r="319" spans="1:14">
      <c r="B319" s="152" t="str">
        <f t="shared" si="142"/>
        <v>20-24</v>
      </c>
      <c r="C319" s="459">
        <f>C$296*Entrant_age_breakdowns!$K59*$H$31</f>
        <v>7571.9519725468017</v>
      </c>
      <c r="D319" s="459">
        <f>D$296*Entrant_age_breakdowns!$K59*$H$31</f>
        <v>7177.7876761532461</v>
      </c>
      <c r="E319" s="459">
        <f>E$296*Entrant_age_breakdowns!$K59*$H$31</f>
        <v>6932.8433110965752</v>
      </c>
      <c r="F319" s="459">
        <f>F$296*Entrant_age_breakdowns!$K59*$H$31</f>
        <v>6738.9785092173952</v>
      </c>
      <c r="G319" s="459">
        <f>G$296*Entrant_age_breakdowns!$K59*$H$31</f>
        <v>6779.6469686592245</v>
      </c>
      <c r="H319" s="459">
        <f>H$296*Entrant_age_breakdowns!$K59*$H$31</f>
        <v>6717.854098653298</v>
      </c>
      <c r="I319" s="459">
        <f>I$296*Entrant_age_breakdowns!$K59*$H$31</f>
        <v>6627.1311466318393</v>
      </c>
      <c r="J319" s="459">
        <f>J$296*Entrant_age_breakdowns!$K59*$H$31</f>
        <v>6564.1334622658669</v>
      </c>
      <c r="K319" s="459">
        <f>K$296*Entrant_age_breakdowns!$K59*$H$31</f>
        <v>6722.8696957575685</v>
      </c>
      <c r="L319" s="459">
        <f>L$296*Entrant_age_breakdowns!$K59*$H$31</f>
        <v>6851.0775258059366</v>
      </c>
      <c r="M319" s="459">
        <f>M$296*Entrant_age_breakdowns!$K59*$H$31</f>
        <v>6883.9801106381683</v>
      </c>
      <c r="N319" s="459">
        <f>N$296*Entrant_age_breakdowns!$K59*$H$31</f>
        <v>6853.2312690499857</v>
      </c>
    </row>
    <row r="320" spans="1:14">
      <c r="B320" s="152" t="str">
        <f t="shared" si="142"/>
        <v>25-29</v>
      </c>
      <c r="C320" s="459">
        <f>C$296*Entrant_age_breakdowns!$K60*$H$31</f>
        <v>5706.7934964083915</v>
      </c>
      <c r="D320" s="459">
        <f>D$296*Entrant_age_breakdowns!$K60*$H$31</f>
        <v>5409.7215853172083</v>
      </c>
      <c r="E320" s="459">
        <f>E$296*Entrant_age_breakdowns!$K60*$H$31</f>
        <v>5225.1130570862597</v>
      </c>
      <c r="F320" s="459">
        <f>F$296*Entrant_age_breakdowns!$K60*$H$31</f>
        <v>5079.0019361285704</v>
      </c>
      <c r="G320" s="459">
        <f>G$296*Entrant_age_breakdowns!$K60*$H$31</f>
        <v>5109.6527512279054</v>
      </c>
      <c r="H320" s="459">
        <f>H$296*Entrant_age_breakdowns!$K60*$H$31</f>
        <v>5063.0809887612686</v>
      </c>
      <c r="I320" s="459">
        <f>I$296*Entrant_age_breakdowns!$K60*$H$31</f>
        <v>4994.7053368226188</v>
      </c>
      <c r="J320" s="459">
        <f>J$296*Entrant_age_breakdowns!$K60*$H$31</f>
        <v>4947.2255354805093</v>
      </c>
      <c r="K320" s="459">
        <f>K$296*Entrant_age_breakdowns!$K60*$H$31</f>
        <v>5066.8611206267424</v>
      </c>
      <c r="L320" s="459">
        <f>L$296*Entrant_age_breakdowns!$K60*$H$31</f>
        <v>5163.488200851416</v>
      </c>
      <c r="M320" s="459">
        <f>M$296*Entrant_age_breakdowns!$K60*$H$31</f>
        <v>5188.2860677444423</v>
      </c>
      <c r="N320" s="459">
        <f>N$296*Entrant_age_breakdowns!$K60*$H$31</f>
        <v>5165.1114240285615</v>
      </c>
    </row>
    <row r="321" spans="1:15">
      <c r="B321" s="152" t="str">
        <f t="shared" si="142"/>
        <v>30-34</v>
      </c>
      <c r="C321" s="459">
        <f>C$296*Entrant_age_breakdowns!$K61*$H$31</f>
        <v>2692.53293679531</v>
      </c>
      <c r="D321" s="459">
        <f>D$296*Entrant_age_breakdowns!$K61*$H$31</f>
        <v>2552.3708815688246</v>
      </c>
      <c r="E321" s="459">
        <f>E$296*Entrant_age_breakdowns!$K61*$H$31</f>
        <v>2465.2703858196855</v>
      </c>
      <c r="F321" s="459">
        <f>F$296*Entrant_age_breakdowns!$K61*$H$31</f>
        <v>2396.3334239586579</v>
      </c>
      <c r="G321" s="459">
        <f>G$296*Entrant_age_breakdowns!$K61*$H$31</f>
        <v>2410.7948424849328</v>
      </c>
      <c r="H321" s="459">
        <f>H$296*Entrant_age_breakdowns!$K61*$H$31</f>
        <v>2388.8217319378373</v>
      </c>
      <c r="I321" s="459">
        <f>I$296*Entrant_age_breakdowns!$K61*$H$31</f>
        <v>2356.5612874280555</v>
      </c>
      <c r="J321" s="459">
        <f>J$296*Entrant_age_breakdowns!$K61*$H$31</f>
        <v>2334.1597533570248</v>
      </c>
      <c r="K321" s="459">
        <f>K$296*Entrant_age_breakdowns!$K61*$H$31</f>
        <v>2390.6052430390578</v>
      </c>
      <c r="L321" s="459">
        <f>L$296*Entrant_age_breakdowns!$K61*$H$31</f>
        <v>2436.1950468851292</v>
      </c>
      <c r="M321" s="459">
        <f>M$296*Entrant_age_breakdowns!$K61*$H$31</f>
        <v>2447.8949749469666</v>
      </c>
      <c r="N321" s="459">
        <f>N$296*Entrant_age_breakdowns!$K61*$H$31</f>
        <v>2436.960902855034</v>
      </c>
    </row>
    <row r="322" spans="1:15">
      <c r="B322" s="152" t="str">
        <f t="shared" si="142"/>
        <v>35-39</v>
      </c>
      <c r="C322" s="459">
        <f>C$296*Entrant_age_breakdowns!$K62*$H$31</f>
        <v>2156.2600583298572</v>
      </c>
      <c r="D322" s="459">
        <f>D$296*Entrant_age_breakdowns!$K62*$H$31</f>
        <v>2044.0141365629697</v>
      </c>
      <c r="E322" s="459">
        <f>E$296*Entrant_age_breakdowns!$K62*$H$31</f>
        <v>1974.2614819239018</v>
      </c>
      <c r="F322" s="459">
        <f>F$296*Entrant_age_breakdowns!$K62*$H$31</f>
        <v>1919.0547227521972</v>
      </c>
      <c r="G322" s="459">
        <f>G$296*Entrant_age_breakdowns!$K62*$H$31</f>
        <v>1930.6358546777778</v>
      </c>
      <c r="H322" s="459">
        <f>H$296*Entrant_age_breakdowns!$K62*$H$31</f>
        <v>1913.0391374816788</v>
      </c>
      <c r="I322" s="459">
        <f>I$296*Entrant_age_breakdowns!$K62*$H$31</f>
        <v>1887.2040188059523</v>
      </c>
      <c r="J322" s="459">
        <f>J$296*Entrant_age_breakdowns!$K62*$H$31</f>
        <v>1869.264207373164</v>
      </c>
      <c r="K322" s="459">
        <f>K$296*Entrant_age_breakdowns!$K62*$H$31</f>
        <v>1914.4674259525812</v>
      </c>
      <c r="L322" s="459">
        <f>L$296*Entrant_age_breakdowns!$K62*$H$31</f>
        <v>1950.9770900525048</v>
      </c>
      <c r="M322" s="459">
        <f>M$296*Entrant_age_breakdowns!$K62*$H$31</f>
        <v>1960.3467386908976</v>
      </c>
      <c r="N322" s="459">
        <f>N$296*Entrant_age_breakdowns!$K62*$H$31</f>
        <v>1951.5904101778672</v>
      </c>
    </row>
    <row r="323" spans="1:15">
      <c r="B323" s="152" t="str">
        <f t="shared" si="142"/>
        <v>40-44</v>
      </c>
      <c r="C323" s="459">
        <f>C$296*Entrant_age_breakdowns!$K63*$H$31</f>
        <v>2119.635480464608</v>
      </c>
      <c r="D323" s="459">
        <f>D$296*Entrant_age_breakdowns!$K63*$H$31</f>
        <v>2009.2960817471683</v>
      </c>
      <c r="E323" s="459">
        <f>E$296*Entrant_age_breakdowns!$K63*$H$31</f>
        <v>1940.7281921466529</v>
      </c>
      <c r="F323" s="459">
        <f>F$296*Entrant_age_breakdowns!$K63*$H$31</f>
        <v>1886.4591326008167</v>
      </c>
      <c r="G323" s="459">
        <f>G$296*Entrant_age_breakdowns!$K63*$H$31</f>
        <v>1897.8435563110145</v>
      </c>
      <c r="H323" s="459">
        <f>H$296*Entrant_age_breakdowns!$K63*$H$31</f>
        <v>1880.545723443191</v>
      </c>
      <c r="I323" s="459">
        <f>I$296*Entrant_age_breakdowns!$K63*$H$31</f>
        <v>1855.1494202581757</v>
      </c>
      <c r="J323" s="459">
        <f>J$296*Entrant_age_breakdowns!$K63*$H$31</f>
        <v>1837.5143206889543</v>
      </c>
      <c r="K323" s="459">
        <f>K$296*Entrant_age_breakdowns!$K63*$H$31</f>
        <v>1881.949752102706</v>
      </c>
      <c r="L323" s="459">
        <f>L$296*Entrant_age_breakdowns!$K63*$H$31</f>
        <v>1917.8392910788086</v>
      </c>
      <c r="M323" s="459">
        <f>M$296*Entrant_age_breakdowns!$K63*$H$31</f>
        <v>1927.0497940590512</v>
      </c>
      <c r="N323" s="459">
        <f>N$296*Entrant_age_breakdowns!$K63*$H$31</f>
        <v>1918.4421938194034</v>
      </c>
    </row>
    <row r="324" spans="1:15">
      <c r="B324" s="152" t="str">
        <f t="shared" si="142"/>
        <v>45-49</v>
      </c>
      <c r="C324" s="459">
        <f>C$296*Entrant_age_breakdowns!$K64*$H$31</f>
        <v>1561.2891704266883</v>
      </c>
      <c r="D324" s="459">
        <f>D$296*Entrant_age_breakdowns!$K64*$H$31</f>
        <v>1480.0149561211367</v>
      </c>
      <c r="E324" s="459">
        <f>E$296*Entrant_age_breakdowns!$K64*$H$31</f>
        <v>1429.5089590008997</v>
      </c>
      <c r="F324" s="459">
        <f>F$296*Entrant_age_breakdowns!$K64*$H$31</f>
        <v>1389.5352485497126</v>
      </c>
      <c r="G324" s="459">
        <f>G$296*Entrant_age_breakdowns!$K64*$H$31</f>
        <v>1397.9208307000852</v>
      </c>
      <c r="H324" s="459">
        <f>H$296*Entrant_age_breakdowns!$K64*$H$31</f>
        <v>1385.179527123461</v>
      </c>
      <c r="I324" s="459">
        <f>I$296*Entrant_age_breakdowns!$K64*$H$31</f>
        <v>1366.4730214544079</v>
      </c>
      <c r="J324" s="459">
        <f>J$296*Entrant_age_breakdowns!$K64*$H$31</f>
        <v>1353.4832926870886</v>
      </c>
      <c r="K324" s="459">
        <f>K$296*Entrant_age_breakdowns!$K64*$H$31</f>
        <v>1386.2137118978114</v>
      </c>
      <c r="L324" s="459">
        <f>L$296*Entrant_age_breakdowns!$K64*$H$31</f>
        <v>1412.6493651275421</v>
      </c>
      <c r="M324" s="459">
        <f>M$296*Entrant_age_breakdowns!$K64*$H$31</f>
        <v>1419.4336724717855</v>
      </c>
      <c r="N324" s="459">
        <f>N$296*Entrant_age_breakdowns!$K64*$H$31</f>
        <v>1413.0934535231111</v>
      </c>
    </row>
    <row r="325" spans="1:15">
      <c r="B325" s="152" t="str">
        <f t="shared" si="142"/>
        <v>50-54</v>
      </c>
      <c r="C325" s="459">
        <f>C$296*Entrant_age_breakdowns!$K65*$H$31</f>
        <v>962.81112710107436</v>
      </c>
      <c r="D325" s="459">
        <f>D$296*Entrant_age_breakdowns!$K65*$H$31</f>
        <v>912.69118816727837</v>
      </c>
      <c r="E325" s="459">
        <f>E$296*Entrant_age_breakdowns!$K65*$H$31</f>
        <v>881.54530120810011</v>
      </c>
      <c r="F325" s="459">
        <f>F$296*Entrant_age_breakdowns!$K65*$H$31</f>
        <v>856.89443323122111</v>
      </c>
      <c r="G325" s="459">
        <f>G$296*Entrant_age_breakdowns!$K65*$H$31</f>
        <v>862.06562890370003</v>
      </c>
      <c r="H325" s="459">
        <f>H$296*Entrant_age_breakdowns!$K65*$H$31</f>
        <v>854.20835999431915</v>
      </c>
      <c r="I325" s="459">
        <f>I$296*Entrant_age_breakdowns!$K65*$H$31</f>
        <v>842.67248813374567</v>
      </c>
      <c r="J325" s="459">
        <f>J$296*Entrant_age_breakdowns!$K65*$H$31</f>
        <v>834.66202112219128</v>
      </c>
      <c r="K325" s="459">
        <f>K$296*Entrant_age_breakdowns!$K65*$H$31</f>
        <v>854.84611796195509</v>
      </c>
      <c r="L325" s="459">
        <f>L$296*Entrant_age_breakdowns!$K65*$H$31</f>
        <v>871.14837737928906</v>
      </c>
      <c r="M325" s="459">
        <f>M$296*Entrant_age_breakdowns!$K65*$H$31</f>
        <v>875.33210370266193</v>
      </c>
      <c r="N325" s="459">
        <f>N$296*Entrant_age_breakdowns!$K65*$H$31</f>
        <v>871.42223648032507</v>
      </c>
    </row>
    <row r="326" spans="1:15">
      <c r="B326" s="152" t="str">
        <f t="shared" si="142"/>
        <v>55-59</v>
      </c>
      <c r="C326" s="459">
        <f>C$296*Entrant_age_breakdowns!$K66*$H$31</f>
        <v>619.30537554260172</v>
      </c>
      <c r="D326" s="459">
        <f>D$296*Entrant_age_breakdowns!$K66*$H$31</f>
        <v>587.06691596328244</v>
      </c>
      <c r="E326" s="459">
        <f>E$296*Entrant_age_breakdowns!$K66*$H$31</f>
        <v>567.03306438333868</v>
      </c>
      <c r="F326" s="459">
        <f>F$296*Entrant_age_breakdowns!$K66*$H$31</f>
        <v>551.17697940451444</v>
      </c>
      <c r="G326" s="459">
        <f>G$296*Entrant_age_breakdowns!$K66*$H$31</f>
        <v>554.50322812329625</v>
      </c>
      <c r="H326" s="459">
        <f>H$296*Entrant_age_breakdowns!$K66*$H$31</f>
        <v>549.44922663152443</v>
      </c>
      <c r="I326" s="459">
        <f>I$296*Entrant_age_breakdowns!$K66*$H$31</f>
        <v>542.02905121629601</v>
      </c>
      <c r="J326" s="459">
        <f>J$296*Entrant_age_breakdowns!$K66*$H$31</f>
        <v>536.8765086861747</v>
      </c>
      <c r="K326" s="459">
        <f>K$296*Entrant_age_breakdowns!$K66*$H$31</f>
        <v>549.85944928738559</v>
      </c>
      <c r="L326" s="459">
        <f>L$296*Entrant_age_breakdowns!$K66*$H$31</f>
        <v>560.34549022154397</v>
      </c>
      <c r="M326" s="459">
        <f>M$296*Entrant_age_breakdowns!$K66*$H$31</f>
        <v>563.03657274950046</v>
      </c>
      <c r="N326" s="459">
        <f>N$296*Entrant_age_breakdowns!$K66*$H$31</f>
        <v>560.52164357980803</v>
      </c>
    </row>
    <row r="327" spans="1:15">
      <c r="B327" s="152" t="str">
        <f t="shared" si="142"/>
        <v>60-64</v>
      </c>
      <c r="C327" s="459">
        <f>C$296*Entrant_age_breakdowns!$K67*$H$31</f>
        <v>289.75188497618808</v>
      </c>
      <c r="D327" s="459">
        <f>D$296*Entrant_age_breakdowns!$K67*$H$31</f>
        <v>274.66860812968537</v>
      </c>
      <c r="E327" s="459">
        <f>E$296*Entrant_age_breakdowns!$K67*$H$31</f>
        <v>265.29545154512311</v>
      </c>
      <c r="F327" s="459">
        <f>F$296*Entrant_age_breakdowns!$K67*$H$31</f>
        <v>257.87692961330293</v>
      </c>
      <c r="G327" s="459">
        <f>G$296*Entrant_age_breakdowns!$K67*$H$31</f>
        <v>259.43316806080918</v>
      </c>
      <c r="H327" s="459">
        <f>H$296*Entrant_age_breakdowns!$K67*$H$31</f>
        <v>257.06857295676974</v>
      </c>
      <c r="I327" s="459">
        <f>I$296*Entrant_age_breakdowns!$K67*$H$31</f>
        <v>253.59692569142393</v>
      </c>
      <c r="J327" s="459">
        <f>J$296*Entrant_age_breakdowns!$K67*$H$31</f>
        <v>251.18622659291444</v>
      </c>
      <c r="K327" s="459">
        <f>K$296*Entrant_age_breakdowns!$K67*$H$31</f>
        <v>257.26050216082604</v>
      </c>
      <c r="L327" s="459">
        <f>L$296*Entrant_age_breakdowns!$K67*$H$31</f>
        <v>262.16656344593571</v>
      </c>
      <c r="M327" s="459">
        <f>M$296*Entrant_age_breakdowns!$K67*$H$31</f>
        <v>263.42562927338588</v>
      </c>
      <c r="N327" s="459">
        <f>N$296*Entrant_age_breakdowns!$K67*$H$31</f>
        <v>262.24897960057859</v>
      </c>
    </row>
    <row r="328" spans="1:15">
      <c r="B328" s="152" t="str">
        <f t="shared" si="142"/>
        <v>65 plus</v>
      </c>
      <c r="C328" s="459">
        <f>C$296*Entrant_age_breakdowns!$K68*$H$31</f>
        <v>71.871261754931041</v>
      </c>
      <c r="D328" s="459">
        <f>D$296*Entrant_age_breakdowns!$K68*$H$31</f>
        <v>68.129943080002747</v>
      </c>
      <c r="E328" s="459">
        <f>E$296*Entrant_age_breakdowns!$K68*$H$31</f>
        <v>65.804986366039046</v>
      </c>
      <c r="F328" s="459">
        <f>F$296*Entrant_age_breakdowns!$K68*$H$31</f>
        <v>63.96486535478018</v>
      </c>
      <c r="G328" s="459">
        <f>G$296*Entrant_age_breakdowns!$K68*$H$31</f>
        <v>64.350881207008356</v>
      </c>
      <c r="H328" s="459">
        <f>H$296*Entrant_age_breakdowns!$K68*$H$31</f>
        <v>63.764357210172882</v>
      </c>
      <c r="I328" s="459">
        <f>I$296*Entrant_age_breakdowns!$K68*$H$31</f>
        <v>62.903235394351178</v>
      </c>
      <c r="J328" s="459">
        <f>J$296*Entrant_age_breakdowns!$K68*$H$31</f>
        <v>62.305275571119694</v>
      </c>
      <c r="K328" s="459">
        <f>K$296*Entrant_age_breakdowns!$K68*$H$31</f>
        <v>63.811964127602543</v>
      </c>
      <c r="L328" s="459">
        <f>L$296*Entrant_age_breakdowns!$K68*$H$31</f>
        <v>65.028883958294315</v>
      </c>
      <c r="M328" s="459">
        <f>M$296*Entrant_age_breakdowns!$K68*$H$31</f>
        <v>65.341187878797896</v>
      </c>
      <c r="N328" s="459">
        <f>N$296*Entrant_age_breakdowns!$K68*$H$31</f>
        <v>65.049326803812505</v>
      </c>
    </row>
    <row r="329" spans="1:15">
      <c r="B329" s="152" t="str">
        <f t="shared" si="142"/>
        <v>Total</v>
      </c>
      <c r="C329" s="459">
        <f>SUM(C319:C328)</f>
        <v>23752.20276434645</v>
      </c>
      <c r="D329" s="459">
        <f t="shared" ref="D329:N329" si="144">SUM(D319:D328)</f>
        <v>22515.761972810804</v>
      </c>
      <c r="E329" s="459">
        <f t="shared" si="144"/>
        <v>21747.404190576581</v>
      </c>
      <c r="F329" s="459">
        <f t="shared" si="144"/>
        <v>21139.276180811168</v>
      </c>
      <c r="G329" s="459">
        <f t="shared" si="144"/>
        <v>21266.847710355752</v>
      </c>
      <c r="H329" s="459">
        <f t="shared" si="144"/>
        <v>21073.011724193526</v>
      </c>
      <c r="I329" s="459">
        <f t="shared" si="144"/>
        <v>20788.425931836871</v>
      </c>
      <c r="J329" s="459">
        <f t="shared" si="144"/>
        <v>20590.810603825012</v>
      </c>
      <c r="K329" s="459">
        <f t="shared" si="144"/>
        <v>21088.744982914235</v>
      </c>
      <c r="L329" s="459">
        <f t="shared" si="144"/>
        <v>21490.915834806401</v>
      </c>
      <c r="M329" s="459">
        <f t="shared" si="144"/>
        <v>21594.126852155659</v>
      </c>
      <c r="N329" s="459">
        <f t="shared" si="144"/>
        <v>21497.671839918483</v>
      </c>
    </row>
    <row r="330" spans="1:15">
      <c r="A330" s="10">
        <f>SUM(C330:N330)</f>
        <v>0</v>
      </c>
      <c r="C330" s="309">
        <f t="shared" ref="C330:N330" si="145">SUM(C319:C328)-C329</f>
        <v>0</v>
      </c>
      <c r="D330" s="309">
        <f t="shared" si="145"/>
        <v>0</v>
      </c>
      <c r="E330" s="309">
        <f t="shared" si="145"/>
        <v>0</v>
      </c>
      <c r="F330" s="309">
        <f t="shared" si="145"/>
        <v>0</v>
      </c>
      <c r="G330" s="309">
        <f t="shared" si="145"/>
        <v>0</v>
      </c>
      <c r="H330" s="309">
        <f t="shared" si="145"/>
        <v>0</v>
      </c>
      <c r="I330" s="309">
        <f t="shared" si="145"/>
        <v>0</v>
      </c>
      <c r="J330" s="309">
        <f t="shared" si="145"/>
        <v>0</v>
      </c>
      <c r="K330" s="309">
        <f t="shared" si="145"/>
        <v>0</v>
      </c>
      <c r="L330" s="309">
        <f t="shared" si="145"/>
        <v>0</v>
      </c>
      <c r="M330" s="309">
        <f t="shared" si="145"/>
        <v>0</v>
      </c>
      <c r="N330" s="309">
        <f t="shared" si="145"/>
        <v>0</v>
      </c>
    </row>
    <row r="331" spans="1:15">
      <c r="C331" s="329">
        <f t="shared" ref="C331:N331" si="146">C296</f>
        <v>27538.544661464744</v>
      </c>
      <c r="D331" s="329">
        <f t="shared" si="146"/>
        <v>26105.002673937081</v>
      </c>
      <c r="E331" s="329">
        <f t="shared" si="146"/>
        <v>25214.160872358872</v>
      </c>
      <c r="F331" s="329">
        <f t="shared" si="146"/>
        <v>24509.091093232932</v>
      </c>
      <c r="G331" s="329">
        <f t="shared" si="146"/>
        <v>24656.998817781678</v>
      </c>
      <c r="H331" s="329">
        <f t="shared" si="146"/>
        <v>24432.263410506512</v>
      </c>
      <c r="I331" s="329">
        <f t="shared" si="146"/>
        <v>24102.311757997213</v>
      </c>
      <c r="J331" s="329">
        <f t="shared" si="146"/>
        <v>23873.194543470338</v>
      </c>
      <c r="K331" s="329">
        <f t="shared" si="146"/>
        <v>24450.504710155619</v>
      </c>
      <c r="L331" s="329">
        <f t="shared" si="146"/>
        <v>24916.785672652128</v>
      </c>
      <c r="M331" s="329">
        <f t="shared" si="146"/>
        <v>25036.449572418685</v>
      </c>
      <c r="N331" s="329">
        <f t="shared" si="146"/>
        <v>24924.618653464819</v>
      </c>
      <c r="O331" s="194"/>
    </row>
    <row r="332" spans="1:15">
      <c r="C332" s="329">
        <f t="shared" ref="C332:N332" si="147">C313+C329</f>
        <v>27538.544661464741</v>
      </c>
      <c r="D332" s="329">
        <f t="shared" si="147"/>
        <v>26105.002673937077</v>
      </c>
      <c r="E332" s="329">
        <f t="shared" si="147"/>
        <v>25214.160872358876</v>
      </c>
      <c r="F332" s="329">
        <f t="shared" si="147"/>
        <v>24509.091093232928</v>
      </c>
      <c r="G332" s="329">
        <f t="shared" si="147"/>
        <v>24656.998817781674</v>
      </c>
      <c r="H332" s="329">
        <f t="shared" si="147"/>
        <v>24432.263410506515</v>
      </c>
      <c r="I332" s="329">
        <f t="shared" si="147"/>
        <v>24102.311757997213</v>
      </c>
      <c r="J332" s="329">
        <f t="shared" si="147"/>
        <v>23873.194543470338</v>
      </c>
      <c r="K332" s="329">
        <f t="shared" si="147"/>
        <v>24450.504710155616</v>
      </c>
      <c r="L332" s="329">
        <f t="shared" si="147"/>
        <v>24916.785672652124</v>
      </c>
      <c r="M332" s="329">
        <f t="shared" si="147"/>
        <v>25036.449572418685</v>
      </c>
      <c r="N332" s="329">
        <f t="shared" si="147"/>
        <v>24924.618653464811</v>
      </c>
    </row>
    <row r="333" spans="1:15">
      <c r="A333" s="10">
        <f>SUM(C333:L333)</f>
        <v>0</v>
      </c>
      <c r="C333" s="329">
        <f>C331-C332</f>
        <v>0</v>
      </c>
      <c r="D333" s="329">
        <f t="shared" ref="D333:K333" si="148">D331-D332</f>
        <v>0</v>
      </c>
      <c r="E333" s="329">
        <f t="shared" si="148"/>
        <v>0</v>
      </c>
      <c r="F333" s="329">
        <f t="shared" si="148"/>
        <v>0</v>
      </c>
      <c r="G333" s="329">
        <f t="shared" si="148"/>
        <v>0</v>
      </c>
      <c r="H333" s="329">
        <f t="shared" si="148"/>
        <v>0</v>
      </c>
      <c r="I333" s="329">
        <f t="shared" si="148"/>
        <v>0</v>
      </c>
      <c r="J333" s="329">
        <f t="shared" si="148"/>
        <v>0</v>
      </c>
      <c r="K333" s="329">
        <f t="shared" si="148"/>
        <v>0</v>
      </c>
      <c r="L333" s="329">
        <f>L331-L332</f>
        <v>0</v>
      </c>
      <c r="M333" s="329">
        <f>M331-M332</f>
        <v>0</v>
      </c>
      <c r="N333" s="329">
        <f>N331-N332</f>
        <v>0</v>
      </c>
    </row>
    <row r="334" spans="1:15">
      <c r="C334" s="329"/>
      <c r="D334" s="329"/>
      <c r="E334" s="329"/>
      <c r="F334" s="329"/>
      <c r="G334" s="329"/>
      <c r="H334" s="342"/>
      <c r="I334" s="329"/>
      <c r="J334" s="329"/>
      <c r="K334" s="329"/>
      <c r="L334" s="329"/>
      <c r="M334" s="309"/>
      <c r="N334" s="309"/>
    </row>
    <row r="335" spans="1:15" ht="15.75">
      <c r="B335" s="78" t="s">
        <v>163</v>
      </c>
      <c r="C335" s="329"/>
      <c r="D335" s="329"/>
      <c r="E335" s="329"/>
      <c r="F335" s="329"/>
      <c r="G335" s="329"/>
      <c r="H335" s="342"/>
      <c r="I335" s="329"/>
      <c r="J335" s="329"/>
      <c r="K335" s="329"/>
      <c r="L335" s="329"/>
      <c r="M335" s="309"/>
      <c r="N335" s="309"/>
    </row>
    <row r="336" spans="1:15" ht="15.75">
      <c r="B336" s="78"/>
      <c r="C336" s="329"/>
      <c r="D336" s="329"/>
      <c r="E336" s="329"/>
      <c r="F336" s="329"/>
      <c r="G336" s="329"/>
      <c r="H336" s="342"/>
      <c r="I336" s="329"/>
      <c r="J336" s="329"/>
      <c r="K336" s="329"/>
      <c r="L336" s="329"/>
      <c r="M336" s="309"/>
      <c r="N336" s="309"/>
    </row>
    <row r="337" spans="1:14">
      <c r="B337" s="76" t="s">
        <v>49</v>
      </c>
      <c r="C337" s="329"/>
      <c r="D337" s="329"/>
      <c r="E337" s="329"/>
      <c r="F337" s="329"/>
      <c r="G337" s="329"/>
      <c r="H337" s="339"/>
      <c r="I337" s="329"/>
      <c r="J337" s="329"/>
      <c r="K337" s="329"/>
      <c r="L337" s="329"/>
      <c r="M337" s="309"/>
      <c r="N337" s="309"/>
    </row>
    <row r="338" spans="1:14">
      <c r="C338" s="329"/>
      <c r="D338" s="329"/>
      <c r="E338" s="329"/>
      <c r="F338" s="329"/>
      <c r="G338" s="329"/>
      <c r="H338" s="339"/>
      <c r="I338" s="329"/>
      <c r="J338" s="329"/>
      <c r="K338" s="329"/>
      <c r="L338" s="329"/>
      <c r="M338" s="309"/>
      <c r="N338" s="309"/>
    </row>
    <row r="339" spans="1:14">
      <c r="B339" s="152" t="str">
        <f>B318</f>
        <v>Age group</v>
      </c>
      <c r="C339" s="338" t="str">
        <f t="shared" ref="C339:N339" si="149">C318</f>
        <v>2016/17</v>
      </c>
      <c r="D339" s="338" t="str">
        <f t="shared" si="149"/>
        <v>2017/18</v>
      </c>
      <c r="E339" s="338" t="str">
        <f t="shared" si="149"/>
        <v>2018/19</v>
      </c>
      <c r="F339" s="338" t="str">
        <f t="shared" si="149"/>
        <v>2019/20</v>
      </c>
      <c r="G339" s="338" t="str">
        <f t="shared" si="149"/>
        <v>2020/21</v>
      </c>
      <c r="H339" s="338" t="str">
        <f t="shared" si="149"/>
        <v>2021/22</v>
      </c>
      <c r="I339" s="338" t="str">
        <f t="shared" si="149"/>
        <v>2022/23</v>
      </c>
      <c r="J339" s="338" t="str">
        <f t="shared" si="149"/>
        <v>2023/24</v>
      </c>
      <c r="K339" s="338" t="str">
        <f t="shared" si="149"/>
        <v>2024/25</v>
      </c>
      <c r="L339" s="338" t="str">
        <f t="shared" si="149"/>
        <v>2025/26</v>
      </c>
      <c r="M339" s="338" t="str">
        <f t="shared" si="149"/>
        <v>2026/27</v>
      </c>
      <c r="N339" s="338" t="str">
        <f t="shared" si="149"/>
        <v>2027/28</v>
      </c>
    </row>
    <row r="340" spans="1:14">
      <c r="B340" s="152" t="str">
        <f t="shared" ref="B340:B350" si="150">B319</f>
        <v>20-24</v>
      </c>
      <c r="C340" s="459">
        <f t="shared" ref="C340:N340" si="151">C303+C247</f>
        <v>2769.0106878508054</v>
      </c>
      <c r="D340" s="459">
        <f t="shared" si="151"/>
        <v>3109.1820059340116</v>
      </c>
      <c r="E340" s="459">
        <f t="shared" si="151"/>
        <v>3311.5307747202778</v>
      </c>
      <c r="F340" s="459">
        <f t="shared" si="151"/>
        <v>3424.2192855669355</v>
      </c>
      <c r="G340" s="459">
        <f t="shared" si="151"/>
        <v>3510.6692693900513</v>
      </c>
      <c r="H340" s="459">
        <f t="shared" si="151"/>
        <v>3562.1662627100559</v>
      </c>
      <c r="I340" s="459">
        <f t="shared" si="151"/>
        <v>3584.2478569981567</v>
      </c>
      <c r="J340" s="459">
        <f t="shared" si="151"/>
        <v>3589.8751240135198</v>
      </c>
      <c r="K340" s="459">
        <f t="shared" si="151"/>
        <v>3619.1725598032335</v>
      </c>
      <c r="L340" s="459">
        <f t="shared" si="151"/>
        <v>3660.4004934257136</v>
      </c>
      <c r="M340" s="459">
        <f t="shared" si="151"/>
        <v>3694.9020303884668</v>
      </c>
      <c r="N340" s="459">
        <f t="shared" si="151"/>
        <v>3714.4836395719185</v>
      </c>
    </row>
    <row r="341" spans="1:14">
      <c r="B341" s="152" t="str">
        <f t="shared" si="150"/>
        <v>25-29</v>
      </c>
      <c r="C341" s="459">
        <f t="shared" ref="C341:N341" si="152">C304+C248</f>
        <v>5865.2354400629847</v>
      </c>
      <c r="D341" s="459">
        <f t="shared" si="152"/>
        <v>5553.8863140970552</v>
      </c>
      <c r="E341" s="459">
        <f t="shared" si="152"/>
        <v>5362.5481429031861</v>
      </c>
      <c r="F341" s="459">
        <f t="shared" si="152"/>
        <v>5238.5569698027757</v>
      </c>
      <c r="G341" s="459">
        <f t="shared" si="152"/>
        <v>5174.8897668313648</v>
      </c>
      <c r="H341" s="459">
        <f t="shared" si="152"/>
        <v>5137.3779273926875</v>
      </c>
      <c r="I341" s="459">
        <f t="shared" si="152"/>
        <v>5108.8513148319716</v>
      </c>
      <c r="J341" s="459">
        <f t="shared" si="152"/>
        <v>5084.8228732249836</v>
      </c>
      <c r="K341" s="459">
        <f t="shared" si="152"/>
        <v>5087.7094706364824</v>
      </c>
      <c r="L341" s="459">
        <f t="shared" si="152"/>
        <v>5110.418184052839</v>
      </c>
      <c r="M341" s="459">
        <f t="shared" si="152"/>
        <v>5137.9921294801197</v>
      </c>
      <c r="N341" s="459">
        <f t="shared" si="152"/>
        <v>5160.1964845093107</v>
      </c>
    </row>
    <row r="342" spans="1:14">
      <c r="B342" s="152" t="str">
        <f t="shared" si="150"/>
        <v>30-34</v>
      </c>
      <c r="C342" s="459">
        <f t="shared" ref="C342:N342" si="153">C305+C249</f>
        <v>5883.405825323146</v>
      </c>
      <c r="D342" s="459">
        <f t="shared" si="153"/>
        <v>5766.4264701160237</v>
      </c>
      <c r="E342" s="459">
        <f t="shared" si="153"/>
        <v>5610.4777463968949</v>
      </c>
      <c r="F342" s="459">
        <f t="shared" si="153"/>
        <v>5450.8858359498627</v>
      </c>
      <c r="G342" s="459">
        <f t="shared" si="153"/>
        <v>5314.2094713632705</v>
      </c>
      <c r="H342" s="459">
        <f t="shared" si="153"/>
        <v>5199.4328768445557</v>
      </c>
      <c r="I342" s="459">
        <f t="shared" si="153"/>
        <v>5103.7543566468266</v>
      </c>
      <c r="J342" s="459">
        <f t="shared" si="153"/>
        <v>5025.2121780620037</v>
      </c>
      <c r="K342" s="459">
        <f t="shared" si="153"/>
        <v>4972.5552008586883</v>
      </c>
      <c r="L342" s="459">
        <f t="shared" si="153"/>
        <v>4941.9504422293785</v>
      </c>
      <c r="M342" s="459">
        <f t="shared" si="153"/>
        <v>4925.6378605240261</v>
      </c>
      <c r="N342" s="459">
        <f t="shared" si="153"/>
        <v>4917.0262739121963</v>
      </c>
    </row>
    <row r="343" spans="1:14">
      <c r="B343" s="152" t="str">
        <f t="shared" si="150"/>
        <v>35-39</v>
      </c>
      <c r="C343" s="459">
        <f t="shared" ref="C343:N343" si="154">C306+C250</f>
        <v>5182.1684708767834</v>
      </c>
      <c r="D343" s="459">
        <f t="shared" si="154"/>
        <v>5257.6493827756631</v>
      </c>
      <c r="E343" s="459">
        <f t="shared" si="154"/>
        <v>5280.8044110582423</v>
      </c>
      <c r="F343" s="459">
        <f t="shared" si="154"/>
        <v>5260.2676878889288</v>
      </c>
      <c r="G343" s="459">
        <f t="shared" si="154"/>
        <v>5217.3142377308113</v>
      </c>
      <c r="H343" s="459">
        <f t="shared" si="154"/>
        <v>5157.3390242121422</v>
      </c>
      <c r="I343" s="459">
        <f t="shared" si="154"/>
        <v>5087.4909906812891</v>
      </c>
      <c r="J343" s="459">
        <f t="shared" si="154"/>
        <v>5015.1222326115021</v>
      </c>
      <c r="K343" s="459">
        <f t="shared" si="154"/>
        <v>4954.1262742343642</v>
      </c>
      <c r="L343" s="459">
        <f t="shared" si="154"/>
        <v>4904.9721164430839</v>
      </c>
      <c r="M343" s="459">
        <f t="shared" si="154"/>
        <v>4864.3565343994287</v>
      </c>
      <c r="N343" s="459">
        <f t="shared" si="154"/>
        <v>4829.8297027410126</v>
      </c>
    </row>
    <row r="344" spans="1:14">
      <c r="B344" s="152" t="str">
        <f t="shared" si="150"/>
        <v>40-44</v>
      </c>
      <c r="C344" s="459">
        <f t="shared" ref="C344:N344" si="155">C307+C251</f>
        <v>4754.8098747611102</v>
      </c>
      <c r="D344" s="459">
        <f t="shared" si="155"/>
        <v>4786.4073234229263</v>
      </c>
      <c r="E344" s="459">
        <f t="shared" si="155"/>
        <v>4812.729937860614</v>
      </c>
      <c r="F344" s="459">
        <f t="shared" si="155"/>
        <v>4827.7821093331477</v>
      </c>
      <c r="G344" s="459">
        <f t="shared" si="155"/>
        <v>4836.9179287203779</v>
      </c>
      <c r="H344" s="459">
        <f t="shared" si="155"/>
        <v>4832.97755156329</v>
      </c>
      <c r="I344" s="459">
        <f t="shared" si="155"/>
        <v>4814.9527396228668</v>
      </c>
      <c r="J344" s="459">
        <f t="shared" si="155"/>
        <v>4785.9467076423653</v>
      </c>
      <c r="K344" s="459">
        <f t="shared" si="155"/>
        <v>4758.2643191203406</v>
      </c>
      <c r="L344" s="459">
        <f t="shared" si="155"/>
        <v>4732.295410213821</v>
      </c>
      <c r="M344" s="459">
        <f t="shared" si="155"/>
        <v>4705.5236830064041</v>
      </c>
      <c r="N344" s="459">
        <f t="shared" si="155"/>
        <v>4676.8946649452446</v>
      </c>
    </row>
    <row r="345" spans="1:14">
      <c r="B345" s="152" t="str">
        <f t="shared" si="150"/>
        <v>45-49</v>
      </c>
      <c r="C345" s="459">
        <f t="shared" ref="C345:N345" si="156">C308+C252</f>
        <v>3718.0454987154017</v>
      </c>
      <c r="D345" s="459">
        <f t="shared" si="156"/>
        <v>3813.7018780466979</v>
      </c>
      <c r="E345" s="459">
        <f t="shared" si="156"/>
        <v>3881.1587422650214</v>
      </c>
      <c r="F345" s="459">
        <f t="shared" si="156"/>
        <v>3928.7712434194191</v>
      </c>
      <c r="G345" s="459">
        <f t="shared" si="156"/>
        <v>3967.5686483453642</v>
      </c>
      <c r="H345" s="459">
        <f t="shared" si="156"/>
        <v>3995.4921729697221</v>
      </c>
      <c r="I345" s="459">
        <f t="shared" si="156"/>
        <v>4012.1524173046655</v>
      </c>
      <c r="J345" s="459">
        <f t="shared" si="156"/>
        <v>4018.9438847432134</v>
      </c>
      <c r="K345" s="459">
        <f t="shared" si="156"/>
        <v>4023.8260051687712</v>
      </c>
      <c r="L345" s="459">
        <f t="shared" si="156"/>
        <v>4026.5537538327799</v>
      </c>
      <c r="M345" s="459">
        <f t="shared" si="156"/>
        <v>4024.890358448054</v>
      </c>
      <c r="N345" s="459">
        <f t="shared" si="156"/>
        <v>4017.7866179983862</v>
      </c>
    </row>
    <row r="346" spans="1:14">
      <c r="B346" s="152" t="str">
        <f t="shared" si="150"/>
        <v>50-54</v>
      </c>
      <c r="C346" s="459">
        <f t="shared" ref="C346:N346" si="157">C309+C253</f>
        <v>2804.1927255873729</v>
      </c>
      <c r="D346" s="459">
        <f t="shared" si="157"/>
        <v>2812.2767492692124</v>
      </c>
      <c r="E346" s="459">
        <f t="shared" si="157"/>
        <v>2830.1663184859135</v>
      </c>
      <c r="F346" s="459">
        <f t="shared" si="157"/>
        <v>2851.0594844885213</v>
      </c>
      <c r="G346" s="459">
        <f t="shared" si="157"/>
        <v>2875.308456815118</v>
      </c>
      <c r="H346" s="459">
        <f t="shared" si="157"/>
        <v>2898.3033946581609</v>
      </c>
      <c r="I346" s="459">
        <f t="shared" si="157"/>
        <v>2917.8745790230569</v>
      </c>
      <c r="J346" s="459">
        <f t="shared" si="157"/>
        <v>2933.5511560301325</v>
      </c>
      <c r="K346" s="459">
        <f t="shared" si="157"/>
        <v>2949.1783387708501</v>
      </c>
      <c r="L346" s="459">
        <f t="shared" si="157"/>
        <v>2963.8105015685151</v>
      </c>
      <c r="M346" s="459">
        <f t="shared" si="157"/>
        <v>2975.4154699424316</v>
      </c>
      <c r="N346" s="459">
        <f t="shared" si="157"/>
        <v>2982.7839852441539</v>
      </c>
    </row>
    <row r="347" spans="1:14">
      <c r="B347" s="152" t="str">
        <f t="shared" si="150"/>
        <v>55-59</v>
      </c>
      <c r="C347" s="459">
        <f t="shared" ref="C347:N347" si="158">C310+C254</f>
        <v>1450.2018089955152</v>
      </c>
      <c r="D347" s="459">
        <f t="shared" si="158"/>
        <v>1382.6998883522126</v>
      </c>
      <c r="E347" s="459">
        <f t="shared" si="158"/>
        <v>1340.2674930033486</v>
      </c>
      <c r="F347" s="459">
        <f t="shared" si="158"/>
        <v>1314.9927125722695</v>
      </c>
      <c r="G347" s="459">
        <f t="shared" si="158"/>
        <v>1303.5072921333588</v>
      </c>
      <c r="H347" s="459">
        <f t="shared" si="158"/>
        <v>1299.4518471880779</v>
      </c>
      <c r="I347" s="459">
        <f t="shared" si="158"/>
        <v>1299.283683153486</v>
      </c>
      <c r="J347" s="459">
        <f t="shared" si="158"/>
        <v>1301.2935050932952</v>
      </c>
      <c r="K347" s="459">
        <f t="shared" si="158"/>
        <v>1306.9159923097855</v>
      </c>
      <c r="L347" s="459">
        <f t="shared" si="158"/>
        <v>1314.2979029075393</v>
      </c>
      <c r="M347" s="459">
        <f t="shared" si="158"/>
        <v>1321.3424713466079</v>
      </c>
      <c r="N347" s="459">
        <f t="shared" si="158"/>
        <v>1326.9014956188798</v>
      </c>
    </row>
    <row r="348" spans="1:14">
      <c r="B348" s="152" t="str">
        <f t="shared" si="150"/>
        <v>60-64</v>
      </c>
      <c r="C348" s="459">
        <f t="shared" ref="C348:N348" si="159">C311+C255</f>
        <v>536.18135653145157</v>
      </c>
      <c r="D348" s="459">
        <f t="shared" si="159"/>
        <v>499.33019914731</v>
      </c>
      <c r="E348" s="459">
        <f t="shared" si="159"/>
        <v>470.60330050075231</v>
      </c>
      <c r="F348" s="459">
        <f t="shared" si="159"/>
        <v>449.48276184521592</v>
      </c>
      <c r="G348" s="459">
        <f t="shared" si="159"/>
        <v>435.82256352838374</v>
      </c>
      <c r="H348" s="459">
        <f t="shared" si="159"/>
        <v>427.06618178159124</v>
      </c>
      <c r="I348" s="459">
        <f t="shared" si="159"/>
        <v>421.56046809028362</v>
      </c>
      <c r="J348" s="459">
        <f t="shared" si="159"/>
        <v>418.36415663883304</v>
      </c>
      <c r="K348" s="459">
        <f t="shared" si="159"/>
        <v>417.9670078384666</v>
      </c>
      <c r="L348" s="459">
        <f t="shared" si="159"/>
        <v>419.260254114573</v>
      </c>
      <c r="M348" s="459">
        <f t="shared" si="159"/>
        <v>421.05190459209723</v>
      </c>
      <c r="N348" s="459">
        <f t="shared" si="159"/>
        <v>422.66515863574841</v>
      </c>
    </row>
    <row r="349" spans="1:14">
      <c r="B349" s="152" t="str">
        <f t="shared" si="150"/>
        <v>65 plus</v>
      </c>
      <c r="C349" s="459">
        <f t="shared" ref="C349:N349" si="160">C312+C256</f>
        <v>182.15032643452435</v>
      </c>
      <c r="D349" s="459">
        <f t="shared" si="160"/>
        <v>212.09612909903987</v>
      </c>
      <c r="E349" s="459">
        <f t="shared" si="160"/>
        <v>227.42425425497197</v>
      </c>
      <c r="F349" s="459">
        <f t="shared" si="160"/>
        <v>233.79463185635527</v>
      </c>
      <c r="G349" s="459">
        <f t="shared" si="160"/>
        <v>235.34865373145635</v>
      </c>
      <c r="H349" s="459">
        <f t="shared" si="160"/>
        <v>234.43597822583891</v>
      </c>
      <c r="I349" s="459">
        <f t="shared" si="160"/>
        <v>232.44623059450552</v>
      </c>
      <c r="J349" s="459">
        <f t="shared" si="160"/>
        <v>230.20154638459795</v>
      </c>
      <c r="K349" s="459">
        <f t="shared" si="160"/>
        <v>228.43627042872313</v>
      </c>
      <c r="L349" s="459">
        <f t="shared" si="160"/>
        <v>227.3474763841283</v>
      </c>
      <c r="M349" s="459">
        <f t="shared" si="160"/>
        <v>226.81998933772132</v>
      </c>
      <c r="N349" s="459">
        <f t="shared" si="160"/>
        <v>226.65583426829599</v>
      </c>
    </row>
    <row r="350" spans="1:14">
      <c r="B350" s="152" t="str">
        <f t="shared" si="150"/>
        <v>Total</v>
      </c>
      <c r="C350" s="459">
        <f t="shared" ref="C350:N350" si="161">SUM(C340:C349)</f>
        <v>33145.402015139094</v>
      </c>
      <c r="D350" s="459">
        <f t="shared" si="161"/>
        <v>33193.656340260153</v>
      </c>
      <c r="E350" s="459">
        <f t="shared" si="161"/>
        <v>33127.711121449225</v>
      </c>
      <c r="F350" s="459">
        <f t="shared" si="161"/>
        <v>32979.812722723422</v>
      </c>
      <c r="G350" s="459">
        <f t="shared" si="161"/>
        <v>32871.556288589556</v>
      </c>
      <c r="H350" s="459">
        <f t="shared" si="161"/>
        <v>32744.043217546125</v>
      </c>
      <c r="I350" s="459">
        <f t="shared" si="161"/>
        <v>32582.614636947103</v>
      </c>
      <c r="J350" s="459">
        <f t="shared" si="161"/>
        <v>32403.333364444443</v>
      </c>
      <c r="K350" s="459">
        <f t="shared" si="161"/>
        <v>32318.151439169709</v>
      </c>
      <c r="L350" s="459">
        <f t="shared" si="161"/>
        <v>32301.306535172374</v>
      </c>
      <c r="M350" s="459">
        <f t="shared" si="161"/>
        <v>32297.932431465357</v>
      </c>
      <c r="N350" s="459">
        <f t="shared" si="161"/>
        <v>32275.223857445144</v>
      </c>
    </row>
    <row r="351" spans="1:14">
      <c r="A351" s="10">
        <f>SUM(C351:N351)</f>
        <v>0</v>
      </c>
      <c r="C351" s="309">
        <f t="shared" ref="C351:N351" si="162">SUM(C340:C349)-C350</f>
        <v>0</v>
      </c>
      <c r="D351" s="309">
        <f t="shared" si="162"/>
        <v>0</v>
      </c>
      <c r="E351" s="309">
        <f t="shared" si="162"/>
        <v>0</v>
      </c>
      <c r="F351" s="309">
        <f t="shared" si="162"/>
        <v>0</v>
      </c>
      <c r="G351" s="309">
        <f t="shared" si="162"/>
        <v>0</v>
      </c>
      <c r="H351" s="309">
        <f t="shared" si="162"/>
        <v>0</v>
      </c>
      <c r="I351" s="309">
        <f t="shared" si="162"/>
        <v>0</v>
      </c>
      <c r="J351" s="309">
        <f t="shared" si="162"/>
        <v>0</v>
      </c>
      <c r="K351" s="309">
        <f t="shared" si="162"/>
        <v>0</v>
      </c>
      <c r="L351" s="309">
        <f t="shared" si="162"/>
        <v>0</v>
      </c>
      <c r="M351" s="309">
        <f t="shared" si="162"/>
        <v>0</v>
      </c>
      <c r="N351" s="309">
        <f t="shared" si="162"/>
        <v>0</v>
      </c>
    </row>
    <row r="352" spans="1:14">
      <c r="A352" s="10"/>
      <c r="C352" s="309"/>
      <c r="D352" s="309"/>
      <c r="E352" s="309"/>
      <c r="F352" s="309"/>
      <c r="G352" s="309"/>
      <c r="H352" s="309"/>
      <c r="I352" s="309"/>
      <c r="J352" s="309"/>
      <c r="K352" s="309"/>
      <c r="L352" s="309"/>
      <c r="M352" s="309"/>
      <c r="N352" s="309"/>
    </row>
    <row r="353" spans="1:14">
      <c r="B353" s="76" t="s">
        <v>50</v>
      </c>
      <c r="C353" s="329"/>
      <c r="D353" s="329"/>
      <c r="E353" s="329"/>
      <c r="F353" s="329"/>
      <c r="G353" s="329"/>
      <c r="H353" s="339"/>
      <c r="I353" s="329"/>
      <c r="J353" s="329"/>
      <c r="K353" s="329"/>
      <c r="L353" s="329"/>
      <c r="M353" s="309"/>
      <c r="N353" s="309"/>
    </row>
    <row r="354" spans="1:14">
      <c r="C354" s="329"/>
      <c r="D354" s="329"/>
      <c r="E354" s="329"/>
      <c r="F354" s="329"/>
      <c r="G354" s="329"/>
      <c r="H354" s="339"/>
      <c r="I354" s="329"/>
      <c r="J354" s="329"/>
      <c r="K354" s="329"/>
      <c r="L354" s="329"/>
      <c r="M354" s="309"/>
      <c r="N354" s="309"/>
    </row>
    <row r="355" spans="1:14">
      <c r="B355" s="152" t="str">
        <f t="shared" ref="B355:B366" si="163">B339</f>
        <v>Age group</v>
      </c>
      <c r="C355" s="338" t="str">
        <f t="shared" ref="C355:N355" si="164">C339</f>
        <v>2016/17</v>
      </c>
      <c r="D355" s="338" t="str">
        <f t="shared" si="164"/>
        <v>2017/18</v>
      </c>
      <c r="E355" s="338" t="str">
        <f t="shared" si="164"/>
        <v>2018/19</v>
      </c>
      <c r="F355" s="338" t="str">
        <f t="shared" si="164"/>
        <v>2019/20</v>
      </c>
      <c r="G355" s="338" t="str">
        <f t="shared" si="164"/>
        <v>2020/21</v>
      </c>
      <c r="H355" s="338" t="str">
        <f t="shared" si="164"/>
        <v>2021/22</v>
      </c>
      <c r="I355" s="338" t="str">
        <f t="shared" si="164"/>
        <v>2022/23</v>
      </c>
      <c r="J355" s="338" t="str">
        <f t="shared" si="164"/>
        <v>2023/24</v>
      </c>
      <c r="K355" s="338" t="str">
        <f t="shared" si="164"/>
        <v>2024/25</v>
      </c>
      <c r="L355" s="338" t="str">
        <f t="shared" si="164"/>
        <v>2025/26</v>
      </c>
      <c r="M355" s="338" t="str">
        <f t="shared" si="164"/>
        <v>2026/27</v>
      </c>
      <c r="N355" s="338" t="str">
        <f t="shared" si="164"/>
        <v>2027/28</v>
      </c>
    </row>
    <row r="356" spans="1:14">
      <c r="B356" s="152" t="str">
        <f t="shared" si="163"/>
        <v>20-24</v>
      </c>
      <c r="C356" s="459">
        <f t="shared" ref="C356:N356" si="165">C319+C263</f>
        <v>19079.187473724327</v>
      </c>
      <c r="D356" s="459">
        <f t="shared" si="165"/>
        <v>21001.681464151836</v>
      </c>
      <c r="E356" s="459">
        <f t="shared" si="165"/>
        <v>22149.687022583057</v>
      </c>
      <c r="F356" s="459">
        <f t="shared" si="165"/>
        <v>22787.613769984535</v>
      </c>
      <c r="G356" s="459">
        <f t="shared" si="165"/>
        <v>23290.494344735067</v>
      </c>
      <c r="H356" s="459">
        <f t="shared" si="165"/>
        <v>23593.065400759686</v>
      </c>
      <c r="I356" s="459">
        <f t="shared" si="165"/>
        <v>23721.571393763657</v>
      </c>
      <c r="J356" s="459">
        <f t="shared" si="165"/>
        <v>23751.683188030074</v>
      </c>
      <c r="K356" s="459">
        <f t="shared" si="165"/>
        <v>23932.237030174052</v>
      </c>
      <c r="L356" s="459">
        <f t="shared" si="165"/>
        <v>24191.265794827246</v>
      </c>
      <c r="M356" s="459">
        <f t="shared" si="165"/>
        <v>24411.848601132937</v>
      </c>
      <c r="N356" s="459">
        <f t="shared" si="165"/>
        <v>24540.923823857142</v>
      </c>
    </row>
    <row r="357" spans="1:14">
      <c r="B357" s="152" t="str">
        <f t="shared" si="163"/>
        <v>25-29</v>
      </c>
      <c r="C357" s="459">
        <f t="shared" ref="C357:N357" si="166">C320+C264</f>
        <v>34937.501924100499</v>
      </c>
      <c r="D357" s="459">
        <f t="shared" si="166"/>
        <v>34366.703230160718</v>
      </c>
      <c r="E357" s="459">
        <f t="shared" si="166"/>
        <v>34116.333454389984</v>
      </c>
      <c r="F357" s="459">
        <f t="shared" si="166"/>
        <v>33996.936338206157</v>
      </c>
      <c r="G357" s="459">
        <f t="shared" si="166"/>
        <v>34056.819264588034</v>
      </c>
      <c r="H357" s="459">
        <f t="shared" si="166"/>
        <v>34145.600569609342</v>
      </c>
      <c r="I357" s="459">
        <f t="shared" si="166"/>
        <v>34197.132967162441</v>
      </c>
      <c r="J357" s="459">
        <f t="shared" si="166"/>
        <v>34210.662329976389</v>
      </c>
      <c r="K357" s="459">
        <f t="shared" si="166"/>
        <v>34345.654189603098</v>
      </c>
      <c r="L357" s="459">
        <f t="shared" si="166"/>
        <v>34573.643274629067</v>
      </c>
      <c r="M357" s="459">
        <f t="shared" si="166"/>
        <v>34811.929563147067</v>
      </c>
      <c r="N357" s="459">
        <f t="shared" si="166"/>
        <v>35002.743405416353</v>
      </c>
    </row>
    <row r="358" spans="1:14">
      <c r="B358" s="152" t="str">
        <f t="shared" si="163"/>
        <v>30-34</v>
      </c>
      <c r="C358" s="459">
        <f t="shared" ref="C358:N358" si="167">C321+C265</f>
        <v>33876.596629732252</v>
      </c>
      <c r="D358" s="459">
        <f t="shared" si="167"/>
        <v>33911.552296559901</v>
      </c>
      <c r="E358" s="459">
        <f t="shared" si="167"/>
        <v>33745.158518264623</v>
      </c>
      <c r="F358" s="459">
        <f t="shared" si="167"/>
        <v>33507.701099606013</v>
      </c>
      <c r="G358" s="459">
        <f t="shared" si="167"/>
        <v>33325.440434323187</v>
      </c>
      <c r="H358" s="459">
        <f t="shared" si="167"/>
        <v>33180.351724212502</v>
      </c>
      <c r="I358" s="459">
        <f t="shared" si="167"/>
        <v>33057.648942245469</v>
      </c>
      <c r="J358" s="459">
        <f t="shared" si="167"/>
        <v>32954.426549641277</v>
      </c>
      <c r="K358" s="459">
        <f t="shared" si="167"/>
        <v>32937.395604852441</v>
      </c>
      <c r="L358" s="459">
        <f t="shared" si="167"/>
        <v>32995.288157043018</v>
      </c>
      <c r="M358" s="459">
        <f t="shared" si="167"/>
        <v>33091.540270557183</v>
      </c>
      <c r="N358" s="459">
        <f t="shared" si="167"/>
        <v>33195.283310598505</v>
      </c>
    </row>
    <row r="359" spans="1:14">
      <c r="B359" s="152" t="str">
        <f t="shared" si="163"/>
        <v>35-39</v>
      </c>
      <c r="C359" s="459">
        <f t="shared" ref="C359:N359" si="168">C322+C266</f>
        <v>30793.234493820019</v>
      </c>
      <c r="D359" s="459">
        <f t="shared" si="168"/>
        <v>31060.342691644757</v>
      </c>
      <c r="E359" s="459">
        <f t="shared" si="168"/>
        <v>31194.451080627427</v>
      </c>
      <c r="F359" s="459">
        <f t="shared" si="168"/>
        <v>31207.612532754934</v>
      </c>
      <c r="G359" s="459">
        <f t="shared" si="168"/>
        <v>31185.048040407561</v>
      </c>
      <c r="H359" s="459">
        <f t="shared" si="168"/>
        <v>31117.101029204405</v>
      </c>
      <c r="I359" s="459">
        <f t="shared" si="168"/>
        <v>31014.244142089479</v>
      </c>
      <c r="J359" s="459">
        <f t="shared" si="168"/>
        <v>30897.61889871399</v>
      </c>
      <c r="K359" s="459">
        <f t="shared" si="168"/>
        <v>30837.560548591402</v>
      </c>
      <c r="L359" s="459">
        <f t="shared" si="168"/>
        <v>30826.538287258347</v>
      </c>
      <c r="M359" s="459">
        <f t="shared" si="168"/>
        <v>30838.458259214931</v>
      </c>
      <c r="N359" s="459">
        <f t="shared" si="168"/>
        <v>30856.294675793386</v>
      </c>
    </row>
    <row r="360" spans="1:14">
      <c r="B360" s="152" t="str">
        <f t="shared" si="163"/>
        <v>40-44</v>
      </c>
      <c r="C360" s="459">
        <f t="shared" ref="C360:N360" si="169">C323+C267</f>
        <v>29127.701774786106</v>
      </c>
      <c r="D360" s="459">
        <f t="shared" si="169"/>
        <v>29357.484786247969</v>
      </c>
      <c r="E360" s="459">
        <f t="shared" si="169"/>
        <v>29509.152008203077</v>
      </c>
      <c r="F360" s="459">
        <f t="shared" si="169"/>
        <v>29592.41425149819</v>
      </c>
      <c r="G360" s="459">
        <f t="shared" si="169"/>
        <v>29668.075445488397</v>
      </c>
      <c r="H360" s="459">
        <f t="shared" si="169"/>
        <v>29702.77678634207</v>
      </c>
      <c r="I360" s="459">
        <f t="shared" si="169"/>
        <v>29690.535910303613</v>
      </c>
      <c r="J360" s="459">
        <f t="shared" si="169"/>
        <v>29644.714125123402</v>
      </c>
      <c r="K360" s="459">
        <f t="shared" si="169"/>
        <v>29633.468392691371</v>
      </c>
      <c r="L360" s="459">
        <f t="shared" si="169"/>
        <v>29649.856167071925</v>
      </c>
      <c r="M360" s="459">
        <f t="shared" si="169"/>
        <v>29669.190390255713</v>
      </c>
      <c r="N360" s="459">
        <f t="shared" si="169"/>
        <v>29677.154050060013</v>
      </c>
    </row>
    <row r="361" spans="1:14">
      <c r="B361" s="152" t="str">
        <f t="shared" si="163"/>
        <v>45-49</v>
      </c>
      <c r="C361" s="459">
        <f t="shared" ref="C361:N361" si="170">C324+C268</f>
        <v>24689.316865296445</v>
      </c>
      <c r="D361" s="459">
        <f t="shared" si="170"/>
        <v>25115.024254231921</v>
      </c>
      <c r="E361" s="459">
        <f t="shared" si="170"/>
        <v>25421.693273600318</v>
      </c>
      <c r="F361" s="459">
        <f t="shared" si="170"/>
        <v>25636.457527216469</v>
      </c>
      <c r="G361" s="459">
        <f t="shared" si="170"/>
        <v>25818.997465050696</v>
      </c>
      <c r="H361" s="459">
        <f t="shared" si="170"/>
        <v>25955.183636291509</v>
      </c>
      <c r="I361" s="459">
        <f t="shared" si="170"/>
        <v>26043.56721548353</v>
      </c>
      <c r="J361" s="459">
        <f t="shared" si="170"/>
        <v>26093.653497080999</v>
      </c>
      <c r="K361" s="459">
        <f t="shared" si="170"/>
        <v>26154.942085622217</v>
      </c>
      <c r="L361" s="459">
        <f t="shared" si="170"/>
        <v>26224.607466963018</v>
      </c>
      <c r="M361" s="459">
        <f t="shared" si="170"/>
        <v>26285.921192303034</v>
      </c>
      <c r="N361" s="459">
        <f t="shared" si="170"/>
        <v>26328.480906287321</v>
      </c>
    </row>
    <row r="362" spans="1:14">
      <c r="B362" s="152" t="str">
        <f t="shared" si="163"/>
        <v>50-54</v>
      </c>
      <c r="C362" s="459">
        <f t="shared" ref="C362:N362" si="171">C325+C269</f>
        <v>19187.824291684876</v>
      </c>
      <c r="D362" s="459">
        <f t="shared" si="171"/>
        <v>19213.951993901996</v>
      </c>
      <c r="E362" s="459">
        <f t="shared" si="171"/>
        <v>19278.464651743154</v>
      </c>
      <c r="F362" s="459">
        <f t="shared" si="171"/>
        <v>19355.696858004412</v>
      </c>
      <c r="G362" s="459">
        <f t="shared" si="171"/>
        <v>19455.349378599767</v>
      </c>
      <c r="H362" s="459">
        <f t="shared" si="171"/>
        <v>19552.339445135982</v>
      </c>
      <c r="I362" s="459">
        <f t="shared" si="171"/>
        <v>19635.36669025302</v>
      </c>
      <c r="J362" s="459">
        <f t="shared" si="171"/>
        <v>19703.218776663922</v>
      </c>
      <c r="K362" s="459">
        <f t="shared" si="171"/>
        <v>19781.404858970007</v>
      </c>
      <c r="L362" s="459">
        <f t="shared" si="171"/>
        <v>19865.187723106432</v>
      </c>
      <c r="M362" s="459">
        <f t="shared" si="171"/>
        <v>19942.402282042451</v>
      </c>
      <c r="N362" s="459">
        <f t="shared" si="171"/>
        <v>20005.276450656394</v>
      </c>
    </row>
    <row r="363" spans="1:14">
      <c r="B363" s="152" t="str">
        <f t="shared" si="163"/>
        <v>55-59</v>
      </c>
      <c r="C363" s="459">
        <f t="shared" ref="C363:N363" si="172">C326+C270</f>
        <v>11813.953800158382</v>
      </c>
      <c r="D363" s="459">
        <f t="shared" si="172"/>
        <v>10996.51430821511</v>
      </c>
      <c r="E363" s="459">
        <f t="shared" si="172"/>
        <v>10468.314455085476</v>
      </c>
      <c r="F363" s="459">
        <f t="shared" si="172"/>
        <v>10131.561842162462</v>
      </c>
      <c r="G363" s="459">
        <f t="shared" si="172"/>
        <v>9935.9572384079111</v>
      </c>
      <c r="H363" s="459">
        <f t="shared" si="172"/>
        <v>9823.9371568891711</v>
      </c>
      <c r="I363" s="459">
        <f t="shared" si="172"/>
        <v>9761.5131373960885</v>
      </c>
      <c r="J363" s="459">
        <f t="shared" si="172"/>
        <v>9730.2492851786683</v>
      </c>
      <c r="K363" s="459">
        <f t="shared" si="172"/>
        <v>9734.2704202504647</v>
      </c>
      <c r="L363" s="459">
        <f t="shared" si="172"/>
        <v>9759.5254457558676</v>
      </c>
      <c r="M363" s="459">
        <f t="shared" si="172"/>
        <v>9791.1688368697596</v>
      </c>
      <c r="N363" s="459">
        <f t="shared" si="172"/>
        <v>9820.5805415482264</v>
      </c>
    </row>
    <row r="364" spans="1:14">
      <c r="B364" s="152" t="str">
        <f t="shared" si="163"/>
        <v>60-64</v>
      </c>
      <c r="C364" s="459">
        <f t="shared" ref="C364:N364" si="173">C327+C271</f>
        <v>4440.7675812714742</v>
      </c>
      <c r="D364" s="459">
        <f t="shared" si="173"/>
        <v>4117.5774068899782</v>
      </c>
      <c r="E364" s="459">
        <f t="shared" si="173"/>
        <v>3834.0283615845601</v>
      </c>
      <c r="F364" s="459">
        <f t="shared" si="173"/>
        <v>3610.6166308572588</v>
      </c>
      <c r="G364" s="459">
        <f t="shared" si="173"/>
        <v>3452.3084697553686</v>
      </c>
      <c r="H364" s="459">
        <f t="shared" si="173"/>
        <v>3342.254002262041</v>
      </c>
      <c r="I364" s="459">
        <f t="shared" si="173"/>
        <v>3267.0307117680968</v>
      </c>
      <c r="J364" s="459">
        <f t="shared" si="173"/>
        <v>3217.4146282639326</v>
      </c>
      <c r="K364" s="459">
        <f t="shared" si="173"/>
        <v>3193.6405842556815</v>
      </c>
      <c r="L364" s="459">
        <f t="shared" si="173"/>
        <v>3186.7133699963952</v>
      </c>
      <c r="M364" s="459">
        <f t="shared" si="173"/>
        <v>3187.653612309211</v>
      </c>
      <c r="N364" s="459">
        <f t="shared" si="173"/>
        <v>3191.0770105447264</v>
      </c>
    </row>
    <row r="365" spans="1:14">
      <c r="B365" s="152" t="str">
        <f t="shared" si="163"/>
        <v>65 plus</v>
      </c>
      <c r="C365" s="459">
        <f t="shared" ref="C365:N365" si="174">C328+C272</f>
        <v>1198.4911606156554</v>
      </c>
      <c r="D365" s="459">
        <f t="shared" si="174"/>
        <v>1482.0162156153092</v>
      </c>
      <c r="E365" s="459">
        <f t="shared" si="174"/>
        <v>1628.0065693224778</v>
      </c>
      <c r="F365" s="459">
        <f t="shared" si="174"/>
        <v>1686.6619116159391</v>
      </c>
      <c r="G365" s="459">
        <f t="shared" si="174"/>
        <v>1696.5158678697321</v>
      </c>
      <c r="H365" s="459">
        <f t="shared" si="174"/>
        <v>1681.1527151412124</v>
      </c>
      <c r="I365" s="459">
        <f t="shared" si="174"/>
        <v>1654.9673723425526</v>
      </c>
      <c r="J365" s="459">
        <f t="shared" si="174"/>
        <v>1626.4324412986316</v>
      </c>
      <c r="K365" s="459">
        <f t="shared" si="174"/>
        <v>1601.8803342363954</v>
      </c>
      <c r="L365" s="459">
        <f t="shared" si="174"/>
        <v>1583.2392272120055</v>
      </c>
      <c r="M365" s="459">
        <f t="shared" si="174"/>
        <v>1569.9817728166163</v>
      </c>
      <c r="N365" s="459">
        <f t="shared" si="174"/>
        <v>1560.8342336075211</v>
      </c>
    </row>
    <row r="366" spans="1:14">
      <c r="B366" s="152" t="str">
        <f t="shared" si="163"/>
        <v>Total</v>
      </c>
      <c r="C366" s="459">
        <f t="shared" ref="C366:N366" si="175">SUM(C356:C365)</f>
        <v>209144.57599519004</v>
      </c>
      <c r="D366" s="459">
        <f t="shared" si="175"/>
        <v>210622.84864761954</v>
      </c>
      <c r="E366" s="459">
        <f t="shared" si="175"/>
        <v>211345.28939540414</v>
      </c>
      <c r="F366" s="459">
        <f t="shared" si="175"/>
        <v>211513.27276190635</v>
      </c>
      <c r="G366" s="459">
        <f t="shared" si="175"/>
        <v>211885.00594922571</v>
      </c>
      <c r="H366" s="459">
        <f t="shared" si="175"/>
        <v>212093.76246584795</v>
      </c>
      <c r="I366" s="459">
        <f t="shared" si="175"/>
        <v>212043.57848280796</v>
      </c>
      <c r="J366" s="459">
        <f t="shared" si="175"/>
        <v>211830.07371997129</v>
      </c>
      <c r="K366" s="459">
        <f t="shared" si="175"/>
        <v>212152.45404924711</v>
      </c>
      <c r="L366" s="459">
        <f t="shared" si="175"/>
        <v>212855.8649138633</v>
      </c>
      <c r="M366" s="459">
        <f t="shared" si="175"/>
        <v>213600.09478064894</v>
      </c>
      <c r="N366" s="459">
        <f t="shared" si="175"/>
        <v>214178.64840836957</v>
      </c>
    </row>
    <row r="367" spans="1:14">
      <c r="A367" s="10">
        <f>SUM(C367:N367)</f>
        <v>0</v>
      </c>
      <c r="C367" s="10">
        <f t="shared" ref="C367:N367" si="176">SUM(C356:C365)-C366</f>
        <v>0</v>
      </c>
      <c r="D367" s="10">
        <f t="shared" si="176"/>
        <v>0</v>
      </c>
      <c r="E367" s="10">
        <f t="shared" si="176"/>
        <v>0</v>
      </c>
      <c r="F367" s="10">
        <f t="shared" si="176"/>
        <v>0</v>
      </c>
      <c r="G367" s="10">
        <f t="shared" si="176"/>
        <v>0</v>
      </c>
      <c r="H367" s="10">
        <f t="shared" si="176"/>
        <v>0</v>
      </c>
      <c r="I367" s="10">
        <f t="shared" si="176"/>
        <v>0</v>
      </c>
      <c r="J367" s="10">
        <f t="shared" si="176"/>
        <v>0</v>
      </c>
      <c r="K367" s="10">
        <f t="shared" si="176"/>
        <v>0</v>
      </c>
      <c r="L367" s="10">
        <f t="shared" si="176"/>
        <v>0</v>
      </c>
      <c r="M367" s="10">
        <f t="shared" si="176"/>
        <v>0</v>
      </c>
      <c r="N367" s="10">
        <f t="shared" si="176"/>
        <v>0</v>
      </c>
    </row>
    <row r="368" spans="1:14">
      <c r="C368" s="329">
        <f>C350+C366</f>
        <v>242289.97801032913</v>
      </c>
      <c r="D368" s="329">
        <f t="shared" ref="D368:N368" si="177">D350+D366</f>
        <v>243816.50498787969</v>
      </c>
      <c r="E368" s="329">
        <f t="shared" si="177"/>
        <v>244473.00051685335</v>
      </c>
      <c r="F368" s="329">
        <f t="shared" si="177"/>
        <v>244493.08548462979</v>
      </c>
      <c r="G368" s="329">
        <f t="shared" si="177"/>
        <v>244756.56223781526</v>
      </c>
      <c r="H368" s="329">
        <f t="shared" si="177"/>
        <v>244837.80568339408</v>
      </c>
      <c r="I368" s="329">
        <f t="shared" si="177"/>
        <v>244626.19311975507</v>
      </c>
      <c r="J368" s="329">
        <f t="shared" si="177"/>
        <v>244233.40708441572</v>
      </c>
      <c r="K368" s="329">
        <f t="shared" si="177"/>
        <v>244470.60548841683</v>
      </c>
      <c r="L368" s="329">
        <f t="shared" si="177"/>
        <v>245157.17144903567</v>
      </c>
      <c r="M368" s="329">
        <f t="shared" si="177"/>
        <v>245898.02721211431</v>
      </c>
      <c r="N368" s="329">
        <f t="shared" si="177"/>
        <v>246453.87226581472</v>
      </c>
    </row>
    <row r="369" spans="1:14">
      <c r="C369" s="329">
        <f t="shared" ref="C369:N369" si="178">C36</f>
        <v>242289.97801032916</v>
      </c>
      <c r="D369" s="329">
        <f t="shared" si="178"/>
        <v>243816.50498787969</v>
      </c>
      <c r="E369" s="329">
        <f t="shared" si="178"/>
        <v>244473.00051685341</v>
      </c>
      <c r="F369" s="329">
        <f t="shared" si="178"/>
        <v>244493.08548462985</v>
      </c>
      <c r="G369" s="329">
        <f t="shared" si="178"/>
        <v>244756.56223781532</v>
      </c>
      <c r="H369" s="329">
        <f t="shared" si="178"/>
        <v>244837.80568339408</v>
      </c>
      <c r="I369" s="329">
        <f t="shared" si="178"/>
        <v>244626.1931197551</v>
      </c>
      <c r="J369" s="329">
        <f t="shared" si="178"/>
        <v>244233.40708441578</v>
      </c>
      <c r="K369" s="329">
        <f t="shared" si="178"/>
        <v>244470.60548841688</v>
      </c>
      <c r="L369" s="329">
        <f t="shared" si="178"/>
        <v>245157.17144903576</v>
      </c>
      <c r="M369" s="329">
        <f t="shared" si="178"/>
        <v>245898.02721211434</v>
      </c>
      <c r="N369" s="329">
        <f t="shared" si="178"/>
        <v>246453.8722658148</v>
      </c>
    </row>
    <row r="370" spans="1:14">
      <c r="A370" s="10">
        <f>SUM(C370:L370)</f>
        <v>0</v>
      </c>
      <c r="C370" s="194">
        <f>C368-C369</f>
        <v>0</v>
      </c>
      <c r="D370" s="194">
        <f t="shared" ref="D370:N370" si="179">D368-D369</f>
        <v>0</v>
      </c>
      <c r="E370" s="194">
        <f t="shared" si="179"/>
        <v>0</v>
      </c>
      <c r="F370" s="194">
        <f t="shared" si="179"/>
        <v>0</v>
      </c>
      <c r="G370" s="194">
        <f t="shared" si="179"/>
        <v>0</v>
      </c>
      <c r="H370" s="194">
        <f t="shared" si="179"/>
        <v>0</v>
      </c>
      <c r="I370" s="194">
        <f t="shared" si="179"/>
        <v>0</v>
      </c>
      <c r="J370" s="194">
        <f t="shared" si="179"/>
        <v>0</v>
      </c>
      <c r="K370" s="194">
        <f t="shared" si="179"/>
        <v>0</v>
      </c>
      <c r="L370" s="194">
        <f t="shared" si="179"/>
        <v>0</v>
      </c>
      <c r="M370" s="194">
        <f t="shared" si="179"/>
        <v>0</v>
      </c>
      <c r="N370" s="194">
        <f t="shared" si="179"/>
        <v>0</v>
      </c>
    </row>
    <row r="371" spans="1:14">
      <c r="A371" s="10">
        <f>SUM(C371:N371)</f>
        <v>0</v>
      </c>
      <c r="C371" s="194">
        <f>IF(C294&gt;0,0,C294)</f>
        <v>0</v>
      </c>
      <c r="D371" s="194">
        <f>IF(D294&gt;0,0,D294)</f>
        <v>0</v>
      </c>
      <c r="E371" s="194">
        <f t="shared" ref="E371:N371" si="180">IF(E294&gt;0,0,E294)</f>
        <v>0</v>
      </c>
      <c r="F371" s="194">
        <f t="shared" si="180"/>
        <v>0</v>
      </c>
      <c r="G371" s="194">
        <f t="shared" si="180"/>
        <v>0</v>
      </c>
      <c r="H371" s="194">
        <f t="shared" si="180"/>
        <v>0</v>
      </c>
      <c r="I371" s="194">
        <f t="shared" si="180"/>
        <v>0</v>
      </c>
      <c r="J371" s="194">
        <f t="shared" si="180"/>
        <v>0</v>
      </c>
      <c r="K371" s="194">
        <f t="shared" si="180"/>
        <v>0</v>
      </c>
      <c r="L371" s="194">
        <f t="shared" si="180"/>
        <v>0</v>
      </c>
      <c r="M371" s="194">
        <f t="shared" si="180"/>
        <v>0</v>
      </c>
      <c r="N371" s="194">
        <f t="shared" si="180"/>
        <v>0</v>
      </c>
    </row>
    <row r="372" spans="1:14">
      <c r="C372" s="269"/>
      <c r="D372" s="268"/>
    </row>
    <row r="373" spans="1:14">
      <c r="D373" s="268"/>
    </row>
    <row r="374" spans="1:14">
      <c r="C374" s="271"/>
    </row>
    <row r="375" spans="1:14">
      <c r="C375" s="271"/>
    </row>
    <row r="376" spans="1:14">
      <c r="C376" s="270"/>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Q371"/>
  <sheetViews>
    <sheetView showGridLines="0" workbookViewId="0"/>
  </sheetViews>
  <sheetFormatPr defaultColWidth="9.140625" defaultRowHeight="12.75"/>
  <cols>
    <col min="1" max="1" width="9.140625" style="309"/>
    <col min="2" max="2" width="28.7109375" style="309" customWidth="1"/>
    <col min="3" max="15" width="10.7109375" style="309" customWidth="1"/>
    <col min="16"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1687</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Forecast_stock_figures!B16</f>
        <v>Art &amp; Design</v>
      </c>
      <c r="C15" s="307">
        <f>Forecast_stock_figures!C40</f>
        <v>8403.4718802046573</v>
      </c>
      <c r="D15" s="307">
        <f>Forecast_stock_figures!D40</f>
        <v>8310.5880067254166</v>
      </c>
      <c r="E15" s="307">
        <f>Forecast_stock_figures!E40</f>
        <v>8341.9492808008581</v>
      </c>
      <c r="F15" s="307">
        <f>Forecast_stock_figures!F40</f>
        <v>8263.3569449253591</v>
      </c>
      <c r="G15" s="307">
        <f>Forecast_stock_figures!G40</f>
        <v>8200.1412123163773</v>
      </c>
      <c r="H15" s="307">
        <f>Forecast_stock_figures!H40</f>
        <v>8247.0972917838062</v>
      </c>
      <c r="I15" s="307">
        <f>Forecast_stock_figures!I40</f>
        <v>8308.7412098493205</v>
      </c>
      <c r="J15" s="307">
        <f>Forecast_stock_figures!J40</f>
        <v>8371.7661985209452</v>
      </c>
      <c r="K15" s="307">
        <f>Forecast_stock_figures!K40</f>
        <v>8443.8747079762379</v>
      </c>
      <c r="L15" s="307">
        <f>Forecast_stock_figures!L40</f>
        <v>8473.5651607866948</v>
      </c>
      <c r="M15" s="307">
        <f>Forecast_stock_figures!M40</f>
        <v>8465.4356425603892</v>
      </c>
      <c r="N15" s="307">
        <f>Forecast_stock_figures!N40</f>
        <v>8441.2110439638218</v>
      </c>
    </row>
    <row r="17" spans="1:9" ht="15.75">
      <c r="B17" s="340" t="s">
        <v>149</v>
      </c>
    </row>
    <row r="19" spans="1:9">
      <c r="B19" s="1243" t="str">
        <f>Stock_ages_breakdowns!B73</f>
        <v>Age group</v>
      </c>
      <c r="C19" s="1244" t="str">
        <f>Stock_ages_breakdowns!C73:D73</f>
        <v>Art &amp; Design</v>
      </c>
      <c r="D19" s="1245"/>
      <c r="H19" s="325" t="s">
        <v>120</v>
      </c>
    </row>
    <row r="20" spans="1:9">
      <c r="B20" s="1243"/>
      <c r="C20" s="363" t="str">
        <f>Stock_ages_breakdowns!C74:D74</f>
        <v>Male</v>
      </c>
      <c r="D20" s="363" t="str">
        <f>Stock_ages_breakdowns!D74:E74</f>
        <v>Female</v>
      </c>
    </row>
    <row r="21" spans="1:9">
      <c r="B21" s="363" t="str">
        <f>Stock_ages_breakdowns!B75</f>
        <v>20-24</v>
      </c>
      <c r="C21" s="331">
        <f>Stock_ages_breakdowns!C20</f>
        <v>18.986759241049899</v>
      </c>
      <c r="D21" s="331">
        <f>Stock_ages_breakdowns!D20</f>
        <v>117.50343426928922</v>
      </c>
    </row>
    <row r="22" spans="1:9">
      <c r="B22" s="363" t="str">
        <f>Stock_ages_breakdowns!B76</f>
        <v>25-29</v>
      </c>
      <c r="C22" s="331">
        <f>Stock_ages_breakdowns!C21</f>
        <v>132.00384956713071</v>
      </c>
      <c r="D22" s="331">
        <f>Stock_ages_breakdowns!D21</f>
        <v>806.01881149961878</v>
      </c>
    </row>
    <row r="23" spans="1:9">
      <c r="B23" s="363" t="str">
        <f>Stock_ages_breakdowns!B77</f>
        <v>30-34</v>
      </c>
      <c r="C23" s="331">
        <f>Stock_ages_breakdowns!C22</f>
        <v>296.82527009953958</v>
      </c>
      <c r="D23" s="331">
        <f>Stock_ages_breakdowns!D22</f>
        <v>1194.8536090635239</v>
      </c>
    </row>
    <row r="24" spans="1:9">
      <c r="B24" s="363" t="str">
        <f>Stock_ages_breakdowns!B78</f>
        <v>35-39</v>
      </c>
      <c r="C24" s="331">
        <f>Stock_ages_breakdowns!C23</f>
        <v>307.03922311793787</v>
      </c>
      <c r="D24" s="331">
        <f>Stock_ages_breakdowns!D23</f>
        <v>1210.0356208348044</v>
      </c>
    </row>
    <row r="25" spans="1:9">
      <c r="B25" s="363" t="str">
        <f>Stock_ages_breakdowns!B79</f>
        <v>40-44</v>
      </c>
      <c r="C25" s="331">
        <f>Stock_ages_breakdowns!C24</f>
        <v>380.25987418838093</v>
      </c>
      <c r="D25" s="331">
        <f>Stock_ages_breakdowns!D24</f>
        <v>1157.5137154555598</v>
      </c>
    </row>
    <row r="26" spans="1:9">
      <c r="B26" s="363" t="str">
        <f>Stock_ages_breakdowns!B80</f>
        <v>45-49</v>
      </c>
      <c r="C26" s="331">
        <f>Stock_ages_breakdowns!C25</f>
        <v>296.70334228464287</v>
      </c>
      <c r="D26" s="331">
        <f>Stock_ages_breakdowns!D25</f>
        <v>850.19765623330716</v>
      </c>
    </row>
    <row r="27" spans="1:9">
      <c r="B27" s="363" t="str">
        <f>Stock_ages_breakdowns!B81</f>
        <v>50-54</v>
      </c>
      <c r="C27" s="331">
        <f>Stock_ages_breakdowns!C26</f>
        <v>264.71727904062766</v>
      </c>
      <c r="D27" s="331">
        <f>Stock_ages_breakdowns!D26</f>
        <v>684.00804571242588</v>
      </c>
    </row>
    <row r="28" spans="1:9">
      <c r="B28" s="363" t="str">
        <f>Stock_ages_breakdowns!B82</f>
        <v>55-59</v>
      </c>
      <c r="C28" s="331">
        <f>Stock_ages_breakdowns!C27</f>
        <v>177.10115054581973</v>
      </c>
      <c r="D28" s="331">
        <f>Stock_ages_breakdowns!D27</f>
        <v>314.67270385712823</v>
      </c>
    </row>
    <row r="29" spans="1:9">
      <c r="B29" s="363" t="str">
        <f>Stock_ages_breakdowns!B83</f>
        <v>60-64</v>
      </c>
      <c r="C29" s="331">
        <f>Stock_ages_breakdowns!C28</f>
        <v>53.409379966362053</v>
      </c>
      <c r="D29" s="331">
        <f>Stock_ages_breakdowns!D28</f>
        <v>114.82801819979294</v>
      </c>
      <c r="F29" s="325"/>
    </row>
    <row r="30" spans="1:9">
      <c r="B30" s="363" t="str">
        <f>Stock_ages_breakdowns!B84</f>
        <v>65 plus</v>
      </c>
      <c r="C30" s="331">
        <f>Stock_ages_breakdowns!C29</f>
        <v>10.057045912342609</v>
      </c>
      <c r="D30" s="331">
        <f>Stock_ages_breakdowns!D29</f>
        <v>16.737091115373314</v>
      </c>
      <c r="G30" s="326" t="s">
        <v>49</v>
      </c>
      <c r="H30" s="326" t="s">
        <v>50</v>
      </c>
    </row>
    <row r="31" spans="1:9">
      <c r="A31" s="309">
        <f>I31</f>
        <v>0</v>
      </c>
      <c r="B31" s="363" t="str">
        <f>Stock_ages_breakdowns!B85</f>
        <v>Total</v>
      </c>
      <c r="C31" s="331">
        <f>Stock_ages_breakdowns!C30</f>
        <v>1937.103173963834</v>
      </c>
      <c r="D31" s="331">
        <f>Stock_ages_breakdowns!D30</f>
        <v>6466.3687062408226</v>
      </c>
      <c r="E31" s="327">
        <f>SUM(C31:D31)</f>
        <v>8403.4718802046573</v>
      </c>
      <c r="G31" s="366">
        <f>C31/$E$31</f>
        <v>0.23051224560254707</v>
      </c>
      <c r="H31" s="366">
        <f>D31/$E$31</f>
        <v>0.76948775439745287</v>
      </c>
      <c r="I31" s="309">
        <f>(G31+H31)-1</f>
        <v>0</v>
      </c>
    </row>
    <row r="32" spans="1:9">
      <c r="B32" s="327"/>
      <c r="C32" s="327"/>
      <c r="D32" s="327"/>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6" t="str">
        <f>B15</f>
        <v>Art &amp; Design</v>
      </c>
      <c r="C36" s="307">
        <f>Teacher_need_by_subject!C620</f>
        <v>8310.5880067254166</v>
      </c>
      <c r="D36" s="307">
        <f>Teacher_need_by_subject!D620</f>
        <v>8341.9492808008581</v>
      </c>
      <c r="E36" s="307">
        <f>Teacher_need_by_subject!E620</f>
        <v>8263.3569449253591</v>
      </c>
      <c r="F36" s="307">
        <f>Teacher_need_by_subject!F620</f>
        <v>8200.1412123163773</v>
      </c>
      <c r="G36" s="307">
        <f>Teacher_need_by_subject!G620</f>
        <v>8247.0972917838062</v>
      </c>
      <c r="H36" s="307">
        <f>Teacher_need_by_subject!H620</f>
        <v>8308.7412098493205</v>
      </c>
      <c r="I36" s="307">
        <f>Teacher_need_by_subject!I620</f>
        <v>8371.7661985209452</v>
      </c>
      <c r="J36" s="307">
        <f>Teacher_need_by_subject!J620</f>
        <v>8443.8747079762379</v>
      </c>
      <c r="K36" s="307">
        <f>Teacher_need_by_subject!K620</f>
        <v>8473.5651607866948</v>
      </c>
      <c r="L36" s="307">
        <f>Teacher_need_by_subject!L620</f>
        <v>8465.4356425603892</v>
      </c>
      <c r="M36" s="307">
        <f>Teacher_need_by_subject!M620</f>
        <v>8441.2110439638218</v>
      </c>
      <c r="N36" s="307">
        <f>Teacher_need_by_subject!N620</f>
        <v>8440.59254846978</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18.986759241049899</v>
      </c>
      <c r="D43" s="307">
        <f>C340</f>
        <v>62.237921483688623</v>
      </c>
      <c r="E43" s="307">
        <f t="shared" ref="E43:L43" si="2">D340</f>
        <v>99.569849599794821</v>
      </c>
      <c r="F43" s="307">
        <f t="shared" si="2"/>
        <v>119.60360351157922</v>
      </c>
      <c r="G43" s="307">
        <f t="shared" si="2"/>
        <v>134.12876015795291</v>
      </c>
      <c r="H43" s="307">
        <f t="shared" si="2"/>
        <v>150.52841129780492</v>
      </c>
      <c r="I43" s="307">
        <f t="shared" si="2"/>
        <v>163.31932387313341</v>
      </c>
      <c r="J43" s="307">
        <f t="shared" si="2"/>
        <v>172.8459840402827</v>
      </c>
      <c r="K43" s="307">
        <f t="shared" si="2"/>
        <v>180.50846883621617</v>
      </c>
      <c r="L43" s="307">
        <f t="shared" si="2"/>
        <v>183.82570725072091</v>
      </c>
      <c r="M43" s="307">
        <f t="shared" ref="M43:N53" si="3">L340</f>
        <v>184.03856554571291</v>
      </c>
      <c r="N43" s="307">
        <f t="shared" si="3"/>
        <v>183.08581810691948</v>
      </c>
    </row>
    <row r="44" spans="2:14">
      <c r="B44" s="363" t="str">
        <f t="shared" ref="B44:C53" si="4">B22</f>
        <v>25-29</v>
      </c>
      <c r="C44" s="307">
        <f t="shared" si="4"/>
        <v>132.00384956713071</v>
      </c>
      <c r="D44" s="307">
        <f t="shared" ref="D44:L53" si="5">C341</f>
        <v>150.53019477619299</v>
      </c>
      <c r="E44" s="307">
        <f t="shared" si="5"/>
        <v>178.73736306841158</v>
      </c>
      <c r="F44" s="307">
        <f t="shared" si="5"/>
        <v>199.42986216031142</v>
      </c>
      <c r="G44" s="307">
        <f t="shared" si="5"/>
        <v>218.50633613453346</v>
      </c>
      <c r="H44" s="307">
        <f t="shared" si="5"/>
        <v>241.38938453078157</v>
      </c>
      <c r="I44" s="307">
        <f t="shared" si="5"/>
        <v>262.2909171049368</v>
      </c>
      <c r="J44" s="307">
        <f t="shared" si="5"/>
        <v>280.36526859669186</v>
      </c>
      <c r="K44" s="307">
        <f t="shared" si="5"/>
        <v>296.24973572158069</v>
      </c>
      <c r="L44" s="307">
        <f t="shared" si="5"/>
        <v>307.07003804681256</v>
      </c>
      <c r="M44" s="307">
        <f t="shared" si="3"/>
        <v>313.3783922685077</v>
      </c>
      <c r="N44" s="307">
        <f t="shared" si="3"/>
        <v>316.89643287896541</v>
      </c>
    </row>
    <row r="45" spans="2:14">
      <c r="B45" s="363" t="str">
        <f t="shared" si="4"/>
        <v>30-34</v>
      </c>
      <c r="C45" s="307">
        <f t="shared" si="4"/>
        <v>296.82527009953958</v>
      </c>
      <c r="D45" s="307">
        <f t="shared" si="5"/>
        <v>272.36074229748601</v>
      </c>
      <c r="E45" s="307">
        <f t="shared" si="5"/>
        <v>260.81991798562393</v>
      </c>
      <c r="F45" s="307">
        <f t="shared" si="5"/>
        <v>254.0741121486117</v>
      </c>
      <c r="G45" s="307">
        <f t="shared" si="5"/>
        <v>253.0185334741486</v>
      </c>
      <c r="H45" s="307">
        <f t="shared" si="5"/>
        <v>258.90560746305948</v>
      </c>
      <c r="I45" s="307">
        <f t="shared" si="5"/>
        <v>268.17496091323932</v>
      </c>
      <c r="J45" s="307">
        <f t="shared" si="5"/>
        <v>279.25461625354137</v>
      </c>
      <c r="K45" s="307">
        <f t="shared" si="5"/>
        <v>291.39962688700734</v>
      </c>
      <c r="L45" s="307">
        <f t="shared" si="5"/>
        <v>302.38492127245308</v>
      </c>
      <c r="M45" s="307">
        <f t="shared" si="3"/>
        <v>311.54771643883993</v>
      </c>
      <c r="N45" s="307">
        <f t="shared" si="3"/>
        <v>319.03550357428094</v>
      </c>
    </row>
    <row r="46" spans="2:14">
      <c r="B46" s="363" t="str">
        <f t="shared" si="4"/>
        <v>35-39</v>
      </c>
      <c r="C46" s="307">
        <f t="shared" si="4"/>
        <v>307.03922311793787</v>
      </c>
      <c r="D46" s="307">
        <f t="shared" si="5"/>
        <v>303.66402069072632</v>
      </c>
      <c r="E46" s="307">
        <f t="shared" si="5"/>
        <v>298.93074302734249</v>
      </c>
      <c r="F46" s="307">
        <f t="shared" si="5"/>
        <v>290.80498522292959</v>
      </c>
      <c r="G46" s="307">
        <f t="shared" si="5"/>
        <v>283.53775279256519</v>
      </c>
      <c r="H46" s="307">
        <f t="shared" si="5"/>
        <v>280.10851755842856</v>
      </c>
      <c r="I46" s="307">
        <f t="shared" si="5"/>
        <v>279.04387646674894</v>
      </c>
      <c r="J46" s="307">
        <f t="shared" si="5"/>
        <v>280.13221459290151</v>
      </c>
      <c r="K46" s="307">
        <f t="shared" si="5"/>
        <v>283.3436983573842</v>
      </c>
      <c r="L46" s="307">
        <f t="shared" si="5"/>
        <v>287.24026962249894</v>
      </c>
      <c r="M46" s="307">
        <f t="shared" si="3"/>
        <v>291.43076798818015</v>
      </c>
      <c r="N46" s="307">
        <f t="shared" si="3"/>
        <v>295.88433228517351</v>
      </c>
    </row>
    <row r="47" spans="2:14">
      <c r="B47" s="363" t="str">
        <f t="shared" si="4"/>
        <v>40-44</v>
      </c>
      <c r="C47" s="307">
        <f t="shared" si="4"/>
        <v>380.25987418838093</v>
      </c>
      <c r="D47" s="307">
        <f t="shared" si="5"/>
        <v>355.34749917248723</v>
      </c>
      <c r="E47" s="307">
        <f t="shared" si="5"/>
        <v>338.26532281976711</v>
      </c>
      <c r="F47" s="307">
        <f t="shared" si="5"/>
        <v>322.58573173639149</v>
      </c>
      <c r="G47" s="307">
        <f t="shared" si="5"/>
        <v>309.49315559413492</v>
      </c>
      <c r="H47" s="307">
        <f t="shared" si="5"/>
        <v>300.33265779409237</v>
      </c>
      <c r="I47" s="307">
        <f t="shared" si="5"/>
        <v>293.23360582693311</v>
      </c>
      <c r="J47" s="307">
        <f t="shared" si="5"/>
        <v>287.88668158581123</v>
      </c>
      <c r="K47" s="307">
        <f t="shared" si="5"/>
        <v>284.39041963956106</v>
      </c>
      <c r="L47" s="307">
        <f t="shared" si="5"/>
        <v>281.7038489412339</v>
      </c>
      <c r="M47" s="307">
        <f t="shared" si="3"/>
        <v>279.74469605328363</v>
      </c>
      <c r="N47" s="307">
        <f t="shared" si="3"/>
        <v>278.71494867818859</v>
      </c>
    </row>
    <row r="48" spans="2:14">
      <c r="B48" s="363" t="str">
        <f t="shared" si="4"/>
        <v>45-49</v>
      </c>
      <c r="C48" s="307">
        <f t="shared" si="4"/>
        <v>296.70334228464287</v>
      </c>
      <c r="D48" s="307">
        <f t="shared" si="5"/>
        <v>301.02033166852056</v>
      </c>
      <c r="E48" s="307">
        <f t="shared" si="5"/>
        <v>301.25894521619688</v>
      </c>
      <c r="F48" s="307">
        <f t="shared" si="5"/>
        <v>296.61872544594206</v>
      </c>
      <c r="G48" s="307">
        <f t="shared" si="5"/>
        <v>290.37247914478354</v>
      </c>
      <c r="H48" s="307">
        <f t="shared" si="5"/>
        <v>284.89060980039397</v>
      </c>
      <c r="I48" s="307">
        <f t="shared" si="5"/>
        <v>279.44234716497675</v>
      </c>
      <c r="J48" s="307">
        <f t="shared" si="5"/>
        <v>274.22330212809618</v>
      </c>
      <c r="K48" s="307">
        <f t="shared" si="5"/>
        <v>269.61336396716536</v>
      </c>
      <c r="L48" s="307">
        <f t="shared" si="5"/>
        <v>265.02836326538795</v>
      </c>
      <c r="M48" s="307">
        <f t="shared" si="3"/>
        <v>260.60929747406203</v>
      </c>
      <c r="N48" s="307">
        <f t="shared" si="3"/>
        <v>256.71217816756581</v>
      </c>
    </row>
    <row r="49" spans="1:14">
      <c r="B49" s="363" t="str">
        <f t="shared" si="4"/>
        <v>50-54</v>
      </c>
      <c r="C49" s="307">
        <f t="shared" si="4"/>
        <v>264.71727904062766</v>
      </c>
      <c r="D49" s="307">
        <f t="shared" si="5"/>
        <v>250.41445402438671</v>
      </c>
      <c r="E49" s="307">
        <f t="shared" si="5"/>
        <v>242.20048156082501</v>
      </c>
      <c r="F49" s="307">
        <f t="shared" si="5"/>
        <v>235.17130233052367</v>
      </c>
      <c r="G49" s="307">
        <f t="shared" si="5"/>
        <v>229.38319544775791</v>
      </c>
      <c r="H49" s="307">
        <f t="shared" si="5"/>
        <v>225.26931742136316</v>
      </c>
      <c r="I49" s="307">
        <f t="shared" si="5"/>
        <v>221.56673453126436</v>
      </c>
      <c r="J49" s="307">
        <f t="shared" si="5"/>
        <v>218.03485898931118</v>
      </c>
      <c r="K49" s="307">
        <f t="shared" si="5"/>
        <v>214.75130560511531</v>
      </c>
      <c r="L49" s="307">
        <f t="shared" si="5"/>
        <v>211.19361516263479</v>
      </c>
      <c r="M49" s="307">
        <f t="shared" si="3"/>
        <v>207.44394183522959</v>
      </c>
      <c r="N49" s="307">
        <f t="shared" si="3"/>
        <v>203.78142762982432</v>
      </c>
    </row>
    <row r="50" spans="1:14">
      <c r="B50" s="363" t="str">
        <f t="shared" si="4"/>
        <v>55-59</v>
      </c>
      <c r="C50" s="307">
        <f t="shared" si="4"/>
        <v>177.10115054581973</v>
      </c>
      <c r="D50" s="307">
        <f t="shared" si="5"/>
        <v>150.26689622288919</v>
      </c>
      <c r="E50" s="307">
        <f t="shared" si="5"/>
        <v>133.07255616382412</v>
      </c>
      <c r="F50" s="307">
        <f t="shared" si="5"/>
        <v>120.83896133074499</v>
      </c>
      <c r="G50" s="307">
        <f t="shared" si="5"/>
        <v>112.58140160820616</v>
      </c>
      <c r="H50" s="307">
        <f t="shared" si="5"/>
        <v>107.59572635445446</v>
      </c>
      <c r="I50" s="307">
        <f t="shared" si="5"/>
        <v>104.17170549348705</v>
      </c>
      <c r="J50" s="307">
        <f t="shared" si="5"/>
        <v>101.64640290044663</v>
      </c>
      <c r="K50" s="307">
        <f t="shared" si="5"/>
        <v>99.737267004565908</v>
      </c>
      <c r="L50" s="307">
        <f t="shared" si="5"/>
        <v>97.849018272111522</v>
      </c>
      <c r="M50" s="307">
        <f t="shared" si="3"/>
        <v>95.931750187353018</v>
      </c>
      <c r="N50" s="307">
        <f t="shared" si="3"/>
        <v>94.101179840777021</v>
      </c>
    </row>
    <row r="51" spans="1:14">
      <c r="B51" s="363" t="str">
        <f t="shared" si="4"/>
        <v>60-64</v>
      </c>
      <c r="C51" s="307">
        <f t="shared" si="4"/>
        <v>53.409379966362053</v>
      </c>
      <c r="D51" s="307">
        <f t="shared" si="5"/>
        <v>50.064537312754268</v>
      </c>
      <c r="E51" s="307">
        <f t="shared" si="5"/>
        <v>45.623416994227377</v>
      </c>
      <c r="F51" s="307">
        <f t="shared" si="5"/>
        <v>41.006588231600475</v>
      </c>
      <c r="G51" s="307">
        <f t="shared" si="5"/>
        <v>37.32443031957083</v>
      </c>
      <c r="H51" s="307">
        <f t="shared" si="5"/>
        <v>34.929994992329384</v>
      </c>
      <c r="I51" s="307">
        <f t="shared" si="5"/>
        <v>33.244125474213504</v>
      </c>
      <c r="J51" s="307">
        <f t="shared" si="5"/>
        <v>32.044887078811293</v>
      </c>
      <c r="K51" s="307">
        <f t="shared" si="5"/>
        <v>31.216915418413713</v>
      </c>
      <c r="L51" s="307">
        <f t="shared" si="5"/>
        <v>30.455515749592383</v>
      </c>
      <c r="M51" s="307">
        <f t="shared" si="3"/>
        <v>29.728309869512792</v>
      </c>
      <c r="N51" s="307">
        <f t="shared" si="3"/>
        <v>29.078855983425555</v>
      </c>
    </row>
    <row r="52" spans="1:14">
      <c r="B52" s="363" t="str">
        <f t="shared" si="4"/>
        <v>65 plus</v>
      </c>
      <c r="C52" s="307">
        <f t="shared" si="4"/>
        <v>10.057045912342609</v>
      </c>
      <c r="D52" s="307">
        <f t="shared" si="5"/>
        <v>11.899349979687978</v>
      </c>
      <c r="E52" s="307">
        <f t="shared" si="5"/>
        <v>12.630551623223374</v>
      </c>
      <c r="F52" s="307">
        <f t="shared" si="5"/>
        <v>12.44409621284494</v>
      </c>
      <c r="G52" s="307">
        <f t="shared" si="5"/>
        <v>11.851468101380476</v>
      </c>
      <c r="H52" s="307">
        <f t="shared" si="5"/>
        <v>11.230994114378612</v>
      </c>
      <c r="I52" s="307">
        <f t="shared" si="5"/>
        <v>10.65727220429909</v>
      </c>
      <c r="J52" s="307">
        <f t="shared" si="5"/>
        <v>10.174104957373235</v>
      </c>
      <c r="K52" s="307">
        <f t="shared" si="5"/>
        <v>9.7990789255959569</v>
      </c>
      <c r="L52" s="307">
        <f t="shared" si="5"/>
        <v>9.4752975636399697</v>
      </c>
      <c r="M52" s="307">
        <f t="shared" si="3"/>
        <v>9.1861100636842803</v>
      </c>
      <c r="N52" s="307">
        <f t="shared" si="3"/>
        <v>8.9354329266069588</v>
      </c>
    </row>
    <row r="53" spans="1:14">
      <c r="B53" s="363" t="str">
        <f t="shared" si="4"/>
        <v>Total</v>
      </c>
      <c r="C53" s="307">
        <f t="shared" si="4"/>
        <v>1937.103173963834</v>
      </c>
      <c r="D53" s="307">
        <f t="shared" si="5"/>
        <v>1907.8059476288199</v>
      </c>
      <c r="E53" s="307">
        <f t="shared" si="5"/>
        <v>1911.109148059237</v>
      </c>
      <c r="F53" s="307">
        <f t="shared" si="5"/>
        <v>1892.5779683314797</v>
      </c>
      <c r="G53" s="307">
        <f t="shared" si="5"/>
        <v>1880.1975127750338</v>
      </c>
      <c r="H53" s="307">
        <f t="shared" si="5"/>
        <v>1895.1812213270862</v>
      </c>
      <c r="I53" s="307">
        <f t="shared" si="5"/>
        <v>1915.1448690532322</v>
      </c>
      <c r="J53" s="307">
        <f t="shared" si="5"/>
        <v>1936.6083211232674</v>
      </c>
      <c r="K53" s="307">
        <f t="shared" si="5"/>
        <v>1961.0098803626056</v>
      </c>
      <c r="L53" s="307">
        <f t="shared" si="5"/>
        <v>1976.2265951470863</v>
      </c>
      <c r="M53" s="307">
        <f t="shared" si="3"/>
        <v>1983.039547724366</v>
      </c>
      <c r="N53" s="307">
        <f t="shared" si="3"/>
        <v>1986.2261100717276</v>
      </c>
    </row>
    <row r="54" spans="1:14">
      <c r="A54" s="309">
        <f>SUM(C54:N54)</f>
        <v>0</v>
      </c>
      <c r="C54" s="309">
        <f>SUM(C43:C52)-C53</f>
        <v>0</v>
      </c>
      <c r="D54" s="309">
        <f t="shared" ref="D54:N54" si="6">SUM(D43:D52)-D53</f>
        <v>0</v>
      </c>
      <c r="E54" s="309">
        <f t="shared" si="6"/>
        <v>0</v>
      </c>
      <c r="F54" s="309">
        <f t="shared" si="6"/>
        <v>0</v>
      </c>
      <c r="G54" s="309">
        <f t="shared" si="6"/>
        <v>0</v>
      </c>
      <c r="H54" s="309">
        <f t="shared" si="6"/>
        <v>0</v>
      </c>
      <c r="I54" s="309">
        <f t="shared" si="6"/>
        <v>0</v>
      </c>
      <c r="J54" s="309">
        <f t="shared" si="6"/>
        <v>0</v>
      </c>
      <c r="K54" s="309">
        <f t="shared" si="6"/>
        <v>0</v>
      </c>
      <c r="L54" s="309">
        <f t="shared" si="6"/>
        <v>0</v>
      </c>
      <c r="M54" s="309">
        <f t="shared" si="6"/>
        <v>0</v>
      </c>
      <c r="N54" s="309">
        <f t="shared" si="6"/>
        <v>0</v>
      </c>
    </row>
    <row r="56" spans="1:14">
      <c r="B56" s="341" t="s">
        <v>50</v>
      </c>
      <c r="H56" s="325"/>
    </row>
    <row r="57" spans="1:14">
      <c r="H57" s="325"/>
    </row>
    <row r="58" spans="1:14">
      <c r="B58" s="338" t="str">
        <f t="shared" ref="B58:B69" si="7">B42</f>
        <v>Age group</v>
      </c>
      <c r="C58" s="338" t="str">
        <f t="shared" ref="C58:N58" si="8">C42</f>
        <v>2016/17</v>
      </c>
      <c r="D58" s="338" t="str">
        <f t="shared" si="8"/>
        <v>2017/18</v>
      </c>
      <c r="E58" s="338" t="str">
        <f t="shared" si="8"/>
        <v>2018/19</v>
      </c>
      <c r="F58" s="338" t="str">
        <f t="shared" si="8"/>
        <v>2019/20</v>
      </c>
      <c r="G58" s="338" t="str">
        <f t="shared" si="8"/>
        <v>2020/21</v>
      </c>
      <c r="H58" s="338" t="str">
        <f t="shared" si="8"/>
        <v>2021/22</v>
      </c>
      <c r="I58" s="338" t="str">
        <f t="shared" si="8"/>
        <v>2022/23</v>
      </c>
      <c r="J58" s="338" t="str">
        <f t="shared" si="8"/>
        <v>2023/24</v>
      </c>
      <c r="K58" s="338" t="str">
        <f t="shared" si="8"/>
        <v>2024/25</v>
      </c>
      <c r="L58" s="338" t="str">
        <f t="shared" si="8"/>
        <v>2025/26</v>
      </c>
      <c r="M58" s="338" t="str">
        <f t="shared" si="8"/>
        <v>2026/27</v>
      </c>
      <c r="N58" s="338" t="str">
        <f t="shared" si="8"/>
        <v>2027/28</v>
      </c>
    </row>
    <row r="59" spans="1:14">
      <c r="B59" s="338" t="str">
        <f t="shared" si="7"/>
        <v>20-24</v>
      </c>
      <c r="C59" s="307">
        <f t="shared" ref="C59:C69" si="9">D21</f>
        <v>117.50343426928922</v>
      </c>
      <c r="D59" s="307">
        <f t="shared" ref="D59:L59" si="10">C356</f>
        <v>246.39700224395528</v>
      </c>
      <c r="E59" s="307">
        <f t="shared" si="10"/>
        <v>360.02860756144821</v>
      </c>
      <c r="F59" s="307">
        <f t="shared" si="10"/>
        <v>419.11641015497918</v>
      </c>
      <c r="G59" s="307">
        <f t="shared" si="10"/>
        <v>462.07509795799598</v>
      </c>
      <c r="H59" s="307">
        <f t="shared" si="10"/>
        <v>512.89554001902479</v>
      </c>
      <c r="I59" s="307">
        <f t="shared" si="10"/>
        <v>552.81653661410667</v>
      </c>
      <c r="J59" s="307">
        <f t="shared" si="10"/>
        <v>582.65434111377044</v>
      </c>
      <c r="K59" s="307">
        <f t="shared" si="10"/>
        <v>606.84505295825386</v>
      </c>
      <c r="L59" s="307">
        <f t="shared" si="10"/>
        <v>616.93886739591119</v>
      </c>
      <c r="M59" s="307">
        <f t="shared" ref="M59:M69" si="11">L356</f>
        <v>616.9550603072006</v>
      </c>
      <c r="N59" s="307">
        <f t="shared" ref="N59:N69" si="12">M356</f>
        <v>613.27956907530097</v>
      </c>
    </row>
    <row r="60" spans="1:14">
      <c r="B60" s="338" t="str">
        <f t="shared" si="7"/>
        <v>25-29</v>
      </c>
      <c r="C60" s="307">
        <f t="shared" si="9"/>
        <v>806.01881149961878</v>
      </c>
      <c r="D60" s="307">
        <f t="shared" ref="D60:K69" si="13">C357</f>
        <v>775.06350950254432</v>
      </c>
      <c r="E60" s="307">
        <f t="shared" si="13"/>
        <v>798.40122205664613</v>
      </c>
      <c r="F60" s="307">
        <f t="shared" si="13"/>
        <v>813.27478844646294</v>
      </c>
      <c r="G60" s="307">
        <f t="shared" si="13"/>
        <v>835.64738632961212</v>
      </c>
      <c r="H60" s="307">
        <f t="shared" si="13"/>
        <v>880.56507004810294</v>
      </c>
      <c r="I60" s="307">
        <f t="shared" si="13"/>
        <v>926.22236719939986</v>
      </c>
      <c r="J60" s="307">
        <f t="shared" si="13"/>
        <v>968.0512494131525</v>
      </c>
      <c r="K60" s="307">
        <f t="shared" si="13"/>
        <v>1006.8657451366475</v>
      </c>
      <c r="L60" s="307">
        <f t="shared" ref="L60:L69" si="14">K357</f>
        <v>1032.0539468917545</v>
      </c>
      <c r="M60" s="307">
        <f t="shared" si="11"/>
        <v>1044.7594814020401</v>
      </c>
      <c r="N60" s="307">
        <f t="shared" si="12"/>
        <v>1050.1815018897667</v>
      </c>
    </row>
    <row r="61" spans="1:14">
      <c r="B61" s="338" t="str">
        <f t="shared" si="7"/>
        <v>30-34</v>
      </c>
      <c r="C61" s="307">
        <f t="shared" si="9"/>
        <v>1194.8536090635239</v>
      </c>
      <c r="D61" s="307">
        <f t="shared" si="13"/>
        <v>1103.3743151606498</v>
      </c>
      <c r="E61" s="307">
        <f t="shared" si="13"/>
        <v>1042.0311224762845</v>
      </c>
      <c r="F61" s="307">
        <f t="shared" si="13"/>
        <v>990.20630732731297</v>
      </c>
      <c r="G61" s="307">
        <f t="shared" si="13"/>
        <v>955.48196762841246</v>
      </c>
      <c r="H61" s="307">
        <f t="shared" si="13"/>
        <v>944.55887634391195</v>
      </c>
      <c r="I61" s="307">
        <f t="shared" si="13"/>
        <v>946.66432105535898</v>
      </c>
      <c r="J61" s="307">
        <f t="shared" si="13"/>
        <v>957.23669367288733</v>
      </c>
      <c r="K61" s="307">
        <f t="shared" si="13"/>
        <v>974.08803503238948</v>
      </c>
      <c r="L61" s="307">
        <f t="shared" si="14"/>
        <v>989.80734664904458</v>
      </c>
      <c r="M61" s="307">
        <f t="shared" si="11"/>
        <v>1002.2007973163679</v>
      </c>
      <c r="N61" s="307">
        <f t="shared" si="12"/>
        <v>1011.6808392132401</v>
      </c>
    </row>
    <row r="62" spans="1:14">
      <c r="B62" s="338" t="str">
        <f t="shared" si="7"/>
        <v>35-39</v>
      </c>
      <c r="C62" s="307">
        <f t="shared" si="9"/>
        <v>1210.0356208348044</v>
      </c>
      <c r="D62" s="307">
        <f t="shared" si="13"/>
        <v>1169.861762066442</v>
      </c>
      <c r="E62" s="307">
        <f t="shared" si="13"/>
        <v>1131.4213909502589</v>
      </c>
      <c r="F62" s="307">
        <f t="shared" si="13"/>
        <v>1083.7892573923214</v>
      </c>
      <c r="G62" s="307">
        <f t="shared" si="13"/>
        <v>1039.4999129622024</v>
      </c>
      <c r="H62" s="307">
        <f t="shared" si="13"/>
        <v>1007.9198526002198</v>
      </c>
      <c r="I62" s="307">
        <f t="shared" si="13"/>
        <v>984.01623803840982</v>
      </c>
      <c r="J62" s="307">
        <f t="shared" si="13"/>
        <v>967.31193089144165</v>
      </c>
      <c r="K62" s="307">
        <f t="shared" si="13"/>
        <v>958.03006565796034</v>
      </c>
      <c r="L62" s="307">
        <f t="shared" si="14"/>
        <v>951.67256315805821</v>
      </c>
      <c r="M62" s="307">
        <f t="shared" si="11"/>
        <v>947.25104860876672</v>
      </c>
      <c r="N62" s="307">
        <f t="shared" si="12"/>
        <v>944.92511549454093</v>
      </c>
    </row>
    <row r="63" spans="1:14">
      <c r="B63" s="338" t="str">
        <f t="shared" si="7"/>
        <v>40-44</v>
      </c>
      <c r="C63" s="307">
        <f t="shared" si="9"/>
        <v>1157.5137154555598</v>
      </c>
      <c r="D63" s="307">
        <f t="shared" si="13"/>
        <v>1129.909416083728</v>
      </c>
      <c r="E63" s="307">
        <f t="shared" si="13"/>
        <v>1109.0179861986351</v>
      </c>
      <c r="F63" s="307">
        <f t="shared" si="13"/>
        <v>1079.4923161724109</v>
      </c>
      <c r="G63" s="307">
        <f t="shared" si="13"/>
        <v>1049.1537362044148</v>
      </c>
      <c r="H63" s="307">
        <f t="shared" si="13"/>
        <v>1025.00371932452</v>
      </c>
      <c r="I63" s="307">
        <f t="shared" si="13"/>
        <v>1002.509305733303</v>
      </c>
      <c r="J63" s="307">
        <f t="shared" si="13"/>
        <v>981.91919924699346</v>
      </c>
      <c r="K63" s="307">
        <f t="shared" si="13"/>
        <v>964.55698919118322</v>
      </c>
      <c r="L63" s="307">
        <f t="shared" si="14"/>
        <v>947.7402283580808</v>
      </c>
      <c r="M63" s="307">
        <f t="shared" si="11"/>
        <v>931.85940068283435</v>
      </c>
      <c r="N63" s="307">
        <f t="shared" si="12"/>
        <v>918.14160601236347</v>
      </c>
    </row>
    <row r="64" spans="1:14">
      <c r="B64" s="338" t="str">
        <f t="shared" si="7"/>
        <v>45-49</v>
      </c>
      <c r="C64" s="307">
        <f t="shared" si="9"/>
        <v>850.19765623330716</v>
      </c>
      <c r="D64" s="307">
        <f t="shared" si="13"/>
        <v>879.05875741281591</v>
      </c>
      <c r="E64" s="307">
        <f t="shared" si="13"/>
        <v>900.70142445671809</v>
      </c>
      <c r="F64" s="307">
        <f t="shared" si="13"/>
        <v>907.20107772231188</v>
      </c>
      <c r="G64" s="307">
        <f t="shared" si="13"/>
        <v>906.75711691684489</v>
      </c>
      <c r="H64" s="307">
        <f t="shared" si="13"/>
        <v>905.96981392621171</v>
      </c>
      <c r="I64" s="307">
        <f t="shared" si="13"/>
        <v>901.88167734088586</v>
      </c>
      <c r="J64" s="307">
        <f t="shared" si="13"/>
        <v>895.08588659506427</v>
      </c>
      <c r="K64" s="307">
        <f t="shared" si="13"/>
        <v>887.04146644481682</v>
      </c>
      <c r="L64" s="307">
        <f t="shared" si="14"/>
        <v>876.11933993948082</v>
      </c>
      <c r="M64" s="307">
        <f t="shared" si="11"/>
        <v>863.17640966681836</v>
      </c>
      <c r="N64" s="307">
        <f t="shared" si="12"/>
        <v>849.80666354677533</v>
      </c>
    </row>
    <row r="65" spans="1:14">
      <c r="B65" s="338" t="str">
        <f t="shared" si="7"/>
        <v>50-54</v>
      </c>
      <c r="C65" s="307">
        <f t="shared" si="9"/>
        <v>684.00804571242588</v>
      </c>
      <c r="D65" s="307">
        <f t="shared" si="13"/>
        <v>666.76234832339946</v>
      </c>
      <c r="E65" s="307">
        <f t="shared" si="13"/>
        <v>663.66161600959288</v>
      </c>
      <c r="F65" s="307">
        <f t="shared" si="13"/>
        <v>661.22535336903093</v>
      </c>
      <c r="G65" s="307">
        <f t="shared" si="13"/>
        <v>660.79872160791149</v>
      </c>
      <c r="H65" s="307">
        <f t="shared" si="13"/>
        <v>664.15911027480411</v>
      </c>
      <c r="I65" s="307">
        <f t="shared" si="13"/>
        <v>667.08543722139336</v>
      </c>
      <c r="J65" s="307">
        <f t="shared" si="13"/>
        <v>668.68956849192989</v>
      </c>
      <c r="K65" s="307">
        <f t="shared" si="13"/>
        <v>669.16102717866568</v>
      </c>
      <c r="L65" s="307">
        <f t="shared" si="14"/>
        <v>666.73897666482969</v>
      </c>
      <c r="M65" s="307">
        <f t="shared" si="11"/>
        <v>661.74764509874376</v>
      </c>
      <c r="N65" s="307">
        <f t="shared" si="12"/>
        <v>655.22204268791518</v>
      </c>
    </row>
    <row r="66" spans="1:14">
      <c r="B66" s="338" t="str">
        <f t="shared" si="7"/>
        <v>55-59</v>
      </c>
      <c r="C66" s="307">
        <f t="shared" si="9"/>
        <v>314.67270385712823</v>
      </c>
      <c r="D66" s="307">
        <f t="shared" si="13"/>
        <v>311.28476778306202</v>
      </c>
      <c r="E66" s="307">
        <f t="shared" si="13"/>
        <v>309.41335232506668</v>
      </c>
      <c r="F66" s="307">
        <f t="shared" si="13"/>
        <v>305.05360235277942</v>
      </c>
      <c r="G66" s="307">
        <f t="shared" si="13"/>
        <v>302.1807348643618</v>
      </c>
      <c r="H66" s="307">
        <f t="shared" si="13"/>
        <v>302.94473893763063</v>
      </c>
      <c r="I66" s="307">
        <f t="shared" si="13"/>
        <v>304.36802187880517</v>
      </c>
      <c r="J66" s="307">
        <f t="shared" si="13"/>
        <v>305.82960390575738</v>
      </c>
      <c r="K66" s="307">
        <f t="shared" si="13"/>
        <v>307.31149316447306</v>
      </c>
      <c r="L66" s="307">
        <f t="shared" si="14"/>
        <v>307.36451521043557</v>
      </c>
      <c r="M66" s="307">
        <f t="shared" si="11"/>
        <v>306.12642472027488</v>
      </c>
      <c r="N66" s="307">
        <f t="shared" si="12"/>
        <v>304.17257308996773</v>
      </c>
    </row>
    <row r="67" spans="1:14">
      <c r="B67" s="338" t="str">
        <f t="shared" si="7"/>
        <v>60-64</v>
      </c>
      <c r="C67" s="307">
        <f t="shared" si="9"/>
        <v>114.82801819979294</v>
      </c>
      <c r="D67" s="307">
        <f t="shared" si="13"/>
        <v>98.812446216166634</v>
      </c>
      <c r="E67" s="307">
        <f t="shared" si="13"/>
        <v>92.417431930900364</v>
      </c>
      <c r="F67" s="307">
        <f t="shared" si="13"/>
        <v>87.910620533290285</v>
      </c>
      <c r="G67" s="307">
        <f t="shared" si="13"/>
        <v>85.393058288409421</v>
      </c>
      <c r="H67" s="307">
        <f t="shared" si="13"/>
        <v>85.155924703717275</v>
      </c>
      <c r="I67" s="307">
        <f t="shared" si="13"/>
        <v>85.361403949820243</v>
      </c>
      <c r="J67" s="307">
        <f t="shared" si="13"/>
        <v>85.702867641564112</v>
      </c>
      <c r="K67" s="307">
        <f t="shared" si="13"/>
        <v>86.206692884008888</v>
      </c>
      <c r="L67" s="307">
        <f t="shared" si="14"/>
        <v>86.164879494531746</v>
      </c>
      <c r="M67" s="307">
        <f t="shared" si="11"/>
        <v>85.70760488931964</v>
      </c>
      <c r="N67" s="307">
        <f t="shared" si="12"/>
        <v>85.127912161968723</v>
      </c>
    </row>
    <row r="68" spans="1:14">
      <c r="B68" s="338" t="str">
        <f t="shared" si="7"/>
        <v>65 plus</v>
      </c>
      <c r="C68" s="307">
        <f t="shared" si="9"/>
        <v>16.737091115373314</v>
      </c>
      <c r="D68" s="307">
        <f t="shared" si="13"/>
        <v>22.257734303833264</v>
      </c>
      <c r="E68" s="307">
        <f t="shared" si="13"/>
        <v>23.745978776070416</v>
      </c>
      <c r="F68" s="307">
        <f t="shared" si="13"/>
        <v>23.509243122979477</v>
      </c>
      <c r="G68" s="307">
        <f t="shared" si="13"/>
        <v>22.955966781177377</v>
      </c>
      <c r="H68" s="307">
        <f t="shared" si="13"/>
        <v>22.7434242785762</v>
      </c>
      <c r="I68" s="307">
        <f t="shared" si="13"/>
        <v>22.671031764605257</v>
      </c>
      <c r="J68" s="307">
        <f t="shared" si="13"/>
        <v>22.67653642511663</v>
      </c>
      <c r="K68" s="307">
        <f t="shared" si="13"/>
        <v>22.758259965232909</v>
      </c>
      <c r="L68" s="307">
        <f t="shared" si="14"/>
        <v>22.737901877481388</v>
      </c>
      <c r="M68" s="307">
        <f t="shared" si="11"/>
        <v>22.612222143656506</v>
      </c>
      <c r="N68" s="307">
        <f t="shared" si="12"/>
        <v>22.447110720254617</v>
      </c>
    </row>
    <row r="69" spans="1:14">
      <c r="B69" s="338" t="str">
        <f t="shared" si="7"/>
        <v>Total</v>
      </c>
      <c r="C69" s="307">
        <f t="shared" si="9"/>
        <v>6466.3687062408226</v>
      </c>
      <c r="D69" s="307">
        <f t="shared" si="13"/>
        <v>6402.7820590965966</v>
      </c>
      <c r="E69" s="307">
        <f t="shared" si="13"/>
        <v>6430.8401327416213</v>
      </c>
      <c r="F69" s="307">
        <f t="shared" si="13"/>
        <v>6370.7789765938787</v>
      </c>
      <c r="G69" s="307">
        <f t="shared" si="13"/>
        <v>6319.9436995413425</v>
      </c>
      <c r="H69" s="307">
        <f t="shared" si="13"/>
        <v>6351.9160704567203</v>
      </c>
      <c r="I69" s="307">
        <f t="shared" si="13"/>
        <v>6393.5963407960899</v>
      </c>
      <c r="J69" s="307">
        <f t="shared" si="13"/>
        <v>6435.157877397678</v>
      </c>
      <c r="K69" s="307">
        <f t="shared" si="13"/>
        <v>6482.8648276136319</v>
      </c>
      <c r="L69" s="307">
        <f t="shared" si="14"/>
        <v>6497.3385656396076</v>
      </c>
      <c r="M69" s="307">
        <f t="shared" si="11"/>
        <v>6482.3960948360227</v>
      </c>
      <c r="N69" s="307">
        <f t="shared" si="12"/>
        <v>6454.984933892094</v>
      </c>
    </row>
    <row r="70" spans="1:14">
      <c r="A70" s="309">
        <f>SUM(C70:N70)</f>
        <v>0</v>
      </c>
      <c r="C70" s="309">
        <f t="shared" ref="C70:N70" si="15">SUM(C59:C68)-C69</f>
        <v>0</v>
      </c>
      <c r="D70" s="309">
        <f t="shared" si="15"/>
        <v>0</v>
      </c>
      <c r="E70" s="309">
        <f t="shared" si="15"/>
        <v>0</v>
      </c>
      <c r="F70" s="309">
        <f t="shared" si="15"/>
        <v>0</v>
      </c>
      <c r="G70" s="309">
        <f t="shared" si="15"/>
        <v>0</v>
      </c>
      <c r="H70" s="309">
        <f t="shared" si="15"/>
        <v>0</v>
      </c>
      <c r="I70" s="309">
        <f t="shared" si="15"/>
        <v>0</v>
      </c>
      <c r="J70" s="309">
        <f t="shared" si="15"/>
        <v>0</v>
      </c>
      <c r="K70" s="309">
        <f t="shared" si="15"/>
        <v>0</v>
      </c>
      <c r="L70" s="309">
        <f t="shared" si="15"/>
        <v>0</v>
      </c>
      <c r="M70" s="309">
        <f t="shared" si="15"/>
        <v>0</v>
      </c>
      <c r="N70" s="309">
        <f t="shared" si="15"/>
        <v>0</v>
      </c>
    </row>
    <row r="72" spans="1:14" ht="15.75">
      <c r="B72" s="340" t="s">
        <v>150</v>
      </c>
      <c r="H72" s="325"/>
    </row>
    <row r="73" spans="1:14">
      <c r="H73" s="325"/>
    </row>
    <row r="74" spans="1:14">
      <c r="B74" s="341" t="s">
        <v>49</v>
      </c>
      <c r="C74" s="262" t="s">
        <v>453</v>
      </c>
      <c r="H74" s="325"/>
    </row>
    <row r="75" spans="1:14">
      <c r="H75" s="325"/>
    </row>
    <row r="76" spans="1:14">
      <c r="B76" s="338" t="str">
        <f t="shared" ref="B76:B87" si="16">B42</f>
        <v>Age group</v>
      </c>
      <c r="C76" s="338" t="str">
        <f t="shared" ref="C76:N76" si="17">C42</f>
        <v>2016/17</v>
      </c>
      <c r="D76" s="338" t="str">
        <f t="shared" si="17"/>
        <v>2017/18</v>
      </c>
      <c r="E76" s="338" t="str">
        <f t="shared" si="17"/>
        <v>2018/19</v>
      </c>
      <c r="F76" s="338" t="str">
        <f t="shared" si="17"/>
        <v>2019/20</v>
      </c>
      <c r="G76" s="338" t="str">
        <f t="shared" si="17"/>
        <v>2020/21</v>
      </c>
      <c r="H76" s="338" t="str">
        <f t="shared" si="17"/>
        <v>2021/22</v>
      </c>
      <c r="I76" s="338" t="str">
        <f t="shared" si="17"/>
        <v>2022/23</v>
      </c>
      <c r="J76" s="338" t="str">
        <f t="shared" si="17"/>
        <v>2023/24</v>
      </c>
      <c r="K76" s="338" t="str">
        <f t="shared" si="17"/>
        <v>2024/25</v>
      </c>
      <c r="L76" s="338" t="str">
        <f t="shared" si="17"/>
        <v>2025/26</v>
      </c>
      <c r="M76" s="338" t="str">
        <f t="shared" si="17"/>
        <v>2026/27</v>
      </c>
      <c r="N76" s="338" t="str">
        <f t="shared" si="17"/>
        <v>2027/28</v>
      </c>
    </row>
    <row r="77" spans="1:14">
      <c r="B77" s="338" t="str">
        <f t="shared" si="16"/>
        <v>20-24</v>
      </c>
      <c r="C77" s="459">
        <f>C43-(0.2*C43)</f>
        <v>15.18940739283992</v>
      </c>
      <c r="D77" s="459">
        <f>D43-(0.2*D43)</f>
        <v>49.7903371869509</v>
      </c>
      <c r="E77" s="459">
        <f t="shared" ref="E77:N77" si="18">E43-(0.2*E43)</f>
        <v>79.655879679835863</v>
      </c>
      <c r="F77" s="459">
        <f t="shared" si="18"/>
        <v>95.682882809263376</v>
      </c>
      <c r="G77" s="459">
        <f t="shared" si="18"/>
        <v>107.30300812636233</v>
      </c>
      <c r="H77" s="459">
        <f t="shared" si="18"/>
        <v>120.42272903824394</v>
      </c>
      <c r="I77" s="459">
        <f t="shared" si="18"/>
        <v>130.65545909850673</v>
      </c>
      <c r="J77" s="459">
        <f t="shared" si="18"/>
        <v>138.27678723222616</v>
      </c>
      <c r="K77" s="459">
        <f t="shared" si="18"/>
        <v>144.40677506897293</v>
      </c>
      <c r="L77" s="459">
        <f t="shared" si="18"/>
        <v>147.06056580057674</v>
      </c>
      <c r="M77" s="459">
        <f t="shared" si="18"/>
        <v>147.23085243657033</v>
      </c>
      <c r="N77" s="459">
        <f t="shared" si="18"/>
        <v>146.46865448553558</v>
      </c>
    </row>
    <row r="78" spans="1:14">
      <c r="B78" s="338" t="str">
        <f t="shared" si="16"/>
        <v>25-29</v>
      </c>
      <c r="C78" s="459">
        <f t="shared" ref="C78:C85" si="19">C44+(0.2*C43)-(0.2*C44)</f>
        <v>109.40043150191455</v>
      </c>
      <c r="D78" s="459">
        <f t="shared" ref="D78:N78" si="20">D44+(0.2*D43)-(0.2*D44)</f>
        <v>132.8717401176921</v>
      </c>
      <c r="E78" s="459">
        <f t="shared" si="20"/>
        <v>162.90386037468824</v>
      </c>
      <c r="F78" s="459">
        <f t="shared" si="20"/>
        <v>183.46461043056499</v>
      </c>
      <c r="G78" s="459">
        <f t="shared" si="20"/>
        <v>201.63082093921736</v>
      </c>
      <c r="H78" s="459">
        <f t="shared" si="20"/>
        <v>223.21718988418624</v>
      </c>
      <c r="I78" s="459">
        <f t="shared" si="20"/>
        <v>242.49659845857613</v>
      </c>
      <c r="J78" s="459">
        <f t="shared" si="20"/>
        <v>258.86141168541002</v>
      </c>
      <c r="K78" s="459">
        <f t="shared" si="20"/>
        <v>273.10148234450776</v>
      </c>
      <c r="L78" s="459">
        <f t="shared" si="20"/>
        <v>282.42117188759426</v>
      </c>
      <c r="M78" s="459">
        <f t="shared" si="20"/>
        <v>287.51042692394873</v>
      </c>
      <c r="N78" s="459">
        <f t="shared" si="20"/>
        <v>290.13430992455619</v>
      </c>
    </row>
    <row r="79" spans="1:14">
      <c r="B79" s="338" t="str">
        <f t="shared" si="16"/>
        <v>30-34</v>
      </c>
      <c r="C79" s="459">
        <f t="shared" si="19"/>
        <v>263.8609859930578</v>
      </c>
      <c r="D79" s="459">
        <f t="shared" ref="D79:N79" si="21">D45+(0.2*D44)-(0.2*D45)</f>
        <v>247.99463279322742</v>
      </c>
      <c r="E79" s="459">
        <f t="shared" si="21"/>
        <v>244.40340700218144</v>
      </c>
      <c r="F79" s="459">
        <f t="shared" si="21"/>
        <v>243.14526215095165</v>
      </c>
      <c r="G79" s="459">
        <f t="shared" si="21"/>
        <v>246.11609400622558</v>
      </c>
      <c r="H79" s="459">
        <f t="shared" si="21"/>
        <v>255.40236287660392</v>
      </c>
      <c r="I79" s="459">
        <f t="shared" si="21"/>
        <v>266.99815215157884</v>
      </c>
      <c r="J79" s="459">
        <f t="shared" si="21"/>
        <v>279.47674672217147</v>
      </c>
      <c r="K79" s="459">
        <f t="shared" si="21"/>
        <v>292.36964865392201</v>
      </c>
      <c r="L79" s="459">
        <f t="shared" si="21"/>
        <v>303.32194462732497</v>
      </c>
      <c r="M79" s="459">
        <f t="shared" si="21"/>
        <v>311.91385160477347</v>
      </c>
      <c r="N79" s="459">
        <f t="shared" si="21"/>
        <v>318.60768943521788</v>
      </c>
    </row>
    <row r="80" spans="1:14">
      <c r="B80" s="338" t="str">
        <f t="shared" si="16"/>
        <v>35-39</v>
      </c>
      <c r="C80" s="459">
        <f t="shared" si="19"/>
        <v>304.99643251425823</v>
      </c>
      <c r="D80" s="459">
        <f t="shared" ref="D80:N80" si="22">D46+(0.2*D45)-(0.2*D46)</f>
        <v>297.40336501207821</v>
      </c>
      <c r="E80" s="459">
        <f t="shared" si="22"/>
        <v>291.30857801899879</v>
      </c>
      <c r="F80" s="459">
        <f t="shared" si="22"/>
        <v>283.45881060806602</v>
      </c>
      <c r="G80" s="459">
        <f t="shared" si="22"/>
        <v>277.43390892888186</v>
      </c>
      <c r="H80" s="459">
        <f t="shared" si="22"/>
        <v>275.86793553935479</v>
      </c>
      <c r="I80" s="459">
        <f t="shared" si="22"/>
        <v>276.87009335604699</v>
      </c>
      <c r="J80" s="459">
        <f t="shared" si="22"/>
        <v>279.95669492502947</v>
      </c>
      <c r="K80" s="459">
        <f t="shared" si="22"/>
        <v>284.95488406330884</v>
      </c>
      <c r="L80" s="459">
        <f t="shared" si="22"/>
        <v>290.26919995248977</v>
      </c>
      <c r="M80" s="459">
        <f t="shared" si="22"/>
        <v>295.45415767831213</v>
      </c>
      <c r="N80" s="459">
        <f t="shared" si="22"/>
        <v>300.514566542995</v>
      </c>
    </row>
    <row r="81" spans="1:14">
      <c r="B81" s="338" t="str">
        <f t="shared" si="16"/>
        <v>40-44</v>
      </c>
      <c r="C81" s="459">
        <f t="shared" si="19"/>
        <v>365.61574397429229</v>
      </c>
      <c r="D81" s="459">
        <f t="shared" ref="D81:N81" si="23">D47+(0.2*D46)-(0.2*D47)</f>
        <v>345.0108034761351</v>
      </c>
      <c r="E81" s="459">
        <f t="shared" si="23"/>
        <v>330.39840686128218</v>
      </c>
      <c r="F81" s="459">
        <f t="shared" si="23"/>
        <v>316.22958243369914</v>
      </c>
      <c r="G81" s="459">
        <f t="shared" si="23"/>
        <v>304.30207503382098</v>
      </c>
      <c r="H81" s="459">
        <f t="shared" si="23"/>
        <v>296.28782974695957</v>
      </c>
      <c r="I81" s="459">
        <f t="shared" si="23"/>
        <v>290.3956599548963</v>
      </c>
      <c r="J81" s="459">
        <f t="shared" si="23"/>
        <v>286.3357881872293</v>
      </c>
      <c r="K81" s="459">
        <f t="shared" si="23"/>
        <v>284.18107538312569</v>
      </c>
      <c r="L81" s="459">
        <f t="shared" si="23"/>
        <v>282.81113307748689</v>
      </c>
      <c r="M81" s="459">
        <f t="shared" si="23"/>
        <v>282.08191044026296</v>
      </c>
      <c r="N81" s="459">
        <f t="shared" si="23"/>
        <v>282.14882539958558</v>
      </c>
    </row>
    <row r="82" spans="1:14">
      <c r="B82" s="338" t="str">
        <f t="shared" si="16"/>
        <v>45-49</v>
      </c>
      <c r="C82" s="459">
        <f t="shared" si="19"/>
        <v>313.41464866539047</v>
      </c>
      <c r="D82" s="459">
        <f t="shared" ref="D82:N82" si="24">D48+(0.2*D47)-(0.2*D48)</f>
        <v>311.88576516931386</v>
      </c>
      <c r="E82" s="459">
        <f t="shared" si="24"/>
        <v>308.6602207369109</v>
      </c>
      <c r="F82" s="459">
        <f t="shared" si="24"/>
        <v>301.81212670403193</v>
      </c>
      <c r="G82" s="459">
        <f t="shared" si="24"/>
        <v>294.19661443465384</v>
      </c>
      <c r="H82" s="459">
        <f t="shared" si="24"/>
        <v>287.97901939913368</v>
      </c>
      <c r="I82" s="459">
        <f t="shared" si="24"/>
        <v>282.20059889736802</v>
      </c>
      <c r="J82" s="459">
        <f t="shared" si="24"/>
        <v>276.95597801963919</v>
      </c>
      <c r="K82" s="459">
        <f t="shared" si="24"/>
        <v>272.56877510164446</v>
      </c>
      <c r="L82" s="459">
        <f t="shared" si="24"/>
        <v>268.36346040055719</v>
      </c>
      <c r="M82" s="459">
        <f t="shared" si="24"/>
        <v>264.43637718990635</v>
      </c>
      <c r="N82" s="459">
        <f t="shared" si="24"/>
        <v>261.11273226969035</v>
      </c>
    </row>
    <row r="83" spans="1:14">
      <c r="B83" s="338" t="str">
        <f t="shared" si="16"/>
        <v>50-54</v>
      </c>
      <c r="C83" s="459">
        <f t="shared" si="19"/>
        <v>271.11449168943074</v>
      </c>
      <c r="D83" s="459">
        <f t="shared" ref="D83:N83" si="25">D49+(0.2*D48)-(0.2*D49)</f>
        <v>260.53562955321348</v>
      </c>
      <c r="E83" s="459">
        <f t="shared" si="25"/>
        <v>254.01217429189938</v>
      </c>
      <c r="F83" s="459">
        <f t="shared" si="25"/>
        <v>247.46078695360734</v>
      </c>
      <c r="G83" s="459">
        <f t="shared" si="25"/>
        <v>241.58105218716304</v>
      </c>
      <c r="H83" s="459">
        <f t="shared" si="25"/>
        <v>237.19357589716932</v>
      </c>
      <c r="I83" s="459">
        <f t="shared" si="25"/>
        <v>233.14185705800679</v>
      </c>
      <c r="J83" s="459">
        <f t="shared" si="25"/>
        <v>229.2725476170682</v>
      </c>
      <c r="K83" s="459">
        <f t="shared" si="25"/>
        <v>225.72371727752534</v>
      </c>
      <c r="L83" s="459">
        <f t="shared" si="25"/>
        <v>221.96056478318545</v>
      </c>
      <c r="M83" s="459">
        <f t="shared" si="25"/>
        <v>218.07701296299609</v>
      </c>
      <c r="N83" s="459">
        <f t="shared" si="25"/>
        <v>214.36757773737261</v>
      </c>
    </row>
    <row r="84" spans="1:14">
      <c r="B84" s="338" t="str">
        <f t="shared" si="16"/>
        <v>55-59</v>
      </c>
      <c r="C84" s="459">
        <f t="shared" si="19"/>
        <v>194.6243762447813</v>
      </c>
      <c r="D84" s="459">
        <f t="shared" ref="D84:N84" si="26">D50+(0.2*D49)-(0.2*D50)</f>
        <v>170.29640778318867</v>
      </c>
      <c r="E84" s="459">
        <f t="shared" si="26"/>
        <v>154.8981412432243</v>
      </c>
      <c r="F84" s="459">
        <f t="shared" si="26"/>
        <v>143.70542953070074</v>
      </c>
      <c r="G84" s="459">
        <f t="shared" si="26"/>
        <v>135.94176037611652</v>
      </c>
      <c r="H84" s="459">
        <f t="shared" si="26"/>
        <v>131.13044456783618</v>
      </c>
      <c r="I84" s="459">
        <f t="shared" si="26"/>
        <v>127.65071130104251</v>
      </c>
      <c r="J84" s="459">
        <f t="shared" si="26"/>
        <v>124.92409411821954</v>
      </c>
      <c r="K84" s="459">
        <f t="shared" si="26"/>
        <v>122.74007472467579</v>
      </c>
      <c r="L84" s="459">
        <f t="shared" si="26"/>
        <v>120.51793765021618</v>
      </c>
      <c r="M84" s="459">
        <f t="shared" si="26"/>
        <v>118.23418851692834</v>
      </c>
      <c r="N84" s="459">
        <f t="shared" si="26"/>
        <v>116.0372293985865</v>
      </c>
    </row>
    <row r="85" spans="1:14">
      <c r="B85" s="338" t="str">
        <f t="shared" si="16"/>
        <v>60-64</v>
      </c>
      <c r="C85" s="459">
        <f t="shared" si="19"/>
        <v>78.147734082253592</v>
      </c>
      <c r="D85" s="459">
        <f t="shared" ref="D85:N85" si="27">D51+(0.2*D50)-(0.2*D51)</f>
        <v>70.105009094781252</v>
      </c>
      <c r="E85" s="459">
        <f t="shared" si="27"/>
        <v>63.113244828146733</v>
      </c>
      <c r="F85" s="459">
        <f t="shared" si="27"/>
        <v>56.973062851429376</v>
      </c>
      <c r="G85" s="459">
        <f t="shared" si="27"/>
        <v>52.375824577297898</v>
      </c>
      <c r="H85" s="459">
        <f t="shared" si="27"/>
        <v>49.463141264754398</v>
      </c>
      <c r="I85" s="459">
        <f t="shared" si="27"/>
        <v>47.429641478068213</v>
      </c>
      <c r="J85" s="459">
        <f t="shared" si="27"/>
        <v>45.965190243138359</v>
      </c>
      <c r="K85" s="459">
        <f t="shared" si="27"/>
        <v>44.920985735644152</v>
      </c>
      <c r="L85" s="459">
        <f t="shared" si="27"/>
        <v>43.934216254096214</v>
      </c>
      <c r="M85" s="459">
        <f t="shared" si="27"/>
        <v>42.968997933080836</v>
      </c>
      <c r="N85" s="459">
        <f t="shared" si="27"/>
        <v>42.083320754895844</v>
      </c>
    </row>
    <row r="86" spans="1:14">
      <c r="B86" s="338" t="str">
        <f t="shared" si="16"/>
        <v>65 plus</v>
      </c>
      <c r="C86" s="459">
        <f>C52+(0.2*C51)</f>
        <v>20.738921905615022</v>
      </c>
      <c r="D86" s="459">
        <f t="shared" ref="D86:N86" si="28">D52+(0.2*D51)</f>
        <v>21.912257442238833</v>
      </c>
      <c r="E86" s="459">
        <f t="shared" si="28"/>
        <v>21.755235022068849</v>
      </c>
      <c r="F86" s="459">
        <f t="shared" si="28"/>
        <v>20.645413859165036</v>
      </c>
      <c r="G86" s="459">
        <f t="shared" si="28"/>
        <v>19.316354165294641</v>
      </c>
      <c r="H86" s="459">
        <f t="shared" si="28"/>
        <v>18.216993112844492</v>
      </c>
      <c r="I86" s="459">
        <f t="shared" si="28"/>
        <v>17.30609729914179</v>
      </c>
      <c r="J86" s="459">
        <f t="shared" si="28"/>
        <v>16.583082373135493</v>
      </c>
      <c r="K86" s="459">
        <f t="shared" si="28"/>
        <v>16.042462009278701</v>
      </c>
      <c r="L86" s="459">
        <f t="shared" si="28"/>
        <v>15.566400713558448</v>
      </c>
      <c r="M86" s="459">
        <f t="shared" si="28"/>
        <v>15.131772037586838</v>
      </c>
      <c r="N86" s="459">
        <f t="shared" si="28"/>
        <v>14.751204123292069</v>
      </c>
    </row>
    <row r="87" spans="1:14">
      <c r="B87" s="338" t="str">
        <f t="shared" si="16"/>
        <v>Total</v>
      </c>
      <c r="C87" s="459">
        <f>SUM(C77:C86)</f>
        <v>1937.103173963834</v>
      </c>
      <c r="D87" s="459">
        <f t="shared" ref="D87:N87" si="29">SUM(D77:D86)</f>
        <v>1907.8059476288199</v>
      </c>
      <c r="E87" s="459">
        <f t="shared" si="29"/>
        <v>1911.1091480592363</v>
      </c>
      <c r="F87" s="459">
        <f t="shared" si="29"/>
        <v>1892.5779683314795</v>
      </c>
      <c r="G87" s="459">
        <f t="shared" si="29"/>
        <v>1880.1975127750341</v>
      </c>
      <c r="H87" s="459">
        <f t="shared" si="29"/>
        <v>1895.1812213270862</v>
      </c>
      <c r="I87" s="459">
        <f t="shared" si="29"/>
        <v>1915.1448690532322</v>
      </c>
      <c r="J87" s="459">
        <f t="shared" si="29"/>
        <v>1936.6083211232672</v>
      </c>
      <c r="K87" s="459">
        <f t="shared" si="29"/>
        <v>1961.0098803626058</v>
      </c>
      <c r="L87" s="459">
        <f t="shared" si="29"/>
        <v>1976.2265951470861</v>
      </c>
      <c r="M87" s="459">
        <f t="shared" si="29"/>
        <v>1983.039547724366</v>
      </c>
      <c r="N87" s="459">
        <f t="shared" si="29"/>
        <v>1986.2261100717276</v>
      </c>
    </row>
    <row r="88" spans="1:14">
      <c r="A88" s="309">
        <f>SUM(C88:N88)</f>
        <v>0</v>
      </c>
      <c r="C88" s="309">
        <f t="shared" ref="C88:N88" si="30">SUM(C77:C86)-C87</f>
        <v>0</v>
      </c>
      <c r="D88" s="309">
        <f t="shared" si="30"/>
        <v>0</v>
      </c>
      <c r="E88" s="309">
        <f t="shared" si="30"/>
        <v>0</v>
      </c>
      <c r="F88" s="309">
        <f t="shared" si="30"/>
        <v>0</v>
      </c>
      <c r="G88" s="309">
        <f t="shared" si="30"/>
        <v>0</v>
      </c>
      <c r="H88" s="309">
        <f t="shared" si="30"/>
        <v>0</v>
      </c>
      <c r="I88" s="309">
        <f t="shared" si="30"/>
        <v>0</v>
      </c>
      <c r="J88" s="309">
        <f t="shared" si="30"/>
        <v>0</v>
      </c>
      <c r="K88" s="309">
        <f t="shared" si="30"/>
        <v>0</v>
      </c>
      <c r="L88" s="309">
        <f t="shared" si="30"/>
        <v>0</v>
      </c>
      <c r="M88" s="309">
        <f t="shared" si="30"/>
        <v>0</v>
      </c>
      <c r="N88" s="309">
        <f t="shared" si="30"/>
        <v>0</v>
      </c>
    </row>
    <row r="90" spans="1:14">
      <c r="B90" s="341" t="s">
        <v>50</v>
      </c>
      <c r="H90" s="325"/>
    </row>
    <row r="91" spans="1:14">
      <c r="H91" s="325"/>
    </row>
    <row r="92" spans="1:14">
      <c r="B92" s="338" t="str">
        <f t="shared" ref="B92:B103" si="31">B76</f>
        <v>Age group</v>
      </c>
      <c r="C92" s="338" t="str">
        <f t="shared" ref="C92:N92" si="32">C76</f>
        <v>2016/17</v>
      </c>
      <c r="D92" s="338" t="str">
        <f t="shared" si="32"/>
        <v>2017/18</v>
      </c>
      <c r="E92" s="338" t="str">
        <f t="shared" si="32"/>
        <v>2018/19</v>
      </c>
      <c r="F92" s="338" t="str">
        <f t="shared" si="32"/>
        <v>2019/20</v>
      </c>
      <c r="G92" s="338" t="str">
        <f t="shared" si="32"/>
        <v>2020/21</v>
      </c>
      <c r="H92" s="338" t="str">
        <f t="shared" si="32"/>
        <v>2021/22</v>
      </c>
      <c r="I92" s="338" t="str">
        <f t="shared" si="32"/>
        <v>2022/23</v>
      </c>
      <c r="J92" s="338" t="str">
        <f t="shared" si="32"/>
        <v>2023/24</v>
      </c>
      <c r="K92" s="338" t="str">
        <f t="shared" si="32"/>
        <v>2024/25</v>
      </c>
      <c r="L92" s="338" t="str">
        <f t="shared" si="32"/>
        <v>2025/26</v>
      </c>
      <c r="M92" s="338" t="str">
        <f t="shared" si="32"/>
        <v>2026/27</v>
      </c>
      <c r="N92" s="338" t="str">
        <f t="shared" si="32"/>
        <v>2027/28</v>
      </c>
    </row>
    <row r="93" spans="1:14">
      <c r="B93" s="338" t="str">
        <f t="shared" si="31"/>
        <v>20-24</v>
      </c>
      <c r="C93" s="459">
        <f>C59-(0.2*C59)</f>
        <v>94.002747415431372</v>
      </c>
      <c r="D93" s="459">
        <f t="shared" ref="D93:N93" si="33">D59-(0.2*D59)</f>
        <v>197.11760179516423</v>
      </c>
      <c r="E93" s="459">
        <f t="shared" si="33"/>
        <v>288.02288604915856</v>
      </c>
      <c r="F93" s="459">
        <f t="shared" si="33"/>
        <v>335.29312812398337</v>
      </c>
      <c r="G93" s="459">
        <f t="shared" si="33"/>
        <v>369.66007836639676</v>
      </c>
      <c r="H93" s="459">
        <f t="shared" si="33"/>
        <v>410.31643201521985</v>
      </c>
      <c r="I93" s="459">
        <f t="shared" si="33"/>
        <v>442.25322929128532</v>
      </c>
      <c r="J93" s="459">
        <f t="shared" si="33"/>
        <v>466.12347289101638</v>
      </c>
      <c r="K93" s="459">
        <f t="shared" si="33"/>
        <v>485.47604236660311</v>
      </c>
      <c r="L93" s="459">
        <f t="shared" si="33"/>
        <v>493.55109391672897</v>
      </c>
      <c r="M93" s="459">
        <f t="shared" si="33"/>
        <v>493.56404824576049</v>
      </c>
      <c r="N93" s="459">
        <f t="shared" si="33"/>
        <v>490.62365526024075</v>
      </c>
    </row>
    <row r="94" spans="1:14">
      <c r="B94" s="338" t="str">
        <f t="shared" si="31"/>
        <v>25-29</v>
      </c>
      <c r="C94" s="459">
        <f t="shared" ref="C94:C101" si="34">C60+(0.2*C59)-(0.2*C60)</f>
        <v>668.31573605355288</v>
      </c>
      <c r="D94" s="459">
        <f t="shared" ref="D94:N94" si="35">D60+(0.2*D59)-(0.2*D60)</f>
        <v>669.33020805082651</v>
      </c>
      <c r="E94" s="459">
        <f t="shared" si="35"/>
        <v>710.7266991576065</v>
      </c>
      <c r="F94" s="459">
        <f t="shared" si="35"/>
        <v>734.44311278816622</v>
      </c>
      <c r="G94" s="459">
        <f t="shared" si="35"/>
        <v>760.93292865528883</v>
      </c>
      <c r="H94" s="459">
        <f t="shared" si="35"/>
        <v>807.0311640422874</v>
      </c>
      <c r="I94" s="459">
        <f t="shared" si="35"/>
        <v>851.5412010823411</v>
      </c>
      <c r="J94" s="459">
        <f t="shared" si="35"/>
        <v>890.971867753276</v>
      </c>
      <c r="K94" s="459">
        <f t="shared" si="35"/>
        <v>926.86160670096876</v>
      </c>
      <c r="L94" s="459">
        <f t="shared" si="35"/>
        <v>949.03093099258581</v>
      </c>
      <c r="M94" s="459">
        <f t="shared" si="35"/>
        <v>959.19859718307214</v>
      </c>
      <c r="N94" s="459">
        <f t="shared" si="35"/>
        <v>962.8011153268734</v>
      </c>
    </row>
    <row r="95" spans="1:14">
      <c r="B95" s="338" t="str">
        <f t="shared" si="31"/>
        <v>30-34</v>
      </c>
      <c r="C95" s="459">
        <f t="shared" si="34"/>
        <v>1117.0866495507428</v>
      </c>
      <c r="D95" s="459">
        <f t="shared" ref="D95:N95" si="36">D61+(0.2*D60)-(0.2*D61)</f>
        <v>1037.7121540290286</v>
      </c>
      <c r="E95" s="459">
        <f t="shared" si="36"/>
        <v>993.30514239235674</v>
      </c>
      <c r="F95" s="459">
        <f t="shared" si="36"/>
        <v>954.82000355114292</v>
      </c>
      <c r="G95" s="459">
        <f t="shared" si="36"/>
        <v>931.51505136865239</v>
      </c>
      <c r="H95" s="459">
        <f t="shared" si="36"/>
        <v>931.76011508475005</v>
      </c>
      <c r="I95" s="459">
        <f t="shared" si="36"/>
        <v>942.57593028416704</v>
      </c>
      <c r="J95" s="459">
        <f t="shared" si="36"/>
        <v>959.39960482094034</v>
      </c>
      <c r="K95" s="459">
        <f t="shared" si="36"/>
        <v>980.64357705324107</v>
      </c>
      <c r="L95" s="459">
        <f t="shared" si="36"/>
        <v>998.25666669758664</v>
      </c>
      <c r="M95" s="459">
        <f t="shared" si="36"/>
        <v>1010.7125341335022</v>
      </c>
      <c r="N95" s="459">
        <f t="shared" si="36"/>
        <v>1019.3809717485454</v>
      </c>
    </row>
    <row r="96" spans="1:14">
      <c r="B96" s="338" t="str">
        <f t="shared" si="31"/>
        <v>35-39</v>
      </c>
      <c r="C96" s="459">
        <f t="shared" si="34"/>
        <v>1206.9992184805483</v>
      </c>
      <c r="D96" s="459">
        <f t="shared" ref="D96:N96" si="37">D62+(0.2*D61)-(0.2*D62)</f>
        <v>1156.5642726852834</v>
      </c>
      <c r="E96" s="459">
        <f t="shared" si="37"/>
        <v>1113.5433372554642</v>
      </c>
      <c r="F96" s="459">
        <f t="shared" si="37"/>
        <v>1065.0726673793197</v>
      </c>
      <c r="G96" s="459">
        <f t="shared" si="37"/>
        <v>1022.6963238954445</v>
      </c>
      <c r="H96" s="459">
        <f t="shared" si="37"/>
        <v>995.24765734895823</v>
      </c>
      <c r="I96" s="459">
        <f t="shared" si="37"/>
        <v>976.54585464179956</v>
      </c>
      <c r="J96" s="459">
        <f t="shared" si="37"/>
        <v>965.29688344773081</v>
      </c>
      <c r="K96" s="459">
        <f t="shared" si="37"/>
        <v>961.24165953284614</v>
      </c>
      <c r="L96" s="459">
        <f t="shared" si="37"/>
        <v>959.29951985625553</v>
      </c>
      <c r="M96" s="459">
        <f t="shared" si="37"/>
        <v>958.24099835028699</v>
      </c>
      <c r="N96" s="459">
        <f t="shared" si="37"/>
        <v>958.27626023828088</v>
      </c>
    </row>
    <row r="97" spans="1:14">
      <c r="B97" s="338" t="str">
        <f t="shared" si="31"/>
        <v>40-44</v>
      </c>
      <c r="C97" s="459">
        <f t="shared" si="34"/>
        <v>1168.0180965314087</v>
      </c>
      <c r="D97" s="459">
        <f t="shared" ref="D97:N97" si="38">D63+(0.2*D62)-(0.2*D63)</f>
        <v>1137.8998852802708</v>
      </c>
      <c r="E97" s="459">
        <f t="shared" si="38"/>
        <v>1113.4986671489598</v>
      </c>
      <c r="F97" s="459">
        <f t="shared" si="38"/>
        <v>1080.351704416393</v>
      </c>
      <c r="G97" s="459">
        <f t="shared" si="38"/>
        <v>1047.2229715559722</v>
      </c>
      <c r="H97" s="459">
        <f t="shared" si="38"/>
        <v>1021.58694597966</v>
      </c>
      <c r="I97" s="459">
        <f t="shared" si="38"/>
        <v>998.81069219432436</v>
      </c>
      <c r="J97" s="459">
        <f t="shared" si="38"/>
        <v>978.99774557588319</v>
      </c>
      <c r="K97" s="459">
        <f t="shared" si="38"/>
        <v>963.25160448453869</v>
      </c>
      <c r="L97" s="459">
        <f t="shared" si="38"/>
        <v>948.52669531807624</v>
      </c>
      <c r="M97" s="459">
        <f t="shared" si="38"/>
        <v>934.93773026802069</v>
      </c>
      <c r="N97" s="459">
        <f t="shared" si="38"/>
        <v>923.49830790879878</v>
      </c>
    </row>
    <row r="98" spans="1:14">
      <c r="B98" s="338" t="str">
        <f t="shared" si="31"/>
        <v>45-49</v>
      </c>
      <c r="C98" s="459">
        <f t="shared" si="34"/>
        <v>911.66086807775764</v>
      </c>
      <c r="D98" s="459">
        <f t="shared" ref="D98:N98" si="39">D64+(0.2*D63)-(0.2*D64)</f>
        <v>929.22888914699831</v>
      </c>
      <c r="E98" s="459">
        <f t="shared" si="39"/>
        <v>942.36473680510142</v>
      </c>
      <c r="F98" s="459">
        <f t="shared" si="39"/>
        <v>941.65932541233167</v>
      </c>
      <c r="G98" s="459">
        <f t="shared" si="39"/>
        <v>935.23644077435881</v>
      </c>
      <c r="H98" s="459">
        <f t="shared" si="39"/>
        <v>929.77659500587333</v>
      </c>
      <c r="I98" s="459">
        <f t="shared" si="39"/>
        <v>922.00720301936929</v>
      </c>
      <c r="J98" s="459">
        <f t="shared" si="39"/>
        <v>912.45254912545022</v>
      </c>
      <c r="K98" s="459">
        <f t="shared" si="39"/>
        <v>902.54457099409012</v>
      </c>
      <c r="L98" s="459">
        <f t="shared" si="39"/>
        <v>890.44351762320082</v>
      </c>
      <c r="M98" s="459">
        <f t="shared" si="39"/>
        <v>876.91300787002149</v>
      </c>
      <c r="N98" s="459">
        <f t="shared" si="39"/>
        <v>863.47365203989307</v>
      </c>
    </row>
    <row r="99" spans="1:14">
      <c r="B99" s="338" t="str">
        <f t="shared" si="31"/>
        <v>50-54</v>
      </c>
      <c r="C99" s="459">
        <f t="shared" si="34"/>
        <v>717.24596781660216</v>
      </c>
      <c r="D99" s="459">
        <f t="shared" ref="D99:N99" si="40">D65+(0.2*D64)-(0.2*D65)</f>
        <v>709.22163014128273</v>
      </c>
      <c r="E99" s="459">
        <f t="shared" si="40"/>
        <v>711.06957769901794</v>
      </c>
      <c r="F99" s="459">
        <f t="shared" si="40"/>
        <v>710.42049823968705</v>
      </c>
      <c r="G99" s="459">
        <f t="shared" si="40"/>
        <v>709.99040066969815</v>
      </c>
      <c r="H99" s="459">
        <f t="shared" si="40"/>
        <v>712.52125100508556</v>
      </c>
      <c r="I99" s="459">
        <f t="shared" si="40"/>
        <v>714.04468524529193</v>
      </c>
      <c r="J99" s="459">
        <f t="shared" si="40"/>
        <v>713.9688321125567</v>
      </c>
      <c r="K99" s="459">
        <f t="shared" si="40"/>
        <v>712.73711503189588</v>
      </c>
      <c r="L99" s="459">
        <f t="shared" si="40"/>
        <v>708.61504931975992</v>
      </c>
      <c r="M99" s="459">
        <f t="shared" si="40"/>
        <v>702.0333980123587</v>
      </c>
      <c r="N99" s="459">
        <f t="shared" si="40"/>
        <v>694.13896685968723</v>
      </c>
    </row>
    <row r="100" spans="1:14">
      <c r="B100" s="338" t="str">
        <f t="shared" si="31"/>
        <v>55-59</v>
      </c>
      <c r="C100" s="459">
        <f t="shared" si="34"/>
        <v>388.53977222818776</v>
      </c>
      <c r="D100" s="459">
        <f t="shared" ref="D100:N100" si="41">D66+(0.2*D65)-(0.2*D66)</f>
        <v>382.38028389112947</v>
      </c>
      <c r="E100" s="459">
        <f t="shared" si="41"/>
        <v>380.26300506197191</v>
      </c>
      <c r="F100" s="459">
        <f t="shared" si="41"/>
        <v>376.28795255602972</v>
      </c>
      <c r="G100" s="459">
        <f t="shared" si="41"/>
        <v>373.90433221307171</v>
      </c>
      <c r="H100" s="459">
        <f t="shared" si="41"/>
        <v>375.18761320506536</v>
      </c>
      <c r="I100" s="459">
        <f t="shared" si="41"/>
        <v>376.91150494732278</v>
      </c>
      <c r="J100" s="459">
        <f t="shared" si="41"/>
        <v>378.40159682299191</v>
      </c>
      <c r="K100" s="459">
        <f t="shared" si="41"/>
        <v>379.68139996731162</v>
      </c>
      <c r="L100" s="459">
        <f t="shared" si="41"/>
        <v>379.23940750131436</v>
      </c>
      <c r="M100" s="459">
        <f t="shared" si="41"/>
        <v>377.25066879596869</v>
      </c>
      <c r="N100" s="459">
        <f t="shared" si="41"/>
        <v>374.38246700955727</v>
      </c>
    </row>
    <row r="101" spans="1:14">
      <c r="B101" s="338" t="str">
        <f t="shared" si="31"/>
        <v>60-64</v>
      </c>
      <c r="C101" s="459">
        <f t="shared" si="34"/>
        <v>154.79695533125999</v>
      </c>
      <c r="D101" s="459">
        <f t="shared" ref="D101:N101" si="42">D67+(0.2*D66)-(0.2*D67)</f>
        <v>141.30691052954572</v>
      </c>
      <c r="E101" s="459">
        <f t="shared" si="42"/>
        <v>135.81661600973365</v>
      </c>
      <c r="F101" s="459">
        <f t="shared" si="42"/>
        <v>131.33921689718812</v>
      </c>
      <c r="G101" s="459">
        <f t="shared" si="42"/>
        <v>128.75059360359992</v>
      </c>
      <c r="H101" s="459">
        <f t="shared" si="42"/>
        <v>128.71368755049994</v>
      </c>
      <c r="I101" s="459">
        <f t="shared" si="42"/>
        <v>129.16272753561722</v>
      </c>
      <c r="J101" s="459">
        <f t="shared" si="42"/>
        <v>129.72821489440278</v>
      </c>
      <c r="K101" s="459">
        <f t="shared" si="42"/>
        <v>130.42765294010172</v>
      </c>
      <c r="L101" s="459">
        <f t="shared" si="42"/>
        <v>130.40480663771251</v>
      </c>
      <c r="M101" s="459">
        <f t="shared" si="42"/>
        <v>129.79136885551068</v>
      </c>
      <c r="N101" s="459">
        <f t="shared" si="42"/>
        <v>128.93684434756852</v>
      </c>
    </row>
    <row r="102" spans="1:14">
      <c r="B102" s="338" t="str">
        <f t="shared" si="31"/>
        <v>65 plus</v>
      </c>
      <c r="C102" s="459">
        <f>C68+(0.2*C67)</f>
        <v>39.702694755331905</v>
      </c>
      <c r="D102" s="459">
        <f t="shared" ref="D102:N102" si="43">D68+(0.2*D67)</f>
        <v>42.020223547066593</v>
      </c>
      <c r="E102" s="459">
        <f t="shared" si="43"/>
        <v>42.229465162250492</v>
      </c>
      <c r="F102" s="459">
        <f t="shared" si="43"/>
        <v>41.091367229637534</v>
      </c>
      <c r="G102" s="459">
        <f t="shared" si="43"/>
        <v>40.034578438859263</v>
      </c>
      <c r="H102" s="459">
        <f t="shared" si="43"/>
        <v>39.774609219319657</v>
      </c>
      <c r="I102" s="459">
        <f t="shared" si="43"/>
        <v>39.743312554569307</v>
      </c>
      <c r="J102" s="459">
        <f t="shared" si="43"/>
        <v>39.817109953429451</v>
      </c>
      <c r="K102" s="459">
        <f t="shared" si="43"/>
        <v>39.99959854203469</v>
      </c>
      <c r="L102" s="459">
        <f t="shared" si="43"/>
        <v>39.970877776387738</v>
      </c>
      <c r="M102" s="459">
        <f t="shared" si="43"/>
        <v>39.753743121520436</v>
      </c>
      <c r="N102" s="459">
        <f t="shared" si="43"/>
        <v>39.472693152648361</v>
      </c>
    </row>
    <row r="103" spans="1:14">
      <c r="B103" s="338" t="str">
        <f t="shared" si="31"/>
        <v>Total</v>
      </c>
      <c r="C103" s="459">
        <f>SUM(C93:C102)</f>
        <v>6466.3687062408235</v>
      </c>
      <c r="D103" s="459">
        <f t="shared" ref="D103:N103" si="44">SUM(D93:D102)</f>
        <v>6402.7820590965966</v>
      </c>
      <c r="E103" s="459">
        <f t="shared" si="44"/>
        <v>6430.8401327416204</v>
      </c>
      <c r="F103" s="459">
        <f t="shared" si="44"/>
        <v>6370.7789765938778</v>
      </c>
      <c r="G103" s="459">
        <f t="shared" si="44"/>
        <v>6319.9436995413416</v>
      </c>
      <c r="H103" s="459">
        <f t="shared" si="44"/>
        <v>6351.9160704567203</v>
      </c>
      <c r="I103" s="459">
        <f t="shared" si="44"/>
        <v>6393.596340796088</v>
      </c>
      <c r="J103" s="459">
        <f t="shared" si="44"/>
        <v>6435.1578773976771</v>
      </c>
      <c r="K103" s="459">
        <f t="shared" si="44"/>
        <v>6482.8648276136319</v>
      </c>
      <c r="L103" s="459">
        <f t="shared" si="44"/>
        <v>6497.3385656396094</v>
      </c>
      <c r="M103" s="459">
        <f t="shared" si="44"/>
        <v>6482.3960948360236</v>
      </c>
      <c r="N103" s="459">
        <f t="shared" si="44"/>
        <v>6454.984933892094</v>
      </c>
    </row>
    <row r="104" spans="1:14">
      <c r="A104" s="309">
        <f>SUM(C104:N104)</f>
        <v>0</v>
      </c>
      <c r="C104" s="309">
        <f t="shared" ref="C104:N104" si="45">SUM(C93:C102)-C103</f>
        <v>0</v>
      </c>
      <c r="D104" s="309">
        <f t="shared" si="45"/>
        <v>0</v>
      </c>
      <c r="E104" s="309">
        <f t="shared" si="45"/>
        <v>0</v>
      </c>
      <c r="F104" s="309">
        <f t="shared" si="45"/>
        <v>0</v>
      </c>
      <c r="G104" s="309">
        <f t="shared" si="45"/>
        <v>0</v>
      </c>
      <c r="H104" s="309">
        <f t="shared" si="45"/>
        <v>0</v>
      </c>
      <c r="I104" s="309">
        <f t="shared" si="45"/>
        <v>0</v>
      </c>
      <c r="J104" s="309">
        <f t="shared" si="45"/>
        <v>0</v>
      </c>
      <c r="K104" s="309">
        <f t="shared" si="45"/>
        <v>0</v>
      </c>
      <c r="L104" s="309">
        <f t="shared" si="45"/>
        <v>0</v>
      </c>
      <c r="M104" s="309">
        <f t="shared" si="45"/>
        <v>0</v>
      </c>
      <c r="N104" s="309">
        <f t="shared" si="45"/>
        <v>0</v>
      </c>
    </row>
    <row r="106" spans="1:14" ht="15.75">
      <c r="B106" s="340" t="s">
        <v>151</v>
      </c>
      <c r="H106" s="325"/>
    </row>
    <row r="107" spans="1:14">
      <c r="H107" s="325"/>
    </row>
    <row r="108" spans="1:14">
      <c r="B108" s="341" t="s">
        <v>49</v>
      </c>
      <c r="H108" s="325"/>
    </row>
    <row r="109" spans="1:14">
      <c r="H109" s="325"/>
    </row>
    <row r="110" spans="1:14">
      <c r="B110" s="338" t="str">
        <f t="shared" ref="B110:B121" si="46">B76</f>
        <v>Age group</v>
      </c>
      <c r="C110" s="338" t="str">
        <f t="shared" ref="C110:N110" si="47">C76</f>
        <v>2016/17</v>
      </c>
      <c r="D110" s="338" t="str">
        <f t="shared" si="47"/>
        <v>2017/18</v>
      </c>
      <c r="E110" s="338" t="str">
        <f t="shared" si="47"/>
        <v>2018/19</v>
      </c>
      <c r="F110" s="338" t="str">
        <f t="shared" si="47"/>
        <v>2019/20</v>
      </c>
      <c r="G110" s="338" t="str">
        <f t="shared" si="47"/>
        <v>2020/21</v>
      </c>
      <c r="H110" s="338" t="str">
        <f t="shared" si="47"/>
        <v>2021/22</v>
      </c>
      <c r="I110" s="338" t="str">
        <f t="shared" si="47"/>
        <v>2022/23</v>
      </c>
      <c r="J110" s="338" t="str">
        <f t="shared" si="47"/>
        <v>2023/24</v>
      </c>
      <c r="K110" s="338" t="str">
        <f t="shared" si="47"/>
        <v>2024/25</v>
      </c>
      <c r="L110" s="338" t="str">
        <f t="shared" si="47"/>
        <v>2025/26</v>
      </c>
      <c r="M110" s="338" t="str">
        <f t="shared" si="47"/>
        <v>2026/27</v>
      </c>
      <c r="N110" s="338" t="str">
        <f t="shared" si="47"/>
        <v>2027/28</v>
      </c>
    </row>
    <row r="111" spans="1:14">
      <c r="B111" s="338" t="str">
        <f t="shared" si="46"/>
        <v>20-24</v>
      </c>
      <c r="C111" s="459">
        <f>C77*Group_3_rates!E74</f>
        <v>1.6521355100665178</v>
      </c>
      <c r="D111" s="459">
        <f>D77*Group_3_rates!F74</f>
        <v>5.4156414399368513</v>
      </c>
      <c r="E111" s="459">
        <f>E77*Group_3_rates!G74</f>
        <v>8.6640843846665359</v>
      </c>
      <c r="F111" s="459">
        <f>F77*Group_3_rates!H74</f>
        <v>10.407324282396591</v>
      </c>
      <c r="G111" s="459">
        <f>G77*Group_3_rates!I74</f>
        <v>11.671232818871282</v>
      </c>
      <c r="H111" s="459">
        <f>H77*Group_3_rates!J74</f>
        <v>13.098250755785624</v>
      </c>
      <c r="I111" s="459">
        <f>I77*Group_3_rates!K74</f>
        <v>14.211253801938328</v>
      </c>
      <c r="J111" s="459">
        <f>J77*Group_3_rates!L74</f>
        <v>15.040217468389352</v>
      </c>
      <c r="K111" s="459">
        <f>K77*Group_3_rates!M74</f>
        <v>15.706969654267201</v>
      </c>
      <c r="L111" s="459">
        <f>L77*Group_3_rates!N74</f>
        <v>15.995619618717743</v>
      </c>
      <c r="M111" s="459">
        <f>M77*Group_3_rates!O74</f>
        <v>16.014141513018071</v>
      </c>
      <c r="N111" s="459">
        <f>N77*Group_3_rates!P74</f>
        <v>15.931238061419423</v>
      </c>
    </row>
    <row r="112" spans="1:14">
      <c r="B112" s="338" t="str">
        <f t="shared" si="46"/>
        <v>25-29</v>
      </c>
      <c r="C112" s="459">
        <f>C78*Group_3_rates!E75</f>
        <v>9.2256510152685838</v>
      </c>
      <c r="D112" s="459">
        <f>D78*Group_3_rates!F75</f>
        <v>11.204967725340616</v>
      </c>
      <c r="E112" s="459">
        <f>E78*Group_3_rates!G75</f>
        <v>13.73755244128642</v>
      </c>
      <c r="F112" s="459">
        <f>F78*Group_3_rates!H75</f>
        <v>15.471424072536461</v>
      </c>
      <c r="G112" s="459">
        <f>G78*Group_3_rates!I75</f>
        <v>17.003366096181939</v>
      </c>
      <c r="H112" s="459">
        <f>H78*Group_3_rates!J75</f>
        <v>18.823727349232655</v>
      </c>
      <c r="I112" s="459">
        <f>I78*Group_3_rates!K75</f>
        <v>20.4495444766997</v>
      </c>
      <c r="J112" s="459">
        <f>J78*Group_3_rates!L75</f>
        <v>21.829576106265794</v>
      </c>
      <c r="K112" s="459">
        <f>K78*Group_3_rates!M75</f>
        <v>23.030429892032647</v>
      </c>
      <c r="L112" s="459">
        <f>L78*Group_3_rates!N75</f>
        <v>23.816351867977133</v>
      </c>
      <c r="M112" s="459">
        <f>M78*Group_3_rates!O75</f>
        <v>24.245524680629909</v>
      </c>
      <c r="N112" s="459">
        <f>N78*Group_3_rates!P75</f>
        <v>24.466794638491791</v>
      </c>
    </row>
    <row r="113" spans="1:14">
      <c r="B113" s="338" t="str">
        <f t="shared" si="46"/>
        <v>30-34</v>
      </c>
      <c r="C113" s="459">
        <f>C79*Group_3_rates!E76</f>
        <v>16.436075797652311</v>
      </c>
      <c r="D113" s="459">
        <f>D79*Group_3_rates!F76</f>
        <v>15.447750135018742</v>
      </c>
      <c r="E113" s="459">
        <f>E79*Group_3_rates!G76</f>
        <v>15.224050298963144</v>
      </c>
      <c r="F113" s="459">
        <f>F79*Group_3_rates!H76</f>
        <v>15.145679621837793</v>
      </c>
      <c r="G113" s="459">
        <f>G79*Group_3_rates!I76</f>
        <v>15.330734708218191</v>
      </c>
      <c r="H113" s="459">
        <f>H79*Group_3_rates!J76</f>
        <v>15.909182554369016</v>
      </c>
      <c r="I113" s="459">
        <f>I79*Group_3_rates!K76</f>
        <v>16.631491958087025</v>
      </c>
      <c r="J113" s="459">
        <f>J79*Group_3_rates!L76</f>
        <v>17.408791889103842</v>
      </c>
      <c r="K113" s="459">
        <f>K79*Group_3_rates!M76</f>
        <v>18.211899300396261</v>
      </c>
      <c r="L113" s="459">
        <f>L79*Group_3_rates!N76</f>
        <v>18.894125079624985</v>
      </c>
      <c r="M113" s="459">
        <f>M79*Group_3_rates!O76</f>
        <v>19.429320662997196</v>
      </c>
      <c r="N113" s="459">
        <f>N79*Group_3_rates!P76</f>
        <v>19.846284260492702</v>
      </c>
    </row>
    <row r="114" spans="1:14">
      <c r="B114" s="338" t="str">
        <f t="shared" si="46"/>
        <v>35-39</v>
      </c>
      <c r="C114" s="459">
        <f>C80*Group_3_rates!E77</f>
        <v>18.943285153121398</v>
      </c>
      <c r="D114" s="459">
        <f>D80*Group_3_rates!F77</f>
        <v>18.471680807801814</v>
      </c>
      <c r="E114" s="459">
        <f>E80*Group_3_rates!G77</f>
        <v>18.09313445233898</v>
      </c>
      <c r="F114" s="459">
        <f>F80*Group_3_rates!H77</f>
        <v>17.605586512105198</v>
      </c>
      <c r="G114" s="459">
        <f>G80*Group_3_rates!I77</f>
        <v>17.231380723573654</v>
      </c>
      <c r="H114" s="459">
        <f>H80*Group_3_rates!J77</f>
        <v>17.134118338517315</v>
      </c>
      <c r="I114" s="459">
        <f>I80*Group_3_rates!K77</f>
        <v>17.196362218334311</v>
      </c>
      <c r="J114" s="459">
        <f>J80*Group_3_rates!L77</f>
        <v>17.388070603882635</v>
      </c>
      <c r="K114" s="459">
        <f>K80*Group_3_rates!M77</f>
        <v>17.698507422159956</v>
      </c>
      <c r="L114" s="459">
        <f>L80*Group_3_rates!N77</f>
        <v>18.02857882808636</v>
      </c>
      <c r="M114" s="459">
        <f>M80*Group_3_rates!O77</f>
        <v>18.350615816838815</v>
      </c>
      <c r="N114" s="459">
        <f>N80*Group_3_rates!P77</f>
        <v>18.664917093495845</v>
      </c>
    </row>
    <row r="115" spans="1:14">
      <c r="B115" s="338" t="str">
        <f t="shared" si="46"/>
        <v>40-44</v>
      </c>
      <c r="C115" s="459">
        <f>C81*Group_3_rates!E78</f>
        <v>25.322573851288332</v>
      </c>
      <c r="D115" s="459">
        <f>D81*Group_3_rates!F78</f>
        <v>23.895474126877463</v>
      </c>
      <c r="E115" s="459">
        <f>E81*Group_3_rates!G78</f>
        <v>22.883418441305164</v>
      </c>
      <c r="F115" s="459">
        <f>F81*Group_3_rates!H78</f>
        <v>21.90208459869406</v>
      </c>
      <c r="G115" s="459">
        <f>G81*Group_3_rates!I78</f>
        <v>21.075984541535583</v>
      </c>
      <c r="H115" s="459">
        <f>H81*Group_3_rates!J78</f>
        <v>20.520917311845501</v>
      </c>
      <c r="I115" s="459">
        <f>I81*Group_3_rates!K78</f>
        <v>20.112825190095013</v>
      </c>
      <c r="J115" s="459">
        <f>J81*Group_3_rates!L78</f>
        <v>19.831638166948832</v>
      </c>
      <c r="K115" s="459">
        <f>K81*Group_3_rates!M78</f>
        <v>19.682402596518727</v>
      </c>
      <c r="L115" s="459">
        <f>L81*Group_3_rates!N78</f>
        <v>19.587520289675339</v>
      </c>
      <c r="M115" s="459">
        <f>M81*Group_3_rates!O78</f>
        <v>19.53701427512463</v>
      </c>
      <c r="N115" s="459">
        <f>N81*Group_3_rates!P78</f>
        <v>19.541648810226384</v>
      </c>
    </row>
    <row r="116" spans="1:14">
      <c r="B116" s="338" t="str">
        <f t="shared" si="46"/>
        <v>45-49</v>
      </c>
      <c r="C116" s="459">
        <f>C82*Group_3_rates!E79</f>
        <v>24.096177942524363</v>
      </c>
      <c r="D116" s="459">
        <f>D82*Group_3_rates!F79</f>
        <v>23.978633185341739</v>
      </c>
      <c r="E116" s="459">
        <f>E82*Group_3_rates!G79</f>
        <v>23.730644481126195</v>
      </c>
      <c r="F116" s="459">
        <f>F82*Group_3_rates!H79</f>
        <v>23.204144226316586</v>
      </c>
      <c r="G116" s="459">
        <f>G82*Group_3_rates!I79</f>
        <v>22.618642752317758</v>
      </c>
      <c r="H116" s="459">
        <f>H82*Group_3_rates!J79</f>
        <v>22.140616989998005</v>
      </c>
      <c r="I116" s="459">
        <f>I82*Group_3_rates!K79</f>
        <v>21.696356170568567</v>
      </c>
      <c r="J116" s="459">
        <f>J82*Group_3_rates!L79</f>
        <v>21.2931353305441</v>
      </c>
      <c r="K116" s="459">
        <f>K82*Group_3_rates!M79</f>
        <v>20.955835135316701</v>
      </c>
      <c r="L116" s="459">
        <f>L82*Group_3_rates!N79</f>
        <v>20.632519005157459</v>
      </c>
      <c r="M116" s="459">
        <f>M82*Group_3_rates!O79</f>
        <v>20.330594075222326</v>
      </c>
      <c r="N116" s="459">
        <f>N82*Group_3_rates!P79</f>
        <v>20.075063136396313</v>
      </c>
    </row>
    <row r="117" spans="1:14">
      <c r="B117" s="338" t="str">
        <f t="shared" si="46"/>
        <v>50-54</v>
      </c>
      <c r="C117" s="459">
        <f>C83*Group_3_rates!E80</f>
        <v>21.674483659235865</v>
      </c>
      <c r="D117" s="459">
        <f>D83*Group_3_rates!F80</f>
        <v>20.828747331841718</v>
      </c>
      <c r="E117" s="459">
        <f>E83*Group_3_rates!G80</f>
        <v>20.307224031548802</v>
      </c>
      <c r="F117" s="459">
        <f>F83*Group_3_rates!H80</f>
        <v>19.783467677086577</v>
      </c>
      <c r="G117" s="459">
        <f>G83*Group_3_rates!I80</f>
        <v>19.313407171202869</v>
      </c>
      <c r="H117" s="459">
        <f>H83*Group_3_rates!J80</f>
        <v>18.962646566116184</v>
      </c>
      <c r="I117" s="459">
        <f>I83*Group_3_rates!K80</f>
        <v>18.638728382237449</v>
      </c>
      <c r="J117" s="459">
        <f>J83*Group_3_rates!L80</f>
        <v>18.329393076228722</v>
      </c>
      <c r="K117" s="459">
        <f>K83*Group_3_rates!M80</f>
        <v>18.04567875050417</v>
      </c>
      <c r="L117" s="459">
        <f>L83*Group_3_rates!N80</f>
        <v>17.744830253850523</v>
      </c>
      <c r="M117" s="459">
        <f>M83*Group_3_rates!O80</f>
        <v>17.434356328454776</v>
      </c>
      <c r="N117" s="459">
        <f>N83*Group_3_rates!P80</f>
        <v>17.137802305533455</v>
      </c>
    </row>
    <row r="118" spans="1:14">
      <c r="B118" s="338" t="str">
        <f t="shared" si="46"/>
        <v>55-59</v>
      </c>
      <c r="C118" s="459">
        <f>C84*Group_3_rates!E81</f>
        <v>9.5005437015019485</v>
      </c>
      <c r="D118" s="459">
        <f>D84*Group_3_rates!F81</f>
        <v>8.3129795741419272</v>
      </c>
      <c r="E118" s="459">
        <f>E84*Group_3_rates!G81</f>
        <v>7.5613167710904046</v>
      </c>
      <c r="F118" s="459">
        <f>F84*Group_3_rates!H81</f>
        <v>7.0149471496951801</v>
      </c>
      <c r="G118" s="459">
        <f>G84*Group_3_rates!I81</f>
        <v>6.6359654439587805</v>
      </c>
      <c r="H118" s="459">
        <f>H84*Group_3_rates!J81</f>
        <v>6.4011021807835427</v>
      </c>
      <c r="I118" s="459">
        <f>I84*Group_3_rates!K81</f>
        <v>6.2312398099509991</v>
      </c>
      <c r="J118" s="459">
        <f>J84*Group_3_rates!L81</f>
        <v>6.0981406257558222</v>
      </c>
      <c r="K118" s="459">
        <f>K84*Group_3_rates!M81</f>
        <v>5.9915282265608028</v>
      </c>
      <c r="L118" s="459">
        <f>L84*Group_3_rates!N81</f>
        <v>5.8830551216292859</v>
      </c>
      <c r="M118" s="459">
        <f>M84*Group_3_rates!O81</f>
        <v>5.7715744383628698</v>
      </c>
      <c r="N118" s="459">
        <f>N84*Group_3_rates!P81</f>
        <v>5.6643303895086374</v>
      </c>
    </row>
    <row r="119" spans="1:14">
      <c r="B119" s="338" t="str">
        <f t="shared" si="46"/>
        <v>60-64</v>
      </c>
      <c r="C119" s="459">
        <f>C85*Group_3_rates!E82</f>
        <v>1.5480487950395503</v>
      </c>
      <c r="D119" s="459">
        <f>D85*Group_3_rates!F82</f>
        <v>1.3887283633993142</v>
      </c>
      <c r="E119" s="459">
        <f>E85*Group_3_rates!G82</f>
        <v>1.2502266860919222</v>
      </c>
      <c r="F119" s="459">
        <f>F85*Group_3_rates!H82</f>
        <v>1.1285942239097666</v>
      </c>
      <c r="G119" s="459">
        <f>G85*Group_3_rates!I82</f>
        <v>1.0375263349382415</v>
      </c>
      <c r="H119" s="459">
        <f>H85*Group_3_rates!J82</f>
        <v>0.97982823344794245</v>
      </c>
      <c r="I119" s="459">
        <f>I85*Group_3_rates!K82</f>
        <v>0.93954610714624598</v>
      </c>
      <c r="J119" s="459">
        <f>J85*Group_3_rates!L82</f>
        <v>0.91053641164770227</v>
      </c>
      <c r="K119" s="459">
        <f>K85*Group_3_rates!M82</f>
        <v>0.8898514929026512</v>
      </c>
      <c r="L119" s="459">
        <f>L85*Group_3_rates!N82</f>
        <v>0.87030431952863807</v>
      </c>
      <c r="M119" s="459">
        <f>M85*Group_3_rates!O82</f>
        <v>0.85118405870027869</v>
      </c>
      <c r="N119" s="459">
        <f>N85*Group_3_rates!P82</f>
        <v>0.83363944906335441</v>
      </c>
    </row>
    <row r="120" spans="1:14">
      <c r="B120" s="338" t="str">
        <f t="shared" si="46"/>
        <v>65 plus</v>
      </c>
      <c r="C120" s="459">
        <f>C86*Group_3_rates!E83</f>
        <v>0.47461873436191088</v>
      </c>
      <c r="D120" s="459">
        <f>D86*Group_3_rates!F83</f>
        <v>0.50147099938844875</v>
      </c>
      <c r="E120" s="459">
        <f>E86*Group_3_rates!G83</f>
        <v>0.49787747689645534</v>
      </c>
      <c r="F120" s="459">
        <f>F86*Group_3_rates!H83</f>
        <v>0.47247876436439951</v>
      </c>
      <c r="G120" s="459">
        <f>G86*Group_3_rates!I83</f>
        <v>0.44206268812538302</v>
      </c>
      <c r="H120" s="459">
        <f>H86*Group_3_rates!J83</f>
        <v>0.41690335951151725</v>
      </c>
      <c r="I120" s="459">
        <f>I86*Group_3_rates!K83</f>
        <v>0.39605713518979452</v>
      </c>
      <c r="J120" s="459">
        <f>J86*Group_3_rates!L83</f>
        <v>0.37951064204672669</v>
      </c>
      <c r="K120" s="459">
        <f>K86*Group_3_rates!M83</f>
        <v>0.36713832327182855</v>
      </c>
      <c r="L120" s="459">
        <f>L86*Group_3_rates!N83</f>
        <v>0.35624346525164075</v>
      </c>
      <c r="M120" s="459">
        <f>M86*Group_3_rates!O83</f>
        <v>0.34629680972895482</v>
      </c>
      <c r="N120" s="459">
        <f>N86*Group_3_rates!P83</f>
        <v>0.33758735691152403</v>
      </c>
    </row>
    <row r="121" spans="1:14">
      <c r="B121" s="338" t="str">
        <f t="shared" si="46"/>
        <v>Total</v>
      </c>
      <c r="C121" s="459">
        <f>SUM(C111:C120)</f>
        <v>128.8735941600608</v>
      </c>
      <c r="D121" s="459">
        <f t="shared" ref="D121:N121" si="48">SUM(D111:D120)</f>
        <v>129.44607368908865</v>
      </c>
      <c r="E121" s="459">
        <f t="shared" si="48"/>
        <v>131.94952946531404</v>
      </c>
      <c r="F121" s="459">
        <f t="shared" si="48"/>
        <v>132.13573112894264</v>
      </c>
      <c r="G121" s="459">
        <f t="shared" si="48"/>
        <v>132.36030327892368</v>
      </c>
      <c r="H121" s="459">
        <f t="shared" si="48"/>
        <v>134.38729363960729</v>
      </c>
      <c r="I121" s="459">
        <f t="shared" si="48"/>
        <v>136.50340525024745</v>
      </c>
      <c r="J121" s="459">
        <f t="shared" si="48"/>
        <v>138.50901032081356</v>
      </c>
      <c r="K121" s="459">
        <f t="shared" si="48"/>
        <v>140.58024079393098</v>
      </c>
      <c r="L121" s="459">
        <f t="shared" si="48"/>
        <v>141.80914784949914</v>
      </c>
      <c r="M121" s="459">
        <f t="shared" si="48"/>
        <v>142.31062265907784</v>
      </c>
      <c r="N121" s="459">
        <f t="shared" si="48"/>
        <v>142.4993055015394</v>
      </c>
    </row>
    <row r="122" spans="1:14">
      <c r="A122" s="309">
        <f>SUM(C122:N122)</f>
        <v>0</v>
      </c>
      <c r="C122" s="309">
        <f t="shared" ref="C122:N122" si="49">SUM(C111:C120)-C121</f>
        <v>0</v>
      </c>
      <c r="D122" s="309">
        <f t="shared" si="49"/>
        <v>0</v>
      </c>
      <c r="E122" s="309">
        <f t="shared" si="49"/>
        <v>0</v>
      </c>
      <c r="F122" s="309">
        <f t="shared" si="49"/>
        <v>0</v>
      </c>
      <c r="G122" s="309">
        <f t="shared" si="49"/>
        <v>0</v>
      </c>
      <c r="H122" s="309">
        <f t="shared" si="49"/>
        <v>0</v>
      </c>
      <c r="I122" s="309">
        <f t="shared" si="49"/>
        <v>0</v>
      </c>
      <c r="J122" s="309">
        <f t="shared" si="49"/>
        <v>0</v>
      </c>
      <c r="K122" s="309">
        <f t="shared" si="49"/>
        <v>0</v>
      </c>
      <c r="L122" s="309">
        <f t="shared" si="49"/>
        <v>0</v>
      </c>
      <c r="M122" s="309">
        <f t="shared" si="49"/>
        <v>0</v>
      </c>
      <c r="N122" s="309">
        <f t="shared" si="49"/>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0">B110</f>
        <v>Age group</v>
      </c>
      <c r="C126" s="338" t="str">
        <f t="shared" ref="C126:N126" si="51">C110</f>
        <v>2016/17</v>
      </c>
      <c r="D126" s="338" t="str">
        <f t="shared" si="51"/>
        <v>2017/18</v>
      </c>
      <c r="E126" s="338" t="str">
        <f t="shared" si="51"/>
        <v>2018/19</v>
      </c>
      <c r="F126" s="338" t="str">
        <f t="shared" si="51"/>
        <v>2019/20</v>
      </c>
      <c r="G126" s="338" t="str">
        <f t="shared" si="51"/>
        <v>2020/21</v>
      </c>
      <c r="H126" s="338" t="str">
        <f t="shared" si="51"/>
        <v>2021/22</v>
      </c>
      <c r="I126" s="338" t="str">
        <f t="shared" si="51"/>
        <v>2022/23</v>
      </c>
      <c r="J126" s="338" t="str">
        <f t="shared" si="51"/>
        <v>2023/24</v>
      </c>
      <c r="K126" s="338" t="str">
        <f t="shared" si="51"/>
        <v>2024/25</v>
      </c>
      <c r="L126" s="338" t="str">
        <f t="shared" si="51"/>
        <v>2025/26</v>
      </c>
      <c r="M126" s="338" t="str">
        <f t="shared" si="51"/>
        <v>2026/27</v>
      </c>
      <c r="N126" s="338" t="str">
        <f t="shared" si="51"/>
        <v>2027/28</v>
      </c>
    </row>
    <row r="127" spans="1:14">
      <c r="B127" s="338" t="str">
        <f t="shared" si="50"/>
        <v>20-24</v>
      </c>
      <c r="C127" s="459">
        <f>C93*Group_3_rates!E89</f>
        <v>10.176516199925894</v>
      </c>
      <c r="D127" s="459">
        <f>D93*Group_3_rates!F89</f>
        <v>21.339487654482458</v>
      </c>
      <c r="E127" s="459">
        <f>E93*Group_3_rates!G89</f>
        <v>31.180679782424225</v>
      </c>
      <c r="F127" s="459">
        <f>F93*Group_3_rates!H89</f>
        <v>36.298044939029268</v>
      </c>
      <c r="G127" s="459">
        <f>G93*Group_3_rates!I89</f>
        <v>40.01853008972769</v>
      </c>
      <c r="H127" s="459">
        <f>H93*Group_3_rates!J89</f>
        <v>44.419891251106314</v>
      </c>
      <c r="I127" s="459">
        <f>I93*Group_3_rates!K89</f>
        <v>47.877293761027815</v>
      </c>
      <c r="J127" s="459">
        <f>J93*Group_3_rates!L89</f>
        <v>50.4614301545665</v>
      </c>
      <c r="K127" s="459">
        <f>K93*Group_3_rates!M89</f>
        <v>52.556493779761887</v>
      </c>
      <c r="L127" s="459">
        <f>L93*Group_3_rates!N89</f>
        <v>53.430679855961642</v>
      </c>
      <c r="M127" s="459">
        <f>M93*Group_3_rates!O89</f>
        <v>53.432082261134603</v>
      </c>
      <c r="N127" s="459">
        <f>N93*Group_3_rates!P89</f>
        <v>53.113762236730956</v>
      </c>
    </row>
    <row r="128" spans="1:14">
      <c r="B128" s="338" t="str">
        <f t="shared" si="50"/>
        <v>25-29</v>
      </c>
      <c r="C128" s="459">
        <f>C94*Group_3_rates!E90</f>
        <v>61.346874026816153</v>
      </c>
      <c r="D128" s="459">
        <f>D94*Group_3_rates!F90</f>
        <v>61.43999570937293</v>
      </c>
      <c r="E128" s="459">
        <f>E94*Group_3_rates!G90</f>
        <v>65.239914203101691</v>
      </c>
      <c r="F128" s="459">
        <f>F94*Group_3_rates!H90</f>
        <v>67.416920909472623</v>
      </c>
      <c r="G128" s="459">
        <f>G94*Group_3_rates!I90</f>
        <v>69.848507223136366</v>
      </c>
      <c r="H128" s="459">
        <f>H94*Group_3_rates!J90</f>
        <v>74.080014109154249</v>
      </c>
      <c r="I128" s="459">
        <f>I94*Group_3_rates!K90</f>
        <v>78.165735105863348</v>
      </c>
      <c r="J128" s="459">
        <f>J94*Group_3_rates!L90</f>
        <v>81.785204183965959</v>
      </c>
      <c r="K128" s="459">
        <f>K94*Group_3_rates!M90</f>
        <v>85.079639995219992</v>
      </c>
      <c r="L128" s="459">
        <f>L94*Group_3_rates!N90</f>
        <v>87.114634341767129</v>
      </c>
      <c r="M128" s="459">
        <f>M94*Group_3_rates!O90</f>
        <v>88.047957475257576</v>
      </c>
      <c r="N128" s="459">
        <f>N94*Group_3_rates!P90</f>
        <v>88.378644327032362</v>
      </c>
    </row>
    <row r="129" spans="1:14">
      <c r="B129" s="338" t="str">
        <f t="shared" si="50"/>
        <v>30-34</v>
      </c>
      <c r="C129" s="459">
        <f>C95*Group_3_rates!E91</f>
        <v>96.946527238730525</v>
      </c>
      <c r="D129" s="459">
        <f>D95*Group_3_rates!F91</f>
        <v>90.058000108582576</v>
      </c>
      <c r="E129" s="459">
        <f>E95*Group_3_rates!G91</f>
        <v>86.204131149575133</v>
      </c>
      <c r="F129" s="459">
        <f>F95*Group_3_rates!H91</f>
        <v>82.86419278180702</v>
      </c>
      <c r="G129" s="459">
        <f>G95*Group_3_rates!I91</f>
        <v>80.841669119505838</v>
      </c>
      <c r="H129" s="459">
        <f>H95*Group_3_rates!J91</f>
        <v>80.862937009724945</v>
      </c>
      <c r="I129" s="459">
        <f>I95*Group_3_rates!K91</f>
        <v>81.801589103777857</v>
      </c>
      <c r="J129" s="459">
        <f>J95*Group_3_rates!L91</f>
        <v>83.261634143606031</v>
      </c>
      <c r="K129" s="459">
        <f>K95*Group_3_rates!M91</f>
        <v>85.105295361386993</v>
      </c>
      <c r="L129" s="459">
        <f>L95*Group_3_rates!N91</f>
        <v>86.633849906059481</v>
      </c>
      <c r="M129" s="459">
        <f>M95*Group_3_rates!O91</f>
        <v>87.714834171822247</v>
      </c>
      <c r="N129" s="459">
        <f>N95*Group_3_rates!P91</f>
        <v>88.467125790115247</v>
      </c>
    </row>
    <row r="130" spans="1:14">
      <c r="B130" s="338" t="str">
        <f t="shared" si="50"/>
        <v>35-39</v>
      </c>
      <c r="C130" s="459">
        <f>C96*Group_3_rates!E92</f>
        <v>96.037557025171921</v>
      </c>
      <c r="D130" s="459">
        <f>D96*Group_3_rates!F92</f>
        <v>92.024589238024788</v>
      </c>
      <c r="E130" s="459">
        <f>E96*Group_3_rates!G92</f>
        <v>88.601533550533404</v>
      </c>
      <c r="F130" s="459">
        <f>F96*Group_3_rates!H92</f>
        <v>84.744857712633078</v>
      </c>
      <c r="G130" s="459">
        <f>G96*Group_3_rates!I92</f>
        <v>81.373090406127133</v>
      </c>
      <c r="H130" s="459">
        <f>H96*Group_3_rates!J92</f>
        <v>79.189076664973584</v>
      </c>
      <c r="I130" s="459">
        <f>I96*Group_3_rates!K92</f>
        <v>77.701026452129796</v>
      </c>
      <c r="J130" s="459">
        <f>J96*Group_3_rates!L92</f>
        <v>76.805977229243908</v>
      </c>
      <c r="K130" s="459">
        <f>K96*Group_3_rates!M92</f>
        <v>76.48331438736912</v>
      </c>
      <c r="L130" s="459">
        <f>L96*Group_3_rates!N92</f>
        <v>76.328783757120476</v>
      </c>
      <c r="M130" s="459">
        <f>M96*Group_3_rates!O92</f>
        <v>76.244560157025859</v>
      </c>
      <c r="N130" s="459">
        <f>N96*Group_3_rates!P92</f>
        <v>76.247365846977587</v>
      </c>
    </row>
    <row r="131" spans="1:14">
      <c r="B131" s="338" t="str">
        <f t="shared" si="50"/>
        <v>40-44</v>
      </c>
      <c r="C131" s="459">
        <f>C97*Group_3_rates!E93</f>
        <v>88.930735271974712</v>
      </c>
      <c r="D131" s="459">
        <f>D97*Group_3_rates!F93</f>
        <v>86.637590431501494</v>
      </c>
      <c r="E131" s="459">
        <f>E97*Group_3_rates!G93</f>
        <v>84.779726862098329</v>
      </c>
      <c r="F131" s="459">
        <f>F97*Group_3_rates!H93</f>
        <v>82.255978491594689</v>
      </c>
      <c r="G131" s="459">
        <f>G97*Group_3_rates!I93</f>
        <v>79.733618109803444</v>
      </c>
      <c r="H131" s="459">
        <f>H97*Group_3_rates!J93</f>
        <v>77.781738587796994</v>
      </c>
      <c r="I131" s="459">
        <f>I97*Group_3_rates!K93</f>
        <v>76.047596795057643</v>
      </c>
      <c r="J131" s="459">
        <f>J97*Group_3_rates!L93</f>
        <v>74.539075723410889</v>
      </c>
      <c r="K131" s="459">
        <f>K97*Group_3_rates!M93</f>
        <v>73.340193694863601</v>
      </c>
      <c r="L131" s="459">
        <f>L97*Group_3_rates!N93</f>
        <v>72.21906637425505</v>
      </c>
      <c r="M131" s="459">
        <f>M97*Group_3_rates!O93</f>
        <v>71.18442773545712</v>
      </c>
      <c r="N131" s="459">
        <f>N97*Group_3_rates!P93</f>
        <v>70.313451297238117</v>
      </c>
    </row>
    <row r="132" spans="1:14">
      <c r="B132" s="338" t="str">
        <f t="shared" si="50"/>
        <v>45-49</v>
      </c>
      <c r="C132" s="459">
        <f>C98*Group_3_rates!E94</f>
        <v>72.41869501660949</v>
      </c>
      <c r="D132" s="459">
        <f>D98*Group_3_rates!F94</f>
        <v>73.814228382587203</v>
      </c>
      <c r="E132" s="459">
        <f>E98*Group_3_rates!G94</f>
        <v>74.857687610296068</v>
      </c>
      <c r="F132" s="459">
        <f>F98*Group_3_rates!H94</f>
        <v>74.801652549120362</v>
      </c>
      <c r="G132" s="459">
        <f>G98*Group_3_rates!I94</f>
        <v>74.291444268814374</v>
      </c>
      <c r="H132" s="459">
        <f>H98*Group_3_rates!J94</f>
        <v>73.857735946574579</v>
      </c>
      <c r="I132" s="459">
        <f>I98*Group_3_rates!K94</f>
        <v>73.240566505133614</v>
      </c>
      <c r="J132" s="459">
        <f>J98*Group_3_rates!L94</f>
        <v>72.481582994311296</v>
      </c>
      <c r="K132" s="459">
        <f>K98*Group_3_rates!M94</f>
        <v>71.694532818472226</v>
      </c>
      <c r="L132" s="459">
        <f>L98*Group_3_rates!N94</f>
        <v>70.733273512373103</v>
      </c>
      <c r="M132" s="459">
        <f>M98*Group_3_rates!O94</f>
        <v>69.658463905484084</v>
      </c>
      <c r="N132" s="459">
        <f>N98*Group_3_rates!P94</f>
        <v>68.590895201856512</v>
      </c>
    </row>
    <row r="133" spans="1:14">
      <c r="B133" s="338" t="str">
        <f t="shared" si="50"/>
        <v>50-54</v>
      </c>
      <c r="C133" s="459">
        <f>C99*Group_3_rates!E95</f>
        <v>63.052257054526464</v>
      </c>
      <c r="D133" s="459">
        <f>D99*Group_3_rates!F95</f>
        <v>62.346846882146203</v>
      </c>
      <c r="E133" s="459">
        <f>E99*Group_3_rates!G95</f>
        <v>62.509297798096689</v>
      </c>
      <c r="F133" s="459">
        <f>F99*Group_3_rates!H95</f>
        <v>62.452237979352603</v>
      </c>
      <c r="G133" s="459">
        <f>G99*Group_3_rates!I95</f>
        <v>62.414428603269222</v>
      </c>
      <c r="H133" s="459">
        <f>H99*Group_3_rates!J95</f>
        <v>62.636912706455121</v>
      </c>
      <c r="I133" s="459">
        <f>I99*Group_3_rates!K95</f>
        <v>62.770836034893719</v>
      </c>
      <c r="J133" s="459">
        <f>J99*Group_3_rates!L95</f>
        <v>62.764167874404542</v>
      </c>
      <c r="K133" s="459">
        <f>K99*Group_3_rates!M95</f>
        <v>62.655889061454651</v>
      </c>
      <c r="L133" s="459">
        <f>L99*Group_3_rates!N95</f>
        <v>62.293523069118109</v>
      </c>
      <c r="M133" s="459">
        <f>M99*Group_3_rates!O95</f>
        <v>61.714937773838159</v>
      </c>
      <c r="N133" s="459">
        <f>N99*Group_3_rates!P95</f>
        <v>61.020947532453107</v>
      </c>
    </row>
    <row r="134" spans="1:14">
      <c r="B134" s="338" t="str">
        <f t="shared" si="50"/>
        <v>55-59</v>
      </c>
      <c r="C134" s="459">
        <f>C100*Group_3_rates!E96</f>
        <v>21.590490429900882</v>
      </c>
      <c r="D134" s="459">
        <f>D100*Group_3_rates!F96</f>
        <v>21.248218200646988</v>
      </c>
      <c r="E134" s="459">
        <f>E100*Group_3_rates!G96</f>
        <v>21.130564638345749</v>
      </c>
      <c r="F134" s="459">
        <f>F100*Group_3_rates!H96</f>
        <v>20.909677771099904</v>
      </c>
      <c r="G134" s="459">
        <f>G100*Group_3_rates!I96</f>
        <v>20.777224066533137</v>
      </c>
      <c r="H134" s="459">
        <f>H100*Group_3_rates!J96</f>
        <v>20.84853379582448</v>
      </c>
      <c r="I134" s="459">
        <f>I100*Group_3_rates!K96</f>
        <v>20.94432751071227</v>
      </c>
      <c r="J134" s="459">
        <f>J100*Group_3_rates!L96</f>
        <v>21.027129366997944</v>
      </c>
      <c r="K134" s="459">
        <f>K100*Group_3_rates!M96</f>
        <v>21.09824583824394</v>
      </c>
      <c r="L134" s="459">
        <f>L100*Group_3_rates!N96</f>
        <v>21.07368507306802</v>
      </c>
      <c r="M134" s="459">
        <f>M100*Group_3_rates!O96</f>
        <v>20.963174265540903</v>
      </c>
      <c r="N134" s="459">
        <f>N100*Group_3_rates!P96</f>
        <v>20.803793199182088</v>
      </c>
    </row>
    <row r="135" spans="1:14">
      <c r="B135" s="338" t="str">
        <f t="shared" si="50"/>
        <v>60-64</v>
      </c>
      <c r="C135" s="459">
        <f>C101*Group_3_rates!E97</f>
        <v>3.6819787877292467</v>
      </c>
      <c r="D135" s="459">
        <f>D101*Group_3_rates!F97</f>
        <v>3.36110646372819</v>
      </c>
      <c r="E135" s="459">
        <f>E101*Group_3_rates!G97</f>
        <v>3.2305150840910746</v>
      </c>
      <c r="F135" s="459">
        <f>F101*Group_3_rates!H97</f>
        <v>3.1240162933279643</v>
      </c>
      <c r="G135" s="459">
        <f>G101*Group_3_rates!I97</f>
        <v>3.0624436607395715</v>
      </c>
      <c r="H135" s="459">
        <f>H101*Group_3_rates!J97</f>
        <v>3.0615658185083583</v>
      </c>
      <c r="I135" s="459">
        <f>I101*Group_3_rates!K97</f>
        <v>3.0722466209602284</v>
      </c>
      <c r="J135" s="459">
        <f>J101*Group_3_rates!L97</f>
        <v>3.0856972243995648</v>
      </c>
      <c r="K135" s="459">
        <f>K101*Group_3_rates!M97</f>
        <v>3.1023339601937749</v>
      </c>
      <c r="L135" s="459">
        <f>L101*Group_3_rates!N97</f>
        <v>3.1017905412318507</v>
      </c>
      <c r="M135" s="459">
        <f>M101*Group_3_rates!O97</f>
        <v>3.0871993957094768</v>
      </c>
      <c r="N135" s="459">
        <f>N101*Group_3_rates!P97</f>
        <v>3.0668737949565115</v>
      </c>
    </row>
    <row r="136" spans="1:14">
      <c r="B136" s="338" t="str">
        <f t="shared" si="50"/>
        <v>65 plus</v>
      </c>
      <c r="C136" s="459">
        <f>C102*Group_3_rates!E98</f>
        <v>1.3837939243515216</v>
      </c>
      <c r="D136" s="459">
        <f>D102*Group_3_rates!F98</f>
        <v>1.4645688511235011</v>
      </c>
      <c r="E136" s="459">
        <f>E102*Group_3_rates!G98</f>
        <v>1.4718617383594259</v>
      </c>
      <c r="F136" s="459">
        <f>F102*Group_3_rates!H98</f>
        <v>1.432194581906391</v>
      </c>
      <c r="G136" s="459">
        <f>G102*Group_3_rates!I98</f>
        <v>1.3953613665034146</v>
      </c>
      <c r="H136" s="459">
        <f>H102*Group_3_rates!J98</f>
        <v>1.3863004241987615</v>
      </c>
      <c r="I136" s="459">
        <f>I102*Group_3_rates!K98</f>
        <v>1.3852096132399365</v>
      </c>
      <c r="J136" s="459">
        <f>J102*Group_3_rates!L98</f>
        <v>1.3877817407190642</v>
      </c>
      <c r="K136" s="459">
        <f>K102*Group_3_rates!M98</f>
        <v>1.3941421805262766</v>
      </c>
      <c r="L136" s="459">
        <f>L102*Group_3_rates!N98</f>
        <v>1.3931411497083461</v>
      </c>
      <c r="M136" s="459">
        <f>M102*Group_3_rates!O98</f>
        <v>1.3855731592224816</v>
      </c>
      <c r="N136" s="459">
        <f>N102*Group_3_rates!P98</f>
        <v>1.3757774704975461</v>
      </c>
    </row>
    <row r="137" spans="1:14">
      <c r="B137" s="338" t="str">
        <f t="shared" si="50"/>
        <v>Total</v>
      </c>
      <c r="C137" s="459">
        <f>SUM(C127:C136)</f>
        <v>515.56542497573673</v>
      </c>
      <c r="D137" s="459">
        <f t="shared" ref="D137:N137" si="52">SUM(D127:D136)</f>
        <v>513.7346319221964</v>
      </c>
      <c r="E137" s="459">
        <f t="shared" si="52"/>
        <v>519.20591241692171</v>
      </c>
      <c r="F137" s="459">
        <f t="shared" si="52"/>
        <v>516.29977400934399</v>
      </c>
      <c r="G137" s="459">
        <f t="shared" si="52"/>
        <v>513.75631691416015</v>
      </c>
      <c r="H137" s="459">
        <f t="shared" si="52"/>
        <v>518.12470631431745</v>
      </c>
      <c r="I137" s="459">
        <f t="shared" si="52"/>
        <v>523.0064275027961</v>
      </c>
      <c r="J137" s="459">
        <f t="shared" si="52"/>
        <v>527.59968063562587</v>
      </c>
      <c r="K137" s="459">
        <f t="shared" si="52"/>
        <v>532.51008107749249</v>
      </c>
      <c r="L137" s="459">
        <f t="shared" si="52"/>
        <v>534.32242758066309</v>
      </c>
      <c r="M137" s="459">
        <f t="shared" si="52"/>
        <v>533.43321030049265</v>
      </c>
      <c r="N137" s="459">
        <f t="shared" si="52"/>
        <v>531.37863669703995</v>
      </c>
    </row>
    <row r="138" spans="1:14">
      <c r="A138" s="309">
        <f>SUM(C138:N138)</f>
        <v>0</v>
      </c>
      <c r="C138" s="309">
        <f t="shared" ref="C138:N138" si="53">SUM(C127:C136)-C137</f>
        <v>0</v>
      </c>
      <c r="D138" s="309">
        <f t="shared" si="53"/>
        <v>0</v>
      </c>
      <c r="E138" s="309">
        <f t="shared" si="53"/>
        <v>0</v>
      </c>
      <c r="F138" s="309">
        <f t="shared" si="53"/>
        <v>0</v>
      </c>
      <c r="G138" s="309">
        <f t="shared" si="53"/>
        <v>0</v>
      </c>
      <c r="H138" s="309">
        <f t="shared" si="53"/>
        <v>0</v>
      </c>
      <c r="I138" s="309">
        <f t="shared" si="53"/>
        <v>0</v>
      </c>
      <c r="J138" s="309">
        <f t="shared" si="53"/>
        <v>0</v>
      </c>
      <c r="K138" s="309">
        <f t="shared" si="53"/>
        <v>0</v>
      </c>
      <c r="L138" s="309">
        <f t="shared" si="53"/>
        <v>0</v>
      </c>
      <c r="M138" s="309">
        <f t="shared" si="53"/>
        <v>0</v>
      </c>
      <c r="N138" s="309">
        <f t="shared" si="53"/>
        <v>0</v>
      </c>
    </row>
    <row r="140" spans="1:14" ht="15.75">
      <c r="B140" s="340" t="s">
        <v>152</v>
      </c>
      <c r="H140" s="325"/>
    </row>
    <row r="141" spans="1:14">
      <c r="H141" s="325"/>
    </row>
    <row r="142" spans="1:14">
      <c r="B142" s="341" t="s">
        <v>49</v>
      </c>
      <c r="H142" s="325"/>
    </row>
    <row r="143" spans="1:14">
      <c r="H143" s="325"/>
    </row>
    <row r="144" spans="1:14">
      <c r="B144" s="338" t="str">
        <f t="shared" ref="B144:B155" si="54">B110</f>
        <v>Age group</v>
      </c>
      <c r="C144" s="338" t="str">
        <f t="shared" ref="C144:N144" si="55">C110</f>
        <v>2016/17</v>
      </c>
      <c r="D144" s="338" t="str">
        <f t="shared" si="55"/>
        <v>2017/18</v>
      </c>
      <c r="E144" s="338" t="str">
        <f t="shared" si="55"/>
        <v>2018/19</v>
      </c>
      <c r="F144" s="338" t="str">
        <f t="shared" si="55"/>
        <v>2019/20</v>
      </c>
      <c r="G144" s="338" t="str">
        <f t="shared" si="55"/>
        <v>2020/21</v>
      </c>
      <c r="H144" s="338" t="str">
        <f t="shared" si="55"/>
        <v>2021/22</v>
      </c>
      <c r="I144" s="338" t="str">
        <f t="shared" si="55"/>
        <v>2022/23</v>
      </c>
      <c r="J144" s="338" t="str">
        <f t="shared" si="55"/>
        <v>2023/24</v>
      </c>
      <c r="K144" s="338" t="str">
        <f t="shared" si="55"/>
        <v>2024/25</v>
      </c>
      <c r="L144" s="338" t="str">
        <f t="shared" si="55"/>
        <v>2025/26</v>
      </c>
      <c r="M144" s="338" t="str">
        <f t="shared" si="55"/>
        <v>2026/27</v>
      </c>
      <c r="N144" s="338" t="str">
        <f t="shared" si="55"/>
        <v>2027/28</v>
      </c>
    </row>
    <row r="145" spans="1:14">
      <c r="B145" s="338" t="str">
        <f t="shared" si="54"/>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4"/>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4"/>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4"/>
        <v>35-39</v>
      </c>
      <c r="C148" s="459">
        <f>C80*Calc_SEC_retirement_rates!$G127</f>
        <v>0.12190303014108163</v>
      </c>
      <c r="D148" s="459">
        <f>D80*Calc_SEC_retirement_rates!$G127</f>
        <v>0.11886818173662284</v>
      </c>
      <c r="E148" s="459">
        <f>E80*Calc_SEC_retirement_rates!$G127</f>
        <v>0.11643217618601333</v>
      </c>
      <c r="F148" s="459">
        <f>F80*Calc_SEC_retirement_rates!$G127</f>
        <v>0.11329472823159935</v>
      </c>
      <c r="G148" s="459">
        <f>G80*Calc_SEC_retirement_rates!$G127</f>
        <v>0.11088665491434735</v>
      </c>
      <c r="H148" s="459">
        <f>H80*Calc_SEC_retirement_rates!$G127</f>
        <v>0.11026075611372867</v>
      </c>
      <c r="I148" s="459">
        <f>I80*Calc_SEC_retirement_rates!$G127</f>
        <v>0.1106613053054922</v>
      </c>
      <c r="J148" s="459">
        <f>J80*Calc_SEC_retirement_rates!$G127</f>
        <v>0.11189497902749415</v>
      </c>
      <c r="K148" s="459">
        <f>K80*Calc_SEC_retirement_rates!$G127</f>
        <v>0.11389268895528491</v>
      </c>
      <c r="L148" s="459">
        <f>L80*Calc_SEC_retirement_rates!$G127</f>
        <v>0.11601675055389973</v>
      </c>
      <c r="M148" s="459">
        <f>M80*Calc_SEC_retirement_rates!$G127</f>
        <v>0.11808910940977457</v>
      </c>
      <c r="N148" s="459">
        <f>N80*Calc_SEC_retirement_rates!$G127</f>
        <v>0.12011168773724007</v>
      </c>
    </row>
    <row r="149" spans="1:14">
      <c r="B149" s="338" t="str">
        <f t="shared" si="54"/>
        <v>40-44</v>
      </c>
      <c r="C149" s="459">
        <f>C81*Calc_SEC_retirement_rates!$G128</f>
        <v>0.18665127416021757</v>
      </c>
      <c r="D149" s="459">
        <f>D81*Calc_SEC_retirement_rates!$G128</f>
        <v>0.17613220198851445</v>
      </c>
      <c r="E149" s="459">
        <f>E81*Calc_SEC_retirement_rates!$G128</f>
        <v>0.1686723961906314</v>
      </c>
      <c r="F149" s="459">
        <f>F81*Calc_SEC_retirement_rates!$G128</f>
        <v>0.16143903937723678</v>
      </c>
      <c r="G149" s="459">
        <f>G81*Calc_SEC_retirement_rates!$G128</f>
        <v>0.15534990210556826</v>
      </c>
      <c r="H149" s="459">
        <f>H81*Calc_SEC_retirement_rates!$G128</f>
        <v>0.15125853263125377</v>
      </c>
      <c r="I149" s="459">
        <f>I81*Calc_SEC_retirement_rates!$G128</f>
        <v>0.14825050844908322</v>
      </c>
      <c r="J149" s="459">
        <f>J81*Calc_SEC_retirement_rates!$G128</f>
        <v>0.14617789464387621</v>
      </c>
      <c r="K149" s="459">
        <f>K81*Calc_SEC_retirement_rates!$G128</f>
        <v>0.1450778876092679</v>
      </c>
      <c r="L149" s="459">
        <f>L81*Calc_SEC_retirement_rates!$G128</f>
        <v>0.14437851543756119</v>
      </c>
      <c r="M149" s="459">
        <f>M81*Calc_SEC_retirement_rates!$G128</f>
        <v>0.14400623843191371</v>
      </c>
      <c r="N149" s="459">
        <f>N81*Calc_SEC_retirement_rates!$G128</f>
        <v>0.14404039933068186</v>
      </c>
    </row>
    <row r="150" spans="1:14">
      <c r="B150" s="338" t="str">
        <f t="shared" si="54"/>
        <v>45-49</v>
      </c>
      <c r="C150" s="459">
        <f>C82*Calc_SEC_retirement_rates!$G129</f>
        <v>0.3931331180254744</v>
      </c>
      <c r="D150" s="459">
        <f>D82*Calc_SEC_retirement_rates!$G129</f>
        <v>0.39121535592191681</v>
      </c>
      <c r="E150" s="459">
        <f>E82*Calc_SEC_retirement_rates!$G129</f>
        <v>0.38716937930455042</v>
      </c>
      <c r="F150" s="459">
        <f>F82*Calc_SEC_retirement_rates!$G129</f>
        <v>0.37857944079611894</v>
      </c>
      <c r="G150" s="459">
        <f>G82*Calc_SEC_retirement_rates!$G129</f>
        <v>0.36902688766380431</v>
      </c>
      <c r="H150" s="459">
        <f>H82*Calc_SEC_retirement_rates!$G129</f>
        <v>0.36122781849667235</v>
      </c>
      <c r="I150" s="459">
        <f>I82*Calc_SEC_retirement_rates!$G129</f>
        <v>0.35397962994264348</v>
      </c>
      <c r="J150" s="459">
        <f>J82*Calc_SEC_retirement_rates!$G129</f>
        <v>0.34740101542254076</v>
      </c>
      <c r="K150" s="459">
        <f>K82*Calc_SEC_retirement_rates!$G129</f>
        <v>0.341897907096538</v>
      </c>
      <c r="L150" s="459">
        <f>L82*Calc_SEC_retirement_rates!$G129</f>
        <v>0.33662295109892648</v>
      </c>
      <c r="M150" s="459">
        <f>M82*Calc_SEC_retirement_rates!$G129</f>
        <v>0.33169699606165276</v>
      </c>
      <c r="N150" s="459">
        <f>N82*Calc_SEC_retirement_rates!$G129</f>
        <v>0.32752796664245343</v>
      </c>
    </row>
    <row r="151" spans="1:14">
      <c r="B151" s="338" t="str">
        <f t="shared" si="54"/>
        <v>50-54</v>
      </c>
      <c r="C151" s="459">
        <f>C83*Calc_SEC_retirement_rates!$G130</f>
        <v>7.6270837615754479</v>
      </c>
      <c r="D151" s="459">
        <f>D83*Calc_SEC_retirement_rates!$G130</f>
        <v>7.3294756657768803</v>
      </c>
      <c r="E151" s="459">
        <f>E83*Calc_SEC_retirement_rates!$G130</f>
        <v>7.1459556356121769</v>
      </c>
      <c r="F151" s="459">
        <f>F83*Calc_SEC_retirement_rates!$G130</f>
        <v>6.9616498108947065</v>
      </c>
      <c r="G151" s="459">
        <f>G83*Calc_SEC_retirement_rates!$G130</f>
        <v>6.7962391414757901</v>
      </c>
      <c r="H151" s="459">
        <f>H83*Calc_SEC_retirement_rates!$G130</f>
        <v>6.6728091877422884</v>
      </c>
      <c r="I151" s="459">
        <f>I83*Calc_SEC_retirement_rates!$G130</f>
        <v>6.5588248751661613</v>
      </c>
      <c r="J151" s="459">
        <f>J83*Calc_SEC_retirement_rates!$G130</f>
        <v>6.4499721649270505</v>
      </c>
      <c r="K151" s="459">
        <f>K83*Calc_SEC_retirement_rates!$G130</f>
        <v>6.3501352801974811</v>
      </c>
      <c r="L151" s="459">
        <f>L83*Calc_SEC_retirement_rates!$G130</f>
        <v>6.2442690127653782</v>
      </c>
      <c r="M151" s="459">
        <f>M83*Calc_SEC_retirement_rates!$G130</f>
        <v>6.1350156311389403</v>
      </c>
      <c r="N151" s="459">
        <f>N83*Calc_SEC_retirement_rates!$G130</f>
        <v>6.0306605559171471</v>
      </c>
    </row>
    <row r="152" spans="1:14">
      <c r="B152" s="338" t="str">
        <f t="shared" si="54"/>
        <v>55-59</v>
      </c>
      <c r="C152" s="459">
        <f>C84*Calc_SEC_retirement_rates!$G131</f>
        <v>40.727786512284062</v>
      </c>
      <c r="D152" s="459">
        <f>D84*Calc_SEC_retirement_rates!$G131</f>
        <v>35.636829639876908</v>
      </c>
      <c r="E152" s="459">
        <f>E84*Calc_SEC_retirement_rates!$G131</f>
        <v>32.414533828841613</v>
      </c>
      <c r="F152" s="459">
        <f>F84*Calc_SEC_retirement_rates!$G131</f>
        <v>30.072307320956149</v>
      </c>
      <c r="G152" s="459">
        <f>G84*Calc_SEC_retirement_rates!$G131</f>
        <v>28.44765440758097</v>
      </c>
      <c r="H152" s="459">
        <f>H84*Calc_SEC_retirement_rates!$G131</f>
        <v>27.440821415415769</v>
      </c>
      <c r="I152" s="459">
        <f>I84*Calc_SEC_retirement_rates!$G131</f>
        <v>26.712640103577314</v>
      </c>
      <c r="J152" s="459">
        <f>J84*Calc_SEC_retirement_rates!$G131</f>
        <v>26.142058531703341</v>
      </c>
      <c r="K152" s="459">
        <f>K84*Calc_SEC_retirement_rates!$G131</f>
        <v>25.685022895596465</v>
      </c>
      <c r="L152" s="459">
        <f>L84*Calc_SEC_retirement_rates!$G131</f>
        <v>25.220010618533102</v>
      </c>
      <c r="M152" s="459">
        <f>M84*Calc_SEC_retirement_rates!$G131</f>
        <v>24.742105183752525</v>
      </c>
      <c r="N152" s="459">
        <f>N84*Calc_SEC_retirement_rates!$G131</f>
        <v>24.282361734989941</v>
      </c>
    </row>
    <row r="153" spans="1:14">
      <c r="B153" s="338" t="str">
        <f t="shared" si="54"/>
        <v>60-64</v>
      </c>
      <c r="C153" s="459">
        <f>C85*Calc_SEC_retirement_rates!$G132</f>
        <v>29.319194216438607</v>
      </c>
      <c r="D153" s="459">
        <f>D85*Calc_SEC_retirement_rates!$G132</f>
        <v>26.30175271661329</v>
      </c>
      <c r="E153" s="459">
        <f>E85*Calc_SEC_retirement_rates!$G132</f>
        <v>23.678606993242095</v>
      </c>
      <c r="F153" s="459">
        <f>F85*Calc_SEC_retirement_rates!$G132</f>
        <v>21.374954942241249</v>
      </c>
      <c r="G153" s="459">
        <f>G85*Calc_SEC_retirement_rates!$G132</f>
        <v>19.650179126263826</v>
      </c>
      <c r="H153" s="459">
        <f>H85*Calc_SEC_retirement_rates!$G132</f>
        <v>18.557408763382178</v>
      </c>
      <c r="I153" s="459">
        <f>I85*Calc_SEC_retirement_rates!$G132</f>
        <v>17.794487408270516</v>
      </c>
      <c r="J153" s="459">
        <f>J85*Calc_SEC_retirement_rates!$G132</f>
        <v>17.245059703402973</v>
      </c>
      <c r="K153" s="459">
        <f>K85*Calc_SEC_retirement_rates!$G132</f>
        <v>16.853298699498758</v>
      </c>
      <c r="L153" s="459">
        <f>L85*Calc_SEC_retirement_rates!$G132</f>
        <v>16.483085968238921</v>
      </c>
      <c r="M153" s="459">
        <f>M85*Calc_SEC_retirement_rates!$G132</f>
        <v>16.120958726195941</v>
      </c>
      <c r="N153" s="459">
        <f>N85*Calc_SEC_retirement_rates!$G132</f>
        <v>15.788673452601939</v>
      </c>
    </row>
    <row r="154" spans="1:14">
      <c r="B154" s="338" t="str">
        <f t="shared" si="54"/>
        <v>65 plus</v>
      </c>
      <c r="C154" s="459">
        <f>C86*Calc_SEC_retirement_rates!$G133</f>
        <v>8.9239986963778577</v>
      </c>
      <c r="D154" s="459">
        <f>D86*Calc_SEC_retirement_rates!$G133</f>
        <v>9.4288872748149899</v>
      </c>
      <c r="E154" s="459">
        <f>E86*Calc_SEC_retirement_rates!$G133</f>
        <v>9.3613202200145373</v>
      </c>
      <c r="F154" s="459">
        <f>F86*Calc_SEC_retirement_rates!$G133</f>
        <v>8.8837620009306075</v>
      </c>
      <c r="G154" s="459">
        <f>G86*Calc_SEC_retirement_rates!$G133</f>
        <v>8.3118650127705553</v>
      </c>
      <c r="H154" s="459">
        <f>H86*Calc_SEC_retirement_rates!$G133</f>
        <v>7.8388077996924981</v>
      </c>
      <c r="I154" s="459">
        <f>I86*Calc_SEC_retirement_rates!$G133</f>
        <v>7.4468475478040865</v>
      </c>
      <c r="J154" s="459">
        <f>J86*Calc_SEC_retirement_rates!$G133</f>
        <v>7.1357328097040797</v>
      </c>
      <c r="K154" s="459">
        <f>K86*Calc_SEC_retirement_rates!$G133</f>
        <v>6.9031028087691171</v>
      </c>
      <c r="L154" s="459">
        <f>L86*Calc_SEC_retirement_rates!$G133</f>
        <v>6.6982527012399853</v>
      </c>
      <c r="M154" s="459">
        <f>M86*Calc_SEC_retirement_rates!$G133</f>
        <v>6.5112311311009448</v>
      </c>
      <c r="N154" s="459">
        <f>N86*Calc_SEC_retirement_rates!$G133</f>
        <v>6.3474720125456905</v>
      </c>
    </row>
    <row r="155" spans="1:14">
      <c r="B155" s="338" t="str">
        <f t="shared" si="54"/>
        <v>Total</v>
      </c>
      <c r="C155" s="459">
        <f>SUM(C145:C154)</f>
        <v>87.299750609002757</v>
      </c>
      <c r="D155" s="459">
        <f t="shared" ref="D155:N155" si="56">SUM(D145:D154)</f>
        <v>79.38316103672912</v>
      </c>
      <c r="E155" s="459">
        <f t="shared" si="56"/>
        <v>73.272690629391619</v>
      </c>
      <c r="F155" s="459">
        <f t="shared" si="56"/>
        <v>67.945987283427655</v>
      </c>
      <c r="G155" s="459">
        <f t="shared" si="56"/>
        <v>63.841201132774856</v>
      </c>
      <c r="H155" s="459">
        <f t="shared" si="56"/>
        <v>61.132594273474389</v>
      </c>
      <c r="I155" s="459">
        <f t="shared" si="56"/>
        <v>59.125691378515299</v>
      </c>
      <c r="J155" s="459">
        <f t="shared" si="56"/>
        <v>57.578297098831356</v>
      </c>
      <c r="K155" s="459">
        <f t="shared" si="56"/>
        <v>56.392428167722912</v>
      </c>
      <c r="L155" s="459">
        <f t="shared" si="56"/>
        <v>55.242636517867773</v>
      </c>
      <c r="M155" s="459">
        <f t="shared" si="56"/>
        <v>54.103103016091694</v>
      </c>
      <c r="N155" s="459">
        <f t="shared" si="56"/>
        <v>53.040847809765097</v>
      </c>
    </row>
    <row r="156" spans="1:14">
      <c r="A156" s="309">
        <f>SUM(C156:N156)</f>
        <v>0</v>
      </c>
      <c r="C156" s="309">
        <f t="shared" ref="C156:N156" si="57">SUM(C145:C154)-C155</f>
        <v>0</v>
      </c>
      <c r="D156" s="309">
        <f t="shared" si="57"/>
        <v>0</v>
      </c>
      <c r="E156" s="309">
        <f t="shared" si="57"/>
        <v>0</v>
      </c>
      <c r="F156" s="309">
        <f t="shared" si="57"/>
        <v>0</v>
      </c>
      <c r="G156" s="309">
        <f t="shared" si="57"/>
        <v>0</v>
      </c>
      <c r="H156" s="309">
        <f t="shared" si="57"/>
        <v>0</v>
      </c>
      <c r="I156" s="309">
        <f t="shared" si="57"/>
        <v>0</v>
      </c>
      <c r="J156" s="309">
        <f t="shared" si="57"/>
        <v>0</v>
      </c>
      <c r="K156" s="309">
        <f t="shared" si="57"/>
        <v>0</v>
      </c>
      <c r="L156" s="309">
        <f t="shared" si="57"/>
        <v>0</v>
      </c>
      <c r="M156" s="309">
        <f t="shared" si="57"/>
        <v>0</v>
      </c>
      <c r="N156" s="309">
        <f t="shared" si="57"/>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58">B144</f>
        <v>Age group</v>
      </c>
      <c r="C160" s="338" t="str">
        <f t="shared" ref="C160:N160" si="59">C144</f>
        <v>2016/17</v>
      </c>
      <c r="D160" s="338" t="str">
        <f t="shared" si="59"/>
        <v>2017/18</v>
      </c>
      <c r="E160" s="338" t="str">
        <f t="shared" si="59"/>
        <v>2018/19</v>
      </c>
      <c r="F160" s="338" t="str">
        <f t="shared" si="59"/>
        <v>2019/20</v>
      </c>
      <c r="G160" s="338" t="str">
        <f t="shared" si="59"/>
        <v>2020/21</v>
      </c>
      <c r="H160" s="338" t="str">
        <f t="shared" si="59"/>
        <v>2021/22</v>
      </c>
      <c r="I160" s="338" t="str">
        <f t="shared" si="59"/>
        <v>2022/23</v>
      </c>
      <c r="J160" s="338" t="str">
        <f t="shared" si="59"/>
        <v>2023/24</v>
      </c>
      <c r="K160" s="338" t="str">
        <f t="shared" si="59"/>
        <v>2024/25</v>
      </c>
      <c r="L160" s="338" t="str">
        <f t="shared" si="59"/>
        <v>2025/26</v>
      </c>
      <c r="M160" s="338" t="str">
        <f t="shared" si="59"/>
        <v>2026/27</v>
      </c>
      <c r="N160" s="338" t="str">
        <f t="shared" si="59"/>
        <v>2027/28</v>
      </c>
    </row>
    <row r="161" spans="1:14">
      <c r="B161" s="338" t="str">
        <f t="shared" si="58"/>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58"/>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58"/>
        <v>30-34</v>
      </c>
      <c r="C163" s="459">
        <f>C95*Calc_SEC_retirement_rates!$G142</f>
        <v>0.13490618782389524</v>
      </c>
      <c r="D163" s="459">
        <f>D95*Calc_SEC_retirement_rates!$G142</f>
        <v>0.12532044028534417</v>
      </c>
      <c r="E163" s="459">
        <f>E95*Calc_SEC_retirement_rates!$G142</f>
        <v>0.11995757908297991</v>
      </c>
      <c r="F163" s="459">
        <f>F95*Calc_SEC_retirement_rates!$G142</f>
        <v>0.11530987930872383</v>
      </c>
      <c r="G163" s="459">
        <f>G95*Calc_SEC_retirement_rates!$G142</f>
        <v>0.11249543133584511</v>
      </c>
      <c r="H163" s="459">
        <f>H95*Calc_SEC_retirement_rates!$G142</f>
        <v>0.11252502672285111</v>
      </c>
      <c r="I163" s="459">
        <f>I95*Calc_SEC_retirement_rates!$G142</f>
        <v>0.11383121044400461</v>
      </c>
      <c r="J163" s="459">
        <f>J95*Calc_SEC_retirement_rates!$G142</f>
        <v>0.11586293985179835</v>
      </c>
      <c r="K163" s="459">
        <f>K95*Calc_SEC_retirement_rates!$G142</f>
        <v>0.11842849133274119</v>
      </c>
      <c r="L163" s="459">
        <f>L95*Calc_SEC_retirement_rates!$G142</f>
        <v>0.12055555531714632</v>
      </c>
      <c r="M163" s="459">
        <f>M95*Calc_SEC_retirement_rates!$G142</f>
        <v>0.12205980173571641</v>
      </c>
      <c r="N163" s="459">
        <f>N95*Calc_SEC_retirement_rates!$G142</f>
        <v>0.12310665506039364</v>
      </c>
    </row>
    <row r="164" spans="1:14">
      <c r="B164" s="338" t="str">
        <f t="shared" si="58"/>
        <v>35-39</v>
      </c>
      <c r="C164" s="459">
        <f>C96*Calc_SEC_retirement_rates!$G143</f>
        <v>0.41229841740956474</v>
      </c>
      <c r="D164" s="459">
        <f>D96*Calc_SEC_retirement_rates!$G143</f>
        <v>0.39507036289623865</v>
      </c>
      <c r="E164" s="459">
        <f>E96*Calc_SEC_retirement_rates!$G143</f>
        <v>0.38037485744634891</v>
      </c>
      <c r="F164" s="459">
        <f>F96*Calc_SEC_retirement_rates!$G143</f>
        <v>0.36381777921901293</v>
      </c>
      <c r="G164" s="459">
        <f>G96*Calc_SEC_retirement_rates!$G143</f>
        <v>0.34934245969395111</v>
      </c>
      <c r="H164" s="459">
        <f>H96*Calc_SEC_retirement_rates!$G143</f>
        <v>0.33996627982254585</v>
      </c>
      <c r="I164" s="459">
        <f>I96*Calc_SEC_retirement_rates!$G143</f>
        <v>0.33357793794062301</v>
      </c>
      <c r="J164" s="459">
        <f>J96*Calc_SEC_retirement_rates!$G143</f>
        <v>0.32973540602362739</v>
      </c>
      <c r="K164" s="459">
        <f>K96*Calc_SEC_retirement_rates!$G143</f>
        <v>0.3283501835837544</v>
      </c>
      <c r="L164" s="459">
        <f>L96*Calc_SEC_retirement_rates!$G143</f>
        <v>0.3276867688086772</v>
      </c>
      <c r="M164" s="459">
        <f>M96*Calc_SEC_retirement_rates!$G143</f>
        <v>0.32732518883826578</v>
      </c>
      <c r="N164" s="459">
        <f>N96*Calc_SEC_retirement_rates!$G143</f>
        <v>0.32733723393356673</v>
      </c>
    </row>
    <row r="165" spans="1:14">
      <c r="B165" s="338" t="str">
        <f t="shared" si="58"/>
        <v>40-44</v>
      </c>
      <c r="C165" s="459">
        <f>C97*Calc_SEC_retirement_rates!$G144</f>
        <v>0.64195428560596879</v>
      </c>
      <c r="D165" s="459">
        <f>D97*Calc_SEC_retirement_rates!$G144</f>
        <v>0.62540101914128776</v>
      </c>
      <c r="E165" s="459">
        <f>E97*Calc_SEC_retirement_rates!$G144</f>
        <v>0.61198986857785131</v>
      </c>
      <c r="F165" s="459">
        <f>F97*Calc_SEC_retirement_rates!$G144</f>
        <v>0.59377197037560336</v>
      </c>
      <c r="G165" s="459">
        <f>G97*Calc_SEC_retirement_rates!$G144</f>
        <v>0.57556409149119392</v>
      </c>
      <c r="H165" s="459">
        <f>H97*Calc_SEC_retirement_rates!$G144</f>
        <v>0.56147427855636889</v>
      </c>
      <c r="I165" s="459">
        <f>I97*Calc_SEC_retirement_rates!$G144</f>
        <v>0.54895622445175762</v>
      </c>
      <c r="J165" s="459">
        <f>J97*Calc_SEC_retirement_rates!$G144</f>
        <v>0.53806683324287008</v>
      </c>
      <c r="K165" s="459">
        <f>K97*Calc_SEC_retirement_rates!$G144</f>
        <v>0.52941259853078571</v>
      </c>
      <c r="L165" s="459">
        <f>L97*Calc_SEC_retirement_rates!$G144</f>
        <v>0.5213196429741549</v>
      </c>
      <c r="M165" s="459">
        <f>M97*Calc_SEC_retirement_rates!$G144</f>
        <v>0.5138510135267701</v>
      </c>
      <c r="N165" s="459">
        <f>N97*Calc_SEC_retirement_rates!$G144</f>
        <v>0.50756379397925877</v>
      </c>
    </row>
    <row r="166" spans="1:14">
      <c r="B166" s="338" t="str">
        <f t="shared" si="58"/>
        <v>45-49</v>
      </c>
      <c r="C166" s="459">
        <f>C98*Calc_SEC_retirement_rates!$G145</f>
        <v>1.015812238078168</v>
      </c>
      <c r="D166" s="459">
        <f>D98*Calc_SEC_retirement_rates!$G145</f>
        <v>1.0353872921644292</v>
      </c>
      <c r="E166" s="459">
        <f>E98*Calc_SEC_retirement_rates!$G145</f>
        <v>1.0500238256341243</v>
      </c>
      <c r="F166" s="459">
        <f>F98*Calc_SEC_retirement_rates!$G145</f>
        <v>1.049237825542702</v>
      </c>
      <c r="G166" s="459">
        <f>G98*Calc_SEC_retirement_rates!$G145</f>
        <v>1.0420811677903803</v>
      </c>
      <c r="H166" s="459">
        <f>H98*Calc_SEC_retirement_rates!$G145</f>
        <v>1.0359975698825958</v>
      </c>
      <c r="I166" s="459">
        <f>I98*Calc_SEC_retirement_rates!$G145</f>
        <v>1.0273405750080016</v>
      </c>
      <c r="J166" s="459">
        <f>J98*Calc_SEC_retirement_rates!$G145</f>
        <v>1.0166943635757737</v>
      </c>
      <c r="K166" s="459">
        <f>K98*Calc_SEC_retirement_rates!$G145</f>
        <v>1.0056544628924551</v>
      </c>
      <c r="L166" s="459">
        <f>L98*Calc_SEC_retirement_rates!$G145</f>
        <v>0.99217094227836422</v>
      </c>
      <c r="M166" s="459">
        <f>M98*Calc_SEC_retirement_rates!$G145</f>
        <v>0.97709465911651716</v>
      </c>
      <c r="N166" s="459">
        <f>N98*Calc_SEC_retirement_rates!$G145</f>
        <v>0.96211994362509035</v>
      </c>
    </row>
    <row r="167" spans="1:14">
      <c r="B167" s="338" t="str">
        <f t="shared" si="58"/>
        <v>50-54</v>
      </c>
      <c r="C167" s="459">
        <f>C99*Calc_SEC_retirement_rates!$G146</f>
        <v>17.176076811552559</v>
      </c>
      <c r="D167" s="459">
        <f>D99*Calc_SEC_retirement_rates!$G146</f>
        <v>16.983915898201335</v>
      </c>
      <c r="E167" s="459">
        <f>E99*Calc_SEC_retirement_rates!$G146</f>
        <v>17.028169181760394</v>
      </c>
      <c r="F167" s="459">
        <f>F99*Calc_SEC_retirement_rates!$G146</f>
        <v>17.012625506158834</v>
      </c>
      <c r="G167" s="459">
        <f>G99*Calc_SEC_retirement_rates!$G146</f>
        <v>17.00232584714356</v>
      </c>
      <c r="H167" s="459">
        <f>H99*Calc_SEC_retirement_rates!$G146</f>
        <v>17.06293278215567</v>
      </c>
      <c r="I167" s="459">
        <f>I99*Calc_SEC_retirement_rates!$G146</f>
        <v>17.099414860412296</v>
      </c>
      <c r="J167" s="459">
        <f>J99*Calc_SEC_retirement_rates!$G146</f>
        <v>17.097598385600698</v>
      </c>
      <c r="K167" s="459">
        <f>K99*Calc_SEC_retirement_rates!$G146</f>
        <v>17.068102134472326</v>
      </c>
      <c r="L167" s="459">
        <f>L99*Calc_SEC_retirement_rates!$G146</f>
        <v>16.969389948596337</v>
      </c>
      <c r="M167" s="459">
        <f>M99*Calc_SEC_retirement_rates!$G146</f>
        <v>16.811777423081683</v>
      </c>
      <c r="N167" s="459">
        <f>N99*Calc_SEC_retirement_rates!$G146</f>
        <v>16.622727415209809</v>
      </c>
    </row>
    <row r="168" spans="1:14">
      <c r="B168" s="338" t="str">
        <f t="shared" si="58"/>
        <v>55-59</v>
      </c>
      <c r="C168" s="459">
        <f>C100*Calc_SEC_retirement_rates!$G147</f>
        <v>75.582152163683276</v>
      </c>
      <c r="D168" s="459">
        <f>D100*Calc_SEC_retirement_rates!$G147</f>
        <v>74.383954661090016</v>
      </c>
      <c r="E168" s="459">
        <f>E100*Calc_SEC_retirement_rates!$G147</f>
        <v>73.972083079139452</v>
      </c>
      <c r="F168" s="459">
        <f>F100*Calc_SEC_retirement_rates!$G147</f>
        <v>73.198821125440915</v>
      </c>
      <c r="G168" s="459">
        <f>G100*Calc_SEC_retirement_rates!$G147</f>
        <v>72.735138464516069</v>
      </c>
      <c r="H168" s="459">
        <f>H100*Calc_SEC_retirement_rates!$G147</f>
        <v>72.984773498400472</v>
      </c>
      <c r="I168" s="459">
        <f>I100*Calc_SEC_retirement_rates!$G147</f>
        <v>73.320119986173921</v>
      </c>
      <c r="J168" s="459">
        <f>J100*Calc_SEC_retirement_rates!$G147</f>
        <v>73.609985680588721</v>
      </c>
      <c r="K168" s="459">
        <f>K100*Calc_SEC_retirement_rates!$G147</f>
        <v>73.858944173148714</v>
      </c>
      <c r="L168" s="459">
        <f>L100*Calc_SEC_retirement_rates!$G147</f>
        <v>73.772963935839613</v>
      </c>
      <c r="M168" s="459">
        <f>M100*Calc_SEC_retirement_rates!$G147</f>
        <v>73.386097102158132</v>
      </c>
      <c r="N168" s="459">
        <f>N100*Calc_SEC_retirement_rates!$G147</f>
        <v>72.828149423820122</v>
      </c>
    </row>
    <row r="169" spans="1:14">
      <c r="B169" s="338" t="str">
        <f t="shared" si="58"/>
        <v>60-64</v>
      </c>
      <c r="C169" s="459">
        <f>C101*Calc_SEC_retirement_rates!$G148</f>
        <v>61.983608665968582</v>
      </c>
      <c r="D169" s="459">
        <f>D101*Calc_SEC_retirement_rates!$G148</f>
        <v>56.581941326410863</v>
      </c>
      <c r="E169" s="459">
        <f>E101*Calc_SEC_retirement_rates!$G148</f>
        <v>54.383524269378348</v>
      </c>
      <c r="F169" s="459">
        <f>F101*Calc_SEC_retirement_rates!$G148</f>
        <v>52.590689559939243</v>
      </c>
      <c r="G169" s="459">
        <f>G101*Calc_SEC_retirement_rates!$G148</f>
        <v>51.554156167728657</v>
      </c>
      <c r="H169" s="459">
        <f>H101*Calc_SEC_retirement_rates!$G148</f>
        <v>51.539378290813318</v>
      </c>
      <c r="I169" s="459">
        <f>I101*Calc_SEC_retirement_rates!$G148</f>
        <v>51.719182335752834</v>
      </c>
      <c r="J169" s="459">
        <f>J101*Calc_SEC_retirement_rates!$G148</f>
        <v>51.945614096490687</v>
      </c>
      <c r="K169" s="459">
        <f>K101*Calc_SEC_retirement_rates!$G148</f>
        <v>52.225682228437584</v>
      </c>
      <c r="L169" s="459">
        <f>L101*Calc_SEC_retirement_rates!$G148</f>
        <v>52.216534139809312</v>
      </c>
      <c r="M169" s="459">
        <f>M101*Calc_SEC_retirement_rates!$G148</f>
        <v>51.970902128820789</v>
      </c>
      <c r="N169" s="459">
        <f>N101*Calc_SEC_retirement_rates!$G148</f>
        <v>51.628734464202196</v>
      </c>
    </row>
    <row r="170" spans="1:14">
      <c r="B170" s="338" t="str">
        <f t="shared" si="58"/>
        <v>65 plus</v>
      </c>
      <c r="C170" s="459">
        <f>C102*Calc_SEC_retirement_rates!$G149</f>
        <v>18.002253977431575</v>
      </c>
      <c r="D170" s="459">
        <f>D102*Calc_SEC_retirement_rates!$G149</f>
        <v>19.053082949266418</v>
      </c>
      <c r="E170" s="459">
        <f>E102*Calc_SEC_retirement_rates!$G149</f>
        <v>19.147958642777944</v>
      </c>
      <c r="F170" s="459">
        <f>F102*Calc_SEC_retirement_rates!$G149</f>
        <v>18.631914878989424</v>
      </c>
      <c r="G170" s="459">
        <f>G102*Calc_SEC_retirement_rates!$G149</f>
        <v>18.152738834911499</v>
      </c>
      <c r="H170" s="459">
        <f>H102*Calc_SEC_retirement_rates!$G149</f>
        <v>18.034861901234645</v>
      </c>
      <c r="I170" s="459">
        <f>I102*Calc_SEC_retirement_rates!$G149</f>
        <v>18.020671164032692</v>
      </c>
      <c r="J170" s="459">
        <f>J102*Calc_SEC_retirement_rates!$G149</f>
        <v>18.054132860407236</v>
      </c>
      <c r="K170" s="459">
        <f>K102*Calc_SEC_retirement_rates!$G149</f>
        <v>18.136878022676438</v>
      </c>
      <c r="L170" s="459">
        <f>L102*Calc_SEC_retirement_rates!$G149</f>
        <v>18.123855266392791</v>
      </c>
      <c r="M170" s="459">
        <f>M102*Calc_SEC_retirement_rates!$G149</f>
        <v>18.025400659512531</v>
      </c>
      <c r="N170" s="459">
        <f>N102*Calc_SEC_retirement_rates!$G149</f>
        <v>17.897965155419829</v>
      </c>
    </row>
    <row r="171" spans="1:14">
      <c r="B171" s="338" t="str">
        <f t="shared" si="58"/>
        <v>Total</v>
      </c>
      <c r="C171" s="459">
        <f>SUM(C161:C170)</f>
        <v>174.94906274755357</v>
      </c>
      <c r="D171" s="459">
        <f t="shared" ref="D171:N171" si="60">SUM(D161:D170)</f>
        <v>169.18407394945592</v>
      </c>
      <c r="E171" s="459">
        <f t="shared" si="60"/>
        <v>166.69408130379745</v>
      </c>
      <c r="F171" s="459">
        <f t="shared" si="60"/>
        <v>163.55618852497446</v>
      </c>
      <c r="G171" s="459">
        <f t="shared" si="60"/>
        <v>161.52384246461116</v>
      </c>
      <c r="H171" s="459">
        <f t="shared" si="60"/>
        <v>161.67190962758846</v>
      </c>
      <c r="I171" s="459">
        <f t="shared" si="60"/>
        <v>162.18309429421612</v>
      </c>
      <c r="J171" s="459">
        <f t="shared" si="60"/>
        <v>162.70769056578141</v>
      </c>
      <c r="K171" s="459">
        <f t="shared" si="60"/>
        <v>163.27145229507479</v>
      </c>
      <c r="L171" s="459">
        <f t="shared" si="60"/>
        <v>163.04447620001639</v>
      </c>
      <c r="M171" s="459">
        <f t="shared" si="60"/>
        <v>162.13450797679042</v>
      </c>
      <c r="N171" s="459">
        <f t="shared" si="60"/>
        <v>160.89770408525024</v>
      </c>
    </row>
    <row r="172" spans="1:14">
      <c r="A172" s="309">
        <f>SUM(C172:N172)</f>
        <v>0</v>
      </c>
      <c r="C172" s="309">
        <f t="shared" ref="C172:N172" si="61">SUM(C161:C170)-C171</f>
        <v>0</v>
      </c>
      <c r="D172" s="309">
        <f t="shared" si="61"/>
        <v>0</v>
      </c>
      <c r="E172" s="309">
        <f t="shared" si="61"/>
        <v>0</v>
      </c>
      <c r="F172" s="309">
        <f t="shared" si="61"/>
        <v>0</v>
      </c>
      <c r="G172" s="309">
        <f t="shared" si="61"/>
        <v>0</v>
      </c>
      <c r="H172" s="309">
        <f t="shared" si="61"/>
        <v>0</v>
      </c>
      <c r="I172" s="309">
        <f t="shared" si="61"/>
        <v>0</v>
      </c>
      <c r="J172" s="309">
        <f t="shared" si="61"/>
        <v>0</v>
      </c>
      <c r="K172" s="309">
        <f t="shared" si="61"/>
        <v>0</v>
      </c>
      <c r="L172" s="309">
        <f t="shared" si="61"/>
        <v>0</v>
      </c>
      <c r="M172" s="309">
        <f t="shared" si="61"/>
        <v>0</v>
      </c>
      <c r="N172" s="309">
        <f t="shared" si="61"/>
        <v>0</v>
      </c>
    </row>
    <row r="174" spans="1:14" ht="15.75">
      <c r="B174" s="340" t="s">
        <v>516</v>
      </c>
      <c r="H174" s="325"/>
    </row>
    <row r="175" spans="1:14">
      <c r="H175" s="325"/>
    </row>
    <row r="176" spans="1:14">
      <c r="B176" s="341" t="s">
        <v>49</v>
      </c>
      <c r="H176" s="325"/>
    </row>
    <row r="177" spans="1:14">
      <c r="H177" s="325"/>
    </row>
    <row r="178" spans="1:14">
      <c r="B178" s="338" t="str">
        <f t="shared" ref="B178:B189" si="62">B144</f>
        <v>Age group</v>
      </c>
      <c r="C178" s="338" t="str">
        <f t="shared" ref="C178:N178" si="63">C144</f>
        <v>2016/17</v>
      </c>
      <c r="D178" s="338" t="str">
        <f t="shared" si="63"/>
        <v>2017/18</v>
      </c>
      <c r="E178" s="338" t="str">
        <f t="shared" si="63"/>
        <v>2018/19</v>
      </c>
      <c r="F178" s="338" t="str">
        <f t="shared" si="63"/>
        <v>2019/20</v>
      </c>
      <c r="G178" s="338" t="str">
        <f t="shared" si="63"/>
        <v>2020/21</v>
      </c>
      <c r="H178" s="338" t="str">
        <f t="shared" si="63"/>
        <v>2021/22</v>
      </c>
      <c r="I178" s="338" t="str">
        <f t="shared" si="63"/>
        <v>2022/23</v>
      </c>
      <c r="J178" s="338" t="str">
        <f t="shared" si="63"/>
        <v>2023/24</v>
      </c>
      <c r="K178" s="338" t="str">
        <f t="shared" si="63"/>
        <v>2024/25</v>
      </c>
      <c r="L178" s="338" t="str">
        <f t="shared" si="63"/>
        <v>2025/26</v>
      </c>
      <c r="M178" s="338" t="str">
        <f t="shared" si="63"/>
        <v>2026/27</v>
      </c>
      <c r="N178" s="338" t="str">
        <f t="shared" si="63"/>
        <v>2027/28</v>
      </c>
    </row>
    <row r="179" spans="1:14">
      <c r="B179" s="338" t="str">
        <f t="shared" si="62"/>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2"/>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2"/>
        <v>30-34</v>
      </c>
      <c r="C181" s="459">
        <f>C79*Calc_SEC_death_rates!$G126</f>
        <v>6.1349950570393205E-2</v>
      </c>
      <c r="D181" s="459">
        <f>D79*Calc_SEC_death_rates!$G126</f>
        <v>5.7660886873164376E-2</v>
      </c>
      <c r="E181" s="459">
        <f>E79*Calc_SEC_death_rates!$G126</f>
        <v>5.682589596331615E-2</v>
      </c>
      <c r="F181" s="459">
        <f>F79*Calc_SEC_death_rates!$G126</f>
        <v>5.6533366455238848E-2</v>
      </c>
      <c r="G181" s="459">
        <f>G79*Calc_SEC_death_rates!$G126</f>
        <v>5.7224110434641699E-2</v>
      </c>
      <c r="H181" s="459">
        <f>H79*Calc_SEC_death_rates!$G126</f>
        <v>5.9383247883616749E-2</v>
      </c>
      <c r="I181" s="459">
        <f>I79*Calc_SEC_death_rates!$G126</f>
        <v>6.207936870711403E-2</v>
      </c>
      <c r="J181" s="459">
        <f>J79*Calc_SEC_death_rates!$G126</f>
        <v>6.4980749361069359E-2</v>
      </c>
      <c r="K181" s="459">
        <f>K79*Calc_SEC_death_rates!$G126</f>
        <v>6.7978460042869934E-2</v>
      </c>
      <c r="L181" s="459">
        <f>L79*Calc_SEC_death_rates!$G126</f>
        <v>7.0524963134533006E-2</v>
      </c>
      <c r="M181" s="459">
        <f>M79*Calc_SEC_death_rates!$G126</f>
        <v>7.2522655466304056E-2</v>
      </c>
      <c r="N181" s="459">
        <f>N79*Calc_SEC_death_rates!$G126</f>
        <v>7.4079030382733724E-2</v>
      </c>
    </row>
    <row r="182" spans="1:14">
      <c r="B182" s="338" t="str">
        <f t="shared" si="62"/>
        <v>35-39</v>
      </c>
      <c r="C182" s="459">
        <f>C80*Calc_SEC_death_rates!$G127</f>
        <v>0.12881829581428211</v>
      </c>
      <c r="D182" s="459">
        <f>D80*Calc_SEC_death_rates!$G127</f>
        <v>0.12561128775989147</v>
      </c>
      <c r="E182" s="459">
        <f>E80*Calc_SEC_death_rates!$G127</f>
        <v>0.12303709347398668</v>
      </c>
      <c r="F182" s="459">
        <f>F80*Calc_SEC_death_rates!$G127</f>
        <v>0.11972166564396583</v>
      </c>
      <c r="G182" s="459">
        <f>G80*Calc_SEC_death_rates!$G127</f>
        <v>0.11717698811982848</v>
      </c>
      <c r="H182" s="459">
        <f>H80*Calc_SEC_death_rates!$G127</f>
        <v>0.1165155835857936</v>
      </c>
      <c r="I182" s="459">
        <f>I80*Calc_SEC_death_rates!$G127</f>
        <v>0.11693885496972108</v>
      </c>
      <c r="J182" s="459">
        <f>J80*Calc_SEC_death_rates!$G127</f>
        <v>0.11824251203448173</v>
      </c>
      <c r="K182" s="459">
        <f>K80*Calc_SEC_death_rates!$G127</f>
        <v>0.12035354724116568</v>
      </c>
      <c r="L182" s="459">
        <f>L80*Calc_SEC_death_rates!$G127</f>
        <v>0.12259810174503204</v>
      </c>
      <c r="M182" s="459">
        <f>M80*Calc_SEC_death_rates!$G127</f>
        <v>0.12478802053392904</v>
      </c>
      <c r="N182" s="459">
        <f>N80*Calc_SEC_death_rates!$G127</f>
        <v>0.12692533486478261</v>
      </c>
    </row>
    <row r="183" spans="1:14">
      <c r="B183" s="338" t="str">
        <f t="shared" si="62"/>
        <v>40-44</v>
      </c>
      <c r="C183" s="459">
        <f>C81*Calc_SEC_death_rates!$G128</f>
        <v>0.27765870018996208</v>
      </c>
      <c r="D183" s="459">
        <f>D81*Calc_SEC_death_rates!$G128</f>
        <v>0.26201073893419047</v>
      </c>
      <c r="E183" s="459">
        <f>E81*Calc_SEC_death_rates!$G128</f>
        <v>0.25091368111431295</v>
      </c>
      <c r="F183" s="459">
        <f>F81*Calc_SEC_death_rates!$G128</f>
        <v>0.24015348427208091</v>
      </c>
      <c r="G183" s="459">
        <f>G81*Calc_SEC_death_rates!$G128</f>
        <v>0.23109540552208815</v>
      </c>
      <c r="H183" s="459">
        <f>H81*Calc_SEC_death_rates!$G128</f>
        <v>0.22500916616826555</v>
      </c>
      <c r="I183" s="459">
        <f>I81*Calc_SEC_death_rates!$G128</f>
        <v>0.22053448959121455</v>
      </c>
      <c r="J183" s="459">
        <f>J81*Calc_SEC_death_rates!$G128</f>
        <v>0.21745131077157487</v>
      </c>
      <c r="K183" s="459">
        <f>K81*Calc_SEC_death_rates!$G128</f>
        <v>0.21581496232014674</v>
      </c>
      <c r="L183" s="459">
        <f>L81*Calc_SEC_death_rates!$G128</f>
        <v>0.21477459027329732</v>
      </c>
      <c r="M183" s="459">
        <f>M81*Calc_SEC_death_rates!$G128</f>
        <v>0.21422079844967462</v>
      </c>
      <c r="N183" s="459">
        <f>N81*Calc_SEC_death_rates!$G128</f>
        <v>0.21427161551905685</v>
      </c>
    </row>
    <row r="184" spans="1:14">
      <c r="B184" s="338" t="str">
        <f t="shared" si="62"/>
        <v>45-49</v>
      </c>
      <c r="C184" s="459">
        <f>C82*Calc_SEC_death_rates!$G129</f>
        <v>0.25391308999533074</v>
      </c>
      <c r="D184" s="459">
        <f>D82*Calc_SEC_death_rates!$G129</f>
        <v>0.25267446399496746</v>
      </c>
      <c r="E184" s="459">
        <f>E82*Calc_SEC_death_rates!$G129</f>
        <v>0.2500612869873316</v>
      </c>
      <c r="F184" s="459">
        <f>F82*Calc_SEC_death_rates!$G129</f>
        <v>0.244513298966123</v>
      </c>
      <c r="G184" s="459">
        <f>G82*Calc_SEC_death_rates!$G129</f>
        <v>0.23834358654058929</v>
      </c>
      <c r="H184" s="459">
        <f>H82*Calc_SEC_death_rates!$G129</f>
        <v>0.23330639770933578</v>
      </c>
      <c r="I184" s="459">
        <f>I82*Calc_SEC_death_rates!$G129</f>
        <v>0.22862500642420117</v>
      </c>
      <c r="J184" s="459">
        <f>J82*Calc_SEC_death_rates!$G129</f>
        <v>0.22437607326619843</v>
      </c>
      <c r="K184" s="459">
        <f>K82*Calc_SEC_death_rates!$G129</f>
        <v>0.22082177784928614</v>
      </c>
      <c r="L184" s="459">
        <f>L82*Calc_SEC_death_rates!$G129</f>
        <v>0.21741483929455427</v>
      </c>
      <c r="M184" s="459">
        <f>M82*Calc_SEC_death_rates!$G129</f>
        <v>0.21423331017033739</v>
      </c>
      <c r="N184" s="459">
        <f>N82*Calc_SEC_death_rates!$G129</f>
        <v>0.21154065698602401</v>
      </c>
    </row>
    <row r="185" spans="1:14">
      <c r="B185" s="338" t="str">
        <f t="shared" si="62"/>
        <v>50-54</v>
      </c>
      <c r="C185" s="459">
        <f>C83*Calc_SEC_death_rates!$G130</f>
        <v>0.4320979660217637</v>
      </c>
      <c r="D185" s="459">
        <f>D83*Calc_SEC_death_rates!$G130</f>
        <v>0.41523754375735572</v>
      </c>
      <c r="E185" s="459">
        <f>E83*Calc_SEC_death_rates!$G130</f>
        <v>0.40484056448751732</v>
      </c>
      <c r="F185" s="459">
        <f>F83*Calc_SEC_death_rates!$G130</f>
        <v>0.39439906751752302</v>
      </c>
      <c r="G185" s="459">
        <f>G83*Calc_SEC_death_rates!$G130</f>
        <v>0.38502803973698524</v>
      </c>
      <c r="H185" s="459">
        <f>H83*Calc_SEC_death_rates!$G130</f>
        <v>0.3780353497886858</v>
      </c>
      <c r="I185" s="459">
        <f>I83*Calc_SEC_death_rates!$G130</f>
        <v>0.37157778472683839</v>
      </c>
      <c r="J185" s="459">
        <f>J83*Calc_SEC_death_rates!$G130</f>
        <v>0.36541094086349518</v>
      </c>
      <c r="K185" s="459">
        <f>K83*Calc_SEC_death_rates!$G130</f>
        <v>0.35975487149620589</v>
      </c>
      <c r="L185" s="459">
        <f>L83*Calc_SEC_death_rates!$G130</f>
        <v>0.35375721888641226</v>
      </c>
      <c r="M185" s="459">
        <f>M83*Calc_SEC_death_rates!$G130</f>
        <v>0.34756767574547892</v>
      </c>
      <c r="N185" s="459">
        <f>N83*Calc_SEC_death_rates!$G130</f>
        <v>0.34165563686443867</v>
      </c>
    </row>
    <row r="186" spans="1:14">
      <c r="B186" s="338" t="str">
        <f t="shared" si="62"/>
        <v>55-59</v>
      </c>
      <c r="C186" s="459">
        <f>C84*Calc_SEC_death_rates!$G131</f>
        <v>0.27944731158295555</v>
      </c>
      <c r="D186" s="459">
        <f>D84*Calc_SEC_death_rates!$G131</f>
        <v>0.2445165104467372</v>
      </c>
      <c r="E186" s="459">
        <f>E84*Calc_SEC_death_rates!$G131</f>
        <v>0.22240723374329444</v>
      </c>
      <c r="F186" s="459">
        <f>F84*Calc_SEC_death_rates!$G131</f>
        <v>0.20633641436425668</v>
      </c>
      <c r="G186" s="459">
        <f>G84*Calc_SEC_death_rates!$G131</f>
        <v>0.19518911352184098</v>
      </c>
      <c r="H186" s="459">
        <f>H84*Calc_SEC_death_rates!$G131</f>
        <v>0.18828088705122914</v>
      </c>
      <c r="I186" s="459">
        <f>I84*Calc_SEC_death_rates!$G131</f>
        <v>0.18328458532791231</v>
      </c>
      <c r="J186" s="459">
        <f>J84*Calc_SEC_death_rates!$G131</f>
        <v>0.1793696294721388</v>
      </c>
      <c r="K186" s="459">
        <f>K84*Calc_SEC_death_rates!$G131</f>
        <v>0.17623375122427107</v>
      </c>
      <c r="L186" s="459">
        <f>L84*Calc_SEC_death_rates!$G131</f>
        <v>0.17304314250706931</v>
      </c>
      <c r="M186" s="459">
        <f>M84*Calc_SEC_death_rates!$G131</f>
        <v>0.16976406941283093</v>
      </c>
      <c r="N186" s="459">
        <f>N84*Calc_SEC_death_rates!$G131</f>
        <v>0.16660961193363966</v>
      </c>
    </row>
    <row r="187" spans="1:14">
      <c r="B187" s="338" t="str">
        <f t="shared" si="62"/>
        <v>60-64</v>
      </c>
      <c r="C187" s="459">
        <f>C85*Calc_SEC_death_rates!$G132</f>
        <v>0.2267491107591488</v>
      </c>
      <c r="D187" s="459">
        <f>D85*Calc_SEC_death_rates!$G132</f>
        <v>0.20341278808253424</v>
      </c>
      <c r="E187" s="459">
        <f>E85*Calc_SEC_death_rates!$G132</f>
        <v>0.18312587447313516</v>
      </c>
      <c r="F187" s="459">
        <f>F85*Calc_SEC_death_rates!$G132</f>
        <v>0.16530986458531702</v>
      </c>
      <c r="G187" s="459">
        <f>G85*Calc_SEC_death_rates!$G132</f>
        <v>0.15197077417087138</v>
      </c>
      <c r="H187" s="459">
        <f>H85*Calc_SEC_death_rates!$G132</f>
        <v>0.14351949456822669</v>
      </c>
      <c r="I187" s="459">
        <f>I85*Calc_SEC_death_rates!$G132</f>
        <v>0.13761920489540405</v>
      </c>
      <c r="J187" s="459">
        <f>J85*Calc_SEC_death_rates!$G132</f>
        <v>0.13337003479251952</v>
      </c>
      <c r="K187" s="459">
        <f>K85*Calc_SEC_death_rates!$G132</f>
        <v>0.13034022917748028</v>
      </c>
      <c r="L187" s="459">
        <f>L85*Calc_SEC_death_rates!$G132</f>
        <v>0.12747707383340137</v>
      </c>
      <c r="M187" s="459">
        <f>M85*Calc_SEC_death_rates!$G132</f>
        <v>0.12467645013587593</v>
      </c>
      <c r="N187" s="459">
        <f>N85*Calc_SEC_death_rates!$G132</f>
        <v>0.12210661858629139</v>
      </c>
    </row>
    <row r="188" spans="1:14">
      <c r="B188" s="338" t="str">
        <f t="shared" si="62"/>
        <v>65 plus</v>
      </c>
      <c r="C188" s="459">
        <f>C86*Calc_SEC_death_rates!$G133</f>
        <v>0.19608334039034123</v>
      </c>
      <c r="D188" s="459">
        <f>D86*Calc_SEC_death_rates!$G133</f>
        <v>0.20717704875507542</v>
      </c>
      <c r="E188" s="459">
        <f>E86*Calc_SEC_death_rates!$G133</f>
        <v>0.20569242574510258</v>
      </c>
      <c r="F188" s="459">
        <f>F86*Calc_SEC_death_rates!$G133</f>
        <v>0.19519923608710241</v>
      </c>
      <c r="G188" s="459">
        <f>G86*Calc_SEC_death_rates!$G133</f>
        <v>0.18263317959012929</v>
      </c>
      <c r="H188" s="459">
        <f>H86*Calc_SEC_death_rates!$G133</f>
        <v>0.17223888867951537</v>
      </c>
      <c r="I188" s="459">
        <f>I86*Calc_SEC_death_rates!$G133</f>
        <v>0.16362650782812477</v>
      </c>
      <c r="J188" s="459">
        <f>J86*Calc_SEC_death_rates!$G133</f>
        <v>0.15679051208598324</v>
      </c>
      <c r="K188" s="459">
        <f>K86*Calc_SEC_death_rates!$G133</f>
        <v>0.15167902908264638</v>
      </c>
      <c r="L188" s="459">
        <f>L86*Calc_SEC_death_rates!$G133</f>
        <v>0.14717794221225763</v>
      </c>
      <c r="M188" s="459">
        <f>M86*Calc_SEC_death_rates!$G133</f>
        <v>0.14306859443604222</v>
      </c>
      <c r="N188" s="459">
        <f>N86*Calc_SEC_death_rates!$G133</f>
        <v>0.13947038290798303</v>
      </c>
    </row>
    <row r="189" spans="1:14">
      <c r="B189" s="338" t="str">
        <f t="shared" si="62"/>
        <v>Total</v>
      </c>
      <c r="C189" s="459">
        <f>SUM(C179:C188)</f>
        <v>1.8561177653241774</v>
      </c>
      <c r="D189" s="459">
        <f t="shared" ref="D189:N189" si="64">SUM(D179:D188)</f>
        <v>1.7683012686039166</v>
      </c>
      <c r="E189" s="459">
        <f t="shared" si="64"/>
        <v>1.6969040559879969</v>
      </c>
      <c r="F189" s="459">
        <f t="shared" si="64"/>
        <v>1.6221663978916079</v>
      </c>
      <c r="G189" s="459">
        <f t="shared" si="64"/>
        <v>1.5586611976369744</v>
      </c>
      <c r="H189" s="459">
        <f t="shared" si="64"/>
        <v>1.5162890154346689</v>
      </c>
      <c r="I189" s="459">
        <f t="shared" si="64"/>
        <v>1.4842858024705303</v>
      </c>
      <c r="J189" s="459">
        <f t="shared" si="64"/>
        <v>1.459991762647461</v>
      </c>
      <c r="K189" s="459">
        <f t="shared" si="64"/>
        <v>1.4429766284340719</v>
      </c>
      <c r="L189" s="459">
        <f t="shared" si="64"/>
        <v>1.4267678718865573</v>
      </c>
      <c r="M189" s="459">
        <f t="shared" si="64"/>
        <v>1.410841574350473</v>
      </c>
      <c r="N189" s="459">
        <f t="shared" si="64"/>
        <v>1.39665888804495</v>
      </c>
    </row>
    <row r="190" spans="1:14">
      <c r="A190" s="309">
        <f>SUM(C190:N190)</f>
        <v>0</v>
      </c>
      <c r="C190" s="309">
        <f t="shared" ref="C190:N190" si="65">SUM(C179:C188)-C189</f>
        <v>0</v>
      </c>
      <c r="D190" s="309">
        <f t="shared" si="65"/>
        <v>0</v>
      </c>
      <c r="E190" s="309">
        <f t="shared" si="65"/>
        <v>0</v>
      </c>
      <c r="F190" s="309">
        <f t="shared" si="65"/>
        <v>0</v>
      </c>
      <c r="G190" s="309">
        <f t="shared" si="65"/>
        <v>0</v>
      </c>
      <c r="H190" s="309">
        <f t="shared" si="65"/>
        <v>0</v>
      </c>
      <c r="I190" s="309">
        <f t="shared" si="65"/>
        <v>0</v>
      </c>
      <c r="J190" s="309">
        <f t="shared" si="65"/>
        <v>0</v>
      </c>
      <c r="K190" s="309">
        <f t="shared" si="65"/>
        <v>0</v>
      </c>
      <c r="L190" s="309">
        <f t="shared" si="65"/>
        <v>0</v>
      </c>
      <c r="M190" s="309">
        <f t="shared" si="65"/>
        <v>0</v>
      </c>
      <c r="N190" s="309">
        <f t="shared" si="65"/>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6">B178</f>
        <v>Age group</v>
      </c>
      <c r="C194" s="338" t="str">
        <f t="shared" ref="C194:N194" si="67">C178</f>
        <v>2016/17</v>
      </c>
      <c r="D194" s="338" t="str">
        <f t="shared" si="67"/>
        <v>2017/18</v>
      </c>
      <c r="E194" s="338" t="str">
        <f t="shared" si="67"/>
        <v>2018/19</v>
      </c>
      <c r="F194" s="338" t="str">
        <f t="shared" si="67"/>
        <v>2019/20</v>
      </c>
      <c r="G194" s="338" t="str">
        <f t="shared" si="67"/>
        <v>2020/21</v>
      </c>
      <c r="H194" s="338" t="str">
        <f t="shared" si="67"/>
        <v>2021/22</v>
      </c>
      <c r="I194" s="338" t="str">
        <f t="shared" si="67"/>
        <v>2022/23</v>
      </c>
      <c r="J194" s="338" t="str">
        <f t="shared" si="67"/>
        <v>2023/24</v>
      </c>
      <c r="K194" s="338" t="str">
        <f t="shared" si="67"/>
        <v>2024/25</v>
      </c>
      <c r="L194" s="338" t="str">
        <f t="shared" si="67"/>
        <v>2025/26</v>
      </c>
      <c r="M194" s="338" t="str">
        <f t="shared" si="67"/>
        <v>2026/27</v>
      </c>
      <c r="N194" s="338" t="str">
        <f t="shared" si="67"/>
        <v>2027/28</v>
      </c>
    </row>
    <row r="195" spans="1:14">
      <c r="B195" s="338" t="str">
        <f t="shared" si="66"/>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6"/>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6"/>
        <v>30-34</v>
      </c>
      <c r="C197" s="459">
        <f>C95*Calc_SEC_death_rates!$G142</f>
        <v>7.5602279424349772E-2</v>
      </c>
      <c r="D197" s="459">
        <f>D95*Calc_SEC_death_rates!$G142</f>
        <v>7.0230365981455434E-2</v>
      </c>
      <c r="E197" s="459">
        <f>E95*Calc_SEC_death_rates!$G142</f>
        <v>6.7224984703730728E-2</v>
      </c>
      <c r="F197" s="459">
        <f>F95*Calc_SEC_death_rates!$G142</f>
        <v>6.4620384405688971E-2</v>
      </c>
      <c r="G197" s="459">
        <f>G95*Calc_SEC_death_rates!$G142</f>
        <v>6.304314999188558E-2</v>
      </c>
      <c r="H197" s="459">
        <f>H95*Calc_SEC_death_rates!$G142</f>
        <v>6.3059735433622477E-2</v>
      </c>
      <c r="I197" s="459">
        <f>I95*Calc_SEC_death_rates!$G142</f>
        <v>6.3791729037912082E-2</v>
      </c>
      <c r="J197" s="459">
        <f>J95*Calc_SEC_death_rates!$G142</f>
        <v>6.4930323025929909E-2</v>
      </c>
      <c r="K197" s="459">
        <f>K95*Calc_SEC_death_rates!$G142</f>
        <v>6.6368074274175015E-2</v>
      </c>
      <c r="L197" s="459">
        <f>L95*Calc_SEC_death_rates!$G142</f>
        <v>6.7560094360847311E-2</v>
      </c>
      <c r="M197" s="459">
        <f>M95*Calc_SEC_death_rates!$G142</f>
        <v>6.8403083551293251E-2</v>
      </c>
      <c r="N197" s="459">
        <f>N95*Calc_SEC_death_rates!$G142</f>
        <v>6.8989746764042778E-2</v>
      </c>
    </row>
    <row r="198" spans="1:14">
      <c r="B198" s="338" t="str">
        <f t="shared" si="66"/>
        <v>35-39</v>
      </c>
      <c r="C198" s="459">
        <f>C96*Calc_SEC_death_rates!$G143</f>
        <v>0.31253901126268174</v>
      </c>
      <c r="D198" s="459">
        <f>D96*Calc_SEC_death_rates!$G143</f>
        <v>0.29947944349280164</v>
      </c>
      <c r="E198" s="459">
        <f>E96*Calc_SEC_death_rates!$G143</f>
        <v>0.28833965117399818</v>
      </c>
      <c r="F198" s="459">
        <f>F96*Calc_SEC_death_rates!$G143</f>
        <v>0.27578871078697742</v>
      </c>
      <c r="G198" s="459">
        <f>G96*Calc_SEC_death_rates!$G143</f>
        <v>0.26481582837695322</v>
      </c>
      <c r="H198" s="459">
        <f>H96*Calc_SEC_death_rates!$G143</f>
        <v>0.25770830173437809</v>
      </c>
      <c r="I198" s="459">
        <f>I96*Calc_SEC_death_rates!$G143</f>
        <v>0.25286567811256394</v>
      </c>
      <c r="J198" s="459">
        <f>J96*Calc_SEC_death_rates!$G143</f>
        <v>0.24995288224585038</v>
      </c>
      <c r="K198" s="459">
        <f>K96*Calc_SEC_death_rates!$G143</f>
        <v>0.2489028271560034</v>
      </c>
      <c r="L198" s="459">
        <f>L96*Calc_SEC_death_rates!$G143</f>
        <v>0.24839993170672567</v>
      </c>
      <c r="M198" s="459">
        <f>M96*Calc_SEC_death_rates!$G143</f>
        <v>0.24812583934625823</v>
      </c>
      <c r="N198" s="459">
        <f>N96*Calc_SEC_death_rates!$G143</f>
        <v>0.24813497001961751</v>
      </c>
    </row>
    <row r="199" spans="1:14">
      <c r="B199" s="338" t="str">
        <f t="shared" si="66"/>
        <v>40-44</v>
      </c>
      <c r="C199" s="459">
        <f>C97*Calc_SEC_death_rates!$G144</f>
        <v>0.33975802854440168</v>
      </c>
      <c r="D199" s="459">
        <f>D97*Calc_SEC_death_rates!$G144</f>
        <v>0.33099711627056072</v>
      </c>
      <c r="E199" s="459">
        <f>E97*Calc_SEC_death_rates!$G144</f>
        <v>0.32389918705953569</v>
      </c>
      <c r="F199" s="459">
        <f>F97*Calc_SEC_death_rates!$G144</f>
        <v>0.31425725878488342</v>
      </c>
      <c r="G199" s="459">
        <f>G97*Calc_SEC_death_rates!$G144</f>
        <v>0.30462063329230227</v>
      </c>
      <c r="H199" s="459">
        <f>H97*Calc_SEC_death_rates!$G144</f>
        <v>0.29716351808545111</v>
      </c>
      <c r="I199" s="459">
        <f>I97*Calc_SEC_death_rates!$G144</f>
        <v>0.29053826535459626</v>
      </c>
      <c r="J199" s="459">
        <f>J97*Calc_SEC_death_rates!$G144</f>
        <v>0.28477499190641298</v>
      </c>
      <c r="K199" s="459">
        <f>K97*Calc_SEC_death_rates!$G144</f>
        <v>0.28019468799651265</v>
      </c>
      <c r="L199" s="459">
        <f>L97*Calc_SEC_death_rates!$G144</f>
        <v>0.27591144433466397</v>
      </c>
      <c r="M199" s="459">
        <f>M97*Calc_SEC_death_rates!$G144</f>
        <v>0.27195862888679007</v>
      </c>
      <c r="N199" s="459">
        <f>N97*Calc_SEC_death_rates!$G144</f>
        <v>0.26863108147977821</v>
      </c>
    </row>
    <row r="200" spans="1:14">
      <c r="B200" s="338" t="str">
        <f t="shared" si="66"/>
        <v>45-49</v>
      </c>
      <c r="C200" s="459">
        <f>C98*Calc_SEC_death_rates!$G145</f>
        <v>0.39028470471465188</v>
      </c>
      <c r="D200" s="459">
        <f>D98*Calc_SEC_death_rates!$G145</f>
        <v>0.39780562631556082</v>
      </c>
      <c r="E200" s="459">
        <f>E98*Calc_SEC_death_rates!$G145</f>
        <v>0.40342912141547571</v>
      </c>
      <c r="F200" s="459">
        <f>F98*Calc_SEC_death_rates!$G145</f>
        <v>0.40312713271905398</v>
      </c>
      <c r="G200" s="459">
        <f>G98*Calc_SEC_death_rates!$G145</f>
        <v>0.40037747687429559</v>
      </c>
      <c r="H200" s="459">
        <f>H98*Calc_SEC_death_rates!$G145</f>
        <v>0.39804010080809027</v>
      </c>
      <c r="I200" s="459">
        <f>I98*Calc_SEC_death_rates!$G145</f>
        <v>0.39471400119863936</v>
      </c>
      <c r="J200" s="459">
        <f>J98*Calc_SEC_death_rates!$G145</f>
        <v>0.39062362570462306</v>
      </c>
      <c r="K200" s="459">
        <f>K98*Calc_SEC_death_rates!$G145</f>
        <v>0.38638199106314663</v>
      </c>
      <c r="L200" s="459">
        <f>L98*Calc_SEC_death_rates!$G145</f>
        <v>0.38120149444761026</v>
      </c>
      <c r="M200" s="459">
        <f>M98*Calc_SEC_death_rates!$G145</f>
        <v>0.37540904334153963</v>
      </c>
      <c r="N200" s="459">
        <f>N98*Calc_SEC_death_rates!$G145</f>
        <v>0.36965561549860032</v>
      </c>
    </row>
    <row r="201" spans="1:14">
      <c r="B201" s="338" t="str">
        <f t="shared" si="66"/>
        <v>50-54</v>
      </c>
      <c r="C201" s="459">
        <f>C99*Calc_SEC_death_rates!$G146</f>
        <v>0.41101939966924833</v>
      </c>
      <c r="D201" s="459">
        <f>D99*Calc_SEC_death_rates!$G146</f>
        <v>0.40642103508855476</v>
      </c>
      <c r="E201" s="459">
        <f>E99*Calc_SEC_death_rates!$G146</f>
        <v>0.40748000555319569</v>
      </c>
      <c r="F201" s="459">
        <f>F99*Calc_SEC_death_rates!$G146</f>
        <v>0.40710804912306903</v>
      </c>
      <c r="G201" s="459">
        <f>G99*Calc_SEC_death_rates!$G146</f>
        <v>0.40686158075245665</v>
      </c>
      <c r="H201" s="459">
        <f>H99*Calc_SEC_death_rates!$G146</f>
        <v>0.40831189017513664</v>
      </c>
      <c r="I201" s="459">
        <f>I99*Calc_SEC_death_rates!$G146</f>
        <v>0.40918489756024795</v>
      </c>
      <c r="J201" s="459">
        <f>J99*Calc_SEC_death_rates!$G146</f>
        <v>0.40914142975355566</v>
      </c>
      <c r="K201" s="459">
        <f>K99*Calc_SEC_death_rates!$G146</f>
        <v>0.40843559153658154</v>
      </c>
      <c r="L201" s="459">
        <f>L99*Calc_SEC_death_rates!$G146</f>
        <v>0.4060734325974984</v>
      </c>
      <c r="M201" s="459">
        <f>M99*Calc_SEC_death_rates!$G146</f>
        <v>0.40230180265381904</v>
      </c>
      <c r="N201" s="459">
        <f>N99*Calc_SEC_death_rates!$G146</f>
        <v>0.39777788129532227</v>
      </c>
    </row>
    <row r="202" spans="1:14">
      <c r="B202" s="338" t="str">
        <f t="shared" si="66"/>
        <v>55-59</v>
      </c>
      <c r="C202" s="459">
        <f>C100*Calc_SEC_death_rates!$G147</f>
        <v>0.61306555648337924</v>
      </c>
      <c r="D202" s="459">
        <f>D100*Calc_SEC_death_rates!$G147</f>
        <v>0.60334667976876122</v>
      </c>
      <c r="E202" s="459">
        <f>E100*Calc_SEC_death_rates!$G147</f>
        <v>0.60000588735468208</v>
      </c>
      <c r="F202" s="459">
        <f>F100*Calc_SEC_death_rates!$G147</f>
        <v>0.59373376812572731</v>
      </c>
      <c r="G202" s="459">
        <f>G100*Calc_SEC_death_rates!$G147</f>
        <v>0.58997272321745364</v>
      </c>
      <c r="H202" s="459">
        <f>H100*Calc_SEC_death_rates!$G147</f>
        <v>0.59199757480721338</v>
      </c>
      <c r="I202" s="459">
        <f>I100*Calc_SEC_death_rates!$G147</f>
        <v>0.59471765322858916</v>
      </c>
      <c r="J202" s="459">
        <f>J100*Calc_SEC_death_rates!$G147</f>
        <v>0.59706882567029207</v>
      </c>
      <c r="K202" s="459">
        <f>K100*Calc_SEC_death_rates!$G147</f>
        <v>0.59908818966580279</v>
      </c>
      <c r="L202" s="459">
        <f>L100*Calc_SEC_death_rates!$G147</f>
        <v>0.59839078266529389</v>
      </c>
      <c r="M202" s="459">
        <f>M100*Calc_SEC_death_rates!$G147</f>
        <v>0.59525280995763319</v>
      </c>
      <c r="N202" s="459">
        <f>N100*Calc_SEC_death_rates!$G147</f>
        <v>0.59072715814544174</v>
      </c>
    </row>
    <row r="203" spans="1:14">
      <c r="B203" s="338" t="str">
        <f t="shared" si="66"/>
        <v>60-64</v>
      </c>
      <c r="C203" s="459">
        <f>C101*Calc_SEC_death_rates!$G148</f>
        <v>0.36945129322797571</v>
      </c>
      <c r="D203" s="459">
        <f>D101*Calc_SEC_death_rates!$G148</f>
        <v>0.33725482988648897</v>
      </c>
      <c r="E203" s="459">
        <f>E101*Calc_SEC_death_rates!$G148</f>
        <v>0.32415123617428487</v>
      </c>
      <c r="F203" s="459">
        <f>F101*Calc_SEC_death_rates!$G148</f>
        <v>0.31346510291741397</v>
      </c>
      <c r="G203" s="459">
        <f>G101*Calc_SEC_death_rates!$G148</f>
        <v>0.30728687918265368</v>
      </c>
      <c r="H203" s="459">
        <f>H101*Calc_SEC_death_rates!$G148</f>
        <v>0.30719879612561579</v>
      </c>
      <c r="I203" s="459">
        <f>I101*Calc_SEC_death_rates!$G148</f>
        <v>0.30827051231575425</v>
      </c>
      <c r="J203" s="459">
        <f>J101*Calc_SEC_death_rates!$G148</f>
        <v>0.30962015149670791</v>
      </c>
      <c r="K203" s="459">
        <f>K101*Calc_SEC_death_rates!$G148</f>
        <v>0.31128948853220278</v>
      </c>
      <c r="L203" s="459">
        <f>L101*Calc_SEC_death_rates!$G148</f>
        <v>0.31123496164603048</v>
      </c>
      <c r="M203" s="459">
        <f>M101*Calc_SEC_death_rates!$G148</f>
        <v>0.30977087999491287</v>
      </c>
      <c r="N203" s="459">
        <f>N101*Calc_SEC_death_rates!$G148</f>
        <v>0.30773140070490596</v>
      </c>
    </row>
    <row r="204" spans="1:14">
      <c r="B204" s="338" t="str">
        <f t="shared" si="66"/>
        <v>65 plus</v>
      </c>
      <c r="C204" s="459">
        <f>C102*Calc_SEC_death_rates!$G149</f>
        <v>0.57965672040887006</v>
      </c>
      <c r="D204" s="459">
        <f>D102*Calc_SEC_death_rates!$G149</f>
        <v>0.61349248765712849</v>
      </c>
      <c r="E204" s="459">
        <f>E102*Calc_SEC_death_rates!$G149</f>
        <v>0.61654740141494746</v>
      </c>
      <c r="F204" s="459">
        <f>F102*Calc_SEC_death_rates!$G149</f>
        <v>0.59993124678897092</v>
      </c>
      <c r="G204" s="459">
        <f>G102*Calc_SEC_death_rates!$G149</f>
        <v>0.58450220026196864</v>
      </c>
      <c r="H204" s="459">
        <f>H102*Calc_SEC_death_rates!$G149</f>
        <v>0.58070666683195271</v>
      </c>
      <c r="I204" s="459">
        <f>I102*Calc_SEC_death_rates!$G149</f>
        <v>0.58024973759425935</v>
      </c>
      <c r="J204" s="459">
        <f>J102*Calc_SEC_death_rates!$G149</f>
        <v>0.58132717474207996</v>
      </c>
      <c r="K204" s="459">
        <f>K102*Calc_SEC_death_rates!$G149</f>
        <v>0.58399149607932999</v>
      </c>
      <c r="L204" s="459">
        <f>L102*Calc_SEC_death_rates!$G149</f>
        <v>0.58357217479836565</v>
      </c>
      <c r="M204" s="459">
        <f>M102*Calc_SEC_death_rates!$G149</f>
        <v>0.58040202318263456</v>
      </c>
      <c r="N204" s="459">
        <f>N102*Calc_SEC_death_rates!$G149</f>
        <v>0.57629871220509632</v>
      </c>
    </row>
    <row r="205" spans="1:14">
      <c r="B205" s="338" t="str">
        <f t="shared" si="66"/>
        <v>Total</v>
      </c>
      <c r="C205" s="459">
        <f>SUM(C195:C204)</f>
        <v>3.0913769937355582</v>
      </c>
      <c r="D205" s="459">
        <f t="shared" ref="D205:N205" si="68">SUM(D195:D204)</f>
        <v>3.0590275844613122</v>
      </c>
      <c r="E205" s="459">
        <f t="shared" si="68"/>
        <v>3.0310774748498499</v>
      </c>
      <c r="F205" s="459">
        <f t="shared" si="68"/>
        <v>2.972031653651785</v>
      </c>
      <c r="G205" s="459">
        <f t="shared" si="68"/>
        <v>2.9214804719499696</v>
      </c>
      <c r="H205" s="459">
        <f t="shared" si="68"/>
        <v>2.9041865840014607</v>
      </c>
      <c r="I205" s="459">
        <f t="shared" si="68"/>
        <v>2.894332474402562</v>
      </c>
      <c r="J205" s="459">
        <f t="shared" si="68"/>
        <v>2.8874394045454519</v>
      </c>
      <c r="K205" s="459">
        <f t="shared" si="68"/>
        <v>2.8846523463037546</v>
      </c>
      <c r="L205" s="459">
        <f t="shared" si="68"/>
        <v>2.8723443165570357</v>
      </c>
      <c r="M205" s="459">
        <f t="shared" si="68"/>
        <v>2.851624110914881</v>
      </c>
      <c r="N205" s="459">
        <f t="shared" si="68"/>
        <v>2.8279465661128054</v>
      </c>
    </row>
    <row r="206" spans="1:14">
      <c r="A206" s="309">
        <f>SUM(C206:N206)</f>
        <v>0</v>
      </c>
      <c r="C206" s="309">
        <f t="shared" ref="C206:N206" si="69">SUM(C195:C204)-C205</f>
        <v>0</v>
      </c>
      <c r="D206" s="309">
        <f t="shared" si="69"/>
        <v>0</v>
      </c>
      <c r="E206" s="309">
        <f t="shared" si="69"/>
        <v>0</v>
      </c>
      <c r="F206" s="309">
        <f t="shared" si="69"/>
        <v>0</v>
      </c>
      <c r="G206" s="309">
        <f t="shared" si="69"/>
        <v>0</v>
      </c>
      <c r="H206" s="309">
        <f t="shared" si="69"/>
        <v>0</v>
      </c>
      <c r="I206" s="309">
        <f t="shared" si="69"/>
        <v>0</v>
      </c>
      <c r="J206" s="309">
        <f t="shared" si="69"/>
        <v>0</v>
      </c>
      <c r="K206" s="309">
        <f t="shared" si="69"/>
        <v>0</v>
      </c>
      <c r="L206" s="309">
        <f t="shared" si="69"/>
        <v>0</v>
      </c>
      <c r="M206" s="309">
        <f t="shared" si="69"/>
        <v>0</v>
      </c>
      <c r="N206" s="309">
        <f t="shared" si="69"/>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0">B178</f>
        <v>Age group</v>
      </c>
      <c r="C212" s="338" t="str">
        <f t="shared" ref="C212:N212" si="71">C178</f>
        <v>2016/17</v>
      </c>
      <c r="D212" s="338" t="str">
        <f t="shared" si="71"/>
        <v>2017/18</v>
      </c>
      <c r="E212" s="338" t="str">
        <f t="shared" si="71"/>
        <v>2018/19</v>
      </c>
      <c r="F212" s="338" t="str">
        <f t="shared" si="71"/>
        <v>2019/20</v>
      </c>
      <c r="G212" s="338" t="str">
        <f t="shared" si="71"/>
        <v>2020/21</v>
      </c>
      <c r="H212" s="338" t="str">
        <f t="shared" si="71"/>
        <v>2021/22</v>
      </c>
      <c r="I212" s="338" t="str">
        <f t="shared" si="71"/>
        <v>2022/23</v>
      </c>
      <c r="J212" s="338" t="str">
        <f t="shared" si="71"/>
        <v>2023/24</v>
      </c>
      <c r="K212" s="338" t="str">
        <f t="shared" si="71"/>
        <v>2024/25</v>
      </c>
      <c r="L212" s="338" t="str">
        <f t="shared" si="71"/>
        <v>2025/26</v>
      </c>
      <c r="M212" s="338" t="str">
        <f t="shared" si="71"/>
        <v>2026/27</v>
      </c>
      <c r="N212" s="338" t="str">
        <f t="shared" si="71"/>
        <v>2027/28</v>
      </c>
    </row>
    <row r="213" spans="1:14">
      <c r="B213" s="338" t="str">
        <f t="shared" si="70"/>
        <v>20-24</v>
      </c>
      <c r="C213" s="459">
        <f t="shared" ref="C213:C222" si="72">C111+C145+C179</f>
        <v>1.6521355100665178</v>
      </c>
      <c r="D213" s="459">
        <f t="shared" ref="D213:N213" si="73">D111+D145+D179</f>
        <v>5.4156414399368513</v>
      </c>
      <c r="E213" s="459">
        <f t="shared" si="73"/>
        <v>8.6640843846665359</v>
      </c>
      <c r="F213" s="459">
        <f t="shared" si="73"/>
        <v>10.407324282396591</v>
      </c>
      <c r="G213" s="459">
        <f t="shared" si="73"/>
        <v>11.671232818871282</v>
      </c>
      <c r="H213" s="459">
        <f t="shared" si="73"/>
        <v>13.098250755785624</v>
      </c>
      <c r="I213" s="459">
        <f t="shared" si="73"/>
        <v>14.211253801938328</v>
      </c>
      <c r="J213" s="459">
        <f t="shared" si="73"/>
        <v>15.040217468389352</v>
      </c>
      <c r="K213" s="459">
        <f t="shared" si="73"/>
        <v>15.706969654267201</v>
      </c>
      <c r="L213" s="459">
        <f t="shared" si="73"/>
        <v>15.995619618717743</v>
      </c>
      <c r="M213" s="459">
        <f t="shared" si="73"/>
        <v>16.014141513018071</v>
      </c>
      <c r="N213" s="459">
        <f t="shared" si="73"/>
        <v>15.931238061419423</v>
      </c>
    </row>
    <row r="214" spans="1:14">
      <c r="B214" s="338" t="str">
        <f t="shared" si="70"/>
        <v>25-29</v>
      </c>
      <c r="C214" s="459">
        <f t="shared" si="72"/>
        <v>9.2256510152685838</v>
      </c>
      <c r="D214" s="459">
        <f t="shared" ref="D214:N214" si="74">D112+D146+D180</f>
        <v>11.204967725340616</v>
      </c>
      <c r="E214" s="459">
        <f t="shared" si="74"/>
        <v>13.73755244128642</v>
      </c>
      <c r="F214" s="459">
        <f t="shared" si="74"/>
        <v>15.471424072536461</v>
      </c>
      <c r="G214" s="459">
        <f t="shared" si="74"/>
        <v>17.003366096181939</v>
      </c>
      <c r="H214" s="459">
        <f t="shared" si="74"/>
        <v>18.823727349232655</v>
      </c>
      <c r="I214" s="459">
        <f t="shared" si="74"/>
        <v>20.4495444766997</v>
      </c>
      <c r="J214" s="459">
        <f t="shared" si="74"/>
        <v>21.829576106265794</v>
      </c>
      <c r="K214" s="459">
        <f t="shared" si="74"/>
        <v>23.030429892032647</v>
      </c>
      <c r="L214" s="459">
        <f t="shared" si="74"/>
        <v>23.816351867977133</v>
      </c>
      <c r="M214" s="459">
        <f t="shared" si="74"/>
        <v>24.245524680629909</v>
      </c>
      <c r="N214" s="459">
        <f t="shared" si="74"/>
        <v>24.466794638491791</v>
      </c>
    </row>
    <row r="215" spans="1:14">
      <c r="B215" s="338" t="str">
        <f t="shared" si="70"/>
        <v>30-34</v>
      </c>
      <c r="C215" s="459">
        <f t="shared" si="72"/>
        <v>16.497425748222703</v>
      </c>
      <c r="D215" s="459">
        <f t="shared" ref="D215:N215" si="75">D113+D147+D181</f>
        <v>15.505411021891906</v>
      </c>
      <c r="E215" s="459">
        <f t="shared" si="75"/>
        <v>15.28087619492646</v>
      </c>
      <c r="F215" s="459">
        <f t="shared" si="75"/>
        <v>15.202212988293033</v>
      </c>
      <c r="G215" s="459">
        <f t="shared" si="75"/>
        <v>15.387958818652834</v>
      </c>
      <c r="H215" s="459">
        <f t="shared" si="75"/>
        <v>15.968565802252632</v>
      </c>
      <c r="I215" s="459">
        <f t="shared" si="75"/>
        <v>16.693571326794139</v>
      </c>
      <c r="J215" s="459">
        <f t="shared" si="75"/>
        <v>17.473772638464911</v>
      </c>
      <c r="K215" s="459">
        <f t="shared" si="75"/>
        <v>18.279877760439131</v>
      </c>
      <c r="L215" s="459">
        <f t="shared" si="75"/>
        <v>18.964650042759519</v>
      </c>
      <c r="M215" s="459">
        <f t="shared" si="75"/>
        <v>19.5018433184635</v>
      </c>
      <c r="N215" s="459">
        <f t="shared" si="75"/>
        <v>19.920363290875436</v>
      </c>
    </row>
    <row r="216" spans="1:14">
      <c r="B216" s="338" t="str">
        <f t="shared" si="70"/>
        <v>35-39</v>
      </c>
      <c r="C216" s="459">
        <f t="shared" si="72"/>
        <v>19.194006479076759</v>
      </c>
      <c r="D216" s="459">
        <f t="shared" ref="D216:N216" si="76">D114+D148+D182</f>
        <v>18.716160277298329</v>
      </c>
      <c r="E216" s="459">
        <f t="shared" si="76"/>
        <v>18.332603721998979</v>
      </c>
      <c r="F216" s="459">
        <f t="shared" si="76"/>
        <v>17.838602905980764</v>
      </c>
      <c r="G216" s="459">
        <f t="shared" si="76"/>
        <v>17.45944436660783</v>
      </c>
      <c r="H216" s="459">
        <f t="shared" si="76"/>
        <v>17.360894678216837</v>
      </c>
      <c r="I216" s="459">
        <f t="shared" si="76"/>
        <v>17.423962378609524</v>
      </c>
      <c r="J216" s="459">
        <f t="shared" si="76"/>
        <v>17.61820809494461</v>
      </c>
      <c r="K216" s="459">
        <f t="shared" si="76"/>
        <v>17.932753658356408</v>
      </c>
      <c r="L216" s="459">
        <f t="shared" si="76"/>
        <v>18.267193680385294</v>
      </c>
      <c r="M216" s="459">
        <f t="shared" si="76"/>
        <v>18.593492946782519</v>
      </c>
      <c r="N216" s="459">
        <f t="shared" si="76"/>
        <v>18.911954116097867</v>
      </c>
    </row>
    <row r="217" spans="1:14">
      <c r="B217" s="338" t="str">
        <f t="shared" si="70"/>
        <v>40-44</v>
      </c>
      <c r="C217" s="459">
        <f t="shared" si="72"/>
        <v>25.786883825638515</v>
      </c>
      <c r="D217" s="459">
        <f t="shared" ref="D217:N217" si="77">D115+D149+D183</f>
        <v>24.333617067800169</v>
      </c>
      <c r="E217" s="459">
        <f t="shared" si="77"/>
        <v>23.303004518610109</v>
      </c>
      <c r="F217" s="459">
        <f t="shared" si="77"/>
        <v>22.303677122343377</v>
      </c>
      <c r="G217" s="459">
        <f t="shared" si="77"/>
        <v>21.462429849163239</v>
      </c>
      <c r="H217" s="459">
        <f t="shared" si="77"/>
        <v>20.897185010645021</v>
      </c>
      <c r="I217" s="459">
        <f t="shared" si="77"/>
        <v>20.481610188135313</v>
      </c>
      <c r="J217" s="459">
        <f t="shared" si="77"/>
        <v>20.195267372364285</v>
      </c>
      <c r="K217" s="459">
        <f t="shared" si="77"/>
        <v>20.043295446448141</v>
      </c>
      <c r="L217" s="459">
        <f t="shared" si="77"/>
        <v>19.946673395386199</v>
      </c>
      <c r="M217" s="459">
        <f t="shared" si="77"/>
        <v>19.895241312006217</v>
      </c>
      <c r="N217" s="459">
        <f t="shared" si="77"/>
        <v>19.899960825076121</v>
      </c>
    </row>
    <row r="218" spans="1:14">
      <c r="B218" s="338" t="str">
        <f t="shared" si="70"/>
        <v>45-49</v>
      </c>
      <c r="C218" s="459">
        <f t="shared" si="72"/>
        <v>24.743224150545167</v>
      </c>
      <c r="D218" s="459">
        <f t="shared" ref="D218:N218" si="78">D116+D150+D184</f>
        <v>24.622523005258625</v>
      </c>
      <c r="E218" s="459">
        <f t="shared" si="78"/>
        <v>24.367875147418076</v>
      </c>
      <c r="F218" s="459">
        <f t="shared" si="78"/>
        <v>23.827236966078829</v>
      </c>
      <c r="G218" s="459">
        <f t="shared" si="78"/>
        <v>23.226013226522152</v>
      </c>
      <c r="H218" s="459">
        <f t="shared" si="78"/>
        <v>22.735151206204012</v>
      </c>
      <c r="I218" s="459">
        <f t="shared" si="78"/>
        <v>22.278960806935412</v>
      </c>
      <c r="J218" s="459">
        <f t="shared" si="78"/>
        <v>21.864912419232841</v>
      </c>
      <c r="K218" s="459">
        <f t="shared" si="78"/>
        <v>21.518554820262523</v>
      </c>
      <c r="L218" s="459">
        <f t="shared" si="78"/>
        <v>21.186556795550942</v>
      </c>
      <c r="M218" s="459">
        <f t="shared" si="78"/>
        <v>20.876524381454313</v>
      </c>
      <c r="N218" s="459">
        <f t="shared" si="78"/>
        <v>20.61413176002479</v>
      </c>
    </row>
    <row r="219" spans="1:14">
      <c r="B219" s="338" t="str">
        <f t="shared" si="70"/>
        <v>50-54</v>
      </c>
      <c r="C219" s="459">
        <f t="shared" si="72"/>
        <v>29.733665386833078</v>
      </c>
      <c r="D219" s="459">
        <f t="shared" ref="D219:N219" si="79">D117+D151+D185</f>
        <v>28.573460541375955</v>
      </c>
      <c r="E219" s="459">
        <f t="shared" si="79"/>
        <v>27.858020231648499</v>
      </c>
      <c r="F219" s="459">
        <f t="shared" si="79"/>
        <v>27.139516555498805</v>
      </c>
      <c r="G219" s="459">
        <f t="shared" si="79"/>
        <v>26.494674352415643</v>
      </c>
      <c r="H219" s="459">
        <f t="shared" si="79"/>
        <v>26.013491103647159</v>
      </c>
      <c r="I219" s="459">
        <f t="shared" si="79"/>
        <v>25.569131042130451</v>
      </c>
      <c r="J219" s="459">
        <f t="shared" si="79"/>
        <v>25.144776182019267</v>
      </c>
      <c r="K219" s="459">
        <f t="shared" si="79"/>
        <v>24.755568902197858</v>
      </c>
      <c r="L219" s="459">
        <f t="shared" si="79"/>
        <v>24.342856485502313</v>
      </c>
      <c r="M219" s="459">
        <f t="shared" si="79"/>
        <v>23.916939635339197</v>
      </c>
      <c r="N219" s="459">
        <f t="shared" si="79"/>
        <v>23.510118498315041</v>
      </c>
    </row>
    <row r="220" spans="1:14">
      <c r="B220" s="338" t="str">
        <f t="shared" si="70"/>
        <v>55-59</v>
      </c>
      <c r="C220" s="459">
        <f t="shared" si="72"/>
        <v>50.507777525368965</v>
      </c>
      <c r="D220" s="459">
        <f t="shared" ref="D220:N220" si="80">D118+D152+D186</f>
        <v>44.194325724465571</v>
      </c>
      <c r="E220" s="459">
        <f t="shared" si="80"/>
        <v>40.198257833675314</v>
      </c>
      <c r="F220" s="459">
        <f t="shared" si="80"/>
        <v>37.29359088501559</v>
      </c>
      <c r="G220" s="459">
        <f t="shared" si="80"/>
        <v>35.278808965061593</v>
      </c>
      <c r="H220" s="459">
        <f t="shared" si="80"/>
        <v>34.030204483250536</v>
      </c>
      <c r="I220" s="459">
        <f t="shared" si="80"/>
        <v>33.127164498856224</v>
      </c>
      <c r="J220" s="459">
        <f t="shared" si="80"/>
        <v>32.419568786931308</v>
      </c>
      <c r="K220" s="459">
        <f t="shared" si="80"/>
        <v>31.852784873381538</v>
      </c>
      <c r="L220" s="459">
        <f t="shared" si="80"/>
        <v>31.276108882669458</v>
      </c>
      <c r="M220" s="459">
        <f t="shared" si="80"/>
        <v>30.683443691528225</v>
      </c>
      <c r="N220" s="459">
        <f t="shared" si="80"/>
        <v>30.11330173643222</v>
      </c>
    </row>
    <row r="221" spans="1:14">
      <c r="B221" s="338" t="str">
        <f t="shared" si="70"/>
        <v>60-64</v>
      </c>
      <c r="C221" s="459">
        <f t="shared" si="72"/>
        <v>31.093992122237307</v>
      </c>
      <c r="D221" s="459">
        <f t="shared" ref="D221:N221" si="81">D119+D153+D187</f>
        <v>27.893893868095137</v>
      </c>
      <c r="E221" s="459">
        <f t="shared" si="81"/>
        <v>25.11195955380715</v>
      </c>
      <c r="F221" s="459">
        <f t="shared" si="81"/>
        <v>22.668859030736332</v>
      </c>
      <c r="G221" s="459">
        <f t="shared" si="81"/>
        <v>20.839676235372938</v>
      </c>
      <c r="H221" s="459">
        <f t="shared" si="81"/>
        <v>19.680756491398348</v>
      </c>
      <c r="I221" s="459">
        <f t="shared" si="81"/>
        <v>18.871652720312166</v>
      </c>
      <c r="J221" s="459">
        <f t="shared" si="81"/>
        <v>18.288966149843194</v>
      </c>
      <c r="K221" s="459">
        <f t="shared" si="81"/>
        <v>17.873490421578889</v>
      </c>
      <c r="L221" s="459">
        <f t="shared" si="81"/>
        <v>17.480867361600961</v>
      </c>
      <c r="M221" s="459">
        <f t="shared" si="81"/>
        <v>17.096819235032097</v>
      </c>
      <c r="N221" s="459">
        <f t="shared" si="81"/>
        <v>16.744419520251583</v>
      </c>
    </row>
    <row r="222" spans="1:14">
      <c r="B222" s="338" t="str">
        <f t="shared" si="70"/>
        <v>65 plus</v>
      </c>
      <c r="C222" s="459">
        <f t="shared" si="72"/>
        <v>9.5947007711301104</v>
      </c>
      <c r="D222" s="459">
        <f t="shared" ref="D222:N222" si="82">D120+D154+D188</f>
        <v>10.137535322958515</v>
      </c>
      <c r="E222" s="459">
        <f t="shared" si="82"/>
        <v>10.064890122656095</v>
      </c>
      <c r="F222" s="459">
        <f t="shared" si="82"/>
        <v>9.5514400013821099</v>
      </c>
      <c r="G222" s="459">
        <f t="shared" si="82"/>
        <v>8.9365608804860663</v>
      </c>
      <c r="H222" s="459">
        <f t="shared" si="82"/>
        <v>8.427950047883531</v>
      </c>
      <c r="I222" s="459">
        <f t="shared" si="82"/>
        <v>8.006531190822006</v>
      </c>
      <c r="J222" s="459">
        <f t="shared" si="82"/>
        <v>7.6720339638367898</v>
      </c>
      <c r="K222" s="459">
        <f t="shared" si="82"/>
        <v>7.4219201611235919</v>
      </c>
      <c r="L222" s="459">
        <f t="shared" si="82"/>
        <v>7.2016741087038838</v>
      </c>
      <c r="M222" s="459">
        <f t="shared" si="82"/>
        <v>7.0005965352659416</v>
      </c>
      <c r="N222" s="459">
        <f t="shared" si="82"/>
        <v>6.8245297523651978</v>
      </c>
    </row>
    <row r="223" spans="1:14">
      <c r="B223" s="338" t="str">
        <f t="shared" si="70"/>
        <v>Total</v>
      </c>
      <c r="C223" s="459">
        <f>SUM(C213:C222)</f>
        <v>218.0294625343877</v>
      </c>
      <c r="D223" s="459">
        <f t="shared" ref="D223:N223" si="83">SUM(D213:D222)</f>
        <v>210.59753599442169</v>
      </c>
      <c r="E223" s="459">
        <f t="shared" si="83"/>
        <v>206.91912415069362</v>
      </c>
      <c r="F223" s="459">
        <f t="shared" si="83"/>
        <v>201.70388481026191</v>
      </c>
      <c r="G223" s="459">
        <f t="shared" si="83"/>
        <v>197.7601656093355</v>
      </c>
      <c r="H223" s="459">
        <f t="shared" si="83"/>
        <v>197.03617692851637</v>
      </c>
      <c r="I223" s="459">
        <f t="shared" si="83"/>
        <v>197.11338243123328</v>
      </c>
      <c r="J223" s="459">
        <f t="shared" si="83"/>
        <v>197.54729918229233</v>
      </c>
      <c r="K223" s="459">
        <f t="shared" si="83"/>
        <v>198.41564559008788</v>
      </c>
      <c r="L223" s="459">
        <f t="shared" si="83"/>
        <v>198.47855223925345</v>
      </c>
      <c r="M223" s="459">
        <f t="shared" si="83"/>
        <v>197.82456724951999</v>
      </c>
      <c r="N223" s="459">
        <f t="shared" si="83"/>
        <v>196.9368121993495</v>
      </c>
    </row>
    <row r="224" spans="1:14">
      <c r="A224" s="309">
        <f>SUM(C224:N224)</f>
        <v>0</v>
      </c>
      <c r="C224" s="309">
        <f t="shared" ref="C224:N224" si="84">SUM(C213:C222)-C223</f>
        <v>0</v>
      </c>
      <c r="D224" s="309">
        <f t="shared" si="84"/>
        <v>0</v>
      </c>
      <c r="E224" s="309">
        <f t="shared" si="84"/>
        <v>0</v>
      </c>
      <c r="F224" s="309">
        <f t="shared" si="84"/>
        <v>0</v>
      </c>
      <c r="G224" s="309">
        <f t="shared" si="84"/>
        <v>0</v>
      </c>
      <c r="H224" s="309">
        <f t="shared" si="84"/>
        <v>0</v>
      </c>
      <c r="I224" s="309">
        <f t="shared" si="84"/>
        <v>0</v>
      </c>
      <c r="J224" s="309">
        <f t="shared" si="84"/>
        <v>0</v>
      </c>
      <c r="K224" s="309">
        <f t="shared" si="84"/>
        <v>0</v>
      </c>
      <c r="L224" s="309">
        <f t="shared" si="84"/>
        <v>0</v>
      </c>
      <c r="M224" s="309">
        <f t="shared" si="84"/>
        <v>0</v>
      </c>
      <c r="N224" s="309">
        <f t="shared" si="84"/>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5">B212</f>
        <v>Age group</v>
      </c>
      <c r="C228" s="338" t="str">
        <f t="shared" ref="C228:N228" si="86">C212</f>
        <v>2016/17</v>
      </c>
      <c r="D228" s="338" t="str">
        <f t="shared" si="86"/>
        <v>2017/18</v>
      </c>
      <c r="E228" s="338" t="str">
        <f t="shared" si="86"/>
        <v>2018/19</v>
      </c>
      <c r="F228" s="338" t="str">
        <f t="shared" si="86"/>
        <v>2019/20</v>
      </c>
      <c r="G228" s="338" t="str">
        <f t="shared" si="86"/>
        <v>2020/21</v>
      </c>
      <c r="H228" s="338" t="str">
        <f t="shared" si="86"/>
        <v>2021/22</v>
      </c>
      <c r="I228" s="338" t="str">
        <f t="shared" si="86"/>
        <v>2022/23</v>
      </c>
      <c r="J228" s="338" t="str">
        <f t="shared" si="86"/>
        <v>2023/24</v>
      </c>
      <c r="K228" s="338" t="str">
        <f t="shared" si="86"/>
        <v>2024/25</v>
      </c>
      <c r="L228" s="338" t="str">
        <f t="shared" si="86"/>
        <v>2025/26</v>
      </c>
      <c r="M228" s="338" t="str">
        <f t="shared" si="86"/>
        <v>2026/27</v>
      </c>
      <c r="N228" s="338" t="str">
        <f t="shared" si="86"/>
        <v>2027/28</v>
      </c>
    </row>
    <row r="229" spans="1:14">
      <c r="B229" s="338" t="str">
        <f t="shared" si="85"/>
        <v>20-24</v>
      </c>
      <c r="C229" s="459">
        <f>C195+C161+C127</f>
        <v>10.176516199925894</v>
      </c>
      <c r="D229" s="459">
        <f t="shared" ref="D229:N229" si="87">D195+D161+D127</f>
        <v>21.339487654482458</v>
      </c>
      <c r="E229" s="459">
        <f t="shared" si="87"/>
        <v>31.180679782424225</v>
      </c>
      <c r="F229" s="459">
        <f t="shared" si="87"/>
        <v>36.298044939029268</v>
      </c>
      <c r="G229" s="459">
        <f t="shared" si="87"/>
        <v>40.01853008972769</v>
      </c>
      <c r="H229" s="459">
        <f t="shared" si="87"/>
        <v>44.419891251106314</v>
      </c>
      <c r="I229" s="459">
        <f t="shared" si="87"/>
        <v>47.877293761027815</v>
      </c>
      <c r="J229" s="459">
        <f t="shared" si="87"/>
        <v>50.4614301545665</v>
      </c>
      <c r="K229" s="459">
        <f t="shared" si="87"/>
        <v>52.556493779761887</v>
      </c>
      <c r="L229" s="459">
        <f t="shared" si="87"/>
        <v>53.430679855961642</v>
      </c>
      <c r="M229" s="459">
        <f t="shared" si="87"/>
        <v>53.432082261134603</v>
      </c>
      <c r="N229" s="459">
        <f t="shared" si="87"/>
        <v>53.113762236730956</v>
      </c>
    </row>
    <row r="230" spans="1:14">
      <c r="B230" s="338" t="str">
        <f t="shared" si="85"/>
        <v>25-29</v>
      </c>
      <c r="C230" s="459">
        <f t="shared" ref="C230:N230" si="88">C196+C162+C128</f>
        <v>61.346874026816153</v>
      </c>
      <c r="D230" s="459">
        <f t="shared" si="88"/>
        <v>61.43999570937293</v>
      </c>
      <c r="E230" s="459">
        <f t="shared" si="88"/>
        <v>65.239914203101691</v>
      </c>
      <c r="F230" s="459">
        <f t="shared" si="88"/>
        <v>67.416920909472623</v>
      </c>
      <c r="G230" s="459">
        <f t="shared" si="88"/>
        <v>69.848507223136366</v>
      </c>
      <c r="H230" s="459">
        <f t="shared" si="88"/>
        <v>74.080014109154249</v>
      </c>
      <c r="I230" s="459">
        <f t="shared" si="88"/>
        <v>78.165735105863348</v>
      </c>
      <c r="J230" s="459">
        <f t="shared" si="88"/>
        <v>81.785204183965959</v>
      </c>
      <c r="K230" s="459">
        <f t="shared" si="88"/>
        <v>85.079639995219992</v>
      </c>
      <c r="L230" s="459">
        <f t="shared" si="88"/>
        <v>87.114634341767129</v>
      </c>
      <c r="M230" s="459">
        <f t="shared" si="88"/>
        <v>88.047957475257576</v>
      </c>
      <c r="N230" s="459">
        <f t="shared" si="88"/>
        <v>88.378644327032362</v>
      </c>
    </row>
    <row r="231" spans="1:14">
      <c r="B231" s="338" t="str">
        <f t="shared" si="85"/>
        <v>30-34</v>
      </c>
      <c r="C231" s="459">
        <f t="shared" ref="C231:N231" si="89">C197+C163+C129</f>
        <v>97.157035705978771</v>
      </c>
      <c r="D231" s="459">
        <f t="shared" si="89"/>
        <v>90.25355091484937</v>
      </c>
      <c r="E231" s="459">
        <f t="shared" si="89"/>
        <v>86.391313713361839</v>
      </c>
      <c r="F231" s="459">
        <f t="shared" si="89"/>
        <v>83.044123045521431</v>
      </c>
      <c r="G231" s="459">
        <f t="shared" si="89"/>
        <v>81.017207700833566</v>
      </c>
      <c r="H231" s="459">
        <f t="shared" si="89"/>
        <v>81.03852177188142</v>
      </c>
      <c r="I231" s="459">
        <f t="shared" si="89"/>
        <v>81.979212043259778</v>
      </c>
      <c r="J231" s="459">
        <f t="shared" si="89"/>
        <v>83.442427406483759</v>
      </c>
      <c r="K231" s="459">
        <f t="shared" si="89"/>
        <v>85.29009192699391</v>
      </c>
      <c r="L231" s="459">
        <f t="shared" si="89"/>
        <v>86.821965555737478</v>
      </c>
      <c r="M231" s="459">
        <f t="shared" si="89"/>
        <v>87.905297057109252</v>
      </c>
      <c r="N231" s="459">
        <f t="shared" si="89"/>
        <v>88.659222191939691</v>
      </c>
    </row>
    <row r="232" spans="1:14">
      <c r="B232" s="338" t="str">
        <f t="shared" si="85"/>
        <v>35-39</v>
      </c>
      <c r="C232" s="459">
        <f t="shared" ref="C232:N232" si="90">C198+C164+C130</f>
        <v>96.762394453844166</v>
      </c>
      <c r="D232" s="459">
        <f t="shared" si="90"/>
        <v>92.719139044413822</v>
      </c>
      <c r="E232" s="459">
        <f t="shared" si="90"/>
        <v>89.270248059153744</v>
      </c>
      <c r="F232" s="459">
        <f t="shared" si="90"/>
        <v>85.384464202639066</v>
      </c>
      <c r="G232" s="459">
        <f t="shared" si="90"/>
        <v>81.987248694198044</v>
      </c>
      <c r="H232" s="459">
        <f t="shared" si="90"/>
        <v>79.786751246530514</v>
      </c>
      <c r="I232" s="459">
        <f t="shared" si="90"/>
        <v>78.287470068182984</v>
      </c>
      <c r="J232" s="459">
        <f t="shared" si="90"/>
        <v>77.385665517513388</v>
      </c>
      <c r="K232" s="459">
        <f t="shared" si="90"/>
        <v>77.060567398108873</v>
      </c>
      <c r="L232" s="459">
        <f t="shared" si="90"/>
        <v>76.90487045763588</v>
      </c>
      <c r="M232" s="459">
        <f t="shared" si="90"/>
        <v>76.820011185210376</v>
      </c>
      <c r="N232" s="459">
        <f t="shared" si="90"/>
        <v>76.82283805093077</v>
      </c>
    </row>
    <row r="233" spans="1:14">
      <c r="B233" s="338" t="str">
        <f t="shared" si="85"/>
        <v>40-44</v>
      </c>
      <c r="C233" s="459">
        <f t="shared" ref="C233:N233" si="91">C199+C165+C131</f>
        <v>89.912447586125083</v>
      </c>
      <c r="D233" s="459">
        <f t="shared" si="91"/>
        <v>87.593988566913339</v>
      </c>
      <c r="E233" s="459">
        <f t="shared" si="91"/>
        <v>85.715615917735718</v>
      </c>
      <c r="F233" s="459">
        <f t="shared" si="91"/>
        <v>83.16400772075518</v>
      </c>
      <c r="G233" s="459">
        <f t="shared" si="91"/>
        <v>80.613802834586934</v>
      </c>
      <c r="H233" s="459">
        <f t="shared" si="91"/>
        <v>78.64037638443881</v>
      </c>
      <c r="I233" s="459">
        <f t="shared" si="91"/>
        <v>76.887091284863999</v>
      </c>
      <c r="J233" s="459">
        <f t="shared" si="91"/>
        <v>75.361917548560172</v>
      </c>
      <c r="K233" s="459">
        <f t="shared" si="91"/>
        <v>74.149800981390896</v>
      </c>
      <c r="L233" s="459">
        <f t="shared" si="91"/>
        <v>73.016297461563866</v>
      </c>
      <c r="M233" s="459">
        <f t="shared" si="91"/>
        <v>71.970237377870674</v>
      </c>
      <c r="N233" s="459">
        <f t="shared" si="91"/>
        <v>71.089646172697158</v>
      </c>
    </row>
    <row r="234" spans="1:14">
      <c r="B234" s="338" t="str">
        <f t="shared" si="85"/>
        <v>45-49</v>
      </c>
      <c r="C234" s="459">
        <f t="shared" ref="C234:N234" si="92">C200+C166+C132</f>
        <v>73.824791959402305</v>
      </c>
      <c r="D234" s="459">
        <f t="shared" si="92"/>
        <v>75.247421301067192</v>
      </c>
      <c r="E234" s="459">
        <f t="shared" si="92"/>
        <v>76.311140557345666</v>
      </c>
      <c r="F234" s="459">
        <f t="shared" si="92"/>
        <v>76.254017507382116</v>
      </c>
      <c r="G234" s="459">
        <f t="shared" si="92"/>
        <v>75.733902913479056</v>
      </c>
      <c r="H234" s="459">
        <f t="shared" si="92"/>
        <v>75.291773617265264</v>
      </c>
      <c r="I234" s="459">
        <f t="shared" si="92"/>
        <v>74.662621081340262</v>
      </c>
      <c r="J234" s="459">
        <f t="shared" si="92"/>
        <v>73.888900983591697</v>
      </c>
      <c r="K234" s="459">
        <f t="shared" si="92"/>
        <v>73.086569272427823</v>
      </c>
      <c r="L234" s="459">
        <f t="shared" si="92"/>
        <v>72.106645949099075</v>
      </c>
      <c r="M234" s="459">
        <f t="shared" si="92"/>
        <v>71.010967607942135</v>
      </c>
      <c r="N234" s="459">
        <f t="shared" si="92"/>
        <v>69.922670760980196</v>
      </c>
    </row>
    <row r="235" spans="1:14">
      <c r="B235" s="338" t="str">
        <f t="shared" si="85"/>
        <v>50-54</v>
      </c>
      <c r="C235" s="459">
        <f t="shared" ref="C235:N235" si="93">C201+C167+C133</f>
        <v>80.639353265748269</v>
      </c>
      <c r="D235" s="459">
        <f t="shared" si="93"/>
        <v>79.737183815436097</v>
      </c>
      <c r="E235" s="459">
        <f t="shared" si="93"/>
        <v>79.944946985410283</v>
      </c>
      <c r="F235" s="459">
        <f t="shared" si="93"/>
        <v>79.871971534634497</v>
      </c>
      <c r="G235" s="459">
        <f t="shared" si="93"/>
        <v>79.823616031165244</v>
      </c>
      <c r="H235" s="459">
        <f t="shared" si="93"/>
        <v>80.108157378785933</v>
      </c>
      <c r="I235" s="459">
        <f t="shared" si="93"/>
        <v>80.279435792866266</v>
      </c>
      <c r="J235" s="459">
        <f t="shared" si="93"/>
        <v>80.270907689758801</v>
      </c>
      <c r="K235" s="459">
        <f t="shared" si="93"/>
        <v>80.132426787463558</v>
      </c>
      <c r="L235" s="459">
        <f t="shared" si="93"/>
        <v>79.668986450311948</v>
      </c>
      <c r="M235" s="459">
        <f t="shared" si="93"/>
        <v>78.929016999573662</v>
      </c>
      <c r="N235" s="459">
        <f t="shared" si="93"/>
        <v>78.041452828958242</v>
      </c>
    </row>
    <row r="236" spans="1:14">
      <c r="B236" s="338" t="str">
        <f t="shared" si="85"/>
        <v>55-59</v>
      </c>
      <c r="C236" s="459">
        <f t="shared" ref="C236:N236" si="94">C202+C168+C134</f>
        <v>97.785708150067535</v>
      </c>
      <c r="D236" s="459">
        <f t="shared" si="94"/>
        <v>96.235519541505766</v>
      </c>
      <c r="E236" s="459">
        <f t="shared" si="94"/>
        <v>95.702653604839881</v>
      </c>
      <c r="F236" s="459">
        <f t="shared" si="94"/>
        <v>94.702232664666553</v>
      </c>
      <c r="G236" s="459">
        <f t="shared" si="94"/>
        <v>94.102335254266663</v>
      </c>
      <c r="H236" s="459">
        <f t="shared" si="94"/>
        <v>94.425304869032161</v>
      </c>
      <c r="I236" s="459">
        <f t="shared" si="94"/>
        <v>94.859165150114777</v>
      </c>
      <c r="J236" s="459">
        <f t="shared" si="94"/>
        <v>95.234183873256953</v>
      </c>
      <c r="K236" s="459">
        <f t="shared" si="94"/>
        <v>95.556278201058461</v>
      </c>
      <c r="L236" s="459">
        <f t="shared" si="94"/>
        <v>95.445039791572924</v>
      </c>
      <c r="M236" s="459">
        <f t="shared" si="94"/>
        <v>94.94452417765666</v>
      </c>
      <c r="N236" s="459">
        <f t="shared" si="94"/>
        <v>94.222669781147658</v>
      </c>
    </row>
    <row r="237" spans="1:14">
      <c r="B237" s="338" t="str">
        <f t="shared" si="85"/>
        <v>60-64</v>
      </c>
      <c r="C237" s="459">
        <f t="shared" ref="C237:N237" si="95">C203+C169+C135</f>
        <v>66.035038746925807</v>
      </c>
      <c r="D237" s="459">
        <f t="shared" si="95"/>
        <v>60.280302620025545</v>
      </c>
      <c r="E237" s="459">
        <f t="shared" si="95"/>
        <v>57.93819058964371</v>
      </c>
      <c r="F237" s="459">
        <f t="shared" si="95"/>
        <v>56.028170956184617</v>
      </c>
      <c r="G237" s="459">
        <f t="shared" si="95"/>
        <v>54.92388670765088</v>
      </c>
      <c r="H237" s="459">
        <f t="shared" si="95"/>
        <v>54.908142905447292</v>
      </c>
      <c r="I237" s="459">
        <f t="shared" si="95"/>
        <v>55.099699469028813</v>
      </c>
      <c r="J237" s="459">
        <f t="shared" si="95"/>
        <v>55.340931472386963</v>
      </c>
      <c r="K237" s="459">
        <f t="shared" si="95"/>
        <v>55.639305677163563</v>
      </c>
      <c r="L237" s="459">
        <f t="shared" si="95"/>
        <v>55.629559642687191</v>
      </c>
      <c r="M237" s="459">
        <f t="shared" si="95"/>
        <v>55.36787240452518</v>
      </c>
      <c r="N237" s="459">
        <f t="shared" si="95"/>
        <v>55.003339659863613</v>
      </c>
    </row>
    <row r="238" spans="1:14">
      <c r="B238" s="338" t="str">
        <f t="shared" si="85"/>
        <v>65 plus</v>
      </c>
      <c r="C238" s="459">
        <f t="shared" ref="C238:N238" si="96">C204+C170+C136</f>
        <v>19.965704622191968</v>
      </c>
      <c r="D238" s="459">
        <f t="shared" si="96"/>
        <v>21.13114428804705</v>
      </c>
      <c r="E238" s="459">
        <f t="shared" si="96"/>
        <v>21.236367782552318</v>
      </c>
      <c r="F238" s="459">
        <f t="shared" si="96"/>
        <v>20.664040707684784</v>
      </c>
      <c r="G238" s="459">
        <f t="shared" si="96"/>
        <v>20.132602401676884</v>
      </c>
      <c r="H238" s="459">
        <f t="shared" si="96"/>
        <v>20.001868992265361</v>
      </c>
      <c r="I238" s="459">
        <f t="shared" si="96"/>
        <v>19.986130514866886</v>
      </c>
      <c r="J238" s="459">
        <f t="shared" si="96"/>
        <v>20.023241775868378</v>
      </c>
      <c r="K238" s="459">
        <f t="shared" si="96"/>
        <v>20.115011699282046</v>
      </c>
      <c r="L238" s="459">
        <f t="shared" si="96"/>
        <v>20.100568590899503</v>
      </c>
      <c r="M238" s="459">
        <f t="shared" si="96"/>
        <v>19.991375841917648</v>
      </c>
      <c r="N238" s="459">
        <f t="shared" si="96"/>
        <v>19.850041338122473</v>
      </c>
    </row>
    <row r="239" spans="1:14">
      <c r="B239" s="338" t="str">
        <f t="shared" si="85"/>
        <v>Total</v>
      </c>
      <c r="C239" s="459">
        <f>SUM(C229:C238)</f>
        <v>693.60586471702607</v>
      </c>
      <c r="D239" s="459">
        <f t="shared" ref="D239:N239" si="97">SUM(D229:D238)</f>
        <v>685.97773345611358</v>
      </c>
      <c r="E239" s="459">
        <f t="shared" si="97"/>
        <v>688.93107119556896</v>
      </c>
      <c r="F239" s="459">
        <f t="shared" si="97"/>
        <v>682.82799418797003</v>
      </c>
      <c r="G239" s="459">
        <f t="shared" si="97"/>
        <v>678.20163985072134</v>
      </c>
      <c r="H239" s="459">
        <f t="shared" si="97"/>
        <v>682.70080252590742</v>
      </c>
      <c r="I239" s="459">
        <f t="shared" si="97"/>
        <v>688.08385427141491</v>
      </c>
      <c r="J239" s="459">
        <f t="shared" si="97"/>
        <v>693.19481060595263</v>
      </c>
      <c r="K239" s="459">
        <f t="shared" si="97"/>
        <v>698.66618571887102</v>
      </c>
      <c r="L239" s="459">
        <f t="shared" si="97"/>
        <v>700.23924809723655</v>
      </c>
      <c r="M239" s="459">
        <f t="shared" si="97"/>
        <v>698.41934238819772</v>
      </c>
      <c r="N239" s="459">
        <f t="shared" si="97"/>
        <v>695.10428734840298</v>
      </c>
    </row>
    <row r="240" spans="1:14">
      <c r="A240" s="309">
        <f>SUM(C240:N240)</f>
        <v>0</v>
      </c>
      <c r="C240" s="309">
        <f t="shared" ref="C240:N240" si="98">SUM(C229:C238)-C239</f>
        <v>0</v>
      </c>
      <c r="D240" s="309">
        <f t="shared" si="98"/>
        <v>0</v>
      </c>
      <c r="E240" s="309">
        <f t="shared" si="98"/>
        <v>0</v>
      </c>
      <c r="F240" s="309">
        <f t="shared" si="98"/>
        <v>0</v>
      </c>
      <c r="G240" s="309">
        <f t="shared" si="98"/>
        <v>0</v>
      </c>
      <c r="H240" s="309">
        <f t="shared" si="98"/>
        <v>0</v>
      </c>
      <c r="I240" s="309">
        <f t="shared" si="98"/>
        <v>0</v>
      </c>
      <c r="J240" s="309">
        <f t="shared" si="98"/>
        <v>0</v>
      </c>
      <c r="K240" s="309">
        <f t="shared" si="98"/>
        <v>0</v>
      </c>
      <c r="L240" s="309">
        <f t="shared" si="98"/>
        <v>0</v>
      </c>
      <c r="M240" s="309">
        <f t="shared" si="98"/>
        <v>0</v>
      </c>
      <c r="N240" s="309">
        <f t="shared" si="98"/>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99">B212</f>
        <v>Age group</v>
      </c>
      <c r="C246" s="338" t="str">
        <f t="shared" ref="C246:N246" si="100">C212</f>
        <v>2016/17</v>
      </c>
      <c r="D246" s="338" t="str">
        <f t="shared" si="100"/>
        <v>2017/18</v>
      </c>
      <c r="E246" s="338" t="str">
        <f t="shared" si="100"/>
        <v>2018/19</v>
      </c>
      <c r="F246" s="338" t="str">
        <f t="shared" si="100"/>
        <v>2019/20</v>
      </c>
      <c r="G246" s="338" t="str">
        <f t="shared" si="100"/>
        <v>2020/21</v>
      </c>
      <c r="H246" s="338" t="str">
        <f t="shared" si="100"/>
        <v>2021/22</v>
      </c>
      <c r="I246" s="338" t="str">
        <f t="shared" si="100"/>
        <v>2022/23</v>
      </c>
      <c r="J246" s="338" t="str">
        <f t="shared" si="100"/>
        <v>2023/24</v>
      </c>
      <c r="K246" s="338" t="str">
        <f t="shared" si="100"/>
        <v>2024/25</v>
      </c>
      <c r="L246" s="338" t="str">
        <f t="shared" si="100"/>
        <v>2025/26</v>
      </c>
      <c r="M246" s="338" t="str">
        <f t="shared" si="100"/>
        <v>2026/27</v>
      </c>
      <c r="N246" s="338" t="str">
        <f t="shared" si="100"/>
        <v>2027/28</v>
      </c>
    </row>
    <row r="247" spans="2:14">
      <c r="B247" s="338" t="str">
        <f t="shared" si="99"/>
        <v>20-24</v>
      </c>
      <c r="C247" s="459">
        <f t="shared" ref="C247:C256" si="101">C77-C213</f>
        <v>13.537271882773402</v>
      </c>
      <c r="D247" s="459">
        <f t="shared" ref="D247:N247" si="102">D77-D213</f>
        <v>44.374695747014052</v>
      </c>
      <c r="E247" s="459">
        <f t="shared" si="102"/>
        <v>70.991795295169325</v>
      </c>
      <c r="F247" s="459">
        <f t="shared" si="102"/>
        <v>85.275558526866789</v>
      </c>
      <c r="G247" s="459">
        <f t="shared" si="102"/>
        <v>95.63177530749104</v>
      </c>
      <c r="H247" s="459">
        <f t="shared" si="102"/>
        <v>107.32447828245832</v>
      </c>
      <c r="I247" s="459">
        <f t="shared" si="102"/>
        <v>116.4442052965684</v>
      </c>
      <c r="J247" s="459">
        <f t="shared" si="102"/>
        <v>123.2365697638368</v>
      </c>
      <c r="K247" s="459">
        <f t="shared" si="102"/>
        <v>128.69980541470574</v>
      </c>
      <c r="L247" s="459">
        <f t="shared" si="102"/>
        <v>131.064946181859</v>
      </c>
      <c r="M247" s="459">
        <f t="shared" si="102"/>
        <v>131.21671092355226</v>
      </c>
      <c r="N247" s="459">
        <f t="shared" si="102"/>
        <v>130.53741642411615</v>
      </c>
    </row>
    <row r="248" spans="2:14">
      <c r="B248" s="338" t="str">
        <f t="shared" si="99"/>
        <v>25-29</v>
      </c>
      <c r="C248" s="459">
        <f t="shared" si="101"/>
        <v>100.17478048664597</v>
      </c>
      <c r="D248" s="459">
        <f t="shared" ref="D248:N248" si="103">D78-D214</f>
        <v>121.66677239235148</v>
      </c>
      <c r="E248" s="459">
        <f t="shared" si="103"/>
        <v>149.16630793340181</v>
      </c>
      <c r="F248" s="459">
        <f t="shared" si="103"/>
        <v>167.99318635802854</v>
      </c>
      <c r="G248" s="459">
        <f t="shared" si="103"/>
        <v>184.62745484303542</v>
      </c>
      <c r="H248" s="459">
        <f t="shared" si="103"/>
        <v>204.39346253495358</v>
      </c>
      <c r="I248" s="459">
        <f t="shared" si="103"/>
        <v>222.04705398187645</v>
      </c>
      <c r="J248" s="459">
        <f t="shared" si="103"/>
        <v>237.03183557914423</v>
      </c>
      <c r="K248" s="459">
        <f t="shared" si="103"/>
        <v>250.0710524524751</v>
      </c>
      <c r="L248" s="459">
        <f t="shared" si="103"/>
        <v>258.60482001961714</v>
      </c>
      <c r="M248" s="459">
        <f t="shared" si="103"/>
        <v>263.26490224331883</v>
      </c>
      <c r="N248" s="459">
        <f t="shared" si="103"/>
        <v>265.66751528606437</v>
      </c>
    </row>
    <row r="249" spans="2:14">
      <c r="B249" s="338" t="str">
        <f t="shared" si="99"/>
        <v>30-34</v>
      </c>
      <c r="C249" s="459">
        <f t="shared" si="101"/>
        <v>247.3635602448351</v>
      </c>
      <c r="D249" s="459">
        <f t="shared" ref="D249:N249" si="104">D79-D215</f>
        <v>232.48922177133551</v>
      </c>
      <c r="E249" s="459">
        <f t="shared" si="104"/>
        <v>229.12253080725498</v>
      </c>
      <c r="F249" s="459">
        <f t="shared" si="104"/>
        <v>227.94304916265861</v>
      </c>
      <c r="G249" s="459">
        <f t="shared" si="104"/>
        <v>230.72813518757275</v>
      </c>
      <c r="H249" s="459">
        <f t="shared" si="104"/>
        <v>239.43379707435128</v>
      </c>
      <c r="I249" s="459">
        <f t="shared" si="104"/>
        <v>250.30458082478469</v>
      </c>
      <c r="J249" s="459">
        <f t="shared" si="104"/>
        <v>262.00297408370653</v>
      </c>
      <c r="K249" s="459">
        <f t="shared" si="104"/>
        <v>274.08977089348286</v>
      </c>
      <c r="L249" s="459">
        <f t="shared" si="104"/>
        <v>284.35729458456547</v>
      </c>
      <c r="M249" s="459">
        <f t="shared" si="104"/>
        <v>292.41200828630997</v>
      </c>
      <c r="N249" s="459">
        <f t="shared" si="104"/>
        <v>298.68732614434242</v>
      </c>
    </row>
    <row r="250" spans="2:14">
      <c r="B250" s="338" t="str">
        <f t="shared" si="99"/>
        <v>35-39</v>
      </c>
      <c r="C250" s="459">
        <f t="shared" si="101"/>
        <v>285.8024260351815</v>
      </c>
      <c r="D250" s="459">
        <f t="shared" ref="D250:N250" si="105">D80-D216</f>
        <v>278.68720473477987</v>
      </c>
      <c r="E250" s="459">
        <f t="shared" si="105"/>
        <v>272.97597429699982</v>
      </c>
      <c r="F250" s="459">
        <f t="shared" si="105"/>
        <v>265.62020770208528</v>
      </c>
      <c r="G250" s="459">
        <f t="shared" si="105"/>
        <v>259.97446456227402</v>
      </c>
      <c r="H250" s="459">
        <f t="shared" si="105"/>
        <v>258.50704086113797</v>
      </c>
      <c r="I250" s="459">
        <f t="shared" si="105"/>
        <v>259.44613097743746</v>
      </c>
      <c r="J250" s="459">
        <f t="shared" si="105"/>
        <v>262.33848683008483</v>
      </c>
      <c r="K250" s="459">
        <f t="shared" si="105"/>
        <v>267.02213040495241</v>
      </c>
      <c r="L250" s="459">
        <f t="shared" si="105"/>
        <v>272.0020062721045</v>
      </c>
      <c r="M250" s="459">
        <f t="shared" si="105"/>
        <v>276.8606647315296</v>
      </c>
      <c r="N250" s="459">
        <f t="shared" si="105"/>
        <v>281.60261242689711</v>
      </c>
    </row>
    <row r="251" spans="2:14">
      <c r="B251" s="338" t="str">
        <f t="shared" si="99"/>
        <v>40-44</v>
      </c>
      <c r="C251" s="459">
        <f t="shared" si="101"/>
        <v>339.82886014865375</v>
      </c>
      <c r="D251" s="459">
        <f t="shared" ref="D251:N251" si="106">D81-D217</f>
        <v>320.67718640833493</v>
      </c>
      <c r="E251" s="459">
        <f t="shared" si="106"/>
        <v>307.09540234267206</v>
      </c>
      <c r="F251" s="459">
        <f t="shared" si="106"/>
        <v>293.92590531135573</v>
      </c>
      <c r="G251" s="459">
        <f t="shared" si="106"/>
        <v>282.83964518465774</v>
      </c>
      <c r="H251" s="459">
        <f t="shared" si="106"/>
        <v>275.39064473631453</v>
      </c>
      <c r="I251" s="459">
        <f t="shared" si="106"/>
        <v>269.91404976676097</v>
      </c>
      <c r="J251" s="459">
        <f t="shared" si="106"/>
        <v>266.140520814865</v>
      </c>
      <c r="K251" s="459">
        <f t="shared" si="106"/>
        <v>264.13777993667753</v>
      </c>
      <c r="L251" s="459">
        <f t="shared" si="106"/>
        <v>262.86445968210069</v>
      </c>
      <c r="M251" s="459">
        <f t="shared" si="106"/>
        <v>262.18666912825677</v>
      </c>
      <c r="N251" s="459">
        <f t="shared" si="106"/>
        <v>262.24886457450947</v>
      </c>
    </row>
    <row r="252" spans="2:14">
      <c r="B252" s="338" t="str">
        <f t="shared" si="99"/>
        <v>45-49</v>
      </c>
      <c r="C252" s="459">
        <f t="shared" si="101"/>
        <v>288.67142451484528</v>
      </c>
      <c r="D252" s="459">
        <f t="shared" ref="D252:N252" si="107">D82-D218</f>
        <v>287.26324216405521</v>
      </c>
      <c r="E252" s="459">
        <f t="shared" si="107"/>
        <v>284.29234558949281</v>
      </c>
      <c r="F252" s="459">
        <f t="shared" si="107"/>
        <v>277.9848897379531</v>
      </c>
      <c r="G252" s="459">
        <f t="shared" si="107"/>
        <v>270.97060120813171</v>
      </c>
      <c r="H252" s="459">
        <f t="shared" si="107"/>
        <v>265.24386819292965</v>
      </c>
      <c r="I252" s="459">
        <f t="shared" si="107"/>
        <v>259.92163809043262</v>
      </c>
      <c r="J252" s="459">
        <f t="shared" si="107"/>
        <v>255.09106560040635</v>
      </c>
      <c r="K252" s="459">
        <f t="shared" si="107"/>
        <v>251.05022028138194</v>
      </c>
      <c r="L252" s="459">
        <f t="shared" si="107"/>
        <v>247.17690360500626</v>
      </c>
      <c r="M252" s="459">
        <f t="shared" si="107"/>
        <v>243.55985280845204</v>
      </c>
      <c r="N252" s="459">
        <f t="shared" si="107"/>
        <v>240.49860050966555</v>
      </c>
    </row>
    <row r="253" spans="2:14">
      <c r="B253" s="338" t="str">
        <f t="shared" si="99"/>
        <v>50-54</v>
      </c>
      <c r="C253" s="459">
        <f t="shared" si="101"/>
        <v>241.38082630259765</v>
      </c>
      <c r="D253" s="459">
        <f t="shared" ref="D253:N253" si="108">D83-D219</f>
        <v>231.96216901183752</v>
      </c>
      <c r="E253" s="459">
        <f t="shared" si="108"/>
        <v>226.15415406025087</v>
      </c>
      <c r="F253" s="459">
        <f t="shared" si="108"/>
        <v>220.32127039810854</v>
      </c>
      <c r="G253" s="459">
        <f t="shared" si="108"/>
        <v>215.0863778347474</v>
      </c>
      <c r="H253" s="459">
        <f t="shared" si="108"/>
        <v>211.18008479352216</v>
      </c>
      <c r="I253" s="459">
        <f t="shared" si="108"/>
        <v>207.57272601587636</v>
      </c>
      <c r="J253" s="459">
        <f t="shared" si="108"/>
        <v>204.12777143504894</v>
      </c>
      <c r="K253" s="459">
        <f t="shared" si="108"/>
        <v>200.96814837532747</v>
      </c>
      <c r="L253" s="459">
        <f t="shared" si="108"/>
        <v>197.61770829768312</v>
      </c>
      <c r="M253" s="459">
        <f t="shared" si="108"/>
        <v>194.1600733276569</v>
      </c>
      <c r="N253" s="459">
        <f t="shared" si="108"/>
        <v>190.85745923905756</v>
      </c>
    </row>
    <row r="254" spans="2:14">
      <c r="B254" s="338" t="str">
        <f t="shared" si="99"/>
        <v>55-59</v>
      </c>
      <c r="C254" s="459">
        <f t="shared" si="101"/>
        <v>144.11659871941234</v>
      </c>
      <c r="D254" s="459">
        <f t="shared" ref="D254:N254" si="109">D84-D220</f>
        <v>126.1020820587231</v>
      </c>
      <c r="E254" s="459">
        <f t="shared" si="109"/>
        <v>114.69988340954899</v>
      </c>
      <c r="F254" s="459">
        <f t="shared" si="109"/>
        <v>106.41183864568515</v>
      </c>
      <c r="G254" s="459">
        <f t="shared" si="109"/>
        <v>100.66295141105493</v>
      </c>
      <c r="H254" s="459">
        <f t="shared" si="109"/>
        <v>97.100240084585636</v>
      </c>
      <c r="I254" s="459">
        <f t="shared" si="109"/>
        <v>94.523546802186274</v>
      </c>
      <c r="J254" s="459">
        <f t="shared" si="109"/>
        <v>92.504525331288235</v>
      </c>
      <c r="K254" s="459">
        <f t="shared" si="109"/>
        <v>90.887289851294256</v>
      </c>
      <c r="L254" s="459">
        <f t="shared" si="109"/>
        <v>89.241828767546721</v>
      </c>
      <c r="M254" s="459">
        <f t="shared" si="109"/>
        <v>87.550744825400116</v>
      </c>
      <c r="N254" s="459">
        <f t="shared" si="109"/>
        <v>85.923927662154284</v>
      </c>
    </row>
    <row r="255" spans="2:14">
      <c r="B255" s="338" t="str">
        <f t="shared" si="99"/>
        <v>60-64</v>
      </c>
      <c r="C255" s="459">
        <f t="shared" si="101"/>
        <v>47.053741960016282</v>
      </c>
      <c r="D255" s="459">
        <f t="shared" ref="D255:N255" si="110">D85-D221</f>
        <v>42.211115226686118</v>
      </c>
      <c r="E255" s="459">
        <f t="shared" si="110"/>
        <v>38.00128527433958</v>
      </c>
      <c r="F255" s="459">
        <f t="shared" si="110"/>
        <v>34.304203820693047</v>
      </c>
      <c r="G255" s="459">
        <f t="shared" si="110"/>
        <v>31.53614834192496</v>
      </c>
      <c r="H255" s="459">
        <f t="shared" si="110"/>
        <v>29.78238477335605</v>
      </c>
      <c r="I255" s="459">
        <f t="shared" si="110"/>
        <v>28.557988757756046</v>
      </c>
      <c r="J255" s="459">
        <f t="shared" si="110"/>
        <v>27.676224093295165</v>
      </c>
      <c r="K255" s="459">
        <f t="shared" si="110"/>
        <v>27.047495314065262</v>
      </c>
      <c r="L255" s="459">
        <f t="shared" si="110"/>
        <v>26.453348892495253</v>
      </c>
      <c r="M255" s="459">
        <f t="shared" si="110"/>
        <v>25.872178698048739</v>
      </c>
      <c r="N255" s="459">
        <f t="shared" si="110"/>
        <v>25.338901234644261</v>
      </c>
    </row>
    <row r="256" spans="2:14">
      <c r="B256" s="338" t="str">
        <f t="shared" si="99"/>
        <v>65 plus</v>
      </c>
      <c r="C256" s="459">
        <f t="shared" si="101"/>
        <v>11.144221134484912</v>
      </c>
      <c r="D256" s="459">
        <f t="shared" ref="D256:N256" si="111">D86-D222</f>
        <v>11.774722119280318</v>
      </c>
      <c r="E256" s="459">
        <f t="shared" si="111"/>
        <v>11.690344899412754</v>
      </c>
      <c r="F256" s="459">
        <f t="shared" si="111"/>
        <v>11.093973857782926</v>
      </c>
      <c r="G256" s="459">
        <f t="shared" si="111"/>
        <v>10.379793284808574</v>
      </c>
      <c r="H256" s="459">
        <f t="shared" si="111"/>
        <v>9.7890430649609605</v>
      </c>
      <c r="I256" s="459">
        <f t="shared" si="111"/>
        <v>9.2995661083197838</v>
      </c>
      <c r="J256" s="459">
        <f t="shared" si="111"/>
        <v>8.9110484092987043</v>
      </c>
      <c r="K256" s="459">
        <f t="shared" si="111"/>
        <v>8.6205418481551099</v>
      </c>
      <c r="L256" s="459">
        <f t="shared" si="111"/>
        <v>8.3647266048545639</v>
      </c>
      <c r="M256" s="459">
        <f t="shared" si="111"/>
        <v>8.1311755023208967</v>
      </c>
      <c r="N256" s="459">
        <f t="shared" si="111"/>
        <v>7.9266743709268717</v>
      </c>
    </row>
    <row r="257" spans="1:14">
      <c r="B257" s="338" t="str">
        <f t="shared" si="99"/>
        <v>Total</v>
      </c>
      <c r="C257" s="459">
        <f>SUM(C247:C256)</f>
        <v>1719.0737114294463</v>
      </c>
      <c r="D257" s="459">
        <f t="shared" ref="D257:N257" si="112">SUM(D247:D256)</f>
        <v>1697.2084116343979</v>
      </c>
      <c r="E257" s="459">
        <f t="shared" si="112"/>
        <v>1704.190023908543</v>
      </c>
      <c r="F257" s="459">
        <f t="shared" si="112"/>
        <v>1690.8740835212177</v>
      </c>
      <c r="G257" s="459">
        <f t="shared" si="112"/>
        <v>1682.4373471656986</v>
      </c>
      <c r="H257" s="459">
        <f t="shared" si="112"/>
        <v>1698.1450443985698</v>
      </c>
      <c r="I257" s="459">
        <f t="shared" si="112"/>
        <v>1718.0314866219992</v>
      </c>
      <c r="J257" s="459">
        <f t="shared" si="112"/>
        <v>1739.0610219409748</v>
      </c>
      <c r="K257" s="459">
        <f t="shared" si="112"/>
        <v>1762.5942347725179</v>
      </c>
      <c r="L257" s="459">
        <f t="shared" si="112"/>
        <v>1777.7480429078325</v>
      </c>
      <c r="M257" s="459">
        <f t="shared" si="112"/>
        <v>1785.214980474846</v>
      </c>
      <c r="N257" s="459">
        <f t="shared" si="112"/>
        <v>1789.289297872378</v>
      </c>
    </row>
    <row r="258" spans="1:14">
      <c r="A258" s="309">
        <f>SUM(C258:N258)</f>
        <v>0</v>
      </c>
      <c r="C258" s="309">
        <f t="shared" ref="C258:N258" si="113">SUM(C247:C256)-C257</f>
        <v>0</v>
      </c>
      <c r="D258" s="309">
        <f t="shared" si="113"/>
        <v>0</v>
      </c>
      <c r="E258" s="309">
        <f t="shared" si="113"/>
        <v>0</v>
      </c>
      <c r="F258" s="309">
        <f t="shared" si="113"/>
        <v>0</v>
      </c>
      <c r="G258" s="309">
        <f t="shared" si="113"/>
        <v>0</v>
      </c>
      <c r="H258" s="309">
        <f t="shared" si="113"/>
        <v>0</v>
      </c>
      <c r="I258" s="309">
        <f t="shared" si="113"/>
        <v>0</v>
      </c>
      <c r="J258" s="309">
        <f t="shared" si="113"/>
        <v>0</v>
      </c>
      <c r="K258" s="309">
        <f t="shared" si="113"/>
        <v>0</v>
      </c>
      <c r="L258" s="309">
        <f t="shared" si="113"/>
        <v>0</v>
      </c>
      <c r="M258" s="309">
        <f t="shared" si="113"/>
        <v>0</v>
      </c>
      <c r="N258" s="309">
        <f t="shared" si="113"/>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4">B246</f>
        <v>Age group</v>
      </c>
      <c r="C262" s="338" t="str">
        <f t="shared" ref="C262:N262" si="115">C246</f>
        <v>2016/17</v>
      </c>
      <c r="D262" s="338" t="str">
        <f t="shared" si="115"/>
        <v>2017/18</v>
      </c>
      <c r="E262" s="338" t="str">
        <f t="shared" si="115"/>
        <v>2018/19</v>
      </c>
      <c r="F262" s="338" t="str">
        <f t="shared" si="115"/>
        <v>2019/20</v>
      </c>
      <c r="G262" s="338" t="str">
        <f t="shared" si="115"/>
        <v>2020/21</v>
      </c>
      <c r="H262" s="338" t="str">
        <f t="shared" si="115"/>
        <v>2021/22</v>
      </c>
      <c r="I262" s="338" t="str">
        <f t="shared" si="115"/>
        <v>2022/23</v>
      </c>
      <c r="J262" s="338" t="str">
        <f t="shared" si="115"/>
        <v>2023/24</v>
      </c>
      <c r="K262" s="338" t="str">
        <f t="shared" si="115"/>
        <v>2024/25</v>
      </c>
      <c r="L262" s="338" t="str">
        <f t="shared" si="115"/>
        <v>2025/26</v>
      </c>
      <c r="M262" s="338" t="str">
        <f t="shared" si="115"/>
        <v>2026/27</v>
      </c>
      <c r="N262" s="338" t="str">
        <f t="shared" si="115"/>
        <v>2027/28</v>
      </c>
    </row>
    <row r="263" spans="1:14">
      <c r="B263" s="338" t="str">
        <f t="shared" si="114"/>
        <v>20-24</v>
      </c>
      <c r="C263" s="459">
        <f t="shared" ref="C263:C272" si="116">C93-C229</f>
        <v>83.826231215505473</v>
      </c>
      <c r="D263" s="459">
        <f t="shared" ref="D263:N263" si="117">D93-D229</f>
        <v>175.77811414068177</v>
      </c>
      <c r="E263" s="459">
        <f t="shared" si="117"/>
        <v>256.84220626673431</v>
      </c>
      <c r="F263" s="459">
        <f t="shared" si="117"/>
        <v>298.99508318495407</v>
      </c>
      <c r="G263" s="459">
        <f t="shared" si="117"/>
        <v>329.64154827666908</v>
      </c>
      <c r="H263" s="459">
        <f t="shared" si="117"/>
        <v>365.89654076411352</v>
      </c>
      <c r="I263" s="459">
        <f t="shared" si="117"/>
        <v>394.37593553025749</v>
      </c>
      <c r="J263" s="459">
        <f t="shared" si="117"/>
        <v>415.66204273644985</v>
      </c>
      <c r="K263" s="459">
        <f t="shared" si="117"/>
        <v>432.91954858684124</v>
      </c>
      <c r="L263" s="459">
        <f t="shared" si="117"/>
        <v>440.1204140607673</v>
      </c>
      <c r="M263" s="459">
        <f t="shared" si="117"/>
        <v>440.13196598462588</v>
      </c>
      <c r="N263" s="459">
        <f t="shared" si="117"/>
        <v>437.50989302350979</v>
      </c>
    </row>
    <row r="264" spans="1:14">
      <c r="B264" s="338" t="str">
        <f t="shared" si="114"/>
        <v>25-29</v>
      </c>
      <c r="C264" s="459">
        <f t="shared" si="116"/>
        <v>606.9688620267367</v>
      </c>
      <c r="D264" s="459">
        <f t="shared" ref="D264:N264" si="118">D94-D230</f>
        <v>607.89021234145355</v>
      </c>
      <c r="E264" s="459">
        <f t="shared" si="118"/>
        <v>645.48678495450486</v>
      </c>
      <c r="F264" s="459">
        <f t="shared" si="118"/>
        <v>667.02619187869357</v>
      </c>
      <c r="G264" s="459">
        <f t="shared" si="118"/>
        <v>691.08442143215245</v>
      </c>
      <c r="H264" s="459">
        <f t="shared" si="118"/>
        <v>732.95114993313314</v>
      </c>
      <c r="I264" s="459">
        <f t="shared" si="118"/>
        <v>773.3754659764777</v>
      </c>
      <c r="J264" s="459">
        <f t="shared" si="118"/>
        <v>809.18666356930999</v>
      </c>
      <c r="K264" s="459">
        <f t="shared" si="118"/>
        <v>841.7819667057488</v>
      </c>
      <c r="L264" s="459">
        <f t="shared" si="118"/>
        <v>861.91629665081871</v>
      </c>
      <c r="M264" s="459">
        <f t="shared" si="118"/>
        <v>871.15063970781455</v>
      </c>
      <c r="N264" s="459">
        <f t="shared" si="118"/>
        <v>874.42247099984104</v>
      </c>
    </row>
    <row r="265" spans="1:14">
      <c r="B265" s="338" t="str">
        <f t="shared" si="114"/>
        <v>30-34</v>
      </c>
      <c r="C265" s="459">
        <f t="shared" si="116"/>
        <v>1019.929613844764</v>
      </c>
      <c r="D265" s="459">
        <f t="shared" ref="D265:N265" si="119">D95-D231</f>
        <v>947.45860311417925</v>
      </c>
      <c r="E265" s="459">
        <f t="shared" si="119"/>
        <v>906.91382867899495</v>
      </c>
      <c r="F265" s="459">
        <f t="shared" si="119"/>
        <v>871.77588050562144</v>
      </c>
      <c r="G265" s="459">
        <f t="shared" si="119"/>
        <v>850.49784366781887</v>
      </c>
      <c r="H265" s="459">
        <f t="shared" si="119"/>
        <v>850.72159331286866</v>
      </c>
      <c r="I265" s="459">
        <f t="shared" si="119"/>
        <v>860.59671824090731</v>
      </c>
      <c r="J265" s="459">
        <f t="shared" si="119"/>
        <v>875.95717741445662</v>
      </c>
      <c r="K265" s="459">
        <f t="shared" si="119"/>
        <v>895.35348512624716</v>
      </c>
      <c r="L265" s="459">
        <f t="shared" si="119"/>
        <v>911.43470114184913</v>
      </c>
      <c r="M265" s="459">
        <f t="shared" si="119"/>
        <v>922.80723707639299</v>
      </c>
      <c r="N265" s="459">
        <f t="shared" si="119"/>
        <v>930.7217495566058</v>
      </c>
    </row>
    <row r="266" spans="1:14">
      <c r="B266" s="338" t="str">
        <f t="shared" si="114"/>
        <v>35-39</v>
      </c>
      <c r="C266" s="459">
        <f t="shared" si="116"/>
        <v>1110.2368240267042</v>
      </c>
      <c r="D266" s="459">
        <f t="shared" ref="D266:N266" si="120">D96-D232</f>
        <v>1063.8451336408696</v>
      </c>
      <c r="E266" s="459">
        <f t="shared" si="120"/>
        <v>1024.2730891963104</v>
      </c>
      <c r="F266" s="459">
        <f t="shared" si="120"/>
        <v>979.68820317668064</v>
      </c>
      <c r="G266" s="459">
        <f t="shared" si="120"/>
        <v>940.70907520124649</v>
      </c>
      <c r="H266" s="459">
        <f t="shared" si="120"/>
        <v>915.46090610242777</v>
      </c>
      <c r="I266" s="459">
        <f t="shared" si="120"/>
        <v>898.25838457361658</v>
      </c>
      <c r="J266" s="459">
        <f t="shared" si="120"/>
        <v>887.91121793021739</v>
      </c>
      <c r="K266" s="459">
        <f t="shared" si="120"/>
        <v>884.18109213473724</v>
      </c>
      <c r="L266" s="459">
        <f t="shared" si="120"/>
        <v>882.39464939861966</v>
      </c>
      <c r="M266" s="459">
        <f t="shared" si="120"/>
        <v>881.42098716507667</v>
      </c>
      <c r="N266" s="459">
        <f t="shared" si="120"/>
        <v>881.45342218735016</v>
      </c>
    </row>
    <row r="267" spans="1:14">
      <c r="B267" s="338" t="str">
        <f t="shared" si="114"/>
        <v>40-44</v>
      </c>
      <c r="C267" s="459">
        <f t="shared" si="116"/>
        <v>1078.1056489452835</v>
      </c>
      <c r="D267" s="459">
        <f t="shared" ref="D267:N267" si="121">D97-D233</f>
        <v>1050.3058967133575</v>
      </c>
      <c r="E267" s="459">
        <f t="shared" si="121"/>
        <v>1027.7830512312241</v>
      </c>
      <c r="F267" s="459">
        <f t="shared" si="121"/>
        <v>997.18769669563778</v>
      </c>
      <c r="G267" s="459">
        <f t="shared" si="121"/>
        <v>966.60916872138523</v>
      </c>
      <c r="H267" s="459">
        <f t="shared" si="121"/>
        <v>942.94656959522115</v>
      </c>
      <c r="I267" s="459">
        <f t="shared" si="121"/>
        <v>921.92360090946033</v>
      </c>
      <c r="J267" s="459">
        <f t="shared" si="121"/>
        <v>903.63582802732299</v>
      </c>
      <c r="K267" s="459">
        <f t="shared" si="121"/>
        <v>889.10180350314783</v>
      </c>
      <c r="L267" s="459">
        <f t="shared" si="121"/>
        <v>875.51039785651233</v>
      </c>
      <c r="M267" s="459">
        <f t="shared" si="121"/>
        <v>862.96749289014997</v>
      </c>
      <c r="N267" s="459">
        <f t="shared" si="121"/>
        <v>852.40866173610164</v>
      </c>
    </row>
    <row r="268" spans="1:14">
      <c r="B268" s="338" t="str">
        <f t="shared" si="114"/>
        <v>45-49</v>
      </c>
      <c r="C268" s="459">
        <f t="shared" si="116"/>
        <v>837.83607611835532</v>
      </c>
      <c r="D268" s="459">
        <f t="shared" ref="D268:N268" si="122">D98-D234</f>
        <v>853.98146784593109</v>
      </c>
      <c r="E268" s="459">
        <f t="shared" si="122"/>
        <v>866.05359624775576</v>
      </c>
      <c r="F268" s="459">
        <f t="shared" si="122"/>
        <v>865.4053079049495</v>
      </c>
      <c r="G268" s="459">
        <f t="shared" si="122"/>
        <v>859.50253786087978</v>
      </c>
      <c r="H268" s="459">
        <f t="shared" si="122"/>
        <v>854.48482138860811</v>
      </c>
      <c r="I268" s="459">
        <f t="shared" si="122"/>
        <v>847.34458193802902</v>
      </c>
      <c r="J268" s="459">
        <f t="shared" si="122"/>
        <v>838.56364814185849</v>
      </c>
      <c r="K268" s="459">
        <f t="shared" si="122"/>
        <v>829.4580017216623</v>
      </c>
      <c r="L268" s="459">
        <f t="shared" si="122"/>
        <v>818.33687167410176</v>
      </c>
      <c r="M268" s="459">
        <f t="shared" si="122"/>
        <v>805.90204026207937</v>
      </c>
      <c r="N268" s="459">
        <f t="shared" si="122"/>
        <v>793.5509812789129</v>
      </c>
    </row>
    <row r="269" spans="1:14">
      <c r="B269" s="338" t="str">
        <f t="shared" si="114"/>
        <v>50-54</v>
      </c>
      <c r="C269" s="459">
        <f t="shared" si="116"/>
        <v>636.60661455085392</v>
      </c>
      <c r="D269" s="459">
        <f t="shared" ref="D269:N269" si="123">D99-D235</f>
        <v>629.48444632584665</v>
      </c>
      <c r="E269" s="459">
        <f t="shared" si="123"/>
        <v>631.12463071360764</v>
      </c>
      <c r="F269" s="459">
        <f t="shared" si="123"/>
        <v>630.54852670505261</v>
      </c>
      <c r="G269" s="459">
        <f t="shared" si="123"/>
        <v>630.16678463853293</v>
      </c>
      <c r="H269" s="459">
        <f t="shared" si="123"/>
        <v>632.41309362629966</v>
      </c>
      <c r="I269" s="459">
        <f t="shared" si="123"/>
        <v>633.76524945242568</v>
      </c>
      <c r="J269" s="459">
        <f t="shared" si="123"/>
        <v>633.69792442279788</v>
      </c>
      <c r="K269" s="459">
        <f t="shared" si="123"/>
        <v>632.60468824443228</v>
      </c>
      <c r="L269" s="459">
        <f t="shared" si="123"/>
        <v>628.94606286944793</v>
      </c>
      <c r="M269" s="459">
        <f t="shared" si="123"/>
        <v>623.1043810127851</v>
      </c>
      <c r="N269" s="459">
        <f t="shared" si="123"/>
        <v>616.09751403072903</v>
      </c>
    </row>
    <row r="270" spans="1:14">
      <c r="B270" s="338" t="str">
        <f t="shared" si="114"/>
        <v>55-59</v>
      </c>
      <c r="C270" s="459">
        <f t="shared" si="116"/>
        <v>290.75406407812022</v>
      </c>
      <c r="D270" s="459">
        <f t="shared" ref="D270:N270" si="124">D100-D236</f>
        <v>286.1447643496237</v>
      </c>
      <c r="E270" s="459">
        <f t="shared" si="124"/>
        <v>284.56035145713201</v>
      </c>
      <c r="F270" s="459">
        <f t="shared" si="124"/>
        <v>281.58571989136317</v>
      </c>
      <c r="G270" s="459">
        <f t="shared" si="124"/>
        <v>279.80199695880503</v>
      </c>
      <c r="H270" s="459">
        <f t="shared" si="124"/>
        <v>280.76230833603319</v>
      </c>
      <c r="I270" s="459">
        <f t="shared" si="124"/>
        <v>282.05233979720799</v>
      </c>
      <c r="J270" s="459">
        <f t="shared" si="124"/>
        <v>283.16741294973497</v>
      </c>
      <c r="K270" s="459">
        <f t="shared" si="124"/>
        <v>284.12512176625319</v>
      </c>
      <c r="L270" s="459">
        <f t="shared" si="124"/>
        <v>283.79436770974144</v>
      </c>
      <c r="M270" s="459">
        <f t="shared" si="124"/>
        <v>282.30614461831203</v>
      </c>
      <c r="N270" s="459">
        <f t="shared" si="124"/>
        <v>280.15979722840962</v>
      </c>
    </row>
    <row r="271" spans="1:14">
      <c r="B271" s="338" t="str">
        <f t="shared" si="114"/>
        <v>60-64</v>
      </c>
      <c r="C271" s="459">
        <f t="shared" si="116"/>
        <v>88.761916584334188</v>
      </c>
      <c r="D271" s="459">
        <f t="shared" ref="D271:N271" si="125">D101-D237</f>
        <v>81.02660790952018</v>
      </c>
      <c r="E271" s="459">
        <f t="shared" si="125"/>
        <v>77.87842542008994</v>
      </c>
      <c r="F271" s="459">
        <f t="shared" si="125"/>
        <v>75.311045941003499</v>
      </c>
      <c r="G271" s="459">
        <f t="shared" si="125"/>
        <v>73.826706895949044</v>
      </c>
      <c r="H271" s="459">
        <f t="shared" si="125"/>
        <v>73.805544645052649</v>
      </c>
      <c r="I271" s="459">
        <f t="shared" si="125"/>
        <v>74.063028066588402</v>
      </c>
      <c r="J271" s="459">
        <f t="shared" si="125"/>
        <v>74.387283422015827</v>
      </c>
      <c r="K271" s="459">
        <f t="shared" si="125"/>
        <v>74.78834726293816</v>
      </c>
      <c r="L271" s="459">
        <f t="shared" si="125"/>
        <v>74.775246995025327</v>
      </c>
      <c r="M271" s="459">
        <f t="shared" si="125"/>
        <v>74.42349645098551</v>
      </c>
      <c r="N271" s="459">
        <f t="shared" si="125"/>
        <v>73.933504687704911</v>
      </c>
    </row>
    <row r="272" spans="1:14">
      <c r="B272" s="338" t="str">
        <f t="shared" si="114"/>
        <v>65 plus</v>
      </c>
      <c r="C272" s="459">
        <f t="shared" si="116"/>
        <v>19.736990133139937</v>
      </c>
      <c r="D272" s="459">
        <f t="shared" ref="D272:N272" si="126">D102-D238</f>
        <v>20.889079259019542</v>
      </c>
      <c r="E272" s="459">
        <f t="shared" si="126"/>
        <v>20.993097379698174</v>
      </c>
      <c r="F272" s="459">
        <f t="shared" si="126"/>
        <v>20.42732652195275</v>
      </c>
      <c r="G272" s="459">
        <f t="shared" si="126"/>
        <v>19.901976037182379</v>
      </c>
      <c r="H272" s="459">
        <f t="shared" si="126"/>
        <v>19.772740227054296</v>
      </c>
      <c r="I272" s="459">
        <f t="shared" si="126"/>
        <v>19.757182039702421</v>
      </c>
      <c r="J272" s="459">
        <f t="shared" si="126"/>
        <v>19.793868177561073</v>
      </c>
      <c r="K272" s="459">
        <f t="shared" si="126"/>
        <v>19.884586842752643</v>
      </c>
      <c r="L272" s="459">
        <f t="shared" si="126"/>
        <v>19.870309185488235</v>
      </c>
      <c r="M272" s="459">
        <f t="shared" si="126"/>
        <v>19.762367279602788</v>
      </c>
      <c r="N272" s="459">
        <f t="shared" si="126"/>
        <v>19.622651814525888</v>
      </c>
    </row>
    <row r="273" spans="1:14">
      <c r="B273" s="338" t="str">
        <f t="shared" si="114"/>
        <v>Total</v>
      </c>
      <c r="C273" s="459">
        <f>SUM(C263:C272)</f>
        <v>5772.7628415237978</v>
      </c>
      <c r="D273" s="459">
        <f t="shared" ref="D273:N273" si="127">SUM(D263:D272)</f>
        <v>5716.8043256404826</v>
      </c>
      <c r="E273" s="459">
        <f t="shared" si="127"/>
        <v>5741.9090615460527</v>
      </c>
      <c r="F273" s="459">
        <f t="shared" si="127"/>
        <v>5687.9509824059096</v>
      </c>
      <c r="G273" s="459">
        <f t="shared" si="127"/>
        <v>5641.7420596906213</v>
      </c>
      <c r="H273" s="459">
        <f t="shared" si="127"/>
        <v>5669.2152679308119</v>
      </c>
      <c r="I273" s="459">
        <f t="shared" si="127"/>
        <v>5705.5124865246735</v>
      </c>
      <c r="J273" s="459">
        <f t="shared" si="127"/>
        <v>5741.9630667917254</v>
      </c>
      <c r="K273" s="459">
        <f t="shared" si="127"/>
        <v>5784.1986418947608</v>
      </c>
      <c r="L273" s="459">
        <f t="shared" si="127"/>
        <v>5797.0993175423719</v>
      </c>
      <c r="M273" s="459">
        <f t="shared" si="127"/>
        <v>5783.9767524478239</v>
      </c>
      <c r="N273" s="459">
        <f t="shared" si="127"/>
        <v>5759.880646543691</v>
      </c>
    </row>
    <row r="274" spans="1:14">
      <c r="A274" s="309">
        <f>SUM(C274:N274)</f>
        <v>0</v>
      </c>
      <c r="C274" s="309">
        <f t="shared" ref="C274:N274" si="128">SUM(C263:C272)-C273</f>
        <v>0</v>
      </c>
      <c r="D274" s="309">
        <f t="shared" si="128"/>
        <v>0</v>
      </c>
      <c r="E274" s="309">
        <f t="shared" si="128"/>
        <v>0</v>
      </c>
      <c r="F274" s="309">
        <f t="shared" si="128"/>
        <v>0</v>
      </c>
      <c r="G274" s="309">
        <f t="shared" si="128"/>
        <v>0</v>
      </c>
      <c r="H274" s="309">
        <f t="shared" si="128"/>
        <v>0</v>
      </c>
      <c r="I274" s="309">
        <f t="shared" si="128"/>
        <v>0</v>
      </c>
      <c r="J274" s="309">
        <f t="shared" si="128"/>
        <v>0</v>
      </c>
      <c r="K274" s="309">
        <f t="shared" si="128"/>
        <v>0</v>
      </c>
      <c r="L274" s="309">
        <f t="shared" si="128"/>
        <v>0</v>
      </c>
      <c r="M274" s="309">
        <f t="shared" si="128"/>
        <v>0</v>
      </c>
      <c r="N274" s="309">
        <f t="shared" si="128"/>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29">D262</f>
        <v>2017/18</v>
      </c>
      <c r="E278" s="326" t="str">
        <f t="shared" si="129"/>
        <v>2018/19</v>
      </c>
      <c r="F278" s="326" t="str">
        <f t="shared" si="129"/>
        <v>2019/20</v>
      </c>
      <c r="G278" s="326" t="str">
        <f t="shared" si="129"/>
        <v>2020/21</v>
      </c>
      <c r="H278" s="326" t="str">
        <f t="shared" si="129"/>
        <v>2021/22</v>
      </c>
      <c r="I278" s="326" t="str">
        <f t="shared" si="129"/>
        <v>2022/23</v>
      </c>
      <c r="J278" s="326" t="str">
        <f t="shared" si="129"/>
        <v>2023/24</v>
      </c>
      <c r="K278" s="326" t="str">
        <f t="shared" si="129"/>
        <v>2024/25</v>
      </c>
      <c r="L278" s="326" t="str">
        <f t="shared" si="129"/>
        <v>2025/26</v>
      </c>
      <c r="M278" s="326" t="str">
        <f t="shared" si="129"/>
        <v>2026/27</v>
      </c>
      <c r="N278" s="326" t="str">
        <f t="shared" si="129"/>
        <v>2027/28</v>
      </c>
    </row>
    <row r="279" spans="1:14">
      <c r="B279" s="326" t="s">
        <v>577</v>
      </c>
      <c r="C279" s="459">
        <f>C223+C239</f>
        <v>911.63532725141374</v>
      </c>
      <c r="D279" s="459">
        <f t="shared" ref="D279:N279" si="130">D223+D239</f>
        <v>896.5752694505353</v>
      </c>
      <c r="E279" s="459">
        <f t="shared" si="130"/>
        <v>895.85019534626258</v>
      </c>
      <c r="F279" s="459">
        <f t="shared" si="130"/>
        <v>884.53187899823195</v>
      </c>
      <c r="G279" s="459">
        <f t="shared" si="130"/>
        <v>875.96180546005689</v>
      </c>
      <c r="H279" s="459">
        <f t="shared" si="130"/>
        <v>879.73697945442382</v>
      </c>
      <c r="I279" s="459">
        <f t="shared" si="130"/>
        <v>885.19723670264818</v>
      </c>
      <c r="J279" s="459">
        <f t="shared" si="130"/>
        <v>890.74210978824499</v>
      </c>
      <c r="K279" s="459">
        <f t="shared" si="130"/>
        <v>897.08183130895895</v>
      </c>
      <c r="L279" s="459">
        <f t="shared" si="130"/>
        <v>898.71780033648997</v>
      </c>
      <c r="M279" s="459">
        <f t="shared" si="130"/>
        <v>896.24390963771771</v>
      </c>
      <c r="N279" s="459">
        <f t="shared" si="130"/>
        <v>892.04109954775254</v>
      </c>
    </row>
    <row r="280" spans="1:14">
      <c r="B280" s="326" t="s">
        <v>578</v>
      </c>
      <c r="C280" s="459">
        <f>C155+C171</f>
        <v>262.2488133565563</v>
      </c>
      <c r="D280" s="459">
        <f t="shared" ref="D280:N280" si="131">D155+D171</f>
        <v>248.56723498618504</v>
      </c>
      <c r="E280" s="459">
        <f t="shared" si="131"/>
        <v>239.96677193318908</v>
      </c>
      <c r="F280" s="459">
        <f t="shared" si="131"/>
        <v>231.50217580840211</v>
      </c>
      <c r="G280" s="459">
        <f t="shared" si="131"/>
        <v>225.36504359738603</v>
      </c>
      <c r="H280" s="459">
        <f t="shared" si="131"/>
        <v>222.80450390106284</v>
      </c>
      <c r="I280" s="459">
        <f t="shared" si="131"/>
        <v>221.3087856727314</v>
      </c>
      <c r="J280" s="459">
        <f t="shared" si="131"/>
        <v>220.28598766461278</v>
      </c>
      <c r="K280" s="459">
        <f t="shared" si="131"/>
        <v>219.66388046279769</v>
      </c>
      <c r="L280" s="459">
        <f t="shared" si="131"/>
        <v>218.28711271788416</v>
      </c>
      <c r="M280" s="459">
        <f t="shared" si="131"/>
        <v>216.23761099288211</v>
      </c>
      <c r="N280" s="459">
        <f t="shared" si="131"/>
        <v>213.93855189501534</v>
      </c>
    </row>
    <row r="281" spans="1:14">
      <c r="B281" s="326" t="s">
        <v>579</v>
      </c>
      <c r="C281" s="459">
        <f>C189+C205</f>
        <v>4.9474947590597358</v>
      </c>
      <c r="D281" s="459">
        <f t="shared" ref="D281:N281" si="132">D189+D205</f>
        <v>4.8273288530652287</v>
      </c>
      <c r="E281" s="459">
        <f t="shared" si="132"/>
        <v>4.7279815308378463</v>
      </c>
      <c r="F281" s="459">
        <f t="shared" si="132"/>
        <v>4.5941980515433931</v>
      </c>
      <c r="G281" s="459">
        <f t="shared" si="132"/>
        <v>4.4801416695869438</v>
      </c>
      <c r="H281" s="459">
        <f t="shared" si="132"/>
        <v>4.4204755994361298</v>
      </c>
      <c r="I281" s="459">
        <f t="shared" si="132"/>
        <v>4.3786182768730928</v>
      </c>
      <c r="J281" s="459">
        <f t="shared" si="132"/>
        <v>4.3474311671929131</v>
      </c>
      <c r="K281" s="459">
        <f t="shared" si="132"/>
        <v>4.3276289747378263</v>
      </c>
      <c r="L281" s="459">
        <f t="shared" si="132"/>
        <v>4.2991121884435932</v>
      </c>
      <c r="M281" s="459">
        <f t="shared" si="132"/>
        <v>4.2624656852653544</v>
      </c>
      <c r="N281" s="459">
        <f t="shared" si="132"/>
        <v>4.2246054541577553</v>
      </c>
    </row>
    <row r="282" spans="1:14">
      <c r="B282" s="326" t="s">
        <v>580</v>
      </c>
      <c r="C282" s="459">
        <f>C121+C137</f>
        <v>644.43901913579748</v>
      </c>
      <c r="D282" s="459">
        <f t="shared" ref="D282:N282" si="133">D121+D137</f>
        <v>643.18070561128502</v>
      </c>
      <c r="E282" s="459">
        <f t="shared" si="133"/>
        <v>651.15544188223578</v>
      </c>
      <c r="F282" s="459">
        <f t="shared" si="133"/>
        <v>648.43550513828666</v>
      </c>
      <c r="G282" s="459">
        <f t="shared" si="133"/>
        <v>646.1166201930838</v>
      </c>
      <c r="H282" s="459">
        <f t="shared" si="133"/>
        <v>652.51199995392471</v>
      </c>
      <c r="I282" s="459">
        <f t="shared" si="133"/>
        <v>659.50983275304361</v>
      </c>
      <c r="J282" s="459">
        <f t="shared" si="133"/>
        <v>666.10869095643943</v>
      </c>
      <c r="K282" s="459">
        <f t="shared" si="133"/>
        <v>673.0903218714235</v>
      </c>
      <c r="L282" s="459">
        <f t="shared" si="133"/>
        <v>676.13157543016223</v>
      </c>
      <c r="M282" s="459">
        <f t="shared" si="133"/>
        <v>675.74383295957045</v>
      </c>
      <c r="N282" s="459">
        <f t="shared" si="133"/>
        <v>673.87794219857938</v>
      </c>
    </row>
    <row r="283" spans="1:14" ht="15.75">
      <c r="A283" s="309">
        <f>SUM(C283:N283)</f>
        <v>0</v>
      </c>
      <c r="B283" s="340"/>
      <c r="C283" s="309">
        <f>C280+C281+C282-C279</f>
        <v>0</v>
      </c>
      <c r="D283" s="309">
        <f t="shared" ref="D283:N283" si="134">D280+D281+D282-D279</f>
        <v>0</v>
      </c>
      <c r="E283" s="309">
        <f t="shared" si="134"/>
        <v>0</v>
      </c>
      <c r="F283" s="309">
        <f t="shared" si="134"/>
        <v>0</v>
      </c>
      <c r="G283" s="309">
        <f t="shared" si="134"/>
        <v>0</v>
      </c>
      <c r="H283" s="309">
        <f t="shared" si="134"/>
        <v>0</v>
      </c>
      <c r="I283" s="309">
        <f t="shared" si="134"/>
        <v>0</v>
      </c>
      <c r="J283" s="309">
        <f t="shared" si="134"/>
        <v>0</v>
      </c>
      <c r="K283" s="309">
        <f t="shared" si="134"/>
        <v>0</v>
      </c>
      <c r="L283" s="309">
        <f t="shared" si="134"/>
        <v>0</v>
      </c>
      <c r="M283" s="309">
        <f t="shared" si="134"/>
        <v>0</v>
      </c>
      <c r="N283" s="309">
        <f t="shared" si="134"/>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5">D278</f>
        <v>2017/18</v>
      </c>
      <c r="E289" s="326" t="str">
        <f t="shared" si="135"/>
        <v>2018/19</v>
      </c>
      <c r="F289" s="326" t="str">
        <f t="shared" si="135"/>
        <v>2019/20</v>
      </c>
      <c r="G289" s="326" t="str">
        <f t="shared" si="135"/>
        <v>2020/21</v>
      </c>
      <c r="H289" s="326" t="str">
        <f t="shared" si="135"/>
        <v>2021/22</v>
      </c>
      <c r="I289" s="326" t="str">
        <f t="shared" si="135"/>
        <v>2022/23</v>
      </c>
      <c r="J289" s="326" t="str">
        <f t="shared" si="135"/>
        <v>2023/24</v>
      </c>
      <c r="K289" s="326" t="str">
        <f t="shared" si="135"/>
        <v>2024/25</v>
      </c>
      <c r="L289" s="326" t="str">
        <f t="shared" si="135"/>
        <v>2025/26</v>
      </c>
      <c r="M289" s="326" t="str">
        <f t="shared" si="135"/>
        <v>2026/27</v>
      </c>
      <c r="N289" s="326" t="str">
        <f t="shared" si="135"/>
        <v>2027/28</v>
      </c>
    </row>
    <row r="290" spans="2:14" s="327" customFormat="1" ht="15.75">
      <c r="B290" s="340"/>
      <c r="C290" s="459">
        <f>C53+C69-C15</f>
        <v>0</v>
      </c>
      <c r="D290" s="459">
        <f>D53+D69-D15</f>
        <v>0</v>
      </c>
      <c r="E290" s="459">
        <f>E53+E69-E15</f>
        <v>0</v>
      </c>
      <c r="F290" s="459">
        <f t="shared" ref="F290:N290" si="136">F53+F69-F15</f>
        <v>0</v>
      </c>
      <c r="G290" s="459">
        <f t="shared" si="136"/>
        <v>0</v>
      </c>
      <c r="H290" s="459">
        <f t="shared" si="136"/>
        <v>0</v>
      </c>
      <c r="I290" s="459">
        <f t="shared" si="136"/>
        <v>0</v>
      </c>
      <c r="J290" s="459">
        <f t="shared" si="136"/>
        <v>0</v>
      </c>
      <c r="K290" s="459">
        <f t="shared" si="136"/>
        <v>0</v>
      </c>
      <c r="L290" s="459">
        <f t="shared" si="136"/>
        <v>0</v>
      </c>
      <c r="M290" s="459">
        <f t="shared" si="136"/>
        <v>0</v>
      </c>
      <c r="N290" s="459">
        <f t="shared" si="136"/>
        <v>0</v>
      </c>
    </row>
    <row r="291" spans="2:14" ht="15.75">
      <c r="B291" s="340"/>
      <c r="H291" s="327"/>
    </row>
    <row r="292" spans="2:14" ht="15.75">
      <c r="B292" s="340" t="s">
        <v>263</v>
      </c>
      <c r="H292" s="327"/>
    </row>
    <row r="293" spans="2:14" ht="15.75">
      <c r="B293" s="340"/>
      <c r="C293" s="365" t="str">
        <f t="shared" ref="C293:N293" si="137">C262</f>
        <v>2016/17</v>
      </c>
      <c r="D293" s="365" t="str">
        <f t="shared" si="137"/>
        <v>2017/18</v>
      </c>
      <c r="E293" s="365" t="str">
        <f t="shared" si="137"/>
        <v>2018/19</v>
      </c>
      <c r="F293" s="365" t="str">
        <f t="shared" si="137"/>
        <v>2019/20</v>
      </c>
      <c r="G293" s="365" t="str">
        <f t="shared" si="137"/>
        <v>2020/21</v>
      </c>
      <c r="H293" s="365" t="str">
        <f t="shared" si="137"/>
        <v>2021/22</v>
      </c>
      <c r="I293" s="365" t="str">
        <f t="shared" si="137"/>
        <v>2022/23</v>
      </c>
      <c r="J293" s="365" t="str">
        <f t="shared" si="137"/>
        <v>2023/24</v>
      </c>
      <c r="K293" s="365" t="str">
        <f t="shared" si="137"/>
        <v>2024/25</v>
      </c>
      <c r="L293" s="365" t="str">
        <f t="shared" si="137"/>
        <v>2025/26</v>
      </c>
      <c r="M293" s="365" t="str">
        <f t="shared" si="137"/>
        <v>2026/27</v>
      </c>
      <c r="N293" s="365" t="str">
        <f t="shared" si="137"/>
        <v>2027/28</v>
      </c>
    </row>
    <row r="294" spans="2:14" s="327" customFormat="1">
      <c r="B294" s="363" t="s">
        <v>266</v>
      </c>
      <c r="C294" s="459">
        <f>C36-C15+C279-C290</f>
        <v>818.75145377217302</v>
      </c>
      <c r="D294" s="459">
        <f t="shared" ref="D294:N294" si="138">D36-D15+D279-D290</f>
        <v>927.93654352597684</v>
      </c>
      <c r="E294" s="459">
        <f t="shared" si="138"/>
        <v>817.25785947076361</v>
      </c>
      <c r="F294" s="459">
        <f t="shared" si="138"/>
        <v>821.31614638925009</v>
      </c>
      <c r="G294" s="459">
        <f t="shared" si="138"/>
        <v>922.91788492748583</v>
      </c>
      <c r="H294" s="459">
        <f t="shared" si="138"/>
        <v>941.38089751993812</v>
      </c>
      <c r="I294" s="459">
        <f t="shared" si="138"/>
        <v>948.22222537427285</v>
      </c>
      <c r="J294" s="459">
        <f t="shared" si="138"/>
        <v>962.85061924353772</v>
      </c>
      <c r="K294" s="459">
        <f t="shared" si="138"/>
        <v>926.77228411941587</v>
      </c>
      <c r="L294" s="459">
        <f t="shared" si="138"/>
        <v>890.58828211018431</v>
      </c>
      <c r="M294" s="459">
        <f t="shared" si="138"/>
        <v>872.01931104115033</v>
      </c>
      <c r="N294" s="459">
        <f t="shared" si="138"/>
        <v>891.42260405371076</v>
      </c>
    </row>
    <row r="295" spans="2:14" s="327" customFormat="1" ht="12.75" customHeight="1">
      <c r="B295" s="1243" t="s">
        <v>264</v>
      </c>
      <c r="C295" s="1243"/>
      <c r="D295" s="1243"/>
      <c r="E295" s="1243"/>
      <c r="F295" s="1243"/>
      <c r="G295" s="1243"/>
      <c r="H295" s="1243"/>
      <c r="I295" s="1243"/>
      <c r="J295" s="1243"/>
      <c r="K295" s="1243"/>
      <c r="L295" s="1243"/>
      <c r="M295" s="1243"/>
      <c r="N295" s="1243"/>
    </row>
    <row r="296" spans="2:14" s="327" customFormat="1">
      <c r="B296" s="326" t="s">
        <v>558</v>
      </c>
      <c r="C296" s="282">
        <f>IF(C294&lt;0,0,C294)</f>
        <v>818.75145377217302</v>
      </c>
      <c r="D296" s="282">
        <f t="shared" ref="D296:N296" si="139">IF(D294&lt;0,0,D294)</f>
        <v>927.93654352597684</v>
      </c>
      <c r="E296" s="282">
        <f t="shared" si="139"/>
        <v>817.25785947076361</v>
      </c>
      <c r="F296" s="282">
        <f t="shared" si="139"/>
        <v>821.31614638925009</v>
      </c>
      <c r="G296" s="282">
        <f t="shared" si="139"/>
        <v>922.91788492748583</v>
      </c>
      <c r="H296" s="282">
        <f t="shared" si="139"/>
        <v>941.38089751993812</v>
      </c>
      <c r="I296" s="282">
        <f t="shared" si="139"/>
        <v>948.22222537427285</v>
      </c>
      <c r="J296" s="282">
        <f t="shared" si="139"/>
        <v>962.85061924353772</v>
      </c>
      <c r="K296" s="282">
        <f t="shared" si="139"/>
        <v>926.77228411941587</v>
      </c>
      <c r="L296" s="282">
        <f t="shared" si="139"/>
        <v>890.58828211018431</v>
      </c>
      <c r="M296" s="282">
        <f t="shared" si="139"/>
        <v>872.01931104115033</v>
      </c>
      <c r="N296" s="282">
        <f t="shared" si="139"/>
        <v>891.42260405371076</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0">B262</f>
        <v>Age group</v>
      </c>
      <c r="C302" s="338" t="str">
        <f>C293</f>
        <v>2016/17</v>
      </c>
      <c r="D302" s="338" t="str">
        <f t="shared" ref="D302:N302" si="141">D293</f>
        <v>2017/18</v>
      </c>
      <c r="E302" s="338" t="str">
        <f t="shared" si="141"/>
        <v>2018/19</v>
      </c>
      <c r="F302" s="338" t="str">
        <f t="shared" si="141"/>
        <v>2019/20</v>
      </c>
      <c r="G302" s="338" t="str">
        <f t="shared" si="141"/>
        <v>2020/21</v>
      </c>
      <c r="H302" s="338" t="str">
        <f t="shared" si="141"/>
        <v>2021/22</v>
      </c>
      <c r="I302" s="338" t="str">
        <f t="shared" si="141"/>
        <v>2022/23</v>
      </c>
      <c r="J302" s="338" t="str">
        <f t="shared" si="141"/>
        <v>2023/24</v>
      </c>
      <c r="K302" s="338" t="str">
        <f t="shared" si="141"/>
        <v>2024/25</v>
      </c>
      <c r="L302" s="338" t="str">
        <f t="shared" si="141"/>
        <v>2025/26</v>
      </c>
      <c r="M302" s="338" t="str">
        <f t="shared" si="141"/>
        <v>2026/27</v>
      </c>
      <c r="N302" s="338" t="str">
        <f t="shared" si="141"/>
        <v>2027/28</v>
      </c>
    </row>
    <row r="303" spans="2:14">
      <c r="B303" s="338" t="str">
        <f t="shared" si="140"/>
        <v>20-24</v>
      </c>
      <c r="C303" s="459">
        <f>C$296*Entrant_age_breakdowns!$K76*$G$31</f>
        <v>48.70064960091522</v>
      </c>
      <c r="D303" s="459">
        <f>D$296*Entrant_age_breakdowns!$K76*$G$31</f>
        <v>55.19515385278077</v>
      </c>
      <c r="E303" s="459">
        <f>E$296*Entrant_age_breakdowns!$K76*$G$31</f>
        <v>48.611808216409898</v>
      </c>
      <c r="F303" s="459">
        <f>F$296*Entrant_age_breakdowns!$K76*$G$31</f>
        <v>48.853201631086122</v>
      </c>
      <c r="G303" s="459">
        <f>G$296*Entrant_age_breakdowns!$K76*$G$31</f>
        <v>54.896635990313875</v>
      </c>
      <c r="H303" s="459">
        <f>H$296*Entrant_age_breakdowns!$K76*$G$31</f>
        <v>55.994845590675091</v>
      </c>
      <c r="I303" s="459">
        <f>I$296*Entrant_age_breakdowns!$K76*$G$31</f>
        <v>56.401778743714296</v>
      </c>
      <c r="J303" s="459">
        <f>J$296*Entrant_age_breakdowns!$K76*$G$31</f>
        <v>57.271899072379362</v>
      </c>
      <c r="K303" s="459">
        <f>K$296*Entrant_age_breakdowns!$K76*$G$31</f>
        <v>55.125901836015167</v>
      </c>
      <c r="L303" s="459">
        <f>L$296*Entrant_age_breakdowns!$K76*$G$31</f>
        <v>52.973619363853906</v>
      </c>
      <c r="M303" s="459">
        <f>M$296*Entrant_age_breakdowns!$K76*$G$31</f>
        <v>51.869107183367205</v>
      </c>
      <c r="N303" s="459">
        <f>N$296*Entrant_age_breakdowns!$K76*$G$31</f>
        <v>53.023246171157673</v>
      </c>
    </row>
    <row r="304" spans="2:14">
      <c r="B304" s="338" t="str">
        <f t="shared" si="140"/>
        <v>25-29</v>
      </c>
      <c r="C304" s="459">
        <f>C$296*Entrant_age_breakdowns!$K77*$G$31</f>
        <v>50.355414289547014</v>
      </c>
      <c r="D304" s="459">
        <f>D$296*Entrant_age_breakdowns!$K77*$G$31</f>
        <v>57.070590676060107</v>
      </c>
      <c r="E304" s="459">
        <f>E$296*Entrant_age_breakdowns!$K77*$G$31</f>
        <v>50.263554226909605</v>
      </c>
      <c r="F304" s="459">
        <f>F$296*Entrant_age_breakdowns!$K77*$G$31</f>
        <v>50.513149776504925</v>
      </c>
      <c r="G304" s="459">
        <f>G$296*Entrant_age_breakdowns!$K77*$G$31</f>
        <v>56.761929687746139</v>
      </c>
      <c r="H304" s="459">
        <f>H$296*Entrant_age_breakdowns!$K77*$G$31</f>
        <v>57.897454569983189</v>
      </c>
      <c r="I304" s="459">
        <f>I$296*Entrant_age_breakdowns!$K77*$G$31</f>
        <v>58.318214614815432</v>
      </c>
      <c r="J304" s="459">
        <f>J$296*Entrant_age_breakdowns!$K77*$G$31</f>
        <v>59.217900142436463</v>
      </c>
      <c r="K304" s="459">
        <f>K$296*Entrant_age_breakdowns!$K77*$G$31</f>
        <v>56.998985594337469</v>
      </c>
      <c r="L304" s="459">
        <f>L$296*Entrant_age_breakdowns!$K77*$G$31</f>
        <v>54.773572248890559</v>
      </c>
      <c r="M304" s="459">
        <f>M$296*Entrant_age_breakdowns!$K77*$G$31</f>
        <v>53.631530635646584</v>
      </c>
      <c r="N304" s="459">
        <f>N$296*Entrant_age_breakdowns!$K77*$G$31</f>
        <v>54.824885290135946</v>
      </c>
    </row>
    <row r="305" spans="1:14">
      <c r="B305" s="338" t="str">
        <f t="shared" si="140"/>
        <v>30-34</v>
      </c>
      <c r="C305" s="459">
        <f>C$296*Entrant_age_breakdowns!$K78*$G$31</f>
        <v>24.997182052650892</v>
      </c>
      <c r="D305" s="459">
        <f>D$296*Entrant_age_breakdowns!$K78*$G$31</f>
        <v>28.33069621428843</v>
      </c>
      <c r="E305" s="459">
        <f>E$296*Entrant_age_breakdowns!$K78*$G$31</f>
        <v>24.951581341356739</v>
      </c>
      <c r="F305" s="459">
        <f>F$296*Entrant_age_breakdowns!$K78*$G$31</f>
        <v>25.075484311489998</v>
      </c>
      <c r="G305" s="459">
        <f>G$296*Entrant_age_breakdowns!$K78*$G$31</f>
        <v>28.177472275486743</v>
      </c>
      <c r="H305" s="459">
        <f>H$296*Entrant_age_breakdowns!$K78*$G$31</f>
        <v>28.741163838888031</v>
      </c>
      <c r="I305" s="459">
        <f>I$296*Entrant_age_breakdowns!$K78*$G$31</f>
        <v>28.950035428756699</v>
      </c>
      <c r="J305" s="459">
        <f>J$296*Entrant_age_breakdowns!$K78*$G$31</f>
        <v>29.396652803300803</v>
      </c>
      <c r="K305" s="459">
        <f>K$296*Entrant_age_breakdowns!$K78*$G$31</f>
        <v>28.295150378970238</v>
      </c>
      <c r="L305" s="459">
        <f>L$296*Entrant_age_breakdowns!$K78*$G$31</f>
        <v>27.190421854274472</v>
      </c>
      <c r="M305" s="459">
        <f>M$296*Entrant_age_breakdowns!$K78*$G$31</f>
        <v>26.623495287970979</v>
      </c>
      <c r="N305" s="459">
        <f>N$296*Entrant_age_breakdowns!$K78*$G$31</f>
        <v>27.215894416694685</v>
      </c>
    </row>
    <row r="306" spans="1:14">
      <c r="B306" s="338" t="str">
        <f t="shared" si="140"/>
        <v>35-39</v>
      </c>
      <c r="C306" s="459">
        <f>C$296*Entrant_age_breakdowns!$K79*$G$31</f>
        <v>17.861594655544796</v>
      </c>
      <c r="D306" s="459">
        <f>D$296*Entrant_age_breakdowns!$K79*$G$31</f>
        <v>20.243538292562622</v>
      </c>
      <c r="E306" s="459">
        <f>E$296*Entrant_age_breakdowns!$K79*$G$31</f>
        <v>17.829010925929786</v>
      </c>
      <c r="F306" s="459">
        <f>F$296*Entrant_age_breakdowns!$K79*$G$31</f>
        <v>17.917545090479898</v>
      </c>
      <c r="G306" s="459">
        <f>G$296*Entrant_age_breakdowns!$K79*$G$31</f>
        <v>20.134052996154519</v>
      </c>
      <c r="H306" s="459">
        <f>H$296*Entrant_age_breakdowns!$K79*$G$31</f>
        <v>20.53683560561095</v>
      </c>
      <c r="I306" s="459">
        <f>I$296*Entrant_age_breakdowns!$K79*$G$31</f>
        <v>20.686083615464032</v>
      </c>
      <c r="J306" s="459">
        <f>J$296*Entrant_age_breakdowns!$K79*$G$31</f>
        <v>21.005211527299377</v>
      </c>
      <c r="K306" s="459">
        <f>K$296*Entrant_age_breakdowns!$K79*$G$31</f>
        <v>20.218139217546526</v>
      </c>
      <c r="L306" s="459">
        <f>L$296*Entrant_age_breakdowns!$K79*$G$31</f>
        <v>19.428761716075666</v>
      </c>
      <c r="M306" s="459">
        <f>M$296*Entrant_age_breakdowns!$K79*$G$31</f>
        <v>19.023667553643907</v>
      </c>
      <c r="N306" s="459">
        <f>N$296*Entrant_age_breakdowns!$K79*$G$31</f>
        <v>19.446962991076564</v>
      </c>
    </row>
    <row r="307" spans="1:14">
      <c r="B307" s="338" t="str">
        <f t="shared" si="140"/>
        <v>40-44</v>
      </c>
      <c r="C307" s="459">
        <f>C$296*Entrant_age_breakdowns!$K80*$G$31</f>
        <v>15.518639023833478</v>
      </c>
      <c r="D307" s="459">
        <f>D$296*Entrant_age_breakdowns!$K80*$G$31</f>
        <v>17.588136411432167</v>
      </c>
      <c r="E307" s="459">
        <f>E$296*Entrant_age_breakdowns!$K80*$G$31</f>
        <v>15.490329393719431</v>
      </c>
      <c r="F307" s="459">
        <f>F$296*Entrant_age_breakdowns!$K80*$G$31</f>
        <v>15.567250282779204</v>
      </c>
      <c r="G307" s="459">
        <f>G$296*Entrant_age_breakdowns!$K80*$G$31</f>
        <v>17.493012609434604</v>
      </c>
      <c r="H307" s="459">
        <f>H$296*Entrant_age_breakdowns!$K80*$G$31</f>
        <v>17.842961090618598</v>
      </c>
      <c r="I307" s="459">
        <f>I$296*Entrant_age_breakdowns!$K80*$G$31</f>
        <v>17.972631819050257</v>
      </c>
      <c r="J307" s="459">
        <f>J$296*Entrant_age_breakdowns!$K80*$G$31</f>
        <v>18.249898824696086</v>
      </c>
      <c r="K307" s="459">
        <f>K$296*Entrant_age_breakdowns!$K80*$G$31</f>
        <v>17.566069004556393</v>
      </c>
      <c r="L307" s="459">
        <f>L$296*Entrant_age_breakdowns!$K80*$G$31</f>
        <v>16.880236371182917</v>
      </c>
      <c r="M307" s="459">
        <f>M$296*Entrant_age_breakdowns!$K80*$G$31</f>
        <v>16.528279549931845</v>
      </c>
      <c r="N307" s="459">
        <f>N$296*Entrant_age_breakdowns!$K80*$G$31</f>
        <v>16.896050133725382</v>
      </c>
    </row>
    <row r="308" spans="1:14">
      <c r="B308" s="338" t="str">
        <f t="shared" si="140"/>
        <v>45-49</v>
      </c>
      <c r="C308" s="459">
        <f>C$296*Entrant_age_breakdowns!$K81*$G$31</f>
        <v>12.348907153675269</v>
      </c>
      <c r="D308" s="459">
        <f>D$296*Entrant_age_breakdowns!$K81*$G$31</f>
        <v>13.995703052141678</v>
      </c>
      <c r="E308" s="459">
        <f>E$296*Entrant_age_breakdowns!$K81*$G$31</f>
        <v>12.326379856449247</v>
      </c>
      <c r="F308" s="459">
        <f>F$296*Entrant_age_breakdowns!$K81*$G$31</f>
        <v>12.387589406830468</v>
      </c>
      <c r="G308" s="459">
        <f>G$296*Entrant_age_breakdowns!$K81*$G$31</f>
        <v>13.920008592262278</v>
      </c>
      <c r="H308" s="459">
        <f>H$296*Entrant_age_breakdowns!$K81*$G$31</f>
        <v>14.19847897204712</v>
      </c>
      <c r="I308" s="459">
        <f>I$296*Entrant_age_breakdowns!$K81*$G$31</f>
        <v>14.301664037663556</v>
      </c>
      <c r="J308" s="459">
        <f>J$296*Entrant_age_breakdowns!$K81*$G$31</f>
        <v>14.522298366759001</v>
      </c>
      <c r="K308" s="459">
        <f>K$296*Entrant_age_breakdowns!$K81*$G$31</f>
        <v>13.978142984006013</v>
      </c>
      <c r="L308" s="459">
        <f>L$296*Entrant_age_breakdowns!$K81*$G$31</f>
        <v>13.432393869055756</v>
      </c>
      <c r="M308" s="459">
        <f>M$296*Entrant_age_breakdowns!$K81*$G$31</f>
        <v>13.152325359113799</v>
      </c>
      <c r="N308" s="459">
        <f>N$296*Entrant_age_breakdowns!$K81*$G$31</f>
        <v>13.444977619801374</v>
      </c>
    </row>
    <row r="309" spans="1:14">
      <c r="B309" s="338" t="str">
        <f t="shared" si="140"/>
        <v>50-54</v>
      </c>
      <c r="C309" s="459">
        <f>C$296*Entrant_age_breakdowns!$K82*$G$31</f>
        <v>9.0336277217890615</v>
      </c>
      <c r="D309" s="459">
        <f>D$296*Entrant_age_breakdowns!$K82*$G$31</f>
        <v>10.238312548987485</v>
      </c>
      <c r="E309" s="459">
        <f>E$296*Entrant_age_breakdowns!$K82*$G$31</f>
        <v>9.0171482702727861</v>
      </c>
      <c r="F309" s="459">
        <f>F$296*Entrant_age_breakdowns!$K82*$G$31</f>
        <v>9.0619250496493695</v>
      </c>
      <c r="G309" s="459">
        <f>G$296*Entrant_age_breakdowns!$K82*$G$31</f>
        <v>10.182939586615758</v>
      </c>
      <c r="H309" s="459">
        <f>H$296*Entrant_age_breakdowns!$K82*$G$31</f>
        <v>10.386649737742193</v>
      </c>
      <c r="I309" s="459">
        <f>I$296*Entrant_age_breakdowns!$K82*$G$31</f>
        <v>10.462132973434821</v>
      </c>
      <c r="J309" s="459">
        <f>J$296*Entrant_age_breakdowns!$K82*$G$31</f>
        <v>10.623534170066359</v>
      </c>
      <c r="K309" s="459">
        <f>K$296*Entrant_age_breakdowns!$K82*$G$31</f>
        <v>10.225466787307301</v>
      </c>
      <c r="L309" s="459">
        <f>L$296*Entrant_age_breakdowns!$K82*$G$31</f>
        <v>9.8262335375464733</v>
      </c>
      <c r="M309" s="459">
        <f>M$296*Entrant_age_breakdowns!$K82*$G$31</f>
        <v>9.621354302167429</v>
      </c>
      <c r="N309" s="459">
        <f>N$296*Entrant_age_breakdowns!$K82*$G$31</f>
        <v>9.8354389610033888</v>
      </c>
    </row>
    <row r="310" spans="1:14">
      <c r="B310" s="338" t="str">
        <f t="shared" si="140"/>
        <v>55-59</v>
      </c>
      <c r="C310" s="459">
        <f>C$296*Entrant_age_breakdowns!$K83*$G$31</f>
        <v>6.1502975034768541</v>
      </c>
      <c r="D310" s="459">
        <f>D$296*Entrant_age_breakdowns!$K83*$G$31</f>
        <v>6.9704741051010322</v>
      </c>
      <c r="E310" s="459">
        <f>E$296*Entrant_age_breakdowns!$K83*$G$31</f>
        <v>6.1390779211960007</v>
      </c>
      <c r="F310" s="459">
        <f>F$296*Entrant_age_breakdowns!$K83*$G$31</f>
        <v>6.1695629625210149</v>
      </c>
      <c r="G310" s="459">
        <f>G$296*Entrant_age_breakdowns!$K83*$G$31</f>
        <v>6.932774943399524</v>
      </c>
      <c r="H310" s="459">
        <f>H$296*Entrant_age_breakdowns!$K83*$G$31</f>
        <v>7.0714654089014246</v>
      </c>
      <c r="I310" s="459">
        <f>I$296*Entrant_age_breakdowns!$K83*$G$31</f>
        <v>7.1228560982603595</v>
      </c>
      <c r="J310" s="459">
        <f>J$296*Entrant_age_breakdowns!$K83*$G$31</f>
        <v>7.2327416732776726</v>
      </c>
      <c r="K310" s="459">
        <f>K$296*Entrant_age_breakdowns!$K83*$G$31</f>
        <v>6.9617284208172592</v>
      </c>
      <c r="L310" s="459">
        <f>L$296*Entrant_age_breakdowns!$K83*$G$31</f>
        <v>6.6899214198062982</v>
      </c>
      <c r="M310" s="459">
        <f>M$296*Entrant_age_breakdowns!$K83*$G$31</f>
        <v>6.5504350153769115</v>
      </c>
      <c r="N310" s="459">
        <f>N$296*Entrant_age_breakdowns!$K83*$G$31</f>
        <v>6.696188679721045</v>
      </c>
    </row>
    <row r="311" spans="1:14">
      <c r="B311" s="338" t="str">
        <f t="shared" si="140"/>
        <v>60-64</v>
      </c>
      <c r="C311" s="459">
        <f>C$296*Entrant_age_breakdowns!$K84*$G$31</f>
        <v>3.010795352737984</v>
      </c>
      <c r="D311" s="459">
        <f>D$296*Entrant_age_breakdowns!$K84*$G$31</f>
        <v>3.4123017675412561</v>
      </c>
      <c r="E311" s="459">
        <f>E$296*Entrant_age_breakdowns!$K84*$G$31</f>
        <v>3.0053029572608936</v>
      </c>
      <c r="F311" s="459">
        <f>F$296*Entrant_age_breakdowns!$K84*$G$31</f>
        <v>3.0202264988777818</v>
      </c>
      <c r="G311" s="459">
        <f>G$296*Entrant_age_breakdowns!$K84*$G$31</f>
        <v>3.3938466504044262</v>
      </c>
      <c r="H311" s="459">
        <f>H$296*Entrant_age_breakdowns!$K84*$G$31</f>
        <v>3.4617407008574546</v>
      </c>
      <c r="I311" s="459">
        <f>I$296*Entrant_age_breakdowns!$K84*$G$31</f>
        <v>3.4868983210552438</v>
      </c>
      <c r="J311" s="459">
        <f>J$296*Entrant_age_breakdowns!$K84*$G$31</f>
        <v>3.5406913251185492</v>
      </c>
      <c r="K311" s="459">
        <f>K$296*Entrant_age_breakdowns!$K84*$G$31</f>
        <v>3.4080204355271202</v>
      </c>
      <c r="L311" s="459">
        <f>L$296*Entrant_age_breakdowns!$K84*$G$31</f>
        <v>3.2749609770175407</v>
      </c>
      <c r="M311" s="459">
        <f>M$296*Entrant_age_breakdowns!$K84*$G$31</f>
        <v>3.2066772853768168</v>
      </c>
      <c r="N311" s="459">
        <f>N$296*Entrant_age_breakdowns!$K84*$G$31</f>
        <v>3.2780290297442671</v>
      </c>
    </row>
    <row r="312" spans="1:14">
      <c r="B312" s="338" t="str">
        <f t="shared" si="140"/>
        <v>65 plus</v>
      </c>
      <c r="C312" s="459">
        <f>C$296*Entrant_age_breakdowns!$K85*$G$31</f>
        <v>0.75512884520306567</v>
      </c>
      <c r="D312" s="459">
        <f>D$296*Entrant_age_breakdowns!$K85*$G$31</f>
        <v>0.85582950394305657</v>
      </c>
      <c r="E312" s="459">
        <f>E$296*Entrant_age_breakdowns!$K85*$G$31</f>
        <v>0.75375131343218593</v>
      </c>
      <c r="F312" s="459">
        <f>F$296*Entrant_age_breakdowns!$K85*$G$31</f>
        <v>0.75749424359754991</v>
      </c>
      <c r="G312" s="459">
        <f>G$296*Entrant_age_breakdowns!$K85*$G$31</f>
        <v>0.85120082957003795</v>
      </c>
      <c r="H312" s="459">
        <f>H$296*Entrant_age_breakdowns!$K85*$G$31</f>
        <v>0.86822913933812995</v>
      </c>
      <c r="I312" s="459">
        <f>I$296*Entrant_age_breakdowns!$K85*$G$31</f>
        <v>0.87453884905345081</v>
      </c>
      <c r="J312" s="459">
        <f>J$296*Entrant_age_breakdowns!$K85*$G$31</f>
        <v>0.88803051629725316</v>
      </c>
      <c r="K312" s="459">
        <f>K$296*Entrant_age_breakdowns!$K85*$G$31</f>
        <v>0.85475571548485885</v>
      </c>
      <c r="L312" s="459">
        <f>L$296*Entrant_age_breakdowns!$K85*$G$31</f>
        <v>0.82138345882971575</v>
      </c>
      <c r="M312" s="459">
        <f>M$296*Entrant_age_breakdowns!$K85*$G$31</f>
        <v>0.80425742428606228</v>
      </c>
      <c r="N312" s="459">
        <f>N$296*Entrant_age_breakdowns!$K85*$G$31</f>
        <v>0.82215294823073004</v>
      </c>
    </row>
    <row r="313" spans="1:14">
      <c r="B313" s="338" t="str">
        <f t="shared" si="140"/>
        <v>Total</v>
      </c>
      <c r="C313" s="459">
        <f>SUM(C303:C312)</f>
        <v>188.73223619937363</v>
      </c>
      <c r="D313" s="459">
        <f t="shared" ref="D313:N313" si="142">SUM(D303:D312)</f>
        <v>213.90073642483864</v>
      </c>
      <c r="E313" s="459">
        <f t="shared" si="142"/>
        <v>188.38794442293658</v>
      </c>
      <c r="F313" s="459">
        <f t="shared" si="142"/>
        <v>189.32342925381636</v>
      </c>
      <c r="G313" s="459">
        <f t="shared" si="142"/>
        <v>212.74387416138791</v>
      </c>
      <c r="H313" s="459">
        <f t="shared" si="142"/>
        <v>216.99982465466218</v>
      </c>
      <c r="I313" s="459">
        <f t="shared" si="142"/>
        <v>218.57683450126817</v>
      </c>
      <c r="J313" s="459">
        <f t="shared" si="142"/>
        <v>221.94885842163094</v>
      </c>
      <c r="K313" s="459">
        <f t="shared" si="142"/>
        <v>213.63236037456835</v>
      </c>
      <c r="L313" s="459">
        <f t="shared" si="142"/>
        <v>205.29150481653329</v>
      </c>
      <c r="M313" s="459">
        <f t="shared" si="142"/>
        <v>201.01112959688155</v>
      </c>
      <c r="N313" s="459">
        <f t="shared" si="142"/>
        <v>205.48382624129104</v>
      </c>
    </row>
    <row r="314" spans="1:14">
      <c r="A314" s="309">
        <f>SUM(C314:N314)</f>
        <v>0</v>
      </c>
      <c r="C314" s="309">
        <f t="shared" ref="C314:N314" si="143">SUM(C303:C312)-C313</f>
        <v>0</v>
      </c>
      <c r="D314" s="309">
        <f t="shared" si="143"/>
        <v>0</v>
      </c>
      <c r="E314" s="309">
        <f t="shared" si="143"/>
        <v>0</v>
      </c>
      <c r="F314" s="309">
        <f t="shared" si="143"/>
        <v>0</v>
      </c>
      <c r="G314" s="309">
        <f t="shared" si="143"/>
        <v>0</v>
      </c>
      <c r="H314" s="309">
        <f t="shared" si="143"/>
        <v>0</v>
      </c>
      <c r="I314" s="309">
        <f t="shared" si="143"/>
        <v>0</v>
      </c>
      <c r="J314" s="309">
        <f t="shared" si="143"/>
        <v>0</v>
      </c>
      <c r="K314" s="309">
        <f t="shared" si="143"/>
        <v>0</v>
      </c>
      <c r="L314" s="309">
        <f t="shared" si="143"/>
        <v>0</v>
      </c>
      <c r="M314" s="309">
        <f t="shared" si="143"/>
        <v>0</v>
      </c>
      <c r="N314" s="309">
        <f t="shared" si="143"/>
        <v>0</v>
      </c>
    </row>
    <row r="316" spans="1:14">
      <c r="B316" s="341" t="s">
        <v>50</v>
      </c>
      <c r="H316" s="325"/>
    </row>
    <row r="317" spans="1:14">
      <c r="H317" s="325"/>
    </row>
    <row r="318" spans="1:14">
      <c r="B318" s="338" t="str">
        <f t="shared" ref="B318:B329" si="144">B302</f>
        <v>Age group</v>
      </c>
      <c r="C318" s="338" t="str">
        <f>C293</f>
        <v>2016/17</v>
      </c>
      <c r="D318" s="338" t="str">
        <f t="shared" ref="D318:N318" si="145">D302</f>
        <v>2017/18</v>
      </c>
      <c r="E318" s="338" t="str">
        <f t="shared" si="145"/>
        <v>2018/19</v>
      </c>
      <c r="F318" s="338" t="str">
        <f t="shared" si="145"/>
        <v>2019/20</v>
      </c>
      <c r="G318" s="338" t="str">
        <f t="shared" si="145"/>
        <v>2020/21</v>
      </c>
      <c r="H318" s="338" t="str">
        <f t="shared" si="145"/>
        <v>2021/22</v>
      </c>
      <c r="I318" s="338" t="str">
        <f t="shared" si="145"/>
        <v>2022/23</v>
      </c>
      <c r="J318" s="338" t="str">
        <f t="shared" si="145"/>
        <v>2023/24</v>
      </c>
      <c r="K318" s="338" t="str">
        <f t="shared" si="145"/>
        <v>2024/25</v>
      </c>
      <c r="L318" s="338" t="str">
        <f t="shared" si="145"/>
        <v>2025/26</v>
      </c>
      <c r="M318" s="338" t="str">
        <f t="shared" si="145"/>
        <v>2026/27</v>
      </c>
      <c r="N318" s="338" t="str">
        <f t="shared" si="145"/>
        <v>2027/28</v>
      </c>
    </row>
    <row r="319" spans="1:14">
      <c r="B319" s="338" t="str">
        <f t="shared" si="144"/>
        <v>20-24</v>
      </c>
      <c r="C319" s="459">
        <f>C$296*Entrant_age_breakdowns!$K76*$H$31</f>
        <v>162.5707710284498</v>
      </c>
      <c r="D319" s="459">
        <f>D$296*Entrant_age_breakdowns!$K76*$H$31</f>
        <v>184.25049342076642</v>
      </c>
      <c r="E319" s="459">
        <f>E$296*Entrant_age_breakdowns!$K76*$H$31</f>
        <v>162.27420388824487</v>
      </c>
      <c r="F319" s="459">
        <f>F$296*Entrant_age_breakdowns!$K76*$H$31</f>
        <v>163.08001477304191</v>
      </c>
      <c r="G319" s="459">
        <f>G$296*Entrant_age_breakdowns!$K76*$H$31</f>
        <v>183.25399174235565</v>
      </c>
      <c r="H319" s="459">
        <f>H$296*Entrant_age_breakdowns!$K76*$H$31</f>
        <v>186.91999584999311</v>
      </c>
      <c r="I319" s="459">
        <f>I$296*Entrant_age_breakdowns!$K76*$H$31</f>
        <v>188.27840558351292</v>
      </c>
      <c r="J319" s="459">
        <f>J$296*Entrant_age_breakdowns!$K76*$H$31</f>
        <v>191.18301022180404</v>
      </c>
      <c r="K319" s="459">
        <f>K$296*Entrant_age_breakdowns!$K76*$H$31</f>
        <v>184.01931880906992</v>
      </c>
      <c r="L319" s="459">
        <f>L$296*Entrant_age_breakdowns!$K76*$H$31</f>
        <v>176.83464624643332</v>
      </c>
      <c r="M319" s="459">
        <f>M$296*Entrant_age_breakdowns!$K76*$H$31</f>
        <v>173.14760309067503</v>
      </c>
      <c r="N319" s="459">
        <f>N$296*Entrant_age_breakdowns!$K76*$H$31</f>
        <v>177.00030868406336</v>
      </c>
    </row>
    <row r="320" spans="1:14">
      <c r="B320" s="338" t="str">
        <f t="shared" si="144"/>
        <v>25-29</v>
      </c>
      <c r="C320" s="459">
        <f>C$296*Entrant_age_breakdowns!$K77*$H$31</f>
        <v>168.09464747580765</v>
      </c>
      <c r="D320" s="459">
        <f>D$296*Entrant_age_breakdowns!$K77*$H$31</f>
        <v>190.51100971519259</v>
      </c>
      <c r="E320" s="459">
        <f>E$296*Entrant_age_breakdowns!$K77*$H$31</f>
        <v>167.78800349195811</v>
      </c>
      <c r="F320" s="459">
        <f>F$296*Entrant_age_breakdowns!$K77*$H$31</f>
        <v>168.62119445091849</v>
      </c>
      <c r="G320" s="459">
        <f>G$296*Entrant_age_breakdowns!$K77*$H$31</f>
        <v>189.48064861595046</v>
      </c>
      <c r="H320" s="459">
        <f>H$296*Entrant_age_breakdowns!$K77*$H$31</f>
        <v>193.27121726626672</v>
      </c>
      <c r="I320" s="459">
        <f>I$296*Entrant_age_breakdowns!$K77*$H$31</f>
        <v>194.67578343667478</v>
      </c>
      <c r="J320" s="459">
        <f>J$296*Entrant_age_breakdowns!$K77*$H$31</f>
        <v>197.67908156733751</v>
      </c>
      <c r="K320" s="459">
        <f>K$296*Entrant_age_breakdowns!$K77*$H$31</f>
        <v>190.27198018600566</v>
      </c>
      <c r="L320" s="459">
        <f>L$296*Entrant_age_breakdowns!$K77*$H$31</f>
        <v>182.8431847512214</v>
      </c>
      <c r="M320" s="459">
        <f>M$296*Entrant_age_breakdowns!$K77*$H$31</f>
        <v>179.03086218195205</v>
      </c>
      <c r="N320" s="459">
        <f>N$296*Entrant_age_breakdowns!$K77*$H$31</f>
        <v>183.01447611483641</v>
      </c>
    </row>
    <row r="321" spans="1:14">
      <c r="B321" s="338" t="str">
        <f t="shared" si="144"/>
        <v>30-34</v>
      </c>
      <c r="C321" s="459">
        <f>C$296*Entrant_age_breakdowns!$K78*$H$31</f>
        <v>83.44470131588578</v>
      </c>
      <c r="D321" s="459">
        <f>D$296*Entrant_age_breakdowns!$K78*$H$31</f>
        <v>94.572519362105155</v>
      </c>
      <c r="E321" s="459">
        <f>E$296*Entrant_age_breakdowns!$K78*$H$31</f>
        <v>83.292478648317982</v>
      </c>
      <c r="F321" s="459">
        <f>F$296*Entrant_age_breakdowns!$K78*$H$31</f>
        <v>83.70608712279099</v>
      </c>
      <c r="G321" s="459">
        <f>G$296*Entrant_age_breakdowns!$K78*$H$31</f>
        <v>94.061032676093106</v>
      </c>
      <c r="H321" s="459">
        <f>H$296*Entrant_age_breakdowns!$K78*$H$31</f>
        <v>95.942727742490277</v>
      </c>
      <c r="I321" s="459">
        <f>I$296*Entrant_age_breakdowns!$K78*$H$31</f>
        <v>96.639975431980019</v>
      </c>
      <c r="J321" s="459">
        <f>J$296*Entrant_age_breakdowns!$K78*$H$31</f>
        <v>98.13085761793289</v>
      </c>
      <c r="K321" s="459">
        <f>K$296*Entrant_age_breakdowns!$K78*$H$31</f>
        <v>94.453861522797396</v>
      </c>
      <c r="L321" s="459">
        <f>L$296*Entrant_age_breakdowns!$K78*$H$31</f>
        <v>90.766096174518822</v>
      </c>
      <c r="M321" s="459">
        <f>M$296*Entrant_age_breakdowns!$K78*$H$31</f>
        <v>88.873602136847126</v>
      </c>
      <c r="N321" s="459">
        <f>N$296*Entrant_age_breakdowns!$K78*$H$31</f>
        <v>90.851127773617776</v>
      </c>
    </row>
    <row r="322" spans="1:14">
      <c r="B322" s="338" t="str">
        <f t="shared" si="144"/>
        <v>35-39</v>
      </c>
      <c r="C322" s="459">
        <f>C$296*Entrant_age_breakdowns!$K79*$H$31</f>
        <v>59.624938039737877</v>
      </c>
      <c r="D322" s="459">
        <f>D$296*Entrant_age_breakdowns!$K79*$H$31</f>
        <v>67.576257309389277</v>
      </c>
      <c r="E322" s="459">
        <f>E$296*Entrant_age_breakdowns!$K79*$H$31</f>
        <v>59.516168196010895</v>
      </c>
      <c r="F322" s="459">
        <f>F$296*Entrant_age_breakdowns!$K79*$H$31</f>
        <v>59.811709785521856</v>
      </c>
      <c r="G322" s="459">
        <f>G$296*Entrant_age_breakdowns!$K79*$H$31</f>
        <v>67.210777398973278</v>
      </c>
      <c r="H322" s="459">
        <f>H$296*Entrant_age_breakdowns!$K79*$H$31</f>
        <v>68.555331935982011</v>
      </c>
      <c r="I322" s="459">
        <f>I$296*Entrant_age_breakdowns!$K79*$H$31</f>
        <v>69.053546317825095</v>
      </c>
      <c r="J322" s="459">
        <f>J$296*Entrant_age_breakdowns!$K79*$H$31</f>
        <v>70.118847727742974</v>
      </c>
      <c r="K322" s="459">
        <f>K$296*Entrant_age_breakdowns!$K79*$H$31</f>
        <v>67.491471023320955</v>
      </c>
      <c r="L322" s="459">
        <f>L$296*Entrant_age_breakdowns!$K79*$H$31</f>
        <v>64.856399210147089</v>
      </c>
      <c r="M322" s="459">
        <f>M$296*Entrant_age_breakdowns!$K79*$H$31</f>
        <v>63.504128329464272</v>
      </c>
      <c r="N322" s="459">
        <f>N$296*Entrant_age_breakdowns!$K79*$H$31</f>
        <v>64.917158056997081</v>
      </c>
    </row>
    <row r="323" spans="1:14">
      <c r="B323" s="338" t="str">
        <f t="shared" si="144"/>
        <v>40-44</v>
      </c>
      <c r="C323" s="459">
        <f>C$296*Entrant_age_breakdowns!$K80*$H$31</f>
        <v>51.80376713844462</v>
      </c>
      <c r="D323" s="459">
        <f>D$296*Entrant_age_breakdowns!$K80*$H$31</f>
        <v>58.712089485277517</v>
      </c>
      <c r="E323" s="459">
        <f>E$296*Entrant_age_breakdowns!$K80*$H$31</f>
        <v>51.709264941186774</v>
      </c>
      <c r="F323" s="459">
        <f>F$296*Entrant_age_breakdowns!$K80*$H$31</f>
        <v>51.966039508777065</v>
      </c>
      <c r="G323" s="459">
        <f>G$296*Entrant_age_breakdowns!$K80*$H$31</f>
        <v>58.394550603134753</v>
      </c>
      <c r="H323" s="459">
        <f>H$296*Entrant_age_breakdowns!$K80*$H$31</f>
        <v>59.56273613808186</v>
      </c>
      <c r="I323" s="459">
        <f>I$296*Entrant_age_breakdowns!$K80*$H$31</f>
        <v>59.995598337533082</v>
      </c>
      <c r="J323" s="459">
        <f>J$296*Entrant_age_breakdowns!$K80*$H$31</f>
        <v>60.921161163860248</v>
      </c>
      <c r="K323" s="459">
        <f>K$296*Entrant_age_breakdowns!$K80*$H$31</f>
        <v>58.638424854932921</v>
      </c>
      <c r="L323" s="459">
        <f>L$296*Entrant_age_breakdowns!$K80*$H$31</f>
        <v>56.349002826321978</v>
      </c>
      <c r="M323" s="459">
        <f>M$296*Entrant_age_breakdowns!$K80*$H$31</f>
        <v>55.174113122213527</v>
      </c>
      <c r="N323" s="459">
        <f>N$296*Entrant_age_breakdowns!$K80*$H$31</f>
        <v>56.40179176426134</v>
      </c>
    </row>
    <row r="324" spans="1:14">
      <c r="B324" s="338" t="str">
        <f t="shared" si="144"/>
        <v>45-49</v>
      </c>
      <c r="C324" s="459">
        <f>C$296*Entrant_age_breakdowns!$K81*$H$31</f>
        <v>41.2226812944606</v>
      </c>
      <c r="D324" s="459">
        <f>D$296*Entrant_age_breakdowns!$K81*$H$31</f>
        <v>46.719956610787008</v>
      </c>
      <c r="E324" s="459">
        <f>E$296*Entrant_age_breakdowns!$K81*$H$31</f>
        <v>41.147481474556088</v>
      </c>
      <c r="F324" s="459">
        <f>F$296*Entrant_age_breakdowns!$K81*$H$31</f>
        <v>41.351809011895398</v>
      </c>
      <c r="G324" s="459">
        <f>G$296*Entrant_age_breakdowns!$K81*$H$31</f>
        <v>46.467276065331923</v>
      </c>
      <c r="H324" s="459">
        <f>H$296*Entrant_age_breakdowns!$K81*$H$31</f>
        <v>47.396855952277747</v>
      </c>
      <c r="I324" s="459">
        <f>I$296*Entrant_age_breakdowns!$K81*$H$31</f>
        <v>47.741304657035272</v>
      </c>
      <c r="J324" s="459">
        <f>J$296*Entrant_age_breakdowns!$K81*$H$31</f>
        <v>48.477818302958326</v>
      </c>
      <c r="K324" s="459">
        <f>K$296*Entrant_age_breakdowns!$K81*$H$31</f>
        <v>46.661338217818518</v>
      </c>
      <c r="L324" s="459">
        <f>L$296*Entrant_age_breakdowns!$K81*$H$31</f>
        <v>44.839537992716593</v>
      </c>
      <c r="M324" s="459">
        <f>M$296*Entrant_age_breakdowns!$K81*$H$31</f>
        <v>43.904623284695994</v>
      </c>
      <c r="N324" s="459">
        <f>N$296*Entrant_age_breakdowns!$K81*$H$31</f>
        <v>44.881544620511278</v>
      </c>
    </row>
    <row r="325" spans="1:14">
      <c r="B325" s="338" t="str">
        <f t="shared" si="144"/>
        <v>50-54</v>
      </c>
      <c r="C325" s="459">
        <f>C$296*Entrant_age_breakdowns!$K82*$H$31</f>
        <v>30.155733772545549</v>
      </c>
      <c r="D325" s="459">
        <f>D$296*Entrant_age_breakdowns!$K82*$H$31</f>
        <v>34.17716968374625</v>
      </c>
      <c r="E325" s="459">
        <f>E$296*Entrant_age_breakdowns!$K82*$H$31</f>
        <v>30.100722655423272</v>
      </c>
      <c r="F325" s="459">
        <f>F$296*Entrant_age_breakdowns!$K82*$H$31</f>
        <v>30.250194902858862</v>
      </c>
      <c r="G325" s="459">
        <f>G$296*Entrant_age_breakdowns!$K82*$H$31</f>
        <v>33.992325636271126</v>
      </c>
      <c r="H325" s="459">
        <f>H$296*Entrant_age_breakdowns!$K82*$H$31</f>
        <v>34.672343595093672</v>
      </c>
      <c r="I325" s="459">
        <f>I$296*Entrant_age_breakdowns!$K82*$H$31</f>
        <v>34.924319039504212</v>
      </c>
      <c r="J325" s="459">
        <f>J$296*Entrant_age_breakdowns!$K82*$H$31</f>
        <v>35.46310275586783</v>
      </c>
      <c r="K325" s="459">
        <f>K$296*Entrant_age_breakdowns!$K82*$H$31</f>
        <v>34.134288420397432</v>
      </c>
      <c r="L325" s="459">
        <f>L$296*Entrant_age_breakdowns!$K82*$H$31</f>
        <v>32.801582229295789</v>
      </c>
      <c r="M325" s="459">
        <f>M$296*Entrant_age_breakdowns!$K82*$H$31</f>
        <v>32.11766167513003</v>
      </c>
      <c r="N325" s="459">
        <f>N$296*Entrant_age_breakdowns!$K82*$H$31</f>
        <v>32.832311445462267</v>
      </c>
    </row>
    <row r="326" spans="1:14">
      <c r="B326" s="338" t="str">
        <f t="shared" si="144"/>
        <v>55-59</v>
      </c>
      <c r="C326" s="459">
        <f>C$296*Entrant_age_breakdowns!$K83*$H$31</f>
        <v>20.530703704941789</v>
      </c>
      <c r="D326" s="459">
        <f>D$296*Entrant_age_breakdowns!$K83*$H$31</f>
        <v>23.268587975442991</v>
      </c>
      <c r="E326" s="459">
        <f>E$296*Entrant_age_breakdowns!$K83*$H$31</f>
        <v>20.49325089564741</v>
      </c>
      <c r="F326" s="459">
        <f>F$296*Entrant_age_breakdowns!$K83*$H$31</f>
        <v>20.595014972998619</v>
      </c>
      <c r="G326" s="459">
        <f>G$296*Entrant_age_breakdowns!$K83*$H$31</f>
        <v>23.142741978825622</v>
      </c>
      <c r="H326" s="459">
        <f>H$296*Entrant_age_breakdowns!$K83*$H$31</f>
        <v>23.605713542771966</v>
      </c>
      <c r="I326" s="459">
        <f>I$296*Entrant_age_breakdowns!$K83*$H$31</f>
        <v>23.777264108549403</v>
      </c>
      <c r="J326" s="459">
        <f>J$296*Entrant_age_breakdowns!$K83*$H$31</f>
        <v>24.144080214738125</v>
      </c>
      <c r="K326" s="459">
        <f>K$296*Entrant_age_breakdowns!$K83*$H$31</f>
        <v>23.239393444182411</v>
      </c>
      <c r="L326" s="459">
        <f>L$296*Entrant_age_breakdowns!$K83*$H$31</f>
        <v>22.332057010533443</v>
      </c>
      <c r="M326" s="459">
        <f>M$296*Entrant_age_breakdowns!$K83*$H$31</f>
        <v>21.866428471655691</v>
      </c>
      <c r="N326" s="459">
        <f>N$296*Entrant_age_breakdowns!$K83*$H$31</f>
        <v>22.352978153986875</v>
      </c>
    </row>
    <row r="327" spans="1:14">
      <c r="B327" s="338" t="str">
        <f t="shared" si="144"/>
        <v>60-64</v>
      </c>
      <c r="C327" s="459">
        <f>C$296*Entrant_age_breakdowns!$K84*$H$31</f>
        <v>10.050529631832449</v>
      </c>
      <c r="D327" s="459">
        <f>D$296*Entrant_age_breakdowns!$K84*$H$31</f>
        <v>11.390824021380178</v>
      </c>
      <c r="E327" s="459">
        <f>E$296*Entrant_age_breakdowns!$K84*$H$31</f>
        <v>10.03219511320034</v>
      </c>
      <c r="F327" s="459">
        <f>F$296*Entrant_age_breakdowns!$K84*$H$31</f>
        <v>10.08201234740592</v>
      </c>
      <c r="G327" s="459">
        <f>G$296*Entrant_age_breakdowns!$K84*$H$31</f>
        <v>11.329217807768226</v>
      </c>
      <c r="H327" s="459">
        <f>H$296*Entrant_age_breakdowns!$K84*$H$31</f>
        <v>11.555859304767598</v>
      </c>
      <c r="I327" s="459">
        <f>I$296*Entrant_age_breakdowns!$K84*$H$31</f>
        <v>11.63983957497571</v>
      </c>
      <c r="J327" s="459">
        <f>J$296*Entrant_age_breakdowns!$K84*$H$31</f>
        <v>11.819409461993065</v>
      </c>
      <c r="K327" s="459">
        <f>K$296*Entrant_age_breakdowns!$K84*$H$31</f>
        <v>11.376532231593584</v>
      </c>
      <c r="L327" s="459">
        <f>L$296*Entrant_age_breakdowns!$K84*$H$31</f>
        <v>10.932357894294316</v>
      </c>
      <c r="M327" s="459">
        <f>M$296*Entrant_age_breakdowns!$K84*$H$31</f>
        <v>10.704415710983216</v>
      </c>
      <c r="N327" s="459">
        <f>N$296*Entrant_age_breakdowns!$K84*$H$31</f>
        <v>10.942599558449253</v>
      </c>
    </row>
    <row r="328" spans="1:14">
      <c r="B328" s="338" t="str">
        <f t="shared" si="144"/>
        <v>65 plus</v>
      </c>
      <c r="C328" s="459">
        <f>C$296*Entrant_age_breakdowns!$K85*$H$31</f>
        <v>2.5207441706933262</v>
      </c>
      <c r="D328" s="459">
        <f>D$296*Entrant_age_breakdowns!$K85*$H$31</f>
        <v>2.8568995170508718</v>
      </c>
      <c r="E328" s="459">
        <f>E$296*Entrant_age_breakdowns!$K85*$H$31</f>
        <v>2.5161457432813044</v>
      </c>
      <c r="F328" s="459">
        <f>F$296*Entrant_age_breakdowns!$K85*$H$31</f>
        <v>2.5286402592246282</v>
      </c>
      <c r="G328" s="459">
        <f>G$296*Entrant_age_breakdowns!$K85*$H$31</f>
        <v>2.8414482413938194</v>
      </c>
      <c r="H328" s="459">
        <f>H$296*Entrant_age_breakdowns!$K85*$H$31</f>
        <v>2.8982915375509606</v>
      </c>
      <c r="I328" s="459">
        <f>I$296*Entrant_age_breakdowns!$K85*$H$31</f>
        <v>2.9193543854142083</v>
      </c>
      <c r="J328" s="459">
        <f>J$296*Entrant_age_breakdowns!$K85*$H$31</f>
        <v>2.9643917876718366</v>
      </c>
      <c r="K328" s="459">
        <f>K$296*Entrant_age_breakdowns!$K85*$H$31</f>
        <v>2.8533150347287433</v>
      </c>
      <c r="L328" s="459">
        <f>L$296*Entrant_age_breakdowns!$K85*$H$31</f>
        <v>2.7419129581682702</v>
      </c>
      <c r="M328" s="459">
        <f>M$296*Entrant_age_breakdowns!$K85*$H$31</f>
        <v>2.6847434406518285</v>
      </c>
      <c r="N328" s="459">
        <f>N$296*Entrant_age_breakdowns!$K85*$H$31</f>
        <v>2.7444816402340377</v>
      </c>
    </row>
    <row r="329" spans="1:14">
      <c r="B329" s="338" t="str">
        <f t="shared" si="144"/>
        <v>Total</v>
      </c>
      <c r="C329" s="459">
        <f>SUM(C319:C328)</f>
        <v>630.01921757279933</v>
      </c>
      <c r="D329" s="459">
        <f t="shared" ref="D329:N329" si="146">SUM(D319:D328)</f>
        <v>714.03580710113818</v>
      </c>
      <c r="E329" s="459">
        <f t="shared" si="146"/>
        <v>628.86991504782702</v>
      </c>
      <c r="F329" s="459">
        <f t="shared" si="146"/>
        <v>631.99271713543374</v>
      </c>
      <c r="G329" s="459">
        <f t="shared" si="146"/>
        <v>710.17401076609804</v>
      </c>
      <c r="H329" s="459">
        <f t="shared" si="146"/>
        <v>724.38107286527588</v>
      </c>
      <c r="I329" s="459">
        <f t="shared" si="146"/>
        <v>729.64539087300466</v>
      </c>
      <c r="J329" s="459">
        <f t="shared" si="146"/>
        <v>740.90176082190669</v>
      </c>
      <c r="K329" s="459">
        <f t="shared" si="146"/>
        <v>713.13992374484758</v>
      </c>
      <c r="L329" s="459">
        <f t="shared" si="146"/>
        <v>685.29677729365108</v>
      </c>
      <c r="M329" s="459">
        <f t="shared" si="146"/>
        <v>671.00818144426876</v>
      </c>
      <c r="N329" s="459">
        <f t="shared" si="146"/>
        <v>685.93877781241974</v>
      </c>
    </row>
    <row r="330" spans="1:14">
      <c r="A330" s="309">
        <f>SUM(C330:N330)</f>
        <v>0</v>
      </c>
      <c r="C330" s="309">
        <f t="shared" ref="C330:N330" si="147">SUM(C319:C328)-C329</f>
        <v>0</v>
      </c>
      <c r="D330" s="309">
        <f t="shared" si="147"/>
        <v>0</v>
      </c>
      <c r="E330" s="309">
        <f t="shared" si="147"/>
        <v>0</v>
      </c>
      <c r="F330" s="309">
        <f t="shared" si="147"/>
        <v>0</v>
      </c>
      <c r="G330" s="309">
        <f t="shared" si="147"/>
        <v>0</v>
      </c>
      <c r="H330" s="309">
        <f t="shared" si="147"/>
        <v>0</v>
      </c>
      <c r="I330" s="309">
        <f t="shared" si="147"/>
        <v>0</v>
      </c>
      <c r="J330" s="309">
        <f t="shared" si="147"/>
        <v>0</v>
      </c>
      <c r="K330" s="309">
        <f t="shared" si="147"/>
        <v>0</v>
      </c>
      <c r="L330" s="309">
        <f t="shared" si="147"/>
        <v>0</v>
      </c>
      <c r="M330" s="309">
        <f t="shared" si="147"/>
        <v>0</v>
      </c>
      <c r="N330" s="309">
        <f t="shared" si="147"/>
        <v>0</v>
      </c>
    </row>
    <row r="331" spans="1:14">
      <c r="C331" s="329">
        <f>C294</f>
        <v>818.75145377217302</v>
      </c>
      <c r="D331" s="329">
        <f t="shared" ref="D331:N331" si="148">D294</f>
        <v>927.93654352597684</v>
      </c>
      <c r="E331" s="329">
        <f t="shared" si="148"/>
        <v>817.25785947076361</v>
      </c>
      <c r="F331" s="329">
        <f t="shared" si="148"/>
        <v>821.31614638925009</v>
      </c>
      <c r="G331" s="329">
        <f t="shared" si="148"/>
        <v>922.91788492748583</v>
      </c>
      <c r="H331" s="329">
        <f t="shared" si="148"/>
        <v>941.38089751993812</v>
      </c>
      <c r="I331" s="329">
        <f t="shared" si="148"/>
        <v>948.22222537427285</v>
      </c>
      <c r="J331" s="329">
        <f t="shared" si="148"/>
        <v>962.85061924353772</v>
      </c>
      <c r="K331" s="329">
        <f t="shared" si="148"/>
        <v>926.77228411941587</v>
      </c>
      <c r="L331" s="329">
        <f t="shared" si="148"/>
        <v>890.58828211018431</v>
      </c>
      <c r="M331" s="329">
        <f t="shared" si="148"/>
        <v>872.01931104115033</v>
      </c>
      <c r="N331" s="329">
        <f t="shared" si="148"/>
        <v>891.42260405371076</v>
      </c>
    </row>
    <row r="332" spans="1:14">
      <c r="C332" s="329">
        <f>C313+C329</f>
        <v>818.75145377217291</v>
      </c>
      <c r="D332" s="329">
        <f t="shared" ref="D332:N332" si="149">D313+D329</f>
        <v>927.93654352597684</v>
      </c>
      <c r="E332" s="329">
        <f t="shared" si="149"/>
        <v>817.25785947076361</v>
      </c>
      <c r="F332" s="329">
        <f t="shared" si="149"/>
        <v>821.31614638925009</v>
      </c>
      <c r="G332" s="329">
        <f t="shared" si="149"/>
        <v>922.91788492748594</v>
      </c>
      <c r="H332" s="329">
        <f t="shared" si="149"/>
        <v>941.38089751993812</v>
      </c>
      <c r="I332" s="329">
        <f t="shared" si="149"/>
        <v>948.22222537427285</v>
      </c>
      <c r="J332" s="329">
        <f t="shared" si="149"/>
        <v>962.85061924353761</v>
      </c>
      <c r="K332" s="329">
        <f t="shared" si="149"/>
        <v>926.77228411941587</v>
      </c>
      <c r="L332" s="329">
        <f t="shared" si="149"/>
        <v>890.58828211018431</v>
      </c>
      <c r="M332" s="329">
        <f t="shared" si="149"/>
        <v>872.01931104115033</v>
      </c>
      <c r="N332" s="329">
        <f t="shared" si="149"/>
        <v>891.42260405371076</v>
      </c>
    </row>
    <row r="333" spans="1:14">
      <c r="A333" s="309">
        <f>SUM(C333:L333)</f>
        <v>0</v>
      </c>
      <c r="C333" s="329">
        <f>C331-C332</f>
        <v>0</v>
      </c>
      <c r="D333" s="329">
        <f t="shared" ref="D333:K333" si="150">D331-D332</f>
        <v>0</v>
      </c>
      <c r="E333" s="329">
        <f t="shared" si="150"/>
        <v>0</v>
      </c>
      <c r="F333" s="329">
        <f t="shared" si="150"/>
        <v>0</v>
      </c>
      <c r="G333" s="329">
        <f t="shared" si="150"/>
        <v>0</v>
      </c>
      <c r="H333" s="329">
        <f t="shared" si="150"/>
        <v>0</v>
      </c>
      <c r="I333" s="329">
        <f t="shared" si="150"/>
        <v>0</v>
      </c>
      <c r="J333" s="329">
        <f t="shared" si="150"/>
        <v>0</v>
      </c>
      <c r="K333" s="329">
        <f t="shared" si="150"/>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1">C318</f>
        <v>2016/17</v>
      </c>
      <c r="D339" s="338" t="str">
        <f t="shared" si="151"/>
        <v>2017/18</v>
      </c>
      <c r="E339" s="338" t="str">
        <f t="shared" si="151"/>
        <v>2018/19</v>
      </c>
      <c r="F339" s="338" t="str">
        <f t="shared" si="151"/>
        <v>2019/20</v>
      </c>
      <c r="G339" s="338" t="str">
        <f t="shared" si="151"/>
        <v>2020/21</v>
      </c>
      <c r="H339" s="338" t="str">
        <f t="shared" si="151"/>
        <v>2021/22</v>
      </c>
      <c r="I339" s="338" t="str">
        <f t="shared" si="151"/>
        <v>2022/23</v>
      </c>
      <c r="J339" s="338" t="str">
        <f t="shared" si="151"/>
        <v>2023/24</v>
      </c>
      <c r="K339" s="338" t="str">
        <f t="shared" si="151"/>
        <v>2024/25</v>
      </c>
      <c r="L339" s="338" t="str">
        <f t="shared" si="151"/>
        <v>2025/26</v>
      </c>
      <c r="M339" s="338" t="str">
        <f t="shared" si="151"/>
        <v>2026/27</v>
      </c>
      <c r="N339" s="338" t="str">
        <f t="shared" si="151"/>
        <v>2027/28</v>
      </c>
    </row>
    <row r="340" spans="1:14">
      <c r="B340" s="338" t="str">
        <f t="shared" ref="B340:B350" si="152">B319</f>
        <v>20-24</v>
      </c>
      <c r="C340" s="459">
        <f t="shared" ref="C340:C349" si="153">C303+C247</f>
        <v>62.237921483688623</v>
      </c>
      <c r="D340" s="459">
        <f t="shared" ref="D340:N340" si="154">D303+D247</f>
        <v>99.569849599794821</v>
      </c>
      <c r="E340" s="459">
        <f t="shared" si="154"/>
        <v>119.60360351157922</v>
      </c>
      <c r="F340" s="459">
        <f t="shared" si="154"/>
        <v>134.12876015795291</v>
      </c>
      <c r="G340" s="459">
        <f t="shared" si="154"/>
        <v>150.52841129780492</v>
      </c>
      <c r="H340" s="459">
        <f t="shared" si="154"/>
        <v>163.31932387313341</v>
      </c>
      <c r="I340" s="459">
        <f t="shared" si="154"/>
        <v>172.8459840402827</v>
      </c>
      <c r="J340" s="459">
        <f t="shared" si="154"/>
        <v>180.50846883621617</v>
      </c>
      <c r="K340" s="459">
        <f t="shared" si="154"/>
        <v>183.82570725072091</v>
      </c>
      <c r="L340" s="459">
        <f t="shared" si="154"/>
        <v>184.03856554571291</v>
      </c>
      <c r="M340" s="459">
        <f t="shared" si="154"/>
        <v>183.08581810691948</v>
      </c>
      <c r="N340" s="459">
        <f t="shared" si="154"/>
        <v>183.56066259527381</v>
      </c>
    </row>
    <row r="341" spans="1:14">
      <c r="B341" s="338" t="str">
        <f t="shared" si="152"/>
        <v>25-29</v>
      </c>
      <c r="C341" s="459">
        <f t="shared" si="153"/>
        <v>150.53019477619299</v>
      </c>
      <c r="D341" s="459">
        <f t="shared" ref="D341:N341" si="155">D304+D248</f>
        <v>178.73736306841158</v>
      </c>
      <c r="E341" s="459">
        <f t="shared" si="155"/>
        <v>199.42986216031142</v>
      </c>
      <c r="F341" s="459">
        <f t="shared" si="155"/>
        <v>218.50633613453346</v>
      </c>
      <c r="G341" s="459">
        <f t="shared" si="155"/>
        <v>241.38938453078157</v>
      </c>
      <c r="H341" s="459">
        <f t="shared" si="155"/>
        <v>262.2909171049368</v>
      </c>
      <c r="I341" s="459">
        <f t="shared" si="155"/>
        <v>280.36526859669186</v>
      </c>
      <c r="J341" s="459">
        <f t="shared" si="155"/>
        <v>296.24973572158069</v>
      </c>
      <c r="K341" s="459">
        <f t="shared" si="155"/>
        <v>307.07003804681256</v>
      </c>
      <c r="L341" s="459">
        <f t="shared" si="155"/>
        <v>313.3783922685077</v>
      </c>
      <c r="M341" s="459">
        <f t="shared" si="155"/>
        <v>316.89643287896541</v>
      </c>
      <c r="N341" s="459">
        <f t="shared" si="155"/>
        <v>320.49240057620034</v>
      </c>
    </row>
    <row r="342" spans="1:14">
      <c r="B342" s="338" t="str">
        <f t="shared" si="152"/>
        <v>30-34</v>
      </c>
      <c r="C342" s="459">
        <f t="shared" si="153"/>
        <v>272.36074229748601</v>
      </c>
      <c r="D342" s="459">
        <f t="shared" ref="D342:N342" si="156">D305+D249</f>
        <v>260.81991798562393</v>
      </c>
      <c r="E342" s="459">
        <f t="shared" si="156"/>
        <v>254.0741121486117</v>
      </c>
      <c r="F342" s="459">
        <f t="shared" si="156"/>
        <v>253.0185334741486</v>
      </c>
      <c r="G342" s="459">
        <f t="shared" si="156"/>
        <v>258.90560746305948</v>
      </c>
      <c r="H342" s="459">
        <f t="shared" si="156"/>
        <v>268.17496091323932</v>
      </c>
      <c r="I342" s="459">
        <f t="shared" si="156"/>
        <v>279.25461625354137</v>
      </c>
      <c r="J342" s="459">
        <f t="shared" si="156"/>
        <v>291.39962688700734</v>
      </c>
      <c r="K342" s="459">
        <f t="shared" si="156"/>
        <v>302.38492127245308</v>
      </c>
      <c r="L342" s="459">
        <f t="shared" si="156"/>
        <v>311.54771643883993</v>
      </c>
      <c r="M342" s="459">
        <f t="shared" si="156"/>
        <v>319.03550357428094</v>
      </c>
      <c r="N342" s="459">
        <f t="shared" si="156"/>
        <v>325.90322056103713</v>
      </c>
    </row>
    <row r="343" spans="1:14">
      <c r="B343" s="338" t="str">
        <f t="shared" si="152"/>
        <v>35-39</v>
      </c>
      <c r="C343" s="459">
        <f t="shared" si="153"/>
        <v>303.66402069072632</v>
      </c>
      <c r="D343" s="459">
        <f t="shared" ref="D343:N343" si="157">D306+D250</f>
        <v>298.93074302734249</v>
      </c>
      <c r="E343" s="459">
        <f t="shared" si="157"/>
        <v>290.80498522292959</v>
      </c>
      <c r="F343" s="459">
        <f t="shared" si="157"/>
        <v>283.53775279256519</v>
      </c>
      <c r="G343" s="459">
        <f t="shared" si="157"/>
        <v>280.10851755842856</v>
      </c>
      <c r="H343" s="459">
        <f t="shared" si="157"/>
        <v>279.04387646674894</v>
      </c>
      <c r="I343" s="459">
        <f t="shared" si="157"/>
        <v>280.13221459290151</v>
      </c>
      <c r="J343" s="459">
        <f t="shared" si="157"/>
        <v>283.3436983573842</v>
      </c>
      <c r="K343" s="459">
        <f t="shared" si="157"/>
        <v>287.24026962249894</v>
      </c>
      <c r="L343" s="459">
        <f t="shared" si="157"/>
        <v>291.43076798818015</v>
      </c>
      <c r="M343" s="459">
        <f t="shared" si="157"/>
        <v>295.88433228517351</v>
      </c>
      <c r="N343" s="459">
        <f t="shared" si="157"/>
        <v>301.0495754179737</v>
      </c>
    </row>
    <row r="344" spans="1:14">
      <c r="B344" s="338" t="str">
        <f t="shared" si="152"/>
        <v>40-44</v>
      </c>
      <c r="C344" s="459">
        <f t="shared" si="153"/>
        <v>355.34749917248723</v>
      </c>
      <c r="D344" s="459">
        <f t="shared" ref="D344:N344" si="158">D307+D251</f>
        <v>338.26532281976711</v>
      </c>
      <c r="E344" s="459">
        <f t="shared" si="158"/>
        <v>322.58573173639149</v>
      </c>
      <c r="F344" s="459">
        <f t="shared" si="158"/>
        <v>309.49315559413492</v>
      </c>
      <c r="G344" s="459">
        <f t="shared" si="158"/>
        <v>300.33265779409237</v>
      </c>
      <c r="H344" s="459">
        <f t="shared" si="158"/>
        <v>293.23360582693311</v>
      </c>
      <c r="I344" s="459">
        <f t="shared" si="158"/>
        <v>287.88668158581123</v>
      </c>
      <c r="J344" s="459">
        <f t="shared" si="158"/>
        <v>284.39041963956106</v>
      </c>
      <c r="K344" s="459">
        <f t="shared" si="158"/>
        <v>281.7038489412339</v>
      </c>
      <c r="L344" s="459">
        <f t="shared" si="158"/>
        <v>279.74469605328363</v>
      </c>
      <c r="M344" s="459">
        <f t="shared" si="158"/>
        <v>278.71494867818859</v>
      </c>
      <c r="N344" s="459">
        <f t="shared" si="158"/>
        <v>279.14491470823486</v>
      </c>
    </row>
    <row r="345" spans="1:14">
      <c r="B345" s="338" t="str">
        <f t="shared" si="152"/>
        <v>45-49</v>
      </c>
      <c r="C345" s="459">
        <f t="shared" si="153"/>
        <v>301.02033166852056</v>
      </c>
      <c r="D345" s="459">
        <f t="shared" ref="D345:N345" si="159">D308+D252</f>
        <v>301.25894521619688</v>
      </c>
      <c r="E345" s="459">
        <f t="shared" si="159"/>
        <v>296.61872544594206</v>
      </c>
      <c r="F345" s="459">
        <f t="shared" si="159"/>
        <v>290.37247914478354</v>
      </c>
      <c r="G345" s="459">
        <f t="shared" si="159"/>
        <v>284.89060980039397</v>
      </c>
      <c r="H345" s="459">
        <f t="shared" si="159"/>
        <v>279.44234716497675</v>
      </c>
      <c r="I345" s="459">
        <f t="shared" si="159"/>
        <v>274.22330212809618</v>
      </c>
      <c r="J345" s="459">
        <f t="shared" si="159"/>
        <v>269.61336396716536</v>
      </c>
      <c r="K345" s="459">
        <f t="shared" si="159"/>
        <v>265.02836326538795</v>
      </c>
      <c r="L345" s="459">
        <f t="shared" si="159"/>
        <v>260.60929747406203</v>
      </c>
      <c r="M345" s="459">
        <f t="shared" si="159"/>
        <v>256.71217816756581</v>
      </c>
      <c r="N345" s="459">
        <f t="shared" si="159"/>
        <v>253.94357812946691</v>
      </c>
    </row>
    <row r="346" spans="1:14">
      <c r="B346" s="338" t="str">
        <f t="shared" si="152"/>
        <v>50-54</v>
      </c>
      <c r="C346" s="459">
        <f t="shared" si="153"/>
        <v>250.41445402438671</v>
      </c>
      <c r="D346" s="459">
        <f t="shared" ref="D346:N346" si="160">D309+D253</f>
        <v>242.20048156082501</v>
      </c>
      <c r="E346" s="459">
        <f t="shared" si="160"/>
        <v>235.17130233052367</v>
      </c>
      <c r="F346" s="459">
        <f t="shared" si="160"/>
        <v>229.38319544775791</v>
      </c>
      <c r="G346" s="459">
        <f t="shared" si="160"/>
        <v>225.26931742136316</v>
      </c>
      <c r="H346" s="459">
        <f t="shared" si="160"/>
        <v>221.56673453126436</v>
      </c>
      <c r="I346" s="459">
        <f t="shared" si="160"/>
        <v>218.03485898931118</v>
      </c>
      <c r="J346" s="459">
        <f t="shared" si="160"/>
        <v>214.75130560511531</v>
      </c>
      <c r="K346" s="459">
        <f t="shared" si="160"/>
        <v>211.19361516263479</v>
      </c>
      <c r="L346" s="459">
        <f t="shared" si="160"/>
        <v>207.44394183522959</v>
      </c>
      <c r="M346" s="459">
        <f t="shared" si="160"/>
        <v>203.78142762982432</v>
      </c>
      <c r="N346" s="459">
        <f t="shared" si="160"/>
        <v>200.69289820006094</v>
      </c>
    </row>
    <row r="347" spans="1:14">
      <c r="B347" s="338" t="str">
        <f t="shared" si="152"/>
        <v>55-59</v>
      </c>
      <c r="C347" s="459">
        <f t="shared" si="153"/>
        <v>150.26689622288919</v>
      </c>
      <c r="D347" s="459">
        <f t="shared" ref="D347:N347" si="161">D310+D254</f>
        <v>133.07255616382412</v>
      </c>
      <c r="E347" s="459">
        <f t="shared" si="161"/>
        <v>120.83896133074499</v>
      </c>
      <c r="F347" s="459">
        <f t="shared" si="161"/>
        <v>112.58140160820616</v>
      </c>
      <c r="G347" s="459">
        <f t="shared" si="161"/>
        <v>107.59572635445446</v>
      </c>
      <c r="H347" s="459">
        <f t="shared" si="161"/>
        <v>104.17170549348705</v>
      </c>
      <c r="I347" s="459">
        <f t="shared" si="161"/>
        <v>101.64640290044663</v>
      </c>
      <c r="J347" s="459">
        <f t="shared" si="161"/>
        <v>99.737267004565908</v>
      </c>
      <c r="K347" s="459">
        <f t="shared" si="161"/>
        <v>97.849018272111522</v>
      </c>
      <c r="L347" s="459">
        <f t="shared" si="161"/>
        <v>95.931750187353018</v>
      </c>
      <c r="M347" s="459">
        <f t="shared" si="161"/>
        <v>94.101179840777021</v>
      </c>
      <c r="N347" s="459">
        <f t="shared" si="161"/>
        <v>92.620116341875331</v>
      </c>
    </row>
    <row r="348" spans="1:14">
      <c r="B348" s="338" t="str">
        <f t="shared" si="152"/>
        <v>60-64</v>
      </c>
      <c r="C348" s="459">
        <f t="shared" si="153"/>
        <v>50.064537312754268</v>
      </c>
      <c r="D348" s="459">
        <f t="shared" ref="D348:N348" si="162">D311+D255</f>
        <v>45.623416994227377</v>
      </c>
      <c r="E348" s="459">
        <f t="shared" si="162"/>
        <v>41.006588231600475</v>
      </c>
      <c r="F348" s="459">
        <f t="shared" si="162"/>
        <v>37.32443031957083</v>
      </c>
      <c r="G348" s="459">
        <f t="shared" si="162"/>
        <v>34.929994992329384</v>
      </c>
      <c r="H348" s="459">
        <f t="shared" si="162"/>
        <v>33.244125474213504</v>
      </c>
      <c r="I348" s="459">
        <f t="shared" si="162"/>
        <v>32.044887078811293</v>
      </c>
      <c r="J348" s="459">
        <f t="shared" si="162"/>
        <v>31.216915418413713</v>
      </c>
      <c r="K348" s="459">
        <f t="shared" si="162"/>
        <v>30.455515749592383</v>
      </c>
      <c r="L348" s="459">
        <f t="shared" si="162"/>
        <v>29.728309869512792</v>
      </c>
      <c r="M348" s="459">
        <f t="shared" si="162"/>
        <v>29.078855983425555</v>
      </c>
      <c r="N348" s="459">
        <f t="shared" si="162"/>
        <v>28.616930264388529</v>
      </c>
    </row>
    <row r="349" spans="1:14">
      <c r="B349" s="338" t="str">
        <f t="shared" si="152"/>
        <v>65 plus</v>
      </c>
      <c r="C349" s="459">
        <f t="shared" si="153"/>
        <v>11.899349979687978</v>
      </c>
      <c r="D349" s="459">
        <f t="shared" ref="D349:N349" si="163">D312+D256</f>
        <v>12.630551623223374</v>
      </c>
      <c r="E349" s="459">
        <f t="shared" si="163"/>
        <v>12.44409621284494</v>
      </c>
      <c r="F349" s="459">
        <f t="shared" si="163"/>
        <v>11.851468101380476</v>
      </c>
      <c r="G349" s="459">
        <f t="shared" si="163"/>
        <v>11.230994114378612</v>
      </c>
      <c r="H349" s="459">
        <f t="shared" si="163"/>
        <v>10.65727220429909</v>
      </c>
      <c r="I349" s="459">
        <f t="shared" si="163"/>
        <v>10.174104957373235</v>
      </c>
      <c r="J349" s="459">
        <f t="shared" si="163"/>
        <v>9.7990789255959569</v>
      </c>
      <c r="K349" s="459">
        <f t="shared" si="163"/>
        <v>9.4752975636399697</v>
      </c>
      <c r="L349" s="459">
        <f t="shared" si="163"/>
        <v>9.1861100636842803</v>
      </c>
      <c r="M349" s="459">
        <f t="shared" si="163"/>
        <v>8.9354329266069588</v>
      </c>
      <c r="N349" s="459">
        <f t="shared" si="163"/>
        <v>8.748827319157602</v>
      </c>
    </row>
    <row r="350" spans="1:14">
      <c r="B350" s="338" t="str">
        <f t="shared" si="152"/>
        <v>Total</v>
      </c>
      <c r="C350" s="459">
        <f t="shared" ref="C350:N350" si="164">SUM(C340:C349)</f>
        <v>1907.8059476288199</v>
      </c>
      <c r="D350" s="459">
        <f t="shared" si="164"/>
        <v>1911.109148059237</v>
      </c>
      <c r="E350" s="459">
        <f t="shared" si="164"/>
        <v>1892.5779683314797</v>
      </c>
      <c r="F350" s="459">
        <f t="shared" si="164"/>
        <v>1880.1975127750338</v>
      </c>
      <c r="G350" s="459">
        <f t="shared" si="164"/>
        <v>1895.1812213270862</v>
      </c>
      <c r="H350" s="459">
        <f t="shared" si="164"/>
        <v>1915.1448690532322</v>
      </c>
      <c r="I350" s="459">
        <f t="shared" si="164"/>
        <v>1936.6083211232674</v>
      </c>
      <c r="J350" s="459">
        <f t="shared" si="164"/>
        <v>1961.0098803626056</v>
      </c>
      <c r="K350" s="459">
        <f t="shared" si="164"/>
        <v>1976.2265951470863</v>
      </c>
      <c r="L350" s="459">
        <f t="shared" si="164"/>
        <v>1983.039547724366</v>
      </c>
      <c r="M350" s="459">
        <f t="shared" si="164"/>
        <v>1986.2261100717276</v>
      </c>
      <c r="N350" s="459">
        <f t="shared" si="164"/>
        <v>1994.7731241136689</v>
      </c>
    </row>
    <row r="351" spans="1:14">
      <c r="A351" s="309">
        <f>SUM(C351:N351)</f>
        <v>0</v>
      </c>
      <c r="C351" s="309">
        <f t="shared" ref="C351:N351" si="165">SUM(C340:C349)-C350</f>
        <v>0</v>
      </c>
      <c r="D351" s="309">
        <f t="shared" si="165"/>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4">
      <c r="B356" s="338" t="str">
        <f t="shared" si="166"/>
        <v>20-24</v>
      </c>
      <c r="C356" s="459">
        <f t="shared" ref="C356:C365" si="168">C319+C263</f>
        <v>246.39700224395528</v>
      </c>
      <c r="D356" s="459">
        <f t="shared" ref="D356:N356" si="169">D319+D263</f>
        <v>360.02860756144821</v>
      </c>
      <c r="E356" s="459">
        <f t="shared" si="169"/>
        <v>419.11641015497918</v>
      </c>
      <c r="F356" s="459">
        <f t="shared" si="169"/>
        <v>462.07509795799598</v>
      </c>
      <c r="G356" s="459">
        <f t="shared" si="169"/>
        <v>512.89554001902479</v>
      </c>
      <c r="H356" s="459">
        <f t="shared" si="169"/>
        <v>552.81653661410667</v>
      </c>
      <c r="I356" s="459">
        <f t="shared" si="169"/>
        <v>582.65434111377044</v>
      </c>
      <c r="J356" s="459">
        <f t="shared" si="169"/>
        <v>606.84505295825386</v>
      </c>
      <c r="K356" s="459">
        <f t="shared" si="169"/>
        <v>616.93886739591119</v>
      </c>
      <c r="L356" s="459">
        <f t="shared" si="169"/>
        <v>616.9550603072006</v>
      </c>
      <c r="M356" s="459">
        <f t="shared" si="169"/>
        <v>613.27956907530097</v>
      </c>
      <c r="N356" s="459">
        <f t="shared" si="169"/>
        <v>614.51020170757317</v>
      </c>
    </row>
    <row r="357" spans="1:14">
      <c r="B357" s="338" t="str">
        <f t="shared" si="166"/>
        <v>25-29</v>
      </c>
      <c r="C357" s="459">
        <f t="shared" si="168"/>
        <v>775.06350950254432</v>
      </c>
      <c r="D357" s="459">
        <f t="shared" ref="D357:N357" si="170">D320+D264</f>
        <v>798.40122205664613</v>
      </c>
      <c r="E357" s="459">
        <f t="shared" si="170"/>
        <v>813.27478844646294</v>
      </c>
      <c r="F357" s="459">
        <f t="shared" si="170"/>
        <v>835.64738632961212</v>
      </c>
      <c r="G357" s="459">
        <f t="shared" si="170"/>
        <v>880.56507004810294</v>
      </c>
      <c r="H357" s="459">
        <f t="shared" si="170"/>
        <v>926.22236719939986</v>
      </c>
      <c r="I357" s="459">
        <f t="shared" si="170"/>
        <v>968.0512494131525</v>
      </c>
      <c r="J357" s="459">
        <f t="shared" si="170"/>
        <v>1006.8657451366475</v>
      </c>
      <c r="K357" s="459">
        <f t="shared" si="170"/>
        <v>1032.0539468917545</v>
      </c>
      <c r="L357" s="459">
        <f t="shared" si="170"/>
        <v>1044.7594814020401</v>
      </c>
      <c r="M357" s="459">
        <f t="shared" si="170"/>
        <v>1050.1815018897667</v>
      </c>
      <c r="N357" s="459">
        <f t="shared" si="170"/>
        <v>1057.4369471146774</v>
      </c>
    </row>
    <row r="358" spans="1:14">
      <c r="B358" s="338" t="str">
        <f t="shared" si="166"/>
        <v>30-34</v>
      </c>
      <c r="C358" s="459">
        <f t="shared" si="168"/>
        <v>1103.3743151606498</v>
      </c>
      <c r="D358" s="459">
        <f t="shared" ref="D358:N358" si="171">D321+D265</f>
        <v>1042.0311224762845</v>
      </c>
      <c r="E358" s="459">
        <f t="shared" si="171"/>
        <v>990.20630732731297</v>
      </c>
      <c r="F358" s="459">
        <f t="shared" si="171"/>
        <v>955.48196762841246</v>
      </c>
      <c r="G358" s="459">
        <f t="shared" si="171"/>
        <v>944.55887634391195</v>
      </c>
      <c r="H358" s="459">
        <f t="shared" si="171"/>
        <v>946.66432105535898</v>
      </c>
      <c r="I358" s="459">
        <f t="shared" si="171"/>
        <v>957.23669367288733</v>
      </c>
      <c r="J358" s="459">
        <f t="shared" si="171"/>
        <v>974.08803503238948</v>
      </c>
      <c r="K358" s="459">
        <f t="shared" si="171"/>
        <v>989.80734664904458</v>
      </c>
      <c r="L358" s="459">
        <f t="shared" si="171"/>
        <v>1002.2007973163679</v>
      </c>
      <c r="M358" s="459">
        <f t="shared" si="171"/>
        <v>1011.6808392132401</v>
      </c>
      <c r="N358" s="459">
        <f t="shared" si="171"/>
        <v>1021.5728773302236</v>
      </c>
    </row>
    <row r="359" spans="1:14">
      <c r="B359" s="338" t="str">
        <f t="shared" si="166"/>
        <v>35-39</v>
      </c>
      <c r="C359" s="459">
        <f t="shared" si="168"/>
        <v>1169.861762066442</v>
      </c>
      <c r="D359" s="459">
        <f t="shared" ref="D359:N359" si="172">D322+D266</f>
        <v>1131.4213909502589</v>
      </c>
      <c r="E359" s="459">
        <f t="shared" si="172"/>
        <v>1083.7892573923214</v>
      </c>
      <c r="F359" s="459">
        <f t="shared" si="172"/>
        <v>1039.4999129622024</v>
      </c>
      <c r="G359" s="459">
        <f t="shared" si="172"/>
        <v>1007.9198526002198</v>
      </c>
      <c r="H359" s="459">
        <f t="shared" si="172"/>
        <v>984.01623803840982</v>
      </c>
      <c r="I359" s="459">
        <f t="shared" si="172"/>
        <v>967.31193089144165</v>
      </c>
      <c r="J359" s="459">
        <f t="shared" si="172"/>
        <v>958.03006565796034</v>
      </c>
      <c r="K359" s="459">
        <f t="shared" si="172"/>
        <v>951.67256315805821</v>
      </c>
      <c r="L359" s="459">
        <f t="shared" si="172"/>
        <v>947.25104860876672</v>
      </c>
      <c r="M359" s="459">
        <f t="shared" si="172"/>
        <v>944.92511549454093</v>
      </c>
      <c r="N359" s="459">
        <f t="shared" si="172"/>
        <v>946.37058024434725</v>
      </c>
    </row>
    <row r="360" spans="1:14">
      <c r="B360" s="338" t="str">
        <f t="shared" si="166"/>
        <v>40-44</v>
      </c>
      <c r="C360" s="459">
        <f t="shared" si="168"/>
        <v>1129.909416083728</v>
      </c>
      <c r="D360" s="459">
        <f t="shared" ref="D360:N360" si="173">D323+D267</f>
        <v>1109.0179861986351</v>
      </c>
      <c r="E360" s="459">
        <f t="shared" si="173"/>
        <v>1079.4923161724109</v>
      </c>
      <c r="F360" s="459">
        <f t="shared" si="173"/>
        <v>1049.1537362044148</v>
      </c>
      <c r="G360" s="459">
        <f t="shared" si="173"/>
        <v>1025.00371932452</v>
      </c>
      <c r="H360" s="459">
        <f t="shared" si="173"/>
        <v>1002.509305733303</v>
      </c>
      <c r="I360" s="459">
        <f t="shared" si="173"/>
        <v>981.91919924699346</v>
      </c>
      <c r="J360" s="459">
        <f t="shared" si="173"/>
        <v>964.55698919118322</v>
      </c>
      <c r="K360" s="459">
        <f t="shared" si="173"/>
        <v>947.7402283580808</v>
      </c>
      <c r="L360" s="459">
        <f t="shared" si="173"/>
        <v>931.85940068283435</v>
      </c>
      <c r="M360" s="459">
        <f t="shared" si="173"/>
        <v>918.14160601236347</v>
      </c>
      <c r="N360" s="459">
        <f t="shared" si="173"/>
        <v>908.810453500363</v>
      </c>
    </row>
    <row r="361" spans="1:14">
      <c r="B361" s="338" t="str">
        <f t="shared" si="166"/>
        <v>45-49</v>
      </c>
      <c r="C361" s="459">
        <f t="shared" si="168"/>
        <v>879.05875741281591</v>
      </c>
      <c r="D361" s="459">
        <f t="shared" ref="D361:N361" si="174">D324+D268</f>
        <v>900.70142445671809</v>
      </c>
      <c r="E361" s="459">
        <f t="shared" si="174"/>
        <v>907.20107772231188</v>
      </c>
      <c r="F361" s="459">
        <f t="shared" si="174"/>
        <v>906.75711691684489</v>
      </c>
      <c r="G361" s="459">
        <f t="shared" si="174"/>
        <v>905.96981392621171</v>
      </c>
      <c r="H361" s="459">
        <f t="shared" si="174"/>
        <v>901.88167734088586</v>
      </c>
      <c r="I361" s="459">
        <f t="shared" si="174"/>
        <v>895.08588659506427</v>
      </c>
      <c r="J361" s="459">
        <f t="shared" si="174"/>
        <v>887.04146644481682</v>
      </c>
      <c r="K361" s="459">
        <f t="shared" si="174"/>
        <v>876.11933993948082</v>
      </c>
      <c r="L361" s="459">
        <f t="shared" si="174"/>
        <v>863.17640966681836</v>
      </c>
      <c r="M361" s="459">
        <f t="shared" si="174"/>
        <v>849.80666354677533</v>
      </c>
      <c r="N361" s="459">
        <f t="shared" si="174"/>
        <v>838.43252589942415</v>
      </c>
    </row>
    <row r="362" spans="1:14">
      <c r="B362" s="338" t="str">
        <f t="shared" si="166"/>
        <v>50-54</v>
      </c>
      <c r="C362" s="459">
        <f t="shared" si="168"/>
        <v>666.76234832339946</v>
      </c>
      <c r="D362" s="459">
        <f t="shared" ref="D362:N362" si="175">D325+D269</f>
        <v>663.66161600959288</v>
      </c>
      <c r="E362" s="459">
        <f t="shared" si="175"/>
        <v>661.22535336903093</v>
      </c>
      <c r="F362" s="459">
        <f t="shared" si="175"/>
        <v>660.79872160791149</v>
      </c>
      <c r="G362" s="459">
        <f t="shared" si="175"/>
        <v>664.15911027480411</v>
      </c>
      <c r="H362" s="459">
        <f t="shared" si="175"/>
        <v>667.08543722139336</v>
      </c>
      <c r="I362" s="459">
        <f t="shared" si="175"/>
        <v>668.68956849192989</v>
      </c>
      <c r="J362" s="459">
        <f t="shared" si="175"/>
        <v>669.16102717866568</v>
      </c>
      <c r="K362" s="459">
        <f t="shared" si="175"/>
        <v>666.73897666482969</v>
      </c>
      <c r="L362" s="459">
        <f t="shared" si="175"/>
        <v>661.74764509874376</v>
      </c>
      <c r="M362" s="459">
        <f t="shared" si="175"/>
        <v>655.22204268791518</v>
      </c>
      <c r="N362" s="459">
        <f t="shared" si="175"/>
        <v>648.92982547619135</v>
      </c>
    </row>
    <row r="363" spans="1:14">
      <c r="B363" s="338" t="str">
        <f t="shared" si="166"/>
        <v>55-59</v>
      </c>
      <c r="C363" s="459">
        <f t="shared" si="168"/>
        <v>311.28476778306202</v>
      </c>
      <c r="D363" s="459">
        <f t="shared" ref="D363:N363" si="176">D326+D270</f>
        <v>309.41335232506668</v>
      </c>
      <c r="E363" s="459">
        <f t="shared" si="176"/>
        <v>305.05360235277942</v>
      </c>
      <c r="F363" s="459">
        <f t="shared" si="176"/>
        <v>302.1807348643618</v>
      </c>
      <c r="G363" s="459">
        <f t="shared" si="176"/>
        <v>302.94473893763063</v>
      </c>
      <c r="H363" s="459">
        <f t="shared" si="176"/>
        <v>304.36802187880517</v>
      </c>
      <c r="I363" s="459">
        <f t="shared" si="176"/>
        <v>305.82960390575738</v>
      </c>
      <c r="J363" s="459">
        <f t="shared" si="176"/>
        <v>307.31149316447306</v>
      </c>
      <c r="K363" s="459">
        <f t="shared" si="176"/>
        <v>307.36451521043557</v>
      </c>
      <c r="L363" s="459">
        <f t="shared" si="176"/>
        <v>306.12642472027488</v>
      </c>
      <c r="M363" s="459">
        <f t="shared" si="176"/>
        <v>304.17257308996773</v>
      </c>
      <c r="N363" s="459">
        <f t="shared" si="176"/>
        <v>302.51277538239651</v>
      </c>
    </row>
    <row r="364" spans="1:14">
      <c r="B364" s="338" t="str">
        <f t="shared" si="166"/>
        <v>60-64</v>
      </c>
      <c r="C364" s="459">
        <f t="shared" si="168"/>
        <v>98.812446216166634</v>
      </c>
      <c r="D364" s="459">
        <f t="shared" ref="D364:N364" si="177">D327+D271</f>
        <v>92.417431930900364</v>
      </c>
      <c r="E364" s="459">
        <f t="shared" si="177"/>
        <v>87.910620533290285</v>
      </c>
      <c r="F364" s="459">
        <f t="shared" si="177"/>
        <v>85.393058288409421</v>
      </c>
      <c r="G364" s="459">
        <f t="shared" si="177"/>
        <v>85.155924703717275</v>
      </c>
      <c r="H364" s="459">
        <f t="shared" si="177"/>
        <v>85.361403949820243</v>
      </c>
      <c r="I364" s="459">
        <f t="shared" si="177"/>
        <v>85.702867641564112</v>
      </c>
      <c r="J364" s="459">
        <f t="shared" si="177"/>
        <v>86.206692884008888</v>
      </c>
      <c r="K364" s="459">
        <f t="shared" si="177"/>
        <v>86.164879494531746</v>
      </c>
      <c r="L364" s="459">
        <f t="shared" si="177"/>
        <v>85.70760488931964</v>
      </c>
      <c r="M364" s="459">
        <f t="shared" si="177"/>
        <v>85.127912161968723</v>
      </c>
      <c r="N364" s="459">
        <f t="shared" si="177"/>
        <v>84.876104246154171</v>
      </c>
    </row>
    <row r="365" spans="1:14">
      <c r="B365" s="338" t="str">
        <f t="shared" si="166"/>
        <v>65 plus</v>
      </c>
      <c r="C365" s="459">
        <f t="shared" si="168"/>
        <v>22.257734303833264</v>
      </c>
      <c r="D365" s="459">
        <f t="shared" ref="D365:N365" si="178">D328+D272</f>
        <v>23.745978776070416</v>
      </c>
      <c r="E365" s="459">
        <f t="shared" si="178"/>
        <v>23.509243122979477</v>
      </c>
      <c r="F365" s="459">
        <f t="shared" si="178"/>
        <v>22.955966781177377</v>
      </c>
      <c r="G365" s="459">
        <f t="shared" si="178"/>
        <v>22.7434242785762</v>
      </c>
      <c r="H365" s="459">
        <f t="shared" si="178"/>
        <v>22.671031764605257</v>
      </c>
      <c r="I365" s="459">
        <f t="shared" si="178"/>
        <v>22.67653642511663</v>
      </c>
      <c r="J365" s="459">
        <f t="shared" si="178"/>
        <v>22.758259965232909</v>
      </c>
      <c r="K365" s="459">
        <f t="shared" si="178"/>
        <v>22.737901877481388</v>
      </c>
      <c r="L365" s="459">
        <f t="shared" si="178"/>
        <v>22.612222143656506</v>
      </c>
      <c r="M365" s="459">
        <f t="shared" si="178"/>
        <v>22.447110720254617</v>
      </c>
      <c r="N365" s="459">
        <f t="shared" si="178"/>
        <v>22.367133454759927</v>
      </c>
    </row>
    <row r="366" spans="1:14">
      <c r="B366" s="338" t="str">
        <f t="shared" si="166"/>
        <v>Total</v>
      </c>
      <c r="C366" s="459">
        <f t="shared" ref="C366:N366" si="179">SUM(C356:C365)</f>
        <v>6402.7820590965966</v>
      </c>
      <c r="D366" s="459">
        <f t="shared" si="179"/>
        <v>6430.8401327416213</v>
      </c>
      <c r="E366" s="459">
        <f t="shared" si="179"/>
        <v>6370.7789765938787</v>
      </c>
      <c r="F366" s="459">
        <f t="shared" si="179"/>
        <v>6319.9436995413425</v>
      </c>
      <c r="G366" s="459">
        <f t="shared" si="179"/>
        <v>6351.9160704567203</v>
      </c>
      <c r="H366" s="459">
        <f t="shared" si="179"/>
        <v>6393.5963407960899</v>
      </c>
      <c r="I366" s="459">
        <f t="shared" si="179"/>
        <v>6435.157877397678</v>
      </c>
      <c r="J366" s="459">
        <f t="shared" si="179"/>
        <v>6482.8648276136319</v>
      </c>
      <c r="K366" s="459">
        <f t="shared" si="179"/>
        <v>6497.3385656396076</v>
      </c>
      <c r="L366" s="459">
        <f t="shared" si="179"/>
        <v>6482.3960948360227</v>
      </c>
      <c r="M366" s="459">
        <f t="shared" si="179"/>
        <v>6454.984933892094</v>
      </c>
      <c r="N366" s="459">
        <f t="shared" si="179"/>
        <v>6445.8194243561102</v>
      </c>
    </row>
    <row r="367" spans="1:14">
      <c r="A367" s="309">
        <f>SUM(C367:N367)</f>
        <v>0</v>
      </c>
      <c r="C367" s="309">
        <f t="shared" ref="C367:N367" si="180">SUM(C356:C365)-C366</f>
        <v>0</v>
      </c>
      <c r="D367" s="309">
        <f t="shared" si="180"/>
        <v>0</v>
      </c>
      <c r="E367" s="309">
        <f t="shared" si="180"/>
        <v>0</v>
      </c>
      <c r="F367" s="309">
        <f t="shared" si="180"/>
        <v>0</v>
      </c>
      <c r="G367" s="309">
        <f t="shared" si="180"/>
        <v>0</v>
      </c>
      <c r="H367" s="309">
        <f t="shared" si="180"/>
        <v>0</v>
      </c>
      <c r="I367" s="309">
        <f t="shared" si="180"/>
        <v>0</v>
      </c>
      <c r="J367" s="309">
        <f t="shared" si="180"/>
        <v>0</v>
      </c>
      <c r="K367" s="309">
        <f t="shared" si="180"/>
        <v>0</v>
      </c>
      <c r="L367" s="309">
        <f t="shared" si="180"/>
        <v>0</v>
      </c>
      <c r="M367" s="309">
        <f t="shared" si="180"/>
        <v>0</v>
      </c>
      <c r="N367" s="309">
        <f t="shared" si="180"/>
        <v>0</v>
      </c>
    </row>
    <row r="368" spans="1:14">
      <c r="C368" s="329">
        <f>C350+C366</f>
        <v>8310.5880067254166</v>
      </c>
      <c r="D368" s="329">
        <f t="shared" ref="D368:N368" si="181">D350+D366</f>
        <v>8341.9492808008581</v>
      </c>
      <c r="E368" s="329">
        <f t="shared" si="181"/>
        <v>8263.3569449253591</v>
      </c>
      <c r="F368" s="329">
        <f t="shared" si="181"/>
        <v>8200.1412123163755</v>
      </c>
      <c r="G368" s="329">
        <f t="shared" si="181"/>
        <v>8247.0972917838062</v>
      </c>
      <c r="H368" s="329">
        <f t="shared" si="181"/>
        <v>8308.7412098493223</v>
      </c>
      <c r="I368" s="329">
        <f t="shared" si="181"/>
        <v>8371.7661985209452</v>
      </c>
      <c r="J368" s="329">
        <f t="shared" si="181"/>
        <v>8443.8747079762379</v>
      </c>
      <c r="K368" s="329">
        <f t="shared" si="181"/>
        <v>8473.565160786693</v>
      </c>
      <c r="L368" s="329">
        <f t="shared" si="181"/>
        <v>8465.4356425603892</v>
      </c>
      <c r="M368" s="329">
        <f t="shared" si="181"/>
        <v>8441.2110439638218</v>
      </c>
      <c r="N368" s="329">
        <f t="shared" si="181"/>
        <v>8440.59254846978</v>
      </c>
    </row>
    <row r="369" spans="1:14">
      <c r="C369" s="329">
        <f>C36</f>
        <v>8310.5880067254166</v>
      </c>
      <c r="D369" s="329">
        <f t="shared" ref="D369:N369" si="182">D36</f>
        <v>8341.9492808008581</v>
      </c>
      <c r="E369" s="329">
        <f t="shared" si="182"/>
        <v>8263.3569449253591</v>
      </c>
      <c r="F369" s="329">
        <f t="shared" si="182"/>
        <v>8200.1412123163773</v>
      </c>
      <c r="G369" s="329">
        <f t="shared" si="182"/>
        <v>8247.0972917838062</v>
      </c>
      <c r="H369" s="329">
        <f t="shared" si="182"/>
        <v>8308.7412098493205</v>
      </c>
      <c r="I369" s="329">
        <f t="shared" si="182"/>
        <v>8371.7661985209452</v>
      </c>
      <c r="J369" s="329">
        <f t="shared" si="182"/>
        <v>8443.8747079762379</v>
      </c>
      <c r="K369" s="329">
        <f t="shared" si="182"/>
        <v>8473.5651607866948</v>
      </c>
      <c r="L369" s="329">
        <f t="shared" si="182"/>
        <v>8465.4356425603892</v>
      </c>
      <c r="M369" s="329">
        <f t="shared" si="182"/>
        <v>8441.2110439638218</v>
      </c>
      <c r="N369" s="329">
        <f t="shared" si="182"/>
        <v>8440.59254846978</v>
      </c>
    </row>
    <row r="370" spans="1:14">
      <c r="A370" s="309">
        <f>SUM(C370:L370)</f>
        <v>0</v>
      </c>
      <c r="C370" s="329">
        <f>C368-C369</f>
        <v>0</v>
      </c>
      <c r="D370" s="329">
        <f t="shared" ref="D370:N370" si="183">D368-D369</f>
        <v>0</v>
      </c>
      <c r="E370" s="329">
        <f t="shared" si="183"/>
        <v>0</v>
      </c>
      <c r="F370" s="329">
        <f t="shared" si="183"/>
        <v>0</v>
      </c>
      <c r="G370" s="329">
        <f t="shared" si="183"/>
        <v>0</v>
      </c>
      <c r="H370" s="329">
        <f t="shared" si="183"/>
        <v>0</v>
      </c>
      <c r="I370" s="329">
        <f t="shared" si="183"/>
        <v>0</v>
      </c>
      <c r="J370" s="329">
        <f t="shared" si="183"/>
        <v>0</v>
      </c>
      <c r="K370" s="329">
        <f t="shared" si="183"/>
        <v>0</v>
      </c>
      <c r="L370" s="329">
        <f t="shared" si="183"/>
        <v>0</v>
      </c>
      <c r="M370" s="329">
        <f t="shared" si="183"/>
        <v>0</v>
      </c>
      <c r="N370" s="329">
        <f t="shared" si="183"/>
        <v>0</v>
      </c>
    </row>
    <row r="371" spans="1:14">
      <c r="A371" s="309">
        <f>SUM(C371:N371)</f>
        <v>0</v>
      </c>
      <c r="C371" s="329">
        <f>IF(C294&gt;0,0,C294)</f>
        <v>0</v>
      </c>
      <c r="D371" s="329">
        <f t="shared" ref="D371:N371" si="184">IF(D294&gt;0,0,D294)</f>
        <v>0</v>
      </c>
      <c r="E371" s="329">
        <f t="shared" si="184"/>
        <v>0</v>
      </c>
      <c r="F371" s="329">
        <f t="shared" si="184"/>
        <v>0</v>
      </c>
      <c r="G371" s="329">
        <f t="shared" si="184"/>
        <v>0</v>
      </c>
      <c r="H371" s="329">
        <f t="shared" si="184"/>
        <v>0</v>
      </c>
      <c r="I371" s="329">
        <f t="shared" si="184"/>
        <v>0</v>
      </c>
      <c r="J371" s="329">
        <f t="shared" si="184"/>
        <v>0</v>
      </c>
      <c r="K371" s="329">
        <f t="shared" si="184"/>
        <v>0</v>
      </c>
      <c r="L371" s="329">
        <f t="shared" si="184"/>
        <v>0</v>
      </c>
      <c r="M371" s="329">
        <f t="shared" si="184"/>
        <v>0</v>
      </c>
      <c r="N371" s="329">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R371"/>
  <sheetViews>
    <sheetView showGridLines="0" zoomScaleNormal="100" workbookViewId="0"/>
  </sheetViews>
  <sheetFormatPr defaultColWidth="9.140625" defaultRowHeight="12.75"/>
  <cols>
    <col min="1" max="1" width="9.140625" style="309"/>
    <col min="2" max="2" width="28.7109375" style="309" customWidth="1"/>
    <col min="3" max="16" width="10.7109375" style="309" customWidth="1"/>
    <col min="17"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1688</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Forecast_stock_figures!B17</f>
        <v>Biology</v>
      </c>
      <c r="C15" s="307">
        <f>Forecast_stock_figures!C41</f>
        <v>12195.46637304493</v>
      </c>
      <c r="D15" s="307">
        <f>Forecast_stock_figures!D41</f>
        <v>12786.987412851919</v>
      </c>
      <c r="E15" s="307">
        <f>Forecast_stock_figures!E41</f>
        <v>12855.738513404587</v>
      </c>
      <c r="F15" s="307">
        <f>Forecast_stock_figures!F41</f>
        <v>12998.316050469002</v>
      </c>
      <c r="G15" s="307">
        <f>Forecast_stock_figures!G41</f>
        <v>13138.105245734181</v>
      </c>
      <c r="H15" s="307">
        <f>Forecast_stock_figures!H41</f>
        <v>13246.541294911551</v>
      </c>
      <c r="I15" s="307">
        <f>Forecast_stock_figures!I41</f>
        <v>13373.709515062588</v>
      </c>
      <c r="J15" s="307">
        <f>Forecast_stock_figures!J41</f>
        <v>13528.547619574107</v>
      </c>
      <c r="K15" s="307">
        <f>Forecast_stock_figures!K41</f>
        <v>13635.027100789352</v>
      </c>
      <c r="L15" s="307">
        <f>Forecast_stock_figures!L41</f>
        <v>13684.461372087695</v>
      </c>
      <c r="M15" s="307">
        <f>Forecast_stock_figures!M41</f>
        <v>13743.463089448744</v>
      </c>
      <c r="N15" s="307">
        <f>Forecast_stock_figures!N41</f>
        <v>13784.393459502542</v>
      </c>
    </row>
    <row r="17" spans="1:9" ht="15.75">
      <c r="B17" s="340" t="s">
        <v>149</v>
      </c>
    </row>
    <row r="19" spans="1:9">
      <c r="B19" s="1243" t="str">
        <f>Stock_ages_breakdowns!B73</f>
        <v>Age group</v>
      </c>
      <c r="C19" s="1244" t="str">
        <f>Stock_ages_breakdowns!E73</f>
        <v>Biology</v>
      </c>
      <c r="D19" s="1245"/>
      <c r="H19" s="325" t="s">
        <v>120</v>
      </c>
    </row>
    <row r="20" spans="1:9">
      <c r="B20" s="1243"/>
      <c r="C20" s="363" t="str">
        <f>Stock_ages_breakdowns!E74</f>
        <v>Male</v>
      </c>
      <c r="D20" s="363" t="str">
        <f>Stock_ages_breakdowns!D74:E74</f>
        <v>Female</v>
      </c>
    </row>
    <row r="21" spans="1:9">
      <c r="B21" s="363" t="str">
        <f>Stock_ages_breakdowns!B75</f>
        <v>20-24</v>
      </c>
      <c r="C21" s="331">
        <f>Stock_ages_breakdowns!E20</f>
        <v>165.88194546640213</v>
      </c>
      <c r="D21" s="331">
        <f>Stock_ages_breakdowns!F20</f>
        <v>413.32321242793694</v>
      </c>
    </row>
    <row r="22" spans="1:9">
      <c r="B22" s="363" t="str">
        <f>Stock_ages_breakdowns!B76</f>
        <v>25-29</v>
      </c>
      <c r="C22" s="331">
        <f>Stock_ages_breakdowns!E21</f>
        <v>538.6694059754426</v>
      </c>
      <c r="D22" s="331">
        <f>Stock_ages_breakdowns!F21</f>
        <v>1580.7177528014845</v>
      </c>
    </row>
    <row r="23" spans="1:9">
      <c r="B23" s="363" t="str">
        <f>Stock_ages_breakdowns!B77</f>
        <v>30-34</v>
      </c>
      <c r="C23" s="331">
        <f>Stock_ages_breakdowns!E22</f>
        <v>685.588312897121</v>
      </c>
      <c r="D23" s="331">
        <f>Stock_ages_breakdowns!F22</f>
        <v>1661.7523461007875</v>
      </c>
    </row>
    <row r="24" spans="1:9">
      <c r="B24" s="363" t="str">
        <f>Stock_ages_breakdowns!B78</f>
        <v>35-39</v>
      </c>
      <c r="C24" s="331">
        <f>Stock_ages_breakdowns!E23</f>
        <v>688.51920916964445</v>
      </c>
      <c r="D24" s="331">
        <f>Stock_ages_breakdowns!F23</f>
        <v>1569.9737933545555</v>
      </c>
    </row>
    <row r="25" spans="1:9">
      <c r="B25" s="363" t="str">
        <f>Stock_ages_breakdowns!B79</f>
        <v>40-44</v>
      </c>
      <c r="C25" s="331">
        <f>Stock_ages_breakdowns!E24</f>
        <v>574.04167283423646</v>
      </c>
      <c r="D25" s="331">
        <f>Stock_ages_breakdowns!F24</f>
        <v>1234.8550337476543</v>
      </c>
    </row>
    <row r="26" spans="1:9">
      <c r="B26" s="363" t="str">
        <f>Stock_ages_breakdowns!B80</f>
        <v>45-49</v>
      </c>
      <c r="C26" s="331">
        <f>Stock_ages_breakdowns!E25</f>
        <v>395.30588173425213</v>
      </c>
      <c r="D26" s="331">
        <f>Stock_ages_breakdowns!F25</f>
        <v>848.37675620521986</v>
      </c>
    </row>
    <row r="27" spans="1:9">
      <c r="B27" s="363" t="str">
        <f>Stock_ages_breakdowns!B81</f>
        <v>50-54</v>
      </c>
      <c r="C27" s="331">
        <f>Stock_ages_breakdowns!E26</f>
        <v>316.04598702882896</v>
      </c>
      <c r="D27" s="331">
        <f>Stock_ages_breakdowns!F26</f>
        <v>631.05748139781895</v>
      </c>
    </row>
    <row r="28" spans="1:9">
      <c r="B28" s="363" t="str">
        <f>Stock_ages_breakdowns!B82</f>
        <v>55-59</v>
      </c>
      <c r="C28" s="331">
        <f>Stock_ages_breakdowns!E27</f>
        <v>252.42917756827995</v>
      </c>
      <c r="D28" s="331">
        <f>Stock_ages_breakdowns!F27</f>
        <v>450.00630219418349</v>
      </c>
    </row>
    <row r="29" spans="1:9">
      <c r="B29" s="363" t="str">
        <f>Stock_ages_breakdowns!B83</f>
        <v>60-64</v>
      </c>
      <c r="C29" s="331">
        <f>Stock_ages_breakdowns!E28</f>
        <v>61.703446951801567</v>
      </c>
      <c r="D29" s="331">
        <f>Stock_ages_breakdowns!F28</f>
        <v>102.9684314014042</v>
      </c>
      <c r="F29" s="325"/>
    </row>
    <row r="30" spans="1:9">
      <c r="B30" s="363" t="str">
        <f>Stock_ages_breakdowns!B84</f>
        <v>65 plus</v>
      </c>
      <c r="C30" s="331">
        <f>Stock_ages_breakdowns!E29</f>
        <v>9.9548719889419726</v>
      </c>
      <c r="D30" s="331">
        <f>Stock_ages_breakdowns!F29</f>
        <v>14.295351798931604</v>
      </c>
      <c r="G30" s="326" t="s">
        <v>49</v>
      </c>
      <c r="H30" s="326" t="s">
        <v>50</v>
      </c>
    </row>
    <row r="31" spans="1:9">
      <c r="A31" s="309">
        <f>I31</f>
        <v>0</v>
      </c>
      <c r="B31" s="363" t="str">
        <f>Stock_ages_breakdowns!B85</f>
        <v>Total</v>
      </c>
      <c r="C31" s="331">
        <f>Stock_ages_breakdowns!E30</f>
        <v>3688.1399116149519</v>
      </c>
      <c r="D31" s="331">
        <f>Stock_ages_breakdowns!F30</f>
        <v>8507.3264614299787</v>
      </c>
      <c r="E31" s="327">
        <f>SUM(C31:D31)</f>
        <v>12195.46637304493</v>
      </c>
      <c r="G31" s="366">
        <f>C31/$E$31</f>
        <v>0.30241893165862649</v>
      </c>
      <c r="H31" s="366">
        <f>D31/$E$31</f>
        <v>0.69758106834137357</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6" t="str">
        <f>B15</f>
        <v>Biology</v>
      </c>
      <c r="C36" s="307">
        <f>Teacher_need_by_subject!C621</f>
        <v>12786.987412851919</v>
      </c>
      <c r="D36" s="307">
        <f>Teacher_need_by_subject!D621</f>
        <v>12855.738513404587</v>
      </c>
      <c r="E36" s="307">
        <f>Teacher_need_by_subject!E621</f>
        <v>12998.316050469002</v>
      </c>
      <c r="F36" s="307">
        <f>Teacher_need_by_subject!F621</f>
        <v>13138.105245734181</v>
      </c>
      <c r="G36" s="307">
        <f>Teacher_need_by_subject!G621</f>
        <v>13246.541294911551</v>
      </c>
      <c r="H36" s="307">
        <f>Teacher_need_by_subject!H621</f>
        <v>13373.709515062588</v>
      </c>
      <c r="I36" s="307">
        <f>Teacher_need_by_subject!I621</f>
        <v>13528.547619574107</v>
      </c>
      <c r="J36" s="307">
        <f>Teacher_need_by_subject!J621</f>
        <v>13635.027100789352</v>
      </c>
      <c r="K36" s="307">
        <f>Teacher_need_by_subject!K621</f>
        <v>13684.461372087695</v>
      </c>
      <c r="L36" s="307">
        <f>Teacher_need_by_subject!L621</f>
        <v>13743.463089448744</v>
      </c>
      <c r="M36" s="307">
        <f>Teacher_need_by_subject!M621</f>
        <v>13784.393459502542</v>
      </c>
      <c r="N36" s="307">
        <f>Teacher_need_by_subject!N621</f>
        <v>13763.711607784684</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165.88194546640213</v>
      </c>
      <c r="D43" s="307">
        <f>C340</f>
        <v>263.26936779933976</v>
      </c>
      <c r="E43" s="307">
        <f t="shared" ref="E43:L43" si="2">D340</f>
        <v>294.34296212677299</v>
      </c>
      <c r="F43" s="307">
        <f t="shared" si="2"/>
        <v>321.58357246462026</v>
      </c>
      <c r="G43" s="307">
        <f t="shared" si="2"/>
        <v>341.00729193340999</v>
      </c>
      <c r="H43" s="307">
        <f t="shared" si="2"/>
        <v>352.96445338740591</v>
      </c>
      <c r="I43" s="307">
        <f t="shared" si="2"/>
        <v>363.56448934405819</v>
      </c>
      <c r="J43" s="307">
        <f t="shared" si="2"/>
        <v>374.20902357085725</v>
      </c>
      <c r="K43" s="307">
        <f t="shared" si="2"/>
        <v>379.26358118887754</v>
      </c>
      <c r="L43" s="307">
        <f t="shared" si="2"/>
        <v>379.39542600175264</v>
      </c>
      <c r="M43" s="307">
        <f>L340</f>
        <v>380.84862215599333</v>
      </c>
      <c r="N43" s="307">
        <f>M340</f>
        <v>381.14310659807069</v>
      </c>
    </row>
    <row r="44" spans="2:14">
      <c r="B44" s="363" t="str">
        <f t="shared" ref="B44:C53" si="3">B22</f>
        <v>25-29</v>
      </c>
      <c r="C44" s="307">
        <f t="shared" si="3"/>
        <v>538.6694059754426</v>
      </c>
      <c r="D44" s="307">
        <f t="shared" ref="D44:L53" si="4">C341</f>
        <v>569.6898232851679</v>
      </c>
      <c r="E44" s="307">
        <f t="shared" si="4"/>
        <v>572.32411013726028</v>
      </c>
      <c r="F44" s="307">
        <f t="shared" si="4"/>
        <v>585.88070927428294</v>
      </c>
      <c r="G44" s="307">
        <f t="shared" si="4"/>
        <v>601.20670868195282</v>
      </c>
      <c r="H44" s="307">
        <f t="shared" si="4"/>
        <v>614.22831490269607</v>
      </c>
      <c r="I44" s="307">
        <f t="shared" si="4"/>
        <v>628.16092400168122</v>
      </c>
      <c r="J44" s="307">
        <f t="shared" si="4"/>
        <v>643.51196855176909</v>
      </c>
      <c r="K44" s="307">
        <f t="shared" si="4"/>
        <v>654.07466596690642</v>
      </c>
      <c r="L44" s="307">
        <f t="shared" ref="L44:L52" si="5">K341</f>
        <v>659.08767824801589</v>
      </c>
      <c r="M44" s="307">
        <f t="shared" ref="M44:M53" si="6">L341</f>
        <v>664.10812711657934</v>
      </c>
      <c r="N44" s="307">
        <f t="shared" ref="N44:N53" si="7">M341</f>
        <v>667.23439465490446</v>
      </c>
    </row>
    <row r="45" spans="2:14">
      <c r="B45" s="363" t="str">
        <f t="shared" si="3"/>
        <v>30-34</v>
      </c>
      <c r="C45" s="307">
        <f t="shared" si="3"/>
        <v>685.588312897121</v>
      </c>
      <c r="D45" s="307">
        <f t="shared" si="4"/>
        <v>684.69052916538669</v>
      </c>
      <c r="E45" s="307">
        <f t="shared" si="4"/>
        <v>671.40974615413779</v>
      </c>
      <c r="F45" s="307">
        <f t="shared" si="4"/>
        <v>665.08740885717282</v>
      </c>
      <c r="G45" s="307">
        <f t="shared" si="4"/>
        <v>663.2851844611962</v>
      </c>
      <c r="H45" s="307">
        <f t="shared" si="4"/>
        <v>664.08306084588935</v>
      </c>
      <c r="I45" s="307">
        <f t="shared" si="4"/>
        <v>668.31536507100031</v>
      </c>
      <c r="J45" s="307">
        <f t="shared" si="4"/>
        <v>675.76322467211071</v>
      </c>
      <c r="K45" s="307">
        <f t="shared" si="4"/>
        <v>682.97251441224921</v>
      </c>
      <c r="L45" s="307">
        <f t="shared" si="5"/>
        <v>688.5604554792975</v>
      </c>
      <c r="M45" s="307">
        <f t="shared" si="6"/>
        <v>694.33086082410421</v>
      </c>
      <c r="N45" s="307">
        <f t="shared" si="7"/>
        <v>699.17758626184161</v>
      </c>
    </row>
    <row r="46" spans="2:14">
      <c r="B46" s="363" t="str">
        <f t="shared" si="3"/>
        <v>35-39</v>
      </c>
      <c r="C46" s="307">
        <f t="shared" si="3"/>
        <v>688.51920916964445</v>
      </c>
      <c r="D46" s="307">
        <f t="shared" si="4"/>
        <v>691.89754311895615</v>
      </c>
      <c r="E46" s="307">
        <f t="shared" si="4"/>
        <v>681.11254973885423</v>
      </c>
      <c r="F46" s="307">
        <f t="shared" si="4"/>
        <v>672.82990789888663</v>
      </c>
      <c r="G46" s="307">
        <f t="shared" si="4"/>
        <v>665.78813869068392</v>
      </c>
      <c r="H46" s="307">
        <f t="shared" si="4"/>
        <v>659.73247253411262</v>
      </c>
      <c r="I46" s="307">
        <f t="shared" si="4"/>
        <v>656.27103795553819</v>
      </c>
      <c r="J46" s="307">
        <f t="shared" si="4"/>
        <v>655.72576500419677</v>
      </c>
      <c r="K46" s="307">
        <f t="shared" si="4"/>
        <v>655.87523770721543</v>
      </c>
      <c r="L46" s="307">
        <f t="shared" si="5"/>
        <v>656.09711872083767</v>
      </c>
      <c r="M46" s="307">
        <f t="shared" si="6"/>
        <v>657.7963043515656</v>
      </c>
      <c r="N46" s="307">
        <f t="shared" si="7"/>
        <v>659.86616858412481</v>
      </c>
    </row>
    <row r="47" spans="2:14">
      <c r="B47" s="363" t="str">
        <f t="shared" si="3"/>
        <v>40-44</v>
      </c>
      <c r="C47" s="307">
        <f t="shared" si="3"/>
        <v>574.04167283423646</v>
      </c>
      <c r="D47" s="307">
        <f t="shared" si="4"/>
        <v>601.24711356422972</v>
      </c>
      <c r="E47" s="307">
        <f t="shared" si="4"/>
        <v>610.6590333895922</v>
      </c>
      <c r="F47" s="307">
        <f t="shared" si="4"/>
        <v>617.52527775493616</v>
      </c>
      <c r="G47" s="307">
        <f t="shared" si="4"/>
        <v>621.3143998562731</v>
      </c>
      <c r="H47" s="307">
        <f t="shared" si="4"/>
        <v>622.38114446533211</v>
      </c>
      <c r="I47" s="307">
        <f t="shared" si="4"/>
        <v>622.81162717264453</v>
      </c>
      <c r="J47" s="307">
        <f t="shared" si="4"/>
        <v>623.56226557007096</v>
      </c>
      <c r="K47" s="307">
        <f t="shared" si="4"/>
        <v>623.30038038997372</v>
      </c>
      <c r="L47" s="307">
        <f t="shared" si="5"/>
        <v>622.07019132922198</v>
      </c>
      <c r="M47" s="307">
        <f t="shared" si="6"/>
        <v>621.63280753051868</v>
      </c>
      <c r="N47" s="307">
        <f t="shared" si="7"/>
        <v>621.3994395470495</v>
      </c>
    </row>
    <row r="48" spans="2:14">
      <c r="B48" s="363" t="str">
        <f t="shared" si="3"/>
        <v>45-49</v>
      </c>
      <c r="C48" s="307">
        <f t="shared" si="3"/>
        <v>395.30588173425213</v>
      </c>
      <c r="D48" s="307">
        <f t="shared" si="4"/>
        <v>431.22366941389009</v>
      </c>
      <c r="E48" s="307">
        <f t="shared" si="4"/>
        <v>453.33711119842718</v>
      </c>
      <c r="F48" s="307">
        <f t="shared" si="4"/>
        <v>472.69650153246607</v>
      </c>
      <c r="G48" s="307">
        <f t="shared" si="4"/>
        <v>488.26587527244328</v>
      </c>
      <c r="H48" s="307">
        <f t="shared" si="4"/>
        <v>499.97424656569405</v>
      </c>
      <c r="I48" s="307">
        <f t="shared" si="4"/>
        <v>509.32271245289161</v>
      </c>
      <c r="J48" s="307">
        <f t="shared" si="4"/>
        <v>517.07981201265852</v>
      </c>
      <c r="K48" s="307">
        <f t="shared" si="4"/>
        <v>522.30844789817615</v>
      </c>
      <c r="L48" s="307">
        <f t="shared" si="5"/>
        <v>525.23124138044864</v>
      </c>
      <c r="M48" s="307">
        <f t="shared" si="6"/>
        <v>527.4859272249281</v>
      </c>
      <c r="N48" s="307">
        <f t="shared" si="7"/>
        <v>528.87377296306613</v>
      </c>
    </row>
    <row r="49" spans="1:17">
      <c r="B49" s="363" t="str">
        <f t="shared" si="3"/>
        <v>50-54</v>
      </c>
      <c r="C49" s="307">
        <f t="shared" si="3"/>
        <v>316.04598702882896</v>
      </c>
      <c r="D49" s="307">
        <f t="shared" si="4"/>
        <v>322.97452947323075</v>
      </c>
      <c r="E49" s="307">
        <f t="shared" si="4"/>
        <v>327.65974643907737</v>
      </c>
      <c r="F49" s="307">
        <f t="shared" si="4"/>
        <v>336.02502242739121</v>
      </c>
      <c r="G49" s="307">
        <f t="shared" si="4"/>
        <v>345.55743389864449</v>
      </c>
      <c r="H49" s="307">
        <f t="shared" si="4"/>
        <v>354.85648387359799</v>
      </c>
      <c r="I49" s="307">
        <f t="shared" si="4"/>
        <v>364.0014680819483</v>
      </c>
      <c r="J49" s="307">
        <f t="shared" si="4"/>
        <v>372.79797961568238</v>
      </c>
      <c r="K49" s="307">
        <f t="shared" si="4"/>
        <v>380.02077762384437</v>
      </c>
      <c r="L49" s="307">
        <f t="shared" si="5"/>
        <v>385.472344917827</v>
      </c>
      <c r="M49" s="307">
        <f t="shared" si="6"/>
        <v>390.12498690858484</v>
      </c>
      <c r="N49" s="307">
        <f t="shared" si="7"/>
        <v>393.70698779886595</v>
      </c>
    </row>
    <row r="50" spans="1:17">
      <c r="B50" s="363" t="str">
        <f t="shared" si="3"/>
        <v>55-59</v>
      </c>
      <c r="C50" s="307">
        <f t="shared" si="3"/>
        <v>252.42917756827995</v>
      </c>
      <c r="D50" s="307">
        <f t="shared" si="4"/>
        <v>215.92978823517672</v>
      </c>
      <c r="E50" s="307">
        <f t="shared" si="4"/>
        <v>190.74028431715945</v>
      </c>
      <c r="F50" s="307">
        <f t="shared" si="4"/>
        <v>177.20638185852656</v>
      </c>
      <c r="G50" s="307">
        <f t="shared" si="4"/>
        <v>170.49456924428569</v>
      </c>
      <c r="H50" s="307">
        <f t="shared" si="4"/>
        <v>167.7471023787927</v>
      </c>
      <c r="I50" s="307">
        <f t="shared" si="4"/>
        <v>167.79787964964527</v>
      </c>
      <c r="J50" s="307">
        <f t="shared" si="4"/>
        <v>169.61275500915914</v>
      </c>
      <c r="K50" s="307">
        <f t="shared" si="4"/>
        <v>171.71489651011575</v>
      </c>
      <c r="L50" s="307">
        <f t="shared" si="5"/>
        <v>173.61682854727633</v>
      </c>
      <c r="M50" s="307">
        <f t="shared" si="6"/>
        <v>175.73006198307903</v>
      </c>
      <c r="N50" s="307">
        <f t="shared" si="7"/>
        <v>177.58929685735885</v>
      </c>
    </row>
    <row r="51" spans="1:17">
      <c r="B51" s="363" t="str">
        <f t="shared" si="3"/>
        <v>60-64</v>
      </c>
      <c r="C51" s="307">
        <f t="shared" si="3"/>
        <v>61.703446951801567</v>
      </c>
      <c r="D51" s="307">
        <f t="shared" si="4"/>
        <v>69.58676647819199</v>
      </c>
      <c r="E51" s="307">
        <f t="shared" si="4"/>
        <v>66.774621447365661</v>
      </c>
      <c r="F51" s="307">
        <f t="shared" si="4"/>
        <v>62.73524617108184</v>
      </c>
      <c r="G51" s="307">
        <f t="shared" si="4"/>
        <v>59.190837669572097</v>
      </c>
      <c r="H51" s="307">
        <f t="shared" si="4"/>
        <v>56.580570736533915</v>
      </c>
      <c r="I51" s="307">
        <f t="shared" si="4"/>
        <v>55.134179957480995</v>
      </c>
      <c r="J51" s="307">
        <f t="shared" si="4"/>
        <v>54.649170700752229</v>
      </c>
      <c r="K51" s="307">
        <f t="shared" si="4"/>
        <v>54.494799604038256</v>
      </c>
      <c r="L51" s="307">
        <f t="shared" si="5"/>
        <v>54.467919299221549</v>
      </c>
      <c r="M51" s="307">
        <f t="shared" si="6"/>
        <v>54.76907958980761</v>
      </c>
      <c r="N51" s="307">
        <f t="shared" si="7"/>
        <v>55.126692843168669</v>
      </c>
    </row>
    <row r="52" spans="1:17">
      <c r="B52" s="363" t="str">
        <f t="shared" si="3"/>
        <v>65 plus</v>
      </c>
      <c r="C52" s="307">
        <f t="shared" si="3"/>
        <v>9.9548719889419726</v>
      </c>
      <c r="D52" s="307">
        <f t="shared" si="4"/>
        <v>14.395877961326237</v>
      </c>
      <c r="E52" s="307">
        <f t="shared" si="4"/>
        <v>17.101401697072628</v>
      </c>
      <c r="F52" s="307">
        <f t="shared" si="4"/>
        <v>18.354136416589409</v>
      </c>
      <c r="G52" s="307">
        <f t="shared" si="4"/>
        <v>18.606389950744216</v>
      </c>
      <c r="H52" s="307">
        <f t="shared" si="4"/>
        <v>18.3376607306963</v>
      </c>
      <c r="I52" s="307">
        <f t="shared" si="4"/>
        <v>17.946320827354228</v>
      </c>
      <c r="J52" s="307">
        <f t="shared" si="4"/>
        <v>17.629800752955376</v>
      </c>
      <c r="K52" s="307">
        <f t="shared" si="4"/>
        <v>17.370839414794908</v>
      </c>
      <c r="L52" s="307">
        <f t="shared" si="5"/>
        <v>17.162057381511218</v>
      </c>
      <c r="M52" s="307">
        <f t="shared" si="6"/>
        <v>17.067159662492831</v>
      </c>
      <c r="N52" s="307">
        <f t="shared" si="7"/>
        <v>17.037477327572539</v>
      </c>
    </row>
    <row r="53" spans="1:17">
      <c r="B53" s="363" t="str">
        <f t="shared" si="3"/>
        <v>Total</v>
      </c>
      <c r="C53" s="307">
        <f t="shared" si="3"/>
        <v>3688.1399116149519</v>
      </c>
      <c r="D53" s="307">
        <f t="shared" si="4"/>
        <v>3864.9050084948963</v>
      </c>
      <c r="E53" s="307">
        <f t="shared" si="4"/>
        <v>3885.4615666457194</v>
      </c>
      <c r="F53" s="307">
        <f t="shared" si="4"/>
        <v>3929.9241646559544</v>
      </c>
      <c r="G53" s="307">
        <f t="shared" si="4"/>
        <v>3974.7168296592058</v>
      </c>
      <c r="H53" s="307">
        <f t="shared" si="4"/>
        <v>4010.885510420751</v>
      </c>
      <c r="I53" s="307">
        <f t="shared" si="4"/>
        <v>4053.3260045142429</v>
      </c>
      <c r="J53" s="307">
        <f t="shared" si="4"/>
        <v>4104.5417654602124</v>
      </c>
      <c r="K53" s="307">
        <f t="shared" si="4"/>
        <v>4141.3961407161914</v>
      </c>
      <c r="L53" s="307">
        <f t="shared" si="4"/>
        <v>4161.1612613054112</v>
      </c>
      <c r="M53" s="307">
        <f t="shared" si="6"/>
        <v>4183.8939373476542</v>
      </c>
      <c r="N53" s="307">
        <f t="shared" si="7"/>
        <v>4201.1549234360236</v>
      </c>
    </row>
    <row r="54" spans="1:17">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7">
      <c r="B56" s="341" t="s">
        <v>50</v>
      </c>
    </row>
    <row r="57" spans="1:17">
      <c r="H57" s="325"/>
    </row>
    <row r="58" spans="1:17">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7">
      <c r="B59" s="338" t="str">
        <f t="shared" si="9"/>
        <v>20-24</v>
      </c>
      <c r="C59" s="307">
        <f t="shared" ref="C59:C69" si="11">D21</f>
        <v>413.32321242793694</v>
      </c>
      <c r="D59" s="307">
        <f>C356</f>
        <v>634.33652175890995</v>
      </c>
      <c r="E59" s="307">
        <f t="shared" ref="E59:L59" si="12">D356</f>
        <v>706.72877635105328</v>
      </c>
      <c r="F59" s="307">
        <f t="shared" si="12"/>
        <v>771.10521001006896</v>
      </c>
      <c r="G59" s="307">
        <f t="shared" si="12"/>
        <v>817.90111283730937</v>
      </c>
      <c r="H59" s="307">
        <f t="shared" si="12"/>
        <v>847.52833956859308</v>
      </c>
      <c r="I59" s="307">
        <f t="shared" si="12"/>
        <v>873.8133162984966</v>
      </c>
      <c r="J59" s="307">
        <f t="shared" si="12"/>
        <v>900.00706464319228</v>
      </c>
      <c r="K59" s="307">
        <f t="shared" si="12"/>
        <v>913.1721702596783</v>
      </c>
      <c r="L59" s="307">
        <f t="shared" si="12"/>
        <v>914.70095935221173</v>
      </c>
      <c r="M59" s="307">
        <f>L356</f>
        <v>918.91583930600382</v>
      </c>
      <c r="N59" s="307">
        <f>M356</f>
        <v>920.24853696448349</v>
      </c>
      <c r="O59" s="327"/>
      <c r="P59" s="327"/>
      <c r="Q59" s="327"/>
    </row>
    <row r="60" spans="1:17">
      <c r="B60" s="338" t="str">
        <f t="shared" si="9"/>
        <v>25-29</v>
      </c>
      <c r="C60" s="307">
        <f t="shared" si="11"/>
        <v>1580.7177528014845</v>
      </c>
      <c r="D60" s="307">
        <f t="shared" ref="D60:L69" si="13">C357</f>
        <v>1563.1571150040015</v>
      </c>
      <c r="E60" s="307">
        <f t="shared" si="13"/>
        <v>1504.8387159074073</v>
      </c>
      <c r="F60" s="307">
        <f t="shared" si="13"/>
        <v>1490.1126498060687</v>
      </c>
      <c r="G60" s="307">
        <f t="shared" si="13"/>
        <v>1492.8214301627386</v>
      </c>
      <c r="H60" s="307">
        <f t="shared" si="13"/>
        <v>1499.8644134324213</v>
      </c>
      <c r="I60" s="307">
        <f t="shared" si="13"/>
        <v>1515.924894452859</v>
      </c>
      <c r="J60" s="307">
        <f t="shared" si="13"/>
        <v>1540.1767412549316</v>
      </c>
      <c r="K60" s="307">
        <f t="shared" si="13"/>
        <v>1556.877148227024</v>
      </c>
      <c r="L60" s="307">
        <f t="shared" ref="L60:L68" si="14">K357</f>
        <v>1563.2428213605626</v>
      </c>
      <c r="M60" s="307">
        <f t="shared" ref="M60:M69" si="15">L357</f>
        <v>1571.3285863192677</v>
      </c>
      <c r="N60" s="307">
        <f t="shared" ref="N60:N69" si="16">M357</f>
        <v>1576.2013485073107</v>
      </c>
      <c r="O60" s="327"/>
      <c r="P60" s="327"/>
      <c r="Q60" s="327"/>
    </row>
    <row r="61" spans="1:17">
      <c r="B61" s="338" t="str">
        <f t="shared" si="9"/>
        <v>30-34</v>
      </c>
      <c r="C61" s="307">
        <f t="shared" si="11"/>
        <v>1661.7523461007875</v>
      </c>
      <c r="D61" s="307">
        <f t="shared" si="13"/>
        <v>1668.911467813401</v>
      </c>
      <c r="E61" s="307">
        <f t="shared" si="13"/>
        <v>1628.5609630318354</v>
      </c>
      <c r="F61" s="307">
        <f t="shared" si="13"/>
        <v>1595.7144803409778</v>
      </c>
      <c r="G61" s="307">
        <f t="shared" si="13"/>
        <v>1570.0763959588519</v>
      </c>
      <c r="H61" s="307">
        <f t="shared" si="13"/>
        <v>1550.3414617093204</v>
      </c>
      <c r="I61" s="307">
        <f t="shared" si="13"/>
        <v>1540.1358959981799</v>
      </c>
      <c r="J61" s="307">
        <f t="shared" si="13"/>
        <v>1539.6334888304234</v>
      </c>
      <c r="K61" s="307">
        <f t="shared" si="13"/>
        <v>1541.0002836774727</v>
      </c>
      <c r="L61" s="307">
        <f t="shared" si="14"/>
        <v>1541.0683041529826</v>
      </c>
      <c r="M61" s="307">
        <f t="shared" si="15"/>
        <v>1543.8853932652428</v>
      </c>
      <c r="N61" s="307">
        <f t="shared" si="16"/>
        <v>1546.5626996394808</v>
      </c>
      <c r="O61" s="327"/>
      <c r="P61" s="327"/>
      <c r="Q61" s="327"/>
    </row>
    <row r="62" spans="1:17">
      <c r="B62" s="338" t="str">
        <f t="shared" si="9"/>
        <v>35-39</v>
      </c>
      <c r="C62" s="307">
        <f t="shared" si="11"/>
        <v>1569.9737933545555</v>
      </c>
      <c r="D62" s="307">
        <f t="shared" si="13"/>
        <v>1589.7965856570372</v>
      </c>
      <c r="E62" s="307">
        <f t="shared" si="13"/>
        <v>1575.4593396843163</v>
      </c>
      <c r="F62" s="307">
        <f t="shared" si="13"/>
        <v>1562.4565745929885</v>
      </c>
      <c r="G62" s="307">
        <f t="shared" si="13"/>
        <v>1547.4330100734835</v>
      </c>
      <c r="H62" s="307">
        <f t="shared" si="13"/>
        <v>1530.4710219992103</v>
      </c>
      <c r="I62" s="307">
        <f t="shared" si="13"/>
        <v>1516.3559517246615</v>
      </c>
      <c r="J62" s="307">
        <f t="shared" si="13"/>
        <v>1506.9210198585511</v>
      </c>
      <c r="K62" s="307">
        <f t="shared" si="13"/>
        <v>1497.9687381726981</v>
      </c>
      <c r="L62" s="307">
        <f t="shared" si="14"/>
        <v>1488.7982825491788</v>
      </c>
      <c r="M62" s="307">
        <f t="shared" si="15"/>
        <v>1483.2043188707673</v>
      </c>
      <c r="N62" s="307">
        <f t="shared" si="16"/>
        <v>1479.0054577425217</v>
      </c>
      <c r="O62" s="327"/>
      <c r="P62" s="327"/>
      <c r="Q62" s="327"/>
    </row>
    <row r="63" spans="1:17">
      <c r="B63" s="338" t="str">
        <f t="shared" si="9"/>
        <v>40-44</v>
      </c>
      <c r="C63" s="307">
        <f t="shared" si="11"/>
        <v>1234.8550337476543</v>
      </c>
      <c r="D63" s="307">
        <f t="shared" si="13"/>
        <v>1309.8919589685574</v>
      </c>
      <c r="E63" s="307">
        <f t="shared" si="13"/>
        <v>1342.5848667031166</v>
      </c>
      <c r="F63" s="307">
        <f t="shared" si="13"/>
        <v>1368.3951754935395</v>
      </c>
      <c r="G63" s="307">
        <f t="shared" si="13"/>
        <v>1385.5642837079581</v>
      </c>
      <c r="H63" s="307">
        <f t="shared" si="13"/>
        <v>1394.4443372492528</v>
      </c>
      <c r="I63" s="307">
        <f t="shared" si="13"/>
        <v>1399.6240604149873</v>
      </c>
      <c r="J63" s="307">
        <f t="shared" si="13"/>
        <v>1403.3173087510879</v>
      </c>
      <c r="K63" s="307">
        <f t="shared" si="13"/>
        <v>1402.645952565425</v>
      </c>
      <c r="L63" s="307">
        <f t="shared" si="14"/>
        <v>1398.0470316742067</v>
      </c>
      <c r="M63" s="307">
        <f t="shared" si="15"/>
        <v>1393.9665330739269</v>
      </c>
      <c r="N63" s="307">
        <f t="shared" si="16"/>
        <v>1389.4093278799535</v>
      </c>
      <c r="O63" s="327"/>
      <c r="P63" s="327"/>
      <c r="Q63" s="327"/>
    </row>
    <row r="64" spans="1:17">
      <c r="B64" s="338" t="str">
        <f t="shared" si="9"/>
        <v>45-49</v>
      </c>
      <c r="C64" s="307">
        <f t="shared" si="11"/>
        <v>848.37675620521986</v>
      </c>
      <c r="D64" s="307">
        <f t="shared" si="13"/>
        <v>932.84518896626389</v>
      </c>
      <c r="E64" s="307">
        <f t="shared" si="13"/>
        <v>987.34552649752095</v>
      </c>
      <c r="F64" s="307">
        <f t="shared" si="13"/>
        <v>1036.5967424556056</v>
      </c>
      <c r="G64" s="307">
        <f t="shared" si="13"/>
        <v>1077.722151902748</v>
      </c>
      <c r="H64" s="307">
        <f t="shared" si="13"/>
        <v>1110.1030146961625</v>
      </c>
      <c r="I64" s="307">
        <f t="shared" si="13"/>
        <v>1136.7842893239063</v>
      </c>
      <c r="J64" s="307">
        <f t="shared" si="13"/>
        <v>1159.1959700829811</v>
      </c>
      <c r="K64" s="307">
        <f t="shared" si="13"/>
        <v>1174.928991244393</v>
      </c>
      <c r="L64" s="307">
        <f t="shared" si="14"/>
        <v>1184.3498574777179</v>
      </c>
      <c r="M64" s="307">
        <f t="shared" si="15"/>
        <v>1191.1904306001065</v>
      </c>
      <c r="N64" s="307">
        <f t="shared" si="16"/>
        <v>1195.0320948140266</v>
      </c>
      <c r="O64" s="327"/>
      <c r="P64" s="327"/>
      <c r="Q64" s="327"/>
    </row>
    <row r="65" spans="1:17">
      <c r="B65" s="338" t="str">
        <f t="shared" si="9"/>
        <v>50-54</v>
      </c>
      <c r="C65" s="307">
        <f t="shared" si="11"/>
        <v>631.05748139781895</v>
      </c>
      <c r="D65" s="307">
        <f t="shared" si="13"/>
        <v>667.94448830885437</v>
      </c>
      <c r="E65" s="307">
        <f t="shared" si="13"/>
        <v>694.1897299992055</v>
      </c>
      <c r="F65" s="307">
        <f t="shared" si="13"/>
        <v>725.28108995559376</v>
      </c>
      <c r="G65" s="307">
        <f t="shared" si="13"/>
        <v>756.68518700739935</v>
      </c>
      <c r="H65" s="307">
        <f t="shared" si="13"/>
        <v>785.95918141448965</v>
      </c>
      <c r="I65" s="307">
        <f t="shared" si="13"/>
        <v>813.75340468500463</v>
      </c>
      <c r="J65" s="307">
        <f t="shared" si="13"/>
        <v>839.88440960998912</v>
      </c>
      <c r="K65" s="307">
        <f t="shared" si="13"/>
        <v>861.65438584349033</v>
      </c>
      <c r="L65" s="307">
        <f t="shared" si="14"/>
        <v>878.63960522642844</v>
      </c>
      <c r="M65" s="307">
        <f t="shared" si="15"/>
        <v>893.07783058191774</v>
      </c>
      <c r="N65" s="307">
        <f t="shared" si="16"/>
        <v>904.34544106848398</v>
      </c>
      <c r="O65" s="327"/>
      <c r="P65" s="327"/>
      <c r="Q65" s="327"/>
    </row>
    <row r="66" spans="1:17">
      <c r="B66" s="338" t="str">
        <f t="shared" si="9"/>
        <v>55-59</v>
      </c>
      <c r="C66" s="307">
        <f t="shared" si="11"/>
        <v>450.00630219418349</v>
      </c>
      <c r="D66" s="307">
        <f t="shared" si="13"/>
        <v>411.7809842219109</v>
      </c>
      <c r="E66" s="307">
        <f t="shared" si="13"/>
        <v>383.78518237964693</v>
      </c>
      <c r="F66" s="307">
        <f t="shared" si="13"/>
        <v>372.51936517168105</v>
      </c>
      <c r="G66" s="307">
        <f t="shared" si="13"/>
        <v>370.61400868736723</v>
      </c>
      <c r="H66" s="307">
        <f t="shared" si="13"/>
        <v>373.81575154414702</v>
      </c>
      <c r="I66" s="307">
        <f t="shared" si="13"/>
        <v>380.88701255830239</v>
      </c>
      <c r="J66" s="307">
        <f t="shared" si="13"/>
        <v>390.36306942526801</v>
      </c>
      <c r="K66" s="307">
        <f t="shared" si="13"/>
        <v>399.40701060475158</v>
      </c>
      <c r="L66" s="307">
        <f t="shared" si="14"/>
        <v>407.21229730360045</v>
      </c>
      <c r="M66" s="307">
        <f t="shared" si="15"/>
        <v>414.91154178552421</v>
      </c>
      <c r="N66" s="307">
        <f t="shared" si="16"/>
        <v>421.55895630457883</v>
      </c>
      <c r="O66" s="327"/>
      <c r="P66" s="327"/>
      <c r="Q66" s="327"/>
    </row>
    <row r="67" spans="1:17">
      <c r="B67" s="338" t="str">
        <f t="shared" si="9"/>
        <v>60-64</v>
      </c>
      <c r="C67" s="307">
        <f t="shared" si="11"/>
        <v>102.9684314014042</v>
      </c>
      <c r="D67" s="307">
        <f t="shared" si="13"/>
        <v>120.63609539198829</v>
      </c>
      <c r="E67" s="307">
        <f t="shared" si="13"/>
        <v>119.27344133586358</v>
      </c>
      <c r="F67" s="307">
        <f t="shared" si="13"/>
        <v>116.2616312021533</v>
      </c>
      <c r="G67" s="307">
        <f t="shared" si="13"/>
        <v>113.67816729587064</v>
      </c>
      <c r="H67" s="307">
        <f t="shared" si="13"/>
        <v>112.07137978167005</v>
      </c>
      <c r="I67" s="307">
        <f t="shared" si="13"/>
        <v>112.04078768896483</v>
      </c>
      <c r="J67" s="307">
        <f t="shared" si="13"/>
        <v>113.3219671889856</v>
      </c>
      <c r="K67" s="307">
        <f t="shared" si="13"/>
        <v>114.68350881421343</v>
      </c>
      <c r="L67" s="307">
        <f t="shared" si="14"/>
        <v>115.87749485181763</v>
      </c>
      <c r="M67" s="307">
        <f t="shared" si="15"/>
        <v>117.52179503821023</v>
      </c>
      <c r="N67" s="307">
        <f t="shared" si="16"/>
        <v>119.06688396251988</v>
      </c>
      <c r="O67" s="327"/>
      <c r="P67" s="327"/>
      <c r="Q67" s="327"/>
    </row>
    <row r="68" spans="1:17">
      <c r="B68" s="338" t="str">
        <f t="shared" si="9"/>
        <v>65 plus</v>
      </c>
      <c r="C68" s="307">
        <f t="shared" si="11"/>
        <v>14.295351798931604</v>
      </c>
      <c r="D68" s="307">
        <f t="shared" si="13"/>
        <v>22.781998266095805</v>
      </c>
      <c r="E68" s="307">
        <f t="shared" si="13"/>
        <v>27.510404868898544</v>
      </c>
      <c r="F68" s="307">
        <f t="shared" si="13"/>
        <v>29.9489667843688</v>
      </c>
      <c r="G68" s="307">
        <f t="shared" si="13"/>
        <v>30.892668441247018</v>
      </c>
      <c r="H68" s="307">
        <f t="shared" si="13"/>
        <v>31.056883095531258</v>
      </c>
      <c r="I68" s="307">
        <f t="shared" si="13"/>
        <v>31.063897402982178</v>
      </c>
      <c r="J68" s="307">
        <f t="shared" si="13"/>
        <v>31.184814468483353</v>
      </c>
      <c r="K68" s="307">
        <f t="shared" si="13"/>
        <v>31.292770664012323</v>
      </c>
      <c r="L68" s="307">
        <f t="shared" si="14"/>
        <v>31.363456833577171</v>
      </c>
      <c r="M68" s="307">
        <f t="shared" si="15"/>
        <v>31.566883260122445</v>
      </c>
      <c r="N68" s="307">
        <f t="shared" si="16"/>
        <v>31.807789183159255</v>
      </c>
      <c r="O68" s="327"/>
      <c r="P68" s="327"/>
      <c r="Q68" s="327"/>
    </row>
    <row r="69" spans="1:17">
      <c r="B69" s="338" t="str">
        <f t="shared" si="9"/>
        <v>Total</v>
      </c>
      <c r="C69" s="307">
        <f t="shared" si="11"/>
        <v>8507.3264614299787</v>
      </c>
      <c r="D69" s="307">
        <f t="shared" si="13"/>
        <v>8922.082404357021</v>
      </c>
      <c r="E69" s="307">
        <f t="shared" si="13"/>
        <v>8970.2769467588641</v>
      </c>
      <c r="F69" s="307">
        <f t="shared" si="13"/>
        <v>9068.3918858130455</v>
      </c>
      <c r="G69" s="307">
        <f t="shared" si="13"/>
        <v>9163.3884160749749</v>
      </c>
      <c r="H69" s="307">
        <f t="shared" si="13"/>
        <v>9235.6557844907966</v>
      </c>
      <c r="I69" s="307">
        <f t="shared" si="13"/>
        <v>9320.3835105483431</v>
      </c>
      <c r="J69" s="307">
        <f t="shared" si="13"/>
        <v>9424.0058541138933</v>
      </c>
      <c r="K69" s="307">
        <f t="shared" si="13"/>
        <v>9493.6309600731602</v>
      </c>
      <c r="L69" s="307">
        <f t="shared" si="13"/>
        <v>9523.3001107822838</v>
      </c>
      <c r="M69" s="307">
        <f t="shared" si="15"/>
        <v>9559.5691521010904</v>
      </c>
      <c r="N69" s="307">
        <f t="shared" si="16"/>
        <v>9583.2385360665212</v>
      </c>
      <c r="O69" s="327"/>
      <c r="P69" s="327"/>
      <c r="Q69" s="327"/>
    </row>
    <row r="70" spans="1:17">
      <c r="A70" s="309">
        <f>SUM(C70:N70)</f>
        <v>0</v>
      </c>
      <c r="C70" s="309">
        <f t="shared" ref="C70:N70" si="17">SUM(C59:C68)-C69</f>
        <v>0</v>
      </c>
      <c r="D70" s="309">
        <f t="shared" si="17"/>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7" ht="15.75">
      <c r="B72" s="340" t="s">
        <v>150</v>
      </c>
      <c r="H72" s="325"/>
    </row>
    <row r="73" spans="1:17">
      <c r="H73" s="325"/>
    </row>
    <row r="74" spans="1:17">
      <c r="B74" s="341" t="s">
        <v>49</v>
      </c>
      <c r="C74" s="262" t="s">
        <v>453</v>
      </c>
      <c r="H74" s="325"/>
    </row>
    <row r="75" spans="1:17">
      <c r="H75" s="325"/>
    </row>
    <row r="76" spans="1:17">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7">
      <c r="B77" s="338" t="str">
        <f t="shared" si="18"/>
        <v>20-24</v>
      </c>
      <c r="C77" s="459">
        <f>C43-(0.2*C43)</f>
        <v>132.70555637312171</v>
      </c>
      <c r="D77" s="459">
        <f>D43-(0.2*D43)</f>
        <v>210.61549423947181</v>
      </c>
      <c r="E77" s="459">
        <f t="shared" ref="E77:N77" si="20">E43-(0.2*E43)</f>
        <v>235.4743697014184</v>
      </c>
      <c r="F77" s="459">
        <f t="shared" si="20"/>
        <v>257.2668579716962</v>
      </c>
      <c r="G77" s="459">
        <f t="shared" si="20"/>
        <v>272.80583354672797</v>
      </c>
      <c r="H77" s="459">
        <f t="shared" si="20"/>
        <v>282.37156270992472</v>
      </c>
      <c r="I77" s="459">
        <f t="shared" si="20"/>
        <v>290.85159147524655</v>
      </c>
      <c r="J77" s="459">
        <f t="shared" si="20"/>
        <v>299.36721885668578</v>
      </c>
      <c r="K77" s="459">
        <f t="shared" si="20"/>
        <v>303.41086495110204</v>
      </c>
      <c r="L77" s="459">
        <f t="shared" si="20"/>
        <v>303.51634080140212</v>
      </c>
      <c r="M77" s="459">
        <f t="shared" si="20"/>
        <v>304.67889772479464</v>
      </c>
      <c r="N77" s="459">
        <f t="shared" si="20"/>
        <v>304.91448527845654</v>
      </c>
      <c r="O77" s="327"/>
      <c r="P77" s="327"/>
    </row>
    <row r="78" spans="1:17">
      <c r="B78" s="338" t="str">
        <f t="shared" si="18"/>
        <v>25-29</v>
      </c>
      <c r="C78" s="459">
        <f t="shared" ref="C78:C85" si="21">C44+(0.2*C43)-(0.2*C44)</f>
        <v>464.11191387363453</v>
      </c>
      <c r="D78" s="459">
        <f t="shared" ref="D78:N78" si="22">D44+(0.2*D43)-(0.2*D44)</f>
        <v>508.40573218800228</v>
      </c>
      <c r="E78" s="459">
        <f t="shared" si="22"/>
        <v>516.72788053516274</v>
      </c>
      <c r="F78" s="459">
        <f t="shared" si="22"/>
        <v>533.02128191235033</v>
      </c>
      <c r="G78" s="459">
        <f t="shared" si="22"/>
        <v>549.16682533224423</v>
      </c>
      <c r="H78" s="459">
        <f t="shared" si="22"/>
        <v>561.97554259963795</v>
      </c>
      <c r="I78" s="459">
        <f t="shared" si="22"/>
        <v>575.24163707015657</v>
      </c>
      <c r="J78" s="459">
        <f t="shared" si="22"/>
        <v>589.65137955558669</v>
      </c>
      <c r="K78" s="459">
        <f t="shared" si="22"/>
        <v>599.11244901130067</v>
      </c>
      <c r="L78" s="459">
        <f t="shared" si="22"/>
        <v>603.14922779876326</v>
      </c>
      <c r="M78" s="459">
        <f t="shared" si="22"/>
        <v>607.45622612446209</v>
      </c>
      <c r="N78" s="459">
        <f t="shared" si="22"/>
        <v>610.0161370435377</v>
      </c>
      <c r="O78" s="327"/>
      <c r="P78" s="327"/>
    </row>
    <row r="79" spans="1:17">
      <c r="B79" s="338" t="str">
        <f t="shared" si="18"/>
        <v>30-34</v>
      </c>
      <c r="C79" s="459">
        <f t="shared" si="21"/>
        <v>656.20453151278537</v>
      </c>
      <c r="D79" s="459">
        <f t="shared" ref="D79:N79" si="23">D45+(0.2*D44)-(0.2*D45)</f>
        <v>661.69038798934298</v>
      </c>
      <c r="E79" s="459">
        <f t="shared" si="23"/>
        <v>651.59261895076236</v>
      </c>
      <c r="F79" s="459">
        <f t="shared" si="23"/>
        <v>649.2460689405948</v>
      </c>
      <c r="G79" s="459">
        <f t="shared" si="23"/>
        <v>650.86948930534754</v>
      </c>
      <c r="H79" s="459">
        <f t="shared" si="23"/>
        <v>654.11211165725069</v>
      </c>
      <c r="I79" s="459">
        <f t="shared" si="23"/>
        <v>660.2844768571365</v>
      </c>
      <c r="J79" s="459">
        <f t="shared" si="23"/>
        <v>669.31297344804238</v>
      </c>
      <c r="K79" s="459">
        <f t="shared" si="23"/>
        <v>677.19294472318063</v>
      </c>
      <c r="L79" s="459">
        <f t="shared" si="23"/>
        <v>682.66590003304123</v>
      </c>
      <c r="M79" s="459">
        <f t="shared" si="23"/>
        <v>688.28631408259912</v>
      </c>
      <c r="N79" s="459">
        <f t="shared" si="23"/>
        <v>692.78894794045414</v>
      </c>
      <c r="O79" s="327"/>
      <c r="P79" s="327"/>
    </row>
    <row r="80" spans="1:17">
      <c r="B80" s="338" t="str">
        <f t="shared" si="18"/>
        <v>35-39</v>
      </c>
      <c r="C80" s="459">
        <f t="shared" si="21"/>
        <v>687.93302991513974</v>
      </c>
      <c r="D80" s="459">
        <f t="shared" ref="D80:N80" si="24">D46+(0.2*D45)-(0.2*D46)</f>
        <v>690.45614032824221</v>
      </c>
      <c r="E80" s="459">
        <f t="shared" si="24"/>
        <v>679.17198902191092</v>
      </c>
      <c r="F80" s="459">
        <f t="shared" si="24"/>
        <v>671.28140809054389</v>
      </c>
      <c r="G80" s="459">
        <f t="shared" si="24"/>
        <v>665.28754784478633</v>
      </c>
      <c r="H80" s="459">
        <f t="shared" si="24"/>
        <v>660.60259019646799</v>
      </c>
      <c r="I80" s="459">
        <f t="shared" si="24"/>
        <v>658.67990337863068</v>
      </c>
      <c r="J80" s="459">
        <f t="shared" si="24"/>
        <v>659.73325693777952</v>
      </c>
      <c r="K80" s="459">
        <f t="shared" si="24"/>
        <v>661.29469304822226</v>
      </c>
      <c r="L80" s="459">
        <f t="shared" si="24"/>
        <v>662.58978607252959</v>
      </c>
      <c r="M80" s="459">
        <f t="shared" si="24"/>
        <v>665.10321564607341</v>
      </c>
      <c r="N80" s="459">
        <f t="shared" si="24"/>
        <v>667.72845211966819</v>
      </c>
      <c r="O80" s="327"/>
      <c r="P80" s="327"/>
    </row>
    <row r="81" spans="1:16">
      <c r="B81" s="338" t="str">
        <f t="shared" si="18"/>
        <v>40-44</v>
      </c>
      <c r="C81" s="459">
        <f t="shared" si="21"/>
        <v>596.93718010131806</v>
      </c>
      <c r="D81" s="459">
        <f t="shared" ref="D81:N81" si="25">D47+(0.2*D46)-(0.2*D47)</f>
        <v>619.37719947517508</v>
      </c>
      <c r="E81" s="459">
        <f t="shared" si="25"/>
        <v>624.74973665944458</v>
      </c>
      <c r="F81" s="459">
        <f t="shared" si="25"/>
        <v>628.58620378372632</v>
      </c>
      <c r="G81" s="459">
        <f t="shared" si="25"/>
        <v>630.20914762315522</v>
      </c>
      <c r="H81" s="459">
        <f t="shared" si="25"/>
        <v>629.85141007908828</v>
      </c>
      <c r="I81" s="459">
        <f t="shared" si="25"/>
        <v>629.50350932922322</v>
      </c>
      <c r="J81" s="459">
        <f t="shared" si="25"/>
        <v>629.99496545689613</v>
      </c>
      <c r="K81" s="459">
        <f t="shared" si="25"/>
        <v>629.81535185342204</v>
      </c>
      <c r="L81" s="459">
        <f t="shared" si="25"/>
        <v>628.87557680754514</v>
      </c>
      <c r="M81" s="459">
        <f t="shared" si="25"/>
        <v>628.86550689472801</v>
      </c>
      <c r="N81" s="459">
        <f t="shared" si="25"/>
        <v>629.09278535446458</v>
      </c>
      <c r="O81" s="327"/>
      <c r="P81" s="327"/>
    </row>
    <row r="82" spans="1:16">
      <c r="B82" s="338" t="str">
        <f t="shared" si="18"/>
        <v>45-49</v>
      </c>
      <c r="C82" s="459">
        <f t="shared" si="21"/>
        <v>431.05303995424902</v>
      </c>
      <c r="D82" s="459">
        <f t="shared" ref="D82:N82" si="26">D48+(0.2*D47)-(0.2*D48)</f>
        <v>465.22835824395798</v>
      </c>
      <c r="E82" s="459">
        <f t="shared" si="26"/>
        <v>484.80149563666015</v>
      </c>
      <c r="F82" s="459">
        <f t="shared" si="26"/>
        <v>501.66225677696008</v>
      </c>
      <c r="G82" s="459">
        <f t="shared" si="26"/>
        <v>514.87558018920924</v>
      </c>
      <c r="H82" s="459">
        <f t="shared" si="26"/>
        <v>524.45562614562164</v>
      </c>
      <c r="I82" s="459">
        <f t="shared" si="26"/>
        <v>532.02049539684219</v>
      </c>
      <c r="J82" s="459">
        <f t="shared" si="26"/>
        <v>538.37630272414106</v>
      </c>
      <c r="K82" s="459">
        <f t="shared" si="26"/>
        <v>542.50683439653562</v>
      </c>
      <c r="L82" s="459">
        <f t="shared" si="26"/>
        <v>544.59903137020331</v>
      </c>
      <c r="M82" s="459">
        <f t="shared" si="26"/>
        <v>546.31530328604617</v>
      </c>
      <c r="N82" s="459">
        <f t="shared" si="26"/>
        <v>547.3789062798628</v>
      </c>
      <c r="O82" s="327"/>
      <c r="P82" s="327"/>
    </row>
    <row r="83" spans="1:16">
      <c r="B83" s="338" t="str">
        <f t="shared" si="18"/>
        <v>50-54</v>
      </c>
      <c r="C83" s="459">
        <f t="shared" si="21"/>
        <v>331.89796596991363</v>
      </c>
      <c r="D83" s="459">
        <f t="shared" ref="D83:N83" si="27">D49+(0.2*D48)-(0.2*D49)</f>
        <v>344.62435746136259</v>
      </c>
      <c r="E83" s="459">
        <f t="shared" si="27"/>
        <v>352.7952193909473</v>
      </c>
      <c r="F83" s="459">
        <f t="shared" si="27"/>
        <v>363.35931824840617</v>
      </c>
      <c r="G83" s="459">
        <f t="shared" si="27"/>
        <v>374.09912217340423</v>
      </c>
      <c r="H83" s="459">
        <f t="shared" si="27"/>
        <v>383.88003641201726</v>
      </c>
      <c r="I83" s="459">
        <f t="shared" si="27"/>
        <v>393.06571695613695</v>
      </c>
      <c r="J83" s="459">
        <f t="shared" si="27"/>
        <v>401.65434609507759</v>
      </c>
      <c r="K83" s="459">
        <f t="shared" si="27"/>
        <v>408.47831167871072</v>
      </c>
      <c r="L83" s="459">
        <f t="shared" si="27"/>
        <v>413.42412421035135</v>
      </c>
      <c r="M83" s="459">
        <f t="shared" si="27"/>
        <v>417.59717497185352</v>
      </c>
      <c r="N83" s="459">
        <f t="shared" si="27"/>
        <v>420.74034483170601</v>
      </c>
      <c r="O83" s="327"/>
      <c r="P83" s="327"/>
    </row>
    <row r="84" spans="1:16">
      <c r="B84" s="338" t="str">
        <f t="shared" si="18"/>
        <v>55-59</v>
      </c>
      <c r="C84" s="459">
        <f t="shared" si="21"/>
        <v>265.15253946038973</v>
      </c>
      <c r="D84" s="459">
        <f t="shared" ref="D84:N84" si="28">D50+(0.2*D49)-(0.2*D50)</f>
        <v>237.33873648278754</v>
      </c>
      <c r="E84" s="459">
        <f t="shared" si="28"/>
        <v>218.12417674154304</v>
      </c>
      <c r="F84" s="459">
        <f t="shared" si="28"/>
        <v>208.9701099722995</v>
      </c>
      <c r="G84" s="459">
        <f t="shared" si="28"/>
        <v>205.50714217515747</v>
      </c>
      <c r="H84" s="459">
        <f t="shared" si="28"/>
        <v>205.16897867775376</v>
      </c>
      <c r="I84" s="459">
        <f t="shared" si="28"/>
        <v>207.03859733610588</v>
      </c>
      <c r="J84" s="459">
        <f t="shared" si="28"/>
        <v>210.24979993046378</v>
      </c>
      <c r="K84" s="459">
        <f t="shared" si="28"/>
        <v>213.37607273286147</v>
      </c>
      <c r="L84" s="459">
        <f t="shared" si="28"/>
        <v>215.98793182138647</v>
      </c>
      <c r="M84" s="459">
        <f t="shared" si="28"/>
        <v>218.60904696818019</v>
      </c>
      <c r="N84" s="459">
        <f t="shared" si="28"/>
        <v>220.81283504566022</v>
      </c>
      <c r="O84" s="327"/>
      <c r="P84" s="327"/>
    </row>
    <row r="85" spans="1:16">
      <c r="B85" s="338" t="str">
        <f t="shared" si="18"/>
        <v>60-64</v>
      </c>
      <c r="C85" s="459">
        <f t="shared" si="21"/>
        <v>99.848593075097241</v>
      </c>
      <c r="D85" s="459">
        <f t="shared" ref="D85:N85" si="29">D51+(0.2*D50)-(0.2*D51)</f>
        <v>98.855370829588935</v>
      </c>
      <c r="E85" s="459">
        <f t="shared" si="29"/>
        <v>91.567754021324419</v>
      </c>
      <c r="F85" s="459">
        <f t="shared" si="29"/>
        <v>85.62947330857078</v>
      </c>
      <c r="G85" s="459">
        <f t="shared" si="29"/>
        <v>81.451583984514812</v>
      </c>
      <c r="H85" s="459">
        <f t="shared" si="29"/>
        <v>78.813877064985661</v>
      </c>
      <c r="I85" s="459">
        <f t="shared" si="29"/>
        <v>77.66691989591385</v>
      </c>
      <c r="J85" s="459">
        <f t="shared" si="29"/>
        <v>77.64188756243361</v>
      </c>
      <c r="K85" s="459">
        <f t="shared" si="29"/>
        <v>77.938818985253747</v>
      </c>
      <c r="L85" s="459">
        <f t="shared" si="29"/>
        <v>78.297701148832502</v>
      </c>
      <c r="M85" s="459">
        <f t="shared" si="29"/>
        <v>78.961276068461899</v>
      </c>
      <c r="N85" s="459">
        <f t="shared" si="29"/>
        <v>79.619213646006699</v>
      </c>
      <c r="O85" s="327"/>
      <c r="P85" s="327"/>
    </row>
    <row r="86" spans="1:16">
      <c r="B86" s="338" t="str">
        <f t="shared" si="18"/>
        <v>65 plus</v>
      </c>
      <c r="C86" s="459">
        <f>C52+(0.2*C51)</f>
        <v>22.295561379302285</v>
      </c>
      <c r="D86" s="459">
        <f t="shared" ref="D86:N86" si="30">D52+(0.2*D51)</f>
        <v>28.313231256964634</v>
      </c>
      <c r="E86" s="459">
        <f t="shared" si="30"/>
        <v>30.45632598654576</v>
      </c>
      <c r="F86" s="459">
        <f t="shared" si="30"/>
        <v>30.901185650805779</v>
      </c>
      <c r="G86" s="459">
        <f t="shared" si="30"/>
        <v>30.444557484658638</v>
      </c>
      <c r="H86" s="459">
        <f t="shared" si="30"/>
        <v>29.653774878003084</v>
      </c>
      <c r="I86" s="459">
        <f t="shared" si="30"/>
        <v>28.973156818850427</v>
      </c>
      <c r="J86" s="459">
        <f t="shared" si="30"/>
        <v>28.559634893105823</v>
      </c>
      <c r="K86" s="459">
        <f t="shared" si="30"/>
        <v>28.26979933560256</v>
      </c>
      <c r="L86" s="459">
        <f t="shared" si="30"/>
        <v>28.055641241355531</v>
      </c>
      <c r="M86" s="459">
        <f t="shared" si="30"/>
        <v>28.020975580454355</v>
      </c>
      <c r="N86" s="459">
        <f t="shared" si="30"/>
        <v>28.062815896206274</v>
      </c>
      <c r="O86" s="327"/>
      <c r="P86" s="327"/>
    </row>
    <row r="87" spans="1:16">
      <c r="B87" s="338" t="str">
        <f t="shared" si="18"/>
        <v>Total</v>
      </c>
      <c r="C87" s="459">
        <f>SUM(C77:C86)</f>
        <v>3688.139911614951</v>
      </c>
      <c r="D87" s="459">
        <f t="shared" ref="D87:N87" si="31">SUM(D77:D86)</f>
        <v>3864.9050084948967</v>
      </c>
      <c r="E87" s="459">
        <f t="shared" si="31"/>
        <v>3885.4615666457198</v>
      </c>
      <c r="F87" s="459">
        <f t="shared" si="31"/>
        <v>3929.924164655954</v>
      </c>
      <c r="G87" s="459">
        <f t="shared" si="31"/>
        <v>3974.7168296592058</v>
      </c>
      <c r="H87" s="459">
        <f t="shared" si="31"/>
        <v>4010.885510420751</v>
      </c>
      <c r="I87" s="459">
        <f t="shared" si="31"/>
        <v>4053.3260045142424</v>
      </c>
      <c r="J87" s="459">
        <f t="shared" si="31"/>
        <v>4104.5417654602124</v>
      </c>
      <c r="K87" s="459">
        <f t="shared" si="31"/>
        <v>4141.3961407161914</v>
      </c>
      <c r="L87" s="459">
        <f t="shared" si="31"/>
        <v>4161.1612613054103</v>
      </c>
      <c r="M87" s="459">
        <f t="shared" si="31"/>
        <v>4183.8939373476542</v>
      </c>
      <c r="N87" s="459">
        <f t="shared" si="31"/>
        <v>4201.1549234360227</v>
      </c>
      <c r="O87" s="327"/>
      <c r="P87" s="327"/>
    </row>
    <row r="88" spans="1:16">
      <c r="A88" s="309">
        <f>SUM(C88:N88)</f>
        <v>0</v>
      </c>
      <c r="C88" s="309">
        <f t="shared" ref="C88:N88" si="32">SUM(C77:C86)-C87</f>
        <v>0</v>
      </c>
      <c r="D88" s="309">
        <f t="shared" si="32"/>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6">
      <c r="B90" s="341" t="s">
        <v>50</v>
      </c>
      <c r="H90" s="325"/>
    </row>
    <row r="91" spans="1:16">
      <c r="H91" s="325"/>
    </row>
    <row r="92" spans="1:16">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6">
      <c r="B93" s="338" t="str">
        <f t="shared" si="33"/>
        <v>20-24</v>
      </c>
      <c r="C93" s="459">
        <f>C59-(0.2*C59)</f>
        <v>330.65856994234957</v>
      </c>
      <c r="D93" s="459">
        <f t="shared" ref="D93:N93" si="35">D59-(0.2*D59)</f>
        <v>507.46921740712799</v>
      </c>
      <c r="E93" s="459">
        <f t="shared" si="35"/>
        <v>565.38302108084258</v>
      </c>
      <c r="F93" s="459">
        <f t="shared" si="35"/>
        <v>616.88416800805521</v>
      </c>
      <c r="G93" s="459">
        <f t="shared" si="35"/>
        <v>654.3208902698475</v>
      </c>
      <c r="H93" s="459">
        <f t="shared" si="35"/>
        <v>678.02267165487444</v>
      </c>
      <c r="I93" s="459">
        <f t="shared" si="35"/>
        <v>699.05065303879724</v>
      </c>
      <c r="J93" s="459">
        <f t="shared" si="35"/>
        <v>720.00565171455378</v>
      </c>
      <c r="K93" s="459">
        <f t="shared" si="35"/>
        <v>730.53773620774268</v>
      </c>
      <c r="L93" s="459">
        <f t="shared" si="35"/>
        <v>731.76076748176934</v>
      </c>
      <c r="M93" s="459">
        <f t="shared" si="35"/>
        <v>735.13267144480301</v>
      </c>
      <c r="N93" s="459">
        <f t="shared" si="35"/>
        <v>736.19882957158677</v>
      </c>
      <c r="O93" s="327"/>
    </row>
    <row r="94" spans="1:16">
      <c r="B94" s="338" t="str">
        <f t="shared" si="33"/>
        <v>25-29</v>
      </c>
      <c r="C94" s="459">
        <f t="shared" ref="C94:C101" si="36">C60+(0.2*C59)-(0.2*C60)</f>
        <v>1347.2388447267749</v>
      </c>
      <c r="D94" s="459">
        <f t="shared" ref="D94:N94" si="37">D60+(0.2*D59)-(0.2*D60)</f>
        <v>1377.3929963549831</v>
      </c>
      <c r="E94" s="459">
        <f t="shared" si="37"/>
        <v>1345.2167279961366</v>
      </c>
      <c r="F94" s="459">
        <f t="shared" si="37"/>
        <v>1346.3111618468688</v>
      </c>
      <c r="G94" s="459">
        <f t="shared" si="37"/>
        <v>1357.8373666976529</v>
      </c>
      <c r="H94" s="459">
        <f t="shared" si="37"/>
        <v>1369.3971986596557</v>
      </c>
      <c r="I94" s="459">
        <f t="shared" si="37"/>
        <v>1387.5025788219866</v>
      </c>
      <c r="J94" s="459">
        <f t="shared" si="37"/>
        <v>1412.1428059325838</v>
      </c>
      <c r="K94" s="459">
        <f t="shared" si="37"/>
        <v>1428.1361526335547</v>
      </c>
      <c r="L94" s="459">
        <f t="shared" si="37"/>
        <v>1433.5344489588924</v>
      </c>
      <c r="M94" s="459">
        <f t="shared" si="37"/>
        <v>1440.846036916615</v>
      </c>
      <c r="N94" s="459">
        <f t="shared" si="37"/>
        <v>1445.0107861987453</v>
      </c>
      <c r="O94" s="327"/>
    </row>
    <row r="95" spans="1:16">
      <c r="B95" s="338" t="str">
        <f t="shared" si="33"/>
        <v>30-34</v>
      </c>
      <c r="C95" s="459">
        <f t="shared" si="36"/>
        <v>1645.5454274409269</v>
      </c>
      <c r="D95" s="459">
        <f t="shared" ref="D95:N95" si="38">D61+(0.2*D60)-(0.2*D61)</f>
        <v>1647.7605972515212</v>
      </c>
      <c r="E95" s="459">
        <f t="shared" si="38"/>
        <v>1603.8165136069497</v>
      </c>
      <c r="F95" s="459">
        <f t="shared" si="38"/>
        <v>1574.5941142339962</v>
      </c>
      <c r="G95" s="459">
        <f t="shared" si="38"/>
        <v>1554.6254027996292</v>
      </c>
      <c r="H95" s="459">
        <f t="shared" si="38"/>
        <v>1540.2460520539407</v>
      </c>
      <c r="I95" s="459">
        <f t="shared" si="38"/>
        <v>1535.2936956891156</v>
      </c>
      <c r="J95" s="459">
        <f t="shared" si="38"/>
        <v>1539.7421393153249</v>
      </c>
      <c r="K95" s="459">
        <f t="shared" si="38"/>
        <v>1544.1756565873829</v>
      </c>
      <c r="L95" s="459">
        <f t="shared" si="38"/>
        <v>1545.5032075944985</v>
      </c>
      <c r="M95" s="459">
        <f t="shared" si="38"/>
        <v>1549.3740318760476</v>
      </c>
      <c r="N95" s="459">
        <f t="shared" si="38"/>
        <v>1552.490429413047</v>
      </c>
      <c r="O95" s="327"/>
    </row>
    <row r="96" spans="1:16">
      <c r="B96" s="338" t="str">
        <f t="shared" si="33"/>
        <v>35-39</v>
      </c>
      <c r="C96" s="459">
        <f t="shared" si="36"/>
        <v>1588.3295039038019</v>
      </c>
      <c r="D96" s="459">
        <f t="shared" ref="D96:N96" si="39">D62+(0.2*D61)-(0.2*D62)</f>
        <v>1605.61956208831</v>
      </c>
      <c r="E96" s="459">
        <f t="shared" si="39"/>
        <v>1586.0796643538201</v>
      </c>
      <c r="F96" s="459">
        <f t="shared" si="39"/>
        <v>1569.1081557425864</v>
      </c>
      <c r="G96" s="459">
        <f t="shared" si="39"/>
        <v>1551.9616872505571</v>
      </c>
      <c r="H96" s="459">
        <f t="shared" si="39"/>
        <v>1534.4451099412322</v>
      </c>
      <c r="I96" s="459">
        <f t="shared" si="39"/>
        <v>1521.1119405793652</v>
      </c>
      <c r="J96" s="459">
        <f t="shared" si="39"/>
        <v>1513.4635136529255</v>
      </c>
      <c r="K96" s="459">
        <f t="shared" si="39"/>
        <v>1506.5750472736531</v>
      </c>
      <c r="L96" s="459">
        <f t="shared" si="39"/>
        <v>1499.2522868699396</v>
      </c>
      <c r="M96" s="459">
        <f t="shared" si="39"/>
        <v>1495.3405337496624</v>
      </c>
      <c r="N96" s="459">
        <f t="shared" si="39"/>
        <v>1492.5169061219135</v>
      </c>
      <c r="O96" s="327"/>
    </row>
    <row r="97" spans="1:15">
      <c r="B97" s="338" t="str">
        <f t="shared" si="33"/>
        <v>40-44</v>
      </c>
      <c r="C97" s="459">
        <f t="shared" si="36"/>
        <v>1301.8787856690344</v>
      </c>
      <c r="D97" s="459">
        <f t="shared" ref="D97:N97" si="40">D63+(0.2*D62)-(0.2*D63)</f>
        <v>1365.8728843062534</v>
      </c>
      <c r="E97" s="459">
        <f t="shared" si="40"/>
        <v>1389.1597612993567</v>
      </c>
      <c r="F97" s="459">
        <f t="shared" si="40"/>
        <v>1407.2074553134294</v>
      </c>
      <c r="G97" s="459">
        <f t="shared" si="40"/>
        <v>1417.9380289810631</v>
      </c>
      <c r="H97" s="459">
        <f t="shared" si="40"/>
        <v>1421.6496741992444</v>
      </c>
      <c r="I97" s="459">
        <f t="shared" si="40"/>
        <v>1422.9704386769222</v>
      </c>
      <c r="J97" s="459">
        <f t="shared" si="40"/>
        <v>1424.0380509725805</v>
      </c>
      <c r="K97" s="459">
        <f t="shared" si="40"/>
        <v>1421.7105096868795</v>
      </c>
      <c r="L97" s="459">
        <f t="shared" si="40"/>
        <v>1416.1972818492011</v>
      </c>
      <c r="M97" s="459">
        <f t="shared" si="40"/>
        <v>1411.814090233295</v>
      </c>
      <c r="N97" s="459">
        <f t="shared" si="40"/>
        <v>1407.3285538524672</v>
      </c>
      <c r="O97" s="327"/>
    </row>
    <row r="98" spans="1:15">
      <c r="B98" s="338" t="str">
        <f t="shared" si="33"/>
        <v>45-49</v>
      </c>
      <c r="C98" s="459">
        <f t="shared" si="36"/>
        <v>925.67241171370688</v>
      </c>
      <c r="D98" s="459">
        <f t="shared" ref="D98:N98" si="41">D64+(0.2*D63)-(0.2*D64)</f>
        <v>1008.2545429667225</v>
      </c>
      <c r="E98" s="459">
        <f t="shared" si="41"/>
        <v>1058.39339453864</v>
      </c>
      <c r="F98" s="459">
        <f t="shared" si="41"/>
        <v>1102.9564290631924</v>
      </c>
      <c r="G98" s="459">
        <f t="shared" si="41"/>
        <v>1139.2905782637902</v>
      </c>
      <c r="H98" s="459">
        <f t="shared" si="41"/>
        <v>1166.9712792067805</v>
      </c>
      <c r="I98" s="459">
        <f t="shared" si="41"/>
        <v>1189.3522435421226</v>
      </c>
      <c r="J98" s="459">
        <f t="shared" si="41"/>
        <v>1208.0202378166027</v>
      </c>
      <c r="K98" s="459">
        <f t="shared" si="41"/>
        <v>1220.4723835085995</v>
      </c>
      <c r="L98" s="459">
        <f t="shared" si="41"/>
        <v>1227.0892923170159</v>
      </c>
      <c r="M98" s="459">
        <f t="shared" si="41"/>
        <v>1231.7456510948707</v>
      </c>
      <c r="N98" s="459">
        <f t="shared" si="41"/>
        <v>1233.907541427212</v>
      </c>
      <c r="O98" s="327"/>
    </row>
    <row r="99" spans="1:15">
      <c r="B99" s="338" t="str">
        <f t="shared" si="33"/>
        <v>50-54</v>
      </c>
      <c r="C99" s="459">
        <f t="shared" si="36"/>
        <v>674.52133635929908</v>
      </c>
      <c r="D99" s="459">
        <f t="shared" ref="D99:N99" si="42">D65+(0.2*D64)-(0.2*D65)</f>
        <v>720.92462844033616</v>
      </c>
      <c r="E99" s="459">
        <f t="shared" si="42"/>
        <v>752.82088929886868</v>
      </c>
      <c r="F99" s="459">
        <f t="shared" si="42"/>
        <v>787.54422045559613</v>
      </c>
      <c r="G99" s="459">
        <f t="shared" si="42"/>
        <v>820.89257998646917</v>
      </c>
      <c r="H99" s="459">
        <f t="shared" si="42"/>
        <v>850.7879480708242</v>
      </c>
      <c r="I99" s="459">
        <f t="shared" si="42"/>
        <v>878.35958161278495</v>
      </c>
      <c r="J99" s="459">
        <f t="shared" si="42"/>
        <v>903.74672170458757</v>
      </c>
      <c r="K99" s="459">
        <f t="shared" si="42"/>
        <v>924.30930692367099</v>
      </c>
      <c r="L99" s="459">
        <f t="shared" si="42"/>
        <v>939.78165567668634</v>
      </c>
      <c r="M99" s="459">
        <f t="shared" si="42"/>
        <v>952.70035058555538</v>
      </c>
      <c r="N99" s="459">
        <f t="shared" si="42"/>
        <v>962.48277181759249</v>
      </c>
      <c r="O99" s="327"/>
    </row>
    <row r="100" spans="1:15">
      <c r="B100" s="338" t="str">
        <f t="shared" si="33"/>
        <v>55-59</v>
      </c>
      <c r="C100" s="459">
        <f t="shared" si="36"/>
        <v>486.21653803491057</v>
      </c>
      <c r="D100" s="459">
        <f t="shared" ref="D100:N100" si="43">D66+(0.2*D65)-(0.2*D66)</f>
        <v>463.01368503929956</v>
      </c>
      <c r="E100" s="459">
        <f t="shared" si="43"/>
        <v>445.86609190355858</v>
      </c>
      <c r="F100" s="459">
        <f t="shared" si="43"/>
        <v>443.07171012846362</v>
      </c>
      <c r="G100" s="459">
        <f t="shared" si="43"/>
        <v>447.82824435137366</v>
      </c>
      <c r="H100" s="459">
        <f t="shared" si="43"/>
        <v>456.24443751821559</v>
      </c>
      <c r="I100" s="459">
        <f t="shared" si="43"/>
        <v>467.46029098364284</v>
      </c>
      <c r="J100" s="459">
        <f t="shared" si="43"/>
        <v>480.2673374622122</v>
      </c>
      <c r="K100" s="459">
        <f t="shared" si="43"/>
        <v>491.85648565249932</v>
      </c>
      <c r="L100" s="459">
        <f t="shared" si="43"/>
        <v>501.49775888816612</v>
      </c>
      <c r="M100" s="459">
        <f t="shared" si="43"/>
        <v>510.54479954480297</v>
      </c>
      <c r="N100" s="459">
        <f t="shared" si="43"/>
        <v>518.11625325735986</v>
      </c>
      <c r="O100" s="327"/>
    </row>
    <row r="101" spans="1:15">
      <c r="B101" s="338" t="str">
        <f t="shared" si="33"/>
        <v>60-64</v>
      </c>
      <c r="C101" s="459">
        <f t="shared" si="36"/>
        <v>172.37600555996005</v>
      </c>
      <c r="D101" s="459">
        <f t="shared" ref="D101:N101" si="44">D67+(0.2*D66)-(0.2*D67)</f>
        <v>178.8650731579728</v>
      </c>
      <c r="E101" s="459">
        <f t="shared" si="44"/>
        <v>172.17578954462027</v>
      </c>
      <c r="F101" s="459">
        <f t="shared" si="44"/>
        <v>167.51317799605886</v>
      </c>
      <c r="G101" s="459">
        <f t="shared" si="44"/>
        <v>165.06533557416995</v>
      </c>
      <c r="H101" s="459">
        <f t="shared" si="44"/>
        <v>164.42025413416548</v>
      </c>
      <c r="I101" s="459">
        <f t="shared" si="44"/>
        <v>165.81003266283236</v>
      </c>
      <c r="J101" s="459">
        <f t="shared" si="44"/>
        <v>168.73018763624208</v>
      </c>
      <c r="K101" s="459">
        <f t="shared" si="44"/>
        <v>171.62820917232108</v>
      </c>
      <c r="L101" s="459">
        <f t="shared" si="44"/>
        <v>174.14445534217421</v>
      </c>
      <c r="M101" s="459">
        <f t="shared" si="44"/>
        <v>176.99974438767302</v>
      </c>
      <c r="N101" s="459">
        <f t="shared" si="44"/>
        <v>179.56529843093168</v>
      </c>
      <c r="O101" s="327"/>
    </row>
    <row r="102" spans="1:15">
      <c r="B102" s="338" t="str">
        <f t="shared" si="33"/>
        <v>65 plus</v>
      </c>
      <c r="C102" s="459">
        <f>C68+(0.2*C67)</f>
        <v>34.889038079212447</v>
      </c>
      <c r="D102" s="459">
        <f t="shared" ref="D102:N102" si="45">D68+(0.2*D67)</f>
        <v>46.909217344493463</v>
      </c>
      <c r="E102" s="459">
        <f t="shared" si="45"/>
        <v>51.365093136071266</v>
      </c>
      <c r="F102" s="459">
        <f t="shared" si="45"/>
        <v>53.201293024799462</v>
      </c>
      <c r="G102" s="459">
        <f t="shared" si="45"/>
        <v>53.62830190042115</v>
      </c>
      <c r="H102" s="459">
        <f t="shared" si="45"/>
        <v>53.471159051865271</v>
      </c>
      <c r="I102" s="459">
        <f t="shared" si="45"/>
        <v>53.472054940775145</v>
      </c>
      <c r="J102" s="459">
        <f t="shared" si="45"/>
        <v>53.849207906280469</v>
      </c>
      <c r="K102" s="459">
        <f t="shared" si="45"/>
        <v>54.229472426855011</v>
      </c>
      <c r="L102" s="459">
        <f t="shared" si="45"/>
        <v>54.538955803940695</v>
      </c>
      <c r="M102" s="459">
        <f t="shared" si="45"/>
        <v>55.071242267764489</v>
      </c>
      <c r="N102" s="459">
        <f t="shared" si="45"/>
        <v>55.621165975663232</v>
      </c>
      <c r="O102" s="327"/>
    </row>
    <row r="103" spans="1:15">
      <c r="B103" s="338" t="str">
        <f t="shared" si="33"/>
        <v>Total</v>
      </c>
      <c r="C103" s="459">
        <f>SUM(C93:C102)</f>
        <v>8507.3264614299769</v>
      </c>
      <c r="D103" s="459">
        <f t="shared" ref="D103:N103" si="46">SUM(D93:D102)</f>
        <v>8922.0824043570192</v>
      </c>
      <c r="E103" s="459">
        <f t="shared" si="46"/>
        <v>8970.276946758866</v>
      </c>
      <c r="F103" s="459">
        <f t="shared" si="46"/>
        <v>9068.3918858130492</v>
      </c>
      <c r="G103" s="459">
        <f t="shared" si="46"/>
        <v>9163.3884160749749</v>
      </c>
      <c r="H103" s="459">
        <f t="shared" si="46"/>
        <v>9235.6557844907984</v>
      </c>
      <c r="I103" s="459">
        <f t="shared" si="46"/>
        <v>9320.3835105483449</v>
      </c>
      <c r="J103" s="459">
        <f t="shared" si="46"/>
        <v>9424.0058541138915</v>
      </c>
      <c r="K103" s="459">
        <f t="shared" si="46"/>
        <v>9493.6309600731583</v>
      </c>
      <c r="L103" s="459">
        <f t="shared" si="46"/>
        <v>9523.3001107822838</v>
      </c>
      <c r="M103" s="459">
        <f t="shared" si="46"/>
        <v>9559.5691521010885</v>
      </c>
      <c r="N103" s="459">
        <f t="shared" si="46"/>
        <v>9583.2385360665176</v>
      </c>
      <c r="O103" s="327"/>
    </row>
    <row r="104" spans="1:15">
      <c r="A104" s="309">
        <f>SUM(C104:N104)</f>
        <v>0</v>
      </c>
      <c r="C104" s="309">
        <f t="shared" ref="C104:N104" si="47">SUM(C93:C102)-C103</f>
        <v>0</v>
      </c>
      <c r="D104" s="309">
        <f t="shared" si="47"/>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5" ht="15.75">
      <c r="B106" s="340" t="s">
        <v>151</v>
      </c>
      <c r="H106" s="325"/>
    </row>
    <row r="107" spans="1:15">
      <c r="H107" s="325"/>
    </row>
    <row r="108" spans="1:15">
      <c r="B108" s="341" t="s">
        <v>49</v>
      </c>
      <c r="H108" s="325"/>
    </row>
    <row r="109" spans="1:15">
      <c r="H109" s="325"/>
    </row>
    <row r="110" spans="1:15">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5">
      <c r="B111" s="338" t="str">
        <f t="shared" si="48"/>
        <v>20-24</v>
      </c>
      <c r="C111" s="459">
        <f>C77*Group_1_rates!E74</f>
        <v>18.837619165397818</v>
      </c>
      <c r="D111" s="459">
        <f>D77*Group_1_rates!F74</f>
        <v>29.896973263576083</v>
      </c>
      <c r="E111" s="459">
        <f>E77*Group_1_rates!G74</f>
        <v>33.425702893521319</v>
      </c>
      <c r="F111" s="459">
        <f>F77*Group_1_rates!H74</f>
        <v>36.51915734954769</v>
      </c>
      <c r="G111" s="459">
        <f>G77*Group_1_rates!I74</f>
        <v>38.724922594823845</v>
      </c>
      <c r="H111" s="459">
        <f>H77*Group_1_rates!J74</f>
        <v>40.082782566481647</v>
      </c>
      <c r="I111" s="459">
        <f>I77*Group_1_rates!K74</f>
        <v>41.286526831293045</v>
      </c>
      <c r="J111" s="459">
        <f>J77*Group_1_rates!L74</f>
        <v>42.495324337216289</v>
      </c>
      <c r="K111" s="459">
        <f>K77*Group_1_rates!M74</f>
        <v>43.0693218942748</v>
      </c>
      <c r="L111" s="459">
        <f>L77*Group_1_rates!N74</f>
        <v>43.084294243235931</v>
      </c>
      <c r="M111" s="459">
        <f>M77*Group_1_rates!O74</f>
        <v>43.249319771778154</v>
      </c>
      <c r="N111" s="459">
        <f>N77*Group_1_rates!P74</f>
        <v>43.282761541190681</v>
      </c>
    </row>
    <row r="112" spans="1:15">
      <c r="B112" s="338" t="str">
        <f t="shared" si="48"/>
        <v>25-29</v>
      </c>
      <c r="C112" s="459">
        <f>C78*Group_1_rates!E75</f>
        <v>48.899925987821113</v>
      </c>
      <c r="D112" s="459">
        <f>D78*Group_1_rates!F75</f>
        <v>53.566827165196003</v>
      </c>
      <c r="E112" s="459">
        <f>E78*Group_1_rates!G75</f>
        <v>54.443668345245129</v>
      </c>
      <c r="F112" s="459">
        <f>F78*Group_1_rates!H75</f>
        <v>56.160379547042176</v>
      </c>
      <c r="G112" s="459">
        <f>G78*Group_1_rates!I75</f>
        <v>57.861512085693036</v>
      </c>
      <c r="H112" s="459">
        <f>H78*Group_1_rates!J75</f>
        <v>59.211068750047524</v>
      </c>
      <c r="I112" s="459">
        <f>I78*Group_1_rates!K75</f>
        <v>60.608815755379581</v>
      </c>
      <c r="J112" s="459">
        <f>J78*Group_1_rates!L75</f>
        <v>62.127060213187114</v>
      </c>
      <c r="K112" s="459">
        <f>K78*Group_1_rates!M75</f>
        <v>63.123900807708068</v>
      </c>
      <c r="L112" s="459">
        <f>L78*Group_1_rates!N75</f>
        <v>63.549225342664677</v>
      </c>
      <c r="M112" s="459">
        <f>M78*Group_1_rates!O75</f>
        <v>64.003020845560741</v>
      </c>
      <c r="N112" s="459">
        <f>N78*Group_1_rates!P75</f>
        <v>64.272739098284362</v>
      </c>
    </row>
    <row r="113" spans="1:16">
      <c r="B113" s="338" t="str">
        <f t="shared" si="48"/>
        <v>30-34</v>
      </c>
      <c r="C113" s="459">
        <f>C79*Group_1_rates!E76</f>
        <v>48.046540946135131</v>
      </c>
      <c r="D113" s="459">
        <f>D79*Group_1_rates!F76</f>
        <v>48.448209046807811</v>
      </c>
      <c r="E113" s="459">
        <f>E79*Group_1_rates!G76</f>
        <v>47.708862013561479</v>
      </c>
      <c r="F113" s="459">
        <f>F79*Group_1_rates!H76</f>
        <v>47.537050321121995</v>
      </c>
      <c r="G113" s="459">
        <f>G79*Group_1_rates!I76</f>
        <v>47.65591529276135</v>
      </c>
      <c r="H113" s="459">
        <f>H79*Group_1_rates!J76</f>
        <v>47.893336371284533</v>
      </c>
      <c r="I113" s="459">
        <f>I79*Group_1_rates!K76</f>
        <v>48.345269850968279</v>
      </c>
      <c r="J113" s="459">
        <f>J79*Group_1_rates!L76</f>
        <v>49.006325985611184</v>
      </c>
      <c r="K113" s="459">
        <f>K79*Group_1_rates!M76</f>
        <v>49.583288417815787</v>
      </c>
      <c r="L113" s="459">
        <f>L79*Group_1_rates!N76</f>
        <v>49.984011909903501</v>
      </c>
      <c r="M113" s="459">
        <f>M79*Group_1_rates!O76</f>
        <v>50.39553216128575</v>
      </c>
      <c r="N113" s="459">
        <f>N79*Group_1_rates!P76</f>
        <v>50.725209832846716</v>
      </c>
    </row>
    <row r="114" spans="1:16">
      <c r="B114" s="338" t="str">
        <f t="shared" si="48"/>
        <v>35-39</v>
      </c>
      <c r="C114" s="459">
        <f>C80*Group_1_rates!E77</f>
        <v>50.264885376267266</v>
      </c>
      <c r="D114" s="459">
        <f>D80*Group_1_rates!F77</f>
        <v>50.449240320994818</v>
      </c>
      <c r="E114" s="459">
        <f>E80*Group_1_rates!G77</f>
        <v>49.624746442497425</v>
      </c>
      <c r="F114" s="459">
        <f>F80*Group_1_rates!H77</f>
        <v>49.048209005246811</v>
      </c>
      <c r="G114" s="459">
        <f>G80*Group_1_rates!I77</f>
        <v>48.610258383437689</v>
      </c>
      <c r="H114" s="459">
        <f>H80*Group_1_rates!J77</f>
        <v>48.26794474396258</v>
      </c>
      <c r="I114" s="459">
        <f>I80*Group_1_rates!K77</f>
        <v>48.127460673114911</v>
      </c>
      <c r="J114" s="459">
        <f>J80*Group_1_rates!L77</f>
        <v>48.204425571744402</v>
      </c>
      <c r="K114" s="459">
        <f>K80*Group_1_rates!M77</f>
        <v>48.318514303787772</v>
      </c>
      <c r="L114" s="459">
        <f>L80*Group_1_rates!N77</f>
        <v>48.413142268411654</v>
      </c>
      <c r="M114" s="459">
        <f>M80*Group_1_rates!O77</f>
        <v>48.596789867700622</v>
      </c>
      <c r="N114" s="459">
        <f>N80*Group_1_rates!P77</f>
        <v>48.78860681018282</v>
      </c>
    </row>
    <row r="115" spans="1:16">
      <c r="B115" s="338" t="str">
        <f t="shared" si="48"/>
        <v>40-44</v>
      </c>
      <c r="C115" s="459">
        <f>C81*Group_1_rates!E78</f>
        <v>42.539301208257221</v>
      </c>
      <c r="D115" s="459">
        <f>D81*Group_1_rates!F78</f>
        <v>44.138435547823086</v>
      </c>
      <c r="E115" s="459">
        <f>E81*Group_1_rates!G78</f>
        <v>44.521296567629911</v>
      </c>
      <c r="F115" s="459">
        <f>F81*Group_1_rates!H78</f>
        <v>44.79469322646711</v>
      </c>
      <c r="G115" s="459">
        <f>G81*Group_1_rates!I78</f>
        <v>44.910348439663636</v>
      </c>
      <c r="H115" s="459">
        <f>H81*Group_1_rates!J78</f>
        <v>44.884855128729335</v>
      </c>
      <c r="I115" s="459">
        <f>I81*Group_1_rates!K78</f>
        <v>44.860062813419745</v>
      </c>
      <c r="J115" s="459">
        <f>J81*Group_1_rates!L78</f>
        <v>44.895085259570905</v>
      </c>
      <c r="K115" s="459">
        <f>K81*Group_1_rates!M78</f>
        <v>44.882285525471602</v>
      </c>
      <c r="L115" s="459">
        <f>L81*Group_1_rates!N78</f>
        <v>44.815314703285964</v>
      </c>
      <c r="M115" s="459">
        <f>M81*Group_1_rates!O78</f>
        <v>44.814597095020389</v>
      </c>
      <c r="N115" s="459">
        <f>N81*Group_1_rates!P78</f>
        <v>44.830793551162124</v>
      </c>
    </row>
    <row r="116" spans="1:16">
      <c r="B116" s="338" t="str">
        <f t="shared" si="48"/>
        <v>45-49</v>
      </c>
      <c r="C116" s="459">
        <f>C82*Group_1_rates!E79</f>
        <v>36.822822409132328</v>
      </c>
      <c r="D116" s="459">
        <f>D82*Group_1_rates!F79</f>
        <v>39.742258208242092</v>
      </c>
      <c r="E116" s="459">
        <f>E82*Group_1_rates!G79</f>
        <v>41.414298758698521</v>
      </c>
      <c r="F116" s="459">
        <f>F82*Group_1_rates!H79</f>
        <v>42.854633834906217</v>
      </c>
      <c r="G116" s="459">
        <f>G82*Group_1_rates!I79</f>
        <v>43.9833855576532</v>
      </c>
      <c r="H116" s="459">
        <f>H82*Group_1_rates!J79</f>
        <v>44.80176357201946</v>
      </c>
      <c r="I116" s="459">
        <f>I82*Group_1_rates!K79</f>
        <v>45.447994571841583</v>
      </c>
      <c r="J116" s="459">
        <f>J82*Group_1_rates!L79</f>
        <v>45.990941130122742</v>
      </c>
      <c r="K116" s="459">
        <f>K82*Group_1_rates!M79</f>
        <v>46.343792914311585</v>
      </c>
      <c r="L116" s="459">
        <f>L82*Group_1_rates!N79</f>
        <v>46.522519406101239</v>
      </c>
      <c r="M116" s="459">
        <f>M82*Group_1_rates!O79</f>
        <v>46.669132398250817</v>
      </c>
      <c r="N116" s="459">
        <f>N82*Group_1_rates!P79</f>
        <v>46.759990971384383</v>
      </c>
    </row>
    <row r="117" spans="1:16">
      <c r="B117" s="338" t="str">
        <f t="shared" si="48"/>
        <v>50-54</v>
      </c>
      <c r="C117" s="459">
        <f>C83*Group_1_rates!E80</f>
        <v>26.770311774154063</v>
      </c>
      <c r="D117" s="459">
        <f>D83*Group_1_rates!F80</f>
        <v>27.796800342682722</v>
      </c>
      <c r="E117" s="459">
        <f>E83*Group_1_rates!G80</f>
        <v>28.455847832411472</v>
      </c>
      <c r="F117" s="459">
        <f>F83*Group_1_rates!H80</f>
        <v>29.307929643761874</v>
      </c>
      <c r="G117" s="459">
        <f>G83*Group_1_rates!I80</f>
        <v>30.174183519784556</v>
      </c>
      <c r="H117" s="459">
        <f>H83*Group_1_rates!J80</f>
        <v>30.963095024074008</v>
      </c>
      <c r="I117" s="459">
        <f>I83*Group_1_rates!K80</f>
        <v>31.703996015453257</v>
      </c>
      <c r="J117" s="459">
        <f>J83*Group_1_rates!L80</f>
        <v>32.396739880544814</v>
      </c>
      <c r="K117" s="459">
        <f>K83*Group_1_rates!M80</f>
        <v>32.947149057281131</v>
      </c>
      <c r="L117" s="459">
        <f>L83*Group_1_rates!N80</f>
        <v>33.346069680556475</v>
      </c>
      <c r="M117" s="459">
        <f>M83*Group_1_rates!O80</f>
        <v>33.682660685591166</v>
      </c>
      <c r="N117" s="459">
        <f>N83*Group_1_rates!P80</f>
        <v>33.936183291134952</v>
      </c>
    </row>
    <row r="118" spans="1:16">
      <c r="B118" s="338" t="str">
        <f t="shared" si="48"/>
        <v>55-59</v>
      </c>
      <c r="C118" s="459">
        <f>C84*Group_1_rates!E81</f>
        <v>12.222854493263734</v>
      </c>
      <c r="D118" s="459">
        <f>D84*Group_1_rates!F81</f>
        <v>10.940709251919275</v>
      </c>
      <c r="E118" s="459">
        <f>E84*Group_1_rates!G81</f>
        <v>10.054967149100611</v>
      </c>
      <c r="F118" s="459">
        <f>F84*Group_1_rates!H81</f>
        <v>9.6329880635154268</v>
      </c>
      <c r="G118" s="459">
        <f>G84*Group_1_rates!I81</f>
        <v>9.4733540974011845</v>
      </c>
      <c r="H118" s="459">
        <f>H84*Group_1_rates!J81</f>
        <v>9.457765624320329</v>
      </c>
      <c r="I118" s="459">
        <f>I84*Group_1_rates!K81</f>
        <v>9.5439502668111569</v>
      </c>
      <c r="J118" s="459">
        <f>J84*Group_1_rates!L81</f>
        <v>9.6919785004426551</v>
      </c>
      <c r="K118" s="459">
        <f>K84*Group_1_rates!M81</f>
        <v>9.8360916876959994</v>
      </c>
      <c r="L118" s="459">
        <f>L84*Group_1_rates!N81</f>
        <v>9.9564917172824359</v>
      </c>
      <c r="M118" s="459">
        <f>M84*Group_1_rates!O81</f>
        <v>10.07731842750195</v>
      </c>
      <c r="N118" s="459">
        <f>N84*Group_1_rates!P81</f>
        <v>10.178907426271664</v>
      </c>
    </row>
    <row r="119" spans="1:16">
      <c r="B119" s="338" t="str">
        <f t="shared" si="48"/>
        <v>60-64</v>
      </c>
      <c r="C119" s="459">
        <f>C85*Group_1_rates!E82</f>
        <v>1.747632936909153</v>
      </c>
      <c r="D119" s="459">
        <f>D85*Group_1_rates!F82</f>
        <v>1.7302487369273298</v>
      </c>
      <c r="E119" s="459">
        <f>E85*Group_1_rates!G82</f>
        <v>1.6026948198068665</v>
      </c>
      <c r="F119" s="459">
        <f>F85*Group_1_rates!H82</f>
        <v>1.4987581027975916</v>
      </c>
      <c r="G119" s="459">
        <f>G85*Group_1_rates!I82</f>
        <v>1.4256332167614925</v>
      </c>
      <c r="H119" s="459">
        <f>H85*Group_1_rates!J82</f>
        <v>1.3794658813137581</v>
      </c>
      <c r="I119" s="459">
        <f>I85*Group_1_rates!K82</f>
        <v>1.3593908851204077</v>
      </c>
      <c r="J119" s="459">
        <f>J85*Group_1_rates!L82</f>
        <v>1.358952748446365</v>
      </c>
      <c r="K119" s="459">
        <f>K85*Group_1_rates!M82</f>
        <v>1.3641498886217251</v>
      </c>
      <c r="L119" s="459">
        <f>L85*Group_1_rates!N82</f>
        <v>1.3704313420726288</v>
      </c>
      <c r="M119" s="459">
        <f>M85*Group_1_rates!O82</f>
        <v>1.3820457809939561</v>
      </c>
      <c r="N119" s="459">
        <f>N85*Group_1_rates!P82</f>
        <v>1.3935615504758827</v>
      </c>
    </row>
    <row r="120" spans="1:16">
      <c r="B120" s="338" t="str">
        <f t="shared" si="48"/>
        <v>65 plus</v>
      </c>
      <c r="C120" s="459">
        <f>C86*Group_1_rates!E83</f>
        <v>0.4116052926990077</v>
      </c>
      <c r="D120" s="459">
        <f>D86*Group_1_rates!F83</f>
        <v>0.52269936784800153</v>
      </c>
      <c r="E120" s="459">
        <f>E86*Group_1_rates!G83</f>
        <v>0.56226370616826615</v>
      </c>
      <c r="F120" s="459">
        <f>F86*Group_1_rates!H83</f>
        <v>0.57047639878464096</v>
      </c>
      <c r="G120" s="459">
        <f>G86*Group_1_rates!I83</f>
        <v>0.56204644419484151</v>
      </c>
      <c r="H120" s="459">
        <f>H86*Group_1_rates!J83</f>
        <v>0.54744756055444532</v>
      </c>
      <c r="I120" s="459">
        <f>I86*Group_1_rates!K83</f>
        <v>0.5348824588874459</v>
      </c>
      <c r="J120" s="459">
        <f>J86*Group_1_rates!L83</f>
        <v>0.52724830200806028</v>
      </c>
      <c r="K120" s="459">
        <f>K86*Group_1_rates!M83</f>
        <v>0.52189755764010459</v>
      </c>
      <c r="L120" s="459">
        <f>L86*Group_1_rates!N83</f>
        <v>0.51794391845754328</v>
      </c>
      <c r="M120" s="459">
        <f>M86*Group_1_rates!O83</f>
        <v>0.51730394491038345</v>
      </c>
      <c r="N120" s="459">
        <f>N86*Group_1_rates!P83</f>
        <v>0.51807637199211076</v>
      </c>
    </row>
    <row r="121" spans="1:16">
      <c r="B121" s="338" t="str">
        <f t="shared" si="48"/>
        <v>Total</v>
      </c>
      <c r="C121" s="459">
        <f>SUM(C111:C120)</f>
        <v>286.56349959003683</v>
      </c>
      <c r="D121" s="459">
        <f t="shared" ref="D121:N121" si="50">SUM(D111:D120)</f>
        <v>307.23240125201721</v>
      </c>
      <c r="E121" s="459">
        <f t="shared" si="50"/>
        <v>311.81434852864095</v>
      </c>
      <c r="F121" s="459">
        <f t="shared" si="50"/>
        <v>317.92427549319154</v>
      </c>
      <c r="G121" s="459">
        <f t="shared" si="50"/>
        <v>323.3815596321748</v>
      </c>
      <c r="H121" s="459">
        <f t="shared" si="50"/>
        <v>327.48952522278756</v>
      </c>
      <c r="I121" s="459">
        <f t="shared" si="50"/>
        <v>331.81835012228947</v>
      </c>
      <c r="J121" s="459">
        <f t="shared" si="50"/>
        <v>336.69408192889449</v>
      </c>
      <c r="K121" s="459">
        <f t="shared" si="50"/>
        <v>339.99039205460861</v>
      </c>
      <c r="L121" s="459">
        <f t="shared" si="50"/>
        <v>341.55944453197208</v>
      </c>
      <c r="M121" s="459">
        <f t="shared" si="50"/>
        <v>343.3877209785939</v>
      </c>
      <c r="N121" s="459">
        <f t="shared" si="50"/>
        <v>344.6868304449257</v>
      </c>
    </row>
    <row r="122" spans="1:16">
      <c r="A122" s="309">
        <f>SUM(C122:N122)</f>
        <v>0</v>
      </c>
      <c r="C122" s="309">
        <f t="shared" ref="C122:N122" si="51">SUM(C111:C120)-C121</f>
        <v>0</v>
      </c>
      <c r="D122" s="309">
        <f t="shared" si="51"/>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6">
      <c r="B124" s="341" t="s">
        <v>50</v>
      </c>
      <c r="C124" s="329"/>
      <c r="D124" s="329"/>
      <c r="E124" s="329"/>
      <c r="F124" s="329"/>
      <c r="G124" s="329"/>
      <c r="H124" s="339"/>
      <c r="I124" s="329"/>
      <c r="J124" s="329"/>
      <c r="K124" s="329"/>
      <c r="L124" s="329"/>
    </row>
    <row r="125" spans="1:16">
      <c r="C125" s="329"/>
      <c r="D125" s="329"/>
      <c r="E125" s="329"/>
      <c r="F125" s="329"/>
      <c r="G125" s="329"/>
      <c r="H125" s="339"/>
      <c r="I125" s="329"/>
      <c r="J125" s="329"/>
      <c r="K125" s="329"/>
      <c r="L125" s="329"/>
    </row>
    <row r="126" spans="1:16">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6">
      <c r="B127" s="338" t="str">
        <f t="shared" si="52"/>
        <v>20-24</v>
      </c>
      <c r="C127" s="459">
        <f>C93*Group_1_rates!E89</f>
        <v>40.942039373254147</v>
      </c>
      <c r="D127" s="459">
        <f>D93*Group_1_rates!F89</f>
        <v>62.83467772639176</v>
      </c>
      <c r="E127" s="459">
        <f>E93*Group_1_rates!G89</f>
        <v>70.005546549412244</v>
      </c>
      <c r="F127" s="459">
        <f>F93*Group_1_rates!H89</f>
        <v>76.382402245695317</v>
      </c>
      <c r="G127" s="459">
        <f>G93*Group_1_rates!I89</f>
        <v>81.017805335701766</v>
      </c>
      <c r="H127" s="459">
        <f>H93*Group_1_rates!J89</f>
        <v>83.952552397758026</v>
      </c>
      <c r="I127" s="459">
        <f>I93*Group_1_rates!K89</f>
        <v>86.556230390772768</v>
      </c>
      <c r="J127" s="459">
        <f>J93*Group_1_rates!L89</f>
        <v>89.150871687984264</v>
      </c>
      <c r="K127" s="459">
        <f>K93*Group_1_rates!M89</f>
        <v>90.454951053227262</v>
      </c>
      <c r="L127" s="459">
        <f>L93*Group_1_rates!N89</f>
        <v>90.60638639810476</v>
      </c>
      <c r="M127" s="459">
        <f>M93*Group_1_rates!O89</f>
        <v>91.023894478543824</v>
      </c>
      <c r="N127" s="459">
        <f>N93*Group_1_rates!P89</f>
        <v>91.155905840029206</v>
      </c>
      <c r="O127" s="327"/>
      <c r="P127" s="327"/>
    </row>
    <row r="128" spans="1:16">
      <c r="B128" s="338" t="str">
        <f t="shared" si="52"/>
        <v>25-29</v>
      </c>
      <c r="C128" s="459">
        <f>C94*Group_1_rates!E90</f>
        <v>140.41131815801737</v>
      </c>
      <c r="D128" s="459">
        <f>D94*Group_1_rates!F90</f>
        <v>143.55403052459266</v>
      </c>
      <c r="E128" s="459">
        <f>E94*Group_1_rates!G90</f>
        <v>140.20057002176102</v>
      </c>
      <c r="F128" s="459">
        <f>F94*Group_1_rates!H90</f>
        <v>140.31463361205874</v>
      </c>
      <c r="G128" s="459">
        <f>G94*Group_1_rates!I90</f>
        <v>141.51591252618192</v>
      </c>
      <c r="H128" s="459">
        <f>H94*Group_1_rates!J90</f>
        <v>142.72069610989692</v>
      </c>
      <c r="I128" s="459">
        <f>I94*Group_1_rates!K90</f>
        <v>144.60766686069982</v>
      </c>
      <c r="J128" s="459">
        <f>J94*Group_1_rates!L90</f>
        <v>147.1757094775333</v>
      </c>
      <c r="K128" s="459">
        <f>K94*Group_1_rates!M90</f>
        <v>148.84256083119726</v>
      </c>
      <c r="L128" s="459">
        <f>L94*Group_1_rates!N90</f>
        <v>149.40517963172775</v>
      </c>
      <c r="M128" s="459">
        <f>M94*Group_1_rates!O90</f>
        <v>150.16720464829436</v>
      </c>
      <c r="N128" s="459">
        <f>N94*Group_1_rates!P90</f>
        <v>150.60126126623589</v>
      </c>
      <c r="O128" s="327"/>
      <c r="P128" s="327"/>
    </row>
    <row r="129" spans="1:16">
      <c r="B129" s="338" t="str">
        <f t="shared" si="52"/>
        <v>30-34</v>
      </c>
      <c r="C129" s="459">
        <f>C95*Group_1_rates!E91</f>
        <v>153.21121223286534</v>
      </c>
      <c r="D129" s="459">
        <f>D95*Group_1_rates!F91</f>
        <v>153.41745925973143</v>
      </c>
      <c r="E129" s="459">
        <f>E95*Group_1_rates!G91</f>
        <v>149.32597310968472</v>
      </c>
      <c r="F129" s="459">
        <f>F95*Group_1_rates!H91</f>
        <v>146.60517357560815</v>
      </c>
      <c r="G129" s="459">
        <f>G95*Group_1_rates!I91</f>
        <v>144.74595386974715</v>
      </c>
      <c r="H129" s="459">
        <f>H95*Group_1_rates!J91</f>
        <v>143.40714077949136</v>
      </c>
      <c r="I129" s="459">
        <f>I95*Group_1_rates!K91</f>
        <v>142.94604349866819</v>
      </c>
      <c r="J129" s="459">
        <f>J95*Group_1_rates!L91</f>
        <v>143.3602231555501</v>
      </c>
      <c r="K129" s="459">
        <f>K95*Group_1_rates!M91</f>
        <v>143.77301306969042</v>
      </c>
      <c r="L129" s="459">
        <f>L95*Group_1_rates!N91</f>
        <v>143.89661688864877</v>
      </c>
      <c r="M129" s="459">
        <f>M95*Group_1_rates!O91</f>
        <v>144.25701634686297</v>
      </c>
      <c r="N129" s="459">
        <f>N95*Group_1_rates!P91</f>
        <v>144.54717366277842</v>
      </c>
      <c r="O129" s="327"/>
      <c r="P129" s="327"/>
    </row>
    <row r="130" spans="1:16">
      <c r="B130" s="338" t="str">
        <f t="shared" si="52"/>
        <v>35-39</v>
      </c>
      <c r="C130" s="459">
        <f>C96*Group_1_rates!E92</f>
        <v>123.97293095551709</v>
      </c>
      <c r="D130" s="459">
        <f>D96*Group_1_rates!F92</f>
        <v>125.32246150585729</v>
      </c>
      <c r="E130" s="459">
        <f>E96*Group_1_rates!G92</f>
        <v>123.79732557734754</v>
      </c>
      <c r="F130" s="459">
        <f>F96*Group_1_rates!H92</f>
        <v>122.47265858595803</v>
      </c>
      <c r="G130" s="459">
        <f>G96*Group_1_rates!I92</f>
        <v>121.13433555583818</v>
      </c>
      <c r="H130" s="459">
        <f>H96*Group_1_rates!J92</f>
        <v>119.76712464399111</v>
      </c>
      <c r="I130" s="459">
        <f>I96*Group_1_rates!K92</f>
        <v>118.72643876574335</v>
      </c>
      <c r="J130" s="459">
        <f>J96*Group_1_rates!L92</f>
        <v>118.1294606822038</v>
      </c>
      <c r="K130" s="459">
        <f>K96*Group_1_rates!M92</f>
        <v>117.59179934384295</v>
      </c>
      <c r="L130" s="459">
        <f>L96*Group_1_rates!N92</f>
        <v>117.02024031424479</v>
      </c>
      <c r="M130" s="459">
        <f>M96*Group_1_rates!O92</f>
        <v>116.7149185920812</v>
      </c>
      <c r="N130" s="459">
        <f>N96*Group_1_rates!P92</f>
        <v>116.49452767692246</v>
      </c>
      <c r="O130" s="327"/>
      <c r="P130" s="327"/>
    </row>
    <row r="131" spans="1:16">
      <c r="B131" s="338" t="str">
        <f t="shared" si="52"/>
        <v>40-44</v>
      </c>
      <c r="C131" s="459">
        <f>C97*Group_1_rates!E93</f>
        <v>100.70701816533196</v>
      </c>
      <c r="D131" s="459">
        <f>D97*Group_1_rates!F93</f>
        <v>105.65729074437284</v>
      </c>
      <c r="E131" s="459">
        <f>E97*Group_1_rates!G93</f>
        <v>107.45865041792581</v>
      </c>
      <c r="F131" s="459">
        <f>F97*Group_1_rates!H93</f>
        <v>108.85473234884347</v>
      </c>
      <c r="G131" s="459">
        <f>G97*Group_1_rates!I93</f>
        <v>109.68479739726922</v>
      </c>
      <c r="H131" s="459">
        <f>H97*Group_1_rates!J93</f>
        <v>109.97191223969948</v>
      </c>
      <c r="I131" s="459">
        <f>I97*Group_1_rates!K93</f>
        <v>110.07408016324949</v>
      </c>
      <c r="J131" s="459">
        <f>J97*Group_1_rates!L93</f>
        <v>110.15666546384423</v>
      </c>
      <c r="K131" s="459">
        <f>K97*Group_1_rates!M93</f>
        <v>109.97661817747633</v>
      </c>
      <c r="L131" s="459">
        <f>L97*Group_1_rates!N93</f>
        <v>109.55014165592108</v>
      </c>
      <c r="M131" s="459">
        <f>M97*Group_1_rates!O93</f>
        <v>109.21107924662132</v>
      </c>
      <c r="N131" s="459">
        <f>N97*Group_1_rates!P93</f>
        <v>108.86409994351121</v>
      </c>
      <c r="O131" s="327"/>
      <c r="P131" s="327"/>
    </row>
    <row r="132" spans="1:16">
      <c r="B132" s="338" t="str">
        <f t="shared" si="52"/>
        <v>45-49</v>
      </c>
      <c r="C132" s="459">
        <f>C98*Group_1_rates!E94</f>
        <v>78.783981463096922</v>
      </c>
      <c r="D132" s="459">
        <f>D98*Group_1_rates!F94</f>
        <v>85.81254687726512</v>
      </c>
      <c r="E132" s="459">
        <f>E98*Group_1_rates!G94</f>
        <v>90.079864670079075</v>
      </c>
      <c r="F132" s="459">
        <f>F98*Group_1_rates!H94</f>
        <v>93.872624658920074</v>
      </c>
      <c r="G132" s="459">
        <f>G98*Group_1_rates!I94</f>
        <v>96.965024195596143</v>
      </c>
      <c r="H132" s="459">
        <f>H98*Group_1_rates!J94</f>
        <v>99.320928727676502</v>
      </c>
      <c r="I132" s="459">
        <f>I98*Group_1_rates!K94</f>
        <v>101.22577266275444</v>
      </c>
      <c r="J132" s="459">
        <f>J98*Group_1_rates!L94</f>
        <v>102.81460570591607</v>
      </c>
      <c r="K132" s="459">
        <f>K98*Group_1_rates!M94</f>
        <v>103.87440785942074</v>
      </c>
      <c r="L132" s="459">
        <f>L98*Group_1_rates!N94</f>
        <v>104.43757298599093</v>
      </c>
      <c r="M132" s="459">
        <f>M98*Group_1_rates!O94</f>
        <v>104.83387569416054</v>
      </c>
      <c r="N132" s="459">
        <f>N98*Group_1_rates!P94</f>
        <v>105.01787418618981</v>
      </c>
      <c r="O132" s="327"/>
      <c r="P132" s="327"/>
    </row>
    <row r="133" spans="1:16">
      <c r="B133" s="338" t="str">
        <f t="shared" si="52"/>
        <v>50-54</v>
      </c>
      <c r="C133" s="459">
        <f>C99*Group_1_rates!E95</f>
        <v>53.961955970375193</v>
      </c>
      <c r="D133" s="459">
        <f>D99*Group_1_rates!F95</f>
        <v>57.674236470904184</v>
      </c>
      <c r="E133" s="459">
        <f>E99*Group_1_rates!G95</f>
        <v>60.225949117027071</v>
      </c>
      <c r="F133" s="459">
        <f>F99*Group_1_rates!H95</f>
        <v>63.003828430878748</v>
      </c>
      <c r="G133" s="459">
        <f>G99*Group_1_rates!I95</f>
        <v>65.671709506964746</v>
      </c>
      <c r="H133" s="459">
        <f>H99*Group_1_rates!J95</f>
        <v>68.06334999233971</v>
      </c>
      <c r="I133" s="459">
        <f>I99*Group_1_rates!K95</f>
        <v>70.269090856302668</v>
      </c>
      <c r="J133" s="459">
        <f>J99*Group_1_rates!L95</f>
        <v>72.300071437646153</v>
      </c>
      <c r="K133" s="459">
        <f>K99*Group_1_rates!M95</f>
        <v>73.945085847743655</v>
      </c>
      <c r="L133" s="459">
        <f>L99*Group_1_rates!N95</f>
        <v>75.182879461026431</v>
      </c>
      <c r="M133" s="459">
        <f>M99*Group_1_rates!O95</f>
        <v>76.216379823861161</v>
      </c>
      <c r="N133" s="459">
        <f>N99*Group_1_rates!P95</f>
        <v>76.998977134505253</v>
      </c>
      <c r="O133" s="327"/>
      <c r="P133" s="327"/>
    </row>
    <row r="134" spans="1:16">
      <c r="B134" s="338" t="str">
        <f t="shared" si="52"/>
        <v>55-59</v>
      </c>
      <c r="C134" s="459">
        <f>C100*Group_1_rates!E96</f>
        <v>22.606574380967139</v>
      </c>
      <c r="D134" s="459">
        <f>D100*Group_1_rates!F96</f>
        <v>21.527760763857586</v>
      </c>
      <c r="E134" s="459">
        <f>E100*Group_1_rates!G96</f>
        <v>20.730485662429718</v>
      </c>
      <c r="F134" s="459">
        <f>F100*Group_1_rates!H96</f>
        <v>20.600561247059527</v>
      </c>
      <c r="G134" s="459">
        <f>G100*Group_1_rates!I96</f>
        <v>20.821715684011465</v>
      </c>
      <c r="H134" s="459">
        <f>H100*Group_1_rates!J96</f>
        <v>21.213025485195438</v>
      </c>
      <c r="I134" s="459">
        <f>I100*Group_1_rates!K96</f>
        <v>21.73450512600931</v>
      </c>
      <c r="J134" s="459">
        <f>J100*Group_1_rates!L96</f>
        <v>22.329967077979141</v>
      </c>
      <c r="K134" s="459">
        <f>K100*Group_1_rates!M96</f>
        <v>22.868803008230788</v>
      </c>
      <c r="L134" s="459">
        <f>L100*Group_1_rates!N96</f>
        <v>23.317072747080516</v>
      </c>
      <c r="M134" s="459">
        <f>M100*Group_1_rates!O96</f>
        <v>23.737713719842347</v>
      </c>
      <c r="N134" s="459">
        <f>N100*Group_1_rates!P96</f>
        <v>24.089747470518013</v>
      </c>
      <c r="O134" s="327"/>
      <c r="P134" s="327"/>
    </row>
    <row r="135" spans="1:16">
      <c r="B135" s="338" t="str">
        <f t="shared" si="52"/>
        <v>60-64</v>
      </c>
      <c r="C135" s="459">
        <f>C101*Group_1_rates!E97</f>
        <v>3.6111781255839026</v>
      </c>
      <c r="D135" s="459">
        <f>D101*Group_1_rates!F97</f>
        <v>3.7471203577365544</v>
      </c>
      <c r="E135" s="459">
        <f>E101*Group_1_rates!G97</f>
        <v>3.6069837152735009</v>
      </c>
      <c r="F135" s="459">
        <f>F101*Group_1_rates!H97</f>
        <v>3.5093046863531847</v>
      </c>
      <c r="G135" s="459">
        <f>G101*Group_1_rates!I97</f>
        <v>3.4580237961847051</v>
      </c>
      <c r="H135" s="459">
        <f>H101*Group_1_rates!J97</f>
        <v>3.4445097112179663</v>
      </c>
      <c r="I135" s="459">
        <f>I101*Group_1_rates!K97</f>
        <v>3.4736247716686641</v>
      </c>
      <c r="J135" s="459">
        <f>J101*Group_1_rates!L97</f>
        <v>3.5348003380071251</v>
      </c>
      <c r="K135" s="459">
        <f>K101*Group_1_rates!M97</f>
        <v>3.5955122215698245</v>
      </c>
      <c r="L135" s="459">
        <f>L101*Group_1_rates!N97</f>
        <v>3.6482261308963588</v>
      </c>
      <c r="M135" s="459">
        <f>M101*Group_1_rates!O97</f>
        <v>3.7080427933711024</v>
      </c>
      <c r="N135" s="459">
        <f>N101*Group_1_rates!P97</f>
        <v>3.7617896742720891</v>
      </c>
      <c r="O135" s="327"/>
      <c r="P135" s="327"/>
    </row>
    <row r="136" spans="1:16">
      <c r="B136" s="338" t="str">
        <f t="shared" si="52"/>
        <v>65 plus</v>
      </c>
      <c r="C136" s="459">
        <f>C102*Group_1_rates!E98</f>
        <v>1.1215594936310522</v>
      </c>
      <c r="D136" s="459">
        <f>D102*Group_1_rates!F98</f>
        <v>1.5079658525428357</v>
      </c>
      <c r="E136" s="459">
        <f>E102*Group_1_rates!G98</f>
        <v>1.6512065399225915</v>
      </c>
      <c r="F136" s="459">
        <f>F102*Group_1_rates!H98</f>
        <v>1.7102338886483341</v>
      </c>
      <c r="G136" s="459">
        <f>G102*Group_1_rates!I98</f>
        <v>1.7239607176090779</v>
      </c>
      <c r="H136" s="459">
        <f>H102*Group_1_rates!J98</f>
        <v>1.7189091293923457</v>
      </c>
      <c r="I136" s="459">
        <f>I102*Group_1_rates!K98</f>
        <v>1.7189379290603053</v>
      </c>
      <c r="J136" s="459">
        <f>J102*Group_1_rates!L98</f>
        <v>1.7310620663911545</v>
      </c>
      <c r="K136" s="459">
        <f>K102*Group_1_rates!M98</f>
        <v>1.7432862292406184</v>
      </c>
      <c r="L136" s="459">
        <f>L102*Group_1_rates!N98</f>
        <v>1.7532350280267408</v>
      </c>
      <c r="M136" s="459">
        <f>M102*Group_1_rates!O98</f>
        <v>1.7703461600527217</v>
      </c>
      <c r="N136" s="459">
        <f>N102*Group_1_rates!P98</f>
        <v>1.788024267255514</v>
      </c>
      <c r="O136" s="327"/>
      <c r="P136" s="327"/>
    </row>
    <row r="137" spans="1:16">
      <c r="B137" s="338" t="str">
        <f t="shared" si="52"/>
        <v>Total</v>
      </c>
      <c r="C137" s="459">
        <f>SUM(C127:C136)</f>
        <v>719.32976831864016</v>
      </c>
      <c r="D137" s="459">
        <f t="shared" ref="D137:N137" si="54">SUM(D127:D136)</f>
        <v>761.05555008325223</v>
      </c>
      <c r="E137" s="459">
        <f t="shared" si="54"/>
        <v>767.08255538086325</v>
      </c>
      <c r="F137" s="459">
        <f t="shared" si="54"/>
        <v>777.32615328002362</v>
      </c>
      <c r="G137" s="459">
        <f t="shared" si="54"/>
        <v>786.73923858510443</v>
      </c>
      <c r="H137" s="459">
        <f t="shared" si="54"/>
        <v>793.58014921665881</v>
      </c>
      <c r="I137" s="459">
        <f t="shared" si="54"/>
        <v>801.33239102492917</v>
      </c>
      <c r="J137" s="459">
        <f t="shared" si="54"/>
        <v>810.68343709305532</v>
      </c>
      <c r="K137" s="459">
        <f t="shared" si="54"/>
        <v>816.66603764163995</v>
      </c>
      <c r="L137" s="459">
        <f t="shared" si="54"/>
        <v>818.81755124166807</v>
      </c>
      <c r="M137" s="459">
        <f t="shared" si="54"/>
        <v>821.6404715036914</v>
      </c>
      <c r="N137" s="459">
        <f t="shared" si="54"/>
        <v>823.31938112221792</v>
      </c>
      <c r="O137" s="327"/>
      <c r="P137" s="327"/>
    </row>
    <row r="138" spans="1:16">
      <c r="A138" s="309">
        <f>SUM(C138:N138)</f>
        <v>0</v>
      </c>
      <c r="C138" s="309">
        <f t="shared" ref="C138:N138" si="55">SUM(C127:C136)-C137</f>
        <v>0</v>
      </c>
      <c r="D138" s="309">
        <f t="shared" si="55"/>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6" ht="15.75">
      <c r="B140" s="340" t="s">
        <v>152</v>
      </c>
      <c r="H140" s="325"/>
    </row>
    <row r="141" spans="1:16">
      <c r="H141" s="325"/>
    </row>
    <row r="142" spans="1:16">
      <c r="B142" s="341" t="s">
        <v>49</v>
      </c>
      <c r="H142" s="325"/>
    </row>
    <row r="143" spans="1:16">
      <c r="H143" s="325"/>
    </row>
    <row r="144" spans="1:16">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6">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c r="O145" s="327"/>
      <c r="P145" s="327"/>
    </row>
    <row r="146" spans="1:16">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c r="O146" s="327"/>
      <c r="P146" s="327"/>
    </row>
    <row r="147" spans="1:16">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c r="O147" s="327"/>
      <c r="P147" s="327"/>
    </row>
    <row r="148" spans="1:16">
      <c r="B148" s="338" t="str">
        <f t="shared" si="56"/>
        <v>35-39</v>
      </c>
      <c r="C148" s="459">
        <f>C80*Calc_SEC_retirement_rates!$G127</f>
        <v>0.27495771078197934</v>
      </c>
      <c r="D148" s="459">
        <f>D80*Calc_SEC_retirement_rates!$G127</f>
        <v>0.27596616456028156</v>
      </c>
      <c r="E148" s="459">
        <f>E80*Calc_SEC_retirement_rates!$G127</f>
        <v>0.27145603889922837</v>
      </c>
      <c r="F148" s="459">
        <f>F80*Calc_SEC_retirement_rates!$G127</f>
        <v>0.26830227832184156</v>
      </c>
      <c r="G148" s="459">
        <f>G80*Calc_SEC_retirement_rates!$G127</f>
        <v>0.26590661185395315</v>
      </c>
      <c r="H148" s="459">
        <f>H80*Calc_SEC_retirement_rates!$G127</f>
        <v>0.26403409639957665</v>
      </c>
      <c r="I148" s="459">
        <f>I80*Calc_SEC_retirement_rates!$G127</f>
        <v>0.2632656239713107</v>
      </c>
      <c r="J148" s="459">
        <f>J80*Calc_SEC_retirement_rates!$G127</f>
        <v>0.26368663542253196</v>
      </c>
      <c r="K148" s="459">
        <f>K80*Calc_SEC_retirement_rates!$G127</f>
        <v>0.26431072073286022</v>
      </c>
      <c r="L148" s="459">
        <f>L80*Calc_SEC_retirement_rates!$G127</f>
        <v>0.26482835224309192</v>
      </c>
      <c r="M148" s="459">
        <f>M80*Calc_SEC_retirement_rates!$G127</f>
        <v>0.26583293671818042</v>
      </c>
      <c r="N148" s="459">
        <f>N80*Calc_SEC_retirement_rates!$G127</f>
        <v>0.26688220892877629</v>
      </c>
      <c r="O148" s="327"/>
      <c r="P148" s="327"/>
    </row>
    <row r="149" spans="1:16">
      <c r="B149" s="338" t="str">
        <f t="shared" si="56"/>
        <v>40-44</v>
      </c>
      <c r="C149" s="459">
        <f>C81*Calc_SEC_retirement_rates!$G128</f>
        <v>0.30474367446100065</v>
      </c>
      <c r="D149" s="459">
        <f>D81*Calc_SEC_retirement_rates!$G128</f>
        <v>0.3161995766680043</v>
      </c>
      <c r="E149" s="459">
        <f>E81*Calc_SEC_retirement_rates!$G128</f>
        <v>0.318942322097992</v>
      </c>
      <c r="F149" s="459">
        <f>F81*Calc_SEC_retirement_rates!$G128</f>
        <v>0.32090088512166565</v>
      </c>
      <c r="G149" s="459">
        <f>G81*Calc_SEC_retirement_rates!$G128</f>
        <v>0.32172941764662488</v>
      </c>
      <c r="H149" s="459">
        <f>H81*Calc_SEC_retirement_rates!$G128</f>
        <v>0.32154678828912181</v>
      </c>
      <c r="I149" s="459">
        <f>I81*Calc_SEC_retirement_rates!$G128</f>
        <v>0.32136918073443133</v>
      </c>
      <c r="J149" s="459">
        <f>J81*Calc_SEC_retirement_rates!$G128</f>
        <v>0.32162007505158208</v>
      </c>
      <c r="K149" s="459">
        <f>K81*Calc_SEC_retirement_rates!$G128</f>
        <v>0.32152838012734136</v>
      </c>
      <c r="L149" s="459">
        <f>L81*Calc_SEC_retirement_rates!$G128</f>
        <v>0.32104861356195724</v>
      </c>
      <c r="M149" s="459">
        <f>M81*Calc_SEC_retirement_rates!$G128</f>
        <v>0.32104347274926254</v>
      </c>
      <c r="N149" s="459">
        <f>N81*Calc_SEC_retirement_rates!$G128</f>
        <v>0.32115950116105324</v>
      </c>
      <c r="O149" s="327"/>
      <c r="P149" s="327"/>
    </row>
    <row r="150" spans="1:16">
      <c r="B150" s="338" t="str">
        <f t="shared" si="56"/>
        <v>45-49</v>
      </c>
      <c r="C150" s="459">
        <f>C82*Calc_SEC_retirement_rates!$G129</f>
        <v>0.54069337969105091</v>
      </c>
      <c r="D150" s="459">
        <f>D82*Calc_SEC_retirement_rates!$G129</f>
        <v>0.58356134867705178</v>
      </c>
      <c r="E150" s="459">
        <f>E82*Calc_SEC_retirement_rates!$G129</f>
        <v>0.60811300433673732</v>
      </c>
      <c r="F150" s="459">
        <f>F82*Calc_SEC_retirement_rates!$G129</f>
        <v>0.62926237826547693</v>
      </c>
      <c r="G150" s="459">
        <f>G82*Calc_SEC_retirement_rates!$G129</f>
        <v>0.64583657176490838</v>
      </c>
      <c r="H150" s="459">
        <f>H82*Calc_SEC_retirement_rates!$G129</f>
        <v>0.65785334683815222</v>
      </c>
      <c r="I150" s="459">
        <f>I82*Calc_SEC_retirement_rates!$G129</f>
        <v>0.66734237566578203</v>
      </c>
      <c r="J150" s="459">
        <f>J82*Calc_SEC_retirement_rates!$G129</f>
        <v>0.67531481206207133</v>
      </c>
      <c r="K150" s="459">
        <f>K82*Calc_SEC_retirement_rates!$G129</f>
        <v>0.68049596362083309</v>
      </c>
      <c r="L150" s="459">
        <f>L82*Calc_SEC_retirement_rates!$G129</f>
        <v>0.68312032059739403</v>
      </c>
      <c r="M150" s="459">
        <f>M82*Calc_SEC_retirement_rates!$G129</f>
        <v>0.68527313423430614</v>
      </c>
      <c r="N150" s="459">
        <f>N82*Calc_SEC_retirement_rates!$G129</f>
        <v>0.68660726958209828</v>
      </c>
      <c r="O150" s="327"/>
      <c r="P150" s="327"/>
    </row>
    <row r="151" spans="1:16">
      <c r="B151" s="338" t="str">
        <f t="shared" si="56"/>
        <v>50-54</v>
      </c>
      <c r="C151" s="459">
        <f>C83*Calc_SEC_retirement_rates!$G130</f>
        <v>9.3370648355044565</v>
      </c>
      <c r="D151" s="459">
        <f>D83*Calc_SEC_retirement_rates!$G130</f>
        <v>9.6950879470062681</v>
      </c>
      <c r="E151" s="459">
        <f>E83*Calc_SEC_retirement_rates!$G130</f>
        <v>9.9249533737965105</v>
      </c>
      <c r="F151" s="459">
        <f>F83*Calc_SEC_retirement_rates!$G130</f>
        <v>10.222146144088189</v>
      </c>
      <c r="G151" s="459">
        <f>G83*Calc_SEC_retirement_rates!$G130</f>
        <v>10.524281908238676</v>
      </c>
      <c r="H151" s="459">
        <f>H83*Calc_SEC_retirement_rates!$G130</f>
        <v>10.799441866298549</v>
      </c>
      <c r="I151" s="459">
        <f>I83*Calc_SEC_retirement_rates!$G130</f>
        <v>11.057856510534279</v>
      </c>
      <c r="J151" s="459">
        <f>J83*Calc_SEC_retirement_rates!$G130</f>
        <v>11.299474704499533</v>
      </c>
      <c r="K151" s="459">
        <f>K83*Calc_SEC_retirement_rates!$G130</f>
        <v>11.491448791786977</v>
      </c>
      <c r="L151" s="459">
        <f>L83*Calc_SEC_retirement_rates!$G130</f>
        <v>11.630586047832605</v>
      </c>
      <c r="M151" s="459">
        <f>M83*Calc_SEC_retirement_rates!$G130</f>
        <v>11.747983710720147</v>
      </c>
      <c r="N151" s="459">
        <f>N83*Calc_SEC_retirement_rates!$G130</f>
        <v>11.836408418852002</v>
      </c>
      <c r="O151" s="327"/>
      <c r="P151" s="327"/>
    </row>
    <row r="152" spans="1:16">
      <c r="B152" s="338" t="str">
        <f t="shared" si="56"/>
        <v>55-59</v>
      </c>
      <c r="C152" s="459">
        <f>C84*Calc_SEC_retirement_rates!$G131</f>
        <v>55.486759822678152</v>
      </c>
      <c r="D152" s="459">
        <f>D84*Calc_SEC_retirement_rates!$G131</f>
        <v>49.666344869405371</v>
      </c>
      <c r="E152" s="459">
        <f>E84*Calc_SEC_retirement_rates!$G131</f>
        <v>45.645438022234849</v>
      </c>
      <c r="F152" s="459">
        <f>F84*Calc_SEC_retirement_rates!$G131</f>
        <v>43.729825577943494</v>
      </c>
      <c r="G152" s="459">
        <f>G84*Calc_SEC_retirement_rates!$G131</f>
        <v>43.005152667683127</v>
      </c>
      <c r="H152" s="459">
        <f>H84*Calc_SEC_retirement_rates!$G131</f>
        <v>42.934387376128981</v>
      </c>
      <c r="I152" s="459">
        <f>I84*Calc_SEC_retirement_rates!$G131</f>
        <v>43.325630400491868</v>
      </c>
      <c r="J152" s="459">
        <f>J84*Calc_SEC_retirement_rates!$G131</f>
        <v>43.99761803243274</v>
      </c>
      <c r="K152" s="459">
        <f>K84*Calc_SEC_retirement_rates!$G131</f>
        <v>44.651832955208263</v>
      </c>
      <c r="L152" s="459">
        <f>L84*Calc_SEC_retirement_rates!$G131</f>
        <v>45.198399841690282</v>
      </c>
      <c r="M152" s="459">
        <f>M84*Calc_SEC_retirement_rates!$G131</f>
        <v>45.746903683719118</v>
      </c>
      <c r="N152" s="459">
        <f>N84*Calc_SEC_retirement_rates!$G131</f>
        <v>46.208076184665444</v>
      </c>
      <c r="O152" s="327"/>
      <c r="P152" s="327"/>
    </row>
    <row r="153" spans="1:16">
      <c r="B153" s="338" t="str">
        <f t="shared" si="56"/>
        <v>60-64</v>
      </c>
      <c r="C153" s="459">
        <f>C85*Calc_SEC_retirement_rates!$G132</f>
        <v>37.46084677932739</v>
      </c>
      <c r="D153" s="459">
        <f>D85*Calc_SEC_retirement_rates!$G132</f>
        <v>37.088213122598525</v>
      </c>
      <c r="E153" s="459">
        <f>E85*Calc_SEC_retirement_rates!$G132</f>
        <v>34.354070474884686</v>
      </c>
      <c r="F153" s="459">
        <f>F85*Calc_SEC_retirement_rates!$G132</f>
        <v>32.126167035666569</v>
      </c>
      <c r="G153" s="459">
        <f>G85*Calc_SEC_retirement_rates!$G132</f>
        <v>30.558721095674834</v>
      </c>
      <c r="H153" s="459">
        <f>H85*Calc_SEC_retirement_rates!$G132</f>
        <v>29.569115416534853</v>
      </c>
      <c r="I153" s="459">
        <f>I85*Calc_SEC_retirement_rates!$G132</f>
        <v>29.138804027562802</v>
      </c>
      <c r="J153" s="459">
        <f>J85*Calc_SEC_retirement_rates!$G132</f>
        <v>29.12941248402521</v>
      </c>
      <c r="K153" s="459">
        <f>K85*Calc_SEC_retirement_rates!$G132</f>
        <v>29.240814179248563</v>
      </c>
      <c r="L153" s="459">
        <f>L85*Calc_SEC_retirement_rates!$G132</f>
        <v>29.375458337244318</v>
      </c>
      <c r="M153" s="459">
        <f>M85*Calc_SEC_retirement_rates!$G132</f>
        <v>29.624416060385649</v>
      </c>
      <c r="N153" s="459">
        <f>N85*Calc_SEC_retirement_rates!$G132</f>
        <v>29.8712587851923</v>
      </c>
      <c r="O153" s="327"/>
      <c r="P153" s="327"/>
    </row>
    <row r="154" spans="1:16">
      <c r="B154" s="338" t="str">
        <f t="shared" si="56"/>
        <v>65 plus</v>
      </c>
      <c r="C154" s="459">
        <f>C86*Calc_SEC_retirement_rates!$G133</f>
        <v>9.5938237093238943</v>
      </c>
      <c r="D154" s="459">
        <f>D86*Calc_SEC_retirement_rates!$G133</f>
        <v>12.183238838417537</v>
      </c>
      <c r="E154" s="459">
        <f>E86*Calc_SEC_retirement_rates!$G133</f>
        <v>13.105416696072625</v>
      </c>
      <c r="F154" s="459">
        <f>F86*Calc_SEC_retirement_rates!$G133</f>
        <v>13.296840680501278</v>
      </c>
      <c r="G154" s="459">
        <f>G86*Calc_SEC_retirement_rates!$G133</f>
        <v>13.100352686671512</v>
      </c>
      <c r="H154" s="459">
        <f>H86*Calc_SEC_retirement_rates!$G133</f>
        <v>12.760077382919979</v>
      </c>
      <c r="I154" s="459">
        <f>I86*Calc_SEC_retirement_rates!$G133</f>
        <v>12.46720609962704</v>
      </c>
      <c r="J154" s="459">
        <f>J86*Calc_SEC_retirement_rates!$G133</f>
        <v>12.289266805431165</v>
      </c>
      <c r="K154" s="459">
        <f>K86*Calc_SEC_retirement_rates!$G133</f>
        <v>12.164549997629175</v>
      </c>
      <c r="L154" s="459">
        <f>L86*Calc_SEC_retirement_rates!$G133</f>
        <v>12.072397350419397</v>
      </c>
      <c r="M154" s="459">
        <f>M86*Calc_SEC_retirement_rates!$G133</f>
        <v>12.057480648668985</v>
      </c>
      <c r="N154" s="459">
        <f>N86*Calc_SEC_retirement_rates!$G133</f>
        <v>12.075484618447426</v>
      </c>
      <c r="O154" s="327"/>
      <c r="P154" s="327"/>
    </row>
    <row r="155" spans="1:16">
      <c r="B155" s="338" t="str">
        <f t="shared" si="56"/>
        <v>Total</v>
      </c>
      <c r="C155" s="459">
        <f>SUM(C145:C154)</f>
        <v>112.99888991176793</v>
      </c>
      <c r="D155" s="459">
        <f t="shared" ref="D155:N155" si="58">SUM(D145:D154)</f>
        <v>109.80861186733304</v>
      </c>
      <c r="E155" s="459">
        <f t="shared" si="58"/>
        <v>104.22838993232263</v>
      </c>
      <c r="F155" s="459">
        <f t="shared" si="58"/>
        <v>100.59344497990851</v>
      </c>
      <c r="G155" s="459">
        <f t="shared" si="58"/>
        <v>98.421980959533627</v>
      </c>
      <c r="H155" s="459">
        <f t="shared" si="58"/>
        <v>97.306456273409211</v>
      </c>
      <c r="I155" s="459">
        <f t="shared" si="58"/>
        <v>97.241474218587513</v>
      </c>
      <c r="J155" s="459">
        <f t="shared" si="58"/>
        <v>97.976393548924833</v>
      </c>
      <c r="K155" s="459">
        <f t="shared" si="58"/>
        <v>98.814980988354023</v>
      </c>
      <c r="L155" s="459">
        <f t="shared" si="58"/>
        <v>99.54583886358904</v>
      </c>
      <c r="M155" s="459">
        <f t="shared" si="58"/>
        <v>100.44893364719564</v>
      </c>
      <c r="N155" s="459">
        <f t="shared" si="58"/>
        <v>101.26587698682911</v>
      </c>
      <c r="O155" s="327"/>
      <c r="P155" s="327"/>
    </row>
    <row r="156" spans="1:16">
      <c r="A156" s="309">
        <f>SUM(C156:N156)</f>
        <v>0</v>
      </c>
      <c r="C156" s="309">
        <f t="shared" ref="C156:N156" si="59">SUM(C145:C154)-C155</f>
        <v>0</v>
      </c>
      <c r="D156" s="309">
        <f t="shared" si="59"/>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6">
      <c r="B158" s="341" t="s">
        <v>50</v>
      </c>
      <c r="C158" s="329"/>
      <c r="D158" s="329"/>
      <c r="E158" s="329"/>
      <c r="F158" s="329"/>
      <c r="G158" s="329"/>
      <c r="H158" s="339"/>
      <c r="I158" s="329"/>
      <c r="J158" s="329"/>
      <c r="K158" s="329"/>
      <c r="L158" s="329"/>
    </row>
    <row r="159" spans="1:16">
      <c r="C159" s="329"/>
      <c r="D159" s="329"/>
      <c r="E159" s="329"/>
      <c r="F159" s="329"/>
      <c r="G159" s="329"/>
      <c r="H159" s="339"/>
      <c r="I159" s="329"/>
      <c r="J159" s="329"/>
      <c r="K159" s="329"/>
      <c r="L159" s="329"/>
    </row>
    <row r="160" spans="1:16">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0.19872608861306937</v>
      </c>
      <c r="D163" s="459">
        <f>D95*Calc_SEC_retirement_rates!$G142</f>
        <v>0.19899360601169733</v>
      </c>
      <c r="E163" s="459">
        <f>E95*Calc_SEC_retirement_rates!$G142</f>
        <v>0.19368665081329109</v>
      </c>
      <c r="F163" s="459">
        <f>F95*Calc_SEC_retirement_rates!$G142</f>
        <v>0.19015757587531917</v>
      </c>
      <c r="G163" s="459">
        <f>G95*Calc_SEC_retirement_rates!$G142</f>
        <v>0.18774603265577638</v>
      </c>
      <c r="H163" s="459">
        <f>H95*Calc_SEC_retirement_rates!$G142</f>
        <v>0.18600949467704064</v>
      </c>
      <c r="I163" s="459">
        <f>I95*Calc_SEC_retirement_rates!$G142</f>
        <v>0.18541141795828955</v>
      </c>
      <c r="J163" s="459">
        <f>J95*Calc_SEC_retirement_rates!$G142</f>
        <v>0.18594863910546086</v>
      </c>
      <c r="K163" s="459">
        <f>K95*Calc_SEC_retirement_rates!$G142</f>
        <v>0.18648405765519047</v>
      </c>
      <c r="L163" s="459">
        <f>L95*Calc_SEC_retirement_rates!$G142</f>
        <v>0.18664438080074389</v>
      </c>
      <c r="M163" s="459">
        <f>M95*Calc_SEC_retirement_rates!$G142</f>
        <v>0.1871118451176525</v>
      </c>
      <c r="N163" s="459">
        <f>N95*Calc_SEC_retirement_rates!$G142</f>
        <v>0.1874882002657777</v>
      </c>
    </row>
    <row r="164" spans="1:14">
      <c r="B164" s="338" t="str">
        <f t="shared" si="60"/>
        <v>35-39</v>
      </c>
      <c r="C164" s="459">
        <f>C96*Calc_SEC_retirement_rates!$G143</f>
        <v>0.54255688881791131</v>
      </c>
      <c r="D164" s="459">
        <f>D96*Calc_SEC_retirement_rates!$G143</f>
        <v>0.54846299340956628</v>
      </c>
      <c r="E164" s="459">
        <f>E96*Calc_SEC_retirement_rates!$G143</f>
        <v>0.54178836695668697</v>
      </c>
      <c r="F164" s="459">
        <f>F96*Calc_SEC_retirement_rates!$G143</f>
        <v>0.53599107559615644</v>
      </c>
      <c r="G164" s="459">
        <f>G96*Calc_SEC_retirement_rates!$G143</f>
        <v>0.53013401975454111</v>
      </c>
      <c r="H164" s="459">
        <f>H96*Calc_SEC_retirement_rates!$G143</f>
        <v>0.524150538578672</v>
      </c>
      <c r="I164" s="459">
        <f>I96*Calc_SEC_retirement_rates!$G143</f>
        <v>0.51959606617903642</v>
      </c>
      <c r="J164" s="459">
        <f>J96*Calc_SEC_retirement_rates!$G143</f>
        <v>0.51698344284907805</v>
      </c>
      <c r="K164" s="459">
        <f>K96*Calc_SEC_retirement_rates!$G143</f>
        <v>0.51463041416184463</v>
      </c>
      <c r="L164" s="459">
        <f>L96*Calc_SEC_retirement_rates!$G143</f>
        <v>0.51212903513914632</v>
      </c>
      <c r="M164" s="459">
        <f>M96*Calc_SEC_retirement_rates!$G143</f>
        <v>0.51079282083503308</v>
      </c>
      <c r="N164" s="459">
        <f>N96*Calc_SEC_retirement_rates!$G143</f>
        <v>0.50982829891617032</v>
      </c>
    </row>
    <row r="165" spans="1:14">
      <c r="B165" s="338" t="str">
        <f t="shared" si="60"/>
        <v>40-44</v>
      </c>
      <c r="C165" s="459">
        <f>C97*Calc_SEC_retirement_rates!$G144</f>
        <v>0.71552544286907571</v>
      </c>
      <c r="D165" s="459">
        <f>D97*Calc_SEC_retirement_rates!$G144</f>
        <v>0.75069723172718539</v>
      </c>
      <c r="E165" s="459">
        <f>E97*Calc_SEC_retirement_rates!$G144</f>
        <v>0.76349592939162669</v>
      </c>
      <c r="F165" s="459">
        <f>F97*Calc_SEC_retirement_rates!$G144</f>
        <v>0.77341512032886028</v>
      </c>
      <c r="G165" s="459">
        <f>G97*Calc_SEC_retirement_rates!$G144</f>
        <v>0.77931274963221131</v>
      </c>
      <c r="H165" s="459">
        <f>H97*Calc_SEC_retirement_rates!$G144</f>
        <v>0.78135270651433175</v>
      </c>
      <c r="I165" s="459">
        <f>I97*Calc_SEC_retirement_rates!$G144</f>
        <v>0.78207861172011517</v>
      </c>
      <c r="J165" s="459">
        <f>J97*Calc_SEC_retirement_rates!$G144</f>
        <v>0.78266538198557489</v>
      </c>
      <c r="K165" s="459">
        <f>K97*Calc_SEC_retirement_rates!$G144</f>
        <v>0.78138614229937675</v>
      </c>
      <c r="L165" s="459">
        <f>L97*Calc_SEC_retirement_rates!$G144</f>
        <v>0.77835601781035546</v>
      </c>
      <c r="M165" s="459">
        <f>M97*Calc_SEC_retirement_rates!$G144</f>
        <v>0.77594697239332033</v>
      </c>
      <c r="N165" s="459">
        <f>N97*Calc_SEC_retirement_rates!$G144</f>
        <v>0.7734816772823413</v>
      </c>
    </row>
    <row r="166" spans="1:14">
      <c r="B166" s="338" t="str">
        <f t="shared" si="60"/>
        <v>45-49</v>
      </c>
      <c r="C166" s="459">
        <f>C98*Calc_SEC_retirement_rates!$G145</f>
        <v>1.0314245101391308</v>
      </c>
      <c r="D166" s="459">
        <f>D98*Calc_SEC_retirement_rates!$G145</f>
        <v>1.1234411168739018</v>
      </c>
      <c r="E166" s="459">
        <f>E98*Calc_SEC_retirement_rates!$G145</f>
        <v>1.1793080086242609</v>
      </c>
      <c r="F166" s="459">
        <f>F98*Calc_SEC_retirement_rates!$G145</f>
        <v>1.2289620822178631</v>
      </c>
      <c r="G166" s="459">
        <f>G98*Calc_SEC_retirement_rates!$G145</f>
        <v>1.2694471734513473</v>
      </c>
      <c r="H166" s="459">
        <f>H98*Calc_SEC_retirement_rates!$G145</f>
        <v>1.300290215816168</v>
      </c>
      <c r="I166" s="459">
        <f>I98*Calc_SEC_retirement_rates!$G145</f>
        <v>1.3252280608722664</v>
      </c>
      <c r="J166" s="459">
        <f>J98*Calc_SEC_retirement_rates!$G145</f>
        <v>1.3460287530028545</v>
      </c>
      <c r="K166" s="459">
        <f>K98*Calc_SEC_retirement_rates!$G145</f>
        <v>1.3599034759696671</v>
      </c>
      <c r="L166" s="459">
        <f>L98*Calc_SEC_retirement_rates!$G145</f>
        <v>1.3672763239016057</v>
      </c>
      <c r="M166" s="459">
        <f>M98*Calc_SEC_retirement_rates!$G145</f>
        <v>1.3724646416160655</v>
      </c>
      <c r="N166" s="459">
        <f>N98*Calc_SEC_retirement_rates!$G145</f>
        <v>1.3748735139652819</v>
      </c>
    </row>
    <row r="167" spans="1:14">
      <c r="B167" s="338" t="str">
        <f t="shared" si="60"/>
        <v>50-54</v>
      </c>
      <c r="C167" s="459">
        <f>C99*Calc_SEC_retirement_rates!$G146</f>
        <v>16.152938885953855</v>
      </c>
      <c r="D167" s="459">
        <f>D99*Calc_SEC_retirement_rates!$G146</f>
        <v>17.264170659788796</v>
      </c>
      <c r="E167" s="459">
        <f>E99*Calc_SEC_retirement_rates!$G146</f>
        <v>18.027998762127542</v>
      </c>
      <c r="F167" s="459">
        <f>F99*Calc_SEC_retirement_rates!$G146</f>
        <v>18.859527456414224</v>
      </c>
      <c r="G167" s="459">
        <f>G99*Calc_SEC_retirement_rates!$G146</f>
        <v>19.65812934550565</v>
      </c>
      <c r="H167" s="459">
        <f>H99*Calc_SEC_retirement_rates!$G146</f>
        <v>20.374041545179132</v>
      </c>
      <c r="I167" s="459">
        <f>I99*Calc_SEC_retirement_rates!$G146</f>
        <v>21.03430666591354</v>
      </c>
      <c r="J167" s="459">
        <f>J99*Calc_SEC_retirement_rates!$G146</f>
        <v>21.642259150567931</v>
      </c>
      <c r="K167" s="459">
        <f>K99*Calc_SEC_retirement_rates!$G146</f>
        <v>22.134676757657751</v>
      </c>
      <c r="L167" s="459">
        <f>L99*Calc_SEC_retirement_rates!$G146</f>
        <v>22.505197140568949</v>
      </c>
      <c r="M167" s="459">
        <f>M99*Calc_SEC_retirement_rates!$G146</f>
        <v>22.814564506878753</v>
      </c>
      <c r="N167" s="459">
        <f>N99*Calc_SEC_retirement_rates!$G146</f>
        <v>23.048826707049663</v>
      </c>
    </row>
    <row r="168" spans="1:14">
      <c r="B168" s="338" t="str">
        <f t="shared" si="60"/>
        <v>55-59</v>
      </c>
      <c r="C168" s="459">
        <f>C100*Calc_SEC_retirement_rates!$G147</f>
        <v>94.583090301167942</v>
      </c>
      <c r="D168" s="459">
        <f>D100*Calc_SEC_retirement_rates!$G147</f>
        <v>90.069468553544411</v>
      </c>
      <c r="E168" s="459">
        <f>E100*Calc_SEC_retirement_rates!$G147</f>
        <v>86.733768874219578</v>
      </c>
      <c r="F168" s="459">
        <f>F100*Calc_SEC_retirement_rates!$G147</f>
        <v>86.190181309637879</v>
      </c>
      <c r="G168" s="459">
        <f>G100*Calc_SEC_retirement_rates!$G147</f>
        <v>87.115463916733802</v>
      </c>
      <c r="H168" s="459">
        <f>H100*Calc_SEC_retirement_rates!$G147</f>
        <v>88.752655365442465</v>
      </c>
      <c r="I168" s="459">
        <f>I100*Calc_SEC_retirement_rates!$G147</f>
        <v>90.934461203254173</v>
      </c>
      <c r="J168" s="459">
        <f>J100*Calc_SEC_retirement_rates!$G147</f>
        <v>93.425799812322239</v>
      </c>
      <c r="K168" s="459">
        <f>K100*Calc_SEC_retirement_rates!$G147</f>
        <v>95.680222202448419</v>
      </c>
      <c r="L168" s="459">
        <f>L100*Calc_SEC_retirement_rates!$G147</f>
        <v>97.555726932815773</v>
      </c>
      <c r="M168" s="459">
        <f>M100*Calc_SEC_retirement_rates!$G147</f>
        <v>99.315636348574017</v>
      </c>
      <c r="N168" s="459">
        <f>N100*Calc_SEC_retirement_rates!$G147</f>
        <v>100.78850169597705</v>
      </c>
    </row>
    <row r="169" spans="1:14">
      <c r="B169" s="338" t="str">
        <f t="shared" si="60"/>
        <v>60-64</v>
      </c>
      <c r="C169" s="459">
        <f>C101*Calc_SEC_retirement_rates!$G148</f>
        <v>69.022590587566569</v>
      </c>
      <c r="D169" s="459">
        <f>D101*Calc_SEC_retirement_rates!$G148</f>
        <v>71.620935146356572</v>
      </c>
      <c r="E169" s="459">
        <f>E101*Calc_SEC_retirement_rates!$G148</f>
        <v>68.942420334108263</v>
      </c>
      <c r="F169" s="459">
        <f>F101*Calc_SEC_retirement_rates!$G148</f>
        <v>67.07542308620377</v>
      </c>
      <c r="G169" s="459">
        <f>G101*Calc_SEC_retirement_rates!$G148</f>
        <v>66.095260999490691</v>
      </c>
      <c r="H169" s="459">
        <f>H101*Calc_SEC_retirement_rates!$G148</f>
        <v>65.836958273514256</v>
      </c>
      <c r="I169" s="459">
        <f>I101*Calc_SEC_retirement_rates!$G148</f>
        <v>66.393451702399275</v>
      </c>
      <c r="J169" s="459">
        <f>J101*Calc_SEC_retirement_rates!$G148</f>
        <v>67.562736606798552</v>
      </c>
      <c r="K169" s="459">
        <f>K101*Calc_SEC_retirement_rates!$G148</f>
        <v>68.723158867129627</v>
      </c>
      <c r="L169" s="459">
        <f>L101*Calc_SEC_retirement_rates!$G148</f>
        <v>69.73071109944361</v>
      </c>
      <c r="M169" s="459">
        <f>M101*Calc_SEC_retirement_rates!$G148</f>
        <v>70.874022467846771</v>
      </c>
      <c r="N169" s="459">
        <f>N101*Calc_SEC_retirement_rates!$G148</f>
        <v>71.901318498885857</v>
      </c>
    </row>
    <row r="170" spans="1:14">
      <c r="B170" s="338" t="str">
        <f t="shared" si="60"/>
        <v>65 plus</v>
      </c>
      <c r="C170" s="459">
        <f>C102*Calc_SEC_retirement_rates!$G149</f>
        <v>15.819614472035688</v>
      </c>
      <c r="D170" s="459">
        <f>D102*Calc_SEC_retirement_rates!$G149</f>
        <v>21.269882301999179</v>
      </c>
      <c r="E170" s="459">
        <f>E102*Calc_SEC_retirement_rates!$G149</f>
        <v>23.290294472664243</v>
      </c>
      <c r="F170" s="459">
        <f>F102*Calc_SEC_retirement_rates!$G149</f>
        <v>24.12287616400592</v>
      </c>
      <c r="G170" s="459">
        <f>G102*Calc_SEC_retirement_rates!$G149</f>
        <v>24.316493304528272</v>
      </c>
      <c r="H170" s="459">
        <f>H102*Calc_SEC_retirement_rates!$G149</f>
        <v>24.245240572494005</v>
      </c>
      <c r="I170" s="459">
        <f>I102*Calc_SEC_retirement_rates!$G149</f>
        <v>24.245646792268015</v>
      </c>
      <c r="J170" s="459">
        <f>J102*Calc_SEC_retirement_rates!$G149</f>
        <v>24.416657941894236</v>
      </c>
      <c r="K170" s="459">
        <f>K102*Calc_SEC_retirement_rates!$G149</f>
        <v>24.589079953049282</v>
      </c>
      <c r="L170" s="459">
        <f>L102*Calc_SEC_retirement_rates!$G149</f>
        <v>24.729407917949988</v>
      </c>
      <c r="M170" s="459">
        <f>M102*Calc_SEC_retirement_rates!$G149</f>
        <v>24.970760706962327</v>
      </c>
      <c r="N170" s="459">
        <f>N102*Calc_SEC_retirement_rates!$G149</f>
        <v>25.220110689849182</v>
      </c>
    </row>
    <row r="171" spans="1:14">
      <c r="B171" s="338" t="str">
        <f t="shared" si="60"/>
        <v>Total</v>
      </c>
      <c r="C171" s="459">
        <f>SUM(C161:C170)</f>
        <v>198.06646717716322</v>
      </c>
      <c r="D171" s="459">
        <f t="shared" ref="D171:N171" si="62">SUM(D161:D170)</f>
        <v>202.84605160971131</v>
      </c>
      <c r="E171" s="459">
        <f t="shared" si="62"/>
        <v>199.67276139890549</v>
      </c>
      <c r="F171" s="459">
        <f t="shared" si="62"/>
        <v>198.97653387028001</v>
      </c>
      <c r="G171" s="459">
        <f t="shared" si="62"/>
        <v>199.95198754175229</v>
      </c>
      <c r="H171" s="459">
        <f t="shared" si="62"/>
        <v>202.00069871221606</v>
      </c>
      <c r="I171" s="459">
        <f t="shared" si="62"/>
        <v>205.42018052056471</v>
      </c>
      <c r="J171" s="459">
        <f t="shared" si="62"/>
        <v>209.87907972852594</v>
      </c>
      <c r="K171" s="459">
        <f t="shared" si="62"/>
        <v>213.96954187037116</v>
      </c>
      <c r="L171" s="459">
        <f t="shared" si="62"/>
        <v>217.36544884843019</v>
      </c>
      <c r="M171" s="459">
        <f t="shared" si="62"/>
        <v>220.82130031022393</v>
      </c>
      <c r="N171" s="459">
        <f t="shared" si="62"/>
        <v>223.80442928219131</v>
      </c>
    </row>
    <row r="172" spans="1:14">
      <c r="A172" s="309">
        <f>SUM(C172:N172)</f>
        <v>0</v>
      </c>
      <c r="C172" s="309">
        <f t="shared" ref="C172:N172" si="63">SUM(C161:C170)-C171</f>
        <v>0</v>
      </c>
      <c r="D172" s="309">
        <f t="shared" si="63"/>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0.15257320221427734</v>
      </c>
      <c r="D181" s="459">
        <f>D79*Calc_SEC_death_rates!$G126</f>
        <v>0.15384871106757156</v>
      </c>
      <c r="E181" s="459">
        <f>E79*Calc_SEC_death_rates!$G126</f>
        <v>0.15150089284406021</v>
      </c>
      <c r="F181" s="459">
        <f>F79*Calc_SEC_death_rates!$G126</f>
        <v>0.15095529976749025</v>
      </c>
      <c r="G181" s="459">
        <f>G79*Calc_SEC_death_rates!$G126</f>
        <v>0.1513327589767694</v>
      </c>
      <c r="H181" s="459">
        <f>H79*Calc_SEC_death_rates!$G126</f>
        <v>0.15208669658622312</v>
      </c>
      <c r="I181" s="459">
        <f>I79*Calc_SEC_death_rates!$G126</f>
        <v>0.1535218246271885</v>
      </c>
      <c r="J181" s="459">
        <f>J79*Calc_SEC_death_rates!$G126</f>
        <v>0.15562102780227105</v>
      </c>
      <c r="K181" s="459">
        <f>K79*Calc_SEC_death_rates!$G126</f>
        <v>0.15745318895488103</v>
      </c>
      <c r="L181" s="459">
        <f>L79*Calc_SEC_death_rates!$G126</f>
        <v>0.15872569817586435</v>
      </c>
      <c r="M181" s="459">
        <f>M79*Calc_SEC_death_rates!$G126</f>
        <v>0.16003249282315865</v>
      </c>
      <c r="N181" s="459">
        <f>N79*Calc_SEC_death_rates!$G126</f>
        <v>0.16107939395398083</v>
      </c>
    </row>
    <row r="182" spans="1:14">
      <c r="B182" s="338" t="str">
        <f t="shared" si="64"/>
        <v>35-39</v>
      </c>
      <c r="C182" s="459">
        <f>C80*Calc_SEC_death_rates!$G127</f>
        <v>0.29055540032875971</v>
      </c>
      <c r="D182" s="459">
        <f>D80*Calc_SEC_death_rates!$G127</f>
        <v>0.29162106126416076</v>
      </c>
      <c r="E182" s="459">
        <f>E80*Calc_SEC_death_rates!$G127</f>
        <v>0.28685508702305501</v>
      </c>
      <c r="F182" s="459">
        <f>F80*Calc_SEC_death_rates!$G127</f>
        <v>0.28352242119419863</v>
      </c>
      <c r="G182" s="459">
        <f>G80*Calc_SEC_death_rates!$G127</f>
        <v>0.2809908543301457</v>
      </c>
      <c r="H182" s="459">
        <f>H80*Calc_SEC_death_rates!$G127</f>
        <v>0.27901211557820882</v>
      </c>
      <c r="I182" s="459">
        <f>I80*Calc_SEC_death_rates!$G127</f>
        <v>0.27820004955757821</v>
      </c>
      <c r="J182" s="459">
        <f>J80*Calc_SEC_death_rates!$G127</f>
        <v>0.27864494397572231</v>
      </c>
      <c r="K182" s="459">
        <f>K80*Calc_SEC_death_rates!$G127</f>
        <v>0.27930443214452483</v>
      </c>
      <c r="L182" s="459">
        <f>L80*Calc_SEC_death_rates!$G127</f>
        <v>0.27985142764521626</v>
      </c>
      <c r="M182" s="459">
        <f>M80*Calc_SEC_death_rates!$G127</f>
        <v>0.28091299978113948</v>
      </c>
      <c r="N182" s="459">
        <f>N80*Calc_SEC_death_rates!$G127</f>
        <v>0.28202179468031313</v>
      </c>
    </row>
    <row r="183" spans="1:14">
      <c r="B183" s="338" t="str">
        <f t="shared" si="64"/>
        <v>40-44</v>
      </c>
      <c r="C183" s="459">
        <f>C81*Calc_SEC_death_rates!$G128</f>
        <v>0.45333059162147937</v>
      </c>
      <c r="D183" s="459">
        <f>D81*Calc_SEC_death_rates!$G128</f>
        <v>0.47037216248999431</v>
      </c>
      <c r="E183" s="459">
        <f>E81*Calc_SEC_death_rates!$G128</f>
        <v>0.47445221570403584</v>
      </c>
      <c r="F183" s="459">
        <f>F81*Calc_SEC_death_rates!$G128</f>
        <v>0.47736573486344186</v>
      </c>
      <c r="G183" s="459">
        <f>G81*Calc_SEC_death_rates!$G128</f>
        <v>0.47859824326704287</v>
      </c>
      <c r="H183" s="459">
        <f>H81*Calc_SEC_death_rates!$G128</f>
        <v>0.47832656748958574</v>
      </c>
      <c r="I183" s="459">
        <f>I81*Calc_SEC_death_rates!$G128</f>
        <v>0.47806236204549679</v>
      </c>
      <c r="J183" s="459">
        <f>J81*Calc_SEC_death_rates!$G128</f>
        <v>0.47843558741081266</v>
      </c>
      <c r="K183" s="459">
        <f>K81*Calc_SEC_death_rates!$G128</f>
        <v>0.47829918387650383</v>
      </c>
      <c r="L183" s="459">
        <f>L81*Calc_SEC_death_rates!$G128</f>
        <v>0.47758549273488965</v>
      </c>
      <c r="M183" s="459">
        <f>M81*Calc_SEC_death_rates!$G128</f>
        <v>0.47757784536480258</v>
      </c>
      <c r="N183" s="459">
        <f>N81*Calc_SEC_death_rates!$G128</f>
        <v>0.47775044690823082</v>
      </c>
    </row>
    <row r="184" spans="1:14">
      <c r="B184" s="338" t="str">
        <f t="shared" si="64"/>
        <v>45-49</v>
      </c>
      <c r="C184" s="459">
        <f>C82*Calc_SEC_death_rates!$G129</f>
        <v>0.34921791241326366</v>
      </c>
      <c r="D184" s="459">
        <f>D82*Calc_SEC_death_rates!$G129</f>
        <v>0.37690506968388104</v>
      </c>
      <c r="E184" s="459">
        <f>E82*Calc_SEC_death_rates!$G129</f>
        <v>0.39276226020591731</v>
      </c>
      <c r="F184" s="459">
        <f>F82*Calc_SEC_death_rates!$G129</f>
        <v>0.40642201726908328</v>
      </c>
      <c r="G184" s="459">
        <f>G82*Calc_SEC_death_rates!$G129</f>
        <v>0.41712680018525689</v>
      </c>
      <c r="H184" s="459">
        <f>H82*Calc_SEC_death_rates!$G129</f>
        <v>0.42488808090856778</v>
      </c>
      <c r="I184" s="459">
        <f>I82*Calc_SEC_death_rates!$G129</f>
        <v>0.43101676485862395</v>
      </c>
      <c r="J184" s="459">
        <f>J82*Calc_SEC_death_rates!$G129</f>
        <v>0.43616592647171876</v>
      </c>
      <c r="K184" s="459">
        <f>K82*Calc_SEC_death_rates!$G129</f>
        <v>0.43951227950508004</v>
      </c>
      <c r="L184" s="459">
        <f>L82*Calc_SEC_death_rates!$G129</f>
        <v>0.44120727430103163</v>
      </c>
      <c r="M184" s="459">
        <f>M82*Calc_SEC_death_rates!$G129</f>
        <v>0.44259771315664848</v>
      </c>
      <c r="N184" s="459">
        <f>N82*Calc_SEC_death_rates!$G129</f>
        <v>0.44345939184281796</v>
      </c>
    </row>
    <row r="185" spans="1:14">
      <c r="B185" s="338" t="str">
        <f t="shared" si="64"/>
        <v>50-54</v>
      </c>
      <c r="C185" s="459">
        <f>C83*Calc_SEC_death_rates!$G130</f>
        <v>0.52897370084754891</v>
      </c>
      <c r="D185" s="459">
        <f>D83*Calc_SEC_death_rates!$G130</f>
        <v>0.54925682125171782</v>
      </c>
      <c r="E185" s="459">
        <f>E83*Calc_SEC_death_rates!$G130</f>
        <v>0.56227941107499668</v>
      </c>
      <c r="F185" s="459">
        <f>F83*Calc_SEC_death_rates!$G130</f>
        <v>0.57911630386046187</v>
      </c>
      <c r="G185" s="459">
        <f>G83*Calc_SEC_death_rates!$G130</f>
        <v>0.59623323258878747</v>
      </c>
      <c r="H185" s="459">
        <f>H83*Calc_SEC_death_rates!$G130</f>
        <v>0.6118218981816963</v>
      </c>
      <c r="I185" s="459">
        <f>I83*Calc_SEC_death_rates!$G130</f>
        <v>0.6264618897767843</v>
      </c>
      <c r="J185" s="459">
        <f>J83*Calc_SEC_death_rates!$G130</f>
        <v>0.64015031033566272</v>
      </c>
      <c r="K185" s="459">
        <f>K83*Calc_SEC_death_rates!$G130</f>
        <v>0.65102623817897454</v>
      </c>
      <c r="L185" s="459">
        <f>L83*Calc_SEC_death_rates!$G130</f>
        <v>0.658908795551433</v>
      </c>
      <c r="M185" s="459">
        <f>M83*Calc_SEC_death_rates!$G130</f>
        <v>0.66555973750187747</v>
      </c>
      <c r="N185" s="459">
        <f>N83*Calc_SEC_death_rates!$G130</f>
        <v>0.67056927164680613</v>
      </c>
    </row>
    <row r="186" spans="1:14">
      <c r="B186" s="338" t="str">
        <f t="shared" si="64"/>
        <v>55-59</v>
      </c>
      <c r="C186" s="459">
        <f>C84*Calc_SEC_death_rates!$G131</f>
        <v>0.38071368931920352</v>
      </c>
      <c r="D186" s="459">
        <f>D84*Calc_SEC_death_rates!$G131</f>
        <v>0.3407778261094821</v>
      </c>
      <c r="E186" s="459">
        <f>E84*Calc_SEC_death_rates!$G131</f>
        <v>0.3131890051891898</v>
      </c>
      <c r="F186" s="459">
        <f>F84*Calc_SEC_death_rates!$G131</f>
        <v>0.30004533121538779</v>
      </c>
      <c r="G186" s="459">
        <f>G84*Calc_SEC_death_rates!$G131</f>
        <v>0.29507310183856716</v>
      </c>
      <c r="H186" s="459">
        <f>H84*Calc_SEC_death_rates!$G131</f>
        <v>0.29458755690299288</v>
      </c>
      <c r="I186" s="459">
        <f>I84*Calc_SEC_death_rates!$G131</f>
        <v>0.29727200947693322</v>
      </c>
      <c r="J186" s="459">
        <f>J84*Calc_SEC_death_rates!$G131</f>
        <v>0.30188274708984614</v>
      </c>
      <c r="K186" s="459">
        <f>K84*Calc_SEC_death_rates!$G131</f>
        <v>0.30637154004970729</v>
      </c>
      <c r="L186" s="459">
        <f>L84*Calc_SEC_death_rates!$G131</f>
        <v>0.31012172291274109</v>
      </c>
      <c r="M186" s="459">
        <f>M84*Calc_SEC_death_rates!$G131</f>
        <v>0.31388519589209513</v>
      </c>
      <c r="N186" s="459">
        <f>N84*Calc_SEC_death_rates!$G131</f>
        <v>0.31704945858843803</v>
      </c>
    </row>
    <row r="187" spans="1:14">
      <c r="B187" s="338" t="str">
        <f t="shared" si="64"/>
        <v>60-64</v>
      </c>
      <c r="C187" s="459">
        <f>C85*Calc_SEC_death_rates!$G132</f>
        <v>0.28971511402365541</v>
      </c>
      <c r="D187" s="459">
        <f>D85*Calc_SEC_death_rates!$G132</f>
        <v>0.28683323569922226</v>
      </c>
      <c r="E187" s="459">
        <f>E85*Calc_SEC_death_rates!$G132</f>
        <v>0.26568789284016858</v>
      </c>
      <c r="F187" s="459">
        <f>F85*Calc_SEC_death_rates!$G132</f>
        <v>0.24845770840976852</v>
      </c>
      <c r="G187" s="459">
        <f>G85*Calc_SEC_death_rates!$G132</f>
        <v>0.23633537754240483</v>
      </c>
      <c r="H187" s="459">
        <f>H85*Calc_SEC_death_rates!$G132</f>
        <v>0.22868195411982717</v>
      </c>
      <c r="I187" s="459">
        <f>I85*Calc_SEC_death_rates!$G132</f>
        <v>0.22535400710741441</v>
      </c>
      <c r="J187" s="459">
        <f>J85*Calc_SEC_death_rates!$G132</f>
        <v>0.22528137468340967</v>
      </c>
      <c r="K187" s="459">
        <f>K85*Calc_SEC_death_rates!$G132</f>
        <v>0.22614293435460947</v>
      </c>
      <c r="L187" s="459">
        <f>L85*Calc_SEC_death_rates!$G132</f>
        <v>0.22718424684324989</v>
      </c>
      <c r="M187" s="459">
        <f>M85*Calc_SEC_death_rates!$G132</f>
        <v>0.22910963885512409</v>
      </c>
      <c r="N187" s="459">
        <f>N85*Calc_SEC_death_rates!$G132</f>
        <v>0.23101867386932279</v>
      </c>
    </row>
    <row r="188" spans="1:14">
      <c r="B188" s="338" t="str">
        <f t="shared" si="64"/>
        <v>65 plus</v>
      </c>
      <c r="C188" s="459">
        <f>C86*Calc_SEC_death_rates!$G133</f>
        <v>0.2108011289607018</v>
      </c>
      <c r="D188" s="459">
        <f>D86*Calc_SEC_death_rates!$G133</f>
        <v>0.26769727893168443</v>
      </c>
      <c r="E188" s="459">
        <f>E86*Calc_SEC_death_rates!$G133</f>
        <v>0.28795991241194396</v>
      </c>
      <c r="F188" s="459">
        <f>F86*Calc_SEC_death_rates!$G133</f>
        <v>0.2921659926204534</v>
      </c>
      <c r="G188" s="459">
        <f>G86*Calc_SEC_death_rates!$G133</f>
        <v>0.28784864302330748</v>
      </c>
      <c r="H188" s="459">
        <f>H86*Calc_SEC_death_rates!$G133</f>
        <v>0.28037191420677149</v>
      </c>
      <c r="I188" s="459">
        <f>I86*Calc_SEC_death_rates!$G133</f>
        <v>0.27393677436796865</v>
      </c>
      <c r="J188" s="459">
        <f>J86*Calc_SEC_death_rates!$G133</f>
        <v>0.27002698769276567</v>
      </c>
      <c r="K188" s="459">
        <f>K86*Calc_SEC_death_rates!$G133</f>
        <v>0.26728663674599107</v>
      </c>
      <c r="L188" s="459">
        <f>L86*Calc_SEC_death_rates!$G133</f>
        <v>0.26526180466056731</v>
      </c>
      <c r="M188" s="459">
        <f>M86*Calc_SEC_death_rates!$G133</f>
        <v>0.26493404612917998</v>
      </c>
      <c r="N188" s="459">
        <f>N86*Calc_SEC_death_rates!$G133</f>
        <v>0.26532963992682096</v>
      </c>
    </row>
    <row r="189" spans="1:14">
      <c r="B189" s="338" t="str">
        <f t="shared" si="64"/>
        <v>Total</v>
      </c>
      <c r="C189" s="459">
        <f>SUM(C179:C188)</f>
        <v>2.6558807397288899</v>
      </c>
      <c r="D189" s="459">
        <f t="shared" ref="D189:N189" si="66">SUM(D179:D188)</f>
        <v>2.7373121664977149</v>
      </c>
      <c r="E189" s="459">
        <f t="shared" si="66"/>
        <v>2.7346866772933676</v>
      </c>
      <c r="F189" s="459">
        <f t="shared" si="66"/>
        <v>2.7380508092002858</v>
      </c>
      <c r="G189" s="459">
        <f t="shared" si="66"/>
        <v>2.743539011752282</v>
      </c>
      <c r="H189" s="459">
        <f t="shared" si="66"/>
        <v>2.7497767839738732</v>
      </c>
      <c r="I189" s="459">
        <f t="shared" si="66"/>
        <v>2.7638256818179885</v>
      </c>
      <c r="J189" s="459">
        <f t="shared" si="66"/>
        <v>2.7862089054622086</v>
      </c>
      <c r="K189" s="459">
        <f t="shared" si="66"/>
        <v>2.8053964338102717</v>
      </c>
      <c r="L189" s="459">
        <f t="shared" si="66"/>
        <v>2.8188464628249932</v>
      </c>
      <c r="M189" s="459">
        <f t="shared" si="66"/>
        <v>2.8346096695040255</v>
      </c>
      <c r="N189" s="459">
        <f t="shared" si="66"/>
        <v>2.8482780714167304</v>
      </c>
    </row>
    <row r="190" spans="1:14">
      <c r="A190" s="309">
        <f>SUM(C190:N190)</f>
        <v>0</v>
      </c>
      <c r="C190" s="309">
        <f t="shared" ref="C190:N190" si="67">SUM(C179:C188)-C189</f>
        <v>0</v>
      </c>
      <c r="D190" s="309">
        <f t="shared" si="67"/>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8">
      <c r="C193" s="329"/>
      <c r="D193" s="329"/>
      <c r="E193" s="329"/>
      <c r="F193" s="329"/>
      <c r="G193" s="329"/>
      <c r="H193" s="339"/>
      <c r="I193" s="329"/>
      <c r="J193" s="329"/>
      <c r="K193" s="329"/>
      <c r="L193" s="329"/>
    </row>
    <row r="194" spans="1:18">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8">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c r="O195" s="327"/>
      <c r="P195" s="327"/>
      <c r="Q195" s="327"/>
      <c r="R195" s="327"/>
    </row>
    <row r="196" spans="1:18">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c r="O196" s="327"/>
      <c r="P196" s="327"/>
      <c r="Q196" s="327"/>
      <c r="R196" s="327"/>
    </row>
    <row r="197" spans="1:18">
      <c r="B197" s="338" t="str">
        <f t="shared" si="68"/>
        <v>30-34</v>
      </c>
      <c r="C197" s="459">
        <f>C95*Calc_SEC_death_rates!$G142</f>
        <v>0.11136735477134441</v>
      </c>
      <c r="D197" s="459">
        <f>D95*Calc_SEC_death_rates!$G142</f>
        <v>0.11151727321058122</v>
      </c>
      <c r="E197" s="459">
        <f>E95*Calc_SEC_death_rates!$G142</f>
        <v>0.10854322201045274</v>
      </c>
      <c r="F197" s="459">
        <f>F95*Calc_SEC_death_rates!$G142</f>
        <v>0.10656550613341448</v>
      </c>
      <c r="G197" s="459">
        <f>G95*Calc_SEC_death_rates!$G142</f>
        <v>0.10521406208723207</v>
      </c>
      <c r="H197" s="459">
        <f>H95*Calc_SEC_death_rates!$G142</f>
        <v>0.10424089523983175</v>
      </c>
      <c r="I197" s="459">
        <f>I95*Calc_SEC_death_rates!$G142</f>
        <v>0.10390572927051948</v>
      </c>
      <c r="J197" s="459">
        <f>J95*Calc_SEC_death_rates!$G142</f>
        <v>0.10420679139328982</v>
      </c>
      <c r="K197" s="459">
        <f>K95*Calc_SEC_death_rates!$G142</f>
        <v>0.1045068433290726</v>
      </c>
      <c r="L197" s="459">
        <f>L95*Calc_SEC_death_rates!$G142</f>
        <v>0.10459668943208564</v>
      </c>
      <c r="M197" s="459">
        <f>M95*Calc_SEC_death_rates!$G142</f>
        <v>0.10485865938674756</v>
      </c>
      <c r="N197" s="459">
        <f>N95*Calc_SEC_death_rates!$G142</f>
        <v>0.1050695711879801</v>
      </c>
      <c r="O197" s="327"/>
      <c r="P197" s="327"/>
      <c r="Q197" s="327"/>
      <c r="R197" s="327"/>
    </row>
    <row r="198" spans="1:18">
      <c r="B198" s="338" t="str">
        <f t="shared" si="68"/>
        <v>35-39</v>
      </c>
      <c r="C198" s="459">
        <f>C96*Calc_SEC_death_rates!$G143</f>
        <v>0.41128024368927141</v>
      </c>
      <c r="D198" s="459">
        <f>D96*Calc_SEC_death_rates!$G143</f>
        <v>0.41575731178254083</v>
      </c>
      <c r="E198" s="459">
        <f>E96*Calc_SEC_death_rates!$G143</f>
        <v>0.41069767278310615</v>
      </c>
      <c r="F198" s="459">
        <f>F96*Calc_SEC_death_rates!$G143</f>
        <v>0.40630308955572975</v>
      </c>
      <c r="G198" s="459">
        <f>G96*Calc_SEC_death_rates!$G143</f>
        <v>0.40186320241488155</v>
      </c>
      <c r="H198" s="459">
        <f>H96*Calc_SEC_death_rates!$G143</f>
        <v>0.39732747971586063</v>
      </c>
      <c r="I198" s="459">
        <f>I96*Calc_SEC_death_rates!$G143</f>
        <v>0.39387500393497182</v>
      </c>
      <c r="J198" s="459">
        <f>J96*Calc_SEC_death_rates!$G143</f>
        <v>0.39189452892496018</v>
      </c>
      <c r="K198" s="459">
        <f>K96*Calc_SEC_death_rates!$G143</f>
        <v>0.39011083723872675</v>
      </c>
      <c r="L198" s="459">
        <f>L96*Calc_SEC_death_rates!$G143</f>
        <v>0.38821468994944247</v>
      </c>
      <c r="M198" s="459">
        <f>M96*Calc_SEC_death_rates!$G143</f>
        <v>0.38720178502473657</v>
      </c>
      <c r="N198" s="459">
        <f>N96*Calc_SEC_death_rates!$G143</f>
        <v>0.38647063808326498</v>
      </c>
      <c r="O198" s="327"/>
      <c r="P198" s="327"/>
      <c r="Q198" s="327"/>
      <c r="R198" s="327"/>
    </row>
    <row r="199" spans="1:18">
      <c r="B199" s="338" t="str">
        <f t="shared" si="68"/>
        <v>40-44</v>
      </c>
      <c r="C199" s="459">
        <f>C97*Calc_SEC_death_rates!$G144</f>
        <v>0.37869599018733735</v>
      </c>
      <c r="D199" s="459">
        <f>D97*Calc_SEC_death_rates!$G144</f>
        <v>0.39731086341235405</v>
      </c>
      <c r="E199" s="459">
        <f>E97*Calc_SEC_death_rates!$G144</f>
        <v>0.40408464837478597</v>
      </c>
      <c r="F199" s="459">
        <f>F97*Calc_SEC_death_rates!$G144</f>
        <v>0.409334437702711</v>
      </c>
      <c r="G199" s="459">
        <f>G97*Calc_SEC_death_rates!$G144</f>
        <v>0.41245579221364914</v>
      </c>
      <c r="H199" s="459">
        <f>H97*Calc_SEC_death_rates!$G144</f>
        <v>0.4135354512238395</v>
      </c>
      <c r="I199" s="459">
        <f>I97*Calc_SEC_death_rates!$G144</f>
        <v>0.41391964076374466</v>
      </c>
      <c r="J199" s="459">
        <f>J97*Calc_SEC_death_rates!$G144</f>
        <v>0.41423019232959785</v>
      </c>
      <c r="K199" s="459">
        <f>K97*Calc_SEC_death_rates!$G144</f>
        <v>0.41355314730697884</v>
      </c>
      <c r="L199" s="459">
        <f>L97*Calc_SEC_death_rates!$G144</f>
        <v>0.41194943634855419</v>
      </c>
      <c r="M199" s="459">
        <f>M97*Calc_SEC_death_rates!$G144</f>
        <v>0.41067443509080392</v>
      </c>
      <c r="N199" s="459">
        <f>N97*Calc_SEC_death_rates!$G144</f>
        <v>0.40936966335632485</v>
      </c>
      <c r="O199" s="327"/>
      <c r="P199" s="327"/>
      <c r="Q199" s="327"/>
      <c r="R199" s="327"/>
    </row>
    <row r="200" spans="1:18">
      <c r="B200" s="338" t="str">
        <f t="shared" si="68"/>
        <v>45-49</v>
      </c>
      <c r="C200" s="459">
        <f>C98*Calc_SEC_death_rates!$G145</f>
        <v>0.39628308784376792</v>
      </c>
      <c r="D200" s="459">
        <f>D98*Calc_SEC_death_rates!$G145</f>
        <v>0.43163674164131233</v>
      </c>
      <c r="E200" s="459">
        <f>E98*Calc_SEC_death_rates!$G145</f>
        <v>0.45310133178187384</v>
      </c>
      <c r="F200" s="459">
        <f>F98*Calc_SEC_death_rates!$G145</f>
        <v>0.47217889820992015</v>
      </c>
      <c r="G200" s="459">
        <f>G98*Calc_SEC_death_rates!$G145</f>
        <v>0.48773365457641132</v>
      </c>
      <c r="H200" s="459">
        <f>H98*Calc_SEC_death_rates!$G145</f>
        <v>0.49958384423806534</v>
      </c>
      <c r="I200" s="459">
        <f>I98*Calc_SEC_death_rates!$G145</f>
        <v>0.50916520103718499</v>
      </c>
      <c r="J200" s="459">
        <f>J98*Calc_SEC_death_rates!$G145</f>
        <v>0.51715702440939193</v>
      </c>
      <c r="K200" s="459">
        <f>K98*Calc_SEC_death_rates!$G145</f>
        <v>0.52248782468242749</v>
      </c>
      <c r="L200" s="459">
        <f>L98*Calc_SEC_death_rates!$G145</f>
        <v>0.5253205428464327</v>
      </c>
      <c r="M200" s="459">
        <f>M98*Calc_SEC_death_rates!$G145</f>
        <v>0.52731394376369745</v>
      </c>
      <c r="N200" s="459">
        <f>N98*Calc_SEC_death_rates!$G145</f>
        <v>0.52823945538707373</v>
      </c>
      <c r="O200" s="327"/>
      <c r="P200" s="327"/>
      <c r="Q200" s="327"/>
      <c r="R200" s="327"/>
    </row>
    <row r="201" spans="1:18">
      <c r="B201" s="338" t="str">
        <f t="shared" si="68"/>
        <v>50-54</v>
      </c>
      <c r="C201" s="459">
        <f>C99*Calc_SEC_death_rates!$G146</f>
        <v>0.38653595443479449</v>
      </c>
      <c r="D201" s="459">
        <f>D99*Calc_SEC_death_rates!$G146</f>
        <v>0.41312746433464725</v>
      </c>
      <c r="E201" s="459">
        <f>E99*Calc_SEC_death_rates!$G146</f>
        <v>0.4314056876750676</v>
      </c>
      <c r="F201" s="459">
        <f>F99*Calc_SEC_death_rates!$G146</f>
        <v>0.45130396994774524</v>
      </c>
      <c r="G201" s="459">
        <f>G99*Calc_SEC_death_rates!$G146</f>
        <v>0.47041432166719677</v>
      </c>
      <c r="H201" s="459">
        <f>H99*Calc_SEC_death_rates!$G146</f>
        <v>0.4875459289459772</v>
      </c>
      <c r="I201" s="459">
        <f>I99*Calc_SEC_death_rates!$G146</f>
        <v>0.50334591496864511</v>
      </c>
      <c r="J201" s="459">
        <f>J99*Calc_SEC_death_rates!$G146</f>
        <v>0.51789407215329442</v>
      </c>
      <c r="K201" s="459">
        <f>K99*Calc_SEC_death_rates!$G146</f>
        <v>0.52967750742045017</v>
      </c>
      <c r="L201" s="459">
        <f>L99*Calc_SEC_death_rates!$G146</f>
        <v>0.53854397134118381</v>
      </c>
      <c r="M201" s="459">
        <f>M99*Calc_SEC_death_rates!$G146</f>
        <v>0.5459470582377437</v>
      </c>
      <c r="N201" s="459">
        <f>N99*Calc_SEC_death_rates!$G146</f>
        <v>0.55155289651710471</v>
      </c>
      <c r="O201" s="327"/>
      <c r="P201" s="327"/>
      <c r="Q201" s="327"/>
      <c r="R201" s="327"/>
    </row>
    <row r="202" spans="1:18">
      <c r="B202" s="338" t="str">
        <f t="shared" si="68"/>
        <v>55-59</v>
      </c>
      <c r="C202" s="459">
        <f>C100*Calc_SEC_death_rates!$G147</f>
        <v>0.76718687189308354</v>
      </c>
      <c r="D202" s="459">
        <f>D100*Calc_SEC_death_rates!$G147</f>
        <v>0.73057576795852397</v>
      </c>
      <c r="E202" s="459">
        <f>E100*Calc_SEC_death_rates!$G147</f>
        <v>0.70351908166917387</v>
      </c>
      <c r="F202" s="459">
        <f>F100*Calc_SEC_death_rates!$G147</f>
        <v>0.69910990829639108</v>
      </c>
      <c r="G202" s="459">
        <f>G100*Calc_SEC_death_rates!$G147</f>
        <v>0.70661510469772115</v>
      </c>
      <c r="H202" s="459">
        <f>H100*Calc_SEC_death_rates!$G147</f>
        <v>0.71989477003986091</v>
      </c>
      <c r="I202" s="459">
        <f>I100*Calc_SEC_death_rates!$G147</f>
        <v>0.7375919375828015</v>
      </c>
      <c r="J202" s="459">
        <f>J100*Calc_SEC_death_rates!$G147</f>
        <v>0.75779980209887332</v>
      </c>
      <c r="K202" s="459">
        <f>K100*Calc_SEC_death_rates!$G147</f>
        <v>0.77608598048339672</v>
      </c>
      <c r="L202" s="459">
        <f>L100*Calc_SEC_death_rates!$G147</f>
        <v>0.79129866387880732</v>
      </c>
      <c r="M202" s="459">
        <f>M100*Calc_SEC_death_rates!$G147</f>
        <v>0.80557372504662883</v>
      </c>
      <c r="N202" s="459">
        <f>N100*Calc_SEC_death_rates!$G147</f>
        <v>0.81752050068058046</v>
      </c>
      <c r="O202" s="327"/>
      <c r="P202" s="327"/>
      <c r="Q202" s="327"/>
      <c r="R202" s="327"/>
    </row>
    <row r="203" spans="1:18">
      <c r="B203" s="338" t="str">
        <f t="shared" si="68"/>
        <v>60-64</v>
      </c>
      <c r="C203" s="459">
        <f>C101*Calc_SEC_death_rates!$G148</f>
        <v>0.41140691714069771</v>
      </c>
      <c r="D203" s="459">
        <f>D101*Calc_SEC_death_rates!$G148</f>
        <v>0.42689426578266054</v>
      </c>
      <c r="E203" s="459">
        <f>E101*Calc_SEC_death_rates!$G148</f>
        <v>0.41092906493983278</v>
      </c>
      <c r="F203" s="459">
        <f>F101*Calc_SEC_death_rates!$G148</f>
        <v>0.39980088827286031</v>
      </c>
      <c r="G203" s="459">
        <f>G101*Calc_SEC_death_rates!$G148</f>
        <v>0.39395866387994599</v>
      </c>
      <c r="H203" s="459">
        <f>H101*Calc_SEC_death_rates!$G148</f>
        <v>0.39241905884225642</v>
      </c>
      <c r="I203" s="459">
        <f>I101*Calc_SEC_death_rates!$G148</f>
        <v>0.39573601991308416</v>
      </c>
      <c r="J203" s="459">
        <f>J101*Calc_SEC_death_rates!$G148</f>
        <v>0.40270550473947248</v>
      </c>
      <c r="K203" s="459">
        <f>K101*Calc_SEC_death_rates!$G148</f>
        <v>0.40962216406274987</v>
      </c>
      <c r="L203" s="459">
        <f>L101*Calc_SEC_death_rates!$G148</f>
        <v>0.41562764653198064</v>
      </c>
      <c r="M203" s="459">
        <f>M101*Calc_SEC_death_rates!$G148</f>
        <v>0.42244231693775042</v>
      </c>
      <c r="N203" s="459">
        <f>N101*Calc_SEC_death_rates!$G148</f>
        <v>0.42856548168023395</v>
      </c>
      <c r="O203" s="327"/>
      <c r="P203" s="327"/>
      <c r="Q203" s="327"/>
      <c r="R203" s="327"/>
    </row>
    <row r="204" spans="1:18">
      <c r="B204" s="338" t="str">
        <f t="shared" si="68"/>
        <v>65 plus</v>
      </c>
      <c r="C204" s="459">
        <f>C102*Calc_SEC_death_rates!$G149</f>
        <v>0.50937765095908294</v>
      </c>
      <c r="D204" s="459">
        <f>D102*Calc_SEC_death_rates!$G149</f>
        <v>0.68487147410074212</v>
      </c>
      <c r="E204" s="459">
        <f>E102*Calc_SEC_death_rates!$G149</f>
        <v>0.74992696627355981</v>
      </c>
      <c r="F204" s="459">
        <f>F102*Calc_SEC_death_rates!$G149</f>
        <v>0.77673536333765025</v>
      </c>
      <c r="G204" s="459">
        <f>G102*Calc_SEC_death_rates!$G149</f>
        <v>0.78296966471073548</v>
      </c>
      <c r="H204" s="459">
        <f>H102*Calc_SEC_death_rates!$G149</f>
        <v>0.78067538950370119</v>
      </c>
      <c r="I204" s="459">
        <f>I102*Calc_SEC_death_rates!$G149</f>
        <v>0.78068846942259706</v>
      </c>
      <c r="J204" s="459">
        <f>J102*Calc_SEC_death_rates!$G149</f>
        <v>0.78619487780178987</v>
      </c>
      <c r="K204" s="459">
        <f>K102*Calc_SEC_death_rates!$G149</f>
        <v>0.7917467146794237</v>
      </c>
      <c r="L204" s="459">
        <f>L102*Calc_SEC_death_rates!$G149</f>
        <v>0.79626515153838417</v>
      </c>
      <c r="M204" s="459">
        <f>M102*Calc_SEC_death_rates!$G149</f>
        <v>0.80403649874389593</v>
      </c>
      <c r="N204" s="459">
        <f>N102*Calc_SEC_death_rates!$G149</f>
        <v>0.81206534854767054</v>
      </c>
      <c r="O204" s="327"/>
      <c r="P204" s="327"/>
      <c r="Q204" s="327"/>
      <c r="R204" s="327"/>
    </row>
    <row r="205" spans="1:18">
      <c r="B205" s="338" t="str">
        <f t="shared" si="68"/>
        <v>Total</v>
      </c>
      <c r="C205" s="459">
        <f>SUM(C195:C204)</f>
        <v>3.3721340709193797</v>
      </c>
      <c r="D205" s="459">
        <f t="shared" ref="D205:N205" si="70">SUM(D195:D204)</f>
        <v>3.6116911622233623</v>
      </c>
      <c r="E205" s="459">
        <f t="shared" si="70"/>
        <v>3.672207675507853</v>
      </c>
      <c r="F205" s="459">
        <f t="shared" si="70"/>
        <v>3.7213320614564225</v>
      </c>
      <c r="G205" s="459">
        <f t="shared" si="70"/>
        <v>3.7612244662477736</v>
      </c>
      <c r="H205" s="459">
        <f t="shared" si="70"/>
        <v>3.795222817749393</v>
      </c>
      <c r="I205" s="459">
        <f t="shared" si="70"/>
        <v>3.8382279168935485</v>
      </c>
      <c r="J205" s="459">
        <f t="shared" si="70"/>
        <v>3.8920827938506704</v>
      </c>
      <c r="K205" s="459">
        <f t="shared" si="70"/>
        <v>3.9377910192032264</v>
      </c>
      <c r="L205" s="459">
        <f t="shared" si="70"/>
        <v>3.9718167918668708</v>
      </c>
      <c r="M205" s="459">
        <f t="shared" si="70"/>
        <v>4.0080484222320045</v>
      </c>
      <c r="N205" s="459">
        <f t="shared" si="70"/>
        <v>4.0388535554402329</v>
      </c>
      <c r="O205" s="327"/>
      <c r="P205" s="327"/>
      <c r="Q205" s="327"/>
      <c r="R205" s="327"/>
    </row>
    <row r="206" spans="1:18">
      <c r="A206" s="309">
        <f>SUM(C206:N206)</f>
        <v>0</v>
      </c>
      <c r="C206" s="309">
        <f t="shared" ref="C206:N206" si="71">SUM(C195:C204)-C205</f>
        <v>0</v>
      </c>
      <c r="D206" s="309">
        <f t="shared" si="71"/>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8"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18.837619165397818</v>
      </c>
      <c r="D213" s="459">
        <f t="shared" ref="D213:N213" si="75">D111+D145+D179</f>
        <v>29.896973263576083</v>
      </c>
      <c r="E213" s="459">
        <f t="shared" si="75"/>
        <v>33.425702893521319</v>
      </c>
      <c r="F213" s="459">
        <f t="shared" si="75"/>
        <v>36.51915734954769</v>
      </c>
      <c r="G213" s="459">
        <f t="shared" si="75"/>
        <v>38.724922594823845</v>
      </c>
      <c r="H213" s="459">
        <f t="shared" si="75"/>
        <v>40.082782566481647</v>
      </c>
      <c r="I213" s="459">
        <f t="shared" si="75"/>
        <v>41.286526831293045</v>
      </c>
      <c r="J213" s="459">
        <f t="shared" si="75"/>
        <v>42.495324337216289</v>
      </c>
      <c r="K213" s="459">
        <f t="shared" si="75"/>
        <v>43.0693218942748</v>
      </c>
      <c r="L213" s="459">
        <f t="shared" si="75"/>
        <v>43.084294243235931</v>
      </c>
      <c r="M213" s="459">
        <f t="shared" si="75"/>
        <v>43.249319771778154</v>
      </c>
      <c r="N213" s="459">
        <f t="shared" si="75"/>
        <v>43.282761541190681</v>
      </c>
    </row>
    <row r="214" spans="1:14">
      <c r="B214" s="338" t="str">
        <f t="shared" si="72"/>
        <v>25-29</v>
      </c>
      <c r="C214" s="459">
        <f t="shared" si="74"/>
        <v>48.899925987821113</v>
      </c>
      <c r="D214" s="459">
        <f t="shared" ref="D214:N214" si="76">D112+D146+D180</f>
        <v>53.566827165196003</v>
      </c>
      <c r="E214" s="459">
        <f t="shared" si="76"/>
        <v>54.443668345245129</v>
      </c>
      <c r="F214" s="459">
        <f t="shared" si="76"/>
        <v>56.160379547042176</v>
      </c>
      <c r="G214" s="459">
        <f t="shared" si="76"/>
        <v>57.861512085693036</v>
      </c>
      <c r="H214" s="459">
        <f t="shared" si="76"/>
        <v>59.211068750047524</v>
      </c>
      <c r="I214" s="459">
        <f t="shared" si="76"/>
        <v>60.608815755379581</v>
      </c>
      <c r="J214" s="459">
        <f t="shared" si="76"/>
        <v>62.127060213187114</v>
      </c>
      <c r="K214" s="459">
        <f t="shared" si="76"/>
        <v>63.123900807708068</v>
      </c>
      <c r="L214" s="459">
        <f t="shared" si="76"/>
        <v>63.549225342664677</v>
      </c>
      <c r="M214" s="459">
        <f t="shared" si="76"/>
        <v>64.003020845560741</v>
      </c>
      <c r="N214" s="459">
        <f t="shared" si="76"/>
        <v>64.272739098284362</v>
      </c>
    </row>
    <row r="215" spans="1:14">
      <c r="B215" s="338" t="str">
        <f t="shared" si="72"/>
        <v>30-34</v>
      </c>
      <c r="C215" s="459">
        <f t="shared" si="74"/>
        <v>48.199114148349409</v>
      </c>
      <c r="D215" s="459">
        <f t="shared" ref="D215:N215" si="77">D113+D147+D181</f>
        <v>48.602057757875386</v>
      </c>
      <c r="E215" s="459">
        <f t="shared" si="77"/>
        <v>47.860362906405541</v>
      </c>
      <c r="F215" s="459">
        <f t="shared" si="77"/>
        <v>47.688005620889484</v>
      </c>
      <c r="G215" s="459">
        <f t="shared" si="77"/>
        <v>47.807248051738121</v>
      </c>
      <c r="H215" s="459">
        <f t="shared" si="77"/>
        <v>48.045423067870757</v>
      </c>
      <c r="I215" s="459">
        <f t="shared" si="77"/>
        <v>48.49879167559547</v>
      </c>
      <c r="J215" s="459">
        <f t="shared" si="77"/>
        <v>49.161947013413453</v>
      </c>
      <c r="K215" s="459">
        <f t="shared" si="77"/>
        <v>49.740741606770669</v>
      </c>
      <c r="L215" s="459">
        <f t="shared" si="77"/>
        <v>50.142737608079365</v>
      </c>
      <c r="M215" s="459">
        <f t="shared" si="77"/>
        <v>50.555564654108906</v>
      </c>
      <c r="N215" s="459">
        <f t="shared" si="77"/>
        <v>50.886289226800699</v>
      </c>
    </row>
    <row r="216" spans="1:14">
      <c r="B216" s="338" t="str">
        <f t="shared" si="72"/>
        <v>35-39</v>
      </c>
      <c r="C216" s="459">
        <f t="shared" si="74"/>
        <v>50.830398487377998</v>
      </c>
      <c r="D216" s="459">
        <f t="shared" ref="D216:N216" si="78">D114+D148+D182</f>
        <v>51.016827546819258</v>
      </c>
      <c r="E216" s="459">
        <f t="shared" si="78"/>
        <v>50.183057568419713</v>
      </c>
      <c r="F216" s="459">
        <f t="shared" si="78"/>
        <v>49.600033704762851</v>
      </c>
      <c r="G216" s="459">
        <f t="shared" si="78"/>
        <v>49.157155849621788</v>
      </c>
      <c r="H216" s="459">
        <f t="shared" si="78"/>
        <v>48.810990955940369</v>
      </c>
      <c r="I216" s="459">
        <f t="shared" si="78"/>
        <v>48.668926346643794</v>
      </c>
      <c r="J216" s="459">
        <f t="shared" si="78"/>
        <v>48.746757151142653</v>
      </c>
      <c r="K216" s="459">
        <f t="shared" si="78"/>
        <v>48.862129456665159</v>
      </c>
      <c r="L216" s="459">
        <f t="shared" si="78"/>
        <v>48.957822048299967</v>
      </c>
      <c r="M216" s="459">
        <f t="shared" si="78"/>
        <v>49.143535804199942</v>
      </c>
      <c r="N216" s="459">
        <f t="shared" si="78"/>
        <v>49.337510813791909</v>
      </c>
    </row>
    <row r="217" spans="1:14">
      <c r="B217" s="338" t="str">
        <f t="shared" si="72"/>
        <v>40-44</v>
      </c>
      <c r="C217" s="459">
        <f t="shared" si="74"/>
        <v>43.297375474339702</v>
      </c>
      <c r="D217" s="459">
        <f t="shared" ref="D217:N217" si="79">D115+D149+D183</f>
        <v>44.925007286981085</v>
      </c>
      <c r="E217" s="459">
        <f t="shared" si="79"/>
        <v>45.314691105431933</v>
      </c>
      <c r="F217" s="459">
        <f t="shared" si="79"/>
        <v>45.592959846452217</v>
      </c>
      <c r="G217" s="459">
        <f t="shared" si="79"/>
        <v>45.710676100577302</v>
      </c>
      <c r="H217" s="459">
        <f t="shared" si="79"/>
        <v>45.684728484508042</v>
      </c>
      <c r="I217" s="459">
        <f t="shared" si="79"/>
        <v>45.659494356199673</v>
      </c>
      <c r="J217" s="459">
        <f t="shared" si="79"/>
        <v>45.695140922033303</v>
      </c>
      <c r="K217" s="459">
        <f t="shared" si="79"/>
        <v>45.682113089475443</v>
      </c>
      <c r="L217" s="459">
        <f t="shared" si="79"/>
        <v>45.613948809582809</v>
      </c>
      <c r="M217" s="459">
        <f t="shared" si="79"/>
        <v>45.613218413134454</v>
      </c>
      <c r="N217" s="459">
        <f t="shared" si="79"/>
        <v>45.629703499231411</v>
      </c>
    </row>
    <row r="218" spans="1:14">
      <c r="B218" s="338" t="str">
        <f t="shared" si="72"/>
        <v>45-49</v>
      </c>
      <c r="C218" s="459">
        <f t="shared" si="74"/>
        <v>37.712733701236644</v>
      </c>
      <c r="D218" s="459">
        <f t="shared" ref="D218:N218" si="80">D116+D150+D184</f>
        <v>40.702724626603022</v>
      </c>
      <c r="E218" s="459">
        <f t="shared" si="80"/>
        <v>42.415174023241178</v>
      </c>
      <c r="F218" s="459">
        <f t="shared" si="80"/>
        <v>43.890318230440784</v>
      </c>
      <c r="G218" s="459">
        <f t="shared" si="80"/>
        <v>45.046348929603369</v>
      </c>
      <c r="H218" s="459">
        <f t="shared" si="80"/>
        <v>45.884504999766179</v>
      </c>
      <c r="I218" s="459">
        <f t="shared" si="80"/>
        <v>46.546353712365992</v>
      </c>
      <c r="J218" s="459">
        <f t="shared" si="80"/>
        <v>47.102421868656528</v>
      </c>
      <c r="K218" s="459">
        <f t="shared" si="80"/>
        <v>47.463801157437501</v>
      </c>
      <c r="L218" s="459">
        <f t="shared" si="80"/>
        <v>47.646847000999664</v>
      </c>
      <c r="M218" s="459">
        <f t="shared" si="80"/>
        <v>47.797003245641775</v>
      </c>
      <c r="N218" s="459">
        <f t="shared" si="80"/>
        <v>47.890057632809295</v>
      </c>
    </row>
    <row r="219" spans="1:14">
      <c r="B219" s="338" t="str">
        <f t="shared" si="72"/>
        <v>50-54</v>
      </c>
      <c r="C219" s="459">
        <f t="shared" si="74"/>
        <v>36.636350310506067</v>
      </c>
      <c r="D219" s="459">
        <f t="shared" ref="D219:N219" si="81">D117+D151+D185</f>
        <v>38.041145110940704</v>
      </c>
      <c r="E219" s="459">
        <f t="shared" si="81"/>
        <v>38.94308061728298</v>
      </c>
      <c r="F219" s="459">
        <f t="shared" si="81"/>
        <v>40.109192091710526</v>
      </c>
      <c r="G219" s="459">
        <f t="shared" si="81"/>
        <v>41.294698660612021</v>
      </c>
      <c r="H219" s="459">
        <f t="shared" si="81"/>
        <v>42.374358788554254</v>
      </c>
      <c r="I219" s="459">
        <f t="shared" si="81"/>
        <v>43.38831441576432</v>
      </c>
      <c r="J219" s="459">
        <f t="shared" si="81"/>
        <v>44.336364895380008</v>
      </c>
      <c r="K219" s="459">
        <f t="shared" si="81"/>
        <v>45.089624087247081</v>
      </c>
      <c r="L219" s="459">
        <f t="shared" si="81"/>
        <v>45.635564523940509</v>
      </c>
      <c r="M219" s="459">
        <f t="shared" si="81"/>
        <v>46.096204133813195</v>
      </c>
      <c r="N219" s="459">
        <f t="shared" si="81"/>
        <v>46.44316098163376</v>
      </c>
    </row>
    <row r="220" spans="1:14">
      <c r="B220" s="338" t="str">
        <f t="shared" si="72"/>
        <v>55-59</v>
      </c>
      <c r="C220" s="459">
        <f t="shared" si="74"/>
        <v>68.0903280052611</v>
      </c>
      <c r="D220" s="459">
        <f t="shared" ref="D220:N220" si="82">D118+D152+D186</f>
        <v>60.947831947434125</v>
      </c>
      <c r="E220" s="459">
        <f t="shared" si="82"/>
        <v>56.013594176524649</v>
      </c>
      <c r="F220" s="459">
        <f t="shared" si="82"/>
        <v>53.662858972674307</v>
      </c>
      <c r="G220" s="459">
        <f t="shared" si="82"/>
        <v>52.77357986692288</v>
      </c>
      <c r="H220" s="459">
        <f t="shared" si="82"/>
        <v>52.686740557352302</v>
      </c>
      <c r="I220" s="459">
        <f t="shared" si="82"/>
        <v>53.166852676779961</v>
      </c>
      <c r="J220" s="459">
        <f t="shared" si="82"/>
        <v>53.991479279965247</v>
      </c>
      <c r="K220" s="459">
        <f t="shared" si="82"/>
        <v>54.794296182953971</v>
      </c>
      <c r="L220" s="459">
        <f t="shared" si="82"/>
        <v>55.465013281885462</v>
      </c>
      <c r="M220" s="459">
        <f t="shared" si="82"/>
        <v>56.138107307113167</v>
      </c>
      <c r="N220" s="459">
        <f t="shared" si="82"/>
        <v>56.704033069525543</v>
      </c>
    </row>
    <row r="221" spans="1:14">
      <c r="B221" s="338" t="str">
        <f t="shared" si="72"/>
        <v>60-64</v>
      </c>
      <c r="C221" s="459">
        <f t="shared" si="74"/>
        <v>39.498194830260204</v>
      </c>
      <c r="D221" s="459">
        <f t="shared" ref="D221:N221" si="83">D119+D153+D187</f>
        <v>39.105295095225074</v>
      </c>
      <c r="E221" s="459">
        <f t="shared" si="83"/>
        <v>36.22245318753172</v>
      </c>
      <c r="F221" s="459">
        <f t="shared" si="83"/>
        <v>33.87338284687393</v>
      </c>
      <c r="G221" s="459">
        <f t="shared" si="83"/>
        <v>32.220689689978734</v>
      </c>
      <c r="H221" s="459">
        <f t="shared" si="83"/>
        <v>31.177263251968441</v>
      </c>
      <c r="I221" s="459">
        <f t="shared" si="83"/>
        <v>30.723548919790623</v>
      </c>
      <c r="J221" s="459">
        <f t="shared" si="83"/>
        <v>30.713646607154985</v>
      </c>
      <c r="K221" s="459">
        <f t="shared" si="83"/>
        <v>30.831107002224897</v>
      </c>
      <c r="L221" s="459">
        <f t="shared" si="83"/>
        <v>30.973073926160197</v>
      </c>
      <c r="M221" s="459">
        <f t="shared" si="83"/>
        <v>31.235571480234729</v>
      </c>
      <c r="N221" s="459">
        <f t="shared" si="83"/>
        <v>31.495839009537505</v>
      </c>
    </row>
    <row r="222" spans="1:14">
      <c r="B222" s="338" t="str">
        <f t="shared" si="72"/>
        <v>65 plus</v>
      </c>
      <c r="C222" s="459">
        <f t="shared" si="74"/>
        <v>10.216230130983604</v>
      </c>
      <c r="D222" s="459">
        <f t="shared" ref="D222:N222" si="84">D120+D154+D188</f>
        <v>12.973635485197224</v>
      </c>
      <c r="E222" s="459">
        <f t="shared" si="84"/>
        <v>13.955640314652836</v>
      </c>
      <c r="F222" s="459">
        <f t="shared" si="84"/>
        <v>14.159483071906372</v>
      </c>
      <c r="G222" s="459">
        <f t="shared" si="84"/>
        <v>13.950247773889661</v>
      </c>
      <c r="H222" s="459">
        <f t="shared" si="84"/>
        <v>13.587896857681196</v>
      </c>
      <c r="I222" s="459">
        <f t="shared" si="84"/>
        <v>13.276025332882455</v>
      </c>
      <c r="J222" s="459">
        <f t="shared" si="84"/>
        <v>13.086542095131991</v>
      </c>
      <c r="K222" s="459">
        <f t="shared" si="84"/>
        <v>12.95373419201527</v>
      </c>
      <c r="L222" s="459">
        <f t="shared" si="84"/>
        <v>12.855603073537509</v>
      </c>
      <c r="M222" s="459">
        <f t="shared" si="84"/>
        <v>12.839718639708549</v>
      </c>
      <c r="N222" s="459">
        <f t="shared" si="84"/>
        <v>12.858890630366357</v>
      </c>
    </row>
    <row r="223" spans="1:14">
      <c r="B223" s="338" t="str">
        <f t="shared" si="72"/>
        <v>Total</v>
      </c>
      <c r="C223" s="459">
        <f>SUM(C213:C222)</f>
        <v>402.21827024153367</v>
      </c>
      <c r="D223" s="459">
        <f t="shared" ref="D223:N223" si="85">SUM(D213:D222)</f>
        <v>419.77832528584793</v>
      </c>
      <c r="E223" s="459">
        <f t="shared" si="85"/>
        <v>418.777425138257</v>
      </c>
      <c r="F223" s="459">
        <f t="shared" si="85"/>
        <v>421.25577128230037</v>
      </c>
      <c r="G223" s="459">
        <f t="shared" si="85"/>
        <v>424.54707960346076</v>
      </c>
      <c r="H223" s="459">
        <f t="shared" si="85"/>
        <v>427.54575828017073</v>
      </c>
      <c r="I223" s="459">
        <f t="shared" si="85"/>
        <v>431.82365002269495</v>
      </c>
      <c r="J223" s="459">
        <f t="shared" si="85"/>
        <v>437.45668438328158</v>
      </c>
      <c r="K223" s="459">
        <f t="shared" si="85"/>
        <v>441.61076947677293</v>
      </c>
      <c r="L223" s="459">
        <f t="shared" si="85"/>
        <v>443.9241298583861</v>
      </c>
      <c r="M223" s="459">
        <f t="shared" si="85"/>
        <v>446.67126429529361</v>
      </c>
      <c r="N223" s="459">
        <f t="shared" si="85"/>
        <v>448.8009855031716</v>
      </c>
    </row>
    <row r="224" spans="1:14">
      <c r="A224" s="309">
        <f>SUM(C224:N224)</f>
        <v>0</v>
      </c>
      <c r="C224" s="309">
        <f t="shared" ref="C224:N224" si="86">SUM(C213:C222)-C223</f>
        <v>0</v>
      </c>
      <c r="D224" s="309">
        <f t="shared" si="86"/>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7">
      <c r="B226" s="341" t="s">
        <v>50</v>
      </c>
      <c r="C226" s="329"/>
      <c r="D226" s="329"/>
      <c r="E226" s="329"/>
      <c r="F226" s="329"/>
      <c r="G226" s="329"/>
      <c r="H226" s="339"/>
      <c r="I226" s="329"/>
      <c r="J226" s="329"/>
      <c r="K226" s="329"/>
      <c r="L226" s="329"/>
    </row>
    <row r="227" spans="1:17">
      <c r="C227" s="329"/>
      <c r="D227" s="329"/>
      <c r="E227" s="329"/>
      <c r="F227" s="329"/>
      <c r="G227" s="329"/>
      <c r="H227" s="339"/>
      <c r="I227" s="329"/>
      <c r="J227" s="329"/>
      <c r="K227" s="329"/>
      <c r="L227" s="329"/>
    </row>
    <row r="228" spans="1:17">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7">
      <c r="B229" s="338" t="str">
        <f t="shared" si="87"/>
        <v>20-24</v>
      </c>
      <c r="C229" s="459">
        <f t="shared" ref="C229:C238" si="89">C195+C161+C127</f>
        <v>40.942039373254147</v>
      </c>
      <c r="D229" s="459">
        <f t="shared" ref="D229:N229" si="90">D195+D161+D127</f>
        <v>62.83467772639176</v>
      </c>
      <c r="E229" s="459">
        <f t="shared" si="90"/>
        <v>70.005546549412244</v>
      </c>
      <c r="F229" s="459">
        <f t="shared" si="90"/>
        <v>76.382402245695317</v>
      </c>
      <c r="G229" s="459">
        <f t="shared" si="90"/>
        <v>81.017805335701766</v>
      </c>
      <c r="H229" s="459">
        <f t="shared" si="90"/>
        <v>83.952552397758026</v>
      </c>
      <c r="I229" s="459">
        <f t="shared" si="90"/>
        <v>86.556230390772768</v>
      </c>
      <c r="J229" s="459">
        <f t="shared" si="90"/>
        <v>89.150871687984264</v>
      </c>
      <c r="K229" s="459">
        <f t="shared" si="90"/>
        <v>90.454951053227262</v>
      </c>
      <c r="L229" s="459">
        <f t="shared" si="90"/>
        <v>90.60638639810476</v>
      </c>
      <c r="M229" s="459">
        <f t="shared" si="90"/>
        <v>91.023894478543824</v>
      </c>
      <c r="N229" s="459">
        <f t="shared" si="90"/>
        <v>91.155905840029206</v>
      </c>
      <c r="O229" s="327"/>
      <c r="P229" s="327"/>
      <c r="Q229" s="327"/>
    </row>
    <row r="230" spans="1:17">
      <c r="B230" s="338" t="str">
        <f t="shared" si="87"/>
        <v>25-29</v>
      </c>
      <c r="C230" s="459">
        <f t="shared" si="89"/>
        <v>140.41131815801737</v>
      </c>
      <c r="D230" s="459">
        <f t="shared" ref="D230:N230" si="91">D196+D162+D128</f>
        <v>143.55403052459266</v>
      </c>
      <c r="E230" s="459">
        <f t="shared" si="91"/>
        <v>140.20057002176102</v>
      </c>
      <c r="F230" s="459">
        <f t="shared" si="91"/>
        <v>140.31463361205874</v>
      </c>
      <c r="G230" s="459">
        <f t="shared" si="91"/>
        <v>141.51591252618192</v>
      </c>
      <c r="H230" s="459">
        <f t="shared" si="91"/>
        <v>142.72069610989692</v>
      </c>
      <c r="I230" s="459">
        <f t="shared" si="91"/>
        <v>144.60766686069982</v>
      </c>
      <c r="J230" s="459">
        <f t="shared" si="91"/>
        <v>147.1757094775333</v>
      </c>
      <c r="K230" s="459">
        <f t="shared" si="91"/>
        <v>148.84256083119726</v>
      </c>
      <c r="L230" s="459">
        <f t="shared" si="91"/>
        <v>149.40517963172775</v>
      </c>
      <c r="M230" s="459">
        <f t="shared" si="91"/>
        <v>150.16720464829436</v>
      </c>
      <c r="N230" s="459">
        <f t="shared" si="91"/>
        <v>150.60126126623589</v>
      </c>
      <c r="O230" s="327"/>
      <c r="P230" s="327"/>
      <c r="Q230" s="327"/>
    </row>
    <row r="231" spans="1:17">
      <c r="B231" s="338" t="str">
        <f t="shared" si="87"/>
        <v>30-34</v>
      </c>
      <c r="C231" s="459">
        <f t="shared" si="89"/>
        <v>153.52130567624974</v>
      </c>
      <c r="D231" s="459">
        <f t="shared" ref="D231:N231" si="92">D197+D163+D129</f>
        <v>153.72797013895371</v>
      </c>
      <c r="E231" s="459">
        <f t="shared" si="92"/>
        <v>149.62820298250847</v>
      </c>
      <c r="F231" s="459">
        <f t="shared" si="92"/>
        <v>146.90189665761687</v>
      </c>
      <c r="G231" s="459">
        <f t="shared" si="92"/>
        <v>145.03891396449015</v>
      </c>
      <c r="H231" s="459">
        <f t="shared" si="92"/>
        <v>143.69739116940823</v>
      </c>
      <c r="I231" s="459">
        <f t="shared" si="92"/>
        <v>143.235360645897</v>
      </c>
      <c r="J231" s="459">
        <f t="shared" si="92"/>
        <v>143.65037858604884</v>
      </c>
      <c r="K231" s="459">
        <f t="shared" si="92"/>
        <v>144.06400397067469</v>
      </c>
      <c r="L231" s="459">
        <f t="shared" si="92"/>
        <v>144.18785795888161</v>
      </c>
      <c r="M231" s="459">
        <f t="shared" si="92"/>
        <v>144.54898685136737</v>
      </c>
      <c r="N231" s="459">
        <f t="shared" si="92"/>
        <v>144.83973143423216</v>
      </c>
      <c r="O231" s="327"/>
      <c r="P231" s="327"/>
      <c r="Q231" s="327"/>
    </row>
    <row r="232" spans="1:17">
      <c r="B232" s="338" t="str">
        <f t="shared" si="87"/>
        <v>35-39</v>
      </c>
      <c r="C232" s="459">
        <f t="shared" si="89"/>
        <v>124.92676808802428</v>
      </c>
      <c r="D232" s="459">
        <f t="shared" ref="D232:N232" si="93">D198+D164+D130</f>
        <v>126.28668181104939</v>
      </c>
      <c r="E232" s="459">
        <f t="shared" si="93"/>
        <v>124.74981161708733</v>
      </c>
      <c r="F232" s="459">
        <f t="shared" si="93"/>
        <v>123.41495275110992</v>
      </c>
      <c r="G232" s="459">
        <f t="shared" si="93"/>
        <v>122.06633277800761</v>
      </c>
      <c r="H232" s="459">
        <f t="shared" si="93"/>
        <v>120.68860266228565</v>
      </c>
      <c r="I232" s="459">
        <f t="shared" si="93"/>
        <v>119.63990983585737</v>
      </c>
      <c r="J232" s="459">
        <f t="shared" si="93"/>
        <v>119.03833865397783</v>
      </c>
      <c r="K232" s="459">
        <f t="shared" si="93"/>
        <v>118.49654059524352</v>
      </c>
      <c r="L232" s="459">
        <f t="shared" si="93"/>
        <v>117.92058403933338</v>
      </c>
      <c r="M232" s="459">
        <f t="shared" si="93"/>
        <v>117.61291319794097</v>
      </c>
      <c r="N232" s="459">
        <f t="shared" si="93"/>
        <v>117.39082661392189</v>
      </c>
      <c r="O232" s="327"/>
      <c r="P232" s="327"/>
      <c r="Q232" s="327"/>
    </row>
    <row r="233" spans="1:17">
      <c r="B233" s="338" t="str">
        <f t="shared" si="87"/>
        <v>40-44</v>
      </c>
      <c r="C233" s="459">
        <f t="shared" si="89"/>
        <v>101.80123959838838</v>
      </c>
      <c r="D233" s="459">
        <f t="shared" ref="D233:N233" si="94">D199+D165+D131</f>
        <v>106.80529883951239</v>
      </c>
      <c r="E233" s="459">
        <f t="shared" si="94"/>
        <v>108.62623099569223</v>
      </c>
      <c r="F233" s="459">
        <f t="shared" si="94"/>
        <v>110.03748190687504</v>
      </c>
      <c r="G233" s="459">
        <f t="shared" si="94"/>
        <v>110.87656593911508</v>
      </c>
      <c r="H233" s="459">
        <f t="shared" si="94"/>
        <v>111.16680039743765</v>
      </c>
      <c r="I233" s="459">
        <f t="shared" si="94"/>
        <v>111.27007841573335</v>
      </c>
      <c r="J233" s="459">
        <f t="shared" si="94"/>
        <v>111.35356103815941</v>
      </c>
      <c r="K233" s="459">
        <f t="shared" si="94"/>
        <v>111.17155746708268</v>
      </c>
      <c r="L233" s="459">
        <f t="shared" si="94"/>
        <v>110.74044711007998</v>
      </c>
      <c r="M233" s="459">
        <f t="shared" si="94"/>
        <v>110.39770065410545</v>
      </c>
      <c r="N233" s="459">
        <f t="shared" si="94"/>
        <v>110.04695128414987</v>
      </c>
      <c r="O233" s="327"/>
      <c r="P233" s="327"/>
      <c r="Q233" s="327"/>
    </row>
    <row r="234" spans="1:17">
      <c r="B234" s="338" t="str">
        <f t="shared" si="87"/>
        <v>45-49</v>
      </c>
      <c r="C234" s="459">
        <f t="shared" si="89"/>
        <v>80.211689061079824</v>
      </c>
      <c r="D234" s="459">
        <f t="shared" ref="D234:N234" si="95">D200+D166+D132</f>
        <v>87.367624735780339</v>
      </c>
      <c r="E234" s="459">
        <f t="shared" si="95"/>
        <v>91.712274010485217</v>
      </c>
      <c r="F234" s="459">
        <f t="shared" si="95"/>
        <v>95.573765639347855</v>
      </c>
      <c r="G234" s="459">
        <f t="shared" si="95"/>
        <v>98.7222050236239</v>
      </c>
      <c r="H234" s="459">
        <f t="shared" si="95"/>
        <v>101.12080278773074</v>
      </c>
      <c r="I234" s="459">
        <f t="shared" si="95"/>
        <v>103.06016592466389</v>
      </c>
      <c r="J234" s="459">
        <f t="shared" si="95"/>
        <v>104.67779148332831</v>
      </c>
      <c r="K234" s="459">
        <f t="shared" si="95"/>
        <v>105.75679916007283</v>
      </c>
      <c r="L234" s="459">
        <f t="shared" si="95"/>
        <v>106.33016985273896</v>
      </c>
      <c r="M234" s="459">
        <f t="shared" si="95"/>
        <v>106.7336542795403</v>
      </c>
      <c r="N234" s="459">
        <f t="shared" si="95"/>
        <v>106.92098715554216</v>
      </c>
      <c r="O234" s="327"/>
      <c r="P234" s="327"/>
      <c r="Q234" s="327"/>
    </row>
    <row r="235" spans="1:17">
      <c r="B235" s="338" t="str">
        <f t="shared" si="87"/>
        <v>50-54</v>
      </c>
      <c r="C235" s="459">
        <f t="shared" si="89"/>
        <v>70.50143081076385</v>
      </c>
      <c r="D235" s="459">
        <f t="shared" ref="D235:N235" si="96">D201+D167+D133</f>
        <v>75.35153459502763</v>
      </c>
      <c r="E235" s="459">
        <f t="shared" si="96"/>
        <v>78.685353566829676</v>
      </c>
      <c r="F235" s="459">
        <f t="shared" si="96"/>
        <v>82.314659857240713</v>
      </c>
      <c r="G235" s="459">
        <f t="shared" si="96"/>
        <v>85.800253174137595</v>
      </c>
      <c r="H235" s="459">
        <f t="shared" si="96"/>
        <v>88.924937466464826</v>
      </c>
      <c r="I235" s="459">
        <f t="shared" si="96"/>
        <v>91.806743437184849</v>
      </c>
      <c r="J235" s="459">
        <f t="shared" si="96"/>
        <v>94.460224660367373</v>
      </c>
      <c r="K235" s="459">
        <f t="shared" si="96"/>
        <v>96.609440112821858</v>
      </c>
      <c r="L235" s="459">
        <f t="shared" si="96"/>
        <v>98.226620572936568</v>
      </c>
      <c r="M235" s="459">
        <f t="shared" si="96"/>
        <v>99.576891388977657</v>
      </c>
      <c r="N235" s="459">
        <f t="shared" si="96"/>
        <v>100.59935673807202</v>
      </c>
      <c r="O235" s="327"/>
      <c r="P235" s="327"/>
      <c r="Q235" s="327"/>
    </row>
    <row r="236" spans="1:17">
      <c r="B236" s="338" t="str">
        <f t="shared" si="87"/>
        <v>55-59</v>
      </c>
      <c r="C236" s="459">
        <f t="shared" si="89"/>
        <v>117.95685155402816</v>
      </c>
      <c r="D236" s="459">
        <f t="shared" ref="D236:N236" si="97">D202+D168+D134</f>
        <v>112.32780508536052</v>
      </c>
      <c r="E236" s="459">
        <f t="shared" si="97"/>
        <v>108.16777361831846</v>
      </c>
      <c r="F236" s="459">
        <f t="shared" si="97"/>
        <v>107.4898524649938</v>
      </c>
      <c r="G236" s="459">
        <f t="shared" si="97"/>
        <v>108.64379470544299</v>
      </c>
      <c r="H236" s="459">
        <f t="shared" si="97"/>
        <v>110.68557562067775</v>
      </c>
      <c r="I236" s="459">
        <f t="shared" si="97"/>
        <v>113.40655826684629</v>
      </c>
      <c r="J236" s="459">
        <f t="shared" si="97"/>
        <v>116.51356669240025</v>
      </c>
      <c r="K236" s="459">
        <f t="shared" si="97"/>
        <v>119.32511119116261</v>
      </c>
      <c r="L236" s="459">
        <f t="shared" si="97"/>
        <v>121.66409834377509</v>
      </c>
      <c r="M236" s="459">
        <f t="shared" si="97"/>
        <v>123.85892379346299</v>
      </c>
      <c r="N236" s="459">
        <f t="shared" si="97"/>
        <v>125.69576966717565</v>
      </c>
      <c r="O236" s="327"/>
      <c r="P236" s="327"/>
      <c r="Q236" s="327"/>
    </row>
    <row r="237" spans="1:17">
      <c r="B237" s="338" t="str">
        <f t="shared" si="87"/>
        <v>60-64</v>
      </c>
      <c r="C237" s="459">
        <f t="shared" si="89"/>
        <v>73.045175630291169</v>
      </c>
      <c r="D237" s="459">
        <f t="shared" ref="D237:N237" si="98">D203+D169+D135</f>
        <v>75.794949769875785</v>
      </c>
      <c r="E237" s="459">
        <f t="shared" si="98"/>
        <v>72.9603331143216</v>
      </c>
      <c r="F237" s="459">
        <f t="shared" si="98"/>
        <v>70.984528660829824</v>
      </c>
      <c r="G237" s="459">
        <f t="shared" si="98"/>
        <v>69.947243459555338</v>
      </c>
      <c r="H237" s="459">
        <f t="shared" si="98"/>
        <v>69.673887043574467</v>
      </c>
      <c r="I237" s="459">
        <f t="shared" si="98"/>
        <v>70.262812493981031</v>
      </c>
      <c r="J237" s="459">
        <f t="shared" si="98"/>
        <v>71.500242449545155</v>
      </c>
      <c r="K237" s="459">
        <f t="shared" si="98"/>
        <v>72.728293252762199</v>
      </c>
      <c r="L237" s="459">
        <f t="shared" si="98"/>
        <v>73.794564876871959</v>
      </c>
      <c r="M237" s="459">
        <f t="shared" si="98"/>
        <v>75.004507578155625</v>
      </c>
      <c r="N237" s="459">
        <f t="shared" si="98"/>
        <v>76.091673654838189</v>
      </c>
      <c r="O237" s="327"/>
      <c r="P237" s="327"/>
      <c r="Q237" s="327"/>
    </row>
    <row r="238" spans="1:17">
      <c r="B238" s="338" t="str">
        <f t="shared" si="87"/>
        <v>65 plus</v>
      </c>
      <c r="C238" s="459">
        <f t="shared" si="89"/>
        <v>17.450551616625827</v>
      </c>
      <c r="D238" s="459">
        <f t="shared" ref="D238:N238" si="99">D204+D170+D136</f>
        <v>23.462719628642756</v>
      </c>
      <c r="E238" s="459">
        <f t="shared" si="99"/>
        <v>25.691427978860393</v>
      </c>
      <c r="F238" s="459">
        <f t="shared" si="99"/>
        <v>26.609845415991906</v>
      </c>
      <c r="G238" s="459">
        <f t="shared" si="99"/>
        <v>26.823423686848084</v>
      </c>
      <c r="H238" s="459">
        <f t="shared" si="99"/>
        <v>26.744825091390055</v>
      </c>
      <c r="I238" s="459">
        <f t="shared" si="99"/>
        <v>26.745273190750918</v>
      </c>
      <c r="J238" s="459">
        <f t="shared" si="99"/>
        <v>26.93391488608718</v>
      </c>
      <c r="K238" s="459">
        <f t="shared" si="99"/>
        <v>27.124112896969322</v>
      </c>
      <c r="L238" s="459">
        <f t="shared" si="99"/>
        <v>27.278908097515114</v>
      </c>
      <c r="M238" s="459">
        <f t="shared" si="99"/>
        <v>27.545143365758943</v>
      </c>
      <c r="N238" s="459">
        <f t="shared" si="99"/>
        <v>27.820200305652367</v>
      </c>
      <c r="O238" s="327"/>
      <c r="P238" s="327"/>
      <c r="Q238" s="327"/>
    </row>
    <row r="239" spans="1:17">
      <c r="B239" s="338" t="str">
        <f t="shared" si="87"/>
        <v>Total</v>
      </c>
      <c r="C239" s="459">
        <f>SUM(C229:C238)</f>
        <v>920.76836956672275</v>
      </c>
      <c r="D239" s="459">
        <f t="shared" ref="D239:N239" si="100">SUM(D229:D238)</f>
        <v>967.51329285518682</v>
      </c>
      <c r="E239" s="459">
        <f t="shared" si="100"/>
        <v>970.42752445527674</v>
      </c>
      <c r="F239" s="459">
        <f t="shared" si="100"/>
        <v>980.02401921175999</v>
      </c>
      <c r="G239" s="459">
        <f t="shared" si="100"/>
        <v>990.45245059310446</v>
      </c>
      <c r="H239" s="459">
        <f t="shared" si="100"/>
        <v>999.37607074662446</v>
      </c>
      <c r="I239" s="459">
        <f t="shared" si="100"/>
        <v>1010.5907994623874</v>
      </c>
      <c r="J239" s="459">
        <f t="shared" si="100"/>
        <v>1024.4545996154318</v>
      </c>
      <c r="K239" s="459">
        <f t="shared" si="100"/>
        <v>1034.5733705312143</v>
      </c>
      <c r="L239" s="459">
        <f t="shared" si="100"/>
        <v>1040.1548168819652</v>
      </c>
      <c r="M239" s="459">
        <f t="shared" si="100"/>
        <v>1046.4698202361476</v>
      </c>
      <c r="N239" s="459">
        <f t="shared" si="100"/>
        <v>1051.1626639598496</v>
      </c>
      <c r="O239" s="327"/>
      <c r="P239" s="327"/>
      <c r="Q239" s="327"/>
    </row>
    <row r="240" spans="1:17">
      <c r="A240" s="309">
        <f>SUM(C240:N240)</f>
        <v>0</v>
      </c>
      <c r="C240" s="309">
        <f t="shared" ref="C240:N240" si="101">SUM(C229:C238)-C239</f>
        <v>0</v>
      </c>
      <c r="D240" s="309">
        <f t="shared" si="101"/>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7" ht="15.75">
      <c r="B242" s="340" t="s">
        <v>154</v>
      </c>
      <c r="C242" s="329"/>
      <c r="D242" s="329"/>
      <c r="E242" s="329"/>
      <c r="F242" s="329"/>
      <c r="G242" s="329"/>
      <c r="H242" s="339"/>
      <c r="I242" s="329"/>
      <c r="J242" s="329"/>
      <c r="K242" s="329"/>
      <c r="L242" s="329"/>
    </row>
    <row r="243" spans="2:17">
      <c r="C243" s="329"/>
      <c r="D243" s="329"/>
      <c r="E243" s="329"/>
      <c r="F243" s="329"/>
      <c r="G243" s="329"/>
      <c r="H243" s="339"/>
      <c r="I243" s="329"/>
      <c r="J243" s="329"/>
      <c r="K243" s="329"/>
      <c r="L243" s="329"/>
    </row>
    <row r="244" spans="2:17">
      <c r="B244" s="341" t="s">
        <v>49</v>
      </c>
      <c r="C244" s="329"/>
      <c r="D244" s="329"/>
      <c r="E244" s="329"/>
      <c r="F244" s="329"/>
      <c r="G244" s="329"/>
      <c r="H244" s="339"/>
      <c r="I244" s="329"/>
      <c r="J244" s="329"/>
      <c r="K244" s="329"/>
      <c r="L244" s="329"/>
    </row>
    <row r="245" spans="2:17">
      <c r="C245" s="329"/>
      <c r="D245" s="329"/>
      <c r="E245" s="329"/>
      <c r="F245" s="329"/>
      <c r="G245" s="329"/>
      <c r="H245" s="339"/>
      <c r="I245" s="329"/>
      <c r="J245" s="329"/>
      <c r="K245" s="329"/>
      <c r="L245" s="329"/>
    </row>
    <row r="246" spans="2:17">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7">
      <c r="B247" s="338" t="str">
        <f t="shared" si="102"/>
        <v>20-24</v>
      </c>
      <c r="C247" s="459">
        <f t="shared" ref="C247:C256" si="104">C77-C213</f>
        <v>113.86793720772388</v>
      </c>
      <c r="D247" s="459">
        <f t="shared" ref="D247:N247" si="105">D77-D213</f>
        <v>180.71852097589573</v>
      </c>
      <c r="E247" s="459">
        <f t="shared" si="105"/>
        <v>202.04866680789706</v>
      </c>
      <c r="F247" s="459">
        <f t="shared" si="105"/>
        <v>220.7477006221485</v>
      </c>
      <c r="G247" s="459">
        <f t="shared" si="105"/>
        <v>234.08091095190412</v>
      </c>
      <c r="H247" s="459">
        <f t="shared" si="105"/>
        <v>242.28878014344306</v>
      </c>
      <c r="I247" s="459">
        <f t="shared" si="105"/>
        <v>249.56506464395352</v>
      </c>
      <c r="J247" s="459">
        <f t="shared" si="105"/>
        <v>256.87189451946949</v>
      </c>
      <c r="K247" s="459">
        <f t="shared" si="105"/>
        <v>260.34154305682722</v>
      </c>
      <c r="L247" s="459">
        <f t="shared" si="105"/>
        <v>260.43204655816618</v>
      </c>
      <c r="M247" s="459">
        <f t="shared" si="105"/>
        <v>261.42957795301646</v>
      </c>
      <c r="N247" s="459">
        <f t="shared" si="105"/>
        <v>261.63172373726587</v>
      </c>
      <c r="O247" s="327"/>
      <c r="P247" s="327"/>
      <c r="Q247" s="327"/>
    </row>
    <row r="248" spans="2:17">
      <c r="B248" s="338" t="str">
        <f t="shared" si="102"/>
        <v>25-29</v>
      </c>
      <c r="C248" s="459">
        <f t="shared" si="104"/>
        <v>415.21198788581341</v>
      </c>
      <c r="D248" s="459">
        <f t="shared" ref="D248:N248" si="106">D78-D214</f>
        <v>454.83890502280627</v>
      </c>
      <c r="E248" s="459">
        <f t="shared" si="106"/>
        <v>462.28421218991764</v>
      </c>
      <c r="F248" s="459">
        <f t="shared" si="106"/>
        <v>476.86090236530816</v>
      </c>
      <c r="G248" s="459">
        <f t="shared" si="106"/>
        <v>491.30531324655118</v>
      </c>
      <c r="H248" s="459">
        <f t="shared" si="106"/>
        <v>502.76447384959044</v>
      </c>
      <c r="I248" s="459">
        <f t="shared" si="106"/>
        <v>514.63282131477695</v>
      </c>
      <c r="J248" s="459">
        <f t="shared" si="106"/>
        <v>527.52431934239962</v>
      </c>
      <c r="K248" s="459">
        <f t="shared" si="106"/>
        <v>535.98854820359259</v>
      </c>
      <c r="L248" s="459">
        <f t="shared" si="106"/>
        <v>539.60000245609854</v>
      </c>
      <c r="M248" s="459">
        <f t="shared" si="106"/>
        <v>543.45320527890135</v>
      </c>
      <c r="N248" s="459">
        <f t="shared" si="106"/>
        <v>545.74339794525338</v>
      </c>
      <c r="O248" s="327"/>
      <c r="P248" s="327"/>
      <c r="Q248" s="327"/>
    </row>
    <row r="249" spans="2:17">
      <c r="B249" s="338" t="str">
        <f t="shared" si="102"/>
        <v>30-34</v>
      </c>
      <c r="C249" s="459">
        <f t="shared" si="104"/>
        <v>608.00541736443597</v>
      </c>
      <c r="D249" s="459">
        <f t="shared" ref="D249:N249" si="107">D79-D215</f>
        <v>613.08833023146758</v>
      </c>
      <c r="E249" s="459">
        <f t="shared" si="107"/>
        <v>603.73225604435686</v>
      </c>
      <c r="F249" s="459">
        <f t="shared" si="107"/>
        <v>601.5580633197053</v>
      </c>
      <c r="G249" s="459">
        <f t="shared" si="107"/>
        <v>603.06224125360939</v>
      </c>
      <c r="H249" s="459">
        <f t="shared" si="107"/>
        <v>606.06668858937996</v>
      </c>
      <c r="I249" s="459">
        <f t="shared" si="107"/>
        <v>611.785685181541</v>
      </c>
      <c r="J249" s="459">
        <f t="shared" si="107"/>
        <v>620.15102643462887</v>
      </c>
      <c r="K249" s="459">
        <f t="shared" si="107"/>
        <v>627.45220311640992</v>
      </c>
      <c r="L249" s="459">
        <f t="shared" si="107"/>
        <v>632.52316242496181</v>
      </c>
      <c r="M249" s="459">
        <f t="shared" si="107"/>
        <v>637.73074942849018</v>
      </c>
      <c r="N249" s="459">
        <f t="shared" si="107"/>
        <v>641.90265871365341</v>
      </c>
      <c r="O249" s="327"/>
      <c r="P249" s="327"/>
      <c r="Q249" s="327"/>
    </row>
    <row r="250" spans="2:17">
      <c r="B250" s="338" t="str">
        <f t="shared" si="102"/>
        <v>35-39</v>
      </c>
      <c r="C250" s="459">
        <f t="shared" si="104"/>
        <v>637.10263142776171</v>
      </c>
      <c r="D250" s="459">
        <f t="shared" ref="D250:N250" si="108">D80-D216</f>
        <v>639.43931278142293</v>
      </c>
      <c r="E250" s="459">
        <f t="shared" si="108"/>
        <v>628.9889314534912</v>
      </c>
      <c r="F250" s="459">
        <f t="shared" si="108"/>
        <v>621.68137438578106</v>
      </c>
      <c r="G250" s="459">
        <f t="shared" si="108"/>
        <v>616.13039199516459</v>
      </c>
      <c r="H250" s="459">
        <f t="shared" si="108"/>
        <v>611.7915992405276</v>
      </c>
      <c r="I250" s="459">
        <f t="shared" si="108"/>
        <v>610.01097703198684</v>
      </c>
      <c r="J250" s="459">
        <f t="shared" si="108"/>
        <v>610.98649978663684</v>
      </c>
      <c r="K250" s="459">
        <f t="shared" si="108"/>
        <v>612.43256359155714</v>
      </c>
      <c r="L250" s="459">
        <f t="shared" si="108"/>
        <v>613.63196402422966</v>
      </c>
      <c r="M250" s="459">
        <f t="shared" si="108"/>
        <v>615.95967984187348</v>
      </c>
      <c r="N250" s="459">
        <f t="shared" si="108"/>
        <v>618.39094130587625</v>
      </c>
      <c r="O250" s="327"/>
      <c r="P250" s="327"/>
      <c r="Q250" s="327"/>
    </row>
    <row r="251" spans="2:17">
      <c r="B251" s="338" t="str">
        <f t="shared" si="102"/>
        <v>40-44</v>
      </c>
      <c r="C251" s="459">
        <f t="shared" si="104"/>
        <v>553.63980462697839</v>
      </c>
      <c r="D251" s="459">
        <f t="shared" ref="D251:N251" si="109">D81-D217</f>
        <v>574.45219218819398</v>
      </c>
      <c r="E251" s="459">
        <f t="shared" si="109"/>
        <v>579.43504555401262</v>
      </c>
      <c r="F251" s="459">
        <f t="shared" si="109"/>
        <v>582.99324393727409</v>
      </c>
      <c r="G251" s="459">
        <f t="shared" si="109"/>
        <v>584.49847152257792</v>
      </c>
      <c r="H251" s="459">
        <f t="shared" si="109"/>
        <v>584.16668159458027</v>
      </c>
      <c r="I251" s="459">
        <f t="shared" si="109"/>
        <v>583.8440149730236</v>
      </c>
      <c r="J251" s="459">
        <f t="shared" si="109"/>
        <v>584.29982453486286</v>
      </c>
      <c r="K251" s="459">
        <f t="shared" si="109"/>
        <v>584.13323876394657</v>
      </c>
      <c r="L251" s="459">
        <f t="shared" si="109"/>
        <v>583.26162799796236</v>
      </c>
      <c r="M251" s="459">
        <f t="shared" si="109"/>
        <v>583.25228848159361</v>
      </c>
      <c r="N251" s="459">
        <f t="shared" si="109"/>
        <v>583.46308185523321</v>
      </c>
      <c r="O251" s="327"/>
      <c r="P251" s="327"/>
      <c r="Q251" s="327"/>
    </row>
    <row r="252" spans="2:17">
      <c r="B252" s="338" t="str">
        <f t="shared" si="102"/>
        <v>45-49</v>
      </c>
      <c r="C252" s="459">
        <f t="shared" si="104"/>
        <v>393.34030625301239</v>
      </c>
      <c r="D252" s="459">
        <f t="shared" ref="D252:N252" si="110">D82-D218</f>
        <v>424.52563361735497</v>
      </c>
      <c r="E252" s="459">
        <f t="shared" si="110"/>
        <v>442.386321613419</v>
      </c>
      <c r="F252" s="459">
        <f t="shared" si="110"/>
        <v>457.77193854651932</v>
      </c>
      <c r="G252" s="459">
        <f t="shared" si="110"/>
        <v>469.82923125960588</v>
      </c>
      <c r="H252" s="459">
        <f t="shared" si="110"/>
        <v>478.57112114585544</v>
      </c>
      <c r="I252" s="459">
        <f t="shared" si="110"/>
        <v>485.47414168447619</v>
      </c>
      <c r="J252" s="459">
        <f t="shared" si="110"/>
        <v>491.27388085548455</v>
      </c>
      <c r="K252" s="459">
        <f t="shared" si="110"/>
        <v>495.04303323909812</v>
      </c>
      <c r="L252" s="459">
        <f t="shared" si="110"/>
        <v>496.95218436920362</v>
      </c>
      <c r="M252" s="459">
        <f t="shared" si="110"/>
        <v>498.51830004040437</v>
      </c>
      <c r="N252" s="459">
        <f t="shared" si="110"/>
        <v>499.48884864705349</v>
      </c>
      <c r="O252" s="327"/>
      <c r="P252" s="327"/>
      <c r="Q252" s="327"/>
    </row>
    <row r="253" spans="2:17">
      <c r="B253" s="338" t="str">
        <f t="shared" si="102"/>
        <v>50-54</v>
      </c>
      <c r="C253" s="459">
        <f t="shared" si="104"/>
        <v>295.26161565940754</v>
      </c>
      <c r="D253" s="459">
        <f t="shared" ref="D253:N253" si="111">D83-D219</f>
        <v>306.58321235042189</v>
      </c>
      <c r="E253" s="459">
        <f t="shared" si="111"/>
        <v>313.85213877366431</v>
      </c>
      <c r="F253" s="459">
        <f t="shared" si="111"/>
        <v>323.25012615669561</v>
      </c>
      <c r="G253" s="459">
        <f t="shared" si="111"/>
        <v>332.8044235127922</v>
      </c>
      <c r="H253" s="459">
        <f t="shared" si="111"/>
        <v>341.50567762346299</v>
      </c>
      <c r="I253" s="459">
        <f t="shared" si="111"/>
        <v>349.67740254037261</v>
      </c>
      <c r="J253" s="459">
        <f t="shared" si="111"/>
        <v>357.31798119969756</v>
      </c>
      <c r="K253" s="459">
        <f t="shared" si="111"/>
        <v>363.38868759146362</v>
      </c>
      <c r="L253" s="459">
        <f t="shared" si="111"/>
        <v>367.78855968641085</v>
      </c>
      <c r="M253" s="459">
        <f t="shared" si="111"/>
        <v>371.5009708380403</v>
      </c>
      <c r="N253" s="459">
        <f t="shared" si="111"/>
        <v>374.29718385007226</v>
      </c>
      <c r="O253" s="327"/>
      <c r="P253" s="327"/>
      <c r="Q253" s="327"/>
    </row>
    <row r="254" spans="2:17">
      <c r="B254" s="338" t="str">
        <f t="shared" si="102"/>
        <v>55-59</v>
      </c>
      <c r="C254" s="459">
        <f t="shared" si="104"/>
        <v>197.06221145512865</v>
      </c>
      <c r="D254" s="459">
        <f t="shared" ref="D254:N254" si="112">D84-D220</f>
        <v>176.3909045353534</v>
      </c>
      <c r="E254" s="459">
        <f t="shared" si="112"/>
        <v>162.11058256501838</v>
      </c>
      <c r="F254" s="459">
        <f t="shared" si="112"/>
        <v>155.30725099962518</v>
      </c>
      <c r="G254" s="459">
        <f t="shared" si="112"/>
        <v>152.73356230823458</v>
      </c>
      <c r="H254" s="459">
        <f t="shared" si="112"/>
        <v>152.48223812040146</v>
      </c>
      <c r="I254" s="459">
        <f t="shared" si="112"/>
        <v>153.87174465932591</v>
      </c>
      <c r="J254" s="459">
        <f t="shared" si="112"/>
        <v>156.25832065049855</v>
      </c>
      <c r="K254" s="459">
        <f t="shared" si="112"/>
        <v>158.58177654990749</v>
      </c>
      <c r="L254" s="459">
        <f t="shared" si="112"/>
        <v>160.52291853950101</v>
      </c>
      <c r="M254" s="459">
        <f t="shared" si="112"/>
        <v>162.47093966106704</v>
      </c>
      <c r="N254" s="459">
        <f t="shared" si="112"/>
        <v>164.10880197613469</v>
      </c>
      <c r="O254" s="327"/>
      <c r="P254" s="327"/>
      <c r="Q254" s="327"/>
    </row>
    <row r="255" spans="2:17">
      <c r="B255" s="338" t="str">
        <f t="shared" si="102"/>
        <v>60-64</v>
      </c>
      <c r="C255" s="459">
        <f t="shared" si="104"/>
        <v>60.350398244837038</v>
      </c>
      <c r="D255" s="459">
        <f t="shared" ref="D255:N255" si="113">D85-D221</f>
        <v>59.750075734363861</v>
      </c>
      <c r="E255" s="459">
        <f t="shared" si="113"/>
        <v>55.345300833792699</v>
      </c>
      <c r="F255" s="459">
        <f t="shared" si="113"/>
        <v>51.75609046169685</v>
      </c>
      <c r="G255" s="459">
        <f t="shared" si="113"/>
        <v>49.230894294536078</v>
      </c>
      <c r="H255" s="459">
        <f t="shared" si="113"/>
        <v>47.63661381301722</v>
      </c>
      <c r="I255" s="459">
        <f t="shared" si="113"/>
        <v>46.943370976123227</v>
      </c>
      <c r="J255" s="459">
        <f t="shared" si="113"/>
        <v>46.928240955278625</v>
      </c>
      <c r="K255" s="459">
        <f t="shared" si="113"/>
        <v>47.10771198302885</v>
      </c>
      <c r="L255" s="459">
        <f t="shared" si="113"/>
        <v>47.324627222672305</v>
      </c>
      <c r="M255" s="459">
        <f t="shared" si="113"/>
        <v>47.725704588227174</v>
      </c>
      <c r="N255" s="459">
        <f t="shared" si="113"/>
        <v>48.123374636469194</v>
      </c>
      <c r="O255" s="327"/>
      <c r="P255" s="327"/>
      <c r="Q255" s="327"/>
    </row>
    <row r="256" spans="2:17">
      <c r="B256" s="338" t="str">
        <f t="shared" si="102"/>
        <v>65 plus</v>
      </c>
      <c r="C256" s="459">
        <f t="shared" si="104"/>
        <v>12.079331248318681</v>
      </c>
      <c r="D256" s="459">
        <f t="shared" ref="D256:N256" si="114">D86-D222</f>
        <v>15.33959577176741</v>
      </c>
      <c r="E256" s="459">
        <f t="shared" si="114"/>
        <v>16.500685671892924</v>
      </c>
      <c r="F256" s="459">
        <f t="shared" si="114"/>
        <v>16.741702578899407</v>
      </c>
      <c r="G256" s="459">
        <f t="shared" si="114"/>
        <v>16.494309710768977</v>
      </c>
      <c r="H256" s="459">
        <f t="shared" si="114"/>
        <v>16.06587802032189</v>
      </c>
      <c r="I256" s="459">
        <f t="shared" si="114"/>
        <v>15.697131485967972</v>
      </c>
      <c r="J256" s="459">
        <f t="shared" si="114"/>
        <v>15.473092797973832</v>
      </c>
      <c r="K256" s="459">
        <f t="shared" si="114"/>
        <v>15.31606514358729</v>
      </c>
      <c r="L256" s="459">
        <f t="shared" si="114"/>
        <v>15.200038167818022</v>
      </c>
      <c r="M256" s="459">
        <f t="shared" si="114"/>
        <v>15.181256940745806</v>
      </c>
      <c r="N256" s="459">
        <f t="shared" si="114"/>
        <v>15.203925265839917</v>
      </c>
      <c r="O256" s="327"/>
      <c r="P256" s="327"/>
      <c r="Q256" s="327"/>
    </row>
    <row r="257" spans="1:17">
      <c r="B257" s="338" t="str">
        <f t="shared" si="102"/>
        <v>Total</v>
      </c>
      <c r="C257" s="459">
        <f>SUM(C247:C256)</f>
        <v>3285.921641373418</v>
      </c>
      <c r="D257" s="459">
        <f t="shared" ref="D257:N257" si="115">SUM(D247:D256)</f>
        <v>3445.1266832090482</v>
      </c>
      <c r="E257" s="459">
        <f t="shared" si="115"/>
        <v>3466.6841415074628</v>
      </c>
      <c r="F257" s="459">
        <f t="shared" si="115"/>
        <v>3508.6683933736531</v>
      </c>
      <c r="G257" s="459">
        <f t="shared" si="115"/>
        <v>3550.1697500557448</v>
      </c>
      <c r="H257" s="459">
        <f t="shared" si="115"/>
        <v>3583.3397521405805</v>
      </c>
      <c r="I257" s="459">
        <f t="shared" si="115"/>
        <v>3621.502354491548</v>
      </c>
      <c r="J257" s="459">
        <f t="shared" si="115"/>
        <v>3667.0850810769311</v>
      </c>
      <c r="K257" s="459">
        <f t="shared" si="115"/>
        <v>3699.7853712394181</v>
      </c>
      <c r="L257" s="459">
        <f t="shared" si="115"/>
        <v>3717.2371314470247</v>
      </c>
      <c r="M257" s="459">
        <f t="shared" si="115"/>
        <v>3737.2226730523594</v>
      </c>
      <c r="N257" s="459">
        <f t="shared" si="115"/>
        <v>3752.3539379328517</v>
      </c>
      <c r="O257" s="327"/>
      <c r="P257" s="327"/>
      <c r="Q257" s="327"/>
    </row>
    <row r="258" spans="1:17">
      <c r="A258" s="309">
        <f>SUM(C258:N258)</f>
        <v>0</v>
      </c>
      <c r="C258" s="309">
        <f t="shared" ref="C258:N258" si="116">SUM(C247:C256)-C257</f>
        <v>0</v>
      </c>
      <c r="D258" s="309">
        <f t="shared" si="116"/>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7">
      <c r="B260" s="341" t="s">
        <v>50</v>
      </c>
      <c r="C260" s="329"/>
      <c r="D260" s="329"/>
      <c r="E260" s="329"/>
      <c r="F260" s="329"/>
      <c r="G260" s="329"/>
      <c r="H260" s="339"/>
      <c r="I260" s="329"/>
      <c r="J260" s="329"/>
      <c r="K260" s="329"/>
      <c r="L260" s="329"/>
    </row>
    <row r="261" spans="1:17">
      <c r="C261" s="329"/>
      <c r="D261" s="329"/>
      <c r="E261" s="329"/>
      <c r="F261" s="329"/>
      <c r="G261" s="329"/>
      <c r="H261" s="339"/>
      <c r="I261" s="329"/>
      <c r="J261" s="329"/>
      <c r="K261" s="329"/>
      <c r="L261" s="329"/>
    </row>
    <row r="262" spans="1:17">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7">
      <c r="B263" s="338" t="str">
        <f t="shared" si="117"/>
        <v>20-24</v>
      </c>
      <c r="C263" s="459">
        <f t="shared" ref="C263:C272" si="119">C93-C229</f>
        <v>289.71653056909543</v>
      </c>
      <c r="D263" s="459">
        <f t="shared" ref="D263:N263" si="120">D93-D229</f>
        <v>444.63453968073622</v>
      </c>
      <c r="E263" s="459">
        <f t="shared" si="120"/>
        <v>495.37747453143032</v>
      </c>
      <c r="F263" s="459">
        <f t="shared" si="120"/>
        <v>540.50176576235992</v>
      </c>
      <c r="G263" s="459">
        <f t="shared" si="120"/>
        <v>573.30308493414577</v>
      </c>
      <c r="H263" s="459">
        <f t="shared" si="120"/>
        <v>594.0701192571164</v>
      </c>
      <c r="I263" s="459">
        <f t="shared" si="120"/>
        <v>612.49442264802451</v>
      </c>
      <c r="J263" s="459">
        <f t="shared" si="120"/>
        <v>630.85478002656953</v>
      </c>
      <c r="K263" s="459">
        <f t="shared" si="120"/>
        <v>640.08278515451548</v>
      </c>
      <c r="L263" s="459">
        <f t="shared" si="120"/>
        <v>641.15438108366459</v>
      </c>
      <c r="M263" s="459">
        <f t="shared" si="120"/>
        <v>644.10877696625914</v>
      </c>
      <c r="N263" s="459">
        <f t="shared" si="120"/>
        <v>645.04292373155761</v>
      </c>
      <c r="O263" s="367"/>
      <c r="P263" s="367"/>
      <c r="Q263" s="367"/>
    </row>
    <row r="264" spans="1:17">
      <c r="B264" s="338" t="str">
        <f t="shared" si="117"/>
        <v>25-29</v>
      </c>
      <c r="C264" s="459">
        <f t="shared" si="119"/>
        <v>1206.8275265687575</v>
      </c>
      <c r="D264" s="459">
        <f t="shared" ref="D264:N264" si="121">D94-D230</f>
        <v>1233.8389658303904</v>
      </c>
      <c r="E264" s="459">
        <f t="shared" si="121"/>
        <v>1205.0161579743756</v>
      </c>
      <c r="F264" s="459">
        <f t="shared" si="121"/>
        <v>1205.9965282348101</v>
      </c>
      <c r="G264" s="459">
        <f t="shared" si="121"/>
        <v>1216.321454171471</v>
      </c>
      <c r="H264" s="459">
        <f t="shared" si="121"/>
        <v>1226.6765025497589</v>
      </c>
      <c r="I264" s="459">
        <f t="shared" si="121"/>
        <v>1242.8949119612869</v>
      </c>
      <c r="J264" s="459">
        <f t="shared" si="121"/>
        <v>1264.9670964550505</v>
      </c>
      <c r="K264" s="459">
        <f t="shared" si="121"/>
        <v>1279.2935918023575</v>
      </c>
      <c r="L264" s="459">
        <f t="shared" si="121"/>
        <v>1284.1292693271646</v>
      </c>
      <c r="M264" s="459">
        <f t="shared" si="121"/>
        <v>1290.6788322683208</v>
      </c>
      <c r="N264" s="459">
        <f t="shared" si="121"/>
        <v>1294.4095249325094</v>
      </c>
      <c r="O264" s="367"/>
      <c r="P264" s="367"/>
      <c r="Q264" s="367"/>
    </row>
    <row r="265" spans="1:17">
      <c r="B265" s="338" t="str">
        <f t="shared" si="117"/>
        <v>30-34</v>
      </c>
      <c r="C265" s="459">
        <f t="shared" si="119"/>
        <v>1492.0241217646771</v>
      </c>
      <c r="D265" s="459">
        <f t="shared" ref="D265:N265" si="122">D95-D231</f>
        <v>1494.0326271125675</v>
      </c>
      <c r="E265" s="459">
        <f t="shared" si="122"/>
        <v>1454.1883106244413</v>
      </c>
      <c r="F265" s="459">
        <f t="shared" si="122"/>
        <v>1427.6922175763793</v>
      </c>
      <c r="G265" s="459">
        <f t="shared" si="122"/>
        <v>1409.5864888351391</v>
      </c>
      <c r="H265" s="459">
        <f t="shared" si="122"/>
        <v>1396.5486608845324</v>
      </c>
      <c r="I265" s="459">
        <f t="shared" si="122"/>
        <v>1392.0583350432184</v>
      </c>
      <c r="J265" s="459">
        <f t="shared" si="122"/>
        <v>1396.0917607292761</v>
      </c>
      <c r="K265" s="459">
        <f t="shared" si="122"/>
        <v>1400.1116526167082</v>
      </c>
      <c r="L265" s="459">
        <f t="shared" si="122"/>
        <v>1401.3153496356169</v>
      </c>
      <c r="M265" s="459">
        <f t="shared" si="122"/>
        <v>1404.8250450246803</v>
      </c>
      <c r="N265" s="459">
        <f t="shared" si="122"/>
        <v>1407.6506979788148</v>
      </c>
      <c r="O265" s="367"/>
      <c r="P265" s="367"/>
      <c r="Q265" s="367"/>
    </row>
    <row r="266" spans="1:17">
      <c r="B266" s="338" t="str">
        <f t="shared" si="117"/>
        <v>35-39</v>
      </c>
      <c r="C266" s="459">
        <f t="shared" si="119"/>
        <v>1463.4027358157775</v>
      </c>
      <c r="D266" s="459">
        <f t="shared" ref="D266:N266" si="123">D96-D232</f>
        <v>1479.3328802772605</v>
      </c>
      <c r="E266" s="459">
        <f t="shared" si="123"/>
        <v>1461.3298527367328</v>
      </c>
      <c r="F266" s="459">
        <f t="shared" si="123"/>
        <v>1445.6932029914765</v>
      </c>
      <c r="G266" s="459">
        <f t="shared" si="123"/>
        <v>1429.8953544725496</v>
      </c>
      <c r="H266" s="459">
        <f t="shared" si="123"/>
        <v>1413.7565072789466</v>
      </c>
      <c r="I266" s="459">
        <f t="shared" si="123"/>
        <v>1401.4720307435077</v>
      </c>
      <c r="J266" s="459">
        <f t="shared" si="123"/>
        <v>1394.4251749989476</v>
      </c>
      <c r="K266" s="459">
        <f t="shared" si="123"/>
        <v>1388.0785066784097</v>
      </c>
      <c r="L266" s="459">
        <f t="shared" si="123"/>
        <v>1381.3317028306062</v>
      </c>
      <c r="M266" s="459">
        <f t="shared" si="123"/>
        <v>1377.7276205517214</v>
      </c>
      <c r="N266" s="459">
        <f t="shared" si="123"/>
        <v>1375.1260795079916</v>
      </c>
      <c r="O266" s="367"/>
      <c r="P266" s="367"/>
      <c r="Q266" s="367"/>
    </row>
    <row r="267" spans="1:17">
      <c r="B267" s="338" t="str">
        <f t="shared" si="117"/>
        <v>40-44</v>
      </c>
      <c r="C267" s="459">
        <f t="shared" si="119"/>
        <v>1200.0775460706461</v>
      </c>
      <c r="D267" s="459">
        <f t="shared" ref="D267:N267" si="124">D97-D233</f>
        <v>1259.0675854667409</v>
      </c>
      <c r="E267" s="459">
        <f t="shared" si="124"/>
        <v>1280.5335303036645</v>
      </c>
      <c r="F267" s="459">
        <f t="shared" si="124"/>
        <v>1297.1699734065544</v>
      </c>
      <c r="G267" s="459">
        <f t="shared" si="124"/>
        <v>1307.0614630419479</v>
      </c>
      <c r="H267" s="459">
        <f t="shared" si="124"/>
        <v>1310.4828738018068</v>
      </c>
      <c r="I267" s="459">
        <f t="shared" si="124"/>
        <v>1311.7003602611887</v>
      </c>
      <c r="J267" s="459">
        <f t="shared" si="124"/>
        <v>1312.6844899344212</v>
      </c>
      <c r="K267" s="459">
        <f t="shared" si="124"/>
        <v>1310.5389522197968</v>
      </c>
      <c r="L267" s="459">
        <f t="shared" si="124"/>
        <v>1305.4568347391212</v>
      </c>
      <c r="M267" s="459">
        <f t="shared" si="124"/>
        <v>1301.4163895791896</v>
      </c>
      <c r="N267" s="459">
        <f t="shared" si="124"/>
        <v>1297.2816025683173</v>
      </c>
      <c r="O267" s="367"/>
      <c r="P267" s="367"/>
      <c r="Q267" s="367"/>
    </row>
    <row r="268" spans="1:17">
      <c r="B268" s="338" t="str">
        <f t="shared" si="117"/>
        <v>45-49</v>
      </c>
      <c r="C268" s="459">
        <f t="shared" si="119"/>
        <v>845.46072265262706</v>
      </c>
      <c r="D268" s="459">
        <f t="shared" ref="D268:N268" si="125">D98-D234</f>
        <v>920.88691823094223</v>
      </c>
      <c r="E268" s="459">
        <f t="shared" si="125"/>
        <v>966.68112052815479</v>
      </c>
      <c r="F268" s="459">
        <f t="shared" si="125"/>
        <v>1007.3826634238446</v>
      </c>
      <c r="G268" s="459">
        <f t="shared" si="125"/>
        <v>1040.5683732401662</v>
      </c>
      <c r="H268" s="459">
        <f t="shared" si="125"/>
        <v>1065.8504764190498</v>
      </c>
      <c r="I268" s="459">
        <f t="shared" si="125"/>
        <v>1086.2920776174587</v>
      </c>
      <c r="J268" s="459">
        <f t="shared" si="125"/>
        <v>1103.3424463332744</v>
      </c>
      <c r="K268" s="459">
        <f t="shared" si="125"/>
        <v>1114.7155843485266</v>
      </c>
      <c r="L268" s="459">
        <f t="shared" si="125"/>
        <v>1120.759122464277</v>
      </c>
      <c r="M268" s="459">
        <f t="shared" si="125"/>
        <v>1125.0119968153303</v>
      </c>
      <c r="N268" s="459">
        <f t="shared" si="125"/>
        <v>1126.9865542716698</v>
      </c>
      <c r="O268" s="367"/>
      <c r="P268" s="367"/>
      <c r="Q268" s="367"/>
    </row>
    <row r="269" spans="1:17">
      <c r="B269" s="338" t="str">
        <f t="shared" si="117"/>
        <v>50-54</v>
      </c>
      <c r="C269" s="459">
        <f t="shared" si="119"/>
        <v>604.01990554853523</v>
      </c>
      <c r="D269" s="459">
        <f t="shared" ref="D269:N269" si="126">D99-D235</f>
        <v>645.57309384530856</v>
      </c>
      <c r="E269" s="459">
        <f t="shared" si="126"/>
        <v>674.13553573203899</v>
      </c>
      <c r="F269" s="459">
        <f t="shared" si="126"/>
        <v>705.22956059835542</v>
      </c>
      <c r="G269" s="459">
        <f t="shared" si="126"/>
        <v>735.09232681233152</v>
      </c>
      <c r="H269" s="459">
        <f t="shared" si="126"/>
        <v>761.86301060435937</v>
      </c>
      <c r="I269" s="459">
        <f t="shared" si="126"/>
        <v>786.55283817560007</v>
      </c>
      <c r="J269" s="459">
        <f t="shared" si="126"/>
        <v>809.28649704422014</v>
      </c>
      <c r="K269" s="459">
        <f t="shared" si="126"/>
        <v>827.69986681084913</v>
      </c>
      <c r="L269" s="459">
        <f t="shared" si="126"/>
        <v>841.55503510374979</v>
      </c>
      <c r="M269" s="459">
        <f t="shared" si="126"/>
        <v>853.12345919657776</v>
      </c>
      <c r="N269" s="459">
        <f t="shared" si="126"/>
        <v>861.88341507952043</v>
      </c>
      <c r="O269" s="367"/>
      <c r="P269" s="367"/>
      <c r="Q269" s="367"/>
    </row>
    <row r="270" spans="1:17">
      <c r="B270" s="338" t="str">
        <f t="shared" si="117"/>
        <v>55-59</v>
      </c>
      <c r="C270" s="459">
        <f t="shared" si="119"/>
        <v>368.25968648088241</v>
      </c>
      <c r="D270" s="459">
        <f t="shared" ref="D270:N270" si="127">D100-D236</f>
        <v>350.68587995393904</v>
      </c>
      <c r="E270" s="459">
        <f t="shared" si="127"/>
        <v>337.69831828524013</v>
      </c>
      <c r="F270" s="459">
        <f t="shared" si="127"/>
        <v>335.5818576634698</v>
      </c>
      <c r="G270" s="459">
        <f t="shared" si="127"/>
        <v>339.18444964593067</v>
      </c>
      <c r="H270" s="459">
        <f t="shared" si="127"/>
        <v>345.55886189753784</v>
      </c>
      <c r="I270" s="459">
        <f t="shared" si="127"/>
        <v>354.05373271679656</v>
      </c>
      <c r="J270" s="459">
        <f t="shared" si="127"/>
        <v>363.75377076981192</v>
      </c>
      <c r="K270" s="459">
        <f t="shared" si="127"/>
        <v>372.53137446133672</v>
      </c>
      <c r="L270" s="459">
        <f t="shared" si="127"/>
        <v>379.83366054439102</v>
      </c>
      <c r="M270" s="459">
        <f t="shared" si="127"/>
        <v>386.68587575133995</v>
      </c>
      <c r="N270" s="459">
        <f t="shared" si="127"/>
        <v>392.42048359018418</v>
      </c>
      <c r="O270" s="367"/>
      <c r="P270" s="367"/>
      <c r="Q270" s="367"/>
    </row>
    <row r="271" spans="1:17">
      <c r="B271" s="338" t="str">
        <f t="shared" si="117"/>
        <v>60-64</v>
      </c>
      <c r="C271" s="459">
        <f t="shared" si="119"/>
        <v>99.33082992966888</v>
      </c>
      <c r="D271" s="459">
        <f t="shared" ref="D271:N271" si="128">D101-D237</f>
        <v>103.07012338809702</v>
      </c>
      <c r="E271" s="459">
        <f t="shared" si="128"/>
        <v>99.215456430298673</v>
      </c>
      <c r="F271" s="459">
        <f t="shared" si="128"/>
        <v>96.528649335229034</v>
      </c>
      <c r="G271" s="459">
        <f t="shared" si="128"/>
        <v>95.118092114614612</v>
      </c>
      <c r="H271" s="459">
        <f t="shared" si="128"/>
        <v>94.746367090591008</v>
      </c>
      <c r="I271" s="459">
        <f t="shared" si="128"/>
        <v>95.547220168851325</v>
      </c>
      <c r="J271" s="459">
        <f t="shared" si="128"/>
        <v>97.229945186696924</v>
      </c>
      <c r="K271" s="459">
        <f t="shared" si="128"/>
        <v>98.899915919558879</v>
      </c>
      <c r="L271" s="459">
        <f t="shared" si="128"/>
        <v>100.34989046530225</v>
      </c>
      <c r="M271" s="459">
        <f t="shared" si="128"/>
        <v>101.99523680951739</v>
      </c>
      <c r="N271" s="459">
        <f t="shared" si="128"/>
        <v>103.47362477609349</v>
      </c>
      <c r="O271" s="367"/>
      <c r="P271" s="367"/>
      <c r="Q271" s="367"/>
    </row>
    <row r="272" spans="1:17">
      <c r="B272" s="338" t="str">
        <f t="shared" si="117"/>
        <v>65 plus</v>
      </c>
      <c r="C272" s="459">
        <f t="shared" si="119"/>
        <v>17.438486462586621</v>
      </c>
      <c r="D272" s="459">
        <f t="shared" ref="D272:N272" si="129">D102-D238</f>
        <v>23.446497715850708</v>
      </c>
      <c r="E272" s="459">
        <f t="shared" si="129"/>
        <v>25.673665157210873</v>
      </c>
      <c r="F272" s="459">
        <f t="shared" si="129"/>
        <v>26.591447608807556</v>
      </c>
      <c r="G272" s="459">
        <f t="shared" si="129"/>
        <v>26.804878213573065</v>
      </c>
      <c r="H272" s="459">
        <f t="shared" si="129"/>
        <v>26.726333960475216</v>
      </c>
      <c r="I272" s="459">
        <f t="shared" si="129"/>
        <v>26.726781750024227</v>
      </c>
      <c r="J272" s="459">
        <f t="shared" si="129"/>
        <v>26.915293020193289</v>
      </c>
      <c r="K272" s="459">
        <f t="shared" si="129"/>
        <v>27.105359529885689</v>
      </c>
      <c r="L272" s="459">
        <f t="shared" si="129"/>
        <v>27.260047706425581</v>
      </c>
      <c r="M272" s="459">
        <f t="shared" si="129"/>
        <v>27.526098902005547</v>
      </c>
      <c r="N272" s="459">
        <f t="shared" si="129"/>
        <v>27.800965670010864</v>
      </c>
      <c r="O272" s="367"/>
      <c r="P272" s="367"/>
      <c r="Q272" s="367"/>
    </row>
    <row r="273" spans="1:17">
      <c r="B273" s="338" t="str">
        <f t="shared" si="117"/>
        <v>Total</v>
      </c>
      <c r="C273" s="459">
        <f>SUM(C263:C272)</f>
        <v>7586.5580918632531</v>
      </c>
      <c r="D273" s="459">
        <f t="shared" ref="D273:N273" si="130">SUM(D263:D272)</f>
        <v>7954.5691115018335</v>
      </c>
      <c r="E273" s="459">
        <f t="shared" si="130"/>
        <v>7999.8494223035877</v>
      </c>
      <c r="F273" s="459">
        <f t="shared" si="130"/>
        <v>8088.3678666012866</v>
      </c>
      <c r="G273" s="459">
        <f t="shared" si="130"/>
        <v>8172.9359654818691</v>
      </c>
      <c r="H273" s="459">
        <f t="shared" si="130"/>
        <v>8236.2797137441758</v>
      </c>
      <c r="I273" s="459">
        <f t="shared" si="130"/>
        <v>8309.7927110859582</v>
      </c>
      <c r="J273" s="459">
        <f t="shared" si="130"/>
        <v>8399.5512544984613</v>
      </c>
      <c r="K273" s="459">
        <f t="shared" si="130"/>
        <v>8459.0575895419443</v>
      </c>
      <c r="L273" s="459">
        <f t="shared" si="130"/>
        <v>8483.1452939003211</v>
      </c>
      <c r="M273" s="459">
        <f t="shared" si="130"/>
        <v>8513.0993318649435</v>
      </c>
      <c r="N273" s="459">
        <f t="shared" si="130"/>
        <v>8532.0758721066686</v>
      </c>
      <c r="O273" s="367"/>
      <c r="P273" s="367"/>
      <c r="Q273" s="367"/>
    </row>
    <row r="274" spans="1:17">
      <c r="A274" s="309">
        <f>SUM(C274:N274)</f>
        <v>0</v>
      </c>
      <c r="C274" s="309">
        <f t="shared" ref="C274:N274" si="131">SUM(C263:C272)-C273</f>
        <v>0</v>
      </c>
      <c r="D274" s="309">
        <f t="shared" si="131"/>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7" ht="15.75">
      <c r="B275" s="340"/>
      <c r="H275" s="327"/>
    </row>
    <row r="276" spans="1:17" ht="15.75">
      <c r="B276" s="340" t="s">
        <v>1621</v>
      </c>
      <c r="H276" s="327"/>
    </row>
    <row r="277" spans="1:17" ht="15.75">
      <c r="B277" s="340"/>
      <c r="H277" s="327"/>
    </row>
    <row r="278" spans="1:17"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7">
      <c r="B279" s="326" t="s">
        <v>181</v>
      </c>
      <c r="C279" s="459">
        <f>C223+C239</f>
        <v>1322.9866398082563</v>
      </c>
      <c r="D279" s="459">
        <f t="shared" ref="D279:N279" si="133">D223+D239</f>
        <v>1387.2916181410346</v>
      </c>
      <c r="E279" s="459">
        <f t="shared" si="133"/>
        <v>1389.2049495935337</v>
      </c>
      <c r="F279" s="459">
        <f t="shared" si="133"/>
        <v>1401.2797904940603</v>
      </c>
      <c r="G279" s="459">
        <f t="shared" si="133"/>
        <v>1414.9995301965653</v>
      </c>
      <c r="H279" s="459">
        <f t="shared" si="133"/>
        <v>1426.9218290267952</v>
      </c>
      <c r="I279" s="459">
        <f t="shared" si="133"/>
        <v>1442.4144494850823</v>
      </c>
      <c r="J279" s="459">
        <f t="shared" si="133"/>
        <v>1461.9112839987133</v>
      </c>
      <c r="K279" s="459">
        <f t="shared" si="133"/>
        <v>1476.1841400079873</v>
      </c>
      <c r="L279" s="459">
        <f t="shared" si="133"/>
        <v>1484.0789467403513</v>
      </c>
      <c r="M279" s="459">
        <f t="shared" si="133"/>
        <v>1493.1410845314413</v>
      </c>
      <c r="N279" s="459">
        <f t="shared" si="133"/>
        <v>1499.9636494630213</v>
      </c>
    </row>
    <row r="280" spans="1:17">
      <c r="B280" s="326" t="s">
        <v>182</v>
      </c>
      <c r="C280" s="459">
        <f>C155+C171</f>
        <v>311.06535708893114</v>
      </c>
      <c r="D280" s="459">
        <f t="shared" ref="D280:N280" si="134">D155+D171</f>
        <v>312.65466347704432</v>
      </c>
      <c r="E280" s="459">
        <f t="shared" si="134"/>
        <v>303.90115133122811</v>
      </c>
      <c r="F280" s="459">
        <f t="shared" si="134"/>
        <v>299.56997885018853</v>
      </c>
      <c r="G280" s="459">
        <f t="shared" si="134"/>
        <v>298.3739685012859</v>
      </c>
      <c r="H280" s="459">
        <f t="shared" si="134"/>
        <v>299.30715498562529</v>
      </c>
      <c r="I280" s="459">
        <f t="shared" si="134"/>
        <v>302.66165473915225</v>
      </c>
      <c r="J280" s="459">
        <f t="shared" si="134"/>
        <v>307.85547327745076</v>
      </c>
      <c r="K280" s="459">
        <f t="shared" si="134"/>
        <v>312.78452285872515</v>
      </c>
      <c r="L280" s="459">
        <f t="shared" si="134"/>
        <v>316.9112877120192</v>
      </c>
      <c r="M280" s="459">
        <f t="shared" si="134"/>
        <v>321.27023395741958</v>
      </c>
      <c r="N280" s="459">
        <f t="shared" si="134"/>
        <v>325.07030626902042</v>
      </c>
    </row>
    <row r="281" spans="1:17">
      <c r="B281" s="326" t="s">
        <v>517</v>
      </c>
      <c r="C281" s="459">
        <f>C189+C205</f>
        <v>6.0280148106482692</v>
      </c>
      <c r="D281" s="459">
        <f t="shared" ref="D281:N281" si="135">D189+D205</f>
        <v>6.3490033287210768</v>
      </c>
      <c r="E281" s="459">
        <f t="shared" si="135"/>
        <v>6.4068943528012205</v>
      </c>
      <c r="F281" s="459">
        <f t="shared" si="135"/>
        <v>6.4593828706567082</v>
      </c>
      <c r="G281" s="459">
        <f t="shared" si="135"/>
        <v>6.5047634780000561</v>
      </c>
      <c r="H281" s="459">
        <f t="shared" si="135"/>
        <v>6.5449996017232657</v>
      </c>
      <c r="I281" s="459">
        <f t="shared" si="135"/>
        <v>6.602053598711537</v>
      </c>
      <c r="J281" s="459">
        <f t="shared" si="135"/>
        <v>6.6782916993128794</v>
      </c>
      <c r="K281" s="459">
        <f t="shared" si="135"/>
        <v>6.7431874530134976</v>
      </c>
      <c r="L281" s="459">
        <f t="shared" si="135"/>
        <v>6.7906632546918644</v>
      </c>
      <c r="M281" s="459">
        <f t="shared" si="135"/>
        <v>6.8426580917360305</v>
      </c>
      <c r="N281" s="459">
        <f t="shared" si="135"/>
        <v>6.8871316268569629</v>
      </c>
    </row>
    <row r="282" spans="1:17">
      <c r="B282" s="326" t="s">
        <v>183</v>
      </c>
      <c r="C282" s="459">
        <f>C121+C137</f>
        <v>1005.893267908677</v>
      </c>
      <c r="D282" s="459">
        <f t="shared" ref="D282:N282" si="136">D121+D137</f>
        <v>1068.2879513352696</v>
      </c>
      <c r="E282" s="459">
        <f t="shared" si="136"/>
        <v>1078.8969039095041</v>
      </c>
      <c r="F282" s="459">
        <f t="shared" si="136"/>
        <v>1095.2504287732152</v>
      </c>
      <c r="G282" s="459">
        <f t="shared" si="136"/>
        <v>1110.1207982172791</v>
      </c>
      <c r="H282" s="459">
        <f t="shared" si="136"/>
        <v>1121.0696744394463</v>
      </c>
      <c r="I282" s="459">
        <f t="shared" si="136"/>
        <v>1133.1507411472187</v>
      </c>
      <c r="J282" s="459">
        <f t="shared" si="136"/>
        <v>1147.3775190219499</v>
      </c>
      <c r="K282" s="459">
        <f t="shared" si="136"/>
        <v>1156.6564296962486</v>
      </c>
      <c r="L282" s="459">
        <f t="shared" si="136"/>
        <v>1160.3769957736401</v>
      </c>
      <c r="M282" s="459">
        <f t="shared" si="136"/>
        <v>1165.0281924822852</v>
      </c>
      <c r="N282" s="459">
        <f t="shared" si="136"/>
        <v>1168.0062115671435</v>
      </c>
    </row>
    <row r="283" spans="1:17"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7" ht="15.75">
      <c r="B284" s="340"/>
      <c r="H284" s="327"/>
    </row>
    <row r="285" spans="1:17" ht="15.75">
      <c r="B285" s="340" t="s">
        <v>1622</v>
      </c>
      <c r="F285" s="364"/>
      <c r="G285" s="364" t="s">
        <v>265</v>
      </c>
      <c r="H285" s="327"/>
    </row>
    <row r="286" spans="1:17" ht="15.75">
      <c r="B286" s="340"/>
      <c r="H286" s="327"/>
    </row>
    <row r="287" spans="1:17" ht="15.75">
      <c r="B287" s="340" t="s">
        <v>199</v>
      </c>
      <c r="H287" s="327"/>
    </row>
    <row r="288" spans="1:17" ht="15.75">
      <c r="B288" s="340"/>
      <c r="H288" s="327"/>
    </row>
    <row r="289" spans="2:14"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4"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4" ht="15.75">
      <c r="B291" s="340"/>
      <c r="H291" s="327"/>
    </row>
    <row r="292" spans="2:14" ht="15.75">
      <c r="B292" s="340" t="s">
        <v>263</v>
      </c>
      <c r="H292" s="327"/>
    </row>
    <row r="293" spans="2:14"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4">
      <c r="B294" s="363" t="s">
        <v>266</v>
      </c>
      <c r="C294" s="459">
        <f>C36-C15+C279-C290</f>
        <v>1914.5076796152448</v>
      </c>
      <c r="D294" s="459">
        <f t="shared" ref="D294:N294" si="141">D36-D15+D279-D290</f>
        <v>1456.0427186937031</v>
      </c>
      <c r="E294" s="459">
        <f t="shared" si="141"/>
        <v>1531.7824866579488</v>
      </c>
      <c r="F294" s="459">
        <f t="shared" si="141"/>
        <v>1541.0689857592392</v>
      </c>
      <c r="G294" s="459">
        <f t="shared" si="141"/>
        <v>1523.4355793739348</v>
      </c>
      <c r="H294" s="459">
        <f t="shared" si="141"/>
        <v>1554.0900491778327</v>
      </c>
      <c r="I294" s="459">
        <f t="shared" si="141"/>
        <v>1597.2525539966007</v>
      </c>
      <c r="J294" s="459">
        <f t="shared" si="141"/>
        <v>1568.3907652139583</v>
      </c>
      <c r="K294" s="459">
        <f t="shared" si="141"/>
        <v>1525.6184113063307</v>
      </c>
      <c r="L294" s="459">
        <f t="shared" si="141"/>
        <v>1543.0806641013999</v>
      </c>
      <c r="M294" s="459">
        <f t="shared" si="141"/>
        <v>1534.0714545852397</v>
      </c>
      <c r="N294" s="459">
        <f t="shared" si="141"/>
        <v>1479.2817977451632</v>
      </c>
    </row>
    <row r="295" spans="2:14" ht="12.75" customHeight="1">
      <c r="B295" s="1246" t="s">
        <v>264</v>
      </c>
      <c r="C295" s="1247"/>
      <c r="D295" s="1247"/>
      <c r="E295" s="1247"/>
      <c r="F295" s="1247"/>
      <c r="G295" s="1247"/>
      <c r="H295" s="1247"/>
      <c r="I295" s="1247"/>
      <c r="J295" s="1247"/>
      <c r="K295" s="1247"/>
      <c r="L295" s="1247"/>
      <c r="M295" s="1247"/>
      <c r="N295" s="1247"/>
    </row>
    <row r="296" spans="2:14">
      <c r="B296" s="326" t="s">
        <v>7</v>
      </c>
      <c r="C296" s="282">
        <f>IF(C294&lt;0,0,C294)</f>
        <v>1914.5076796152448</v>
      </c>
      <c r="D296" s="282">
        <f t="shared" ref="D296:N296" si="142">IF(D294&lt;0,0,D294)</f>
        <v>1456.0427186937031</v>
      </c>
      <c r="E296" s="282">
        <f t="shared" si="142"/>
        <v>1531.7824866579488</v>
      </c>
      <c r="F296" s="282">
        <f t="shared" si="142"/>
        <v>1541.0689857592392</v>
      </c>
      <c r="G296" s="282">
        <f t="shared" si="142"/>
        <v>1523.4355793739348</v>
      </c>
      <c r="H296" s="282">
        <f t="shared" si="142"/>
        <v>1554.0900491778327</v>
      </c>
      <c r="I296" s="282">
        <f t="shared" si="142"/>
        <v>1597.2525539966007</v>
      </c>
      <c r="J296" s="282">
        <f t="shared" si="142"/>
        <v>1568.3907652139583</v>
      </c>
      <c r="K296" s="282">
        <f t="shared" si="142"/>
        <v>1525.6184113063307</v>
      </c>
      <c r="L296" s="282">
        <f t="shared" si="142"/>
        <v>1543.0806641013999</v>
      </c>
      <c r="M296" s="282">
        <f t="shared" si="142"/>
        <v>1534.0714545852397</v>
      </c>
      <c r="N296" s="282">
        <f t="shared" si="142"/>
        <v>1479.2817977451632</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4">
      <c r="B303" s="338" t="str">
        <f t="shared" si="143"/>
        <v>20-24</v>
      </c>
      <c r="C303" s="459">
        <f>C$296*Entrant_age_breakdowns!$K76*$G$31</f>
        <v>149.40143059161588</v>
      </c>
      <c r="D303" s="459">
        <f>D$296*Entrant_age_breakdowns!$K76*$G$31</f>
        <v>113.62444115087727</v>
      </c>
      <c r="E303" s="459">
        <f>E$296*Entrant_age_breakdowns!$K76*$G$31</f>
        <v>119.5349056567232</v>
      </c>
      <c r="F303" s="459">
        <f>F$296*Entrant_age_breakdowns!$K76*$G$31</f>
        <v>120.25959131126149</v>
      </c>
      <c r="G303" s="459">
        <f>G$296*Entrant_age_breakdowns!$K76*$G$31</f>
        <v>118.88354243550181</v>
      </c>
      <c r="H303" s="459">
        <f>H$296*Entrant_age_breakdowns!$K76*$G$31</f>
        <v>121.27570920061514</v>
      </c>
      <c r="I303" s="459">
        <f>I$296*Entrant_age_breakdowns!$K76*$G$31</f>
        <v>124.64395892690374</v>
      </c>
      <c r="J303" s="459">
        <f>J$296*Entrant_age_breakdowns!$K76*$G$31</f>
        <v>122.39168666940806</v>
      </c>
      <c r="K303" s="459">
        <f>K$296*Entrant_age_breakdowns!$K76*$G$31</f>
        <v>119.05388294492539</v>
      </c>
      <c r="L303" s="459">
        <f>L$296*Entrant_age_breakdowns!$K76*$G$31</f>
        <v>120.41657559782718</v>
      </c>
      <c r="M303" s="459">
        <f>M$296*Entrant_age_breakdowns!$K76*$G$31</f>
        <v>119.71352864505423</v>
      </c>
      <c r="N303" s="459">
        <f>N$296*Entrant_age_breakdowns!$K76*$G$31</f>
        <v>115.43793696125582</v>
      </c>
    </row>
    <row r="304" spans="2:14">
      <c r="B304" s="338" t="str">
        <f t="shared" si="143"/>
        <v>25-29</v>
      </c>
      <c r="C304" s="459">
        <f>C$296*Entrant_age_breakdowns!$K77*$G$31</f>
        <v>154.47783539935449</v>
      </c>
      <c r="D304" s="459">
        <f>D$296*Entrant_age_breakdowns!$K77*$G$31</f>
        <v>117.48520511445403</v>
      </c>
      <c r="E304" s="459">
        <f>E$296*Entrant_age_breakdowns!$K77*$G$31</f>
        <v>123.59649708436527</v>
      </c>
      <c r="F304" s="459">
        <f>F$296*Entrant_age_breakdowns!$K77*$G$31</f>
        <v>124.34580631664461</v>
      </c>
      <c r="G304" s="459">
        <f>G$296*Entrant_age_breakdowns!$K77*$G$31</f>
        <v>122.92300165614493</v>
      </c>
      <c r="H304" s="459">
        <f>H$296*Entrant_age_breakdowns!$K77*$G$31</f>
        <v>125.39645015209075</v>
      </c>
      <c r="I304" s="459">
        <f>I$296*Entrant_age_breakdowns!$K77*$G$31</f>
        <v>128.8791472369922</v>
      </c>
      <c r="J304" s="459">
        <f>J$296*Entrant_age_breakdowns!$K77*$G$31</f>
        <v>126.55034662450682</v>
      </c>
      <c r="K304" s="459">
        <f>K$296*Entrant_age_breakdowns!$K77*$G$31</f>
        <v>123.09913004442326</v>
      </c>
      <c r="L304" s="459">
        <f>L$296*Entrant_age_breakdowns!$K77*$G$31</f>
        <v>124.50812466048076</v>
      </c>
      <c r="M304" s="459">
        <f>M$296*Entrant_age_breakdowns!$K77*$G$31</f>
        <v>123.78118937600316</v>
      </c>
      <c r="N304" s="459">
        <f>N$296*Entrant_age_breakdowns!$K77*$G$31</f>
        <v>119.36032040741829</v>
      </c>
    </row>
    <row r="305" spans="1:14">
      <c r="B305" s="338" t="str">
        <f t="shared" si="143"/>
        <v>30-34</v>
      </c>
      <c r="C305" s="459">
        <f>C$296*Entrant_age_breakdowns!$K78*$G$31</f>
        <v>76.685111800950693</v>
      </c>
      <c r="D305" s="459">
        <f>D$296*Entrant_age_breakdowns!$K78*$G$31</f>
        <v>58.321415922670155</v>
      </c>
      <c r="E305" s="459">
        <f>E$296*Entrant_age_breakdowns!$K78*$G$31</f>
        <v>61.355152812815973</v>
      </c>
      <c r="F305" s="459">
        <f>F$296*Entrant_age_breakdowns!$K78*$G$31</f>
        <v>61.727121141490947</v>
      </c>
      <c r="G305" s="459">
        <f>G$296*Entrant_age_breakdowns!$K78*$G$31</f>
        <v>61.020819592279921</v>
      </c>
      <c r="H305" s="459">
        <f>H$296*Entrant_age_breakdowns!$K78*$G$31</f>
        <v>62.248676481620365</v>
      </c>
      <c r="I305" s="459">
        <f>I$296*Entrant_age_breakdowns!$K78*$G$31</f>
        <v>63.977539490569733</v>
      </c>
      <c r="J305" s="459">
        <f>J$296*Entrant_age_breakdowns!$K78*$G$31</f>
        <v>62.821487977620386</v>
      </c>
      <c r="K305" s="459">
        <f>K$296*Entrant_age_breakdowns!$K78*$G$31</f>
        <v>61.108252362887605</v>
      </c>
      <c r="L305" s="459">
        <f>L$296*Entrant_age_breakdowns!$K78*$G$31</f>
        <v>61.807698399142446</v>
      </c>
      <c r="M305" s="459">
        <f>M$296*Entrant_age_breakdowns!$K78*$G$31</f>
        <v>61.446836833351412</v>
      </c>
      <c r="N305" s="459">
        <f>N$296*Entrant_age_breakdowns!$K78*$G$31</f>
        <v>59.252251246125468</v>
      </c>
    </row>
    <row r="306" spans="1:14">
      <c r="B306" s="338" t="str">
        <f t="shared" si="143"/>
        <v>35-39</v>
      </c>
      <c r="C306" s="459">
        <f>C$296*Entrant_age_breakdowns!$K79*$G$31</f>
        <v>54.794911691194436</v>
      </c>
      <c r="D306" s="459">
        <f>D$296*Entrant_age_breakdowns!$K79*$G$31</f>
        <v>41.673236957431335</v>
      </c>
      <c r="E306" s="459">
        <f>E$296*Entrant_age_breakdowns!$K79*$G$31</f>
        <v>43.840976445395391</v>
      </c>
      <c r="F306" s="459">
        <f>F$296*Entrant_age_breakdowns!$K79*$G$31</f>
        <v>44.106764304902867</v>
      </c>
      <c r="G306" s="459">
        <f>G$296*Entrant_age_breakdowns!$K79*$G$31</f>
        <v>43.602080538948016</v>
      </c>
      <c r="H306" s="459">
        <f>H$296*Entrant_age_breakdowns!$K79*$G$31</f>
        <v>44.479438715010559</v>
      </c>
      <c r="I306" s="459">
        <f>I$296*Entrant_age_breakdowns!$K79*$G$31</f>
        <v>45.714787972209919</v>
      </c>
      <c r="J306" s="459">
        <f>J$296*Entrant_age_breakdowns!$K79*$G$31</f>
        <v>44.888737920578563</v>
      </c>
      <c r="K306" s="459">
        <f>K$296*Entrant_age_breakdowns!$K79*$G$31</f>
        <v>43.664555129280494</v>
      </c>
      <c r="L306" s="459">
        <f>L$296*Entrant_age_breakdowns!$K79*$G$31</f>
        <v>44.164340327335921</v>
      </c>
      <c r="M306" s="459">
        <f>M$296*Entrant_age_breakdowns!$K79*$G$31</f>
        <v>43.906488742251305</v>
      </c>
      <c r="N306" s="459">
        <f>N$296*Entrant_age_breakdowns!$K79*$G$31</f>
        <v>42.338360058251354</v>
      </c>
    </row>
    <row r="307" spans="1:14">
      <c r="B307" s="338" t="str">
        <f t="shared" si="143"/>
        <v>40-44</v>
      </c>
      <c r="C307" s="459">
        <f>C$296*Entrant_age_breakdowns!$K80*$G$31</f>
        <v>47.607308937251382</v>
      </c>
      <c r="D307" s="459">
        <f>D$296*Entrant_age_breakdowns!$K80*$G$31</f>
        <v>36.206841201398213</v>
      </c>
      <c r="E307" s="459">
        <f>E$296*Entrant_age_breakdowns!$K80*$G$31</f>
        <v>38.090232200923587</v>
      </c>
      <c r="F307" s="459">
        <f>F$296*Entrant_age_breakdowns!$K80*$G$31</f>
        <v>38.321155918998983</v>
      </c>
      <c r="G307" s="459">
        <f>G$296*Entrant_age_breakdowns!$K80*$G$31</f>
        <v>37.882672942754148</v>
      </c>
      <c r="H307" s="459">
        <f>H$296*Entrant_age_breakdowns!$K80*$G$31</f>
        <v>38.644945578064288</v>
      </c>
      <c r="I307" s="459">
        <f>I$296*Entrant_age_breakdowns!$K80*$G$31</f>
        <v>39.718250597047366</v>
      </c>
      <c r="J307" s="459">
        <f>J$296*Entrant_age_breakdowns!$K80*$G$31</f>
        <v>39.000555855110846</v>
      </c>
      <c r="K307" s="459">
        <f>K$296*Entrant_age_breakdowns!$K80*$G$31</f>
        <v>37.936952565275462</v>
      </c>
      <c r="L307" s="459">
        <f>L$296*Entrant_age_breakdowns!$K80*$G$31</f>
        <v>38.371179532556312</v>
      </c>
      <c r="M307" s="459">
        <f>M$296*Entrant_age_breakdowns!$K80*$G$31</f>
        <v>38.147151065455859</v>
      </c>
      <c r="N307" s="459">
        <f>N$296*Entrant_age_breakdowns!$K80*$G$31</f>
        <v>36.784718233493692</v>
      </c>
    </row>
    <row r="308" spans="1:14">
      <c r="B308" s="338" t="str">
        <f t="shared" si="143"/>
        <v>45-49</v>
      </c>
      <c r="C308" s="459">
        <f>C$296*Entrant_age_breakdowns!$K81*$G$31</f>
        <v>37.883363160877693</v>
      </c>
      <c r="D308" s="459">
        <f>D$296*Entrant_age_breakdowns!$K81*$G$31</f>
        <v>28.811477581072225</v>
      </c>
      <c r="E308" s="459">
        <f>E$296*Entrant_age_breakdowns!$K81*$G$31</f>
        <v>30.310179919047055</v>
      </c>
      <c r="F308" s="459">
        <f>F$296*Entrant_age_breakdowns!$K81*$G$31</f>
        <v>30.49393672592393</v>
      </c>
      <c r="G308" s="459">
        <f>G$296*Entrant_age_breakdowns!$K81*$G$31</f>
        <v>30.145015306088162</v>
      </c>
      <c r="H308" s="459">
        <f>H$296*Entrant_age_breakdowns!$K81*$G$31</f>
        <v>30.751591307036151</v>
      </c>
      <c r="I308" s="459">
        <f>I$296*Entrant_age_breakdowns!$K81*$G$31</f>
        <v>31.605670328182274</v>
      </c>
      <c r="J308" s="459">
        <f>J$296*Entrant_age_breakdowns!$K81*$G$31</f>
        <v>31.034567042691599</v>
      </c>
      <c r="K308" s="459">
        <f>K$296*Entrant_age_breakdowns!$K81*$G$31</f>
        <v>30.188208141350508</v>
      </c>
      <c r="L308" s="459">
        <f>L$296*Entrant_age_breakdowns!$K81*$G$31</f>
        <v>30.533742855724494</v>
      </c>
      <c r="M308" s="459">
        <f>M$296*Entrant_age_breakdowns!$K81*$G$31</f>
        <v>30.355472922661743</v>
      </c>
      <c r="N308" s="459">
        <f>N$296*Entrant_age_breakdowns!$K81*$G$31</f>
        <v>29.271321373084454</v>
      </c>
    </row>
    <row r="309" spans="1:14">
      <c r="B309" s="338" t="str">
        <f t="shared" si="143"/>
        <v>50-54</v>
      </c>
      <c r="C309" s="459">
        <f>C$296*Entrant_age_breakdowns!$K82*$G$31</f>
        <v>27.712913813823178</v>
      </c>
      <c r="D309" s="459">
        <f>D$296*Entrant_age_breakdowns!$K82*$G$31</f>
        <v>21.07653408865546</v>
      </c>
      <c r="E309" s="459">
        <f>E$296*Entrant_age_breakdowns!$K82*$G$31</f>
        <v>22.172883653726906</v>
      </c>
      <c r="F309" s="459">
        <f>F$296*Entrant_age_breakdowns!$K82*$G$31</f>
        <v>22.307307741948858</v>
      </c>
      <c r="G309" s="459">
        <f>G$296*Entrant_age_breakdowns!$K82*$G$31</f>
        <v>22.0520603608058</v>
      </c>
      <c r="H309" s="459">
        <f>H$296*Entrant_age_breakdowns!$K82*$G$31</f>
        <v>22.495790458485324</v>
      </c>
      <c r="I309" s="459">
        <f>I$296*Entrant_age_breakdowns!$K82*$G$31</f>
        <v>23.120577075309779</v>
      </c>
      <c r="J309" s="459">
        <f>J$296*Entrant_age_breakdowns!$K82*$G$31</f>
        <v>22.702796424146822</v>
      </c>
      <c r="K309" s="459">
        <f>K$296*Entrant_age_breakdowns!$K82*$G$31</f>
        <v>22.083657326363394</v>
      </c>
      <c r="L309" s="459">
        <f>L$296*Entrant_age_breakdowns!$K82*$G$31</f>
        <v>22.336427222173999</v>
      </c>
      <c r="M309" s="459">
        <f>M$296*Entrant_age_breakdowns!$K82*$G$31</f>
        <v>22.206016960825657</v>
      </c>
      <c r="N309" s="459">
        <f>N$296*Entrant_age_breakdowns!$K82*$G$31</f>
        <v>21.412924797203139</v>
      </c>
    </row>
    <row r="310" spans="1:14">
      <c r="B310" s="338" t="str">
        <f t="shared" si="143"/>
        <v>55-59</v>
      </c>
      <c r="C310" s="459">
        <f>C$296*Entrant_age_breakdowns!$K83*$G$31</f>
        <v>18.867576780048079</v>
      </c>
      <c r="D310" s="459">
        <f>D$296*Entrant_age_breakdowns!$K83*$G$31</f>
        <v>14.349379781806041</v>
      </c>
      <c r="E310" s="459">
        <f>E$296*Entrant_age_breakdowns!$K83*$G$31</f>
        <v>15.095799293508191</v>
      </c>
      <c r="F310" s="459">
        <f>F$296*Entrant_age_breakdowns!$K83*$G$31</f>
        <v>15.18731824466051</v>
      </c>
      <c r="G310" s="459">
        <f>G$296*Entrant_age_breakdowns!$K83*$G$31</f>
        <v>15.013540070558129</v>
      </c>
      <c r="H310" s="459">
        <f>H$296*Entrant_age_breakdowns!$K83*$G$31</f>
        <v>15.315641529243814</v>
      </c>
      <c r="I310" s="459">
        <f>I$296*Entrant_age_breakdowns!$K83*$G$31</f>
        <v>15.741010349833221</v>
      </c>
      <c r="J310" s="459">
        <f>J$296*Entrant_age_breakdowns!$K83*$G$31</f>
        <v>15.456575859617191</v>
      </c>
      <c r="K310" s="459">
        <f>K$296*Entrant_age_breakdowns!$K83*$G$31</f>
        <v>15.035051997368837</v>
      </c>
      <c r="L310" s="459">
        <f>L$296*Entrant_age_breakdowns!$K83*$G$31</f>
        <v>15.207143443578021</v>
      </c>
      <c r="M310" s="459">
        <f>M$296*Entrant_age_breakdowns!$K83*$G$31</f>
        <v>15.118357196291798</v>
      </c>
      <c r="N310" s="459">
        <f>N$296*Entrant_age_breakdowns!$K83*$G$31</f>
        <v>14.578402163366372</v>
      </c>
    </row>
    <row r="311" spans="1:14">
      <c r="B311" s="338" t="str">
        <f t="shared" si="143"/>
        <v>60-64</v>
      </c>
      <c r="C311" s="459">
        <f>C$296*Entrant_age_breakdowns!$K84*$G$31</f>
        <v>9.2363682333549466</v>
      </c>
      <c r="D311" s="459">
        <f>D$296*Entrant_age_breakdowns!$K84*$G$31</f>
        <v>7.0245457130018005</v>
      </c>
      <c r="E311" s="459">
        <f>E$296*Entrant_age_breakdowns!$K84*$G$31</f>
        <v>7.3899453372891379</v>
      </c>
      <c r="F311" s="459">
        <f>F$296*Entrant_age_breakdowns!$K84*$G$31</f>
        <v>7.4347472078752492</v>
      </c>
      <c r="G311" s="459">
        <f>G$296*Entrant_age_breakdowns!$K84*$G$31</f>
        <v>7.3496764419978335</v>
      </c>
      <c r="H311" s="459">
        <f>H$296*Entrant_age_breakdowns!$K84*$G$31</f>
        <v>7.497566144463776</v>
      </c>
      <c r="I311" s="459">
        <f>I$296*Entrant_age_breakdowns!$K84*$G$31</f>
        <v>7.7057997246290002</v>
      </c>
      <c r="J311" s="459">
        <f>J$296*Entrant_age_breakdowns!$K84*$G$31</f>
        <v>7.5665586487596306</v>
      </c>
      <c r="K311" s="459">
        <f>K$296*Entrant_age_breakdowns!$K84*$G$31</f>
        <v>7.3602073161926995</v>
      </c>
      <c r="L311" s="459">
        <f>L$296*Entrant_age_breakdowns!$K84*$G$31</f>
        <v>7.4444523671353027</v>
      </c>
      <c r="M311" s="459">
        <f>M$296*Entrant_age_breakdowns!$K84*$G$31</f>
        <v>7.4009882549414963</v>
      </c>
      <c r="N311" s="459">
        <f>N$296*Entrant_age_breakdowns!$K84*$G$31</f>
        <v>7.1366605369895879</v>
      </c>
    </row>
    <row r="312" spans="1:14">
      <c r="B312" s="338" t="str">
        <f t="shared" si="143"/>
        <v>65 plus</v>
      </c>
      <c r="C312" s="459">
        <f>C$296*Entrant_age_breakdowns!$K85*$G$31</f>
        <v>2.3165467130075559</v>
      </c>
      <c r="D312" s="459">
        <f>D$296*Entrant_age_breakdowns!$K85*$G$31</f>
        <v>1.7618059253052185</v>
      </c>
      <c r="E312" s="459">
        <f>E$296*Entrant_age_breakdowns!$K85*$G$31</f>
        <v>1.853450744696483</v>
      </c>
      <c r="F312" s="459">
        <f>F$296*Entrant_age_breakdowns!$K85*$G$31</f>
        <v>1.8646873718448085</v>
      </c>
      <c r="G312" s="459">
        <f>G$296*Entrant_age_breakdowns!$K85*$G$31</f>
        <v>1.8433510199273211</v>
      </c>
      <c r="H312" s="459">
        <f>H$296*Entrant_age_breakdowns!$K85*$G$31</f>
        <v>1.880442807032338</v>
      </c>
      <c r="I312" s="459">
        <f>I$296*Entrant_age_breakdowns!$K85*$G$31</f>
        <v>1.932669266987403</v>
      </c>
      <c r="J312" s="459">
        <f>J$296*Entrant_age_breakdowns!$K85*$G$31</f>
        <v>1.8977466168210764</v>
      </c>
      <c r="K312" s="459">
        <f>K$296*Entrant_age_breakdowns!$K85*$G$31</f>
        <v>1.8459922379239266</v>
      </c>
      <c r="L312" s="459">
        <f>L$296*Entrant_age_breakdowns!$K85*$G$31</f>
        <v>1.8671214946748078</v>
      </c>
      <c r="M312" s="459">
        <f>M$296*Entrant_age_breakdowns!$K85*$G$31</f>
        <v>1.8562203868267311</v>
      </c>
      <c r="N312" s="459">
        <f>N$296*Entrant_age_breakdowns!$K85*$G$31</f>
        <v>1.7899251189565084</v>
      </c>
    </row>
    <row r="313" spans="1:14">
      <c r="B313" s="338" t="str">
        <f t="shared" si="143"/>
        <v>Total</v>
      </c>
      <c r="C313" s="459">
        <f t="shared" ref="C313:N313" si="145">SUM(C303:C312)</f>
        <v>578.98336712147841</v>
      </c>
      <c r="D313" s="459">
        <f t="shared" si="145"/>
        <v>440.33488343667182</v>
      </c>
      <c r="E313" s="459">
        <f t="shared" si="145"/>
        <v>463.24002314849122</v>
      </c>
      <c r="F313" s="459">
        <f t="shared" si="145"/>
        <v>466.04843628555227</v>
      </c>
      <c r="G313" s="459">
        <f t="shared" si="145"/>
        <v>460.71576036500602</v>
      </c>
      <c r="H313" s="459">
        <f t="shared" si="145"/>
        <v>469.98625237366252</v>
      </c>
      <c r="I313" s="459">
        <f t="shared" si="145"/>
        <v>483.03941096866458</v>
      </c>
      <c r="J313" s="459">
        <f t="shared" si="145"/>
        <v>474.31105963926092</v>
      </c>
      <c r="K313" s="459">
        <f t="shared" si="145"/>
        <v>461.3758900659916</v>
      </c>
      <c r="L313" s="459">
        <f t="shared" si="145"/>
        <v>466.65680590062925</v>
      </c>
      <c r="M313" s="459">
        <f t="shared" si="145"/>
        <v>463.93225038366347</v>
      </c>
      <c r="N313" s="459">
        <f t="shared" si="145"/>
        <v>447.36282089614468</v>
      </c>
    </row>
    <row r="314" spans="1:14">
      <c r="A314" s="309">
        <f>SUM(C314:N314)</f>
        <v>0</v>
      </c>
      <c r="C314" s="309">
        <f t="shared" ref="C314:N314" si="146">SUM(C303:C312)-C313</f>
        <v>0</v>
      </c>
      <c r="D314" s="309">
        <f t="shared" si="146"/>
        <v>0</v>
      </c>
      <c r="E314" s="309">
        <f t="shared" si="146"/>
        <v>0</v>
      </c>
      <c r="F314" s="309">
        <f t="shared" si="146"/>
        <v>0</v>
      </c>
      <c r="G314" s="309">
        <f t="shared" si="146"/>
        <v>0</v>
      </c>
      <c r="H314" s="309">
        <f t="shared" si="146"/>
        <v>0</v>
      </c>
      <c r="I314" s="309">
        <f t="shared" si="146"/>
        <v>0</v>
      </c>
      <c r="J314" s="309">
        <f t="shared" si="146"/>
        <v>0</v>
      </c>
      <c r="K314" s="309">
        <f t="shared" si="146"/>
        <v>0</v>
      </c>
      <c r="L314" s="309">
        <f t="shared" si="146"/>
        <v>0</v>
      </c>
      <c r="M314" s="309">
        <f t="shared" si="146"/>
        <v>0</v>
      </c>
      <c r="N314" s="309">
        <f t="shared" si="146"/>
        <v>0</v>
      </c>
    </row>
    <row r="316" spans="1:14">
      <c r="B316" s="341" t="s">
        <v>50</v>
      </c>
      <c r="H316" s="325"/>
    </row>
    <row r="317" spans="1:14">
      <c r="H317" s="325"/>
    </row>
    <row r="318" spans="1:14">
      <c r="B318" s="338" t="str">
        <f t="shared" ref="B318:B329" si="147">B302</f>
        <v>Age group</v>
      </c>
      <c r="C318" s="338" t="str">
        <f>C293</f>
        <v>2016/17</v>
      </c>
      <c r="D318" s="338" t="str">
        <f t="shared" ref="D318:N318" si="148">D302</f>
        <v>2017/18</v>
      </c>
      <c r="E318" s="338" t="str">
        <f t="shared" si="148"/>
        <v>2018/19</v>
      </c>
      <c r="F318" s="338" t="str">
        <f t="shared" si="148"/>
        <v>2019/20</v>
      </c>
      <c r="G318" s="338" t="str">
        <f t="shared" si="148"/>
        <v>2020/21</v>
      </c>
      <c r="H318" s="338" t="str">
        <f t="shared" si="148"/>
        <v>2021/22</v>
      </c>
      <c r="I318" s="338" t="str">
        <f t="shared" si="148"/>
        <v>2022/23</v>
      </c>
      <c r="J318" s="338" t="str">
        <f t="shared" si="148"/>
        <v>2023/24</v>
      </c>
      <c r="K318" s="338" t="str">
        <f t="shared" si="148"/>
        <v>2024/25</v>
      </c>
      <c r="L318" s="338" t="str">
        <f t="shared" si="148"/>
        <v>2025/26</v>
      </c>
      <c r="M318" s="338" t="str">
        <f t="shared" si="148"/>
        <v>2026/27</v>
      </c>
      <c r="N318" s="338" t="str">
        <f t="shared" si="148"/>
        <v>2027/28</v>
      </c>
    </row>
    <row r="319" spans="1:14">
      <c r="B319" s="338" t="str">
        <f t="shared" si="147"/>
        <v>20-24</v>
      </c>
      <c r="C319" s="459">
        <f>C$296*Entrant_age_breakdowns!$K76*$H$31</f>
        <v>344.61999118981453</v>
      </c>
      <c r="D319" s="459">
        <f>D$296*Entrant_age_breakdowns!$K76*$H$31</f>
        <v>262.09423667031706</v>
      </c>
      <c r="E319" s="459">
        <f>E$296*Entrant_age_breakdowns!$K76*$H$31</f>
        <v>275.72773547863864</v>
      </c>
      <c r="F319" s="459">
        <f>F$296*Entrant_age_breakdowns!$K76*$H$31</f>
        <v>277.39934707494945</v>
      </c>
      <c r="G319" s="459">
        <f>G$296*Entrant_age_breakdowns!$K76*$H$31</f>
        <v>274.22525463444731</v>
      </c>
      <c r="H319" s="459">
        <f>H$296*Entrant_age_breakdowns!$K76*$H$31</f>
        <v>279.74319704138026</v>
      </c>
      <c r="I319" s="459">
        <f>I$296*Entrant_age_breakdowns!$K76*$H$31</f>
        <v>287.51264199516777</v>
      </c>
      <c r="J319" s="459">
        <f>J$296*Entrant_age_breakdowns!$K76*$H$31</f>
        <v>282.31739023310882</v>
      </c>
      <c r="K319" s="459">
        <f>K$296*Entrant_age_breakdowns!$K76*$H$31</f>
        <v>274.61817419769625</v>
      </c>
      <c r="L319" s="459">
        <f>L$296*Entrant_age_breakdowns!$K76*$H$31</f>
        <v>277.76145822233929</v>
      </c>
      <c r="M319" s="459">
        <f>M$296*Entrant_age_breakdowns!$K76*$H$31</f>
        <v>276.13975999822441</v>
      </c>
      <c r="N319" s="459">
        <f>N$296*Entrant_age_breakdowns!$K76*$H$31</f>
        <v>266.27737539744044</v>
      </c>
    </row>
    <row r="320" spans="1:14">
      <c r="B320" s="338" t="str">
        <f t="shared" si="147"/>
        <v>25-29</v>
      </c>
      <c r="C320" s="459">
        <f>C$296*Entrant_age_breakdowns!$K77*$H$31</f>
        <v>356.32958843524403</v>
      </c>
      <c r="D320" s="459">
        <f>D$296*Entrant_age_breakdowns!$K77*$H$31</f>
        <v>270.99975007701698</v>
      </c>
      <c r="E320" s="459">
        <f>E$296*Entrant_age_breakdowns!$K77*$H$31</f>
        <v>285.09649183169319</v>
      </c>
      <c r="F320" s="459">
        <f>F$296*Entrant_age_breakdowns!$K77*$H$31</f>
        <v>286.82490192792852</v>
      </c>
      <c r="G320" s="459">
        <f>G$296*Entrant_age_breakdowns!$K77*$H$31</f>
        <v>283.54295926095023</v>
      </c>
      <c r="H320" s="459">
        <f>H$296*Entrant_age_breakdowns!$K77*$H$31</f>
        <v>289.24839190310018</v>
      </c>
      <c r="I320" s="459">
        <f>I$296*Entrant_age_breakdowns!$K77*$H$31</f>
        <v>297.28182929364471</v>
      </c>
      <c r="J320" s="459">
        <f>J$296*Entrant_age_breakdowns!$K77*$H$31</f>
        <v>291.9100517719736</v>
      </c>
      <c r="K320" s="459">
        <f>K$296*Entrant_age_breakdowns!$K77*$H$31</f>
        <v>283.94922955820505</v>
      </c>
      <c r="L320" s="459">
        <f>L$296*Entrant_age_breakdowns!$K77*$H$31</f>
        <v>287.19931699210326</v>
      </c>
      <c r="M320" s="459">
        <f>M$296*Entrant_age_breakdowns!$K77*$H$31</f>
        <v>285.52251623898991</v>
      </c>
      <c r="N320" s="459">
        <f>N$296*Entrant_age_breakdowns!$K77*$H$31</f>
        <v>275.32502469575604</v>
      </c>
    </row>
    <row r="321" spans="1:14">
      <c r="B321" s="338" t="str">
        <f t="shared" si="147"/>
        <v>30-34</v>
      </c>
      <c r="C321" s="459">
        <f>C$296*Entrant_age_breakdowns!$K78*$H$31</f>
        <v>176.88734604872394</v>
      </c>
      <c r="D321" s="459">
        <f>D$296*Entrant_age_breakdowns!$K78*$H$31</f>
        <v>134.52833591926793</v>
      </c>
      <c r="E321" s="459">
        <f>E$296*Entrant_age_breakdowns!$K78*$H$31</f>
        <v>141.5261697165364</v>
      </c>
      <c r="F321" s="459">
        <f>F$296*Entrant_age_breakdowns!$K78*$H$31</f>
        <v>142.38417838247253</v>
      </c>
      <c r="G321" s="459">
        <f>G$296*Entrant_age_breakdowns!$K78*$H$31</f>
        <v>140.75497287418125</v>
      </c>
      <c r="H321" s="459">
        <f>H$296*Entrant_age_breakdowns!$K78*$H$31</f>
        <v>143.58723511364741</v>
      </c>
      <c r="I321" s="459">
        <f>I$296*Entrant_age_breakdowns!$K78*$H$31</f>
        <v>147.57515378720504</v>
      </c>
      <c r="J321" s="459">
        <f>J$296*Entrant_age_breakdowns!$K78*$H$31</f>
        <v>144.90852294819663</v>
      </c>
      <c r="K321" s="459">
        <f>K$296*Entrant_age_breakdowns!$K78*$H$31</f>
        <v>140.95665153627442</v>
      </c>
      <c r="L321" s="459">
        <f>L$296*Entrant_age_breakdowns!$K78*$H$31</f>
        <v>142.57004362962579</v>
      </c>
      <c r="M321" s="459">
        <f>M$296*Entrant_age_breakdowns!$K78*$H$31</f>
        <v>141.73765461480045</v>
      </c>
      <c r="N321" s="459">
        <f>N$296*Entrant_age_breakdowns!$K78*$H$31</f>
        <v>136.67546703908428</v>
      </c>
    </row>
    <row r="322" spans="1:14">
      <c r="B322" s="338" t="str">
        <f t="shared" si="147"/>
        <v>35-39</v>
      </c>
      <c r="C322" s="459">
        <f>C$296*Entrant_age_breakdowns!$K79*$H$31</f>
        <v>126.39384984125975</v>
      </c>
      <c r="D322" s="459">
        <f>D$296*Entrant_age_breakdowns!$K79*$H$31</f>
        <v>96.126459407055876</v>
      </c>
      <c r="E322" s="459">
        <f>E$296*Entrant_age_breakdowns!$K79*$H$31</f>
        <v>101.12672185625566</v>
      </c>
      <c r="F322" s="459">
        <f>F$296*Entrant_age_breakdowns!$K79*$H$31</f>
        <v>101.73980708200695</v>
      </c>
      <c r="G322" s="459">
        <f>G$296*Entrant_age_breakdowns!$K79*$H$31</f>
        <v>100.57566752666079</v>
      </c>
      <c r="H322" s="459">
        <f>H$296*Entrant_age_breakdowns!$K79*$H$31</f>
        <v>102.59944444571497</v>
      </c>
      <c r="I322" s="459">
        <f>I$296*Entrant_age_breakdowns!$K79*$H$31</f>
        <v>105.44898911504345</v>
      </c>
      <c r="J322" s="459">
        <f>J$296*Entrant_age_breakdowns!$K79*$H$31</f>
        <v>103.54356317375048</v>
      </c>
      <c r="K322" s="459">
        <f>K$296*Entrant_age_breakdowns!$K79*$H$31</f>
        <v>100.71977587076908</v>
      </c>
      <c r="L322" s="459">
        <f>L$296*Entrant_age_breakdowns!$K79*$H$31</f>
        <v>101.87261604016118</v>
      </c>
      <c r="M322" s="459">
        <f>M$296*Entrant_age_breakdowns!$K79*$H$31</f>
        <v>101.27783719080037</v>
      </c>
      <c r="N322" s="459">
        <f>N$296*Entrant_age_breakdowns!$K79*$H$31</f>
        <v>97.660679770522734</v>
      </c>
    </row>
    <row r="323" spans="1:14">
      <c r="B323" s="338" t="str">
        <f t="shared" si="147"/>
        <v>40-44</v>
      </c>
      <c r="C323" s="459">
        <f>C$296*Entrant_age_breakdowns!$K80*$H$31</f>
        <v>109.81441289791134</v>
      </c>
      <c r="D323" s="459">
        <f>D$296*Entrant_age_breakdowns!$K80*$H$31</f>
        <v>83.517281236375808</v>
      </c>
      <c r="E323" s="459">
        <f>E$296*Entrant_age_breakdowns!$K80*$H$31</f>
        <v>87.861645189874906</v>
      </c>
      <c r="F323" s="459">
        <f>F$296*Entrant_age_breakdowns!$K80*$H$31</f>
        <v>88.394310301403806</v>
      </c>
      <c r="G323" s="459">
        <f>G$296*Entrant_age_breakdowns!$K80*$H$31</f>
        <v>87.382874207304866</v>
      </c>
      <c r="H323" s="459">
        <f>H$296*Entrant_age_breakdowns!$K80*$H$31</f>
        <v>89.141186613180565</v>
      </c>
      <c r="I323" s="459">
        <f>I$296*Entrant_age_breakdowns!$K80*$H$31</f>
        <v>91.616948489899102</v>
      </c>
      <c r="J323" s="459">
        <f>J$296*Entrant_age_breakdowns!$K80*$H$31</f>
        <v>89.961462631003855</v>
      </c>
      <c r="K323" s="459">
        <f>K$296*Entrant_age_breakdowns!$K80*$H$31</f>
        <v>87.50807945440998</v>
      </c>
      <c r="L323" s="459">
        <f>L$296*Entrant_age_breakdowns!$K80*$H$31</f>
        <v>88.50969833480579</v>
      </c>
      <c r="M323" s="459">
        <f>M$296*Entrant_age_breakdowns!$K80*$H$31</f>
        <v>87.992938300763939</v>
      </c>
      <c r="N323" s="459">
        <f>N$296*Entrant_age_breakdowns!$K80*$H$31</f>
        <v>84.850253597623848</v>
      </c>
    </row>
    <row r="324" spans="1:14">
      <c r="B324" s="338" t="str">
        <f t="shared" si="147"/>
        <v>45-49</v>
      </c>
      <c r="C324" s="459">
        <f>C$296*Entrant_age_breakdowns!$K81*$H$31</f>
        <v>87.384466313636864</v>
      </c>
      <c r="D324" s="459">
        <f>D$296*Entrant_age_breakdowns!$K81*$H$31</f>
        <v>66.458608266578707</v>
      </c>
      <c r="E324" s="459">
        <f>E$296*Entrant_age_breakdowns!$K81*$H$31</f>
        <v>69.915621927450744</v>
      </c>
      <c r="F324" s="459">
        <f>F$296*Entrant_age_breakdowns!$K81*$H$31</f>
        <v>70.33948847890349</v>
      </c>
      <c r="G324" s="459">
        <f>G$296*Entrant_age_breakdowns!$K81*$H$31</f>
        <v>69.534641455996294</v>
      </c>
      <c r="H324" s="459">
        <f>H$296*Entrant_age_breakdowns!$K81*$H$31</f>
        <v>70.933812904856424</v>
      </c>
      <c r="I324" s="459">
        <f>I$296*Entrant_age_breakdowns!$K81*$H$31</f>
        <v>72.90389246552229</v>
      </c>
      <c r="J324" s="459">
        <f>J$296*Entrant_age_breakdowns!$K81*$H$31</f>
        <v>71.586544911118651</v>
      </c>
      <c r="K324" s="459">
        <f>K$296*Entrant_age_breakdowns!$K81*$H$31</f>
        <v>69.634273129191314</v>
      </c>
      <c r="L324" s="459">
        <f>L$296*Entrant_age_breakdowns!$K81*$H$31</f>
        <v>70.431308135829468</v>
      </c>
      <c r="M324" s="459">
        <f>M$296*Entrant_age_breakdowns!$K81*$H$31</f>
        <v>70.020097998696144</v>
      </c>
      <c r="N324" s="459">
        <f>N$296*Entrant_age_breakdowns!$K81*$H$31</f>
        <v>67.519316741219242</v>
      </c>
    </row>
    <row r="325" spans="1:14">
      <c r="B325" s="338" t="str">
        <f t="shared" si="147"/>
        <v>50-54</v>
      </c>
      <c r="C325" s="459">
        <f>C$296*Entrant_age_breakdowns!$K82*$H$31</f>
        <v>63.92458276031919</v>
      </c>
      <c r="D325" s="459">
        <f>D$296*Entrant_age_breakdowns!$K82*$H$31</f>
        <v>48.616636153896899</v>
      </c>
      <c r="E325" s="459">
        <f>E$296*Entrant_age_breakdowns!$K82*$H$31</f>
        <v>51.145554223554797</v>
      </c>
      <c r="F325" s="459">
        <f>F$296*Entrant_age_breakdowns!$K82*$H$31</f>
        <v>51.455626409043951</v>
      </c>
      <c r="G325" s="459">
        <f>G$296*Entrant_age_breakdowns!$K82*$H$31</f>
        <v>50.866854602158185</v>
      </c>
      <c r="H325" s="459">
        <f>H$296*Entrant_age_breakdowns!$K82*$H$31</f>
        <v>51.890394080645308</v>
      </c>
      <c r="I325" s="459">
        <f>I$296*Entrant_age_breakdowns!$K82*$H$31</f>
        <v>53.331571434389069</v>
      </c>
      <c r="J325" s="459">
        <f>J$296*Entrant_age_breakdowns!$K82*$H$31</f>
        <v>52.367888799270226</v>
      </c>
      <c r="K325" s="459">
        <f>K$296*Entrant_age_breakdowns!$K82*$H$31</f>
        <v>50.939738415579271</v>
      </c>
      <c r="L325" s="459">
        <f>L$296*Entrant_age_breakdowns!$K82*$H$31</f>
        <v>51.522795478167993</v>
      </c>
      <c r="M325" s="459">
        <f>M$296*Entrant_age_breakdowns!$K82*$H$31</f>
        <v>51.221981871906259</v>
      </c>
      <c r="N325" s="459">
        <f>N$296*Entrant_age_breakdowns!$K82*$H$31</f>
        <v>49.392578944785683</v>
      </c>
    </row>
    <row r="326" spans="1:14">
      <c r="B326" s="338" t="str">
        <f t="shared" si="147"/>
        <v>55-59</v>
      </c>
      <c r="C326" s="459">
        <f>C$296*Entrant_age_breakdowns!$K83*$H$31</f>
        <v>43.521297741028491</v>
      </c>
      <c r="D326" s="459">
        <f>D$296*Entrant_age_breakdowns!$K83*$H$31</f>
        <v>33.09930242570789</v>
      </c>
      <c r="E326" s="459">
        <f>E$296*Entrant_age_breakdowns!$K83*$H$31</f>
        <v>34.821046886440897</v>
      </c>
      <c r="F326" s="459">
        <f>F$296*Entrant_age_breakdowns!$K83*$H$31</f>
        <v>35.032151023897406</v>
      </c>
      <c r="G326" s="459">
        <f>G$296*Entrant_age_breakdowns!$K83*$H$31</f>
        <v>34.631301898216378</v>
      </c>
      <c r="H326" s="459">
        <f>H$296*Entrant_age_breakdowns!$K83*$H$31</f>
        <v>35.328150660764528</v>
      </c>
      <c r="I326" s="459">
        <f>I$296*Entrant_age_breakdowns!$K83*$H$31</f>
        <v>36.30933670847142</v>
      </c>
      <c r="J326" s="459">
        <f>J$296*Entrant_age_breakdowns!$K83*$H$31</f>
        <v>35.653239834939683</v>
      </c>
      <c r="K326" s="459">
        <f>K$296*Entrant_age_breakdowns!$K83*$H$31</f>
        <v>34.68092284226374</v>
      </c>
      <c r="L326" s="459">
        <f>L$296*Entrant_age_breakdowns!$K83*$H$31</f>
        <v>35.077881241133177</v>
      </c>
      <c r="M326" s="459">
        <f>M$296*Entrant_age_breakdowns!$K83*$H$31</f>
        <v>34.873080553238879</v>
      </c>
      <c r="N326" s="459">
        <f>N$296*Entrant_age_breakdowns!$K83*$H$31</f>
        <v>33.627581778877754</v>
      </c>
    </row>
    <row r="327" spans="1:14">
      <c r="B327" s="338" t="str">
        <f t="shared" si="147"/>
        <v>60-64</v>
      </c>
      <c r="C327" s="459">
        <f>C$296*Entrant_age_breakdowns!$K84*$H$31</f>
        <v>21.305265462319412</v>
      </c>
      <c r="D327" s="459">
        <f>D$296*Entrant_age_breakdowns!$K84*$H$31</f>
        <v>16.203317947766561</v>
      </c>
      <c r="E327" s="459">
        <f>E$296*Entrant_age_breakdowns!$K84*$H$31</f>
        <v>17.046174771854631</v>
      </c>
      <c r="F327" s="459">
        <f>F$296*Entrant_age_breakdowns!$K84*$H$31</f>
        <v>17.149517960641603</v>
      </c>
      <c r="G327" s="459">
        <f>G$296*Entrant_age_breakdowns!$K84*$H$31</f>
        <v>16.953287667055438</v>
      </c>
      <c r="H327" s="459">
        <f>H$296*Entrant_age_breakdowns!$K84*$H$31</f>
        <v>17.294420598373819</v>
      </c>
      <c r="I327" s="459">
        <f>I$296*Entrant_age_breakdowns!$K84*$H$31</f>
        <v>17.774747020134267</v>
      </c>
      <c r="J327" s="459">
        <f>J$296*Entrant_age_breakdowns!$K84*$H$31</f>
        <v>17.453563627516505</v>
      </c>
      <c r="K327" s="459">
        <f>K$296*Entrant_age_breakdowns!$K84*$H$31</f>
        <v>16.977578932258755</v>
      </c>
      <c r="L327" s="459">
        <f>L$296*Entrant_age_breakdowns!$K84*$H$31</f>
        <v>17.171904572907973</v>
      </c>
      <c r="M327" s="459">
        <f>M$296*Entrant_age_breakdowns!$K84*$H$31</f>
        <v>17.071647153002495</v>
      </c>
      <c r="N327" s="459">
        <f>N$296*Entrant_age_breakdowns!$K84*$H$31</f>
        <v>16.461929993862235</v>
      </c>
    </row>
    <row r="328" spans="1:14">
      <c r="B328" s="338" t="str">
        <f t="shared" si="147"/>
        <v>65 plus</v>
      </c>
      <c r="C328" s="459">
        <f>C$296*Entrant_age_breakdowns!$K85*$H$31</f>
        <v>5.3435118035091849</v>
      </c>
      <c r="D328" s="459">
        <f>D$296*Entrant_age_breakdowns!$K85*$H$31</f>
        <v>4.0639071530478352</v>
      </c>
      <c r="E328" s="459">
        <f>E$296*Entrant_age_breakdowns!$K85*$H$31</f>
        <v>4.2753016271579245</v>
      </c>
      <c r="F328" s="459">
        <f>F$296*Entrant_age_breakdowns!$K85*$H$31</f>
        <v>4.3012208324394603</v>
      </c>
      <c r="G328" s="459">
        <f>G$296*Entrant_age_breakdowns!$K85*$H$31</f>
        <v>4.2520048819581939</v>
      </c>
      <c r="H328" s="459">
        <f>H$296*Entrant_age_breakdowns!$K85*$H$31</f>
        <v>4.3375634425069629</v>
      </c>
      <c r="I328" s="459">
        <f>I$296*Entrant_age_breakdowns!$K85*$H$31</f>
        <v>4.458032718459128</v>
      </c>
      <c r="J328" s="459">
        <f>J$296*Entrant_age_breakdowns!$K85*$H$31</f>
        <v>4.3774776438190344</v>
      </c>
      <c r="K328" s="459">
        <f>K$296*Entrant_age_breakdowns!$K85*$H$31</f>
        <v>4.2580973036914811</v>
      </c>
      <c r="L328" s="459">
        <f>L$296*Entrant_age_breakdowns!$K85*$H$31</f>
        <v>4.3068355536968639</v>
      </c>
      <c r="M328" s="459">
        <f>M$296*Entrant_age_breakdowns!$K85*$H$31</f>
        <v>4.2816902811537085</v>
      </c>
      <c r="N328" s="459">
        <f>N$296*Entrant_age_breakdowns!$K85*$H$31</f>
        <v>4.128768889846465</v>
      </c>
    </row>
    <row r="329" spans="1:14">
      <c r="B329" s="338" t="str">
        <f t="shared" si="147"/>
        <v>Total</v>
      </c>
      <c r="C329" s="459">
        <f t="shared" ref="C329:N329" si="149">SUM(C319:C328)</f>
        <v>1335.524312493767</v>
      </c>
      <c r="D329" s="459">
        <f t="shared" si="149"/>
        <v>1015.7078352570315</v>
      </c>
      <c r="E329" s="459">
        <f t="shared" si="149"/>
        <v>1068.5424635094578</v>
      </c>
      <c r="F329" s="459">
        <f t="shared" si="149"/>
        <v>1075.020549473687</v>
      </c>
      <c r="G329" s="459">
        <f t="shared" si="149"/>
        <v>1062.7198190089291</v>
      </c>
      <c r="H329" s="459">
        <f t="shared" si="149"/>
        <v>1084.1037968041703</v>
      </c>
      <c r="I329" s="459">
        <f t="shared" si="149"/>
        <v>1114.2131430279364</v>
      </c>
      <c r="J329" s="459">
        <f t="shared" si="149"/>
        <v>1094.0797055746975</v>
      </c>
      <c r="K329" s="459">
        <f t="shared" si="149"/>
        <v>1064.2425212403396</v>
      </c>
      <c r="L329" s="459">
        <f t="shared" si="149"/>
        <v>1076.4238582007706</v>
      </c>
      <c r="M329" s="459">
        <f t="shared" si="149"/>
        <v>1070.1392042015766</v>
      </c>
      <c r="N329" s="459">
        <f t="shared" si="149"/>
        <v>1031.9189768490187</v>
      </c>
    </row>
    <row r="330" spans="1:14">
      <c r="A330" s="309">
        <f>SUM(C330:N330)</f>
        <v>0</v>
      </c>
      <c r="C330" s="309">
        <f t="shared" ref="C330:N330" si="150">SUM(C319:C328)-C329</f>
        <v>0</v>
      </c>
      <c r="D330" s="309">
        <f t="shared" si="150"/>
        <v>0</v>
      </c>
      <c r="E330" s="309">
        <f t="shared" si="150"/>
        <v>0</v>
      </c>
      <c r="F330" s="309">
        <f t="shared" si="150"/>
        <v>0</v>
      </c>
      <c r="G330" s="309">
        <f t="shared" si="150"/>
        <v>0</v>
      </c>
      <c r="H330" s="309">
        <f t="shared" si="150"/>
        <v>0</v>
      </c>
      <c r="I330" s="309">
        <f t="shared" si="150"/>
        <v>0</v>
      </c>
      <c r="J330" s="309">
        <f t="shared" si="150"/>
        <v>0</v>
      </c>
      <c r="K330" s="309">
        <f t="shared" si="150"/>
        <v>0</v>
      </c>
      <c r="L330" s="309">
        <f t="shared" si="150"/>
        <v>0</v>
      </c>
      <c r="M330" s="309">
        <f t="shared" si="150"/>
        <v>0</v>
      </c>
      <c r="N330" s="309">
        <f t="shared" si="150"/>
        <v>0</v>
      </c>
    </row>
    <row r="331" spans="1:14">
      <c r="C331" s="329">
        <f>C294</f>
        <v>1914.5076796152448</v>
      </c>
      <c r="D331" s="329">
        <f t="shared" ref="D331:N331" si="151">D294</f>
        <v>1456.0427186937031</v>
      </c>
      <c r="E331" s="329">
        <f t="shared" si="151"/>
        <v>1531.7824866579488</v>
      </c>
      <c r="F331" s="329">
        <f t="shared" si="151"/>
        <v>1541.0689857592392</v>
      </c>
      <c r="G331" s="329">
        <f t="shared" si="151"/>
        <v>1523.4355793739348</v>
      </c>
      <c r="H331" s="329">
        <f t="shared" si="151"/>
        <v>1554.0900491778327</v>
      </c>
      <c r="I331" s="329">
        <f t="shared" si="151"/>
        <v>1597.2525539966007</v>
      </c>
      <c r="J331" s="329">
        <f t="shared" si="151"/>
        <v>1568.3907652139583</v>
      </c>
      <c r="K331" s="329">
        <f t="shared" si="151"/>
        <v>1525.6184113063307</v>
      </c>
      <c r="L331" s="329">
        <f t="shared" si="151"/>
        <v>1543.0806641013999</v>
      </c>
      <c r="M331" s="329">
        <f t="shared" si="151"/>
        <v>1534.0714545852397</v>
      </c>
      <c r="N331" s="329">
        <f t="shared" si="151"/>
        <v>1479.2817977451632</v>
      </c>
    </row>
    <row r="332" spans="1:14">
      <c r="C332" s="329">
        <f>C313+C329</f>
        <v>1914.5076796152453</v>
      </c>
      <c r="D332" s="329">
        <f t="shared" ref="D332:N332" si="152">D313+D329</f>
        <v>1456.0427186937034</v>
      </c>
      <c r="E332" s="329">
        <f t="shared" si="152"/>
        <v>1531.782486657949</v>
      </c>
      <c r="F332" s="329">
        <f t="shared" si="152"/>
        <v>1541.0689857592392</v>
      </c>
      <c r="G332" s="329">
        <f t="shared" si="152"/>
        <v>1523.4355793739351</v>
      </c>
      <c r="H332" s="329">
        <f t="shared" si="152"/>
        <v>1554.090049177833</v>
      </c>
      <c r="I332" s="329">
        <f t="shared" si="152"/>
        <v>1597.2525539966009</v>
      </c>
      <c r="J332" s="329">
        <f t="shared" si="152"/>
        <v>1568.3907652139585</v>
      </c>
      <c r="K332" s="329">
        <f t="shared" si="152"/>
        <v>1525.6184113063312</v>
      </c>
      <c r="L332" s="329">
        <f t="shared" si="152"/>
        <v>1543.0806641013999</v>
      </c>
      <c r="M332" s="329">
        <f t="shared" si="152"/>
        <v>1534.0714545852402</v>
      </c>
      <c r="N332" s="329">
        <f t="shared" si="152"/>
        <v>1479.2817977451634</v>
      </c>
    </row>
    <row r="333" spans="1:14">
      <c r="A333" s="309">
        <f>SUM(C333:L333)</f>
        <v>0</v>
      </c>
      <c r="C333" s="329">
        <f>C331-C332</f>
        <v>0</v>
      </c>
      <c r="D333" s="329">
        <f t="shared" ref="D333:K333" si="153">D331-D332</f>
        <v>0</v>
      </c>
      <c r="E333" s="329">
        <f t="shared" si="153"/>
        <v>0</v>
      </c>
      <c r="F333" s="329">
        <f t="shared" si="153"/>
        <v>0</v>
      </c>
      <c r="G333" s="329">
        <f t="shared" si="153"/>
        <v>0</v>
      </c>
      <c r="H333" s="329">
        <f t="shared" si="153"/>
        <v>0</v>
      </c>
      <c r="I333" s="329">
        <f t="shared" si="153"/>
        <v>0</v>
      </c>
      <c r="J333" s="329">
        <f t="shared" si="153"/>
        <v>0</v>
      </c>
      <c r="K333" s="329">
        <f t="shared" si="153"/>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4">C318</f>
        <v>2016/17</v>
      </c>
      <c r="D339" s="338" t="str">
        <f t="shared" si="154"/>
        <v>2017/18</v>
      </c>
      <c r="E339" s="338" t="str">
        <f t="shared" si="154"/>
        <v>2018/19</v>
      </c>
      <c r="F339" s="338" t="str">
        <f t="shared" si="154"/>
        <v>2019/20</v>
      </c>
      <c r="G339" s="338" t="str">
        <f t="shared" si="154"/>
        <v>2020/21</v>
      </c>
      <c r="H339" s="338" t="str">
        <f t="shared" si="154"/>
        <v>2021/22</v>
      </c>
      <c r="I339" s="338" t="str">
        <f t="shared" si="154"/>
        <v>2022/23</v>
      </c>
      <c r="J339" s="338" t="str">
        <f t="shared" si="154"/>
        <v>2023/24</v>
      </c>
      <c r="K339" s="338" t="str">
        <f t="shared" si="154"/>
        <v>2024/25</v>
      </c>
      <c r="L339" s="338" t="str">
        <f t="shared" si="154"/>
        <v>2025/26</v>
      </c>
      <c r="M339" s="338" t="str">
        <f t="shared" si="154"/>
        <v>2026/27</v>
      </c>
      <c r="N339" s="338" t="str">
        <f t="shared" si="154"/>
        <v>2027/28</v>
      </c>
    </row>
    <row r="340" spans="1:14">
      <c r="B340" s="338" t="str">
        <f t="shared" ref="B340:B350" si="155">B319</f>
        <v>20-24</v>
      </c>
      <c r="C340" s="459">
        <f t="shared" ref="C340:N340" si="156">C303+C247</f>
        <v>263.26936779933976</v>
      </c>
      <c r="D340" s="459">
        <f t="shared" si="156"/>
        <v>294.34296212677299</v>
      </c>
      <c r="E340" s="459">
        <f t="shared" si="156"/>
        <v>321.58357246462026</v>
      </c>
      <c r="F340" s="459">
        <f t="shared" si="156"/>
        <v>341.00729193340999</v>
      </c>
      <c r="G340" s="459">
        <f t="shared" si="156"/>
        <v>352.96445338740591</v>
      </c>
      <c r="H340" s="459">
        <f t="shared" si="156"/>
        <v>363.56448934405819</v>
      </c>
      <c r="I340" s="459">
        <f t="shared" si="156"/>
        <v>374.20902357085725</v>
      </c>
      <c r="J340" s="459">
        <f t="shared" si="156"/>
        <v>379.26358118887754</v>
      </c>
      <c r="K340" s="459">
        <f t="shared" si="156"/>
        <v>379.39542600175264</v>
      </c>
      <c r="L340" s="459">
        <f t="shared" si="156"/>
        <v>380.84862215599333</v>
      </c>
      <c r="M340" s="459">
        <f t="shared" si="156"/>
        <v>381.14310659807069</v>
      </c>
      <c r="N340" s="459">
        <f t="shared" si="156"/>
        <v>377.06966069852172</v>
      </c>
    </row>
    <row r="341" spans="1:14">
      <c r="B341" s="338" t="str">
        <f t="shared" si="155"/>
        <v>25-29</v>
      </c>
      <c r="C341" s="459">
        <f t="shared" ref="C341:N341" si="157">C304+C248</f>
        <v>569.6898232851679</v>
      </c>
      <c r="D341" s="459">
        <f t="shared" si="157"/>
        <v>572.32411013726028</v>
      </c>
      <c r="E341" s="459">
        <f t="shared" si="157"/>
        <v>585.88070927428294</v>
      </c>
      <c r="F341" s="459">
        <f t="shared" si="157"/>
        <v>601.20670868195282</v>
      </c>
      <c r="G341" s="459">
        <f t="shared" si="157"/>
        <v>614.22831490269607</v>
      </c>
      <c r="H341" s="459">
        <f t="shared" si="157"/>
        <v>628.16092400168122</v>
      </c>
      <c r="I341" s="459">
        <f t="shared" si="157"/>
        <v>643.51196855176909</v>
      </c>
      <c r="J341" s="459">
        <f t="shared" si="157"/>
        <v>654.07466596690642</v>
      </c>
      <c r="K341" s="459">
        <f t="shared" si="157"/>
        <v>659.08767824801589</v>
      </c>
      <c r="L341" s="459">
        <f t="shared" si="157"/>
        <v>664.10812711657934</v>
      </c>
      <c r="M341" s="459">
        <f t="shared" si="157"/>
        <v>667.23439465490446</v>
      </c>
      <c r="N341" s="459">
        <f t="shared" si="157"/>
        <v>665.10371835267165</v>
      </c>
    </row>
    <row r="342" spans="1:14">
      <c r="B342" s="338" t="str">
        <f t="shared" si="155"/>
        <v>30-34</v>
      </c>
      <c r="C342" s="459">
        <f t="shared" ref="C342:N342" si="158">C305+C249</f>
        <v>684.69052916538669</v>
      </c>
      <c r="D342" s="459">
        <f t="shared" si="158"/>
        <v>671.40974615413779</v>
      </c>
      <c r="E342" s="459">
        <f t="shared" si="158"/>
        <v>665.08740885717282</v>
      </c>
      <c r="F342" s="459">
        <f t="shared" si="158"/>
        <v>663.2851844611962</v>
      </c>
      <c r="G342" s="459">
        <f t="shared" si="158"/>
        <v>664.08306084588935</v>
      </c>
      <c r="H342" s="459">
        <f t="shared" si="158"/>
        <v>668.31536507100031</v>
      </c>
      <c r="I342" s="459">
        <f t="shared" si="158"/>
        <v>675.76322467211071</v>
      </c>
      <c r="J342" s="459">
        <f t="shared" si="158"/>
        <v>682.97251441224921</v>
      </c>
      <c r="K342" s="459">
        <f t="shared" si="158"/>
        <v>688.5604554792975</v>
      </c>
      <c r="L342" s="459">
        <f t="shared" si="158"/>
        <v>694.33086082410421</v>
      </c>
      <c r="M342" s="459">
        <f t="shared" si="158"/>
        <v>699.17758626184161</v>
      </c>
      <c r="N342" s="459">
        <f t="shared" si="158"/>
        <v>701.15490995977893</v>
      </c>
    </row>
    <row r="343" spans="1:14">
      <c r="B343" s="338" t="str">
        <f t="shared" si="155"/>
        <v>35-39</v>
      </c>
      <c r="C343" s="459">
        <f t="shared" ref="C343:N343" si="159">C306+C250</f>
        <v>691.89754311895615</v>
      </c>
      <c r="D343" s="459">
        <f t="shared" si="159"/>
        <v>681.11254973885423</v>
      </c>
      <c r="E343" s="459">
        <f t="shared" si="159"/>
        <v>672.82990789888663</v>
      </c>
      <c r="F343" s="459">
        <f t="shared" si="159"/>
        <v>665.78813869068392</v>
      </c>
      <c r="G343" s="459">
        <f t="shared" si="159"/>
        <v>659.73247253411262</v>
      </c>
      <c r="H343" s="459">
        <f t="shared" si="159"/>
        <v>656.27103795553819</v>
      </c>
      <c r="I343" s="459">
        <f t="shared" si="159"/>
        <v>655.72576500419677</v>
      </c>
      <c r="J343" s="459">
        <f t="shared" si="159"/>
        <v>655.87523770721543</v>
      </c>
      <c r="K343" s="459">
        <f t="shared" si="159"/>
        <v>656.09711872083767</v>
      </c>
      <c r="L343" s="459">
        <f t="shared" si="159"/>
        <v>657.7963043515656</v>
      </c>
      <c r="M343" s="459">
        <f t="shared" si="159"/>
        <v>659.86616858412481</v>
      </c>
      <c r="N343" s="459">
        <f t="shared" si="159"/>
        <v>660.72930136412765</v>
      </c>
    </row>
    <row r="344" spans="1:14">
      <c r="B344" s="338" t="str">
        <f t="shared" si="155"/>
        <v>40-44</v>
      </c>
      <c r="C344" s="459">
        <f t="shared" ref="C344:N344" si="160">C307+C251</f>
        <v>601.24711356422972</v>
      </c>
      <c r="D344" s="459">
        <f t="shared" si="160"/>
        <v>610.6590333895922</v>
      </c>
      <c r="E344" s="459">
        <f t="shared" si="160"/>
        <v>617.52527775493616</v>
      </c>
      <c r="F344" s="459">
        <f t="shared" si="160"/>
        <v>621.3143998562731</v>
      </c>
      <c r="G344" s="459">
        <f t="shared" si="160"/>
        <v>622.38114446533211</v>
      </c>
      <c r="H344" s="459">
        <f t="shared" si="160"/>
        <v>622.81162717264453</v>
      </c>
      <c r="I344" s="459">
        <f t="shared" si="160"/>
        <v>623.56226557007096</v>
      </c>
      <c r="J344" s="459">
        <f t="shared" si="160"/>
        <v>623.30038038997372</v>
      </c>
      <c r="K344" s="459">
        <f t="shared" si="160"/>
        <v>622.07019132922198</v>
      </c>
      <c r="L344" s="459">
        <f t="shared" si="160"/>
        <v>621.63280753051868</v>
      </c>
      <c r="M344" s="459">
        <f t="shared" si="160"/>
        <v>621.3994395470495</v>
      </c>
      <c r="N344" s="459">
        <f t="shared" si="160"/>
        <v>620.24780008872688</v>
      </c>
    </row>
    <row r="345" spans="1:14">
      <c r="B345" s="338" t="str">
        <f t="shared" si="155"/>
        <v>45-49</v>
      </c>
      <c r="C345" s="459">
        <f t="shared" ref="C345:N345" si="161">C308+C252</f>
        <v>431.22366941389009</v>
      </c>
      <c r="D345" s="459">
        <f t="shared" si="161"/>
        <v>453.33711119842718</v>
      </c>
      <c r="E345" s="459">
        <f t="shared" si="161"/>
        <v>472.69650153246607</v>
      </c>
      <c r="F345" s="459">
        <f t="shared" si="161"/>
        <v>488.26587527244328</v>
      </c>
      <c r="G345" s="459">
        <f t="shared" si="161"/>
        <v>499.97424656569405</v>
      </c>
      <c r="H345" s="459">
        <f t="shared" si="161"/>
        <v>509.32271245289161</v>
      </c>
      <c r="I345" s="459">
        <f t="shared" si="161"/>
        <v>517.07981201265852</v>
      </c>
      <c r="J345" s="459">
        <f t="shared" si="161"/>
        <v>522.30844789817615</v>
      </c>
      <c r="K345" s="459">
        <f t="shared" si="161"/>
        <v>525.23124138044864</v>
      </c>
      <c r="L345" s="459">
        <f t="shared" si="161"/>
        <v>527.4859272249281</v>
      </c>
      <c r="M345" s="459">
        <f t="shared" si="161"/>
        <v>528.87377296306613</v>
      </c>
      <c r="N345" s="459">
        <f t="shared" si="161"/>
        <v>528.76017002013793</v>
      </c>
    </row>
    <row r="346" spans="1:14">
      <c r="B346" s="338" t="str">
        <f t="shared" si="155"/>
        <v>50-54</v>
      </c>
      <c r="C346" s="459">
        <f t="shared" ref="C346:N346" si="162">C309+C253</f>
        <v>322.97452947323075</v>
      </c>
      <c r="D346" s="459">
        <f t="shared" si="162"/>
        <v>327.65974643907737</v>
      </c>
      <c r="E346" s="459">
        <f t="shared" si="162"/>
        <v>336.02502242739121</v>
      </c>
      <c r="F346" s="459">
        <f t="shared" si="162"/>
        <v>345.55743389864449</v>
      </c>
      <c r="G346" s="459">
        <f t="shared" si="162"/>
        <v>354.85648387359799</v>
      </c>
      <c r="H346" s="459">
        <f t="shared" si="162"/>
        <v>364.0014680819483</v>
      </c>
      <c r="I346" s="459">
        <f t="shared" si="162"/>
        <v>372.79797961568238</v>
      </c>
      <c r="J346" s="459">
        <f t="shared" si="162"/>
        <v>380.02077762384437</v>
      </c>
      <c r="K346" s="459">
        <f t="shared" si="162"/>
        <v>385.472344917827</v>
      </c>
      <c r="L346" s="459">
        <f t="shared" si="162"/>
        <v>390.12498690858484</v>
      </c>
      <c r="M346" s="459">
        <f t="shared" si="162"/>
        <v>393.70698779886595</v>
      </c>
      <c r="N346" s="459">
        <f t="shared" si="162"/>
        <v>395.71010864727538</v>
      </c>
    </row>
    <row r="347" spans="1:14">
      <c r="B347" s="338" t="str">
        <f t="shared" si="155"/>
        <v>55-59</v>
      </c>
      <c r="C347" s="459">
        <f t="shared" ref="C347:N347" si="163">C310+C254</f>
        <v>215.92978823517672</v>
      </c>
      <c r="D347" s="459">
        <f t="shared" si="163"/>
        <v>190.74028431715945</v>
      </c>
      <c r="E347" s="459">
        <f t="shared" si="163"/>
        <v>177.20638185852656</v>
      </c>
      <c r="F347" s="459">
        <f t="shared" si="163"/>
        <v>170.49456924428569</v>
      </c>
      <c r="G347" s="459">
        <f t="shared" si="163"/>
        <v>167.7471023787927</v>
      </c>
      <c r="H347" s="459">
        <f t="shared" si="163"/>
        <v>167.79787964964527</v>
      </c>
      <c r="I347" s="459">
        <f t="shared" si="163"/>
        <v>169.61275500915914</v>
      </c>
      <c r="J347" s="459">
        <f t="shared" si="163"/>
        <v>171.71489651011575</v>
      </c>
      <c r="K347" s="459">
        <f t="shared" si="163"/>
        <v>173.61682854727633</v>
      </c>
      <c r="L347" s="459">
        <f t="shared" si="163"/>
        <v>175.73006198307903</v>
      </c>
      <c r="M347" s="459">
        <f t="shared" si="163"/>
        <v>177.58929685735885</v>
      </c>
      <c r="N347" s="459">
        <f t="shared" si="163"/>
        <v>178.68720413950106</v>
      </c>
    </row>
    <row r="348" spans="1:14">
      <c r="B348" s="338" t="str">
        <f t="shared" si="155"/>
        <v>60-64</v>
      </c>
      <c r="C348" s="459">
        <f t="shared" ref="C348:N348" si="164">C311+C255</f>
        <v>69.58676647819199</v>
      </c>
      <c r="D348" s="459">
        <f t="shared" si="164"/>
        <v>66.774621447365661</v>
      </c>
      <c r="E348" s="459">
        <f t="shared" si="164"/>
        <v>62.73524617108184</v>
      </c>
      <c r="F348" s="459">
        <f t="shared" si="164"/>
        <v>59.190837669572097</v>
      </c>
      <c r="G348" s="459">
        <f t="shared" si="164"/>
        <v>56.580570736533915</v>
      </c>
      <c r="H348" s="459">
        <f t="shared" si="164"/>
        <v>55.134179957480995</v>
      </c>
      <c r="I348" s="459">
        <f t="shared" si="164"/>
        <v>54.649170700752229</v>
      </c>
      <c r="J348" s="459">
        <f t="shared" si="164"/>
        <v>54.494799604038256</v>
      </c>
      <c r="K348" s="459">
        <f t="shared" si="164"/>
        <v>54.467919299221549</v>
      </c>
      <c r="L348" s="459">
        <f t="shared" si="164"/>
        <v>54.76907958980761</v>
      </c>
      <c r="M348" s="459">
        <f t="shared" si="164"/>
        <v>55.126692843168669</v>
      </c>
      <c r="N348" s="459">
        <f t="shared" si="164"/>
        <v>55.260035173458782</v>
      </c>
    </row>
    <row r="349" spans="1:14">
      <c r="B349" s="338" t="str">
        <f t="shared" si="155"/>
        <v>65 plus</v>
      </c>
      <c r="C349" s="459">
        <f t="shared" ref="C349:N349" si="165">C312+C256</f>
        <v>14.395877961326237</v>
      </c>
      <c r="D349" s="459">
        <f t="shared" si="165"/>
        <v>17.101401697072628</v>
      </c>
      <c r="E349" s="459">
        <f t="shared" si="165"/>
        <v>18.354136416589409</v>
      </c>
      <c r="F349" s="459">
        <f t="shared" si="165"/>
        <v>18.606389950744216</v>
      </c>
      <c r="G349" s="459">
        <f t="shared" si="165"/>
        <v>18.3376607306963</v>
      </c>
      <c r="H349" s="459">
        <f t="shared" si="165"/>
        <v>17.946320827354228</v>
      </c>
      <c r="I349" s="459">
        <f t="shared" si="165"/>
        <v>17.629800752955376</v>
      </c>
      <c r="J349" s="459">
        <f t="shared" si="165"/>
        <v>17.370839414794908</v>
      </c>
      <c r="K349" s="459">
        <f t="shared" si="165"/>
        <v>17.162057381511218</v>
      </c>
      <c r="L349" s="459">
        <f t="shared" si="165"/>
        <v>17.067159662492831</v>
      </c>
      <c r="M349" s="459">
        <f t="shared" si="165"/>
        <v>17.037477327572539</v>
      </c>
      <c r="N349" s="459">
        <f t="shared" si="165"/>
        <v>16.993850384796424</v>
      </c>
    </row>
    <row r="350" spans="1:14">
      <c r="B350" s="338" t="str">
        <f t="shared" si="155"/>
        <v>Total</v>
      </c>
      <c r="C350" s="459">
        <f t="shared" ref="C350:N350" si="166">SUM(C340:C349)</f>
        <v>3864.9050084948963</v>
      </c>
      <c r="D350" s="459">
        <f t="shared" si="166"/>
        <v>3885.4615666457194</v>
      </c>
      <c r="E350" s="459">
        <f t="shared" si="166"/>
        <v>3929.9241646559544</v>
      </c>
      <c r="F350" s="459">
        <f t="shared" si="166"/>
        <v>3974.7168296592058</v>
      </c>
      <c r="G350" s="459">
        <f t="shared" si="166"/>
        <v>4010.885510420751</v>
      </c>
      <c r="H350" s="459">
        <f t="shared" si="166"/>
        <v>4053.3260045142429</v>
      </c>
      <c r="I350" s="459">
        <f t="shared" si="166"/>
        <v>4104.5417654602124</v>
      </c>
      <c r="J350" s="459">
        <f t="shared" si="166"/>
        <v>4141.3961407161914</v>
      </c>
      <c r="K350" s="459">
        <f t="shared" si="166"/>
        <v>4161.1612613054112</v>
      </c>
      <c r="L350" s="459">
        <f t="shared" si="166"/>
        <v>4183.8939373476542</v>
      </c>
      <c r="M350" s="459">
        <f t="shared" si="166"/>
        <v>4201.1549234360236</v>
      </c>
      <c r="N350" s="459">
        <f t="shared" si="166"/>
        <v>4199.7167588289967</v>
      </c>
    </row>
    <row r="351" spans="1:14">
      <c r="A351" s="309">
        <f>SUM(C351:N351)</f>
        <v>0</v>
      </c>
      <c r="C351" s="309">
        <f t="shared" ref="C351:N351" si="167">SUM(C340:C349)-C350</f>
        <v>0</v>
      </c>
      <c r="D351" s="309">
        <f t="shared" si="167"/>
        <v>0</v>
      </c>
      <c r="E351" s="309">
        <f t="shared" si="167"/>
        <v>0</v>
      </c>
      <c r="F351" s="309">
        <f t="shared" si="167"/>
        <v>0</v>
      </c>
      <c r="G351" s="309">
        <f t="shared" si="167"/>
        <v>0</v>
      </c>
      <c r="H351" s="309">
        <f t="shared" si="167"/>
        <v>0</v>
      </c>
      <c r="I351" s="309">
        <f t="shared" si="167"/>
        <v>0</v>
      </c>
      <c r="J351" s="309">
        <f t="shared" si="167"/>
        <v>0</v>
      </c>
      <c r="K351" s="309">
        <f t="shared" si="167"/>
        <v>0</v>
      </c>
      <c r="L351" s="309">
        <f t="shared" si="167"/>
        <v>0</v>
      </c>
      <c r="M351" s="309">
        <f t="shared" si="167"/>
        <v>0</v>
      </c>
      <c r="N351" s="309">
        <f t="shared" si="167"/>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8">B339</f>
        <v>Age group</v>
      </c>
      <c r="C355" s="338" t="str">
        <f t="shared" ref="C355:N355" si="169">C339</f>
        <v>2016/17</v>
      </c>
      <c r="D355" s="338" t="str">
        <f t="shared" si="169"/>
        <v>2017/18</v>
      </c>
      <c r="E355" s="338" t="str">
        <f t="shared" si="169"/>
        <v>2018/19</v>
      </c>
      <c r="F355" s="338" t="str">
        <f t="shared" si="169"/>
        <v>2019/20</v>
      </c>
      <c r="G355" s="338" t="str">
        <f t="shared" si="169"/>
        <v>2020/21</v>
      </c>
      <c r="H355" s="338" t="str">
        <f t="shared" si="169"/>
        <v>2021/22</v>
      </c>
      <c r="I355" s="338" t="str">
        <f t="shared" si="169"/>
        <v>2022/23</v>
      </c>
      <c r="J355" s="338" t="str">
        <f t="shared" si="169"/>
        <v>2023/24</v>
      </c>
      <c r="K355" s="338" t="str">
        <f t="shared" si="169"/>
        <v>2024/25</v>
      </c>
      <c r="L355" s="338" t="str">
        <f t="shared" si="169"/>
        <v>2025/26</v>
      </c>
      <c r="M355" s="338" t="str">
        <f t="shared" si="169"/>
        <v>2026/27</v>
      </c>
      <c r="N355" s="338" t="str">
        <f t="shared" si="169"/>
        <v>2027/28</v>
      </c>
    </row>
    <row r="356" spans="1:14">
      <c r="B356" s="338" t="str">
        <f t="shared" si="168"/>
        <v>20-24</v>
      </c>
      <c r="C356" s="459">
        <f t="shared" ref="C356:N356" si="170">C319+C263</f>
        <v>634.33652175890995</v>
      </c>
      <c r="D356" s="459">
        <f t="shared" si="170"/>
        <v>706.72877635105328</v>
      </c>
      <c r="E356" s="459">
        <f t="shared" si="170"/>
        <v>771.10521001006896</v>
      </c>
      <c r="F356" s="459">
        <f t="shared" si="170"/>
        <v>817.90111283730937</v>
      </c>
      <c r="G356" s="459">
        <f t="shared" si="170"/>
        <v>847.52833956859308</v>
      </c>
      <c r="H356" s="459">
        <f t="shared" si="170"/>
        <v>873.8133162984966</v>
      </c>
      <c r="I356" s="459">
        <f t="shared" si="170"/>
        <v>900.00706464319228</v>
      </c>
      <c r="J356" s="459">
        <f t="shared" si="170"/>
        <v>913.1721702596783</v>
      </c>
      <c r="K356" s="459">
        <f t="shared" si="170"/>
        <v>914.70095935221173</v>
      </c>
      <c r="L356" s="459">
        <f t="shared" si="170"/>
        <v>918.91583930600382</v>
      </c>
      <c r="M356" s="459">
        <f t="shared" si="170"/>
        <v>920.24853696448349</v>
      </c>
      <c r="N356" s="459">
        <f t="shared" si="170"/>
        <v>911.32029912899804</v>
      </c>
    </row>
    <row r="357" spans="1:14">
      <c r="B357" s="338" t="str">
        <f t="shared" si="168"/>
        <v>25-29</v>
      </c>
      <c r="C357" s="459">
        <f t="shared" ref="C357:N357" si="171">C320+C264</f>
        <v>1563.1571150040015</v>
      </c>
      <c r="D357" s="459">
        <f t="shared" si="171"/>
        <v>1504.8387159074073</v>
      </c>
      <c r="E357" s="459">
        <f t="shared" si="171"/>
        <v>1490.1126498060687</v>
      </c>
      <c r="F357" s="459">
        <f t="shared" si="171"/>
        <v>1492.8214301627386</v>
      </c>
      <c r="G357" s="459">
        <f t="shared" si="171"/>
        <v>1499.8644134324213</v>
      </c>
      <c r="H357" s="459">
        <f t="shared" si="171"/>
        <v>1515.924894452859</v>
      </c>
      <c r="I357" s="459">
        <f t="shared" si="171"/>
        <v>1540.1767412549316</v>
      </c>
      <c r="J357" s="459">
        <f t="shared" si="171"/>
        <v>1556.877148227024</v>
      </c>
      <c r="K357" s="459">
        <f t="shared" si="171"/>
        <v>1563.2428213605626</v>
      </c>
      <c r="L357" s="459">
        <f t="shared" si="171"/>
        <v>1571.3285863192677</v>
      </c>
      <c r="M357" s="459">
        <f t="shared" si="171"/>
        <v>1576.2013485073107</v>
      </c>
      <c r="N357" s="459">
        <f t="shared" si="171"/>
        <v>1569.7345496282655</v>
      </c>
    </row>
    <row r="358" spans="1:14">
      <c r="B358" s="338" t="str">
        <f t="shared" si="168"/>
        <v>30-34</v>
      </c>
      <c r="C358" s="459">
        <f t="shared" ref="C358:N358" si="172">C321+C265</f>
        <v>1668.911467813401</v>
      </c>
      <c r="D358" s="459">
        <f t="shared" si="172"/>
        <v>1628.5609630318354</v>
      </c>
      <c r="E358" s="459">
        <f t="shared" si="172"/>
        <v>1595.7144803409778</v>
      </c>
      <c r="F358" s="459">
        <f t="shared" si="172"/>
        <v>1570.0763959588519</v>
      </c>
      <c r="G358" s="459">
        <f t="shared" si="172"/>
        <v>1550.3414617093204</v>
      </c>
      <c r="H358" s="459">
        <f t="shared" si="172"/>
        <v>1540.1358959981799</v>
      </c>
      <c r="I358" s="459">
        <f t="shared" si="172"/>
        <v>1539.6334888304234</v>
      </c>
      <c r="J358" s="459">
        <f t="shared" si="172"/>
        <v>1541.0002836774727</v>
      </c>
      <c r="K358" s="459">
        <f t="shared" si="172"/>
        <v>1541.0683041529826</v>
      </c>
      <c r="L358" s="459">
        <f t="shared" si="172"/>
        <v>1543.8853932652428</v>
      </c>
      <c r="M358" s="459">
        <f t="shared" si="172"/>
        <v>1546.5626996394808</v>
      </c>
      <c r="N358" s="459">
        <f t="shared" si="172"/>
        <v>1544.326165017899</v>
      </c>
    </row>
    <row r="359" spans="1:14">
      <c r="B359" s="338" t="str">
        <f t="shared" si="168"/>
        <v>35-39</v>
      </c>
      <c r="C359" s="459">
        <f t="shared" ref="C359:N359" si="173">C322+C266</f>
        <v>1589.7965856570372</v>
      </c>
      <c r="D359" s="459">
        <f t="shared" si="173"/>
        <v>1575.4593396843163</v>
      </c>
      <c r="E359" s="459">
        <f t="shared" si="173"/>
        <v>1562.4565745929885</v>
      </c>
      <c r="F359" s="459">
        <f t="shared" si="173"/>
        <v>1547.4330100734835</v>
      </c>
      <c r="G359" s="459">
        <f t="shared" si="173"/>
        <v>1530.4710219992103</v>
      </c>
      <c r="H359" s="459">
        <f t="shared" si="173"/>
        <v>1516.3559517246615</v>
      </c>
      <c r="I359" s="459">
        <f t="shared" si="173"/>
        <v>1506.9210198585511</v>
      </c>
      <c r="J359" s="459">
        <f t="shared" si="173"/>
        <v>1497.9687381726981</v>
      </c>
      <c r="K359" s="459">
        <f t="shared" si="173"/>
        <v>1488.7982825491788</v>
      </c>
      <c r="L359" s="459">
        <f t="shared" si="173"/>
        <v>1483.2043188707673</v>
      </c>
      <c r="M359" s="459">
        <f t="shared" si="173"/>
        <v>1479.0054577425217</v>
      </c>
      <c r="N359" s="459">
        <f t="shared" si="173"/>
        <v>1472.7867592785142</v>
      </c>
    </row>
    <row r="360" spans="1:14">
      <c r="B360" s="338" t="str">
        <f t="shared" si="168"/>
        <v>40-44</v>
      </c>
      <c r="C360" s="459">
        <f t="shared" ref="C360:N360" si="174">C323+C267</f>
        <v>1309.8919589685574</v>
      </c>
      <c r="D360" s="459">
        <f t="shared" si="174"/>
        <v>1342.5848667031166</v>
      </c>
      <c r="E360" s="459">
        <f t="shared" si="174"/>
        <v>1368.3951754935395</v>
      </c>
      <c r="F360" s="459">
        <f t="shared" si="174"/>
        <v>1385.5642837079581</v>
      </c>
      <c r="G360" s="459">
        <f t="shared" si="174"/>
        <v>1394.4443372492528</v>
      </c>
      <c r="H360" s="459">
        <f t="shared" si="174"/>
        <v>1399.6240604149873</v>
      </c>
      <c r="I360" s="459">
        <f t="shared" si="174"/>
        <v>1403.3173087510879</v>
      </c>
      <c r="J360" s="459">
        <f t="shared" si="174"/>
        <v>1402.645952565425</v>
      </c>
      <c r="K360" s="459">
        <f t="shared" si="174"/>
        <v>1398.0470316742067</v>
      </c>
      <c r="L360" s="459">
        <f t="shared" si="174"/>
        <v>1393.9665330739269</v>
      </c>
      <c r="M360" s="459">
        <f t="shared" si="174"/>
        <v>1389.4093278799535</v>
      </c>
      <c r="N360" s="459">
        <f t="shared" si="174"/>
        <v>1382.1318561659411</v>
      </c>
    </row>
    <row r="361" spans="1:14">
      <c r="B361" s="338" t="str">
        <f t="shared" si="168"/>
        <v>45-49</v>
      </c>
      <c r="C361" s="459">
        <f t="shared" ref="C361:N361" si="175">C324+C268</f>
        <v>932.84518896626389</v>
      </c>
      <c r="D361" s="459">
        <f t="shared" si="175"/>
        <v>987.34552649752095</v>
      </c>
      <c r="E361" s="459">
        <f t="shared" si="175"/>
        <v>1036.5967424556056</v>
      </c>
      <c r="F361" s="459">
        <f t="shared" si="175"/>
        <v>1077.722151902748</v>
      </c>
      <c r="G361" s="459">
        <f t="shared" si="175"/>
        <v>1110.1030146961625</v>
      </c>
      <c r="H361" s="459">
        <f t="shared" si="175"/>
        <v>1136.7842893239063</v>
      </c>
      <c r="I361" s="459">
        <f t="shared" si="175"/>
        <v>1159.1959700829811</v>
      </c>
      <c r="J361" s="459">
        <f t="shared" si="175"/>
        <v>1174.928991244393</v>
      </c>
      <c r="K361" s="459">
        <f t="shared" si="175"/>
        <v>1184.3498574777179</v>
      </c>
      <c r="L361" s="459">
        <f t="shared" si="175"/>
        <v>1191.1904306001065</v>
      </c>
      <c r="M361" s="459">
        <f t="shared" si="175"/>
        <v>1195.0320948140266</v>
      </c>
      <c r="N361" s="459">
        <f t="shared" si="175"/>
        <v>1194.505871012889</v>
      </c>
    </row>
    <row r="362" spans="1:14">
      <c r="B362" s="338" t="str">
        <f t="shared" si="168"/>
        <v>50-54</v>
      </c>
      <c r="C362" s="459">
        <f t="shared" ref="C362:N362" si="176">C325+C269</f>
        <v>667.94448830885437</v>
      </c>
      <c r="D362" s="459">
        <f t="shared" si="176"/>
        <v>694.1897299992055</v>
      </c>
      <c r="E362" s="459">
        <f t="shared" si="176"/>
        <v>725.28108995559376</v>
      </c>
      <c r="F362" s="459">
        <f t="shared" si="176"/>
        <v>756.68518700739935</v>
      </c>
      <c r="G362" s="459">
        <f t="shared" si="176"/>
        <v>785.95918141448965</v>
      </c>
      <c r="H362" s="459">
        <f t="shared" si="176"/>
        <v>813.75340468500463</v>
      </c>
      <c r="I362" s="459">
        <f t="shared" si="176"/>
        <v>839.88440960998912</v>
      </c>
      <c r="J362" s="459">
        <f t="shared" si="176"/>
        <v>861.65438584349033</v>
      </c>
      <c r="K362" s="459">
        <f t="shared" si="176"/>
        <v>878.63960522642844</v>
      </c>
      <c r="L362" s="459">
        <f t="shared" si="176"/>
        <v>893.07783058191774</v>
      </c>
      <c r="M362" s="459">
        <f t="shared" si="176"/>
        <v>904.34544106848398</v>
      </c>
      <c r="N362" s="459">
        <f t="shared" si="176"/>
        <v>911.2759940243061</v>
      </c>
    </row>
    <row r="363" spans="1:14">
      <c r="B363" s="338" t="str">
        <f t="shared" si="168"/>
        <v>55-59</v>
      </c>
      <c r="C363" s="459">
        <f t="shared" ref="C363:N363" si="177">C326+C270</f>
        <v>411.7809842219109</v>
      </c>
      <c r="D363" s="459">
        <f t="shared" si="177"/>
        <v>383.78518237964693</v>
      </c>
      <c r="E363" s="459">
        <f t="shared" si="177"/>
        <v>372.51936517168105</v>
      </c>
      <c r="F363" s="459">
        <f t="shared" si="177"/>
        <v>370.61400868736723</v>
      </c>
      <c r="G363" s="459">
        <f t="shared" si="177"/>
        <v>373.81575154414702</v>
      </c>
      <c r="H363" s="459">
        <f t="shared" si="177"/>
        <v>380.88701255830239</v>
      </c>
      <c r="I363" s="459">
        <f t="shared" si="177"/>
        <v>390.36306942526801</v>
      </c>
      <c r="J363" s="459">
        <f t="shared" si="177"/>
        <v>399.40701060475158</v>
      </c>
      <c r="K363" s="459">
        <f t="shared" si="177"/>
        <v>407.21229730360045</v>
      </c>
      <c r="L363" s="459">
        <f t="shared" si="177"/>
        <v>414.91154178552421</v>
      </c>
      <c r="M363" s="459">
        <f t="shared" si="177"/>
        <v>421.55895630457883</v>
      </c>
      <c r="N363" s="459">
        <f t="shared" si="177"/>
        <v>426.04806536906193</v>
      </c>
    </row>
    <row r="364" spans="1:14">
      <c r="B364" s="338" t="str">
        <f t="shared" si="168"/>
        <v>60-64</v>
      </c>
      <c r="C364" s="459">
        <f t="shared" ref="C364:N364" si="178">C327+C271</f>
        <v>120.63609539198829</v>
      </c>
      <c r="D364" s="459">
        <f t="shared" si="178"/>
        <v>119.27344133586358</v>
      </c>
      <c r="E364" s="459">
        <f t="shared" si="178"/>
        <v>116.2616312021533</v>
      </c>
      <c r="F364" s="459">
        <f t="shared" si="178"/>
        <v>113.67816729587064</v>
      </c>
      <c r="G364" s="459">
        <f t="shared" si="178"/>
        <v>112.07137978167005</v>
      </c>
      <c r="H364" s="459">
        <f t="shared" si="178"/>
        <v>112.04078768896483</v>
      </c>
      <c r="I364" s="459">
        <f t="shared" si="178"/>
        <v>113.3219671889856</v>
      </c>
      <c r="J364" s="459">
        <f t="shared" si="178"/>
        <v>114.68350881421343</v>
      </c>
      <c r="K364" s="459">
        <f t="shared" si="178"/>
        <v>115.87749485181763</v>
      </c>
      <c r="L364" s="459">
        <f t="shared" si="178"/>
        <v>117.52179503821023</v>
      </c>
      <c r="M364" s="459">
        <f t="shared" si="178"/>
        <v>119.06688396251988</v>
      </c>
      <c r="N364" s="459">
        <f t="shared" si="178"/>
        <v>119.93555476995573</v>
      </c>
    </row>
    <row r="365" spans="1:14">
      <c r="B365" s="338" t="str">
        <f t="shared" si="168"/>
        <v>65 plus</v>
      </c>
      <c r="C365" s="459">
        <f t="shared" ref="C365:N365" si="179">C328+C272</f>
        <v>22.781998266095805</v>
      </c>
      <c r="D365" s="459">
        <f t="shared" si="179"/>
        <v>27.510404868898544</v>
      </c>
      <c r="E365" s="459">
        <f t="shared" si="179"/>
        <v>29.9489667843688</v>
      </c>
      <c r="F365" s="459">
        <f t="shared" si="179"/>
        <v>30.892668441247018</v>
      </c>
      <c r="G365" s="459">
        <f t="shared" si="179"/>
        <v>31.056883095531258</v>
      </c>
      <c r="H365" s="459">
        <f t="shared" si="179"/>
        <v>31.063897402982178</v>
      </c>
      <c r="I365" s="459">
        <f t="shared" si="179"/>
        <v>31.184814468483353</v>
      </c>
      <c r="J365" s="459">
        <f t="shared" si="179"/>
        <v>31.292770664012323</v>
      </c>
      <c r="K365" s="459">
        <f t="shared" si="179"/>
        <v>31.363456833577171</v>
      </c>
      <c r="L365" s="459">
        <f t="shared" si="179"/>
        <v>31.566883260122445</v>
      </c>
      <c r="M365" s="459">
        <f t="shared" si="179"/>
        <v>31.807789183159255</v>
      </c>
      <c r="N365" s="459">
        <f t="shared" si="179"/>
        <v>31.92973455985733</v>
      </c>
    </row>
    <row r="366" spans="1:14">
      <c r="B366" s="338" t="str">
        <f t="shared" si="168"/>
        <v>Total</v>
      </c>
      <c r="C366" s="459">
        <f t="shared" ref="C366:N366" si="180">SUM(C356:C365)</f>
        <v>8922.082404357021</v>
      </c>
      <c r="D366" s="459">
        <f t="shared" si="180"/>
        <v>8970.2769467588641</v>
      </c>
      <c r="E366" s="459">
        <f t="shared" si="180"/>
        <v>9068.3918858130455</v>
      </c>
      <c r="F366" s="459">
        <f t="shared" si="180"/>
        <v>9163.3884160749749</v>
      </c>
      <c r="G366" s="459">
        <f t="shared" si="180"/>
        <v>9235.6557844907966</v>
      </c>
      <c r="H366" s="459">
        <f t="shared" si="180"/>
        <v>9320.3835105483431</v>
      </c>
      <c r="I366" s="459">
        <f t="shared" si="180"/>
        <v>9424.0058541138933</v>
      </c>
      <c r="J366" s="459">
        <f t="shared" si="180"/>
        <v>9493.6309600731602</v>
      </c>
      <c r="K366" s="459">
        <f t="shared" si="180"/>
        <v>9523.3001107822838</v>
      </c>
      <c r="L366" s="459">
        <f t="shared" si="180"/>
        <v>9559.5691521010904</v>
      </c>
      <c r="M366" s="459">
        <f t="shared" si="180"/>
        <v>9583.2385360665212</v>
      </c>
      <c r="N366" s="459">
        <f t="shared" si="180"/>
        <v>9563.9948489556864</v>
      </c>
    </row>
    <row r="367" spans="1:14">
      <c r="A367" s="309">
        <f>SUM(C367:N367)</f>
        <v>0</v>
      </c>
      <c r="C367" s="309">
        <f t="shared" ref="C367:N367" si="181">SUM(C356:C365)-C366</f>
        <v>0</v>
      </c>
      <c r="D367" s="309">
        <f t="shared" si="181"/>
        <v>0</v>
      </c>
      <c r="E367" s="309">
        <f t="shared" si="181"/>
        <v>0</v>
      </c>
      <c r="F367" s="309">
        <f t="shared" si="181"/>
        <v>0</v>
      </c>
      <c r="G367" s="309">
        <f t="shared" si="181"/>
        <v>0</v>
      </c>
      <c r="H367" s="309">
        <f t="shared" si="181"/>
        <v>0</v>
      </c>
      <c r="I367" s="309">
        <f t="shared" si="181"/>
        <v>0</v>
      </c>
      <c r="J367" s="309">
        <f t="shared" si="181"/>
        <v>0</v>
      </c>
      <c r="K367" s="309">
        <f t="shared" si="181"/>
        <v>0</v>
      </c>
      <c r="L367" s="309">
        <f t="shared" si="181"/>
        <v>0</v>
      </c>
      <c r="M367" s="309">
        <f t="shared" si="181"/>
        <v>0</v>
      </c>
      <c r="N367" s="309">
        <f t="shared" si="181"/>
        <v>0</v>
      </c>
    </row>
    <row r="368" spans="1:14">
      <c r="C368" s="329">
        <f>C350+C366</f>
        <v>12786.987412851917</v>
      </c>
      <c r="D368" s="329">
        <f t="shared" ref="D368:N368" si="182">D350+D366</f>
        <v>12855.738513404584</v>
      </c>
      <c r="E368" s="329">
        <f t="shared" si="182"/>
        <v>12998.316050469</v>
      </c>
      <c r="F368" s="329">
        <f t="shared" si="182"/>
        <v>13138.105245734181</v>
      </c>
      <c r="G368" s="329">
        <f t="shared" si="182"/>
        <v>13246.541294911547</v>
      </c>
      <c r="H368" s="329">
        <f t="shared" si="182"/>
        <v>13373.709515062586</v>
      </c>
      <c r="I368" s="329">
        <f t="shared" si="182"/>
        <v>13528.547619574107</v>
      </c>
      <c r="J368" s="329">
        <f t="shared" si="182"/>
        <v>13635.027100789352</v>
      </c>
      <c r="K368" s="329">
        <f t="shared" si="182"/>
        <v>13684.461372087695</v>
      </c>
      <c r="L368" s="329">
        <f t="shared" si="182"/>
        <v>13743.463089448745</v>
      </c>
      <c r="M368" s="329">
        <f t="shared" si="182"/>
        <v>13784.393459502546</v>
      </c>
      <c r="N368" s="329">
        <f t="shared" si="182"/>
        <v>13763.711607784684</v>
      </c>
    </row>
    <row r="369" spans="1:14">
      <c r="C369" s="329">
        <f>C36</f>
        <v>12786.987412851919</v>
      </c>
      <c r="D369" s="329">
        <f t="shared" ref="D369:N369" si="183">D36</f>
        <v>12855.738513404587</v>
      </c>
      <c r="E369" s="329">
        <f t="shared" si="183"/>
        <v>12998.316050469002</v>
      </c>
      <c r="F369" s="329">
        <f t="shared" si="183"/>
        <v>13138.105245734181</v>
      </c>
      <c r="G369" s="329">
        <f t="shared" si="183"/>
        <v>13246.541294911551</v>
      </c>
      <c r="H369" s="329">
        <f t="shared" si="183"/>
        <v>13373.709515062588</v>
      </c>
      <c r="I369" s="329">
        <f t="shared" si="183"/>
        <v>13528.547619574107</v>
      </c>
      <c r="J369" s="329">
        <f t="shared" si="183"/>
        <v>13635.027100789352</v>
      </c>
      <c r="K369" s="329">
        <f t="shared" si="183"/>
        <v>13684.461372087695</v>
      </c>
      <c r="L369" s="329">
        <f t="shared" si="183"/>
        <v>13743.463089448744</v>
      </c>
      <c r="M369" s="329">
        <f t="shared" si="183"/>
        <v>13784.393459502542</v>
      </c>
      <c r="N369" s="329">
        <f t="shared" si="183"/>
        <v>13763.711607784684</v>
      </c>
    </row>
    <row r="370" spans="1:14">
      <c r="A370" s="309">
        <f>SUM(C370:L370)</f>
        <v>0</v>
      </c>
      <c r="C370" s="329">
        <f>C368-C369</f>
        <v>0</v>
      </c>
      <c r="D370" s="329">
        <f t="shared" ref="D370:N370" si="184">D368-D369</f>
        <v>0</v>
      </c>
      <c r="E370" s="329">
        <f t="shared" si="184"/>
        <v>0</v>
      </c>
      <c r="F370" s="329">
        <f t="shared" si="184"/>
        <v>0</v>
      </c>
      <c r="G370" s="329">
        <f t="shared" si="184"/>
        <v>0</v>
      </c>
      <c r="H370" s="329">
        <f t="shared" si="184"/>
        <v>0</v>
      </c>
      <c r="I370" s="329">
        <f t="shared" si="184"/>
        <v>0</v>
      </c>
      <c r="J370" s="329">
        <f t="shared" si="184"/>
        <v>0</v>
      </c>
      <c r="K370" s="329">
        <f t="shared" si="184"/>
        <v>0</v>
      </c>
      <c r="L370" s="329">
        <f t="shared" si="184"/>
        <v>0</v>
      </c>
      <c r="M370" s="329">
        <f t="shared" si="184"/>
        <v>0</v>
      </c>
      <c r="N370" s="329">
        <f t="shared" si="184"/>
        <v>0</v>
      </c>
    </row>
    <row r="371" spans="1:14">
      <c r="A371" s="309">
        <f>SUM(C371:N371)</f>
        <v>0</v>
      </c>
      <c r="C371" s="329">
        <f>IF(C294&gt;0,0,C294)</f>
        <v>0</v>
      </c>
      <c r="D371" s="329">
        <f t="shared" ref="D371:N371" si="185">IF(D294&gt;0,0,D294)</f>
        <v>0</v>
      </c>
      <c r="E371" s="329">
        <f t="shared" si="185"/>
        <v>0</v>
      </c>
      <c r="F371" s="329">
        <f t="shared" si="185"/>
        <v>0</v>
      </c>
      <c r="G371" s="329">
        <f t="shared" si="185"/>
        <v>0</v>
      </c>
      <c r="H371" s="329">
        <f t="shared" si="185"/>
        <v>0</v>
      </c>
      <c r="I371" s="329">
        <f t="shared" si="185"/>
        <v>0</v>
      </c>
      <c r="J371" s="329">
        <f t="shared" si="185"/>
        <v>0</v>
      </c>
      <c r="K371" s="329">
        <f t="shared" si="185"/>
        <v>0</v>
      </c>
      <c r="L371" s="329">
        <f t="shared" si="185"/>
        <v>0</v>
      </c>
      <c r="M371" s="329">
        <f t="shared" si="185"/>
        <v>0</v>
      </c>
      <c r="N371" s="329">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0000"/>
  </sheetPr>
  <dimension ref="A1:Q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566" customFormat="1">
      <c r="A5" s="706" t="s">
        <v>1689</v>
      </c>
      <c r="B5" s="706"/>
      <c r="C5" s="706"/>
      <c r="D5" s="706"/>
      <c r="E5" s="706"/>
      <c r="F5" s="706"/>
      <c r="G5" s="706"/>
      <c r="H5" s="706"/>
      <c r="I5" s="706"/>
      <c r="J5" s="706"/>
      <c r="K5" s="706"/>
      <c r="L5" s="706"/>
      <c r="M5" s="706"/>
      <c r="N5" s="706"/>
      <c r="O5" s="565"/>
      <c r="P5" s="565"/>
      <c r="Q5" s="565"/>
    </row>
    <row r="6" spans="1:17" s="354" customFormat="1" ht="13.5" customHeigh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ht="13.5" customHeigh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Forecast_stock_figures!B18</f>
        <v>Business Studies</v>
      </c>
      <c r="C15" s="307">
        <f>Forecast_stock_figures!C42</f>
        <v>4190.7656020219183</v>
      </c>
      <c r="D15" s="307">
        <f>Forecast_stock_figures!D42</f>
        <v>4112.7854114647489</v>
      </c>
      <c r="E15" s="307">
        <f>Forecast_stock_figures!E42</f>
        <v>4055.1181721093221</v>
      </c>
      <c r="F15" s="307">
        <f>Forecast_stock_figures!F42</f>
        <v>3888.3058629551306</v>
      </c>
      <c r="G15" s="307">
        <f>Forecast_stock_figures!G42</f>
        <v>3726.3896860129285</v>
      </c>
      <c r="H15" s="307">
        <f>Forecast_stock_figures!H42</f>
        <v>3700.1602214135623</v>
      </c>
      <c r="I15" s="307">
        <f>Forecast_stock_figures!I42</f>
        <v>3732.113720085189</v>
      </c>
      <c r="J15" s="307">
        <f>Forecast_stock_figures!J42</f>
        <v>3795.6822886090704</v>
      </c>
      <c r="K15" s="307">
        <f>Forecast_stock_figures!K42</f>
        <v>3839.0570157411021</v>
      </c>
      <c r="L15" s="307">
        <f>Forecast_stock_figures!L42</f>
        <v>3892.0307178782004</v>
      </c>
      <c r="M15" s="307">
        <f>Forecast_stock_figures!M42</f>
        <v>3954.0926367676466</v>
      </c>
      <c r="N15" s="307">
        <f>Forecast_stock_figures!N42</f>
        <v>4012.9661119373727</v>
      </c>
    </row>
    <row r="17" spans="1:9" ht="15.75">
      <c r="B17" s="340" t="s">
        <v>149</v>
      </c>
    </row>
    <row r="19" spans="1:9">
      <c r="B19" s="1243" t="str">
        <f>Stock_ages_breakdowns!B73</f>
        <v>Age group</v>
      </c>
      <c r="C19" s="1244" t="str">
        <f>Stock_ages_breakdowns!G73</f>
        <v>Business Studies</v>
      </c>
      <c r="D19" s="1245"/>
      <c r="H19" s="325" t="s">
        <v>120</v>
      </c>
    </row>
    <row r="20" spans="1:9">
      <c r="B20" s="1243"/>
      <c r="C20" s="363" t="str">
        <f>Stock_ages_breakdowns!G74</f>
        <v>Male</v>
      </c>
      <c r="D20" s="363" t="str">
        <f>Stock_ages_breakdowns!H74</f>
        <v>Female</v>
      </c>
    </row>
    <row r="21" spans="1:9">
      <c r="B21" s="363" t="str">
        <f>Stock_ages_breakdowns!B75</f>
        <v>20-24</v>
      </c>
      <c r="C21" s="331">
        <f>Stock_ages_breakdowns!G20</f>
        <v>33.141928512604039</v>
      </c>
      <c r="D21" s="331">
        <f>Stock_ages_breakdowns!H20</f>
        <v>67.335503892353429</v>
      </c>
    </row>
    <row r="22" spans="1:9">
      <c r="B22" s="363" t="str">
        <f>Stock_ages_breakdowns!B76</f>
        <v>25-29</v>
      </c>
      <c r="C22" s="331">
        <f>Stock_ages_breakdowns!G21</f>
        <v>198.28861888815428</v>
      </c>
      <c r="D22" s="331">
        <f>Stock_ages_breakdowns!H21</f>
        <v>295.41041472466327</v>
      </c>
    </row>
    <row r="23" spans="1:9">
      <c r="B23" s="363" t="str">
        <f>Stock_ages_breakdowns!B77</f>
        <v>30-34</v>
      </c>
      <c r="C23" s="331">
        <f>Stock_ages_breakdowns!G22</f>
        <v>347.01336176290926</v>
      </c>
      <c r="D23" s="331">
        <f>Stock_ages_breakdowns!H22</f>
        <v>459.67103240585345</v>
      </c>
    </row>
    <row r="24" spans="1:9">
      <c r="B24" s="363" t="str">
        <f>Stock_ages_breakdowns!B78</f>
        <v>35-39</v>
      </c>
      <c r="C24" s="331">
        <f>Stock_ages_breakdowns!G23</f>
        <v>333.83867500837573</v>
      </c>
      <c r="D24" s="331">
        <f>Stock_ages_breakdowns!H23</f>
        <v>429.54656775728188</v>
      </c>
    </row>
    <row r="25" spans="1:9">
      <c r="B25" s="363" t="str">
        <f>Stock_ages_breakdowns!B79</f>
        <v>40-44</v>
      </c>
      <c r="C25" s="331">
        <f>Stock_ages_breakdowns!G24</f>
        <v>295.84090757390499</v>
      </c>
      <c r="D25" s="331">
        <f>Stock_ages_breakdowns!H24</f>
        <v>404.46458927989858</v>
      </c>
    </row>
    <row r="26" spans="1:9">
      <c r="B26" s="363" t="str">
        <f>Stock_ages_breakdowns!B80</f>
        <v>45-49</v>
      </c>
      <c r="C26" s="331">
        <f>Stock_ages_breakdowns!G25</f>
        <v>266.39880921317587</v>
      </c>
      <c r="D26" s="331">
        <f>Stock_ages_breakdowns!H25</f>
        <v>294.06575174567968</v>
      </c>
    </row>
    <row r="27" spans="1:9">
      <c r="B27" s="363" t="str">
        <f>Stock_ages_breakdowns!B81</f>
        <v>50-54</v>
      </c>
      <c r="C27" s="331">
        <f>Stock_ages_breakdowns!G26</f>
        <v>194.23255339483228</v>
      </c>
      <c r="D27" s="331">
        <f>Stock_ages_breakdowns!H26</f>
        <v>222.96117759283212</v>
      </c>
    </row>
    <row r="28" spans="1:9">
      <c r="B28" s="363" t="str">
        <f>Stock_ages_breakdowns!B82</f>
        <v>55-59</v>
      </c>
      <c r="C28" s="331">
        <f>Stock_ages_breakdowns!G27</f>
        <v>132.6520063565614</v>
      </c>
      <c r="D28" s="331">
        <f>Stock_ages_breakdowns!H27</f>
        <v>144.69175741763939</v>
      </c>
    </row>
    <row r="29" spans="1:9">
      <c r="B29" s="363" t="str">
        <f>Stock_ages_breakdowns!B83</f>
        <v>60-64</v>
      </c>
      <c r="C29" s="331">
        <f>Stock_ages_breakdowns!G28</f>
        <v>28.317666861181401</v>
      </c>
      <c r="D29" s="331">
        <f>Stock_ages_breakdowns!H28</f>
        <v>29.897678205847484</v>
      </c>
      <c r="F29" s="325"/>
    </row>
    <row r="30" spans="1:9">
      <c r="B30" s="363" t="str">
        <f>Stock_ages_breakdowns!B84</f>
        <v>65 plus</v>
      </c>
      <c r="C30" s="331">
        <f>Stock_ages_breakdowns!G29</f>
        <v>5.79061273258763</v>
      </c>
      <c r="D30" s="331">
        <f>Stock_ages_breakdowns!H29</f>
        <v>7.2059886955826933</v>
      </c>
      <c r="G30" s="326" t="s">
        <v>49</v>
      </c>
      <c r="H30" s="326" t="s">
        <v>50</v>
      </c>
    </row>
    <row r="31" spans="1:9">
      <c r="A31" s="309">
        <f>I31</f>
        <v>0</v>
      </c>
      <c r="B31" s="363" t="str">
        <f>Stock_ages_breakdowns!B85</f>
        <v>Total</v>
      </c>
      <c r="C31" s="331">
        <f>Stock_ages_breakdowns!G30</f>
        <v>1835.5151403042867</v>
      </c>
      <c r="D31" s="331">
        <f>Stock_ages_breakdowns!H30</f>
        <v>2355.2504617176319</v>
      </c>
      <c r="E31" s="327">
        <f>SUM(C31:D31)</f>
        <v>4190.7656020219183</v>
      </c>
      <c r="G31" s="366">
        <f>C31/$E$31</f>
        <v>0.43799040906003089</v>
      </c>
      <c r="H31" s="366">
        <f>D31/$E$31</f>
        <v>0.56200959093996916</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6" t="str">
        <f>B15</f>
        <v>Business Studies</v>
      </c>
      <c r="C36" s="307">
        <f>Teacher_need_by_subject!C622</f>
        <v>4112.7854114647489</v>
      </c>
      <c r="D36" s="307">
        <f>Teacher_need_by_subject!D622</f>
        <v>4055.1181721093221</v>
      </c>
      <c r="E36" s="307">
        <f>Teacher_need_by_subject!E622</f>
        <v>3888.3058629551306</v>
      </c>
      <c r="F36" s="307">
        <f>Teacher_need_by_subject!F622</f>
        <v>3726.3896860129285</v>
      </c>
      <c r="G36" s="307">
        <f>Teacher_need_by_subject!G622</f>
        <v>3700.1602214135623</v>
      </c>
      <c r="H36" s="307">
        <f>Teacher_need_by_subject!H622</f>
        <v>3732.113720085189</v>
      </c>
      <c r="I36" s="307">
        <f>Teacher_need_by_subject!I622</f>
        <v>3795.6822886090704</v>
      </c>
      <c r="J36" s="307">
        <f>Teacher_need_by_subject!J622</f>
        <v>3839.0570157411021</v>
      </c>
      <c r="K36" s="307">
        <f>Teacher_need_by_subject!K622</f>
        <v>3892.0307178782004</v>
      </c>
      <c r="L36" s="307">
        <f>Teacher_need_by_subject!L622</f>
        <v>3954.0926367676466</v>
      </c>
      <c r="M36" s="307">
        <f>Teacher_need_by_subject!M622</f>
        <v>4012.9661119373727</v>
      </c>
      <c r="N36" s="307">
        <f>Teacher_need_by_subject!N622</f>
        <v>4038.2663451950598</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33.141928512604039</v>
      </c>
      <c r="D43" s="307">
        <f t="shared" ref="D43:L43" si="2">C340</f>
        <v>64.570852696065657</v>
      </c>
      <c r="E43" s="307">
        <f t="shared" si="2"/>
        <v>88.200983675624968</v>
      </c>
      <c r="F43" s="307">
        <f t="shared" si="2"/>
        <v>91.85391328246007</v>
      </c>
      <c r="G43" s="307">
        <f t="shared" si="2"/>
        <v>92.913880354884725</v>
      </c>
      <c r="H43" s="307">
        <f t="shared" si="2"/>
        <v>107.05502393831037</v>
      </c>
      <c r="I43" s="307">
        <f t="shared" si="2"/>
        <v>123.42363884326578</v>
      </c>
      <c r="J43" s="307">
        <f t="shared" si="2"/>
        <v>139.06709622163555</v>
      </c>
      <c r="K43" s="307">
        <f t="shared" si="2"/>
        <v>148.69054965364859</v>
      </c>
      <c r="L43" s="307">
        <f t="shared" si="2"/>
        <v>157.12391688742215</v>
      </c>
      <c r="M43" s="307">
        <f t="shared" ref="M43:M53" si="3">L340</f>
        <v>164.74287214214976</v>
      </c>
      <c r="N43" s="307">
        <f t="shared" ref="N43:N53" si="4">M340</f>
        <v>170.47720209885725</v>
      </c>
    </row>
    <row r="44" spans="2:14">
      <c r="B44" s="363" t="str">
        <f t="shared" ref="B44:C53" si="5">B22</f>
        <v>25-29</v>
      </c>
      <c r="C44" s="307">
        <f t="shared" si="5"/>
        <v>198.28861888815428</v>
      </c>
      <c r="D44" s="307">
        <f t="shared" ref="D44:K53" si="6">C341</f>
        <v>193.65536757506487</v>
      </c>
      <c r="E44" s="307">
        <f t="shared" si="6"/>
        <v>197.28034884124776</v>
      </c>
      <c r="F44" s="307">
        <f t="shared" si="6"/>
        <v>190.619925217131</v>
      </c>
      <c r="G44" s="307">
        <f t="shared" si="6"/>
        <v>184.8129006193835</v>
      </c>
      <c r="H44" s="307">
        <f t="shared" si="6"/>
        <v>194.59337470530616</v>
      </c>
      <c r="I44" s="307">
        <f t="shared" si="6"/>
        <v>210.8474444876019</v>
      </c>
      <c r="J44" s="307">
        <f t="shared" si="6"/>
        <v>229.85967319451103</v>
      </c>
      <c r="K44" s="307">
        <f t="shared" si="6"/>
        <v>245.06959388972351</v>
      </c>
      <c r="L44" s="307">
        <f t="shared" ref="L44:L53" si="7">K341</f>
        <v>259.59920531637647</v>
      </c>
      <c r="M44" s="307">
        <f t="shared" si="3"/>
        <v>273.44778001400795</v>
      </c>
      <c r="N44" s="307">
        <f t="shared" si="4"/>
        <v>285.300055422421</v>
      </c>
    </row>
    <row r="45" spans="2:14">
      <c r="B45" s="363" t="str">
        <f t="shared" si="5"/>
        <v>30-34</v>
      </c>
      <c r="C45" s="307">
        <f t="shared" si="5"/>
        <v>347.01336176290926</v>
      </c>
      <c r="D45" s="307">
        <f t="shared" si="6"/>
        <v>318.44615868867078</v>
      </c>
      <c r="E45" s="307">
        <f t="shared" si="6"/>
        <v>296.77969284354162</v>
      </c>
      <c r="F45" s="307">
        <f t="shared" si="6"/>
        <v>274.43715421288204</v>
      </c>
      <c r="G45" s="307">
        <f t="shared" si="6"/>
        <v>255.63909288352011</v>
      </c>
      <c r="H45" s="307">
        <f t="shared" si="6"/>
        <v>247.3225958162769</v>
      </c>
      <c r="I45" s="307">
        <f t="shared" si="6"/>
        <v>246.14576274809122</v>
      </c>
      <c r="J45" s="307">
        <f t="shared" si="6"/>
        <v>250.34993297487614</v>
      </c>
      <c r="K45" s="307">
        <f t="shared" si="6"/>
        <v>256.28231686591892</v>
      </c>
      <c r="L45" s="307">
        <f t="shared" si="7"/>
        <v>264.39015944346306</v>
      </c>
      <c r="M45" s="307">
        <f t="shared" si="3"/>
        <v>274.01950455104588</v>
      </c>
      <c r="N45" s="307">
        <f t="shared" si="4"/>
        <v>283.99295654799926</v>
      </c>
    </row>
    <row r="46" spans="2:14">
      <c r="B46" s="363" t="str">
        <f t="shared" si="5"/>
        <v>35-39</v>
      </c>
      <c r="C46" s="307">
        <f t="shared" si="5"/>
        <v>333.83867500837573</v>
      </c>
      <c r="D46" s="307">
        <f t="shared" si="6"/>
        <v>330.31438802404557</v>
      </c>
      <c r="E46" s="307">
        <f t="shared" si="6"/>
        <v>322.76661267080937</v>
      </c>
      <c r="F46" s="307">
        <f t="shared" si="6"/>
        <v>308.20836244878495</v>
      </c>
      <c r="G46" s="307">
        <f t="shared" si="6"/>
        <v>292.54093755610074</v>
      </c>
      <c r="H46" s="307">
        <f t="shared" si="6"/>
        <v>282.18203978667134</v>
      </c>
      <c r="I46" s="307">
        <f t="shared" si="6"/>
        <v>275.16336390697711</v>
      </c>
      <c r="J46" s="307">
        <f t="shared" si="6"/>
        <v>271.13833383800068</v>
      </c>
      <c r="K46" s="307">
        <f t="shared" si="6"/>
        <v>268.34768866710908</v>
      </c>
      <c r="L46" s="307">
        <f t="shared" si="7"/>
        <v>267.94402650426179</v>
      </c>
      <c r="M46" s="307">
        <f t="shared" si="3"/>
        <v>269.74999457678416</v>
      </c>
      <c r="N46" s="307">
        <f t="shared" si="4"/>
        <v>273.01932721307401</v>
      </c>
    </row>
    <row r="47" spans="2:14">
      <c r="B47" s="363" t="str">
        <f t="shared" si="5"/>
        <v>40-44</v>
      </c>
      <c r="C47" s="307">
        <f t="shared" si="5"/>
        <v>295.84090757390499</v>
      </c>
      <c r="D47" s="307">
        <f t="shared" si="6"/>
        <v>295.08485013254943</v>
      </c>
      <c r="E47" s="307">
        <f t="shared" si="6"/>
        <v>294.25684604902398</v>
      </c>
      <c r="F47" s="307">
        <f t="shared" si="6"/>
        <v>288.03344251735479</v>
      </c>
      <c r="G47" s="307">
        <f t="shared" si="6"/>
        <v>280.20741198711937</v>
      </c>
      <c r="H47" s="307">
        <f t="shared" si="6"/>
        <v>275.74099072231263</v>
      </c>
      <c r="I47" s="307">
        <f t="shared" si="6"/>
        <v>272.49732865430065</v>
      </c>
      <c r="J47" s="307">
        <f t="shared" si="6"/>
        <v>270.0466632494344</v>
      </c>
      <c r="K47" s="307">
        <f t="shared" si="6"/>
        <v>266.98860808897086</v>
      </c>
      <c r="L47" s="307">
        <f t="shared" si="7"/>
        <v>264.69686804577003</v>
      </c>
      <c r="M47" s="307">
        <f t="shared" si="3"/>
        <v>263.42953389040593</v>
      </c>
      <c r="N47" s="307">
        <f t="shared" si="4"/>
        <v>262.91916815658664</v>
      </c>
    </row>
    <row r="48" spans="2:14">
      <c r="B48" s="363" t="str">
        <f t="shared" si="5"/>
        <v>45-49</v>
      </c>
      <c r="C48" s="307">
        <f t="shared" si="5"/>
        <v>266.39880921317587</v>
      </c>
      <c r="D48" s="307">
        <f t="shared" si="6"/>
        <v>261.17225316747869</v>
      </c>
      <c r="E48" s="307">
        <f t="shared" si="6"/>
        <v>257.49163715901017</v>
      </c>
      <c r="F48" s="307">
        <f t="shared" si="6"/>
        <v>251.2812533098278</v>
      </c>
      <c r="G48" s="307">
        <f t="shared" si="6"/>
        <v>245.16712447978477</v>
      </c>
      <c r="H48" s="307">
        <f t="shared" si="6"/>
        <v>242.61444357165945</v>
      </c>
      <c r="I48" s="307">
        <f t="shared" si="6"/>
        <v>241.50473370451749</v>
      </c>
      <c r="J48" s="307">
        <f t="shared" si="6"/>
        <v>241.09693024336752</v>
      </c>
      <c r="K48" s="307">
        <f t="shared" si="6"/>
        <v>239.9570225343727</v>
      </c>
      <c r="L48" s="307">
        <f t="shared" si="7"/>
        <v>238.95237030745599</v>
      </c>
      <c r="M48" s="307">
        <f t="shared" si="3"/>
        <v>238.19719038338485</v>
      </c>
      <c r="N48" s="307">
        <f t="shared" si="4"/>
        <v>237.48389605777169</v>
      </c>
    </row>
    <row r="49" spans="1:16">
      <c r="B49" s="363" t="str">
        <f t="shared" si="5"/>
        <v>50-54</v>
      </c>
      <c r="C49" s="307">
        <f t="shared" si="5"/>
        <v>194.23255339483228</v>
      </c>
      <c r="D49" s="307">
        <f t="shared" si="6"/>
        <v>193.37530777218674</v>
      </c>
      <c r="E49" s="307">
        <f t="shared" si="6"/>
        <v>192.06068639674982</v>
      </c>
      <c r="F49" s="307">
        <f t="shared" si="6"/>
        <v>188.02136101224997</v>
      </c>
      <c r="G49" s="307">
        <f t="shared" si="6"/>
        <v>183.75194871409286</v>
      </c>
      <c r="H49" s="307">
        <f t="shared" si="6"/>
        <v>182.10518885516055</v>
      </c>
      <c r="I49" s="307">
        <f t="shared" si="6"/>
        <v>181.64376371907284</v>
      </c>
      <c r="J49" s="307">
        <f t="shared" si="6"/>
        <v>181.85444857458799</v>
      </c>
      <c r="K49" s="307">
        <f t="shared" si="6"/>
        <v>181.64807388524437</v>
      </c>
      <c r="L49" s="307">
        <f t="shared" si="7"/>
        <v>181.58969579718419</v>
      </c>
      <c r="M49" s="307">
        <f t="shared" si="3"/>
        <v>181.66714005509422</v>
      </c>
      <c r="N49" s="307">
        <f t="shared" si="4"/>
        <v>181.64387214813411</v>
      </c>
    </row>
    <row r="50" spans="1:16">
      <c r="B50" s="363" t="str">
        <f t="shared" si="5"/>
        <v>55-59</v>
      </c>
      <c r="C50" s="307">
        <f t="shared" si="5"/>
        <v>132.6520063565614</v>
      </c>
      <c r="D50" s="307">
        <f t="shared" si="6"/>
        <v>112.51720857109953</v>
      </c>
      <c r="E50" s="307">
        <f t="shared" si="6"/>
        <v>100.6169228536527</v>
      </c>
      <c r="F50" s="307">
        <f t="shared" si="6"/>
        <v>91.70626958518757</v>
      </c>
      <c r="G50" s="307">
        <f t="shared" si="6"/>
        <v>85.634433146134754</v>
      </c>
      <c r="H50" s="307">
        <f t="shared" si="6"/>
        <v>83.095671036509955</v>
      </c>
      <c r="I50" s="307">
        <f t="shared" si="6"/>
        <v>82.141726114412904</v>
      </c>
      <c r="J50" s="307">
        <f t="shared" si="6"/>
        <v>82.010010767888076</v>
      </c>
      <c r="K50" s="307">
        <f t="shared" si="6"/>
        <v>81.769953619085939</v>
      </c>
      <c r="L50" s="307">
        <f t="shared" si="7"/>
        <v>81.79570619778741</v>
      </c>
      <c r="M50" s="307">
        <f t="shared" si="3"/>
        <v>82.005145928875478</v>
      </c>
      <c r="N50" s="307">
        <f t="shared" si="4"/>
        <v>82.178840289122746</v>
      </c>
    </row>
    <row r="51" spans="1:16">
      <c r="B51" s="363" t="str">
        <f t="shared" si="5"/>
        <v>60-64</v>
      </c>
      <c r="C51" s="307">
        <f t="shared" si="5"/>
        <v>28.317666861181401</v>
      </c>
      <c r="D51" s="307">
        <f t="shared" si="6"/>
        <v>32.145716623388338</v>
      </c>
      <c r="E51" s="307">
        <f t="shared" si="6"/>
        <v>31.640500768033686</v>
      </c>
      <c r="F51" s="307">
        <f t="shared" si="6"/>
        <v>29.148333181194175</v>
      </c>
      <c r="G51" s="307">
        <f t="shared" si="6"/>
        <v>26.779351286739814</v>
      </c>
      <c r="H51" s="307">
        <f t="shared" si="6"/>
        <v>25.734569031064538</v>
      </c>
      <c r="I51" s="307">
        <f t="shared" si="6"/>
        <v>25.314211671635899</v>
      </c>
      <c r="J51" s="307">
        <f t="shared" si="6"/>
        <v>25.242466705048436</v>
      </c>
      <c r="K51" s="307">
        <f t="shared" si="6"/>
        <v>25.097452094603991</v>
      </c>
      <c r="L51" s="307">
        <f t="shared" si="7"/>
        <v>25.095876067616278</v>
      </c>
      <c r="M51" s="307">
        <f t="shared" si="3"/>
        <v>25.197510712074976</v>
      </c>
      <c r="N51" s="307">
        <f t="shared" si="4"/>
        <v>25.290366824149032</v>
      </c>
    </row>
    <row r="52" spans="1:16">
      <c r="B52" s="363" t="str">
        <f t="shared" si="5"/>
        <v>65 plus</v>
      </c>
      <c r="C52" s="307">
        <f t="shared" si="5"/>
        <v>5.79061273258763</v>
      </c>
      <c r="D52" s="307">
        <f t="shared" si="6"/>
        <v>6.7897885010585686</v>
      </c>
      <c r="E52" s="307">
        <f t="shared" si="6"/>
        <v>7.7570542395764459</v>
      </c>
      <c r="F52" s="307">
        <f t="shared" si="6"/>
        <v>8.0179304186645979</v>
      </c>
      <c r="G52" s="307">
        <f t="shared" si="6"/>
        <v>7.8663286047903194</v>
      </c>
      <c r="H52" s="307">
        <f t="shared" si="6"/>
        <v>7.7378136388391354</v>
      </c>
      <c r="I52" s="307">
        <f t="shared" si="6"/>
        <v>7.6539414400754584</v>
      </c>
      <c r="J52" s="307">
        <f t="shared" si="6"/>
        <v>7.6252972102988279</v>
      </c>
      <c r="K52" s="307">
        <f t="shared" si="6"/>
        <v>7.5784695526456325</v>
      </c>
      <c r="L52" s="307">
        <f t="shared" si="7"/>
        <v>7.5620959308589271</v>
      </c>
      <c r="M52" s="307">
        <f t="shared" si="3"/>
        <v>7.5780313510909689</v>
      </c>
      <c r="N52" s="307">
        <f t="shared" si="4"/>
        <v>7.6022018923793393</v>
      </c>
    </row>
    <row r="53" spans="1:16">
      <c r="B53" s="363" t="str">
        <f t="shared" si="5"/>
        <v>Total</v>
      </c>
      <c r="C53" s="307">
        <f t="shared" si="5"/>
        <v>1835.5151403042867</v>
      </c>
      <c r="D53" s="307">
        <f t="shared" si="6"/>
        <v>1808.0718917516081</v>
      </c>
      <c r="E53" s="307">
        <f t="shared" si="6"/>
        <v>1788.8512854972707</v>
      </c>
      <c r="F53" s="307">
        <f t="shared" si="6"/>
        <v>1721.327945185737</v>
      </c>
      <c r="G53" s="307">
        <f t="shared" si="6"/>
        <v>1655.3134096325512</v>
      </c>
      <c r="H53" s="307">
        <f t="shared" si="6"/>
        <v>1648.1817111021107</v>
      </c>
      <c r="I53" s="307">
        <f t="shared" si="6"/>
        <v>1666.3359152899511</v>
      </c>
      <c r="J53" s="307">
        <f t="shared" si="6"/>
        <v>1698.2908529796489</v>
      </c>
      <c r="K53" s="307">
        <f t="shared" si="6"/>
        <v>1721.4297288513239</v>
      </c>
      <c r="L53" s="307">
        <f t="shared" si="7"/>
        <v>1748.7499204981966</v>
      </c>
      <c r="M53" s="307">
        <f t="shared" si="3"/>
        <v>1780.0347036049141</v>
      </c>
      <c r="N53" s="307">
        <f t="shared" si="4"/>
        <v>1809.9078866504949</v>
      </c>
    </row>
    <row r="54" spans="1:16">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6">
      <c r="B56" s="341" t="s">
        <v>50</v>
      </c>
      <c r="H56" s="325"/>
    </row>
    <row r="57" spans="1:16">
      <c r="H57" s="325"/>
    </row>
    <row r="58" spans="1:16">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6">
      <c r="B59" s="338" t="str">
        <f t="shared" si="9"/>
        <v>20-24</v>
      </c>
      <c r="C59" s="307">
        <f t="shared" ref="C59:C69" si="11">D21</f>
        <v>67.335503892353429</v>
      </c>
      <c r="D59" s="307">
        <f t="shared" ref="D59:L59" si="12">C356</f>
        <v>100.57059071019194</v>
      </c>
      <c r="E59" s="307">
        <f t="shared" si="12"/>
        <v>125.84803643677145</v>
      </c>
      <c r="F59" s="307">
        <f t="shared" si="12"/>
        <v>126.94958623650137</v>
      </c>
      <c r="G59" s="307">
        <f t="shared" si="12"/>
        <v>125.75357111540026</v>
      </c>
      <c r="H59" s="307">
        <f t="shared" si="12"/>
        <v>142.07588840229602</v>
      </c>
      <c r="I59" s="307">
        <f t="shared" si="12"/>
        <v>161.78629059699577</v>
      </c>
      <c r="J59" s="307">
        <f t="shared" si="12"/>
        <v>180.94539540860691</v>
      </c>
      <c r="K59" s="307">
        <f t="shared" si="12"/>
        <v>192.6500347105669</v>
      </c>
      <c r="L59" s="307">
        <f t="shared" si="12"/>
        <v>203.01716045831776</v>
      </c>
      <c r="M59" s="307">
        <f t="shared" ref="M59:M69" si="13">L356</f>
        <v>212.47386968118238</v>
      </c>
      <c r="N59" s="307">
        <f t="shared" ref="N59:N69" si="14">M356</f>
        <v>219.60790808663421</v>
      </c>
      <c r="O59" s="327"/>
      <c r="P59" s="327"/>
    </row>
    <row r="60" spans="1:16">
      <c r="B60" s="338" t="str">
        <f t="shared" si="9"/>
        <v>25-29</v>
      </c>
      <c r="C60" s="307">
        <f t="shared" si="11"/>
        <v>295.41041472466327</v>
      </c>
      <c r="D60" s="307">
        <f t="shared" ref="D60:K69" si="15">C357</f>
        <v>281.18476230251019</v>
      </c>
      <c r="E60" s="307">
        <f t="shared" si="15"/>
        <v>278.50676865398725</v>
      </c>
      <c r="F60" s="307">
        <f t="shared" si="15"/>
        <v>263.64594108888309</v>
      </c>
      <c r="G60" s="307">
        <f t="shared" si="15"/>
        <v>250.99947095193124</v>
      </c>
      <c r="H60" s="307">
        <f t="shared" si="15"/>
        <v>259.35288036882662</v>
      </c>
      <c r="I60" s="307">
        <f t="shared" si="15"/>
        <v>276.72722158688134</v>
      </c>
      <c r="J60" s="307">
        <f t="shared" si="15"/>
        <v>298.20208061676237</v>
      </c>
      <c r="K60" s="307">
        <f t="shared" si="15"/>
        <v>315.25499569849944</v>
      </c>
      <c r="L60" s="307">
        <f t="shared" ref="L60:L69" si="16">K357</f>
        <v>331.85674577033245</v>
      </c>
      <c r="M60" s="307">
        <f t="shared" si="13"/>
        <v>347.93299145571473</v>
      </c>
      <c r="N60" s="307">
        <f t="shared" si="14"/>
        <v>361.73201734291433</v>
      </c>
      <c r="O60" s="327"/>
      <c r="P60" s="327"/>
    </row>
    <row r="61" spans="1:16">
      <c r="B61" s="338" t="str">
        <f t="shared" si="9"/>
        <v>30-34</v>
      </c>
      <c r="C61" s="307">
        <f t="shared" si="11"/>
        <v>459.67103240585345</v>
      </c>
      <c r="D61" s="307">
        <f t="shared" si="15"/>
        <v>416.66163443642733</v>
      </c>
      <c r="E61" s="307">
        <f t="shared" si="15"/>
        <v>383.45367440230689</v>
      </c>
      <c r="F61" s="307">
        <f t="shared" si="15"/>
        <v>350.01836447178766</v>
      </c>
      <c r="G61" s="307">
        <f t="shared" si="15"/>
        <v>321.8655914450743</v>
      </c>
      <c r="H61" s="307">
        <f t="shared" si="15"/>
        <v>307.80880352222709</v>
      </c>
      <c r="I61" s="307">
        <f t="shared" si="15"/>
        <v>303.2070230241539</v>
      </c>
      <c r="J61" s="307">
        <f t="shared" si="15"/>
        <v>305.63505492681327</v>
      </c>
      <c r="K61" s="307">
        <f t="shared" si="15"/>
        <v>310.32221117136299</v>
      </c>
      <c r="L61" s="307">
        <f t="shared" si="16"/>
        <v>317.89510718285874</v>
      </c>
      <c r="M61" s="307">
        <f t="shared" si="13"/>
        <v>327.51588330898846</v>
      </c>
      <c r="N61" s="307">
        <f t="shared" si="14"/>
        <v>337.67769807426941</v>
      </c>
      <c r="O61" s="327"/>
      <c r="P61" s="327"/>
    </row>
    <row r="62" spans="1:16">
      <c r="B62" s="338" t="str">
        <f t="shared" si="9"/>
        <v>35-39</v>
      </c>
      <c r="C62" s="307">
        <f t="shared" si="11"/>
        <v>429.54656775728188</v>
      </c>
      <c r="D62" s="307">
        <f t="shared" si="15"/>
        <v>419.92015502403711</v>
      </c>
      <c r="E62" s="307">
        <f t="shared" si="15"/>
        <v>405.49910889726658</v>
      </c>
      <c r="F62" s="307">
        <f t="shared" si="15"/>
        <v>382.56825705923808</v>
      </c>
      <c r="G62" s="307">
        <f t="shared" si="15"/>
        <v>358.81638114539464</v>
      </c>
      <c r="H62" s="307">
        <f t="shared" si="15"/>
        <v>342.45837651818681</v>
      </c>
      <c r="I62" s="307">
        <f t="shared" si="15"/>
        <v>330.79347184401456</v>
      </c>
      <c r="J62" s="307">
        <f t="shared" si="15"/>
        <v>323.23278728102053</v>
      </c>
      <c r="K62" s="307">
        <f t="shared" si="15"/>
        <v>317.39573076362188</v>
      </c>
      <c r="L62" s="307">
        <f t="shared" si="16"/>
        <v>314.70252033167344</v>
      </c>
      <c r="M62" s="307">
        <f t="shared" si="13"/>
        <v>314.86968667576463</v>
      </c>
      <c r="N62" s="307">
        <f t="shared" si="14"/>
        <v>316.90478535833591</v>
      </c>
      <c r="O62" s="327"/>
      <c r="P62" s="327"/>
    </row>
    <row r="63" spans="1:16">
      <c r="B63" s="338" t="str">
        <f t="shared" si="9"/>
        <v>40-44</v>
      </c>
      <c r="C63" s="307">
        <f t="shared" si="11"/>
        <v>404.46458927989858</v>
      </c>
      <c r="D63" s="307">
        <f t="shared" si="15"/>
        <v>394.69979817093531</v>
      </c>
      <c r="E63" s="307">
        <f t="shared" si="15"/>
        <v>386.21179810912668</v>
      </c>
      <c r="F63" s="307">
        <f t="shared" si="15"/>
        <v>371.8867306190964</v>
      </c>
      <c r="G63" s="307">
        <f t="shared" si="15"/>
        <v>356.44419784495369</v>
      </c>
      <c r="H63" s="307">
        <f t="shared" si="15"/>
        <v>346.12952058063507</v>
      </c>
      <c r="I63" s="307">
        <f t="shared" si="15"/>
        <v>338.06354061376015</v>
      </c>
      <c r="J63" s="307">
        <f t="shared" si="15"/>
        <v>331.57853225658192</v>
      </c>
      <c r="K63" s="307">
        <f t="shared" si="15"/>
        <v>324.76852836313253</v>
      </c>
      <c r="L63" s="307">
        <f t="shared" si="16"/>
        <v>319.30511825804871</v>
      </c>
      <c r="M63" s="307">
        <f t="shared" si="13"/>
        <v>315.43036690495825</v>
      </c>
      <c r="N63" s="307">
        <f t="shared" si="14"/>
        <v>312.72357953086504</v>
      </c>
      <c r="O63" s="327"/>
      <c r="P63" s="327"/>
    </row>
    <row r="64" spans="1:16">
      <c r="B64" s="338" t="str">
        <f t="shared" si="9"/>
        <v>45-49</v>
      </c>
      <c r="C64" s="307">
        <f t="shared" si="11"/>
        <v>294.06575174567968</v>
      </c>
      <c r="D64" s="307">
        <f t="shared" si="15"/>
        <v>303.86546070803939</v>
      </c>
      <c r="E64" s="307">
        <f t="shared" si="15"/>
        <v>309.67309318326409</v>
      </c>
      <c r="F64" s="307">
        <f t="shared" si="15"/>
        <v>308.08962371773958</v>
      </c>
      <c r="G64" s="307">
        <f t="shared" si="15"/>
        <v>303.78988612704057</v>
      </c>
      <c r="H64" s="307">
        <f t="shared" si="15"/>
        <v>302.145402565393</v>
      </c>
      <c r="I64" s="307">
        <f t="shared" si="15"/>
        <v>301.08578453155411</v>
      </c>
      <c r="J64" s="307">
        <f t="shared" si="15"/>
        <v>300.1168161006778</v>
      </c>
      <c r="K64" s="307">
        <f t="shared" si="15"/>
        <v>297.71459943578873</v>
      </c>
      <c r="L64" s="307">
        <f t="shared" si="16"/>
        <v>295.208213094955</v>
      </c>
      <c r="M64" s="307">
        <f t="shared" si="13"/>
        <v>292.88384464850361</v>
      </c>
      <c r="N64" s="307">
        <f t="shared" si="14"/>
        <v>290.56103569256817</v>
      </c>
      <c r="O64" s="327"/>
      <c r="P64" s="327"/>
    </row>
    <row r="65" spans="1:16">
      <c r="B65" s="338" t="str">
        <f t="shared" si="9"/>
        <v>50-54</v>
      </c>
      <c r="C65" s="307">
        <f t="shared" si="11"/>
        <v>222.96117759283212</v>
      </c>
      <c r="D65" s="307">
        <f t="shared" si="15"/>
        <v>220.26057196948796</v>
      </c>
      <c r="E65" s="307">
        <f t="shared" si="15"/>
        <v>220.37338049131608</v>
      </c>
      <c r="F65" s="307">
        <f t="shared" si="15"/>
        <v>218.34379486353791</v>
      </c>
      <c r="G65" s="307">
        <f t="shared" si="15"/>
        <v>216.25396579010592</v>
      </c>
      <c r="H65" s="307">
        <f t="shared" si="15"/>
        <v>217.19274745030594</v>
      </c>
      <c r="I65" s="307">
        <f t="shared" si="15"/>
        <v>219.06363257671359</v>
      </c>
      <c r="J65" s="307">
        <f t="shared" si="15"/>
        <v>221.14958040068828</v>
      </c>
      <c r="K65" s="307">
        <f t="shared" si="15"/>
        <v>222.09452856654613</v>
      </c>
      <c r="L65" s="307">
        <f t="shared" si="16"/>
        <v>222.71322710228463</v>
      </c>
      <c r="M65" s="307">
        <f t="shared" si="13"/>
        <v>223.08989501613038</v>
      </c>
      <c r="N65" s="307">
        <f t="shared" si="14"/>
        <v>223.01665414040986</v>
      </c>
      <c r="O65" s="327"/>
      <c r="P65" s="327"/>
    </row>
    <row r="66" spans="1:16">
      <c r="B66" s="338" t="str">
        <f t="shared" si="9"/>
        <v>55-59</v>
      </c>
      <c r="C66" s="307">
        <f t="shared" si="11"/>
        <v>144.69175741763939</v>
      </c>
      <c r="D66" s="307">
        <f t="shared" si="15"/>
        <v>126.62505268590701</v>
      </c>
      <c r="E66" s="307">
        <f t="shared" si="15"/>
        <v>115.60303776714532</v>
      </c>
      <c r="F66" s="307">
        <f t="shared" si="15"/>
        <v>106.88327385530077</v>
      </c>
      <c r="G66" s="307">
        <f t="shared" si="15"/>
        <v>101.10905735060243</v>
      </c>
      <c r="H66" s="307">
        <f t="shared" si="15"/>
        <v>99.508552049380484</v>
      </c>
      <c r="I66" s="307">
        <f t="shared" si="15"/>
        <v>99.709553841189049</v>
      </c>
      <c r="J66" s="307">
        <f t="shared" si="15"/>
        <v>100.75368464453248</v>
      </c>
      <c r="K66" s="307">
        <f t="shared" si="15"/>
        <v>101.4430105044985</v>
      </c>
      <c r="L66" s="307">
        <f t="shared" si="16"/>
        <v>102.2518441390833</v>
      </c>
      <c r="M66" s="307">
        <f t="shared" si="13"/>
        <v>103.08892018354179</v>
      </c>
      <c r="N66" s="307">
        <f t="shared" si="14"/>
        <v>103.69537744431661</v>
      </c>
      <c r="O66" s="327"/>
      <c r="P66" s="327"/>
    </row>
    <row r="67" spans="1:16">
      <c r="B67" s="338" t="str">
        <f t="shared" si="9"/>
        <v>60-64</v>
      </c>
      <c r="C67" s="307">
        <f t="shared" si="11"/>
        <v>29.897678205847484</v>
      </c>
      <c r="D67" s="307">
        <f t="shared" si="15"/>
        <v>33.55614565452958</v>
      </c>
      <c r="E67" s="307">
        <f t="shared" si="15"/>
        <v>33.259383660584135</v>
      </c>
      <c r="F67" s="307">
        <f t="shared" si="15"/>
        <v>30.812496666717387</v>
      </c>
      <c r="G67" s="307">
        <f t="shared" si="15"/>
        <v>28.567522893595122</v>
      </c>
      <c r="H67" s="307">
        <f t="shared" si="15"/>
        <v>27.937330853793696</v>
      </c>
      <c r="I67" s="307">
        <f t="shared" si="15"/>
        <v>27.963366204703341</v>
      </c>
      <c r="J67" s="307">
        <f t="shared" si="15"/>
        <v>28.313520749849999</v>
      </c>
      <c r="K67" s="307">
        <f t="shared" si="15"/>
        <v>28.472509690409268</v>
      </c>
      <c r="L67" s="307">
        <f t="shared" si="16"/>
        <v>28.74919790121961</v>
      </c>
      <c r="M67" s="307">
        <f t="shared" si="13"/>
        <v>29.096288491942346</v>
      </c>
      <c r="N67" s="307">
        <f t="shared" si="14"/>
        <v>29.375472964131781</v>
      </c>
      <c r="O67" s="327"/>
      <c r="P67" s="327"/>
    </row>
    <row r="68" spans="1:16">
      <c r="B68" s="338" t="str">
        <f t="shared" si="9"/>
        <v>65 plus</v>
      </c>
      <c r="C68" s="307">
        <f t="shared" si="11"/>
        <v>7.2059886955826933</v>
      </c>
      <c r="D68" s="307">
        <f t="shared" si="15"/>
        <v>7.3693480510754394</v>
      </c>
      <c r="E68" s="307">
        <f t="shared" si="15"/>
        <v>7.8386050102837537</v>
      </c>
      <c r="F68" s="307">
        <f t="shared" si="15"/>
        <v>7.7798491905918752</v>
      </c>
      <c r="G68" s="307">
        <f t="shared" si="15"/>
        <v>7.4766317162797025</v>
      </c>
      <c r="H68" s="307">
        <f t="shared" si="15"/>
        <v>7.3690080004070397</v>
      </c>
      <c r="I68" s="307">
        <f t="shared" si="15"/>
        <v>7.3779199752724578</v>
      </c>
      <c r="J68" s="307">
        <f t="shared" si="15"/>
        <v>7.4639832438887153</v>
      </c>
      <c r="K68" s="307">
        <f t="shared" si="15"/>
        <v>7.5111379853528897</v>
      </c>
      <c r="L68" s="307">
        <f t="shared" si="16"/>
        <v>7.5816631412313589</v>
      </c>
      <c r="M68" s="307">
        <f t="shared" si="13"/>
        <v>7.6761867960067898</v>
      </c>
      <c r="N68" s="307">
        <f t="shared" si="14"/>
        <v>7.7636966524332456</v>
      </c>
      <c r="O68" s="327"/>
      <c r="P68" s="327"/>
    </row>
    <row r="69" spans="1:16">
      <c r="B69" s="338" t="str">
        <f t="shared" si="9"/>
        <v>Total</v>
      </c>
      <c r="C69" s="307">
        <f t="shared" si="11"/>
        <v>2355.2504617176319</v>
      </c>
      <c r="D69" s="307">
        <f t="shared" si="15"/>
        <v>2304.7135197131415</v>
      </c>
      <c r="E69" s="307">
        <f t="shared" si="15"/>
        <v>2266.2668866120521</v>
      </c>
      <c r="F69" s="307">
        <f t="shared" si="15"/>
        <v>2166.977917769394</v>
      </c>
      <c r="G69" s="307">
        <f t="shared" si="15"/>
        <v>2071.0762763803777</v>
      </c>
      <c r="H69" s="307">
        <f t="shared" si="15"/>
        <v>2051.9785103114518</v>
      </c>
      <c r="I69" s="307">
        <f t="shared" si="15"/>
        <v>2065.7778047952384</v>
      </c>
      <c r="J69" s="307">
        <f t="shared" si="15"/>
        <v>2097.3914356294222</v>
      </c>
      <c r="K69" s="307">
        <f t="shared" si="15"/>
        <v>2117.6272868897795</v>
      </c>
      <c r="L69" s="307">
        <f t="shared" si="16"/>
        <v>2143.280797380005</v>
      </c>
      <c r="M69" s="307">
        <f t="shared" si="13"/>
        <v>2174.0579331627332</v>
      </c>
      <c r="N69" s="307">
        <f t="shared" si="14"/>
        <v>2203.058225286879</v>
      </c>
      <c r="O69" s="327"/>
      <c r="P69" s="327"/>
    </row>
    <row r="70" spans="1:16">
      <c r="A70" s="309">
        <f>SUM(C70:N70)</f>
        <v>0</v>
      </c>
      <c r="C70" s="309">
        <f t="shared" ref="C70:N70" si="17">SUM(C59:C68)-C69</f>
        <v>0</v>
      </c>
      <c r="D70" s="309">
        <f t="shared" si="17"/>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6" ht="15.75">
      <c r="B72" s="340" t="s">
        <v>150</v>
      </c>
      <c r="H72" s="325"/>
    </row>
    <row r="73" spans="1:16">
      <c r="H73" s="325"/>
    </row>
    <row r="74" spans="1:16">
      <c r="B74" s="341" t="s">
        <v>49</v>
      </c>
      <c r="C74" s="262" t="s">
        <v>453</v>
      </c>
      <c r="H74" s="325"/>
    </row>
    <row r="75" spans="1:16">
      <c r="H75" s="325"/>
    </row>
    <row r="76" spans="1:16">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6">
      <c r="B77" s="338" t="str">
        <f t="shared" si="18"/>
        <v>20-24</v>
      </c>
      <c r="C77" s="459">
        <f>C43-(0.2*C43)</f>
        <v>26.51354281008323</v>
      </c>
      <c r="D77" s="459">
        <f>D43-(0.2*D43)</f>
        <v>51.656682156852526</v>
      </c>
      <c r="E77" s="459">
        <f t="shared" ref="E77:N77" si="20">E43-(0.2*E43)</f>
        <v>70.56078694049998</v>
      </c>
      <c r="F77" s="459">
        <f t="shared" si="20"/>
        <v>73.483130625968059</v>
      </c>
      <c r="G77" s="459">
        <f t="shared" si="20"/>
        <v>74.331104283907777</v>
      </c>
      <c r="H77" s="459">
        <f t="shared" si="20"/>
        <v>85.64401915064829</v>
      </c>
      <c r="I77" s="459">
        <f t="shared" si="20"/>
        <v>98.738911074612616</v>
      </c>
      <c r="J77" s="459">
        <f t="shared" si="20"/>
        <v>111.25367697730844</v>
      </c>
      <c r="K77" s="459">
        <f t="shared" si="20"/>
        <v>118.95243972291887</v>
      </c>
      <c r="L77" s="459">
        <f t="shared" si="20"/>
        <v>125.69913350993772</v>
      </c>
      <c r="M77" s="459">
        <f t="shared" si="20"/>
        <v>131.7942977137198</v>
      </c>
      <c r="N77" s="459">
        <f t="shared" si="20"/>
        <v>136.3817616790858</v>
      </c>
      <c r="O77" s="327"/>
    </row>
    <row r="78" spans="1:16">
      <c r="B78" s="338" t="str">
        <f t="shared" si="18"/>
        <v>25-29</v>
      </c>
      <c r="C78" s="459">
        <f t="shared" ref="C78:C85" si="21">C44+(0.2*C43)-(0.2*C44)</f>
        <v>165.25928081304423</v>
      </c>
      <c r="D78" s="459">
        <f t="shared" ref="D78:N78" si="22">D44+(0.2*D43)-(0.2*D44)</f>
        <v>167.83846459926502</v>
      </c>
      <c r="E78" s="459">
        <f t="shared" si="22"/>
        <v>175.46447580812318</v>
      </c>
      <c r="F78" s="459">
        <f t="shared" si="22"/>
        <v>170.86672283019681</v>
      </c>
      <c r="G78" s="459">
        <f t="shared" si="22"/>
        <v>166.43309656648373</v>
      </c>
      <c r="H78" s="459">
        <f t="shared" si="22"/>
        <v>177.08570455190701</v>
      </c>
      <c r="I78" s="459">
        <f t="shared" si="22"/>
        <v>193.36268335873467</v>
      </c>
      <c r="J78" s="459">
        <f t="shared" si="22"/>
        <v>211.70115779993591</v>
      </c>
      <c r="K78" s="459">
        <f t="shared" si="22"/>
        <v>225.79378504250855</v>
      </c>
      <c r="L78" s="459">
        <f t="shared" si="22"/>
        <v>239.10414763058563</v>
      </c>
      <c r="M78" s="459">
        <f t="shared" si="22"/>
        <v>251.70679843963629</v>
      </c>
      <c r="N78" s="459">
        <f t="shared" si="22"/>
        <v>262.33548475770823</v>
      </c>
      <c r="O78" s="327"/>
    </row>
    <row r="79" spans="1:16">
      <c r="B79" s="338" t="str">
        <f t="shared" si="18"/>
        <v>30-34</v>
      </c>
      <c r="C79" s="459">
        <f t="shared" si="21"/>
        <v>317.26841318795823</v>
      </c>
      <c r="D79" s="459">
        <f t="shared" ref="D79:N79" si="23">D45+(0.2*D44)-(0.2*D45)</f>
        <v>293.48800046594954</v>
      </c>
      <c r="E79" s="459">
        <f t="shared" si="23"/>
        <v>276.87982404308286</v>
      </c>
      <c r="F79" s="459">
        <f t="shared" si="23"/>
        <v>257.67370841373184</v>
      </c>
      <c r="G79" s="459">
        <f t="shared" si="23"/>
        <v>241.4738544306928</v>
      </c>
      <c r="H79" s="459">
        <f t="shared" si="23"/>
        <v>236.77675159408278</v>
      </c>
      <c r="I79" s="459">
        <f t="shared" si="23"/>
        <v>239.08609909599338</v>
      </c>
      <c r="J79" s="459">
        <f t="shared" si="23"/>
        <v>246.25188101880312</v>
      </c>
      <c r="K79" s="459">
        <f t="shared" si="23"/>
        <v>254.03977227067983</v>
      </c>
      <c r="L79" s="459">
        <f t="shared" si="23"/>
        <v>263.43196861804574</v>
      </c>
      <c r="M79" s="459">
        <f t="shared" si="23"/>
        <v>273.90515964363834</v>
      </c>
      <c r="N79" s="459">
        <f t="shared" si="23"/>
        <v>284.25437632288356</v>
      </c>
      <c r="O79" s="327"/>
    </row>
    <row r="80" spans="1:16">
      <c r="B80" s="338" t="str">
        <f t="shared" si="18"/>
        <v>35-39</v>
      </c>
      <c r="C80" s="459">
        <f t="shared" si="21"/>
        <v>336.47361235928247</v>
      </c>
      <c r="D80" s="459">
        <f t="shared" ref="D80:N80" si="24">D46+(0.2*D45)-(0.2*D46)</f>
        <v>327.94074215697066</v>
      </c>
      <c r="E80" s="459">
        <f t="shared" si="24"/>
        <v>317.56922870535584</v>
      </c>
      <c r="F80" s="459">
        <f t="shared" si="24"/>
        <v>301.45412080160435</v>
      </c>
      <c r="G80" s="459">
        <f t="shared" si="24"/>
        <v>285.16056862158462</v>
      </c>
      <c r="H80" s="459">
        <f t="shared" si="24"/>
        <v>275.21015099259245</v>
      </c>
      <c r="I80" s="459">
        <f t="shared" si="24"/>
        <v>269.3598436751999</v>
      </c>
      <c r="J80" s="459">
        <f t="shared" si="24"/>
        <v>266.98065366537583</v>
      </c>
      <c r="K80" s="459">
        <f t="shared" si="24"/>
        <v>265.93461430687108</v>
      </c>
      <c r="L80" s="459">
        <f t="shared" si="24"/>
        <v>267.23325309210207</v>
      </c>
      <c r="M80" s="459">
        <f t="shared" si="24"/>
        <v>270.60389657163648</v>
      </c>
      <c r="N80" s="459">
        <f t="shared" si="24"/>
        <v>275.21405308005905</v>
      </c>
      <c r="O80" s="327"/>
    </row>
    <row r="81" spans="1:15">
      <c r="B81" s="338" t="str">
        <f t="shared" si="18"/>
        <v>40-44</v>
      </c>
      <c r="C81" s="459">
        <f t="shared" si="21"/>
        <v>303.44046106079912</v>
      </c>
      <c r="D81" s="459">
        <f t="shared" ref="D81:N81" si="25">D47+(0.2*D46)-(0.2*D47)</f>
        <v>302.13075771084863</v>
      </c>
      <c r="E81" s="459">
        <f t="shared" si="25"/>
        <v>299.958799373381</v>
      </c>
      <c r="F81" s="459">
        <f t="shared" si="25"/>
        <v>292.06842650364081</v>
      </c>
      <c r="G81" s="459">
        <f t="shared" si="25"/>
        <v>282.67411710091568</v>
      </c>
      <c r="H81" s="459">
        <f t="shared" si="25"/>
        <v>277.02920053518437</v>
      </c>
      <c r="I81" s="459">
        <f t="shared" si="25"/>
        <v>273.03053570483593</v>
      </c>
      <c r="J81" s="459">
        <f t="shared" si="25"/>
        <v>270.26499736714766</v>
      </c>
      <c r="K81" s="459">
        <f t="shared" si="25"/>
        <v>267.26042420459851</v>
      </c>
      <c r="L81" s="459">
        <f t="shared" si="25"/>
        <v>265.34629973746837</v>
      </c>
      <c r="M81" s="459">
        <f t="shared" si="25"/>
        <v>264.6936260276816</v>
      </c>
      <c r="N81" s="459">
        <f t="shared" si="25"/>
        <v>264.93919996788406</v>
      </c>
      <c r="O81" s="327"/>
    </row>
    <row r="82" spans="1:15">
      <c r="B82" s="338" t="str">
        <f t="shared" si="18"/>
        <v>45-49</v>
      </c>
      <c r="C82" s="459">
        <f t="shared" si="21"/>
        <v>272.28722888532167</v>
      </c>
      <c r="D82" s="459">
        <f t="shared" ref="D82:N82" si="26">D48+(0.2*D47)-(0.2*D48)</f>
        <v>267.95477256049287</v>
      </c>
      <c r="E82" s="459">
        <f t="shared" si="26"/>
        <v>264.84467893701287</v>
      </c>
      <c r="F82" s="459">
        <f t="shared" si="26"/>
        <v>258.6316911513332</v>
      </c>
      <c r="G82" s="459">
        <f t="shared" si="26"/>
        <v>252.17518198125168</v>
      </c>
      <c r="H82" s="459">
        <f t="shared" si="26"/>
        <v>249.23975300179006</v>
      </c>
      <c r="I82" s="459">
        <f t="shared" si="26"/>
        <v>247.70325269447414</v>
      </c>
      <c r="J82" s="459">
        <f t="shared" si="26"/>
        <v>246.88687684458094</v>
      </c>
      <c r="K82" s="459">
        <f t="shared" si="26"/>
        <v>245.36333964529231</v>
      </c>
      <c r="L82" s="459">
        <f t="shared" si="26"/>
        <v>244.10126985511877</v>
      </c>
      <c r="M82" s="459">
        <f t="shared" si="26"/>
        <v>243.24365908478904</v>
      </c>
      <c r="N82" s="459">
        <f t="shared" si="26"/>
        <v>242.57095047753467</v>
      </c>
      <c r="O82" s="327"/>
    </row>
    <row r="83" spans="1:15">
      <c r="B83" s="338" t="str">
        <f t="shared" si="18"/>
        <v>50-54</v>
      </c>
      <c r="C83" s="459">
        <f t="shared" si="21"/>
        <v>208.66580455850098</v>
      </c>
      <c r="D83" s="459">
        <f t="shared" ref="D83:N83" si="27">D49+(0.2*D48)-(0.2*D49)</f>
        <v>206.93469685124515</v>
      </c>
      <c r="E83" s="459">
        <f t="shared" si="27"/>
        <v>205.14687654920189</v>
      </c>
      <c r="F83" s="459">
        <f t="shared" si="27"/>
        <v>200.67333947176553</v>
      </c>
      <c r="G83" s="459">
        <f t="shared" si="27"/>
        <v>196.03498386723123</v>
      </c>
      <c r="H83" s="459">
        <f t="shared" si="27"/>
        <v>194.20703979846033</v>
      </c>
      <c r="I83" s="459">
        <f t="shared" si="27"/>
        <v>193.61595771616177</v>
      </c>
      <c r="J83" s="459">
        <f t="shared" si="27"/>
        <v>193.70294490834388</v>
      </c>
      <c r="K83" s="459">
        <f t="shared" si="27"/>
        <v>193.30986361507004</v>
      </c>
      <c r="L83" s="459">
        <f t="shared" si="27"/>
        <v>193.06223069923857</v>
      </c>
      <c r="M83" s="459">
        <f t="shared" si="27"/>
        <v>192.97315012075236</v>
      </c>
      <c r="N83" s="459">
        <f t="shared" si="27"/>
        <v>192.8118769300616</v>
      </c>
      <c r="O83" s="327"/>
    </row>
    <row r="84" spans="1:15">
      <c r="B84" s="338" t="str">
        <f t="shared" si="18"/>
        <v>55-59</v>
      </c>
      <c r="C84" s="459">
        <f t="shared" si="21"/>
        <v>144.96811576421558</v>
      </c>
      <c r="D84" s="459">
        <f t="shared" ref="D84:N84" si="28">D50+(0.2*D49)-(0.2*D50)</f>
        <v>128.68882841131696</v>
      </c>
      <c r="E84" s="459">
        <f t="shared" si="28"/>
        <v>118.90567556227211</v>
      </c>
      <c r="F84" s="459">
        <f t="shared" si="28"/>
        <v>110.96928787060004</v>
      </c>
      <c r="G84" s="459">
        <f t="shared" si="28"/>
        <v>105.25793625972636</v>
      </c>
      <c r="H84" s="459">
        <f t="shared" si="28"/>
        <v>102.89757460024008</v>
      </c>
      <c r="I84" s="459">
        <f t="shared" si="28"/>
        <v>102.04213363534488</v>
      </c>
      <c r="J84" s="459">
        <f t="shared" si="28"/>
        <v>101.97889832922807</v>
      </c>
      <c r="K84" s="459">
        <f t="shared" si="28"/>
        <v>101.74557767231762</v>
      </c>
      <c r="L84" s="459">
        <f t="shared" si="28"/>
        <v>101.75450411766676</v>
      </c>
      <c r="M84" s="459">
        <f t="shared" si="28"/>
        <v>101.93754475411923</v>
      </c>
      <c r="N84" s="459">
        <f t="shared" si="28"/>
        <v>102.07184666092503</v>
      </c>
      <c r="O84" s="327"/>
    </row>
    <row r="85" spans="1:15">
      <c r="B85" s="338" t="str">
        <f t="shared" si="18"/>
        <v>60-64</v>
      </c>
      <c r="C85" s="459">
        <f t="shared" si="21"/>
        <v>49.184534760257399</v>
      </c>
      <c r="D85" s="459">
        <f t="shared" ref="D85:N85" si="29">D51+(0.2*D50)-(0.2*D51)</f>
        <v>48.220015012930574</v>
      </c>
      <c r="E85" s="459">
        <f t="shared" si="29"/>
        <v>45.435785185157485</v>
      </c>
      <c r="F85" s="459">
        <f t="shared" si="29"/>
        <v>41.659920461992861</v>
      </c>
      <c r="G85" s="459">
        <f t="shared" si="29"/>
        <v>38.550367658618811</v>
      </c>
      <c r="H85" s="459">
        <f t="shared" si="29"/>
        <v>37.206789432153627</v>
      </c>
      <c r="I85" s="459">
        <f t="shared" si="29"/>
        <v>36.6797145601913</v>
      </c>
      <c r="J85" s="459">
        <f t="shared" si="29"/>
        <v>36.595975517616367</v>
      </c>
      <c r="K85" s="459">
        <f t="shared" si="29"/>
        <v>36.431952399500382</v>
      </c>
      <c r="L85" s="459">
        <f t="shared" si="29"/>
        <v>36.435842093650507</v>
      </c>
      <c r="M85" s="459">
        <f t="shared" si="29"/>
        <v>36.559037755435078</v>
      </c>
      <c r="N85" s="459">
        <f t="shared" si="29"/>
        <v>36.668061517143769</v>
      </c>
      <c r="O85" s="327"/>
    </row>
    <row r="86" spans="1:15">
      <c r="B86" s="338" t="str">
        <f t="shared" si="18"/>
        <v>65 plus</v>
      </c>
      <c r="C86" s="459">
        <f>C52+(0.2*C51)</f>
        <v>11.454146104823909</v>
      </c>
      <c r="D86" s="459">
        <f t="shared" ref="D86:N86" si="30">D52+(0.2*D51)</f>
        <v>13.218931825736236</v>
      </c>
      <c r="E86" s="459">
        <f t="shared" si="30"/>
        <v>14.085154393183183</v>
      </c>
      <c r="F86" s="459">
        <f t="shared" si="30"/>
        <v>13.847597054903433</v>
      </c>
      <c r="G86" s="459">
        <f t="shared" si="30"/>
        <v>13.222198862138281</v>
      </c>
      <c r="H86" s="459">
        <f t="shared" si="30"/>
        <v>12.884727445052043</v>
      </c>
      <c r="I86" s="459">
        <f t="shared" si="30"/>
        <v>12.716783774402639</v>
      </c>
      <c r="J86" s="459">
        <f t="shared" si="30"/>
        <v>12.673790551308516</v>
      </c>
      <c r="K86" s="459">
        <f t="shared" si="30"/>
        <v>12.597959971566432</v>
      </c>
      <c r="L86" s="459">
        <f t="shared" si="30"/>
        <v>12.581271144382182</v>
      </c>
      <c r="M86" s="459">
        <f t="shared" si="30"/>
        <v>12.617533493505965</v>
      </c>
      <c r="N86" s="459">
        <f t="shared" si="30"/>
        <v>12.660275257209147</v>
      </c>
      <c r="O86" s="327"/>
    </row>
    <row r="87" spans="1:15">
      <c r="B87" s="338" t="str">
        <f t="shared" si="18"/>
        <v>Total</v>
      </c>
      <c r="C87" s="459">
        <f>SUM(C77:C86)</f>
        <v>1835.5151403042864</v>
      </c>
      <c r="D87" s="459">
        <f t="shared" ref="D87:N87" si="31">SUM(D77:D86)</f>
        <v>1808.0718917516083</v>
      </c>
      <c r="E87" s="459">
        <f t="shared" si="31"/>
        <v>1788.8512854972701</v>
      </c>
      <c r="F87" s="459">
        <f t="shared" si="31"/>
        <v>1721.3279451857368</v>
      </c>
      <c r="G87" s="459">
        <f t="shared" si="31"/>
        <v>1655.3134096325509</v>
      </c>
      <c r="H87" s="459">
        <f t="shared" si="31"/>
        <v>1648.181711102111</v>
      </c>
      <c r="I87" s="459">
        <f t="shared" si="31"/>
        <v>1666.3359152899513</v>
      </c>
      <c r="J87" s="459">
        <f t="shared" si="31"/>
        <v>1698.2908529796487</v>
      </c>
      <c r="K87" s="459">
        <f t="shared" si="31"/>
        <v>1721.4297288513242</v>
      </c>
      <c r="L87" s="459">
        <f t="shared" si="31"/>
        <v>1748.7499204981964</v>
      </c>
      <c r="M87" s="459">
        <f t="shared" si="31"/>
        <v>1780.0347036049141</v>
      </c>
      <c r="N87" s="459">
        <f t="shared" si="31"/>
        <v>1809.9078866504949</v>
      </c>
      <c r="O87" s="327"/>
    </row>
    <row r="88" spans="1:15">
      <c r="A88" s="309">
        <f>SUM(C88:N88)</f>
        <v>0</v>
      </c>
      <c r="C88" s="309">
        <f t="shared" ref="C88:N88" si="32">SUM(C77:C86)-C87</f>
        <v>0</v>
      </c>
      <c r="D88" s="309">
        <f t="shared" si="32"/>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5">
      <c r="B90" s="341" t="s">
        <v>50</v>
      </c>
      <c r="H90" s="325"/>
    </row>
    <row r="91" spans="1:15">
      <c r="H91" s="325"/>
    </row>
    <row r="92" spans="1:15">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5">
      <c r="B93" s="338" t="str">
        <f t="shared" si="33"/>
        <v>20-24</v>
      </c>
      <c r="C93" s="459">
        <f>C59-(0.2*C59)</f>
        <v>53.868403113882742</v>
      </c>
      <c r="D93" s="459">
        <f t="shared" ref="D93:N93" si="35">D59-(0.2*D59)</f>
        <v>80.456472568153544</v>
      </c>
      <c r="E93" s="459">
        <f t="shared" si="35"/>
        <v>100.67842914941716</v>
      </c>
      <c r="F93" s="459">
        <f t="shared" si="35"/>
        <v>101.5596689892011</v>
      </c>
      <c r="G93" s="459">
        <f t="shared" si="35"/>
        <v>100.6028568923202</v>
      </c>
      <c r="H93" s="459">
        <f t="shared" si="35"/>
        <v>113.66071072183681</v>
      </c>
      <c r="I93" s="459">
        <f t="shared" si="35"/>
        <v>129.42903247759662</v>
      </c>
      <c r="J93" s="459">
        <f t="shared" si="35"/>
        <v>144.75631632688552</v>
      </c>
      <c r="K93" s="459">
        <f t="shared" si="35"/>
        <v>154.12002776845353</v>
      </c>
      <c r="L93" s="459">
        <f t="shared" si="35"/>
        <v>162.4137283666542</v>
      </c>
      <c r="M93" s="459">
        <f t="shared" si="35"/>
        <v>169.97909574494591</v>
      </c>
      <c r="N93" s="459">
        <f t="shared" si="35"/>
        <v>175.68632646930737</v>
      </c>
    </row>
    <row r="94" spans="1:15">
      <c r="B94" s="338" t="str">
        <f t="shared" si="33"/>
        <v>25-29</v>
      </c>
      <c r="C94" s="459">
        <f t="shared" ref="C94:C101" si="36">C60+(0.2*C59)-(0.2*C60)</f>
        <v>249.7954325582013</v>
      </c>
      <c r="D94" s="459">
        <f t="shared" ref="D94:N94" si="37">D60+(0.2*D59)-(0.2*D60)</f>
        <v>245.06192798404652</v>
      </c>
      <c r="E94" s="459">
        <f t="shared" si="37"/>
        <v>247.97502221054407</v>
      </c>
      <c r="F94" s="459">
        <f t="shared" si="37"/>
        <v>236.30667011840674</v>
      </c>
      <c r="G94" s="459">
        <f t="shared" si="37"/>
        <v>225.95029098462504</v>
      </c>
      <c r="H94" s="459">
        <f t="shared" si="37"/>
        <v>235.89748197552046</v>
      </c>
      <c r="I94" s="459">
        <f t="shared" si="37"/>
        <v>253.73903538890423</v>
      </c>
      <c r="J94" s="459">
        <f t="shared" si="37"/>
        <v>274.75074357513131</v>
      </c>
      <c r="K94" s="459">
        <f t="shared" si="37"/>
        <v>290.73400350091293</v>
      </c>
      <c r="L94" s="459">
        <f t="shared" si="37"/>
        <v>306.08882870792951</v>
      </c>
      <c r="M94" s="459">
        <f t="shared" si="37"/>
        <v>320.84116710080826</v>
      </c>
      <c r="N94" s="459">
        <f t="shared" si="37"/>
        <v>333.30719549165832</v>
      </c>
    </row>
    <row r="95" spans="1:15">
      <c r="B95" s="338" t="str">
        <f t="shared" si="33"/>
        <v>30-34</v>
      </c>
      <c r="C95" s="459">
        <f t="shared" si="36"/>
        <v>426.81890886961537</v>
      </c>
      <c r="D95" s="459">
        <f t="shared" ref="D95:N95" si="38">D61+(0.2*D60)-(0.2*D61)</f>
        <v>389.56626000964388</v>
      </c>
      <c r="E95" s="459">
        <f t="shared" si="38"/>
        <v>362.46429325264296</v>
      </c>
      <c r="F95" s="459">
        <f t="shared" si="38"/>
        <v>332.74387979520674</v>
      </c>
      <c r="G95" s="459">
        <f t="shared" si="38"/>
        <v>307.69236734644568</v>
      </c>
      <c r="H95" s="459">
        <f t="shared" si="38"/>
        <v>298.11761889154701</v>
      </c>
      <c r="I95" s="459">
        <f t="shared" si="38"/>
        <v>297.91106273669942</v>
      </c>
      <c r="J95" s="459">
        <f t="shared" si="38"/>
        <v>304.14846006480309</v>
      </c>
      <c r="K95" s="459">
        <f t="shared" si="38"/>
        <v>311.30876807679033</v>
      </c>
      <c r="L95" s="459">
        <f t="shared" si="38"/>
        <v>320.68743490035348</v>
      </c>
      <c r="M95" s="459">
        <f t="shared" si="38"/>
        <v>331.59930493833372</v>
      </c>
      <c r="N95" s="459">
        <f t="shared" si="38"/>
        <v>342.48856192799838</v>
      </c>
    </row>
    <row r="96" spans="1:15">
      <c r="B96" s="338" t="str">
        <f t="shared" si="33"/>
        <v>35-39</v>
      </c>
      <c r="C96" s="459">
        <f t="shared" si="36"/>
        <v>435.5714606869962</v>
      </c>
      <c r="D96" s="459">
        <f t="shared" ref="D96:N96" si="39">D62+(0.2*D61)-(0.2*D62)</f>
        <v>419.26845090651517</v>
      </c>
      <c r="E96" s="459">
        <f t="shared" si="39"/>
        <v>401.09002199827466</v>
      </c>
      <c r="F96" s="459">
        <f t="shared" si="39"/>
        <v>376.058278541748</v>
      </c>
      <c r="G96" s="459">
        <f t="shared" si="39"/>
        <v>351.42622320533059</v>
      </c>
      <c r="H96" s="459">
        <f t="shared" si="39"/>
        <v>335.52846191899488</v>
      </c>
      <c r="I96" s="459">
        <f t="shared" si="39"/>
        <v>325.27618208004242</v>
      </c>
      <c r="J96" s="459">
        <f t="shared" si="39"/>
        <v>319.71324081017912</v>
      </c>
      <c r="K96" s="459">
        <f t="shared" si="39"/>
        <v>315.98102684517005</v>
      </c>
      <c r="L96" s="459">
        <f t="shared" si="39"/>
        <v>315.34103770191047</v>
      </c>
      <c r="M96" s="459">
        <f t="shared" si="39"/>
        <v>317.39892600240938</v>
      </c>
      <c r="N96" s="459">
        <f t="shared" si="39"/>
        <v>321.05936790152265</v>
      </c>
    </row>
    <row r="97" spans="1:15">
      <c r="B97" s="338" t="str">
        <f t="shared" si="33"/>
        <v>40-44</v>
      </c>
      <c r="C97" s="459">
        <f t="shared" si="36"/>
        <v>409.48098497537524</v>
      </c>
      <c r="D97" s="459">
        <f t="shared" ref="D97:N97" si="40">D63+(0.2*D62)-(0.2*D63)</f>
        <v>399.74386954155568</v>
      </c>
      <c r="E97" s="459">
        <f t="shared" si="40"/>
        <v>390.06926026675467</v>
      </c>
      <c r="F97" s="459">
        <f t="shared" si="40"/>
        <v>374.02303590712472</v>
      </c>
      <c r="G97" s="459">
        <f t="shared" si="40"/>
        <v>356.91863450504189</v>
      </c>
      <c r="H97" s="459">
        <f t="shared" si="40"/>
        <v>345.3952917681454</v>
      </c>
      <c r="I97" s="459">
        <f t="shared" si="40"/>
        <v>336.60952685981101</v>
      </c>
      <c r="J97" s="459">
        <f t="shared" si="40"/>
        <v>329.90938326146966</v>
      </c>
      <c r="K97" s="459">
        <f t="shared" si="40"/>
        <v>323.29396884323046</v>
      </c>
      <c r="L97" s="459">
        <f t="shared" si="40"/>
        <v>318.38459867277368</v>
      </c>
      <c r="M97" s="459">
        <f t="shared" si="40"/>
        <v>315.31823085911952</v>
      </c>
      <c r="N97" s="459">
        <f t="shared" si="40"/>
        <v>313.55982069635922</v>
      </c>
    </row>
    <row r="98" spans="1:15">
      <c r="B98" s="338" t="str">
        <f t="shared" si="33"/>
        <v>45-49</v>
      </c>
      <c r="C98" s="459">
        <f t="shared" si="36"/>
        <v>316.14551925252346</v>
      </c>
      <c r="D98" s="459">
        <f t="shared" ref="D98:N98" si="41">D64+(0.2*D63)-(0.2*D64)</f>
        <v>322.03232820061857</v>
      </c>
      <c r="E98" s="459">
        <f t="shared" si="41"/>
        <v>324.98083416843662</v>
      </c>
      <c r="F98" s="459">
        <f t="shared" si="41"/>
        <v>320.84904509801095</v>
      </c>
      <c r="G98" s="459">
        <f t="shared" si="41"/>
        <v>314.32074847062319</v>
      </c>
      <c r="H98" s="459">
        <f t="shared" si="41"/>
        <v>310.94222616844144</v>
      </c>
      <c r="I98" s="459">
        <f t="shared" si="41"/>
        <v>308.48133574799533</v>
      </c>
      <c r="J98" s="459">
        <f t="shared" si="41"/>
        <v>306.40915933185863</v>
      </c>
      <c r="K98" s="459">
        <f t="shared" si="41"/>
        <v>303.12538522125749</v>
      </c>
      <c r="L98" s="459">
        <f t="shared" si="41"/>
        <v>300.02759412757371</v>
      </c>
      <c r="M98" s="459">
        <f t="shared" si="41"/>
        <v>297.39314909979453</v>
      </c>
      <c r="N98" s="459">
        <f t="shared" si="41"/>
        <v>294.99354446022755</v>
      </c>
    </row>
    <row r="99" spans="1:15">
      <c r="B99" s="338" t="str">
        <f t="shared" si="33"/>
        <v>50-54</v>
      </c>
      <c r="C99" s="459">
        <f t="shared" si="36"/>
        <v>237.18209242340163</v>
      </c>
      <c r="D99" s="459">
        <f t="shared" ref="D99:N99" si="42">D65+(0.2*D64)-(0.2*D65)</f>
        <v>236.98154971719825</v>
      </c>
      <c r="E99" s="459">
        <f t="shared" si="42"/>
        <v>238.2333230297057</v>
      </c>
      <c r="F99" s="459">
        <f t="shared" si="42"/>
        <v>236.2929606343782</v>
      </c>
      <c r="G99" s="459">
        <f t="shared" si="42"/>
        <v>233.76114985749282</v>
      </c>
      <c r="H99" s="459">
        <f t="shared" si="42"/>
        <v>234.18327847332336</v>
      </c>
      <c r="I99" s="459">
        <f t="shared" si="42"/>
        <v>235.4680629676817</v>
      </c>
      <c r="J99" s="459">
        <f t="shared" si="42"/>
        <v>236.94302754068619</v>
      </c>
      <c r="K99" s="459">
        <f t="shared" si="42"/>
        <v>237.21854274039464</v>
      </c>
      <c r="L99" s="459">
        <f t="shared" si="42"/>
        <v>237.21222430081875</v>
      </c>
      <c r="M99" s="459">
        <f t="shared" si="42"/>
        <v>237.04868494260501</v>
      </c>
      <c r="N99" s="459">
        <f t="shared" si="42"/>
        <v>236.52553045084156</v>
      </c>
    </row>
    <row r="100" spans="1:15">
      <c r="B100" s="338" t="str">
        <f t="shared" si="33"/>
        <v>55-59</v>
      </c>
      <c r="C100" s="459">
        <f t="shared" si="36"/>
        <v>160.34564145267797</v>
      </c>
      <c r="D100" s="459">
        <f t="shared" ref="D100:N100" si="43">D66+(0.2*D65)-(0.2*D66)</f>
        <v>145.35215654262319</v>
      </c>
      <c r="E100" s="459">
        <f t="shared" si="43"/>
        <v>136.55710631197948</v>
      </c>
      <c r="F100" s="459">
        <f t="shared" si="43"/>
        <v>129.1753780569482</v>
      </c>
      <c r="G100" s="459">
        <f t="shared" si="43"/>
        <v>124.13803903850314</v>
      </c>
      <c r="H100" s="459">
        <f t="shared" si="43"/>
        <v>123.04539112956559</v>
      </c>
      <c r="I100" s="459">
        <f t="shared" si="43"/>
        <v>123.58036958829396</v>
      </c>
      <c r="J100" s="459">
        <f t="shared" si="43"/>
        <v>124.83286379576364</v>
      </c>
      <c r="K100" s="459">
        <f t="shared" si="43"/>
        <v>125.57331411690802</v>
      </c>
      <c r="L100" s="459">
        <f t="shared" si="43"/>
        <v>126.34412073172358</v>
      </c>
      <c r="M100" s="459">
        <f t="shared" si="43"/>
        <v>127.08911515005953</v>
      </c>
      <c r="N100" s="459">
        <f t="shared" si="43"/>
        <v>127.55963278353526</v>
      </c>
    </row>
    <row r="101" spans="1:15">
      <c r="B101" s="338" t="str">
        <f t="shared" si="33"/>
        <v>60-64</v>
      </c>
      <c r="C101" s="459">
        <f t="shared" si="36"/>
        <v>52.856494048205867</v>
      </c>
      <c r="D101" s="459">
        <f t="shared" ref="D101:N101" si="44">D67+(0.2*D66)-(0.2*D67)</f>
        <v>52.169927060805065</v>
      </c>
      <c r="E101" s="459">
        <f t="shared" si="44"/>
        <v>49.728114481896377</v>
      </c>
      <c r="F101" s="459">
        <f t="shared" si="44"/>
        <v>46.026652104434064</v>
      </c>
      <c r="G101" s="459">
        <f t="shared" si="44"/>
        <v>43.075829784996586</v>
      </c>
      <c r="H101" s="459">
        <f t="shared" si="44"/>
        <v>42.251575092911061</v>
      </c>
      <c r="I101" s="459">
        <f t="shared" si="44"/>
        <v>42.312603732000483</v>
      </c>
      <c r="J101" s="459">
        <f t="shared" si="44"/>
        <v>42.801553528786499</v>
      </c>
      <c r="K101" s="459">
        <f t="shared" si="44"/>
        <v>43.066609853227114</v>
      </c>
      <c r="L101" s="459">
        <f t="shared" si="44"/>
        <v>43.449727148792348</v>
      </c>
      <c r="M101" s="459">
        <f t="shared" si="44"/>
        <v>43.894814830262234</v>
      </c>
      <c r="N101" s="459">
        <f t="shared" si="44"/>
        <v>44.239453860168744</v>
      </c>
    </row>
    <row r="102" spans="1:15">
      <c r="B102" s="338" t="str">
        <f t="shared" si="33"/>
        <v>65 plus</v>
      </c>
      <c r="C102" s="459">
        <f>C68+(0.2*C67)</f>
        <v>13.185524336752191</v>
      </c>
      <c r="D102" s="459">
        <f t="shared" ref="D102:N102" si="45">D68+(0.2*D67)</f>
        <v>14.080577181981356</v>
      </c>
      <c r="E102" s="459">
        <f t="shared" si="45"/>
        <v>14.490481742400581</v>
      </c>
      <c r="F102" s="459">
        <f t="shared" si="45"/>
        <v>13.942348523935353</v>
      </c>
      <c r="G102" s="459">
        <f t="shared" si="45"/>
        <v>13.190136294998727</v>
      </c>
      <c r="H102" s="459">
        <f t="shared" si="45"/>
        <v>12.95647417116578</v>
      </c>
      <c r="I102" s="459">
        <f t="shared" si="45"/>
        <v>12.970593216213127</v>
      </c>
      <c r="J102" s="459">
        <f t="shared" si="45"/>
        <v>13.126687393858717</v>
      </c>
      <c r="K102" s="459">
        <f t="shared" si="45"/>
        <v>13.205639923434743</v>
      </c>
      <c r="L102" s="459">
        <f t="shared" si="45"/>
        <v>13.331502721475282</v>
      </c>
      <c r="M102" s="459">
        <f t="shared" si="45"/>
        <v>13.495444494395258</v>
      </c>
      <c r="N102" s="459">
        <f t="shared" si="45"/>
        <v>13.638791245259602</v>
      </c>
    </row>
    <row r="103" spans="1:15">
      <c r="B103" s="338" t="str">
        <f t="shared" si="33"/>
        <v>Total</v>
      </c>
      <c r="C103" s="459">
        <f>SUM(C93:C102)</f>
        <v>2355.2504617176319</v>
      </c>
      <c r="D103" s="459">
        <f t="shared" ref="D103:N103" si="46">SUM(D93:D102)</f>
        <v>2304.7135197131415</v>
      </c>
      <c r="E103" s="459">
        <f t="shared" si="46"/>
        <v>2266.2668866120525</v>
      </c>
      <c r="F103" s="459">
        <f t="shared" si="46"/>
        <v>2166.977917769394</v>
      </c>
      <c r="G103" s="459">
        <f t="shared" si="46"/>
        <v>2071.0762763803782</v>
      </c>
      <c r="H103" s="459">
        <f t="shared" si="46"/>
        <v>2051.9785103114518</v>
      </c>
      <c r="I103" s="459">
        <f t="shared" si="46"/>
        <v>2065.7778047952384</v>
      </c>
      <c r="J103" s="459">
        <f t="shared" si="46"/>
        <v>2097.3914356294226</v>
      </c>
      <c r="K103" s="459">
        <f t="shared" si="46"/>
        <v>2117.627286889779</v>
      </c>
      <c r="L103" s="459">
        <f t="shared" si="46"/>
        <v>2143.2807973800045</v>
      </c>
      <c r="M103" s="459">
        <f t="shared" si="46"/>
        <v>2174.0579331627328</v>
      </c>
      <c r="N103" s="459">
        <f t="shared" si="46"/>
        <v>2203.058225286879</v>
      </c>
    </row>
    <row r="104" spans="1:15">
      <c r="A104" s="309">
        <f>SUM(C104:N104)</f>
        <v>0</v>
      </c>
      <c r="C104" s="309">
        <f t="shared" ref="C104:N104" si="47">SUM(C93:C102)-C103</f>
        <v>0</v>
      </c>
      <c r="D104" s="309">
        <f t="shared" si="47"/>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5" ht="15.75">
      <c r="B106" s="340" t="s">
        <v>151</v>
      </c>
      <c r="H106" s="325"/>
    </row>
    <row r="107" spans="1:15">
      <c r="H107" s="325"/>
    </row>
    <row r="108" spans="1:15">
      <c r="B108" s="341" t="s">
        <v>49</v>
      </c>
      <c r="H108" s="325"/>
    </row>
    <row r="109" spans="1:15">
      <c r="H109" s="325"/>
    </row>
    <row r="110" spans="1:15">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5">
      <c r="B111" s="338" t="str">
        <f t="shared" si="48"/>
        <v>20-24</v>
      </c>
      <c r="C111" s="459">
        <f>C77*Group_3_rates!E74</f>
        <v>2.8838495433900806</v>
      </c>
      <c r="D111" s="459">
        <f>D77*Group_3_rates!F74</f>
        <v>5.6186417755695635</v>
      </c>
      <c r="E111" s="459">
        <f>E77*Group_3_rates!G74</f>
        <v>7.6748209266933056</v>
      </c>
      <c r="F111" s="459">
        <f>F77*Group_3_rates!H74</f>
        <v>7.9926811071804247</v>
      </c>
      <c r="G111" s="459">
        <f>G77*Group_3_rates!I74</f>
        <v>8.0849142901908166</v>
      </c>
      <c r="H111" s="459">
        <f>H77*Group_3_rates!J74</f>
        <v>9.3154078763008226</v>
      </c>
      <c r="I111" s="459">
        <f>I77*Group_3_rates!K74</f>
        <v>10.739725190896188</v>
      </c>
      <c r="J111" s="459">
        <f>J77*Group_3_rates!L74</f>
        <v>12.100942821925022</v>
      </c>
      <c r="K111" s="459">
        <f>K77*Group_3_rates!M74</f>
        <v>12.938328967851685</v>
      </c>
      <c r="L111" s="459">
        <f>L77*Group_3_rates!N74</f>
        <v>13.672159596842077</v>
      </c>
      <c r="M111" s="459">
        <f>M77*Group_3_rates!O74</f>
        <v>14.335124053605647</v>
      </c>
      <c r="N111" s="459">
        <f>N77*Group_3_rates!P74</f>
        <v>14.834097576555884</v>
      </c>
      <c r="O111" s="327"/>
    </row>
    <row r="112" spans="1:15">
      <c r="B112" s="338" t="str">
        <f t="shared" si="48"/>
        <v>25-29</v>
      </c>
      <c r="C112" s="459">
        <f>C78*Group_3_rates!E75</f>
        <v>13.936183165682813</v>
      </c>
      <c r="D112" s="459">
        <f>D78*Group_3_rates!F75</f>
        <v>14.153683674494753</v>
      </c>
      <c r="E112" s="459">
        <f>E78*Group_3_rates!G75</f>
        <v>14.796779109179766</v>
      </c>
      <c r="F112" s="459">
        <f>F78*Group_3_rates!H75</f>
        <v>14.409054272573265</v>
      </c>
      <c r="G112" s="459">
        <f>G78*Group_3_rates!I75</f>
        <v>14.035170110695621</v>
      </c>
      <c r="H112" s="459">
        <f>H78*Group_3_rates!J75</f>
        <v>14.933496034339337</v>
      </c>
      <c r="I112" s="459">
        <f>I78*Group_3_rates!K75</f>
        <v>16.306120657415772</v>
      </c>
      <c r="J112" s="459">
        <f>J78*Group_3_rates!L75</f>
        <v>17.852589560913511</v>
      </c>
      <c r="K112" s="459">
        <f>K78*Group_3_rates!M75</f>
        <v>19.041009561121339</v>
      </c>
      <c r="L112" s="459">
        <f>L78*Group_3_rates!N75</f>
        <v>20.163461807775754</v>
      </c>
      <c r="M112" s="459">
        <f>M78*Group_3_rates!O75</f>
        <v>21.226233285322976</v>
      </c>
      <c r="N112" s="459">
        <f>N78*Group_3_rates!P75</f>
        <v>22.122541913864133</v>
      </c>
      <c r="O112" s="327"/>
    </row>
    <row r="113" spans="1:15">
      <c r="B113" s="338" t="str">
        <f t="shared" si="48"/>
        <v>30-34</v>
      </c>
      <c r="C113" s="459">
        <f>C79*Group_3_rates!E76</f>
        <v>19.762859854906139</v>
      </c>
      <c r="D113" s="459">
        <f>D79*Group_3_rates!F76</f>
        <v>18.281562176405561</v>
      </c>
      <c r="E113" s="459">
        <f>E79*Group_3_rates!G76</f>
        <v>17.247027853266935</v>
      </c>
      <c r="F113" s="459">
        <f>F79*Group_3_rates!H76</f>
        <v>16.050666174125809</v>
      </c>
      <c r="G113" s="459">
        <f>G79*Group_3_rates!I76</f>
        <v>15.041566526544203</v>
      </c>
      <c r="H113" s="459">
        <f>H79*Group_3_rates!J76</f>
        <v>14.74898087595499</v>
      </c>
      <c r="I113" s="459">
        <f>I79*Group_3_rates!K76</f>
        <v>14.892831663299203</v>
      </c>
      <c r="J113" s="459">
        <f>J79*Group_3_rates!L76</f>
        <v>15.339192971279179</v>
      </c>
      <c r="K113" s="459">
        <f>K79*Group_3_rates!M76</f>
        <v>15.824305881920266</v>
      </c>
      <c r="L113" s="459">
        <f>L79*Group_3_rates!N76</f>
        <v>16.409352020858748</v>
      </c>
      <c r="M113" s="459">
        <f>M79*Group_3_rates!O76</f>
        <v>17.061734035168588</v>
      </c>
      <c r="N113" s="459">
        <f>N79*Group_3_rates!P76</f>
        <v>17.70639360523052</v>
      </c>
      <c r="O113" s="327"/>
    </row>
    <row r="114" spans="1:15">
      <c r="B114" s="338" t="str">
        <f t="shared" si="48"/>
        <v>35-39</v>
      </c>
      <c r="C114" s="459">
        <f>C80*Group_3_rates!E77</f>
        <v>20.898328327577232</v>
      </c>
      <c r="D114" s="459">
        <f>D80*Group_3_rates!F77</f>
        <v>20.368352969883798</v>
      </c>
      <c r="E114" s="459">
        <f>E80*Group_3_rates!G77</f>
        <v>19.724179740827459</v>
      </c>
      <c r="F114" s="459">
        <f>F80*Group_3_rates!H77</f>
        <v>18.723272675201983</v>
      </c>
      <c r="G114" s="459">
        <f>G80*Group_3_rates!I77</f>
        <v>17.711282460893663</v>
      </c>
      <c r="H114" s="459">
        <f>H80*Group_3_rates!J77</f>
        <v>17.093263433638867</v>
      </c>
      <c r="I114" s="459">
        <f>I80*Group_3_rates!K77</f>
        <v>16.729901676148216</v>
      </c>
      <c r="J114" s="459">
        <f>J80*Group_3_rates!L77</f>
        <v>16.582130522177593</v>
      </c>
      <c r="K114" s="459">
        <f>K80*Group_3_rates!M77</f>
        <v>16.517161166024167</v>
      </c>
      <c r="L114" s="459">
        <f>L80*Group_3_rates!N77</f>
        <v>16.59781943673487</v>
      </c>
      <c r="M114" s="459">
        <f>M80*Group_3_rates!O77</f>
        <v>16.807169625050086</v>
      </c>
      <c r="N114" s="459">
        <f>N80*Group_3_rates!P77</f>
        <v>17.093505791737822</v>
      </c>
      <c r="O114" s="327"/>
    </row>
    <row r="115" spans="1:15">
      <c r="B115" s="338" t="str">
        <f t="shared" si="48"/>
        <v>40-44</v>
      </c>
      <c r="C115" s="459">
        <f>C81*Group_3_rates!E78</f>
        <v>21.01630909313727</v>
      </c>
      <c r="D115" s="459">
        <f>D81*Group_3_rates!F78</f>
        <v>20.925598940883177</v>
      </c>
      <c r="E115" s="459">
        <f>E81*Group_3_rates!G78</f>
        <v>20.775168943518754</v>
      </c>
      <c r="F115" s="459">
        <f>F81*Group_3_rates!H78</f>
        <v>20.22868112672975</v>
      </c>
      <c r="G115" s="459">
        <f>G81*Group_3_rates!I78</f>
        <v>19.578030552860902</v>
      </c>
      <c r="H115" s="459">
        <f>H81*Group_3_rates!J78</f>
        <v>19.187063208111812</v>
      </c>
      <c r="I115" s="459">
        <f>I81*Group_3_rates!K78</f>
        <v>18.910115382035244</v>
      </c>
      <c r="J115" s="459">
        <f>J81*Group_3_rates!L78</f>
        <v>18.718573989333059</v>
      </c>
      <c r="K115" s="459">
        <f>K81*Group_3_rates!M78</f>
        <v>18.510477026731802</v>
      </c>
      <c r="L115" s="459">
        <f>L81*Group_3_rates!N78</f>
        <v>18.377904622566216</v>
      </c>
      <c r="M115" s="459">
        <f>M81*Group_3_rates!O78</f>
        <v>18.332700392471487</v>
      </c>
      <c r="N115" s="459">
        <f>N81*Group_3_rates!P78</f>
        <v>18.349708861989598</v>
      </c>
      <c r="O115" s="327"/>
    </row>
    <row r="116" spans="1:15">
      <c r="B116" s="338" t="str">
        <f t="shared" si="48"/>
        <v>45-49</v>
      </c>
      <c r="C116" s="459">
        <f>C82*Group_3_rates!E79</f>
        <v>20.934189089873556</v>
      </c>
      <c r="D116" s="459">
        <f>D82*Group_3_rates!F79</f>
        <v>20.601097962908568</v>
      </c>
      <c r="E116" s="459">
        <f>E82*Group_3_rates!G79</f>
        <v>20.361985433585495</v>
      </c>
      <c r="F116" s="459">
        <f>F82*Group_3_rates!H79</f>
        <v>19.884313889272001</v>
      </c>
      <c r="G116" s="459">
        <f>G82*Group_3_rates!I79</f>
        <v>19.387919752902445</v>
      </c>
      <c r="H116" s="459">
        <f>H82*Group_3_rates!J79</f>
        <v>19.162235920548248</v>
      </c>
      <c r="I116" s="459">
        <f>I82*Group_3_rates!K79</f>
        <v>19.044105562023251</v>
      </c>
      <c r="J116" s="459">
        <f>J82*Group_3_rates!L79</f>
        <v>18.98134034721669</v>
      </c>
      <c r="K116" s="459">
        <f>K82*Group_3_rates!M79</f>
        <v>18.864206627996985</v>
      </c>
      <c r="L116" s="459">
        <f>L82*Group_3_rates!N79</f>
        <v>18.767175240442498</v>
      </c>
      <c r="M116" s="459">
        <f>M82*Group_3_rates!O79</f>
        <v>18.701239771837923</v>
      </c>
      <c r="N116" s="459">
        <f>N82*Group_3_rates!P79</f>
        <v>18.649520088750695</v>
      </c>
      <c r="O116" s="327"/>
    </row>
    <row r="117" spans="1:15">
      <c r="B117" s="338" t="str">
        <f t="shared" si="48"/>
        <v>50-54</v>
      </c>
      <c r="C117" s="459">
        <f>C83*Group_3_rates!E80</f>
        <v>16.681969093431718</v>
      </c>
      <c r="D117" s="459">
        <f>D83*Group_3_rates!F80</f>
        <v>16.543574183298052</v>
      </c>
      <c r="E117" s="459">
        <f>E83*Group_3_rates!G80</f>
        <v>16.400645335486125</v>
      </c>
      <c r="F117" s="459">
        <f>F83*Group_3_rates!H80</f>
        <v>16.043004525953329</v>
      </c>
      <c r="G117" s="459">
        <f>G83*Group_3_rates!I80</f>
        <v>15.672187156030631</v>
      </c>
      <c r="H117" s="459">
        <f>H83*Group_3_rates!J80</f>
        <v>15.52605057881676</v>
      </c>
      <c r="I117" s="459">
        <f>I83*Group_3_rates!K80</f>
        <v>15.478796008047732</v>
      </c>
      <c r="J117" s="459">
        <f>J83*Group_3_rates!L80</f>
        <v>15.485750274725863</v>
      </c>
      <c r="K117" s="459">
        <f>K83*Group_3_rates!M80</f>
        <v>15.45432504911463</v>
      </c>
      <c r="L117" s="459">
        <f>L83*Group_3_rates!N80</f>
        <v>15.434527820444808</v>
      </c>
      <c r="M117" s="459">
        <f>M83*Group_3_rates!O80</f>
        <v>15.42740619617927</v>
      </c>
      <c r="N117" s="459">
        <f>N83*Group_3_rates!P80</f>
        <v>15.414513070789631</v>
      </c>
      <c r="O117" s="327"/>
    </row>
    <row r="118" spans="1:15">
      <c r="B118" s="338" t="str">
        <f t="shared" si="48"/>
        <v>55-59</v>
      </c>
      <c r="C118" s="459">
        <f>C84*Group_3_rates!E81</f>
        <v>7.0765848847736725</v>
      </c>
      <c r="D118" s="459">
        <f>D84*Group_3_rates!F81</f>
        <v>6.281915255461664</v>
      </c>
      <c r="E118" s="459">
        <f>E84*Group_3_rates!G81</f>
        <v>5.8043529224478094</v>
      </c>
      <c r="F118" s="459">
        <f>F84*Group_3_rates!H81</f>
        <v>5.4169400014580908</v>
      </c>
      <c r="G118" s="459">
        <f>G84*Group_3_rates!I81</f>
        <v>5.1381416997206752</v>
      </c>
      <c r="H118" s="459">
        <f>H84*Group_3_rates!J81</f>
        <v>5.0229211937903422</v>
      </c>
      <c r="I118" s="459">
        <f>I84*Group_3_rates!K81</f>
        <v>4.9811630418678918</v>
      </c>
      <c r="J118" s="459">
        <f>J84*Group_3_rates!L81</f>
        <v>4.978076225093794</v>
      </c>
      <c r="K118" s="459">
        <f>K84*Group_3_rates!M81</f>
        <v>4.9666867314434571</v>
      </c>
      <c r="L118" s="459">
        <f>L84*Group_3_rates!N81</f>
        <v>4.9671224737989359</v>
      </c>
      <c r="M118" s="459">
        <f>M84*Group_3_rates!O81</f>
        <v>4.9760575599341905</v>
      </c>
      <c r="N118" s="459">
        <f>N84*Group_3_rates!P81</f>
        <v>4.9826134763071677</v>
      </c>
      <c r="O118" s="327"/>
    </row>
    <row r="119" spans="1:15">
      <c r="B119" s="338" t="str">
        <f t="shared" si="48"/>
        <v>60-64</v>
      </c>
      <c r="C119" s="459">
        <f>C85*Group_3_rates!E82</f>
        <v>0.97430924471919955</v>
      </c>
      <c r="D119" s="459">
        <f>D85*Group_3_rates!F82</f>
        <v>0.95520282211877494</v>
      </c>
      <c r="E119" s="459">
        <f>E85*Group_3_rates!G82</f>
        <v>0.90004928912624149</v>
      </c>
      <c r="F119" s="459">
        <f>F85*Group_3_rates!H82</f>
        <v>0.82525220251110032</v>
      </c>
      <c r="G119" s="459">
        <f>G85*Group_3_rates!I82</f>
        <v>0.76365426206015385</v>
      </c>
      <c r="H119" s="459">
        <f>H85*Group_3_rates!J82</f>
        <v>0.73703897143212871</v>
      </c>
      <c r="I119" s="459">
        <f>I85*Group_3_rates!K82</f>
        <v>0.72659800817172115</v>
      </c>
      <c r="J119" s="459">
        <f>J85*Group_3_rates!L82</f>
        <v>0.72493919969213749</v>
      </c>
      <c r="K119" s="459">
        <f>K85*Group_3_rates!M82</f>
        <v>0.72169002307377494</v>
      </c>
      <c r="L119" s="459">
        <f>L85*Group_3_rates!N82</f>
        <v>0.72176707503712212</v>
      </c>
      <c r="M119" s="459">
        <f>M85*Group_3_rates!O82</f>
        <v>0.72420748995150686</v>
      </c>
      <c r="N119" s="459">
        <f>N85*Group_3_rates!P82</f>
        <v>0.72636717001038331</v>
      </c>
      <c r="O119" s="327"/>
    </row>
    <row r="120" spans="1:15">
      <c r="B120" s="338" t="str">
        <f t="shared" si="48"/>
        <v>65 plus</v>
      </c>
      <c r="C120" s="459">
        <f>C86*Group_3_rates!E83</f>
        <v>0.26213283179373242</v>
      </c>
      <c r="D120" s="459">
        <f>D86*Group_3_rates!F83</f>
        <v>0.30252067688478329</v>
      </c>
      <c r="E120" s="459">
        <f>E86*Group_3_rates!G83</f>
        <v>0.32234453564217047</v>
      </c>
      <c r="F120" s="459">
        <f>F86*Group_3_rates!H83</f>
        <v>0.31690793851596244</v>
      </c>
      <c r="G120" s="459">
        <f>G86*Group_3_rates!I83</f>
        <v>0.30259544435289515</v>
      </c>
      <c r="H120" s="459">
        <f>H86*Group_3_rates!J83</f>
        <v>0.29487227255111387</v>
      </c>
      <c r="I120" s="459">
        <f>I86*Group_3_rates!K83</f>
        <v>0.29102881276229364</v>
      </c>
      <c r="J120" s="459">
        <f>J86*Group_3_rates!L83</f>
        <v>0.29004489521711269</v>
      </c>
      <c r="K120" s="459">
        <f>K86*Group_3_rates!M83</f>
        <v>0.28830948129603645</v>
      </c>
      <c r="L120" s="459">
        <f>L86*Group_3_rates!N83</f>
        <v>0.28792755064061365</v>
      </c>
      <c r="M120" s="459">
        <f>M86*Group_3_rates!O83</f>
        <v>0.2887574293741586</v>
      </c>
      <c r="N120" s="459">
        <f>N86*Group_3_rates!P83</f>
        <v>0.28973559216803596</v>
      </c>
      <c r="O120" s="327"/>
    </row>
    <row r="121" spans="1:15">
      <c r="B121" s="338" t="str">
        <f t="shared" si="48"/>
        <v>Total</v>
      </c>
      <c r="C121" s="459">
        <f>SUM(C111:C120)</f>
        <v>124.4267151292854</v>
      </c>
      <c r="D121" s="459">
        <f t="shared" ref="D121:N121" si="50">SUM(D111:D120)</f>
        <v>124.0321504379087</v>
      </c>
      <c r="E121" s="459">
        <f t="shared" si="50"/>
        <v>124.00735408977407</v>
      </c>
      <c r="F121" s="459">
        <f t="shared" si="50"/>
        <v>119.89077391352173</v>
      </c>
      <c r="G121" s="459">
        <f t="shared" si="50"/>
        <v>115.71546225625201</v>
      </c>
      <c r="H121" s="459">
        <f t="shared" si="50"/>
        <v>116.02133036548443</v>
      </c>
      <c r="I121" s="459">
        <f t="shared" si="50"/>
        <v>118.10038600266751</v>
      </c>
      <c r="J121" s="459">
        <f t="shared" si="50"/>
        <v>121.05358080757395</v>
      </c>
      <c r="K121" s="459">
        <f t="shared" si="50"/>
        <v>123.12650051657414</v>
      </c>
      <c r="L121" s="459">
        <f t="shared" si="50"/>
        <v>125.39921764514166</v>
      </c>
      <c r="M121" s="459">
        <f t="shared" si="50"/>
        <v>127.88062983889583</v>
      </c>
      <c r="N121" s="459">
        <f t="shared" si="50"/>
        <v>130.16899714740384</v>
      </c>
      <c r="O121" s="327"/>
    </row>
    <row r="122" spans="1:15">
      <c r="A122" s="309">
        <f>SUM(C122:N122)</f>
        <v>0</v>
      </c>
      <c r="C122" s="309">
        <f t="shared" ref="C122:N122" si="51">SUM(C111:C120)-C121</f>
        <v>0</v>
      </c>
      <c r="D122" s="309">
        <f t="shared" si="51"/>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5">
      <c r="B124" s="341" t="s">
        <v>50</v>
      </c>
      <c r="C124" s="329"/>
      <c r="D124" s="329"/>
      <c r="E124" s="329"/>
      <c r="F124" s="329"/>
      <c r="G124" s="329"/>
      <c r="H124" s="339"/>
      <c r="I124" s="329"/>
      <c r="J124" s="329"/>
      <c r="K124" s="329"/>
      <c r="L124" s="329"/>
    </row>
    <row r="125" spans="1:15">
      <c r="C125" s="329"/>
      <c r="D125" s="329"/>
      <c r="E125" s="329"/>
      <c r="F125" s="329"/>
      <c r="G125" s="329"/>
      <c r="H125" s="339"/>
      <c r="I125" s="329"/>
      <c r="J125" s="329"/>
      <c r="K125" s="329"/>
      <c r="L125" s="329"/>
    </row>
    <row r="126" spans="1:15">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5">
      <c r="B127" s="338" t="str">
        <f t="shared" si="52"/>
        <v>20-24</v>
      </c>
      <c r="C127" s="459">
        <f>C93*Group_3_rates!E89</f>
        <v>5.8316665419353013</v>
      </c>
      <c r="D127" s="459">
        <f>D93*Group_3_rates!F89</f>
        <v>8.7100283660890128</v>
      </c>
      <c r="E127" s="459">
        <f>E93*Group_3_rates!G89</f>
        <v>10.899209793244248</v>
      </c>
      <c r="F127" s="459">
        <f>F93*Group_3_rates!H89</f>
        <v>10.994610744303145</v>
      </c>
      <c r="G127" s="459">
        <f>G93*Group_3_rates!I89</f>
        <v>10.891028518550081</v>
      </c>
      <c r="H127" s="459">
        <f>H93*Group_3_rates!J89</f>
        <v>12.304641042501972</v>
      </c>
      <c r="I127" s="459">
        <f>I93*Group_3_rates!K89</f>
        <v>14.011682445068379</v>
      </c>
      <c r="J127" s="459">
        <f>J93*Group_3_rates!L89</f>
        <v>15.670978121862033</v>
      </c>
      <c r="K127" s="459">
        <f>K93*Group_3_rates!M89</f>
        <v>16.684671485050963</v>
      </c>
      <c r="L127" s="459">
        <f>L93*Group_3_rates!N89</f>
        <v>17.582527992605222</v>
      </c>
      <c r="M127" s="459">
        <f>M93*Group_3_rates!O89</f>
        <v>18.401536859902841</v>
      </c>
      <c r="N127" s="459">
        <f>N93*Group_3_rates!P89</f>
        <v>19.019388226166683</v>
      </c>
    </row>
    <row r="128" spans="1:15">
      <c r="B128" s="338" t="str">
        <f t="shared" si="52"/>
        <v>25-29</v>
      </c>
      <c r="C128" s="459">
        <f>C94*Group_3_rates!E90</f>
        <v>22.929534809568036</v>
      </c>
      <c r="D128" s="459">
        <f>D94*Group_3_rates!F90</f>
        <v>22.4950310366496</v>
      </c>
      <c r="E128" s="459">
        <f>E94*Group_3_rates!G90</f>
        <v>22.76243342582044</v>
      </c>
      <c r="F128" s="459">
        <f>F94*Group_3_rates!H90</f>
        <v>21.691357454867205</v>
      </c>
      <c r="G128" s="459">
        <f>G94*Group_3_rates!I90</f>
        <v>20.740711746828477</v>
      </c>
      <c r="H128" s="459">
        <f>H94*Group_3_rates!J90</f>
        <v>21.653796745010002</v>
      </c>
      <c r="I128" s="459">
        <f>I94*Group_3_rates!K90</f>
        <v>23.291530933579011</v>
      </c>
      <c r="J128" s="459">
        <f>J94*Group_3_rates!L90</f>
        <v>25.220263934541006</v>
      </c>
      <c r="K128" s="459">
        <f>K94*Group_3_rates!M90</f>
        <v>26.687419322793325</v>
      </c>
      <c r="L128" s="459">
        <f>L94*Group_3_rates!N90</f>
        <v>28.096888645244153</v>
      </c>
      <c r="M128" s="459">
        <f>M94*Group_3_rates!O90</f>
        <v>29.451053744412754</v>
      </c>
      <c r="N128" s="459">
        <f>N94*Group_3_rates!P90</f>
        <v>30.595351015974995</v>
      </c>
    </row>
    <row r="129" spans="1:14">
      <c r="B129" s="338" t="str">
        <f t="shared" si="52"/>
        <v>30-34</v>
      </c>
      <c r="C129" s="459">
        <f>C95*Group_3_rates!E91</f>
        <v>37.041541040146335</v>
      </c>
      <c r="D129" s="459">
        <f>D95*Group_3_rates!F91</f>
        <v>33.808564494530536</v>
      </c>
      <c r="E129" s="459">
        <f>E95*Group_3_rates!G91</f>
        <v>31.456516370522039</v>
      </c>
      <c r="F129" s="459">
        <f>F95*Group_3_rates!H91</f>
        <v>28.877225969051</v>
      </c>
      <c r="G129" s="459">
        <f>G95*Group_3_rates!I91</f>
        <v>26.703126820196307</v>
      </c>
      <c r="H129" s="459">
        <f>H95*Group_3_rates!J91</f>
        <v>25.872180883943166</v>
      </c>
      <c r="I129" s="459">
        <f>I95*Group_3_rates!K91</f>
        <v>25.854254878023827</v>
      </c>
      <c r="J129" s="459">
        <f>J95*Group_3_rates!L91</f>
        <v>26.395568311687168</v>
      </c>
      <c r="K129" s="459">
        <f>K95*Group_3_rates!M91</f>
        <v>27.016976683187259</v>
      </c>
      <c r="L129" s="459">
        <f>L95*Group_3_rates!N91</f>
        <v>27.830905646566428</v>
      </c>
      <c r="M129" s="459">
        <f>M95*Group_3_rates!O91</f>
        <v>28.777893873744667</v>
      </c>
      <c r="N129" s="459">
        <f>N95*Group_3_rates!P91</f>
        <v>29.722919624238259</v>
      </c>
    </row>
    <row r="130" spans="1:14">
      <c r="B130" s="338" t="str">
        <f t="shared" si="52"/>
        <v>35-39</v>
      </c>
      <c r="C130" s="459">
        <f>C96*Group_3_rates!E92</f>
        <v>34.657204705504931</v>
      </c>
      <c r="D130" s="459">
        <f>D96*Group_3_rates!F92</f>
        <v>33.360019746722692</v>
      </c>
      <c r="E130" s="459">
        <f>E96*Group_3_rates!G92</f>
        <v>31.913612925431682</v>
      </c>
      <c r="F130" s="459">
        <f>F96*Group_3_rates!H92</f>
        <v>29.921907004799891</v>
      </c>
      <c r="G130" s="459">
        <f>G96*Group_3_rates!I92</f>
        <v>27.962003151675315</v>
      </c>
      <c r="H130" s="459">
        <f>H96*Group_3_rates!J92</f>
        <v>26.697062683833877</v>
      </c>
      <c r="I130" s="459">
        <f>I96*Group_3_rates!K92</f>
        <v>25.881317408612485</v>
      </c>
      <c r="J130" s="459">
        <f>J96*Group_3_rates!L92</f>
        <v>25.438689707407566</v>
      </c>
      <c r="K130" s="459">
        <f>K96*Group_3_rates!M92</f>
        <v>25.141727865173799</v>
      </c>
      <c r="L130" s="459">
        <f>L96*Group_3_rates!N92</f>
        <v>25.090805716343699</v>
      </c>
      <c r="M130" s="459">
        <f>M96*Group_3_rates!O92</f>
        <v>25.254546141345294</v>
      </c>
      <c r="N130" s="459">
        <f>N96*Group_3_rates!P92</f>
        <v>25.545797280733737</v>
      </c>
    </row>
    <row r="131" spans="1:14">
      <c r="B131" s="338" t="str">
        <f t="shared" si="52"/>
        <v>40-44</v>
      </c>
      <c r="C131" s="459">
        <f>C97*Group_3_rates!E93</f>
        <v>31.177124037626857</v>
      </c>
      <c r="D131" s="459">
        <f>D97*Group_3_rates!F93</f>
        <v>30.435758096868611</v>
      </c>
      <c r="E131" s="459">
        <f>E97*Group_3_rates!G93</f>
        <v>29.699151259327216</v>
      </c>
      <c r="F131" s="459">
        <f>F97*Group_3_rates!H93</f>
        <v>28.477421446340031</v>
      </c>
      <c r="G131" s="459">
        <f>G97*Group_3_rates!I93</f>
        <v>27.175123992566537</v>
      </c>
      <c r="H131" s="459">
        <f>H97*Group_3_rates!J93</f>
        <v>26.297758012170856</v>
      </c>
      <c r="I131" s="459">
        <f>I97*Group_3_rates!K93</f>
        <v>25.628826138987435</v>
      </c>
      <c r="J131" s="459">
        <f>J97*Group_3_rates!L93</f>
        <v>25.118689610796846</v>
      </c>
      <c r="K131" s="459">
        <f>K97*Group_3_rates!M93</f>
        <v>24.61500420550226</v>
      </c>
      <c r="L131" s="459">
        <f>L97*Group_3_rates!N93</f>
        <v>24.241213850474757</v>
      </c>
      <c r="M131" s="459">
        <f>M97*Group_3_rates!O93</f>
        <v>24.007746282555747</v>
      </c>
      <c r="N131" s="459">
        <f>N97*Group_3_rates!P93</f>
        <v>23.873864188478294</v>
      </c>
    </row>
    <row r="132" spans="1:14">
      <c r="B132" s="338" t="str">
        <f t="shared" si="52"/>
        <v>45-49</v>
      </c>
      <c r="C132" s="459">
        <f>C98*Group_3_rates!E94</f>
        <v>25.113336264931565</v>
      </c>
      <c r="D132" s="459">
        <f>D98*Group_3_rates!F94</f>
        <v>25.580960835383991</v>
      </c>
      <c r="E132" s="459">
        <f>E98*Group_3_rates!G94</f>
        <v>25.815178362882229</v>
      </c>
      <c r="F132" s="459">
        <f>F98*Group_3_rates!H94</f>
        <v>25.486965555860003</v>
      </c>
      <c r="G132" s="459">
        <f>G98*Group_3_rates!I94</f>
        <v>24.96838376849691</v>
      </c>
      <c r="H132" s="459">
        <f>H98*Group_3_rates!J94</f>
        <v>24.70000746237729</v>
      </c>
      <c r="I132" s="459">
        <f>I98*Group_3_rates!K94</f>
        <v>24.504524164730274</v>
      </c>
      <c r="J132" s="459">
        <f>J98*Group_3_rates!L94</f>
        <v>24.339918753710247</v>
      </c>
      <c r="K132" s="459">
        <f>K98*Group_3_rates!M94</f>
        <v>24.079068865176058</v>
      </c>
      <c r="L132" s="459">
        <f>L98*Group_3_rates!N94</f>
        <v>23.832992724042928</v>
      </c>
      <c r="M132" s="459">
        <f>M98*Group_3_rates!O94</f>
        <v>23.623722942169948</v>
      </c>
      <c r="N132" s="459">
        <f>N98*Group_3_rates!P94</f>
        <v>23.43310794196746</v>
      </c>
    </row>
    <row r="133" spans="1:14">
      <c r="B133" s="338" t="str">
        <f t="shared" si="52"/>
        <v>50-54</v>
      </c>
      <c r="C133" s="459">
        <f>C99*Group_3_rates!E95</f>
        <v>20.850401300596356</v>
      </c>
      <c r="D133" s="459">
        <f>D99*Group_3_rates!F95</f>
        <v>20.832771825033827</v>
      </c>
      <c r="E133" s="459">
        <f>E99*Group_3_rates!G95</f>
        <v>20.942813757949086</v>
      </c>
      <c r="F133" s="459">
        <f>F99*Group_3_rates!H95</f>
        <v>20.772238761338706</v>
      </c>
      <c r="G133" s="459">
        <f>G99*Group_3_rates!I95</f>
        <v>20.549670226860147</v>
      </c>
      <c r="H133" s="459">
        <f>H99*Group_3_rates!J95</f>
        <v>20.586779061471571</v>
      </c>
      <c r="I133" s="459">
        <f>I99*Group_3_rates!K95</f>
        <v>20.699722968907615</v>
      </c>
      <c r="J133" s="459">
        <f>J99*Group_3_rates!L95</f>
        <v>20.829385385395646</v>
      </c>
      <c r="K133" s="459">
        <f>K99*Group_3_rates!M95</f>
        <v>20.853605605479043</v>
      </c>
      <c r="L133" s="459">
        <f>L99*Group_3_rates!N95</f>
        <v>20.853050158820299</v>
      </c>
      <c r="M133" s="459">
        <f>M99*Group_3_rates!O95</f>
        <v>20.83867360445079</v>
      </c>
      <c r="N133" s="459">
        <f>N99*Group_3_rates!P95</f>
        <v>20.792683702835429</v>
      </c>
    </row>
    <row r="134" spans="1:14">
      <c r="B134" s="338" t="str">
        <f t="shared" si="52"/>
        <v>55-59</v>
      </c>
      <c r="C134" s="459">
        <f>C100*Group_3_rates!E96</f>
        <v>8.9101329766240216</v>
      </c>
      <c r="D134" s="459">
        <f>D100*Group_3_rates!F96</f>
        <v>8.0769706709867926</v>
      </c>
      <c r="E134" s="459">
        <f>E100*Group_3_rates!G96</f>
        <v>7.5882447762187031</v>
      </c>
      <c r="F134" s="459">
        <f>F100*Group_3_rates!H96</f>
        <v>7.1780547657278815</v>
      </c>
      <c r="G134" s="459">
        <f>G100*Group_3_rates!I96</f>
        <v>6.8981384543392217</v>
      </c>
      <c r="H134" s="459">
        <f>H100*Group_3_rates!J96</f>
        <v>6.837421879338728</v>
      </c>
      <c r="I134" s="459">
        <f>I100*Group_3_rates!K96</f>
        <v>6.8671497170505251</v>
      </c>
      <c r="J134" s="459">
        <f>J100*Group_3_rates!L96</f>
        <v>6.9367486773958218</v>
      </c>
      <c r="K134" s="459">
        <f>K100*Group_3_rates!M96</f>
        <v>6.9778942349813553</v>
      </c>
      <c r="L134" s="459">
        <f>L100*Group_3_rates!N96</f>
        <v>7.0207266398727279</v>
      </c>
      <c r="M134" s="459">
        <f>M100*Group_3_rates!O96</f>
        <v>7.062124705165167</v>
      </c>
      <c r="N134" s="459">
        <f>N100*Group_3_rates!P96</f>
        <v>7.0882705650970852</v>
      </c>
    </row>
    <row r="135" spans="1:14">
      <c r="B135" s="338" t="str">
        <f t="shared" si="52"/>
        <v>60-64</v>
      </c>
      <c r="C135" s="459">
        <f>C101*Group_3_rates!E97</f>
        <v>1.2572371947675509</v>
      </c>
      <c r="D135" s="459">
        <f>D101*Group_3_rates!F97</f>
        <v>1.240906608170707</v>
      </c>
      <c r="E135" s="459">
        <f>E101*Group_3_rates!G97</f>
        <v>1.1828259947638575</v>
      </c>
      <c r="F135" s="459">
        <f>F101*Group_3_rates!H97</f>
        <v>1.0947835269502681</v>
      </c>
      <c r="G135" s="459">
        <f>G101*Group_3_rates!I97</f>
        <v>1.0245956788541839</v>
      </c>
      <c r="H135" s="459">
        <f>H101*Group_3_rates!J97</f>
        <v>1.0049900717190134</v>
      </c>
      <c r="I135" s="459">
        <f>I101*Group_3_rates!K97</f>
        <v>1.0064416904158435</v>
      </c>
      <c r="J135" s="459">
        <f>J101*Group_3_rates!L97</f>
        <v>1.0180717820812646</v>
      </c>
      <c r="K135" s="459">
        <f>K101*Group_3_rates!M97</f>
        <v>1.0243763748431529</v>
      </c>
      <c r="L135" s="459">
        <f>L101*Group_3_rates!N97</f>
        <v>1.0334891493965328</v>
      </c>
      <c r="M135" s="459">
        <f>M101*Group_3_rates!O97</f>
        <v>1.0440759429051309</v>
      </c>
      <c r="N135" s="459">
        <f>N101*Group_3_rates!P97</f>
        <v>1.0522734787986749</v>
      </c>
    </row>
    <row r="136" spans="1:14">
      <c r="B136" s="338" t="str">
        <f t="shared" si="52"/>
        <v>65 plus</v>
      </c>
      <c r="C136" s="459">
        <f>C102*Group_3_rates!E98</f>
        <v>0.45956700367640518</v>
      </c>
      <c r="D136" s="459">
        <f>D102*Group_3_rates!F98</f>
        <v>0.49076308990768869</v>
      </c>
      <c r="E136" s="459">
        <f>E102*Group_3_rates!G98</f>
        <v>0.50504986423793563</v>
      </c>
      <c r="F136" s="459">
        <f>F102*Group_3_rates!H98</f>
        <v>0.48594528148551258</v>
      </c>
      <c r="G136" s="459">
        <f>G102*Group_3_rates!I98</f>
        <v>0.45972774842786973</v>
      </c>
      <c r="H136" s="459">
        <f>H102*Group_3_rates!J98</f>
        <v>0.45158371111998191</v>
      </c>
      <c r="I136" s="459">
        <f>I102*Group_3_rates!K98</f>
        <v>0.4520758149651885</v>
      </c>
      <c r="J136" s="459">
        <f>J102*Group_3_rates!L98</f>
        <v>0.45751630649816205</v>
      </c>
      <c r="K136" s="459">
        <f>K102*Group_3_rates!M98</f>
        <v>0.46026811041003168</v>
      </c>
      <c r="L136" s="459">
        <f>L102*Group_3_rates!N98</f>
        <v>0.46465492033071071</v>
      </c>
      <c r="M136" s="459">
        <f>M102*Group_3_rates!O98</f>
        <v>0.47036893119854012</v>
      </c>
      <c r="N136" s="459">
        <f>N102*Group_3_rates!P98</f>
        <v>0.47536512513812079</v>
      </c>
    </row>
    <row r="137" spans="1:14">
      <c r="B137" s="338" t="str">
        <f t="shared" si="52"/>
        <v>Total</v>
      </c>
      <c r="C137" s="459">
        <f>SUM(C127:C136)</f>
        <v>188.22774587537739</v>
      </c>
      <c r="D137" s="459">
        <f t="shared" ref="D137:N137" si="54">SUM(D127:D136)</f>
        <v>185.03177477034345</v>
      </c>
      <c r="E137" s="459">
        <f t="shared" si="54"/>
        <v>182.76503653039745</v>
      </c>
      <c r="F137" s="459">
        <f t="shared" si="54"/>
        <v>174.98051051072363</v>
      </c>
      <c r="G137" s="459">
        <f t="shared" si="54"/>
        <v>167.37251010679506</v>
      </c>
      <c r="H137" s="459">
        <f t="shared" si="54"/>
        <v>166.40622155348646</v>
      </c>
      <c r="I137" s="459">
        <f t="shared" si="54"/>
        <v>168.1975261603406</v>
      </c>
      <c r="J137" s="459">
        <f t="shared" si="54"/>
        <v>171.42583059137573</v>
      </c>
      <c r="K137" s="459">
        <f t="shared" si="54"/>
        <v>173.54101275259723</v>
      </c>
      <c r="L137" s="459">
        <f t="shared" si="54"/>
        <v>176.04725544369742</v>
      </c>
      <c r="M137" s="459">
        <f t="shared" si="54"/>
        <v>178.93174302785087</v>
      </c>
      <c r="N137" s="459">
        <f t="shared" si="54"/>
        <v>181.59902114942872</v>
      </c>
    </row>
    <row r="138" spans="1:14">
      <c r="A138" s="309">
        <f>SUM(C138:N138)</f>
        <v>0</v>
      </c>
      <c r="C138" s="309">
        <f t="shared" ref="C138:N138" si="55">SUM(C127:C136)-C137</f>
        <v>0</v>
      </c>
      <c r="D138" s="309">
        <f t="shared" si="55"/>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4" ht="15.75">
      <c r="B140" s="340" t="s">
        <v>152</v>
      </c>
      <c r="H140" s="325"/>
    </row>
    <row r="141" spans="1:14">
      <c r="H141" s="325"/>
    </row>
    <row r="142" spans="1:14">
      <c r="B142" s="341" t="s">
        <v>49</v>
      </c>
      <c r="H142" s="325"/>
    </row>
    <row r="143" spans="1:14">
      <c r="H143" s="325"/>
    </row>
    <row r="144" spans="1:14">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5">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c r="O145" s="327"/>
    </row>
    <row r="146" spans="1:15">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c r="O146" s="327"/>
    </row>
    <row r="147" spans="1:15">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c r="O147" s="327"/>
    </row>
    <row r="148" spans="1:15">
      <c r="B148" s="338" t="str">
        <f t="shared" si="56"/>
        <v>35-39</v>
      </c>
      <c r="C148" s="459">
        <f>C80*Calc_SEC_retirement_rates!$G127</f>
        <v>0.13448404157053451</v>
      </c>
      <c r="D148" s="459">
        <f>D80*Calc_SEC_retirement_rates!$G127</f>
        <v>0.13107356648763752</v>
      </c>
      <c r="E148" s="459">
        <f>E80*Calc_SEC_retirement_rates!$G127</f>
        <v>0.12692821007648758</v>
      </c>
      <c r="F148" s="459">
        <f>F80*Calc_SEC_retirement_rates!$G127</f>
        <v>0.12048721511689583</v>
      </c>
      <c r="G148" s="459">
        <f>G80*Calc_SEC_retirement_rates!$G127</f>
        <v>0.11397489834606483</v>
      </c>
      <c r="H148" s="459">
        <f>H80*Calc_SEC_retirement_rates!$G127</f>
        <v>0.10999784835192539</v>
      </c>
      <c r="I148" s="459">
        <f>I80*Calc_SEC_retirement_rates!$G127</f>
        <v>0.10765955808614218</v>
      </c>
      <c r="J148" s="459">
        <f>J80*Calc_SEC_retirement_rates!$G127</f>
        <v>0.10670862738479575</v>
      </c>
      <c r="K148" s="459">
        <f>K80*Calc_SEC_retirement_rates!$G127</f>
        <v>0.10629053932259325</v>
      </c>
      <c r="L148" s="459">
        <f>L80*Calc_SEC_retirement_rates!$G127</f>
        <v>0.10680958802645306</v>
      </c>
      <c r="M148" s="459">
        <f>M80*Calc_SEC_retirement_rates!$G127</f>
        <v>0.10815678953400287</v>
      </c>
      <c r="N148" s="459">
        <f>N80*Calc_SEC_retirement_rates!$G127</f>
        <v>0.10999940796454817</v>
      </c>
      <c r="O148" s="327"/>
    </row>
    <row r="149" spans="1:15">
      <c r="B149" s="338" t="str">
        <f t="shared" si="56"/>
        <v>40-44</v>
      </c>
      <c r="C149" s="459">
        <f>C81*Calc_SEC_retirement_rates!$G128</f>
        <v>0.1549100377163857</v>
      </c>
      <c r="D149" s="459">
        <f>D81*Calc_SEC_retirement_rates!$G128</f>
        <v>0.15424141826257642</v>
      </c>
      <c r="E149" s="459">
        <f>E81*Calc_SEC_retirement_rates!$G128</f>
        <v>0.15313260717390584</v>
      </c>
      <c r="F149" s="459">
        <f>F81*Calc_SEC_retirement_rates!$G128</f>
        <v>0.14910447607176225</v>
      </c>
      <c r="G149" s="459">
        <f>G81*Calc_SEC_retirement_rates!$G128</f>
        <v>0.14430856711878987</v>
      </c>
      <c r="H149" s="459">
        <f>H81*Calc_SEC_retirement_rates!$G128</f>
        <v>0.14142676870915696</v>
      </c>
      <c r="I149" s="459">
        <f>I81*Calc_SEC_retirement_rates!$G128</f>
        <v>0.13938540178821643</v>
      </c>
      <c r="J149" s="459">
        <f>J81*Calc_SEC_retirement_rates!$G128</f>
        <v>0.13797356090615434</v>
      </c>
      <c r="K149" s="459">
        <f>K81*Calc_SEC_retirement_rates!$G128</f>
        <v>0.13643968984523849</v>
      </c>
      <c r="L149" s="459">
        <f>L81*Calc_SEC_retirement_rates!$G128</f>
        <v>0.13546250607626981</v>
      </c>
      <c r="M149" s="459">
        <f>M81*Calc_SEC_retirement_rates!$G128</f>
        <v>0.13512930822702418</v>
      </c>
      <c r="N149" s="459">
        <f>N81*Calc_SEC_retirement_rates!$G128</f>
        <v>0.13525467670361405</v>
      </c>
      <c r="O149" s="327"/>
    </row>
    <row r="150" spans="1:15">
      <c r="B150" s="338" t="str">
        <f t="shared" si="56"/>
        <v>45-49</v>
      </c>
      <c r="C150" s="459">
        <f>C82*Calc_SEC_retirement_rates!$G129</f>
        <v>0.3415447482944125</v>
      </c>
      <c r="D150" s="459">
        <f>D82*Calc_SEC_retirement_rates!$G129</f>
        <v>0.33611031161143684</v>
      </c>
      <c r="E150" s="459">
        <f>E82*Calc_SEC_retirement_rates!$G129</f>
        <v>0.33220915125165035</v>
      </c>
      <c r="F150" s="459">
        <f>F82*Calc_SEC_retirement_rates!$G129</f>
        <v>0.32441586120972205</v>
      </c>
      <c r="G150" s="459">
        <f>G82*Calc_SEC_retirement_rates!$G129</f>
        <v>0.31631710898992987</v>
      </c>
      <c r="H150" s="459">
        <f>H82*Calc_SEC_retirement_rates!$G129</f>
        <v>0.3126350400363816</v>
      </c>
      <c r="I150" s="459">
        <f>I82*Calc_SEC_retirement_rates!$G129</f>
        <v>0.31070772375032274</v>
      </c>
      <c r="J150" s="459">
        <f>J82*Calc_SEC_retirement_rates!$G129</f>
        <v>0.30968369891703595</v>
      </c>
      <c r="K150" s="459">
        <f>K82*Calc_SEC_retirement_rates!$G129</f>
        <v>0.3077726429656481</v>
      </c>
      <c r="L150" s="459">
        <f>L82*Calc_SEC_retirement_rates!$G129</f>
        <v>0.30618955987144852</v>
      </c>
      <c r="M150" s="459">
        <f>M82*Calc_SEC_retirement_rates!$G129</f>
        <v>0.30511381182448372</v>
      </c>
      <c r="N150" s="459">
        <f>N82*Calc_SEC_retirement_rates!$G129</f>
        <v>0.3042699966632631</v>
      </c>
      <c r="O150" s="327"/>
    </row>
    <row r="151" spans="1:15">
      <c r="B151" s="338" t="str">
        <f t="shared" si="56"/>
        <v>50-54</v>
      </c>
      <c r="C151" s="459">
        <f>C83*Calc_SEC_retirement_rates!$G130</f>
        <v>5.8702563615350378</v>
      </c>
      <c r="D151" s="459">
        <f>D83*Calc_SEC_retirement_rates!$G130</f>
        <v>5.8215562592230086</v>
      </c>
      <c r="E151" s="459">
        <f>E83*Calc_SEC_retirement_rates!$G130</f>
        <v>5.7712606991835651</v>
      </c>
      <c r="F151" s="459">
        <f>F83*Calc_SEC_retirement_rates!$G130</f>
        <v>5.6454096545289465</v>
      </c>
      <c r="G151" s="459">
        <f>G83*Calc_SEC_retirement_rates!$G130</f>
        <v>5.5149218798205348</v>
      </c>
      <c r="H151" s="459">
        <f>H83*Calc_SEC_retirement_rates!$G130</f>
        <v>5.4634975445254614</v>
      </c>
      <c r="I151" s="459">
        <f>I83*Calc_SEC_retirement_rates!$G130</f>
        <v>5.4468690252472598</v>
      </c>
      <c r="J151" s="459">
        <f>J83*Calc_SEC_retirement_rates!$G130</f>
        <v>5.4493161780970505</v>
      </c>
      <c r="K151" s="459">
        <f>K83*Calc_SEC_retirement_rates!$G130</f>
        <v>5.4382578833883253</v>
      </c>
      <c r="L151" s="459">
        <f>L83*Calc_SEC_retirement_rates!$G130</f>
        <v>5.4312913911901379</v>
      </c>
      <c r="M151" s="459">
        <f>M83*Calc_SEC_retirement_rates!$G130</f>
        <v>5.4287853464951086</v>
      </c>
      <c r="N151" s="459">
        <f>N83*Calc_SEC_retirement_rates!$G130</f>
        <v>5.4242483550335674</v>
      </c>
      <c r="O151" s="327"/>
    </row>
    <row r="152" spans="1:15">
      <c r="B152" s="338" t="str">
        <f t="shared" si="56"/>
        <v>55-59</v>
      </c>
      <c r="C152" s="459">
        <f>C84*Calc_SEC_retirement_rates!$G131</f>
        <v>30.336541515782358</v>
      </c>
      <c r="D152" s="459">
        <f>D84*Calc_SEC_retirement_rates!$G131</f>
        <v>26.929880168042988</v>
      </c>
      <c r="E152" s="459">
        <f>E84*Calc_SEC_retirement_rates!$G131</f>
        <v>24.882622941888478</v>
      </c>
      <c r="F152" s="459">
        <f>F84*Calc_SEC_retirement_rates!$G131</f>
        <v>23.221826335513711</v>
      </c>
      <c r="G152" s="459">
        <f>G84*Calc_SEC_retirement_rates!$G131</f>
        <v>22.026648662539717</v>
      </c>
      <c r="H152" s="459">
        <f>H84*Calc_SEC_retirement_rates!$G131</f>
        <v>21.532711019094524</v>
      </c>
      <c r="I152" s="459">
        <f>I84*Calc_SEC_retirement_rates!$G131</f>
        <v>21.353698412018549</v>
      </c>
      <c r="J152" s="459">
        <f>J84*Calc_SEC_retirement_rates!$G131</f>
        <v>21.340465567822683</v>
      </c>
      <c r="K152" s="459">
        <f>K84*Calc_SEC_retirement_rates!$G131</f>
        <v>21.291640060520336</v>
      </c>
      <c r="L152" s="459">
        <f>L84*Calc_SEC_retirement_rates!$G131</f>
        <v>21.293508040099809</v>
      </c>
      <c r="M152" s="459">
        <f>M84*Calc_SEC_retirement_rates!$G131</f>
        <v>21.331811772182849</v>
      </c>
      <c r="N152" s="459">
        <f>N84*Calc_SEC_retirement_rates!$G131</f>
        <v>21.359916265022431</v>
      </c>
      <c r="O152" s="327"/>
    </row>
    <row r="153" spans="1:15">
      <c r="B153" s="338" t="str">
        <f t="shared" si="56"/>
        <v>60-64</v>
      </c>
      <c r="C153" s="459">
        <f>C85*Calc_SEC_retirement_rates!$G132</f>
        <v>18.452882147079869</v>
      </c>
      <c r="D153" s="459">
        <f>D85*Calc_SEC_retirement_rates!$G132</f>
        <v>18.091016993476046</v>
      </c>
      <c r="E153" s="459">
        <f>E85*Calc_SEC_retirement_rates!$G132</f>
        <v>17.046439360837837</v>
      </c>
      <c r="F153" s="459">
        <f>F85*Calc_SEC_retirement_rates!$G132</f>
        <v>15.629823607949326</v>
      </c>
      <c r="G153" s="459">
        <f>G85*Calc_SEC_retirement_rates!$G132</f>
        <v>14.463192436373255</v>
      </c>
      <c r="H153" s="459">
        <f>H85*Calc_SEC_retirement_rates!$G132</f>
        <v>13.959113445096955</v>
      </c>
      <c r="I153" s="459">
        <f>I85*Calc_SEC_retirement_rates!$G132</f>
        <v>13.761367333592268</v>
      </c>
      <c r="J153" s="459">
        <f>J85*Calc_SEC_retirement_rates!$G132</f>
        <v>13.729950411763557</v>
      </c>
      <c r="K153" s="459">
        <f>K85*Calc_SEC_retirement_rates!$G132</f>
        <v>13.668412790583565</v>
      </c>
      <c r="L153" s="459">
        <f>L85*Calc_SEC_retirement_rates!$G132</f>
        <v>13.669872112463711</v>
      </c>
      <c r="M153" s="459">
        <f>M85*Calc_SEC_retirement_rates!$G132</f>
        <v>13.716092231023806</v>
      </c>
      <c r="N153" s="459">
        <f>N85*Calc_SEC_retirement_rates!$G132</f>
        <v>13.756995385559028</v>
      </c>
      <c r="O153" s="327"/>
    </row>
    <row r="154" spans="1:15">
      <c r="B154" s="338" t="str">
        <f t="shared" si="56"/>
        <v>65 plus</v>
      </c>
      <c r="C154" s="459">
        <f>C86*Calc_SEC_retirement_rates!$G133</f>
        <v>4.928741492579471</v>
      </c>
      <c r="D154" s="459">
        <f>D86*Calc_SEC_retirement_rates!$G133</f>
        <v>5.6881322431923982</v>
      </c>
      <c r="E154" s="459">
        <f>E86*Calc_SEC_retirement_rates!$G133</f>
        <v>6.0608695097605656</v>
      </c>
      <c r="F154" s="459">
        <f>F86*Calc_SEC_retirement_rates!$G133</f>
        <v>5.9586481220350294</v>
      </c>
      <c r="G154" s="459">
        <f>G86*Calc_SEC_retirement_rates!$G133</f>
        <v>5.6895380553520445</v>
      </c>
      <c r="H154" s="459">
        <f>H86*Calc_SEC_retirement_rates!$G133</f>
        <v>5.5443234439152276</v>
      </c>
      <c r="I154" s="459">
        <f>I86*Calc_SEC_retirement_rates!$G133</f>
        <v>5.4720569536530501</v>
      </c>
      <c r="J154" s="459">
        <f>J86*Calc_SEC_retirement_rates!$G133</f>
        <v>5.4535568855882213</v>
      </c>
      <c r="K154" s="459">
        <f>K86*Calc_SEC_retirement_rates!$G133</f>
        <v>5.4209268386723926</v>
      </c>
      <c r="L154" s="459">
        <f>L86*Calc_SEC_retirement_rates!$G133</f>
        <v>5.4137456036634495</v>
      </c>
      <c r="M154" s="459">
        <f>M86*Calc_SEC_retirement_rates!$G133</f>
        <v>5.4293493634818724</v>
      </c>
      <c r="N154" s="459">
        <f>N86*Calc_SEC_retirement_rates!$G133</f>
        <v>5.4477412280784989</v>
      </c>
      <c r="O154" s="327"/>
    </row>
    <row r="155" spans="1:15">
      <c r="B155" s="338" t="str">
        <f t="shared" si="56"/>
        <v>Total</v>
      </c>
      <c r="C155" s="459">
        <f>SUM(C145:C154)</f>
        <v>60.219360344558069</v>
      </c>
      <c r="D155" s="459">
        <f t="shared" ref="D155:N155" si="58">SUM(D145:D154)</f>
        <v>57.152010960296096</v>
      </c>
      <c r="E155" s="459">
        <f t="shared" si="58"/>
        <v>54.373462480172492</v>
      </c>
      <c r="F155" s="459">
        <f t="shared" si="58"/>
        <v>51.049715272425395</v>
      </c>
      <c r="G155" s="459">
        <f t="shared" si="58"/>
        <v>48.268901608540332</v>
      </c>
      <c r="H155" s="459">
        <f t="shared" si="58"/>
        <v>47.063705109729632</v>
      </c>
      <c r="I155" s="459">
        <f t="shared" si="58"/>
        <v>46.59174440813581</v>
      </c>
      <c r="J155" s="459">
        <f t="shared" si="58"/>
        <v>46.527654930479493</v>
      </c>
      <c r="K155" s="459">
        <f t="shared" si="58"/>
        <v>46.369740445298099</v>
      </c>
      <c r="L155" s="459">
        <f t="shared" si="58"/>
        <v>46.356878801391282</v>
      </c>
      <c r="M155" s="459">
        <f t="shared" si="58"/>
        <v>46.454438622769146</v>
      </c>
      <c r="N155" s="459">
        <f t="shared" si="58"/>
        <v>46.538425315024952</v>
      </c>
      <c r="O155" s="327"/>
    </row>
    <row r="156" spans="1:15">
      <c r="A156" s="309">
        <f>SUM(C156:N156)</f>
        <v>0</v>
      </c>
      <c r="C156" s="309">
        <f t="shared" ref="C156:N156" si="59">SUM(C145:C154)-C155</f>
        <v>0</v>
      </c>
      <c r="D156" s="309">
        <f t="shared" si="59"/>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5">
      <c r="B158" s="341" t="s">
        <v>50</v>
      </c>
      <c r="C158" s="329"/>
      <c r="D158" s="329"/>
      <c r="E158" s="329"/>
      <c r="F158" s="329"/>
      <c r="G158" s="329"/>
      <c r="H158" s="339"/>
      <c r="I158" s="329"/>
      <c r="J158" s="329"/>
      <c r="K158" s="329"/>
      <c r="L158" s="329"/>
    </row>
    <row r="159" spans="1:15">
      <c r="C159" s="329"/>
      <c r="D159" s="329"/>
      <c r="E159" s="329"/>
      <c r="F159" s="329"/>
      <c r="G159" s="329"/>
      <c r="H159" s="339"/>
      <c r="I159" s="329"/>
      <c r="J159" s="329"/>
      <c r="K159" s="329"/>
      <c r="L159" s="329"/>
    </row>
    <row r="160" spans="1:15">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7">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c r="O161" s="327"/>
      <c r="P161" s="327"/>
      <c r="Q161" s="327"/>
    </row>
    <row r="162" spans="1:17">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c r="O162" s="327"/>
      <c r="P162" s="327"/>
      <c r="Q162" s="327"/>
    </row>
    <row r="163" spans="1:17">
      <c r="B163" s="338" t="str">
        <f t="shared" si="60"/>
        <v>30-34</v>
      </c>
      <c r="C163" s="459">
        <f>C95*Calc_SEC_retirement_rates!$G142</f>
        <v>5.1545251131513779E-2</v>
      </c>
      <c r="D163" s="459">
        <f>D95*Calc_SEC_retirement_rates!$G142</f>
        <v>4.7046394354322792E-2</v>
      </c>
      <c r="E163" s="459">
        <f>E95*Calc_SEC_retirement_rates!$G142</f>
        <v>4.3773395774322439E-2</v>
      </c>
      <c r="F163" s="459">
        <f>F95*Calc_SEC_retirement_rates!$G142</f>
        <v>4.018417762217176E-2</v>
      </c>
      <c r="G163" s="459">
        <f>G95*Calc_SEC_retirement_rates!$G142</f>
        <v>3.7158804393475145E-2</v>
      </c>
      <c r="H163" s="459">
        <f>H95*Calc_SEC_retirement_rates!$G142</f>
        <v>3.6002499451559866E-2</v>
      </c>
      <c r="I163" s="459">
        <f>I95*Calc_SEC_retirement_rates!$G142</f>
        <v>3.5977554472194785E-2</v>
      </c>
      <c r="J163" s="459">
        <f>J95*Calc_SEC_retirement_rates!$G142</f>
        <v>3.6730820564682617E-2</v>
      </c>
      <c r="K163" s="459">
        <f>K95*Calc_SEC_retirement_rates!$G142</f>
        <v>3.7595542972680758E-2</v>
      </c>
      <c r="L163" s="459">
        <f>L95*Calc_SEC_retirement_rates!$G142</f>
        <v>3.8728167902489188E-2</v>
      </c>
      <c r="M163" s="459">
        <f>M95*Calc_SEC_retirement_rates!$G142</f>
        <v>4.0045951791004661E-2</v>
      </c>
      <c r="N163" s="459">
        <f>N95*Calc_SEC_retirement_rates!$G142</f>
        <v>4.1361004790072514E-2</v>
      </c>
      <c r="O163" s="327"/>
      <c r="P163" s="327"/>
      <c r="Q163" s="327"/>
    </row>
    <row r="164" spans="1:17">
      <c r="B164" s="338" t="str">
        <f t="shared" si="60"/>
        <v>35-39</v>
      </c>
      <c r="C164" s="459">
        <f>C96*Calc_SEC_retirement_rates!$G143</f>
        <v>0.14878669444052764</v>
      </c>
      <c r="D164" s="459">
        <f>D96*Calc_SEC_retirement_rates!$G143</f>
        <v>0.14321775534878015</v>
      </c>
      <c r="E164" s="459">
        <f>E96*Calc_SEC_retirement_rates!$G143</f>
        <v>0.13700819252959706</v>
      </c>
      <c r="F164" s="459">
        <f>F96*Calc_SEC_retirement_rates!$G143</f>
        <v>0.12845760852414895</v>
      </c>
      <c r="G164" s="459">
        <f>G96*Calc_SEC_retirement_rates!$G143</f>
        <v>0.12004355383608173</v>
      </c>
      <c r="H164" s="459">
        <f>H96*Calc_SEC_retirement_rates!$G143</f>
        <v>0.11461304342782921</v>
      </c>
      <c r="I164" s="459">
        <f>I96*Calc_SEC_retirement_rates!$G143</f>
        <v>0.11111097094284342</v>
      </c>
      <c r="J164" s="459">
        <f>J96*Calc_SEC_retirement_rates!$G143</f>
        <v>0.10921072788834142</v>
      </c>
      <c r="K164" s="459">
        <f>K96*Calc_SEC_retirement_rates!$G143</f>
        <v>0.10793584229798932</v>
      </c>
      <c r="L164" s="459">
        <f>L96*Calc_SEC_retirement_rates!$G143</f>
        <v>0.10771722864283102</v>
      </c>
      <c r="M164" s="459">
        <f>M96*Calc_SEC_retirement_rates!$G143</f>
        <v>0.10842018194761399</v>
      </c>
      <c r="N164" s="459">
        <f>N96*Calc_SEC_retirement_rates!$G143</f>
        <v>0.10967055094447543</v>
      </c>
      <c r="O164" s="327"/>
      <c r="P164" s="327"/>
      <c r="Q164" s="327"/>
    </row>
    <row r="165" spans="1:17">
      <c r="B165" s="338" t="str">
        <f t="shared" si="60"/>
        <v>40-44</v>
      </c>
      <c r="C165" s="459">
        <f>C97*Calc_SEC_retirement_rates!$G144</f>
        <v>0.22505479492117333</v>
      </c>
      <c r="D165" s="459">
        <f>D97*Calc_SEC_retirement_rates!$G144</f>
        <v>0.2197031800782672</v>
      </c>
      <c r="E165" s="459">
        <f>E97*Calc_SEC_retirement_rates!$G144</f>
        <v>0.2143859192379042</v>
      </c>
      <c r="F165" s="459">
        <f>F97*Calc_SEC_retirement_rates!$G144</f>
        <v>0.20556675579681591</v>
      </c>
      <c r="G165" s="459">
        <f>G97*Calc_SEC_retirement_rates!$G144</f>
        <v>0.19616600779864776</v>
      </c>
      <c r="H165" s="459">
        <f>H97*Calc_SEC_retirement_rates!$G144</f>
        <v>0.18983266478245231</v>
      </c>
      <c r="I165" s="459">
        <f>I97*Calc_SEC_retirement_rates!$G144</f>
        <v>0.18500392158747891</v>
      </c>
      <c r="J165" s="459">
        <f>J97*Calc_SEC_retirement_rates!$G144</f>
        <v>0.18132145646994044</v>
      </c>
      <c r="K165" s="459">
        <f>K97*Calc_SEC_retirement_rates!$G144</f>
        <v>0.17768555934689104</v>
      </c>
      <c r="L165" s="459">
        <f>L97*Calc_SEC_retirement_rates!$G144</f>
        <v>0.1749873209977508</v>
      </c>
      <c r="M165" s="459">
        <f>M97*Calc_SEC_retirement_rates!$G144</f>
        <v>0.17330201495235209</v>
      </c>
      <c r="N165" s="459">
        <f>N97*Calc_SEC_retirement_rates!$G144</f>
        <v>0.17233557535420779</v>
      </c>
      <c r="O165" s="327"/>
      <c r="P165" s="327"/>
      <c r="Q165" s="327"/>
    </row>
    <row r="166" spans="1:17">
      <c r="B166" s="338" t="str">
        <f t="shared" si="60"/>
        <v>45-49</v>
      </c>
      <c r="C166" s="459">
        <f>C98*Calc_SEC_retirement_rates!$G145</f>
        <v>0.35226310431358698</v>
      </c>
      <c r="D166" s="459">
        <f>D98*Calc_SEC_retirement_rates!$G145</f>
        <v>0.35882244318848211</v>
      </c>
      <c r="E166" s="459">
        <f>E98*Calc_SEC_retirement_rates!$G145</f>
        <v>0.36210779693243667</v>
      </c>
      <c r="F166" s="459">
        <f>F98*Calc_SEC_retirement_rates!$G145</f>
        <v>0.35750397762872377</v>
      </c>
      <c r="G166" s="459">
        <f>G98*Calc_SEC_retirement_rates!$G145</f>
        <v>0.35022986524756222</v>
      </c>
      <c r="H166" s="459">
        <f>H98*Calc_SEC_retirement_rates!$G145</f>
        <v>0.34646536857851845</v>
      </c>
      <c r="I166" s="459">
        <f>I98*Calc_SEC_retirement_rates!$G145</f>
        <v>0.3437233373109822</v>
      </c>
      <c r="J166" s="459">
        <f>J98*Calc_SEC_retirement_rates!$G145</f>
        <v>0.34141442811385181</v>
      </c>
      <c r="K166" s="459">
        <f>K98*Calc_SEC_retirement_rates!$G145</f>
        <v>0.33775550400573884</v>
      </c>
      <c r="L166" s="459">
        <f>L98*Calc_SEC_retirement_rates!$G145</f>
        <v>0.33430381027382672</v>
      </c>
      <c r="M166" s="459">
        <f>M98*Calc_SEC_retirement_rates!$G145</f>
        <v>0.33136839690525161</v>
      </c>
      <c r="N166" s="459">
        <f>N98*Calc_SEC_retirement_rates!$G145</f>
        <v>0.32869465292350003</v>
      </c>
      <c r="O166" s="327"/>
      <c r="P166" s="327"/>
      <c r="Q166" s="327"/>
    </row>
    <row r="167" spans="1:17">
      <c r="B167" s="338" t="str">
        <f t="shared" si="60"/>
        <v>50-54</v>
      </c>
      <c r="C167" s="459">
        <f>C99*Calc_SEC_retirement_rates!$G146</f>
        <v>5.6798616103629032</v>
      </c>
      <c r="D167" s="459">
        <f>D99*Calc_SEC_retirement_rates!$G146</f>
        <v>5.6750591617186368</v>
      </c>
      <c r="E167" s="459">
        <f>E99*Calc_SEC_retirement_rates!$G146</f>
        <v>5.705035704677436</v>
      </c>
      <c r="F167" s="459">
        <f>F99*Calc_SEC_retirement_rates!$G146</f>
        <v>5.6585693388282872</v>
      </c>
      <c r="G167" s="459">
        <f>G99*Calc_SEC_retirement_rates!$G146</f>
        <v>5.59793940387239</v>
      </c>
      <c r="H167" s="459">
        <f>H99*Calc_SEC_retirement_rates!$G146</f>
        <v>5.6080482282578812</v>
      </c>
      <c r="I167" s="459">
        <f>I99*Calc_SEC_retirement_rates!$G146</f>
        <v>5.6388152986236681</v>
      </c>
      <c r="J167" s="459">
        <f>J99*Calc_SEC_retirement_rates!$G146</f>
        <v>5.6741366610809081</v>
      </c>
      <c r="K167" s="459">
        <f>K99*Calc_SEC_retirement_rates!$G146</f>
        <v>5.6807344956387631</v>
      </c>
      <c r="L167" s="459">
        <f>L99*Calc_SEC_retirement_rates!$G146</f>
        <v>5.6805831863134353</v>
      </c>
      <c r="M167" s="459">
        <f>M99*Calc_SEC_retirement_rates!$G146</f>
        <v>5.6766668665229707</v>
      </c>
      <c r="N167" s="459">
        <f>N99*Calc_SEC_retirement_rates!$G146</f>
        <v>5.6641387490597355</v>
      </c>
      <c r="O167" s="327"/>
      <c r="P167" s="327"/>
      <c r="Q167" s="327"/>
    </row>
    <row r="168" spans="1:17">
      <c r="B168" s="338" t="str">
        <f t="shared" si="60"/>
        <v>55-59</v>
      </c>
      <c r="C168" s="459">
        <f>C100*Calc_SEC_retirement_rates!$G147</f>
        <v>31.191835527051559</v>
      </c>
      <c r="D168" s="459">
        <f>D100*Calc_SEC_retirement_rates!$G147</f>
        <v>28.275171805763065</v>
      </c>
      <c r="E168" s="459">
        <f>E100*Calc_SEC_retirement_rates!$G147</f>
        <v>26.564281769956523</v>
      </c>
      <c r="F168" s="459">
        <f>F100*Calc_SEC_retirement_rates!$G147</f>
        <v>25.128323476669969</v>
      </c>
      <c r="G168" s="459">
        <f>G100*Calc_SEC_retirement_rates!$G147</f>
        <v>24.148416266633898</v>
      </c>
      <c r="H168" s="459">
        <f>H100*Calc_SEC_retirement_rates!$G147</f>
        <v>23.935864846116395</v>
      </c>
      <c r="I168" s="459">
        <f>I100*Calc_SEC_retirement_rates!$G147</f>
        <v>24.039933531388989</v>
      </c>
      <c r="J168" s="459">
        <f>J100*Calc_SEC_retirement_rates!$G147</f>
        <v>24.283579650884597</v>
      </c>
      <c r="K168" s="459">
        <f>K100*Calc_SEC_retirement_rates!$G147</f>
        <v>24.427618518569719</v>
      </c>
      <c r="L168" s="459">
        <f>L100*Calc_SEC_retirement_rates!$G147</f>
        <v>24.577562557800658</v>
      </c>
      <c r="M168" s="459">
        <f>M100*Calc_SEC_retirement_rates!$G147</f>
        <v>24.722485382984928</v>
      </c>
      <c r="N168" s="459">
        <f>N100*Calc_SEC_retirement_rates!$G147</f>
        <v>24.814014585169598</v>
      </c>
      <c r="O168" s="327"/>
      <c r="P168" s="327"/>
      <c r="Q168" s="327"/>
    </row>
    <row r="169" spans="1:17">
      <c r="B169" s="338" t="str">
        <f t="shared" si="60"/>
        <v>60-64</v>
      </c>
      <c r="C169" s="459">
        <f>C101*Calc_SEC_retirement_rates!$G148</f>
        <v>21.164733088761729</v>
      </c>
      <c r="D169" s="459">
        <f>D101*Calc_SEC_retirement_rates!$G148</f>
        <v>20.889818770331136</v>
      </c>
      <c r="E169" s="459">
        <f>E101*Calc_SEC_retirement_rates!$G148</f>
        <v>19.912071146013677</v>
      </c>
      <c r="F169" s="459">
        <f>F101*Calc_SEC_retirement_rates!$G148</f>
        <v>18.429936080724712</v>
      </c>
      <c r="G169" s="459">
        <f>G101*Calc_SEC_retirement_rates!$G148</f>
        <v>17.248371394911523</v>
      </c>
      <c r="H169" s="459">
        <f>H101*Calc_SEC_retirement_rates!$G148</f>
        <v>16.91832433315901</v>
      </c>
      <c r="I169" s="459">
        <f>I101*Calc_SEC_retirement_rates!$G148</f>
        <v>16.942761346630238</v>
      </c>
      <c r="J169" s="459">
        <f>J101*Calc_SEC_retirement_rates!$G148</f>
        <v>17.138546029839503</v>
      </c>
      <c r="K169" s="459">
        <f>K101*Calc_SEC_retirement_rates!$G148</f>
        <v>17.244679561041131</v>
      </c>
      <c r="L169" s="459">
        <f>L101*Calc_SEC_retirement_rates!$G148</f>
        <v>17.398086922772904</v>
      </c>
      <c r="M169" s="459">
        <f>M101*Calc_SEC_retirement_rates!$G148</f>
        <v>17.576308391090773</v>
      </c>
      <c r="N169" s="459">
        <f>N101*Calc_SEC_retirement_rates!$G148</f>
        <v>17.714308332465784</v>
      </c>
      <c r="O169" s="327"/>
      <c r="P169" s="327"/>
      <c r="Q169" s="327"/>
    </row>
    <row r="170" spans="1:17">
      <c r="B170" s="338" t="str">
        <f t="shared" si="60"/>
        <v>65 plus</v>
      </c>
      <c r="C170" s="459">
        <f>C102*Calc_SEC_retirement_rates!$G149</f>
        <v>5.9786661685965363</v>
      </c>
      <c r="D170" s="459">
        <f>D102*Calc_SEC_retirement_rates!$G149</f>
        <v>6.3845068487401493</v>
      </c>
      <c r="E170" s="459">
        <f>E102*Calc_SEC_retirement_rates!$G149</f>
        <v>6.5703684394621078</v>
      </c>
      <c r="F170" s="459">
        <f>F102*Calc_SEC_retirement_rates!$G149</f>
        <v>6.3218303119348107</v>
      </c>
      <c r="G170" s="459">
        <f>G102*Calc_SEC_retirement_rates!$G149</f>
        <v>5.9807573526886761</v>
      </c>
      <c r="H170" s="459">
        <f>H102*Calc_SEC_retirement_rates!$G149</f>
        <v>5.874808753379007</v>
      </c>
      <c r="I170" s="459">
        <f>I102*Calc_SEC_retirement_rates!$G149</f>
        <v>5.8812107025773539</v>
      </c>
      <c r="J170" s="459">
        <f>J102*Calc_SEC_retirement_rates!$G149</f>
        <v>5.9519879394296931</v>
      </c>
      <c r="K170" s="459">
        <f>K102*Calc_SEC_retirement_rates!$G149</f>
        <v>5.9877871086887877</v>
      </c>
      <c r="L170" s="459">
        <f>L102*Calc_SEC_retirement_rates!$G149</f>
        <v>6.0448566368555543</v>
      </c>
      <c r="M170" s="459">
        <f>M102*Calc_SEC_retirement_rates!$G149</f>
        <v>6.1191921813772385</v>
      </c>
      <c r="N170" s="459">
        <f>N102*Calc_SEC_retirement_rates!$G149</f>
        <v>6.1841893971028279</v>
      </c>
      <c r="O170" s="327"/>
      <c r="P170" s="327"/>
      <c r="Q170" s="327"/>
    </row>
    <row r="171" spans="1:17">
      <c r="B171" s="338" t="str">
        <f t="shared" si="60"/>
        <v>Total</v>
      </c>
      <c r="C171" s="459">
        <f>SUM(C161:C170)</f>
        <v>64.792746239579529</v>
      </c>
      <c r="D171" s="459">
        <f t="shared" ref="D171:N171" si="62">SUM(D161:D170)</f>
        <v>61.993346359522839</v>
      </c>
      <c r="E171" s="459">
        <f t="shared" si="62"/>
        <v>59.509032364584009</v>
      </c>
      <c r="F171" s="459">
        <f t="shared" si="62"/>
        <v>56.270371727729639</v>
      </c>
      <c r="G171" s="459">
        <f t="shared" si="62"/>
        <v>53.679082649382259</v>
      </c>
      <c r="H171" s="459">
        <f t="shared" si="62"/>
        <v>53.023959737152659</v>
      </c>
      <c r="I171" s="459">
        <f t="shared" si="62"/>
        <v>53.178536663533755</v>
      </c>
      <c r="J171" s="459">
        <f t="shared" si="62"/>
        <v>53.716927714271513</v>
      </c>
      <c r="K171" s="459">
        <f t="shared" si="62"/>
        <v>54.001792132561697</v>
      </c>
      <c r="L171" s="459">
        <f t="shared" si="62"/>
        <v>54.356825831559448</v>
      </c>
      <c r="M171" s="459">
        <f t="shared" si="62"/>
        <v>54.747789367572132</v>
      </c>
      <c r="N171" s="459">
        <f t="shared" si="62"/>
        <v>55.028712847810198</v>
      </c>
      <c r="O171" s="327"/>
      <c r="P171" s="327"/>
      <c r="Q171" s="327"/>
    </row>
    <row r="172" spans="1:17">
      <c r="A172" s="309">
        <f>SUM(C172:N172)</f>
        <v>0</v>
      </c>
      <c r="C172" s="309">
        <f t="shared" ref="C172:N172" si="63">SUM(C161:C170)-C171</f>
        <v>0</v>
      </c>
      <c r="D172" s="309">
        <f t="shared" si="63"/>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7" ht="15.75">
      <c r="B174" s="340" t="s">
        <v>516</v>
      </c>
      <c r="H174" s="325"/>
    </row>
    <row r="175" spans="1:17">
      <c r="H175" s="325"/>
    </row>
    <row r="176" spans="1:17">
      <c r="B176" s="341" t="s">
        <v>49</v>
      </c>
      <c r="H176" s="325"/>
    </row>
    <row r="177" spans="1:15">
      <c r="H177" s="325"/>
    </row>
    <row r="178" spans="1:15">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5">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c r="O179" s="327"/>
    </row>
    <row r="180" spans="1:15">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c r="O180" s="327"/>
    </row>
    <row r="181" spans="1:15">
      <c r="B181" s="338" t="str">
        <f t="shared" si="64"/>
        <v>30-34</v>
      </c>
      <c r="C181" s="459">
        <f>C79*Calc_SEC_death_rates!$G126</f>
        <v>7.3767637126696831E-2</v>
      </c>
      <c r="D181" s="459">
        <f>D79*Calc_SEC_death_rates!$G126</f>
        <v>6.8238486465988069E-2</v>
      </c>
      <c r="E181" s="459">
        <f>E79*Calc_SEC_death_rates!$G126</f>
        <v>6.4376942483756278E-2</v>
      </c>
      <c r="F181" s="459">
        <f>F79*Calc_SEC_death_rates!$G126</f>
        <v>5.9911355272841575E-2</v>
      </c>
      <c r="G181" s="459">
        <f>G79*Calc_SEC_death_rates!$G126</f>
        <v>5.6144749772727279E-2</v>
      </c>
      <c r="H181" s="459">
        <f>H79*Calc_SEC_death_rates!$G126</f>
        <v>5.5052632930347026E-2</v>
      </c>
      <c r="I181" s="459">
        <f>I79*Calc_SEC_death_rates!$G126</f>
        <v>5.5589576103506406E-2</v>
      </c>
      <c r="J181" s="459">
        <f>J79*Calc_SEC_death_rates!$G126</f>
        <v>5.7255682083926569E-2</v>
      </c>
      <c r="K181" s="459">
        <f>K79*Calc_SEC_death_rates!$G126</f>
        <v>5.9066433838499355E-2</v>
      </c>
      <c r="L181" s="459">
        <f>L79*Calc_SEC_death_rates!$G126</f>
        <v>6.1250200337702412E-2</v>
      </c>
      <c r="M181" s="459">
        <f>M79*Calc_SEC_death_rates!$G126</f>
        <v>6.3685307404843045E-2</v>
      </c>
      <c r="N181" s="459">
        <f>N79*Calc_SEC_death_rates!$G126</f>
        <v>6.6091589369281278E-2</v>
      </c>
      <c r="O181" s="327"/>
    </row>
    <row r="182" spans="1:15">
      <c r="B182" s="338" t="str">
        <f t="shared" si="64"/>
        <v>35-39</v>
      </c>
      <c r="C182" s="459">
        <f>C80*Calc_SEC_death_rates!$G127</f>
        <v>0.14211299775964381</v>
      </c>
      <c r="D182" s="459">
        <f>D80*Calc_SEC_death_rates!$G127</f>
        <v>0.13850905462888313</v>
      </c>
      <c r="E182" s="459">
        <f>E80*Calc_SEC_death_rates!$G127</f>
        <v>0.13412854211980824</v>
      </c>
      <c r="F182" s="459">
        <f>F80*Calc_SEC_death_rates!$G127</f>
        <v>0.12732216500938912</v>
      </c>
      <c r="G182" s="459">
        <f>G80*Calc_SEC_death_rates!$G127</f>
        <v>0.12044042017293731</v>
      </c>
      <c r="H182" s="459">
        <f>H80*Calc_SEC_death_rates!$G127</f>
        <v>0.11623776169906404</v>
      </c>
      <c r="I182" s="459">
        <f>I80*Calc_SEC_death_rates!$G127</f>
        <v>0.11376682585104851</v>
      </c>
      <c r="J182" s="459">
        <f>J80*Calc_SEC_death_rates!$G127</f>
        <v>0.11276195113839241</v>
      </c>
      <c r="K182" s="459">
        <f>K80*Calc_SEC_death_rates!$G127</f>
        <v>0.11232014594609414</v>
      </c>
      <c r="L182" s="459">
        <f>L80*Calc_SEC_death_rates!$G127</f>
        <v>0.11286863903439925</v>
      </c>
      <c r="M182" s="459">
        <f>M80*Calc_SEC_death_rates!$G127</f>
        <v>0.11429226404290109</v>
      </c>
      <c r="N182" s="459">
        <f>N80*Calc_SEC_death_rates!$G127</f>
        <v>0.11623940978475941</v>
      </c>
      <c r="O182" s="327"/>
    </row>
    <row r="183" spans="1:15">
      <c r="B183" s="338" t="str">
        <f t="shared" si="64"/>
        <v>40-44</v>
      </c>
      <c r="C183" s="459">
        <f>C81*Calc_SEC_death_rates!$G128</f>
        <v>0.23044107205927214</v>
      </c>
      <c r="D183" s="459">
        <f>D81*Calc_SEC_death_rates!$G128</f>
        <v>0.22944644714014595</v>
      </c>
      <c r="E183" s="459">
        <f>E81*Calc_SEC_death_rates!$G128</f>
        <v>0.22779700195408081</v>
      </c>
      <c r="F183" s="459">
        <f>F81*Calc_SEC_death_rates!$G128</f>
        <v>0.22180483473717824</v>
      </c>
      <c r="G183" s="459">
        <f>G81*Calc_SEC_death_rates!$G128</f>
        <v>0.21467053655409343</v>
      </c>
      <c r="H183" s="459">
        <f>H81*Calc_SEC_death_rates!$G128</f>
        <v>0.21038363091024909</v>
      </c>
      <c r="I183" s="459">
        <f>I81*Calc_SEC_death_rates!$G128</f>
        <v>0.20734693433033394</v>
      </c>
      <c r="J183" s="459">
        <f>J81*Calc_SEC_death_rates!$G128</f>
        <v>0.2052467080878283</v>
      </c>
      <c r="K183" s="459">
        <f>K81*Calc_SEC_death_rates!$G128</f>
        <v>0.2029649521933182</v>
      </c>
      <c r="L183" s="459">
        <f>L81*Calc_SEC_death_rates!$G128</f>
        <v>0.20151131317392593</v>
      </c>
      <c r="M183" s="459">
        <f>M81*Calc_SEC_death_rates!$G128</f>
        <v>0.20101565472131758</v>
      </c>
      <c r="N183" s="459">
        <f>N81*Calc_SEC_death_rates!$G128</f>
        <v>0.2012021503582285</v>
      </c>
      <c r="O183" s="327"/>
    </row>
    <row r="184" spans="1:15">
      <c r="B184" s="338" t="str">
        <f t="shared" si="64"/>
        <v>45-49</v>
      </c>
      <c r="C184" s="459">
        <f>C82*Calc_SEC_death_rates!$G129</f>
        <v>0.22059368299134816</v>
      </c>
      <c r="D184" s="459">
        <f>D82*Calc_SEC_death_rates!$G129</f>
        <v>0.21708374056398716</v>
      </c>
      <c r="E184" s="459">
        <f>E82*Calc_SEC_death_rates!$G129</f>
        <v>0.21456409610743313</v>
      </c>
      <c r="F184" s="459">
        <f>F82*Calc_SEC_death_rates!$G129</f>
        <v>0.20953063984275988</v>
      </c>
      <c r="G184" s="459">
        <f>G82*Calc_SEC_death_rates!$G129</f>
        <v>0.20429989456349618</v>
      </c>
      <c r="H184" s="459">
        <f>H82*Calc_SEC_death_rates!$G129</f>
        <v>0.20192175478665159</v>
      </c>
      <c r="I184" s="459">
        <f>I82*Calc_SEC_death_rates!$G129</f>
        <v>0.2006769580215014</v>
      </c>
      <c r="J184" s="459">
        <f>J82*Calc_SEC_death_rates!$G129</f>
        <v>0.20001557057350991</v>
      </c>
      <c r="K184" s="459">
        <f>K82*Calc_SEC_death_rates!$G129</f>
        <v>0.19878127587911223</v>
      </c>
      <c r="L184" s="459">
        <f>L82*Calc_SEC_death_rates!$G129</f>
        <v>0.1977588091833872</v>
      </c>
      <c r="M184" s="459">
        <f>M82*Calc_SEC_death_rates!$G129</f>
        <v>0.19706401523666206</v>
      </c>
      <c r="N184" s="459">
        <f>N82*Calc_SEC_death_rates!$G129</f>
        <v>0.19651901990264761</v>
      </c>
      <c r="O184" s="327"/>
    </row>
    <row r="185" spans="1:15">
      <c r="B185" s="338" t="str">
        <f t="shared" si="64"/>
        <v>50-54</v>
      </c>
      <c r="C185" s="459">
        <f>C83*Calc_SEC_death_rates!$G130</f>
        <v>0.33256824143251112</v>
      </c>
      <c r="D185" s="459">
        <f>D83*Calc_SEC_death_rates!$G130</f>
        <v>0.32980922949401725</v>
      </c>
      <c r="E185" s="459">
        <f>E83*Calc_SEC_death_rates!$G130</f>
        <v>0.32695982992370493</v>
      </c>
      <c r="F185" s="459">
        <f>F83*Calc_SEC_death_rates!$G130</f>
        <v>0.31982997766078158</v>
      </c>
      <c r="G185" s="459">
        <f>G83*Calc_SEC_death_rates!$G130</f>
        <v>0.31243744025005249</v>
      </c>
      <c r="H185" s="459">
        <f>H83*Calc_SEC_death_rates!$G130</f>
        <v>0.30952409205831422</v>
      </c>
      <c r="I185" s="459">
        <f>I83*Calc_SEC_death_rates!$G130</f>
        <v>0.30858203483399699</v>
      </c>
      <c r="J185" s="459">
        <f>J83*Calc_SEC_death_rates!$G130</f>
        <v>0.3087206736377644</v>
      </c>
      <c r="K185" s="459">
        <f>K83*Calc_SEC_death_rates!$G130</f>
        <v>0.30809418692270013</v>
      </c>
      <c r="L185" s="459">
        <f>L83*Calc_SEC_death_rates!$G130</f>
        <v>0.307699513518914</v>
      </c>
      <c r="M185" s="459">
        <f>M83*Calc_SEC_death_rates!$G130</f>
        <v>0.30755753830934085</v>
      </c>
      <c r="N185" s="459">
        <f>N83*Calc_SEC_death_rates!$G130</f>
        <v>0.30730050366232847</v>
      </c>
      <c r="O185" s="327"/>
    </row>
    <row r="186" spans="1:15">
      <c r="B186" s="338" t="str">
        <f t="shared" si="64"/>
        <v>55-59</v>
      </c>
      <c r="C186" s="459">
        <f>C84*Calc_SEC_death_rates!$G131</f>
        <v>0.20814941579879817</v>
      </c>
      <c r="D186" s="459">
        <f>D84*Calc_SEC_death_rates!$G131</f>
        <v>0.18477514391657338</v>
      </c>
      <c r="E186" s="459">
        <f>E84*Calc_SEC_death_rates!$G131</f>
        <v>0.17072820994447788</v>
      </c>
      <c r="F186" s="459">
        <f>F84*Calc_SEC_death_rates!$G131</f>
        <v>0.15933291482826661</v>
      </c>
      <c r="G186" s="459">
        <f>G84*Calc_SEC_death_rates!$G131</f>
        <v>0.15113239090645172</v>
      </c>
      <c r="H186" s="459">
        <f>H84*Calc_SEC_death_rates!$G131</f>
        <v>0.14774331533003296</v>
      </c>
      <c r="I186" s="459">
        <f>I84*Calc_SEC_death_rates!$G131</f>
        <v>0.1465150484373122</v>
      </c>
      <c r="J186" s="459">
        <f>J84*Calc_SEC_death_rates!$G131</f>
        <v>0.14642425335484399</v>
      </c>
      <c r="K186" s="459">
        <f>K84*Calc_SEC_death_rates!$G131</f>
        <v>0.14608924480366237</v>
      </c>
      <c r="L186" s="459">
        <f>L84*Calc_SEC_death_rates!$G131</f>
        <v>0.14610206165221409</v>
      </c>
      <c r="M186" s="459">
        <f>M84*Calc_SEC_death_rates!$G131</f>
        <v>0.14636487669498524</v>
      </c>
      <c r="N186" s="459">
        <f>N84*Calc_SEC_death_rates!$G131</f>
        <v>0.14655771125929565</v>
      </c>
      <c r="O186" s="327"/>
    </row>
    <row r="187" spans="1:15">
      <c r="B187" s="338" t="str">
        <f t="shared" si="64"/>
        <v>60-64</v>
      </c>
      <c r="C187" s="459">
        <f>C85*Calc_SEC_death_rates!$G132</f>
        <v>0.1427111054589543</v>
      </c>
      <c r="D187" s="459">
        <f>D85*Calc_SEC_death_rates!$G132</f>
        <v>0.13991250870391847</v>
      </c>
      <c r="E187" s="459">
        <f>E85*Calc_SEC_death_rates!$G132</f>
        <v>0.13183394257515324</v>
      </c>
      <c r="F187" s="459">
        <f>F85*Calc_SEC_death_rates!$G132</f>
        <v>0.12087810388860527</v>
      </c>
      <c r="G187" s="459">
        <f>G85*Calc_SEC_death_rates!$G132</f>
        <v>0.11185559874109133</v>
      </c>
      <c r="H187" s="459">
        <f>H85*Calc_SEC_death_rates!$G132</f>
        <v>0.10795714702442769</v>
      </c>
      <c r="I187" s="459">
        <f>I85*Calc_SEC_death_rates!$G132</f>
        <v>0.10642781594497301</v>
      </c>
      <c r="J187" s="459">
        <f>J85*Calc_SEC_death_rates!$G132</f>
        <v>0.10618484340504367</v>
      </c>
      <c r="K187" s="459">
        <f>K85*Calc_SEC_death_rates!$G132</f>
        <v>0.10570892306501696</v>
      </c>
      <c r="L187" s="459">
        <f>L85*Calc_SEC_death_rates!$G132</f>
        <v>0.10572020918482611</v>
      </c>
      <c r="M187" s="459">
        <f>M85*Calc_SEC_death_rates!$G132</f>
        <v>0.10607766685249993</v>
      </c>
      <c r="N187" s="459">
        <f>N85*Calc_SEC_death_rates!$G132</f>
        <v>0.10639400412458314</v>
      </c>
      <c r="O187" s="327"/>
    </row>
    <row r="188" spans="1:15">
      <c r="B188" s="338" t="str">
        <f t="shared" si="64"/>
        <v>65 plus</v>
      </c>
      <c r="C188" s="459">
        <f>C86*Calc_SEC_death_rates!$G133</f>
        <v>0.10829720270776451</v>
      </c>
      <c r="D188" s="459">
        <f>D86*Calc_SEC_death_rates!$G133</f>
        <v>0.12498298226778949</v>
      </c>
      <c r="E188" s="459">
        <f>E86*Calc_SEC_death_rates!$G133</f>
        <v>0.13317298439613098</v>
      </c>
      <c r="F188" s="459">
        <f>F86*Calc_SEC_death_rates!$G133</f>
        <v>0.13092691603075854</v>
      </c>
      <c r="G188" s="459">
        <f>G86*Calc_SEC_death_rates!$G133</f>
        <v>0.12501387159818986</v>
      </c>
      <c r="H188" s="459">
        <f>H86*Calc_SEC_death_rates!$G133</f>
        <v>0.12182313087166174</v>
      </c>
      <c r="I188" s="459">
        <f>I86*Calc_SEC_death_rates!$G133</f>
        <v>0.12023524910576174</v>
      </c>
      <c r="J188" s="459">
        <f>J86*Calc_SEC_death_rates!$G133</f>
        <v>0.11982875474521543</v>
      </c>
      <c r="K188" s="459">
        <f>K86*Calc_SEC_death_rates!$G133</f>
        <v>0.11911178819086729</v>
      </c>
      <c r="L188" s="459">
        <f>L86*Calc_SEC_death_rates!$G133</f>
        <v>0.11895399787773636</v>
      </c>
      <c r="M188" s="459">
        <f>M86*Calc_SEC_death_rates!$G133</f>
        <v>0.11929685285250084</v>
      </c>
      <c r="N188" s="459">
        <f>N86*Calc_SEC_death_rates!$G133</f>
        <v>0.1197009697028963</v>
      </c>
      <c r="O188" s="327"/>
    </row>
    <row r="189" spans="1:15">
      <c r="B189" s="338" t="str">
        <f t="shared" si="64"/>
        <v>Total</v>
      </c>
      <c r="C189" s="459">
        <f>SUM(C179:C188)</f>
        <v>1.4586413553349891</v>
      </c>
      <c r="D189" s="459">
        <f t="shared" ref="D189:N189" si="66">SUM(D179:D188)</f>
        <v>1.4327575931813028</v>
      </c>
      <c r="E189" s="459">
        <f t="shared" si="66"/>
        <v>1.4035615495045453</v>
      </c>
      <c r="F189" s="459">
        <f t="shared" si="66"/>
        <v>1.3495369072705807</v>
      </c>
      <c r="G189" s="459">
        <f t="shared" si="66"/>
        <v>1.2959949025590398</v>
      </c>
      <c r="H189" s="459">
        <f t="shared" si="66"/>
        <v>1.2706434656107481</v>
      </c>
      <c r="I189" s="459">
        <f t="shared" si="66"/>
        <v>1.2591404426284341</v>
      </c>
      <c r="J189" s="459">
        <f t="shared" si="66"/>
        <v>1.2564384370265249</v>
      </c>
      <c r="K189" s="459">
        <f t="shared" si="66"/>
        <v>1.2521369508392706</v>
      </c>
      <c r="L189" s="459">
        <f t="shared" si="66"/>
        <v>1.2518647439631054</v>
      </c>
      <c r="M189" s="459">
        <f t="shared" si="66"/>
        <v>1.2553541761150506</v>
      </c>
      <c r="N189" s="459">
        <f t="shared" si="66"/>
        <v>1.2600053581640205</v>
      </c>
      <c r="O189" s="327"/>
    </row>
    <row r="190" spans="1:15">
      <c r="A190" s="309">
        <f>SUM(C190:N190)</f>
        <v>0</v>
      </c>
      <c r="C190" s="309">
        <f t="shared" ref="C190:N190" si="67">SUM(C179:C188)-C189</f>
        <v>0</v>
      </c>
      <c r="D190" s="309">
        <f t="shared" si="67"/>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5">
      <c r="B192" s="341" t="s">
        <v>50</v>
      </c>
      <c r="C192" s="329"/>
      <c r="D192" s="329"/>
      <c r="E192" s="329"/>
      <c r="F192" s="329"/>
      <c r="G192" s="329"/>
      <c r="H192" s="339"/>
      <c r="I192" s="329"/>
      <c r="J192" s="329"/>
      <c r="K192" s="329"/>
      <c r="L192" s="329"/>
    </row>
    <row r="193" spans="1:15">
      <c r="C193" s="329"/>
      <c r="D193" s="329"/>
      <c r="E193" s="329"/>
      <c r="F193" s="329"/>
      <c r="G193" s="329"/>
      <c r="H193" s="339"/>
      <c r="I193" s="329"/>
      <c r="J193" s="329"/>
      <c r="K193" s="329"/>
      <c r="L193" s="329"/>
    </row>
    <row r="194" spans="1:15">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5">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c r="O195" s="327"/>
    </row>
    <row r="196" spans="1:15">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c r="O196" s="327"/>
    </row>
    <row r="197" spans="1:15">
      <c r="B197" s="338" t="str">
        <f t="shared" si="68"/>
        <v>30-34</v>
      </c>
      <c r="C197" s="459">
        <f>C95*Calc_SEC_death_rates!$G142</f>
        <v>2.8886284179418058E-2</v>
      </c>
      <c r="D197" s="459">
        <f>D95*Calc_SEC_death_rates!$G142</f>
        <v>2.6365096436693346E-2</v>
      </c>
      <c r="E197" s="459">
        <f>E95*Calc_SEC_death_rates!$G142</f>
        <v>2.4530887367471853E-2</v>
      </c>
      <c r="F197" s="459">
        <f>F95*Calc_SEC_death_rates!$G142</f>
        <v>2.2519466853476861E-2</v>
      </c>
      <c r="G197" s="459">
        <f>G95*Calc_SEC_death_rates!$G142</f>
        <v>2.0824028594577697E-2</v>
      </c>
      <c r="H197" s="459">
        <f>H95*Calc_SEC_death_rates!$G142</f>
        <v>2.0176028004474655E-2</v>
      </c>
      <c r="I197" s="459">
        <f>I95*Calc_SEC_death_rates!$G142</f>
        <v>2.0162048680541382E-2</v>
      </c>
      <c r="J197" s="459">
        <f>J95*Calc_SEC_death_rates!$G142</f>
        <v>2.0584183754727106E-2</v>
      </c>
      <c r="K197" s="459">
        <f>K95*Calc_SEC_death_rates!$G142</f>
        <v>2.1068779651835338E-2</v>
      </c>
      <c r="L197" s="459">
        <f>L95*Calc_SEC_death_rates!$G142</f>
        <v>2.170350981364334E-2</v>
      </c>
      <c r="M197" s="459">
        <f>M95*Calc_SEC_death_rates!$G142</f>
        <v>2.2442004224963487E-2</v>
      </c>
      <c r="N197" s="459">
        <f>N95*Calc_SEC_death_rates!$G142</f>
        <v>2.3178968228594957E-2</v>
      </c>
      <c r="O197" s="327"/>
    </row>
    <row r="198" spans="1:15">
      <c r="B198" s="338" t="str">
        <f t="shared" si="68"/>
        <v>35-39</v>
      </c>
      <c r="C198" s="459">
        <f>C96*Calc_SEC_death_rates!$G143</f>
        <v>0.11278638094623566</v>
      </c>
      <c r="D198" s="459">
        <f>D96*Calc_SEC_death_rates!$G143</f>
        <v>0.10856489804932731</v>
      </c>
      <c r="E198" s="459">
        <f>E96*Calc_SEC_death_rates!$G143</f>
        <v>0.10385779624652527</v>
      </c>
      <c r="F198" s="459">
        <f>F96*Calc_SEC_death_rates!$G143</f>
        <v>9.737610493281211E-2</v>
      </c>
      <c r="G198" s="459">
        <f>G96*Calc_SEC_death_rates!$G143</f>
        <v>9.099790840845734E-2</v>
      </c>
      <c r="H198" s="459">
        <f>H96*Calc_SEC_death_rates!$G143</f>
        <v>8.688136009786572E-2</v>
      </c>
      <c r="I198" s="459">
        <f>I96*Calc_SEC_death_rates!$G143</f>
        <v>8.4226646362352095E-2</v>
      </c>
      <c r="J198" s="459">
        <f>J96*Calc_SEC_death_rates!$G143</f>
        <v>8.2786184647402394E-2</v>
      </c>
      <c r="K198" s="459">
        <f>K96*Calc_SEC_death_rates!$G143</f>
        <v>8.1819769388316199E-2</v>
      </c>
      <c r="L198" s="459">
        <f>L96*Calc_SEC_death_rates!$G143</f>
        <v>8.1654051324053498E-2</v>
      </c>
      <c r="M198" s="459">
        <f>M96*Calc_SEC_death_rates!$G143</f>
        <v>8.2186918590974045E-2</v>
      </c>
      <c r="N198" s="459">
        <f>N96*Calc_SEC_death_rates!$G143</f>
        <v>8.3134749272565978E-2</v>
      </c>
      <c r="O198" s="327"/>
    </row>
    <row r="199" spans="1:15">
      <c r="B199" s="338" t="str">
        <f t="shared" si="68"/>
        <v>40-44</v>
      </c>
      <c r="C199" s="459">
        <f>C97*Calc_SEC_death_rates!$G144</f>
        <v>0.11911155537298829</v>
      </c>
      <c r="D199" s="459">
        <f>D97*Calc_SEC_death_rates!$G144</f>
        <v>0.11627918218174395</v>
      </c>
      <c r="E199" s="459">
        <f>E97*Calc_SEC_death_rates!$G144</f>
        <v>0.11346499104557486</v>
      </c>
      <c r="F199" s="459">
        <f>F97*Calc_SEC_death_rates!$G144</f>
        <v>0.1087973976493775</v>
      </c>
      <c r="G199" s="459">
        <f>G97*Calc_SEC_death_rates!$G144</f>
        <v>0.10382199725356052</v>
      </c>
      <c r="H199" s="459">
        <f>H97*Calc_SEC_death_rates!$G144</f>
        <v>0.10047003873326364</v>
      </c>
      <c r="I199" s="459">
        <f>I97*Calc_SEC_death_rates!$G144</f>
        <v>9.7914398393978863E-2</v>
      </c>
      <c r="J199" s="459">
        <f>J97*Calc_SEC_death_rates!$G144</f>
        <v>9.5965432374790452E-2</v>
      </c>
      <c r="K199" s="459">
        <f>K97*Calc_SEC_death_rates!$G144</f>
        <v>9.4041112736747312E-2</v>
      </c>
      <c r="L199" s="459">
        <f>L97*Calc_SEC_death_rates!$G144</f>
        <v>9.2613054442562959E-2</v>
      </c>
      <c r="M199" s="459">
        <f>M97*Calc_SEC_death_rates!$G144</f>
        <v>9.1721096444435213E-2</v>
      </c>
      <c r="N199" s="459">
        <f>N97*Calc_SEC_death_rates!$G144</f>
        <v>9.1209602682441243E-2</v>
      </c>
      <c r="O199" s="327"/>
    </row>
    <row r="200" spans="1:15">
      <c r="B200" s="338" t="str">
        <f t="shared" si="68"/>
        <v>45-49</v>
      </c>
      <c r="C200" s="459">
        <f>C98*Calc_SEC_death_rates!$G145</f>
        <v>0.1353428286205737</v>
      </c>
      <c r="D200" s="459">
        <f>D98*Calc_SEC_death_rates!$G145</f>
        <v>0.1378629888824299</v>
      </c>
      <c r="E200" s="459">
        <f>E98*Calc_SEC_death_rates!$G145</f>
        <v>0.13912525297787762</v>
      </c>
      <c r="F200" s="459">
        <f>F98*Calc_SEC_death_rates!$G145</f>
        <v>0.13735642189851535</v>
      </c>
      <c r="G200" s="459">
        <f>G98*Calc_SEC_death_rates!$G145</f>
        <v>0.13456163887039008</v>
      </c>
      <c r="H200" s="459">
        <f>H98*Calc_SEC_death_rates!$G145</f>
        <v>0.13311528351474217</v>
      </c>
      <c r="I200" s="459">
        <f>I98*Calc_SEC_death_rates!$G145</f>
        <v>0.13206176907235526</v>
      </c>
      <c r="J200" s="459">
        <f>J98*Calc_SEC_death_rates!$G145</f>
        <v>0.13117466424093496</v>
      </c>
      <c r="K200" s="459">
        <f>K98*Calc_SEC_death_rates!$G145</f>
        <v>0.12976887086536992</v>
      </c>
      <c r="L200" s="459">
        <f>L98*Calc_SEC_death_rates!$G145</f>
        <v>0.12844269736752606</v>
      </c>
      <c r="M200" s="459">
        <f>M98*Calc_SEC_death_rates!$G145</f>
        <v>0.12731488368619331</v>
      </c>
      <c r="N200" s="459">
        <f>N98*Calc_SEC_death_rates!$G145</f>
        <v>0.12628760586723858</v>
      </c>
      <c r="O200" s="327"/>
    </row>
    <row r="201" spans="1:15">
      <c r="B201" s="338" t="str">
        <f t="shared" si="68"/>
        <v>50-54</v>
      </c>
      <c r="C201" s="459">
        <f>C99*Calc_SEC_death_rates!$G146</f>
        <v>0.13591772643480335</v>
      </c>
      <c r="D201" s="459">
        <f>D99*Calc_SEC_death_rates!$G146</f>
        <v>0.13580280499026365</v>
      </c>
      <c r="E201" s="459">
        <f>E99*Calc_SEC_death_rates!$G146</f>
        <v>0.13652013647557687</v>
      </c>
      <c r="F201" s="459">
        <f>F99*Calc_SEC_death_rates!$G146</f>
        <v>0.13540820748238075</v>
      </c>
      <c r="G201" s="459">
        <f>G99*Calc_SEC_death_rates!$G146</f>
        <v>0.13395734767656078</v>
      </c>
      <c r="H201" s="459">
        <f>H99*Calc_SEC_death_rates!$G146</f>
        <v>0.1341992494202402</v>
      </c>
      <c r="I201" s="459">
        <f>I99*Calc_SEC_death_rates!$G146</f>
        <v>0.13493549803685223</v>
      </c>
      <c r="J201" s="459">
        <f>J99*Calc_SEC_death_rates!$G146</f>
        <v>0.1357807297711974</v>
      </c>
      <c r="K201" s="459">
        <f>K99*Calc_SEC_death_rates!$G146</f>
        <v>0.13593861437015672</v>
      </c>
      <c r="L201" s="459">
        <f>L99*Calc_SEC_death_rates!$G146</f>
        <v>0.13593499357428215</v>
      </c>
      <c r="M201" s="459">
        <f>M99*Calc_SEC_death_rates!$G146</f>
        <v>0.13584127698074044</v>
      </c>
      <c r="N201" s="459">
        <f>N99*Calc_SEC_death_rates!$G146</f>
        <v>0.13554148213380188</v>
      </c>
      <c r="O201" s="327"/>
    </row>
    <row r="202" spans="1:15">
      <c r="B202" s="338" t="str">
        <f t="shared" si="68"/>
        <v>55-59</v>
      </c>
      <c r="C202" s="459">
        <f>C100*Calc_SEC_death_rates!$G147</f>
        <v>0.25300470359347882</v>
      </c>
      <c r="D202" s="459">
        <f>D100*Calc_SEC_death_rates!$G147</f>
        <v>0.22934692174712135</v>
      </c>
      <c r="E202" s="459">
        <f>E100*Calc_SEC_death_rates!$G147</f>
        <v>0.21546946891127064</v>
      </c>
      <c r="F202" s="459">
        <f>F100*Calc_SEC_death_rates!$G147</f>
        <v>0.20382205553444382</v>
      </c>
      <c r="G202" s="459">
        <f>G100*Calc_SEC_death_rates!$G147</f>
        <v>0.19587378544917503</v>
      </c>
      <c r="H202" s="459">
        <f>H100*Calc_SEC_death_rates!$G147</f>
        <v>0.19414972823235091</v>
      </c>
      <c r="I202" s="459">
        <f>I100*Calc_SEC_death_rates!$G147</f>
        <v>0.19499385511446149</v>
      </c>
      <c r="J202" s="459">
        <f>J100*Calc_SEC_death_rates!$G147</f>
        <v>0.19697012913627165</v>
      </c>
      <c r="K202" s="459">
        <f>K100*Calc_SEC_death_rates!$G147</f>
        <v>0.19813846406779592</v>
      </c>
      <c r="L202" s="459">
        <f>L100*Calc_SEC_death_rates!$G147</f>
        <v>0.19935469730832875</v>
      </c>
      <c r="M202" s="459">
        <f>M100*Calc_SEC_death_rates!$G147</f>
        <v>0.20053020223806836</v>
      </c>
      <c r="N202" s="459">
        <f>N100*Calc_SEC_death_rates!$G147</f>
        <v>0.20127261826705761</v>
      </c>
      <c r="O202" s="327"/>
    </row>
    <row r="203" spans="1:15">
      <c r="B203" s="338" t="str">
        <f t="shared" si="68"/>
        <v>60-64</v>
      </c>
      <c r="C203" s="459">
        <f>C101*Calc_SEC_death_rates!$G148</f>
        <v>0.12615170653594215</v>
      </c>
      <c r="D203" s="459">
        <f>D101*Calc_SEC_death_rates!$G148</f>
        <v>0.12451308863909753</v>
      </c>
      <c r="E203" s="459">
        <f>E101*Calc_SEC_death_rates!$G148</f>
        <v>0.11868525557114327</v>
      </c>
      <c r="F203" s="459">
        <f>F101*Calc_SEC_death_rates!$G148</f>
        <v>0.10985103748680353</v>
      </c>
      <c r="G203" s="459">
        <f>G101*Calc_SEC_death_rates!$G148</f>
        <v>0.10280835942075764</v>
      </c>
      <c r="H203" s="459">
        <f>H101*Calc_SEC_death_rates!$G148</f>
        <v>0.10084112459182604</v>
      </c>
      <c r="I203" s="459">
        <f>I101*Calc_SEC_death_rates!$G148</f>
        <v>0.10098678061966766</v>
      </c>
      <c r="J203" s="459">
        <f>J101*Calc_SEC_death_rates!$G148</f>
        <v>0.10215374888696711</v>
      </c>
      <c r="K203" s="459">
        <f>K101*Calc_SEC_death_rates!$G148</f>
        <v>0.10278635436446686</v>
      </c>
      <c r="L203" s="459">
        <f>L101*Calc_SEC_death_rates!$G148</f>
        <v>0.10370073397872789</v>
      </c>
      <c r="M203" s="459">
        <f>M101*Calc_SEC_death_rates!$G148</f>
        <v>0.10476301727213634</v>
      </c>
      <c r="N203" s="459">
        <f>N101*Calc_SEC_death_rates!$G148</f>
        <v>0.1055855614560534</v>
      </c>
      <c r="O203" s="327"/>
    </row>
    <row r="204" spans="1:15">
      <c r="B204" s="338" t="str">
        <f t="shared" si="68"/>
        <v>65 plus</v>
      </c>
      <c r="C204" s="459">
        <f>C102*Calc_SEC_death_rates!$G149</f>
        <v>0.19250778419484194</v>
      </c>
      <c r="D204" s="459">
        <f>D102*Calc_SEC_death_rates!$G149</f>
        <v>0.20557549660215879</v>
      </c>
      <c r="E204" s="459">
        <f>E102*Calc_SEC_death_rates!$G149</f>
        <v>0.21156007610331062</v>
      </c>
      <c r="F204" s="459">
        <f>F102*Calc_SEC_death_rates!$G149</f>
        <v>0.20355736732697391</v>
      </c>
      <c r="G204" s="459">
        <f>G102*Calc_SEC_death_rates!$G149</f>
        <v>0.19257511848054529</v>
      </c>
      <c r="H204" s="459">
        <f>H102*Calc_SEC_death_rates!$G149</f>
        <v>0.18916366690982822</v>
      </c>
      <c r="I204" s="459">
        <f>I102*Calc_SEC_death_rates!$G149</f>
        <v>0.18936980403472328</v>
      </c>
      <c r="J204" s="459">
        <f>J102*Calc_SEC_death_rates!$G149</f>
        <v>0.1916487687157494</v>
      </c>
      <c r="K204" s="459">
        <f>K102*Calc_SEC_death_rates!$G149</f>
        <v>0.19280147043144033</v>
      </c>
      <c r="L204" s="459">
        <f>L102*Calc_SEC_death_rates!$G149</f>
        <v>0.19463905896751479</v>
      </c>
      <c r="M204" s="459">
        <f>M102*Calc_SEC_death_rates!$G149</f>
        <v>0.19703259802108364</v>
      </c>
      <c r="N204" s="459">
        <f>N102*Calc_SEC_death_rates!$G149</f>
        <v>0.19912545111328173</v>
      </c>
      <c r="O204" s="327"/>
    </row>
    <row r="205" spans="1:15">
      <c r="B205" s="338" t="str">
        <f t="shared" si="68"/>
        <v>Total</v>
      </c>
      <c r="C205" s="459">
        <f>SUM(C195:C204)</f>
        <v>1.103708969878282</v>
      </c>
      <c r="D205" s="459">
        <f t="shared" ref="D205:N205" si="70">SUM(D195:D204)</f>
        <v>1.0843104775288359</v>
      </c>
      <c r="E205" s="459">
        <f t="shared" si="70"/>
        <v>1.063213864698751</v>
      </c>
      <c r="F205" s="459">
        <f t="shared" si="70"/>
        <v>1.018688059164784</v>
      </c>
      <c r="G205" s="459">
        <f t="shared" si="70"/>
        <v>0.97542018415402432</v>
      </c>
      <c r="H205" s="459">
        <f t="shared" si="70"/>
        <v>0.95899647950459155</v>
      </c>
      <c r="I205" s="459">
        <f t="shared" si="70"/>
        <v>0.95465080031493232</v>
      </c>
      <c r="J205" s="459">
        <f t="shared" si="70"/>
        <v>0.95706384152804058</v>
      </c>
      <c r="K205" s="459">
        <f t="shared" si="70"/>
        <v>0.9563634358761286</v>
      </c>
      <c r="L205" s="459">
        <f t="shared" si="70"/>
        <v>0.9580427967766395</v>
      </c>
      <c r="M205" s="459">
        <f t="shared" si="70"/>
        <v>0.96183199745859482</v>
      </c>
      <c r="N205" s="459">
        <f t="shared" si="70"/>
        <v>0.96533603902103526</v>
      </c>
      <c r="O205" s="327"/>
    </row>
    <row r="206" spans="1:15">
      <c r="A206" s="309">
        <f>SUM(C206:N206)</f>
        <v>0</v>
      </c>
      <c r="C206" s="309">
        <f t="shared" ref="C206:N206" si="71">SUM(C195:C204)-C205</f>
        <v>0</v>
      </c>
      <c r="D206" s="309">
        <f t="shared" si="71"/>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5" ht="15.75">
      <c r="B208" s="340" t="s">
        <v>153</v>
      </c>
      <c r="C208" s="329"/>
      <c r="D208" s="329"/>
      <c r="E208" s="329"/>
      <c r="F208" s="329"/>
      <c r="G208" s="329"/>
      <c r="H208" s="339"/>
      <c r="I208" s="329"/>
      <c r="J208" s="329"/>
      <c r="K208" s="329"/>
      <c r="L208" s="329"/>
    </row>
    <row r="209" spans="1:15">
      <c r="C209" s="329"/>
      <c r="D209" s="329"/>
      <c r="E209" s="329"/>
      <c r="F209" s="329"/>
      <c r="G209" s="329"/>
      <c r="H209" s="339"/>
      <c r="I209" s="329"/>
      <c r="J209" s="329"/>
      <c r="K209" s="329"/>
      <c r="L209" s="329"/>
    </row>
    <row r="210" spans="1:15">
      <c r="B210" s="341" t="s">
        <v>49</v>
      </c>
      <c r="C210" s="329"/>
      <c r="D210" s="329"/>
      <c r="E210" s="329"/>
      <c r="F210" s="329"/>
      <c r="G210" s="329"/>
      <c r="H210" s="339"/>
      <c r="I210" s="329"/>
      <c r="J210" s="329"/>
      <c r="K210" s="329"/>
      <c r="L210" s="329"/>
    </row>
    <row r="211" spans="1:15">
      <c r="C211" s="329"/>
      <c r="D211" s="329"/>
      <c r="E211" s="329"/>
      <c r="F211" s="329"/>
      <c r="G211" s="329"/>
      <c r="H211" s="339"/>
      <c r="I211" s="329"/>
      <c r="J211" s="329"/>
      <c r="K211" s="329"/>
      <c r="L211" s="329"/>
    </row>
    <row r="212" spans="1:15">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5">
      <c r="B213" s="338" t="str">
        <f t="shared" si="72"/>
        <v>20-24</v>
      </c>
      <c r="C213" s="459">
        <f t="shared" ref="C213:C222" si="74">C111+C145+C179</f>
        <v>2.8838495433900806</v>
      </c>
      <c r="D213" s="459">
        <f t="shared" ref="D213:N213" si="75">D111+D145+D179</f>
        <v>5.6186417755695635</v>
      </c>
      <c r="E213" s="459">
        <f t="shared" si="75"/>
        <v>7.6748209266933056</v>
      </c>
      <c r="F213" s="459">
        <f t="shared" si="75"/>
        <v>7.9926811071804247</v>
      </c>
      <c r="G213" s="459">
        <f t="shared" si="75"/>
        <v>8.0849142901908166</v>
      </c>
      <c r="H213" s="459">
        <f t="shared" si="75"/>
        <v>9.3154078763008226</v>
      </c>
      <c r="I213" s="459">
        <f t="shared" si="75"/>
        <v>10.739725190896188</v>
      </c>
      <c r="J213" s="459">
        <f t="shared" si="75"/>
        <v>12.100942821925022</v>
      </c>
      <c r="K213" s="459">
        <f t="shared" si="75"/>
        <v>12.938328967851685</v>
      </c>
      <c r="L213" s="459">
        <f t="shared" si="75"/>
        <v>13.672159596842077</v>
      </c>
      <c r="M213" s="459">
        <f t="shared" si="75"/>
        <v>14.335124053605647</v>
      </c>
      <c r="N213" s="459">
        <f t="shared" si="75"/>
        <v>14.834097576555884</v>
      </c>
      <c r="O213" s="327"/>
    </row>
    <row r="214" spans="1:15">
      <c r="B214" s="338" t="str">
        <f t="shared" si="72"/>
        <v>25-29</v>
      </c>
      <c r="C214" s="459">
        <f t="shared" si="74"/>
        <v>13.936183165682813</v>
      </c>
      <c r="D214" s="459">
        <f t="shared" ref="D214:N214" si="76">D112+D146+D180</f>
        <v>14.153683674494753</v>
      </c>
      <c r="E214" s="459">
        <f t="shared" si="76"/>
        <v>14.796779109179766</v>
      </c>
      <c r="F214" s="459">
        <f t="shared" si="76"/>
        <v>14.409054272573265</v>
      </c>
      <c r="G214" s="459">
        <f t="shared" si="76"/>
        <v>14.035170110695621</v>
      </c>
      <c r="H214" s="459">
        <f t="shared" si="76"/>
        <v>14.933496034339337</v>
      </c>
      <c r="I214" s="459">
        <f t="shared" si="76"/>
        <v>16.306120657415772</v>
      </c>
      <c r="J214" s="459">
        <f t="shared" si="76"/>
        <v>17.852589560913511</v>
      </c>
      <c r="K214" s="459">
        <f t="shared" si="76"/>
        <v>19.041009561121339</v>
      </c>
      <c r="L214" s="459">
        <f t="shared" si="76"/>
        <v>20.163461807775754</v>
      </c>
      <c r="M214" s="459">
        <f t="shared" si="76"/>
        <v>21.226233285322976</v>
      </c>
      <c r="N214" s="459">
        <f t="shared" si="76"/>
        <v>22.122541913864133</v>
      </c>
      <c r="O214" s="327"/>
    </row>
    <row r="215" spans="1:15">
      <c r="B215" s="338" t="str">
        <f t="shared" si="72"/>
        <v>30-34</v>
      </c>
      <c r="C215" s="459">
        <f t="shared" si="74"/>
        <v>19.836627492032836</v>
      </c>
      <c r="D215" s="459">
        <f t="shared" ref="D215:N215" si="77">D113+D147+D181</f>
        <v>18.349800662871548</v>
      </c>
      <c r="E215" s="459">
        <f t="shared" si="77"/>
        <v>17.311404795750693</v>
      </c>
      <c r="F215" s="459">
        <f t="shared" si="77"/>
        <v>16.11057752939865</v>
      </c>
      <c r="G215" s="459">
        <f t="shared" si="77"/>
        <v>15.097711276316931</v>
      </c>
      <c r="H215" s="459">
        <f t="shared" si="77"/>
        <v>14.804033508885336</v>
      </c>
      <c r="I215" s="459">
        <f t="shared" si="77"/>
        <v>14.948421239402709</v>
      </c>
      <c r="J215" s="459">
        <f t="shared" si="77"/>
        <v>15.396448653363105</v>
      </c>
      <c r="K215" s="459">
        <f t="shared" si="77"/>
        <v>15.883372315758765</v>
      </c>
      <c r="L215" s="459">
        <f t="shared" si="77"/>
        <v>16.470602221196451</v>
      </c>
      <c r="M215" s="459">
        <f t="shared" si="77"/>
        <v>17.12541934257343</v>
      </c>
      <c r="N215" s="459">
        <f t="shared" si="77"/>
        <v>17.772485194599803</v>
      </c>
      <c r="O215" s="327"/>
    </row>
    <row r="216" spans="1:15">
      <c r="B216" s="338" t="str">
        <f t="shared" si="72"/>
        <v>35-39</v>
      </c>
      <c r="C216" s="459">
        <f t="shared" si="74"/>
        <v>21.174925366907409</v>
      </c>
      <c r="D216" s="459">
        <f t="shared" ref="D216:N216" si="78">D114+D148+D182</f>
        <v>20.637935591000318</v>
      </c>
      <c r="E216" s="459">
        <f t="shared" si="78"/>
        <v>19.985236493023756</v>
      </c>
      <c r="F216" s="459">
        <f t="shared" si="78"/>
        <v>18.971082055328267</v>
      </c>
      <c r="G216" s="459">
        <f t="shared" si="78"/>
        <v>17.945697779412665</v>
      </c>
      <c r="H216" s="459">
        <f t="shared" si="78"/>
        <v>17.319499043689856</v>
      </c>
      <c r="I216" s="459">
        <f t="shared" si="78"/>
        <v>16.951328060085405</v>
      </c>
      <c r="J216" s="459">
        <f t="shared" si="78"/>
        <v>16.801601100700779</v>
      </c>
      <c r="K216" s="459">
        <f t="shared" si="78"/>
        <v>16.735771851292853</v>
      </c>
      <c r="L216" s="459">
        <f t="shared" si="78"/>
        <v>16.817497663795724</v>
      </c>
      <c r="M216" s="459">
        <f t="shared" si="78"/>
        <v>17.029618678626992</v>
      </c>
      <c r="N216" s="459">
        <f t="shared" si="78"/>
        <v>17.319744609487131</v>
      </c>
      <c r="O216" s="327"/>
    </row>
    <row r="217" spans="1:15">
      <c r="B217" s="338" t="str">
        <f t="shared" si="72"/>
        <v>40-44</v>
      </c>
      <c r="C217" s="459">
        <f t="shared" si="74"/>
        <v>21.401660202912929</v>
      </c>
      <c r="D217" s="459">
        <f t="shared" ref="D217:N217" si="79">D115+D149+D183</f>
        <v>21.309286806285897</v>
      </c>
      <c r="E217" s="459">
        <f t="shared" si="79"/>
        <v>21.156098552646739</v>
      </c>
      <c r="F217" s="459">
        <f t="shared" si="79"/>
        <v>20.599590437538691</v>
      </c>
      <c r="G217" s="459">
        <f t="shared" si="79"/>
        <v>19.937009656533785</v>
      </c>
      <c r="H217" s="459">
        <f t="shared" si="79"/>
        <v>19.538873607731219</v>
      </c>
      <c r="I217" s="459">
        <f t="shared" si="79"/>
        <v>19.256847718153796</v>
      </c>
      <c r="J217" s="459">
        <f t="shared" si="79"/>
        <v>19.061794258327041</v>
      </c>
      <c r="K217" s="459">
        <f t="shared" si="79"/>
        <v>18.849881668770362</v>
      </c>
      <c r="L217" s="459">
        <f t="shared" si="79"/>
        <v>18.714878441816413</v>
      </c>
      <c r="M217" s="459">
        <f t="shared" si="79"/>
        <v>18.66884535541983</v>
      </c>
      <c r="N217" s="459">
        <f t="shared" si="79"/>
        <v>18.686165689051439</v>
      </c>
      <c r="O217" s="327"/>
    </row>
    <row r="218" spans="1:15">
      <c r="B218" s="338" t="str">
        <f t="shared" si="72"/>
        <v>45-49</v>
      </c>
      <c r="C218" s="459">
        <f t="shared" si="74"/>
        <v>21.496327521159319</v>
      </c>
      <c r="D218" s="459">
        <f t="shared" ref="D218:N218" si="80">D116+D150+D184</f>
        <v>21.154292015083993</v>
      </c>
      <c r="E218" s="459">
        <f t="shared" si="80"/>
        <v>20.90875868094458</v>
      </c>
      <c r="F218" s="459">
        <f t="shared" si="80"/>
        <v>20.418260390324484</v>
      </c>
      <c r="G218" s="459">
        <f t="shared" si="80"/>
        <v>19.908536756455874</v>
      </c>
      <c r="H218" s="459">
        <f t="shared" si="80"/>
        <v>19.676792715371285</v>
      </c>
      <c r="I218" s="459">
        <f t="shared" si="80"/>
        <v>19.555490243795074</v>
      </c>
      <c r="J218" s="459">
        <f t="shared" si="80"/>
        <v>19.491039616707237</v>
      </c>
      <c r="K218" s="459">
        <f t="shared" si="80"/>
        <v>19.370760546841748</v>
      </c>
      <c r="L218" s="459">
        <f t="shared" si="80"/>
        <v>19.271123609497334</v>
      </c>
      <c r="M218" s="459">
        <f t="shared" si="80"/>
        <v>19.203417598899069</v>
      </c>
      <c r="N218" s="459">
        <f t="shared" si="80"/>
        <v>19.150309105316605</v>
      </c>
      <c r="O218" s="327"/>
    </row>
    <row r="219" spans="1:15">
      <c r="B219" s="338" t="str">
        <f t="shared" si="72"/>
        <v>50-54</v>
      </c>
      <c r="C219" s="459">
        <f t="shared" si="74"/>
        <v>22.884793696399267</v>
      </c>
      <c r="D219" s="459">
        <f t="shared" ref="D219:N219" si="81">D117+D151+D185</f>
        <v>22.694939672015078</v>
      </c>
      <c r="E219" s="459">
        <f t="shared" si="81"/>
        <v>22.498865864593395</v>
      </c>
      <c r="F219" s="459">
        <f t="shared" si="81"/>
        <v>22.008244158143057</v>
      </c>
      <c r="G219" s="459">
        <f t="shared" si="81"/>
        <v>21.499546476101216</v>
      </c>
      <c r="H219" s="459">
        <f t="shared" si="81"/>
        <v>21.299072215400535</v>
      </c>
      <c r="I219" s="459">
        <f t="shared" si="81"/>
        <v>21.234247068128987</v>
      </c>
      <c r="J219" s="459">
        <f t="shared" si="81"/>
        <v>21.243787126460678</v>
      </c>
      <c r="K219" s="459">
        <f t="shared" si="81"/>
        <v>21.200677119425656</v>
      </c>
      <c r="L219" s="459">
        <f t="shared" si="81"/>
        <v>21.173518725153862</v>
      </c>
      <c r="M219" s="459">
        <f t="shared" si="81"/>
        <v>21.163749080983717</v>
      </c>
      <c r="N219" s="459">
        <f t="shared" si="81"/>
        <v>21.14606192948553</v>
      </c>
      <c r="O219" s="327"/>
    </row>
    <row r="220" spans="1:15">
      <c r="B220" s="338" t="str">
        <f t="shared" si="72"/>
        <v>55-59</v>
      </c>
      <c r="C220" s="459">
        <f t="shared" si="74"/>
        <v>37.621275816354832</v>
      </c>
      <c r="D220" s="459">
        <f t="shared" ref="D220:N220" si="82">D118+D152+D186</f>
        <v>33.396570567421229</v>
      </c>
      <c r="E220" s="459">
        <f t="shared" si="82"/>
        <v>30.857704074280765</v>
      </c>
      <c r="F220" s="459">
        <f t="shared" si="82"/>
        <v>28.798099251800068</v>
      </c>
      <c r="G220" s="459">
        <f t="shared" si="82"/>
        <v>27.315922753166841</v>
      </c>
      <c r="H220" s="459">
        <f t="shared" si="82"/>
        <v>26.703375528214899</v>
      </c>
      <c r="I220" s="459">
        <f t="shared" si="82"/>
        <v>26.481376502323752</v>
      </c>
      <c r="J220" s="459">
        <f t="shared" si="82"/>
        <v>26.464966046271321</v>
      </c>
      <c r="K220" s="459">
        <f t="shared" si="82"/>
        <v>26.404416036767454</v>
      </c>
      <c r="L220" s="459">
        <f t="shared" si="82"/>
        <v>26.406732575550961</v>
      </c>
      <c r="M220" s="459">
        <f t="shared" si="82"/>
        <v>26.454234208812025</v>
      </c>
      <c r="N220" s="459">
        <f t="shared" si="82"/>
        <v>26.489087452588894</v>
      </c>
      <c r="O220" s="327"/>
    </row>
    <row r="221" spans="1:15">
      <c r="B221" s="338" t="str">
        <f t="shared" si="72"/>
        <v>60-64</v>
      </c>
      <c r="C221" s="459">
        <f t="shared" si="74"/>
        <v>19.569902497258024</v>
      </c>
      <c r="D221" s="459">
        <f t="shared" ref="D221:N221" si="83">D119+D153+D187</f>
        <v>19.18613232429874</v>
      </c>
      <c r="E221" s="459">
        <f t="shared" si="83"/>
        <v>18.07832259253923</v>
      </c>
      <c r="F221" s="459">
        <f t="shared" si="83"/>
        <v>16.575953914349032</v>
      </c>
      <c r="G221" s="459">
        <f t="shared" si="83"/>
        <v>15.3387022971745</v>
      </c>
      <c r="H221" s="459">
        <f t="shared" si="83"/>
        <v>14.804109563553512</v>
      </c>
      <c r="I221" s="459">
        <f t="shared" si="83"/>
        <v>14.594393157708963</v>
      </c>
      <c r="J221" s="459">
        <f t="shared" si="83"/>
        <v>14.561074454860739</v>
      </c>
      <c r="K221" s="459">
        <f t="shared" si="83"/>
        <v>14.495811736722356</v>
      </c>
      <c r="L221" s="459">
        <f t="shared" si="83"/>
        <v>14.497359396685658</v>
      </c>
      <c r="M221" s="459">
        <f t="shared" si="83"/>
        <v>14.546377387827812</v>
      </c>
      <c r="N221" s="459">
        <f t="shared" si="83"/>
        <v>14.589756559693994</v>
      </c>
      <c r="O221" s="327"/>
    </row>
    <row r="222" spans="1:15">
      <c r="B222" s="338" t="str">
        <f t="shared" si="72"/>
        <v>65 plus</v>
      </c>
      <c r="C222" s="459">
        <f t="shared" si="74"/>
        <v>5.2991715270809685</v>
      </c>
      <c r="D222" s="459">
        <f t="shared" ref="D222:N222" si="84">D120+D154+D188</f>
        <v>6.1156359023449713</v>
      </c>
      <c r="E222" s="459">
        <f t="shared" si="84"/>
        <v>6.5163870297988673</v>
      </c>
      <c r="F222" s="459">
        <f t="shared" si="84"/>
        <v>6.4064829765817501</v>
      </c>
      <c r="G222" s="459">
        <f t="shared" si="84"/>
        <v>6.1171473713031297</v>
      </c>
      <c r="H222" s="459">
        <f t="shared" si="84"/>
        <v>5.9610188473380035</v>
      </c>
      <c r="I222" s="459">
        <f t="shared" si="84"/>
        <v>5.8833210155211058</v>
      </c>
      <c r="J222" s="459">
        <f t="shared" si="84"/>
        <v>5.8634305355505498</v>
      </c>
      <c r="K222" s="459">
        <f t="shared" si="84"/>
        <v>5.8283481081592967</v>
      </c>
      <c r="L222" s="459">
        <f t="shared" si="84"/>
        <v>5.8206271521817996</v>
      </c>
      <c r="M222" s="459">
        <f t="shared" si="84"/>
        <v>5.8374036457085321</v>
      </c>
      <c r="N222" s="459">
        <f t="shared" si="84"/>
        <v>5.8571777899494313</v>
      </c>
      <c r="O222" s="327"/>
    </row>
    <row r="223" spans="1:15">
      <c r="B223" s="338" t="str">
        <f t="shared" si="72"/>
        <v>Total</v>
      </c>
      <c r="C223" s="459">
        <f>SUM(C213:C222)</f>
        <v>186.10471682917847</v>
      </c>
      <c r="D223" s="459">
        <f t="shared" ref="D223:K223" si="85">SUM(D213:D222)</f>
        <v>182.61691899138609</v>
      </c>
      <c r="E223" s="459">
        <f t="shared" si="85"/>
        <v>179.78437811945111</v>
      </c>
      <c r="F223" s="459">
        <f t="shared" si="85"/>
        <v>172.2900260932177</v>
      </c>
      <c r="G223" s="459">
        <f t="shared" si="85"/>
        <v>165.2803587673514</v>
      </c>
      <c r="H223" s="459">
        <f t="shared" si="85"/>
        <v>164.35567894082482</v>
      </c>
      <c r="I223" s="459">
        <f t="shared" si="85"/>
        <v>165.95127085343177</v>
      </c>
      <c r="J223" s="459">
        <f t="shared" si="85"/>
        <v>168.83767417508</v>
      </c>
      <c r="K223" s="459">
        <f t="shared" si="85"/>
        <v>170.7483779127115</v>
      </c>
      <c r="L223" s="459">
        <f>SUM(L213:L222)</f>
        <v>173.00796119049602</v>
      </c>
      <c r="M223" s="459">
        <f>SUM(M213:M222)</f>
        <v>175.59042263777999</v>
      </c>
      <c r="N223" s="459">
        <f>SUM(N213:N222)</f>
        <v>177.96742782059283</v>
      </c>
      <c r="O223" s="327"/>
    </row>
    <row r="224" spans="1:15">
      <c r="A224" s="309">
        <f>SUM(C224:N224)</f>
        <v>0</v>
      </c>
      <c r="C224" s="309">
        <f t="shared" ref="C224:N224" si="86">SUM(C213:C222)-C223</f>
        <v>0</v>
      </c>
      <c r="D224" s="309">
        <f t="shared" si="86"/>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7">
      <c r="B226" s="341" t="s">
        <v>50</v>
      </c>
      <c r="C226" s="329"/>
      <c r="D226" s="329"/>
      <c r="E226" s="329"/>
      <c r="F226" s="329"/>
      <c r="G226" s="329"/>
      <c r="H226" s="339"/>
      <c r="I226" s="329"/>
      <c r="J226" s="329"/>
      <c r="K226" s="329"/>
      <c r="L226" s="329"/>
    </row>
    <row r="227" spans="1:17">
      <c r="C227" s="329"/>
      <c r="D227" s="329"/>
      <c r="E227" s="329"/>
      <c r="F227" s="329"/>
      <c r="G227" s="329"/>
      <c r="H227" s="339"/>
      <c r="I227" s="329"/>
      <c r="J227" s="329"/>
      <c r="K227" s="329"/>
      <c r="L227" s="329"/>
    </row>
    <row r="228" spans="1:17">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7">
      <c r="B229" s="338" t="str">
        <f t="shared" si="87"/>
        <v>20-24</v>
      </c>
      <c r="C229" s="459">
        <f t="shared" ref="C229:C238" si="89">C195+C161+C127</f>
        <v>5.8316665419353013</v>
      </c>
      <c r="D229" s="459">
        <f t="shared" ref="D229:N229" si="90">D195+D161+D127</f>
        <v>8.7100283660890128</v>
      </c>
      <c r="E229" s="459">
        <f t="shared" si="90"/>
        <v>10.899209793244248</v>
      </c>
      <c r="F229" s="459">
        <f t="shared" si="90"/>
        <v>10.994610744303145</v>
      </c>
      <c r="G229" s="459">
        <f t="shared" si="90"/>
        <v>10.891028518550081</v>
      </c>
      <c r="H229" s="459">
        <f t="shared" si="90"/>
        <v>12.304641042501972</v>
      </c>
      <c r="I229" s="459">
        <f t="shared" si="90"/>
        <v>14.011682445068379</v>
      </c>
      <c r="J229" s="459">
        <f t="shared" si="90"/>
        <v>15.670978121862033</v>
      </c>
      <c r="K229" s="459">
        <f t="shared" si="90"/>
        <v>16.684671485050963</v>
      </c>
      <c r="L229" s="459">
        <f t="shared" si="90"/>
        <v>17.582527992605222</v>
      </c>
      <c r="M229" s="459">
        <f t="shared" si="90"/>
        <v>18.401536859902841</v>
      </c>
      <c r="N229" s="459">
        <f t="shared" si="90"/>
        <v>19.019388226166683</v>
      </c>
      <c r="O229" s="327"/>
      <c r="P229" s="327"/>
      <c r="Q229" s="327"/>
    </row>
    <row r="230" spans="1:17">
      <c r="B230" s="338" t="str">
        <f t="shared" si="87"/>
        <v>25-29</v>
      </c>
      <c r="C230" s="459">
        <f t="shared" si="89"/>
        <v>22.929534809568036</v>
      </c>
      <c r="D230" s="459">
        <f t="shared" ref="D230:N230" si="91">D196+D162+D128</f>
        <v>22.4950310366496</v>
      </c>
      <c r="E230" s="459">
        <f t="shared" si="91"/>
        <v>22.76243342582044</v>
      </c>
      <c r="F230" s="459">
        <f t="shared" si="91"/>
        <v>21.691357454867205</v>
      </c>
      <c r="G230" s="459">
        <f t="shared" si="91"/>
        <v>20.740711746828477</v>
      </c>
      <c r="H230" s="459">
        <f t="shared" si="91"/>
        <v>21.653796745010002</v>
      </c>
      <c r="I230" s="459">
        <f t="shared" si="91"/>
        <v>23.291530933579011</v>
      </c>
      <c r="J230" s="459">
        <f t="shared" si="91"/>
        <v>25.220263934541006</v>
      </c>
      <c r="K230" s="459">
        <f t="shared" si="91"/>
        <v>26.687419322793325</v>
      </c>
      <c r="L230" s="459">
        <f t="shared" si="91"/>
        <v>28.096888645244153</v>
      </c>
      <c r="M230" s="459">
        <f t="shared" si="91"/>
        <v>29.451053744412754</v>
      </c>
      <c r="N230" s="459">
        <f t="shared" si="91"/>
        <v>30.595351015974995</v>
      </c>
      <c r="O230" s="327"/>
      <c r="P230" s="327"/>
      <c r="Q230" s="327"/>
    </row>
    <row r="231" spans="1:17">
      <c r="B231" s="338" t="str">
        <f t="shared" si="87"/>
        <v>30-34</v>
      </c>
      <c r="C231" s="459">
        <f t="shared" si="89"/>
        <v>37.121972575457264</v>
      </c>
      <c r="D231" s="459">
        <f t="shared" ref="D231:N231" si="92">D197+D163+D129</f>
        <v>33.881975985321553</v>
      </c>
      <c r="E231" s="459">
        <f t="shared" si="92"/>
        <v>31.524820653663834</v>
      </c>
      <c r="F231" s="459">
        <f t="shared" si="92"/>
        <v>28.939929613526648</v>
      </c>
      <c r="G231" s="459">
        <f t="shared" si="92"/>
        <v>26.761109653184359</v>
      </c>
      <c r="H231" s="459">
        <f t="shared" si="92"/>
        <v>25.9283594113992</v>
      </c>
      <c r="I231" s="459">
        <f t="shared" si="92"/>
        <v>25.910394481176564</v>
      </c>
      <c r="J231" s="459">
        <f t="shared" si="92"/>
        <v>26.452883316006577</v>
      </c>
      <c r="K231" s="459">
        <f t="shared" si="92"/>
        <v>27.075641005811775</v>
      </c>
      <c r="L231" s="459">
        <f t="shared" si="92"/>
        <v>27.89133732428256</v>
      </c>
      <c r="M231" s="459">
        <f t="shared" si="92"/>
        <v>28.840381829760634</v>
      </c>
      <c r="N231" s="459">
        <f t="shared" si="92"/>
        <v>29.787459597256927</v>
      </c>
      <c r="O231" s="327"/>
      <c r="P231" s="327"/>
      <c r="Q231" s="327"/>
    </row>
    <row r="232" spans="1:17">
      <c r="B232" s="338" t="str">
        <f t="shared" si="87"/>
        <v>35-39</v>
      </c>
      <c r="C232" s="459">
        <f t="shared" si="89"/>
        <v>34.918777780891695</v>
      </c>
      <c r="D232" s="459">
        <f t="shared" ref="D232:N232" si="93">D198+D164+D130</f>
        <v>33.611802400120801</v>
      </c>
      <c r="E232" s="459">
        <f t="shared" si="93"/>
        <v>32.154478914207807</v>
      </c>
      <c r="F232" s="459">
        <f t="shared" si="93"/>
        <v>30.147740718256852</v>
      </c>
      <c r="G232" s="459">
        <f t="shared" si="93"/>
        <v>28.173044613919853</v>
      </c>
      <c r="H232" s="459">
        <f t="shared" si="93"/>
        <v>26.898557087359571</v>
      </c>
      <c r="I232" s="459">
        <f t="shared" si="93"/>
        <v>26.076655025917681</v>
      </c>
      <c r="J232" s="459">
        <f t="shared" si="93"/>
        <v>25.630686619943308</v>
      </c>
      <c r="K232" s="459">
        <f t="shared" si="93"/>
        <v>25.331483476860104</v>
      </c>
      <c r="L232" s="459">
        <f t="shared" si="93"/>
        <v>25.280176996310583</v>
      </c>
      <c r="M232" s="459">
        <f t="shared" si="93"/>
        <v>25.445153241883883</v>
      </c>
      <c r="N232" s="459">
        <f t="shared" si="93"/>
        <v>25.738602580950779</v>
      </c>
      <c r="O232" s="327"/>
      <c r="P232" s="327"/>
      <c r="Q232" s="327"/>
    </row>
    <row r="233" spans="1:17">
      <c r="B233" s="338" t="str">
        <f t="shared" si="87"/>
        <v>40-44</v>
      </c>
      <c r="C233" s="459">
        <f t="shared" si="89"/>
        <v>31.52129038792102</v>
      </c>
      <c r="D233" s="459">
        <f t="shared" ref="D233:N233" si="94">D199+D165+D131</f>
        <v>30.771740459128623</v>
      </c>
      <c r="E233" s="459">
        <f t="shared" si="94"/>
        <v>30.027002169610697</v>
      </c>
      <c r="F233" s="459">
        <f t="shared" si="94"/>
        <v>28.791785599786223</v>
      </c>
      <c r="G233" s="459">
        <f t="shared" si="94"/>
        <v>27.475111997618743</v>
      </c>
      <c r="H233" s="459">
        <f t="shared" si="94"/>
        <v>26.588060715686574</v>
      </c>
      <c r="I233" s="459">
        <f t="shared" si="94"/>
        <v>25.911744458968894</v>
      </c>
      <c r="J233" s="459">
        <f t="shared" si="94"/>
        <v>25.395976499641577</v>
      </c>
      <c r="K233" s="459">
        <f t="shared" si="94"/>
        <v>24.886730877585897</v>
      </c>
      <c r="L233" s="459">
        <f t="shared" si="94"/>
        <v>24.508814225915071</v>
      </c>
      <c r="M233" s="459">
        <f t="shared" si="94"/>
        <v>24.272769393952533</v>
      </c>
      <c r="N233" s="459">
        <f t="shared" si="94"/>
        <v>24.137409366514941</v>
      </c>
      <c r="O233" s="327"/>
      <c r="P233" s="327"/>
      <c r="Q233" s="327"/>
    </row>
    <row r="234" spans="1:17">
      <c r="B234" s="338" t="str">
        <f t="shared" si="87"/>
        <v>45-49</v>
      </c>
      <c r="C234" s="459">
        <f t="shared" si="89"/>
        <v>25.600942197865727</v>
      </c>
      <c r="D234" s="459">
        <f t="shared" ref="D234:N234" si="95">D200+D166+D132</f>
        <v>26.077646267454902</v>
      </c>
      <c r="E234" s="459">
        <f t="shared" si="95"/>
        <v>26.316411412792544</v>
      </c>
      <c r="F234" s="459">
        <f t="shared" si="95"/>
        <v>25.981825955387244</v>
      </c>
      <c r="G234" s="459">
        <f t="shared" si="95"/>
        <v>25.453175272614864</v>
      </c>
      <c r="H234" s="459">
        <f t="shared" si="95"/>
        <v>25.179588114470551</v>
      </c>
      <c r="I234" s="459">
        <f t="shared" si="95"/>
        <v>24.980309271113612</v>
      </c>
      <c r="J234" s="459">
        <f t="shared" si="95"/>
        <v>24.812507846065035</v>
      </c>
      <c r="K234" s="459">
        <f t="shared" si="95"/>
        <v>24.546593240047166</v>
      </c>
      <c r="L234" s="459">
        <f t="shared" si="95"/>
        <v>24.29573923168428</v>
      </c>
      <c r="M234" s="459">
        <f t="shared" si="95"/>
        <v>24.082406222761392</v>
      </c>
      <c r="N234" s="459">
        <f t="shared" si="95"/>
        <v>23.888090200758199</v>
      </c>
      <c r="O234" s="327"/>
      <c r="P234" s="327"/>
      <c r="Q234" s="327"/>
    </row>
    <row r="235" spans="1:17">
      <c r="B235" s="338" t="str">
        <f t="shared" si="87"/>
        <v>50-54</v>
      </c>
      <c r="C235" s="459">
        <f t="shared" si="89"/>
        <v>26.666180637394064</v>
      </c>
      <c r="D235" s="459">
        <f t="shared" ref="D235:N235" si="96">D201+D167+D133</f>
        <v>26.643633791742729</v>
      </c>
      <c r="E235" s="459">
        <f t="shared" si="96"/>
        <v>26.784369599102099</v>
      </c>
      <c r="F235" s="459">
        <f t="shared" si="96"/>
        <v>26.566216307649373</v>
      </c>
      <c r="G235" s="459">
        <f t="shared" si="96"/>
        <v>26.281566978409099</v>
      </c>
      <c r="H235" s="459">
        <f t="shared" si="96"/>
        <v>26.329026539149694</v>
      </c>
      <c r="I235" s="459">
        <f t="shared" si="96"/>
        <v>26.473473765568137</v>
      </c>
      <c r="J235" s="459">
        <f t="shared" si="96"/>
        <v>26.639302776247753</v>
      </c>
      <c r="K235" s="459">
        <f t="shared" si="96"/>
        <v>26.670278715487964</v>
      </c>
      <c r="L235" s="459">
        <f t="shared" si="96"/>
        <v>26.669568338708018</v>
      </c>
      <c r="M235" s="459">
        <f t="shared" si="96"/>
        <v>26.651181747954503</v>
      </c>
      <c r="N235" s="459">
        <f t="shared" si="96"/>
        <v>26.592363934028967</v>
      </c>
      <c r="O235" s="327"/>
      <c r="P235" s="327"/>
      <c r="Q235" s="327"/>
    </row>
    <row r="236" spans="1:17">
      <c r="B236" s="338" t="str">
        <f t="shared" si="87"/>
        <v>55-59</v>
      </c>
      <c r="C236" s="459">
        <f t="shared" si="89"/>
        <v>40.354973207269062</v>
      </c>
      <c r="D236" s="459">
        <f t="shared" ref="D236:N236" si="97">D202+D168+D134</f>
        <v>36.581489398496984</v>
      </c>
      <c r="E236" s="459">
        <f t="shared" si="97"/>
        <v>34.367996015086497</v>
      </c>
      <c r="F236" s="459">
        <f t="shared" si="97"/>
        <v>32.510200297932293</v>
      </c>
      <c r="G236" s="459">
        <f t="shared" si="97"/>
        <v>31.242428506422296</v>
      </c>
      <c r="H236" s="459">
        <f t="shared" si="97"/>
        <v>30.967436453687473</v>
      </c>
      <c r="I236" s="459">
        <f t="shared" si="97"/>
        <v>31.102077103553974</v>
      </c>
      <c r="J236" s="459">
        <f t="shared" si="97"/>
        <v>31.417298457416692</v>
      </c>
      <c r="K236" s="459">
        <f t="shared" si="97"/>
        <v>31.603651217618872</v>
      </c>
      <c r="L236" s="459">
        <f t="shared" si="97"/>
        <v>31.797643894981714</v>
      </c>
      <c r="M236" s="459">
        <f t="shared" si="97"/>
        <v>31.985140290388163</v>
      </c>
      <c r="N236" s="459">
        <f t="shared" si="97"/>
        <v>32.10355776853374</v>
      </c>
      <c r="O236" s="327"/>
      <c r="P236" s="327"/>
      <c r="Q236" s="327"/>
    </row>
    <row r="237" spans="1:17">
      <c r="B237" s="338" t="str">
        <f t="shared" si="87"/>
        <v>60-64</v>
      </c>
      <c r="C237" s="459">
        <f t="shared" si="89"/>
        <v>22.548121990065223</v>
      </c>
      <c r="D237" s="459">
        <f t="shared" ref="D237:N237" si="98">D203+D169+D135</f>
        <v>22.255238467140941</v>
      </c>
      <c r="E237" s="459">
        <f t="shared" si="98"/>
        <v>21.213582396348677</v>
      </c>
      <c r="F237" s="459">
        <f t="shared" si="98"/>
        <v>19.634570645161784</v>
      </c>
      <c r="G237" s="459">
        <f t="shared" si="98"/>
        <v>18.375775433186465</v>
      </c>
      <c r="H237" s="459">
        <f t="shared" si="98"/>
        <v>18.024155529469851</v>
      </c>
      <c r="I237" s="459">
        <f t="shared" si="98"/>
        <v>18.05018981766575</v>
      </c>
      <c r="J237" s="459">
        <f t="shared" si="98"/>
        <v>18.258771560807734</v>
      </c>
      <c r="K237" s="459">
        <f t="shared" si="98"/>
        <v>18.371842290248754</v>
      </c>
      <c r="L237" s="459">
        <f t="shared" si="98"/>
        <v>18.535276806148165</v>
      </c>
      <c r="M237" s="459">
        <f t="shared" si="98"/>
        <v>18.725147351268042</v>
      </c>
      <c r="N237" s="459">
        <f t="shared" si="98"/>
        <v>18.872167372720511</v>
      </c>
      <c r="O237" s="327"/>
      <c r="P237" s="327"/>
      <c r="Q237" s="327"/>
    </row>
    <row r="238" spans="1:17">
      <c r="B238" s="338" t="str">
        <f t="shared" si="87"/>
        <v>65 plus</v>
      </c>
      <c r="C238" s="459">
        <f t="shared" si="89"/>
        <v>6.6307409564677826</v>
      </c>
      <c r="D238" s="459">
        <f t="shared" ref="D238:N238" si="99">D204+D170+D136</f>
        <v>7.080845435249997</v>
      </c>
      <c r="E238" s="459">
        <f t="shared" si="99"/>
        <v>7.2869783798033545</v>
      </c>
      <c r="F238" s="459">
        <f t="shared" si="99"/>
        <v>7.0113329607472972</v>
      </c>
      <c r="G238" s="459">
        <f t="shared" si="99"/>
        <v>6.6330602195970911</v>
      </c>
      <c r="H238" s="459">
        <f t="shared" si="99"/>
        <v>6.5155561314088173</v>
      </c>
      <c r="I238" s="459">
        <f t="shared" si="99"/>
        <v>6.5226563215772657</v>
      </c>
      <c r="J238" s="459">
        <f t="shared" si="99"/>
        <v>6.6011530146436046</v>
      </c>
      <c r="K238" s="459">
        <f t="shared" si="99"/>
        <v>6.6408566895302599</v>
      </c>
      <c r="L238" s="459">
        <f t="shared" si="99"/>
        <v>6.7041506161537798</v>
      </c>
      <c r="M238" s="459">
        <f t="shared" si="99"/>
        <v>6.7865937105968621</v>
      </c>
      <c r="N238" s="459">
        <f t="shared" si="99"/>
        <v>6.8586799733542296</v>
      </c>
      <c r="O238" s="327"/>
      <c r="P238" s="327"/>
      <c r="Q238" s="327"/>
    </row>
    <row r="239" spans="1:17">
      <c r="B239" s="338" t="str">
        <f t="shared" si="87"/>
        <v>Total</v>
      </c>
      <c r="C239" s="459">
        <f>SUM(C229:C238)</f>
        <v>254.12420108483519</v>
      </c>
      <c r="D239" s="459">
        <f t="shared" ref="D239:N239" si="100">SUM(D229:D238)</f>
        <v>248.10943160739515</v>
      </c>
      <c r="E239" s="459">
        <f t="shared" si="100"/>
        <v>243.33728275968016</v>
      </c>
      <c r="F239" s="459">
        <f t="shared" si="100"/>
        <v>232.26957029761806</v>
      </c>
      <c r="G239" s="459">
        <f t="shared" si="100"/>
        <v>222.02701294033136</v>
      </c>
      <c r="H239" s="459">
        <f t="shared" si="100"/>
        <v>220.38917777014373</v>
      </c>
      <c r="I239" s="459">
        <f t="shared" si="100"/>
        <v>222.33071362418929</v>
      </c>
      <c r="J239" s="459">
        <f t="shared" si="100"/>
        <v>226.09982214717533</v>
      </c>
      <c r="K239" s="459">
        <f t="shared" si="100"/>
        <v>228.49916832103511</v>
      </c>
      <c r="L239" s="459">
        <f t="shared" si="100"/>
        <v>231.36212407203357</v>
      </c>
      <c r="M239" s="459">
        <f t="shared" si="100"/>
        <v>234.6413643928816</v>
      </c>
      <c r="N239" s="459">
        <f t="shared" si="100"/>
        <v>237.59307003625997</v>
      </c>
      <c r="O239" s="327"/>
      <c r="P239" s="327"/>
      <c r="Q239" s="327"/>
    </row>
    <row r="240" spans="1:17">
      <c r="A240" s="309">
        <f>SUM(C240:N240)</f>
        <v>0</v>
      </c>
      <c r="C240" s="309">
        <f t="shared" ref="C240:N240" si="101">SUM(C229:C238)-C239</f>
        <v>0</v>
      </c>
      <c r="D240" s="309">
        <f t="shared" si="101"/>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23.629693266693149</v>
      </c>
      <c r="D247" s="459">
        <f t="shared" ref="D247:N247" si="105">D77-D213</f>
        <v>46.038040381282961</v>
      </c>
      <c r="E247" s="459">
        <f t="shared" si="105"/>
        <v>62.885966013806673</v>
      </c>
      <c r="F247" s="459">
        <f t="shared" si="105"/>
        <v>65.490449518787628</v>
      </c>
      <c r="G247" s="459">
        <f t="shared" si="105"/>
        <v>66.246189993716968</v>
      </c>
      <c r="H247" s="459">
        <f t="shared" si="105"/>
        <v>76.328611274347466</v>
      </c>
      <c r="I247" s="459">
        <f t="shared" si="105"/>
        <v>87.999185883716422</v>
      </c>
      <c r="J247" s="459">
        <f t="shared" si="105"/>
        <v>99.152734155383428</v>
      </c>
      <c r="K247" s="459">
        <f t="shared" si="105"/>
        <v>106.01411075506718</v>
      </c>
      <c r="L247" s="459">
        <f t="shared" si="105"/>
        <v>112.02697391309565</v>
      </c>
      <c r="M247" s="459">
        <f t="shared" si="105"/>
        <v>117.45917366011415</v>
      </c>
      <c r="N247" s="459">
        <f t="shared" si="105"/>
        <v>121.54766410252992</v>
      </c>
    </row>
    <row r="248" spans="2:14">
      <c r="B248" s="338" t="str">
        <f t="shared" si="102"/>
        <v>25-29</v>
      </c>
      <c r="C248" s="459">
        <f t="shared" si="104"/>
        <v>151.32309764736141</v>
      </c>
      <c r="D248" s="459">
        <f t="shared" ref="D248:N248" si="106">D78-D214</f>
        <v>153.68478092477028</v>
      </c>
      <c r="E248" s="459">
        <f t="shared" si="106"/>
        <v>160.66769669894342</v>
      </c>
      <c r="F248" s="459">
        <f t="shared" si="106"/>
        <v>156.45766855762355</v>
      </c>
      <c r="G248" s="459">
        <f t="shared" si="106"/>
        <v>152.39792645578811</v>
      </c>
      <c r="H248" s="459">
        <f t="shared" si="106"/>
        <v>162.15220851756769</v>
      </c>
      <c r="I248" s="459">
        <f t="shared" si="106"/>
        <v>177.05656270131891</v>
      </c>
      <c r="J248" s="459">
        <f t="shared" si="106"/>
        <v>193.8485682390224</v>
      </c>
      <c r="K248" s="459">
        <f t="shared" si="106"/>
        <v>206.7527754813872</v>
      </c>
      <c r="L248" s="459">
        <f t="shared" si="106"/>
        <v>218.94068582280988</v>
      </c>
      <c r="M248" s="459">
        <f t="shared" si="106"/>
        <v>230.4805651543133</v>
      </c>
      <c r="N248" s="459">
        <f t="shared" si="106"/>
        <v>240.2129428438441</v>
      </c>
    </row>
    <row r="249" spans="2:14">
      <c r="B249" s="338" t="str">
        <f t="shared" si="102"/>
        <v>30-34</v>
      </c>
      <c r="C249" s="459">
        <f t="shared" si="104"/>
        <v>297.43178569592538</v>
      </c>
      <c r="D249" s="459">
        <f t="shared" ref="D249:N249" si="107">D79-D215</f>
        <v>275.13819980307801</v>
      </c>
      <c r="E249" s="459">
        <f t="shared" si="107"/>
        <v>259.56841924733214</v>
      </c>
      <c r="F249" s="459">
        <f t="shared" si="107"/>
        <v>241.56313088433319</v>
      </c>
      <c r="G249" s="459">
        <f t="shared" si="107"/>
        <v>226.37614315437585</v>
      </c>
      <c r="H249" s="459">
        <f t="shared" si="107"/>
        <v>221.97271808519744</v>
      </c>
      <c r="I249" s="459">
        <f t="shared" si="107"/>
        <v>224.13767785659067</v>
      </c>
      <c r="J249" s="459">
        <f t="shared" si="107"/>
        <v>230.85543236544001</v>
      </c>
      <c r="K249" s="459">
        <f t="shared" si="107"/>
        <v>238.15639995492106</v>
      </c>
      <c r="L249" s="459">
        <f t="shared" si="107"/>
        <v>246.96136639684929</v>
      </c>
      <c r="M249" s="459">
        <f t="shared" si="107"/>
        <v>256.77974030106492</v>
      </c>
      <c r="N249" s="459">
        <f t="shared" si="107"/>
        <v>266.48189112828373</v>
      </c>
    </row>
    <row r="250" spans="2:14">
      <c r="B250" s="338" t="str">
        <f t="shared" si="102"/>
        <v>35-39</v>
      </c>
      <c r="C250" s="459">
        <f t="shared" si="104"/>
        <v>315.29868699237505</v>
      </c>
      <c r="D250" s="459">
        <f t="shared" ref="D250:N250" si="108">D80-D216</f>
        <v>307.30280656597034</v>
      </c>
      <c r="E250" s="459">
        <f t="shared" si="108"/>
        <v>297.58399221233208</v>
      </c>
      <c r="F250" s="459">
        <f t="shared" si="108"/>
        <v>282.48303874627607</v>
      </c>
      <c r="G250" s="459">
        <f t="shared" si="108"/>
        <v>267.21487084217193</v>
      </c>
      <c r="H250" s="459">
        <f t="shared" si="108"/>
        <v>257.89065194890259</v>
      </c>
      <c r="I250" s="459">
        <f t="shared" si="108"/>
        <v>252.40851561511448</v>
      </c>
      <c r="J250" s="459">
        <f t="shared" si="108"/>
        <v>250.17905256467503</v>
      </c>
      <c r="K250" s="459">
        <f t="shared" si="108"/>
        <v>249.19884245557824</v>
      </c>
      <c r="L250" s="459">
        <f t="shared" si="108"/>
        <v>250.41575542830634</v>
      </c>
      <c r="M250" s="459">
        <f t="shared" si="108"/>
        <v>253.57427789300948</v>
      </c>
      <c r="N250" s="459">
        <f t="shared" si="108"/>
        <v>257.8943084705719</v>
      </c>
    </row>
    <row r="251" spans="2:14">
      <c r="B251" s="338" t="str">
        <f t="shared" si="102"/>
        <v>40-44</v>
      </c>
      <c r="C251" s="459">
        <f t="shared" si="104"/>
        <v>282.0388008578862</v>
      </c>
      <c r="D251" s="459">
        <f t="shared" ref="D251:N251" si="109">D81-D217</f>
        <v>280.82147090456272</v>
      </c>
      <c r="E251" s="459">
        <f t="shared" si="109"/>
        <v>278.80270082073423</v>
      </c>
      <c r="F251" s="459">
        <f t="shared" si="109"/>
        <v>271.46883606610214</v>
      </c>
      <c r="G251" s="459">
        <f t="shared" si="109"/>
        <v>262.73710744438188</v>
      </c>
      <c r="H251" s="459">
        <f t="shared" si="109"/>
        <v>257.49032692745317</v>
      </c>
      <c r="I251" s="459">
        <f t="shared" si="109"/>
        <v>253.77368798668212</v>
      </c>
      <c r="J251" s="459">
        <f t="shared" si="109"/>
        <v>251.20320310882062</v>
      </c>
      <c r="K251" s="459">
        <f t="shared" si="109"/>
        <v>248.41054253582814</v>
      </c>
      <c r="L251" s="459">
        <f t="shared" si="109"/>
        <v>246.63142129565196</v>
      </c>
      <c r="M251" s="459">
        <f t="shared" si="109"/>
        <v>246.02478067226178</v>
      </c>
      <c r="N251" s="459">
        <f t="shared" si="109"/>
        <v>246.25303427883262</v>
      </c>
    </row>
    <row r="252" spans="2:14">
      <c r="B252" s="338" t="str">
        <f t="shared" si="102"/>
        <v>45-49</v>
      </c>
      <c r="C252" s="459">
        <f t="shared" si="104"/>
        <v>250.79090136416235</v>
      </c>
      <c r="D252" s="459">
        <f t="shared" ref="D252:N252" si="110">D82-D218</f>
        <v>246.80048054540887</v>
      </c>
      <c r="E252" s="459">
        <f t="shared" si="110"/>
        <v>243.9359202560683</v>
      </c>
      <c r="F252" s="459">
        <f t="shared" si="110"/>
        <v>238.21343076100871</v>
      </c>
      <c r="G252" s="459">
        <f t="shared" si="110"/>
        <v>232.26664522479581</v>
      </c>
      <c r="H252" s="459">
        <f t="shared" si="110"/>
        <v>229.56296028641879</v>
      </c>
      <c r="I252" s="459">
        <f t="shared" si="110"/>
        <v>228.14776245067907</v>
      </c>
      <c r="J252" s="459">
        <f t="shared" si="110"/>
        <v>227.3958372278737</v>
      </c>
      <c r="K252" s="459">
        <f t="shared" si="110"/>
        <v>225.99257909845056</v>
      </c>
      <c r="L252" s="459">
        <f t="shared" si="110"/>
        <v>224.83014624562145</v>
      </c>
      <c r="M252" s="459">
        <f t="shared" si="110"/>
        <v>224.04024148588996</v>
      </c>
      <c r="N252" s="459">
        <f t="shared" si="110"/>
        <v>223.42064137221806</v>
      </c>
    </row>
    <row r="253" spans="2:14">
      <c r="B253" s="338" t="str">
        <f t="shared" si="102"/>
        <v>50-54</v>
      </c>
      <c r="C253" s="459">
        <f t="shared" si="104"/>
        <v>185.78101086210171</v>
      </c>
      <c r="D253" s="459">
        <f t="shared" ref="D253:N253" si="111">D83-D219</f>
        <v>184.23975717923008</v>
      </c>
      <c r="E253" s="459">
        <f t="shared" si="111"/>
        <v>182.64801068460849</v>
      </c>
      <c r="F253" s="459">
        <f t="shared" si="111"/>
        <v>178.66509531362249</v>
      </c>
      <c r="G253" s="459">
        <f t="shared" si="111"/>
        <v>174.53543739113002</v>
      </c>
      <c r="H253" s="459">
        <f t="shared" si="111"/>
        <v>172.90796758305979</v>
      </c>
      <c r="I253" s="459">
        <f t="shared" si="111"/>
        <v>172.38171064803279</v>
      </c>
      <c r="J253" s="459">
        <f t="shared" si="111"/>
        <v>172.45915778188319</v>
      </c>
      <c r="K253" s="459">
        <f t="shared" si="111"/>
        <v>172.10918649564439</v>
      </c>
      <c r="L253" s="459">
        <f t="shared" si="111"/>
        <v>171.88871197408471</v>
      </c>
      <c r="M253" s="459">
        <f t="shared" si="111"/>
        <v>171.80940103976866</v>
      </c>
      <c r="N253" s="459">
        <f t="shared" si="111"/>
        <v>171.66581500057606</v>
      </c>
    </row>
    <row r="254" spans="2:14">
      <c r="B254" s="338" t="str">
        <f t="shared" si="102"/>
        <v>55-59</v>
      </c>
      <c r="C254" s="459">
        <f t="shared" si="104"/>
        <v>107.34683994786076</v>
      </c>
      <c r="D254" s="459">
        <f t="shared" ref="D254:N254" si="112">D84-D220</f>
        <v>95.292257843895726</v>
      </c>
      <c r="E254" s="459">
        <f t="shared" si="112"/>
        <v>88.047971487991347</v>
      </c>
      <c r="F254" s="459">
        <f t="shared" si="112"/>
        <v>82.171188618799974</v>
      </c>
      <c r="G254" s="459">
        <f t="shared" si="112"/>
        <v>77.942013506559519</v>
      </c>
      <c r="H254" s="459">
        <f t="shared" si="112"/>
        <v>76.194199072025185</v>
      </c>
      <c r="I254" s="459">
        <f t="shared" si="112"/>
        <v>75.560757133021127</v>
      </c>
      <c r="J254" s="459">
        <f t="shared" si="112"/>
        <v>75.513932282956745</v>
      </c>
      <c r="K254" s="459">
        <f t="shared" si="112"/>
        <v>75.341161635550165</v>
      </c>
      <c r="L254" s="459">
        <f t="shared" si="112"/>
        <v>75.347771542115794</v>
      </c>
      <c r="M254" s="459">
        <f t="shared" si="112"/>
        <v>75.483310545307205</v>
      </c>
      <c r="N254" s="459">
        <f t="shared" si="112"/>
        <v>75.582759208336142</v>
      </c>
    </row>
    <row r="255" spans="2:14">
      <c r="B255" s="338" t="str">
        <f t="shared" si="102"/>
        <v>60-64</v>
      </c>
      <c r="C255" s="459">
        <f t="shared" si="104"/>
        <v>29.614632262999375</v>
      </c>
      <c r="D255" s="459">
        <f t="shared" ref="D255:N255" si="113">D85-D221</f>
        <v>29.033882688631834</v>
      </c>
      <c r="E255" s="459">
        <f t="shared" si="113"/>
        <v>27.357462592618255</v>
      </c>
      <c r="F255" s="459">
        <f t="shared" si="113"/>
        <v>25.083966547643829</v>
      </c>
      <c r="G255" s="459">
        <f t="shared" si="113"/>
        <v>23.211665361444311</v>
      </c>
      <c r="H255" s="459">
        <f t="shared" si="113"/>
        <v>22.402679868600117</v>
      </c>
      <c r="I255" s="459">
        <f t="shared" si="113"/>
        <v>22.085321402482336</v>
      </c>
      <c r="J255" s="459">
        <f t="shared" si="113"/>
        <v>22.03490106275563</v>
      </c>
      <c r="K255" s="459">
        <f t="shared" si="113"/>
        <v>21.936140662778026</v>
      </c>
      <c r="L255" s="459">
        <f t="shared" si="113"/>
        <v>21.938482696964847</v>
      </c>
      <c r="M255" s="459">
        <f t="shared" si="113"/>
        <v>22.012660367607268</v>
      </c>
      <c r="N255" s="459">
        <f t="shared" si="113"/>
        <v>22.078304957449774</v>
      </c>
    </row>
    <row r="256" spans="2:14">
      <c r="B256" s="338" t="str">
        <f t="shared" si="102"/>
        <v>65 plus</v>
      </c>
      <c r="C256" s="459">
        <f t="shared" si="104"/>
        <v>6.1549745777429408</v>
      </c>
      <c r="D256" s="459">
        <f t="shared" ref="D256:N256" si="114">D86-D222</f>
        <v>7.1032959233912649</v>
      </c>
      <c r="E256" s="459">
        <f t="shared" si="114"/>
        <v>7.5687673633843158</v>
      </c>
      <c r="F256" s="459">
        <f t="shared" si="114"/>
        <v>7.4411140783216831</v>
      </c>
      <c r="G256" s="459">
        <f t="shared" si="114"/>
        <v>7.1050514908351516</v>
      </c>
      <c r="H256" s="459">
        <f t="shared" si="114"/>
        <v>6.9237085977140396</v>
      </c>
      <c r="I256" s="459">
        <f t="shared" si="114"/>
        <v>6.8334627588815335</v>
      </c>
      <c r="J256" s="459">
        <f t="shared" si="114"/>
        <v>6.8103600157579658</v>
      </c>
      <c r="K256" s="459">
        <f t="shared" si="114"/>
        <v>6.7696118634071354</v>
      </c>
      <c r="L256" s="459">
        <f t="shared" si="114"/>
        <v>6.7606439922003823</v>
      </c>
      <c r="M256" s="459">
        <f t="shared" si="114"/>
        <v>6.7801298477974328</v>
      </c>
      <c r="N256" s="459">
        <f t="shared" si="114"/>
        <v>6.8030974672597155</v>
      </c>
    </row>
    <row r="257" spans="1:15">
      <c r="B257" s="338" t="str">
        <f t="shared" si="102"/>
        <v>Total</v>
      </c>
      <c r="C257" s="459">
        <f>SUM(C247:C256)</f>
        <v>1649.4104234751085</v>
      </c>
      <c r="D257" s="459">
        <f t="shared" ref="D257:N257" si="115">SUM(D247:D256)</f>
        <v>1625.4549727602218</v>
      </c>
      <c r="E257" s="459">
        <f t="shared" si="115"/>
        <v>1609.0669073778195</v>
      </c>
      <c r="F257" s="459">
        <f t="shared" si="115"/>
        <v>1549.0379190925194</v>
      </c>
      <c r="G257" s="459">
        <f t="shared" si="115"/>
        <v>1490.0330508651996</v>
      </c>
      <c r="H257" s="459">
        <f t="shared" si="115"/>
        <v>1483.8260321612863</v>
      </c>
      <c r="I257" s="459">
        <f t="shared" si="115"/>
        <v>1500.3846444365195</v>
      </c>
      <c r="J257" s="459">
        <f t="shared" si="115"/>
        <v>1529.453178804569</v>
      </c>
      <c r="K257" s="459">
        <f t="shared" si="115"/>
        <v>1550.6813509386122</v>
      </c>
      <c r="L257" s="459">
        <f t="shared" si="115"/>
        <v>1575.7419593077004</v>
      </c>
      <c r="M257" s="459">
        <f t="shared" si="115"/>
        <v>1604.4442809671341</v>
      </c>
      <c r="N257" s="459">
        <f t="shared" si="115"/>
        <v>1631.9404588299021</v>
      </c>
    </row>
    <row r="258" spans="1:15">
      <c r="A258" s="309">
        <f>SUM(C258:N258)</f>
        <v>0</v>
      </c>
      <c r="C258" s="309">
        <f t="shared" ref="C258:N258" si="116">SUM(C247:C256)-C257</f>
        <v>0</v>
      </c>
      <c r="D258" s="309">
        <f t="shared" si="116"/>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5">
      <c r="B260" s="341" t="s">
        <v>50</v>
      </c>
      <c r="C260" s="329"/>
      <c r="D260" s="329"/>
      <c r="E260" s="329"/>
      <c r="F260" s="329"/>
      <c r="G260" s="329"/>
      <c r="H260" s="339"/>
      <c r="I260" s="329"/>
      <c r="J260" s="329"/>
      <c r="K260" s="329"/>
      <c r="L260" s="329"/>
    </row>
    <row r="261" spans="1:15">
      <c r="C261" s="329"/>
      <c r="D261" s="329"/>
      <c r="E261" s="329"/>
      <c r="F261" s="329"/>
      <c r="G261" s="329"/>
      <c r="H261" s="339"/>
      <c r="I261" s="329"/>
      <c r="J261" s="329"/>
      <c r="K261" s="329"/>
      <c r="L261" s="329"/>
    </row>
    <row r="262" spans="1:15">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5">
      <c r="B263" s="338" t="str">
        <f t="shared" si="117"/>
        <v>20-24</v>
      </c>
      <c r="C263" s="459">
        <f t="shared" ref="C263:C272" si="119">C93-C229</f>
        <v>48.036736571947444</v>
      </c>
      <c r="D263" s="459">
        <f t="shared" ref="D263:N263" si="120">D93-D229</f>
        <v>71.746444202064538</v>
      </c>
      <c r="E263" s="459">
        <f t="shared" si="120"/>
        <v>89.779219356172902</v>
      </c>
      <c r="F263" s="459">
        <f t="shared" si="120"/>
        <v>90.565058244897955</v>
      </c>
      <c r="G263" s="459">
        <f t="shared" si="120"/>
        <v>89.711828373770118</v>
      </c>
      <c r="H263" s="459">
        <f t="shared" si="120"/>
        <v>101.35606967933484</v>
      </c>
      <c r="I263" s="459">
        <f t="shared" si="120"/>
        <v>115.41735003252825</v>
      </c>
      <c r="J263" s="459">
        <f t="shared" si="120"/>
        <v>129.0853382050235</v>
      </c>
      <c r="K263" s="459">
        <f t="shared" si="120"/>
        <v>137.43535628340257</v>
      </c>
      <c r="L263" s="459">
        <f t="shared" si="120"/>
        <v>144.83120037404899</v>
      </c>
      <c r="M263" s="459">
        <f t="shared" si="120"/>
        <v>151.57755888504306</v>
      </c>
      <c r="N263" s="459">
        <f t="shared" si="120"/>
        <v>156.66693824314069</v>
      </c>
      <c r="O263" s="327"/>
    </row>
    <row r="264" spans="1:15">
      <c r="B264" s="338" t="str">
        <f t="shared" si="117"/>
        <v>25-29</v>
      </c>
      <c r="C264" s="459">
        <f t="shared" si="119"/>
        <v>226.86589774863327</v>
      </c>
      <c r="D264" s="459">
        <f t="shared" ref="D264:N264" si="121">D94-D230</f>
        <v>222.56689694739691</v>
      </c>
      <c r="E264" s="459">
        <f t="shared" si="121"/>
        <v>225.21258878472364</v>
      </c>
      <c r="F264" s="459">
        <f t="shared" si="121"/>
        <v>214.61531266353953</v>
      </c>
      <c r="G264" s="459">
        <f t="shared" si="121"/>
        <v>205.20957923779656</v>
      </c>
      <c r="H264" s="459">
        <f t="shared" si="121"/>
        <v>214.24368523051047</v>
      </c>
      <c r="I264" s="459">
        <f t="shared" si="121"/>
        <v>230.4475044553252</v>
      </c>
      <c r="J264" s="459">
        <f t="shared" si="121"/>
        <v>249.5304796405903</v>
      </c>
      <c r="K264" s="459">
        <f t="shared" si="121"/>
        <v>264.04658417811959</v>
      </c>
      <c r="L264" s="459">
        <f t="shared" si="121"/>
        <v>277.99194006268533</v>
      </c>
      <c r="M264" s="459">
        <f t="shared" si="121"/>
        <v>291.39011335639549</v>
      </c>
      <c r="N264" s="459">
        <f t="shared" si="121"/>
        <v>302.71184447568334</v>
      </c>
      <c r="O264" s="327"/>
    </row>
    <row r="265" spans="1:15">
      <c r="B265" s="338" t="str">
        <f t="shared" si="117"/>
        <v>30-34</v>
      </c>
      <c r="C265" s="459">
        <f t="shared" si="119"/>
        <v>389.69693629415809</v>
      </c>
      <c r="D265" s="459">
        <f t="shared" ref="D265:N265" si="122">D95-D231</f>
        <v>355.68428402432232</v>
      </c>
      <c r="E265" s="459">
        <f t="shared" si="122"/>
        <v>330.93947259897914</v>
      </c>
      <c r="F265" s="459">
        <f t="shared" si="122"/>
        <v>303.80395018168008</v>
      </c>
      <c r="G265" s="459">
        <f t="shared" si="122"/>
        <v>280.93125769326133</v>
      </c>
      <c r="H265" s="459">
        <f t="shared" si="122"/>
        <v>272.18925948014783</v>
      </c>
      <c r="I265" s="459">
        <f t="shared" si="122"/>
        <v>272.00066825552284</v>
      </c>
      <c r="J265" s="459">
        <f t="shared" si="122"/>
        <v>277.6955767487965</v>
      </c>
      <c r="K265" s="459">
        <f t="shared" si="122"/>
        <v>284.23312707097853</v>
      </c>
      <c r="L265" s="459">
        <f t="shared" si="122"/>
        <v>292.79609757607091</v>
      </c>
      <c r="M265" s="459">
        <f t="shared" si="122"/>
        <v>302.75892310857307</v>
      </c>
      <c r="N265" s="459">
        <f t="shared" si="122"/>
        <v>312.70110233074143</v>
      </c>
      <c r="O265" s="327"/>
    </row>
    <row r="266" spans="1:15">
      <c r="B266" s="338" t="str">
        <f t="shared" si="117"/>
        <v>35-39</v>
      </c>
      <c r="C266" s="459">
        <f t="shared" si="119"/>
        <v>400.65268290610453</v>
      </c>
      <c r="D266" s="459">
        <f t="shared" ref="D266:N266" si="123">D96-D232</f>
        <v>385.65664850639439</v>
      </c>
      <c r="E266" s="459">
        <f t="shared" si="123"/>
        <v>368.93554308406686</v>
      </c>
      <c r="F266" s="459">
        <f t="shared" si="123"/>
        <v>345.91053782349115</v>
      </c>
      <c r="G266" s="459">
        <f t="shared" si="123"/>
        <v>323.25317859141074</v>
      </c>
      <c r="H266" s="459">
        <f t="shared" si="123"/>
        <v>308.62990483163532</v>
      </c>
      <c r="I266" s="459">
        <f t="shared" si="123"/>
        <v>299.19952705412476</v>
      </c>
      <c r="J266" s="459">
        <f t="shared" si="123"/>
        <v>294.08255419023578</v>
      </c>
      <c r="K266" s="459">
        <f t="shared" si="123"/>
        <v>290.64954336830993</v>
      </c>
      <c r="L266" s="459">
        <f t="shared" si="123"/>
        <v>290.06086070559991</v>
      </c>
      <c r="M266" s="459">
        <f t="shared" si="123"/>
        <v>291.95377276052551</v>
      </c>
      <c r="N266" s="459">
        <f t="shared" si="123"/>
        <v>295.32076532057187</v>
      </c>
      <c r="O266" s="327"/>
    </row>
    <row r="267" spans="1:15">
      <c r="B267" s="338" t="str">
        <f t="shared" si="117"/>
        <v>40-44</v>
      </c>
      <c r="C267" s="459">
        <f t="shared" si="119"/>
        <v>377.95969458745424</v>
      </c>
      <c r="D267" s="459">
        <f t="shared" ref="D267:N267" si="124">D97-D233</f>
        <v>368.97212908242705</v>
      </c>
      <c r="E267" s="459">
        <f t="shared" si="124"/>
        <v>360.04225809714399</v>
      </c>
      <c r="F267" s="459">
        <f t="shared" si="124"/>
        <v>345.23125030733848</v>
      </c>
      <c r="G267" s="459">
        <f t="shared" si="124"/>
        <v>329.44352250742315</v>
      </c>
      <c r="H267" s="459">
        <f t="shared" si="124"/>
        <v>318.8072310524588</v>
      </c>
      <c r="I267" s="459">
        <f t="shared" si="124"/>
        <v>310.69778240084213</v>
      </c>
      <c r="J267" s="459">
        <f t="shared" si="124"/>
        <v>304.51340676182809</v>
      </c>
      <c r="K267" s="459">
        <f t="shared" si="124"/>
        <v>298.40723796564458</v>
      </c>
      <c r="L267" s="459">
        <f t="shared" si="124"/>
        <v>293.87578444685863</v>
      </c>
      <c r="M267" s="459">
        <f t="shared" si="124"/>
        <v>291.04546146516697</v>
      </c>
      <c r="N267" s="459">
        <f t="shared" si="124"/>
        <v>289.42241132984429</v>
      </c>
      <c r="O267" s="327"/>
    </row>
    <row r="268" spans="1:15">
      <c r="B268" s="338" t="str">
        <f t="shared" si="117"/>
        <v>45-49</v>
      </c>
      <c r="C268" s="459">
        <f t="shared" si="119"/>
        <v>290.54457705465774</v>
      </c>
      <c r="D268" s="459">
        <f t="shared" ref="D268:N268" si="125">D98-D234</f>
        <v>295.95468193316367</v>
      </c>
      <c r="E268" s="459">
        <f t="shared" si="125"/>
        <v>298.66442275564407</v>
      </c>
      <c r="F268" s="459">
        <f t="shared" si="125"/>
        <v>294.8672191426237</v>
      </c>
      <c r="G268" s="459">
        <f t="shared" si="125"/>
        <v>288.8675731980083</v>
      </c>
      <c r="H268" s="459">
        <f t="shared" si="125"/>
        <v>285.76263805397087</v>
      </c>
      <c r="I268" s="459">
        <f t="shared" si="125"/>
        <v>283.50102647688175</v>
      </c>
      <c r="J268" s="459">
        <f t="shared" si="125"/>
        <v>281.59665148579359</v>
      </c>
      <c r="K268" s="459">
        <f t="shared" si="125"/>
        <v>278.57879198121032</v>
      </c>
      <c r="L268" s="459">
        <f t="shared" si="125"/>
        <v>275.73185489588946</v>
      </c>
      <c r="M268" s="459">
        <f t="shared" si="125"/>
        <v>273.31074287703314</v>
      </c>
      <c r="N268" s="459">
        <f t="shared" si="125"/>
        <v>271.10545425946935</v>
      </c>
      <c r="O268" s="327"/>
    </row>
    <row r="269" spans="1:15">
      <c r="B269" s="338" t="str">
        <f t="shared" si="117"/>
        <v>50-54</v>
      </c>
      <c r="C269" s="459">
        <f t="shared" si="119"/>
        <v>210.51591178600756</v>
      </c>
      <c r="D269" s="459">
        <f t="shared" ref="D269:N269" si="126">D99-D235</f>
        <v>210.33791592545552</v>
      </c>
      <c r="E269" s="459">
        <f t="shared" si="126"/>
        <v>211.44895343060361</v>
      </c>
      <c r="F269" s="459">
        <f t="shared" si="126"/>
        <v>209.72674432672883</v>
      </c>
      <c r="G269" s="459">
        <f t="shared" si="126"/>
        <v>207.47958287908372</v>
      </c>
      <c r="H269" s="459">
        <f t="shared" si="126"/>
        <v>207.85425193417365</v>
      </c>
      <c r="I269" s="459">
        <f t="shared" si="126"/>
        <v>208.99458920211356</v>
      </c>
      <c r="J269" s="459">
        <f t="shared" si="126"/>
        <v>210.30372476443844</v>
      </c>
      <c r="K269" s="459">
        <f t="shared" si="126"/>
        <v>210.54826402490667</v>
      </c>
      <c r="L269" s="459">
        <f t="shared" si="126"/>
        <v>210.54265596211073</v>
      </c>
      <c r="M269" s="459">
        <f t="shared" si="126"/>
        <v>210.39750319465051</v>
      </c>
      <c r="N269" s="459">
        <f t="shared" si="126"/>
        <v>209.93316651681261</v>
      </c>
      <c r="O269" s="327"/>
    </row>
    <row r="270" spans="1:15">
      <c r="B270" s="338" t="str">
        <f t="shared" si="117"/>
        <v>55-59</v>
      </c>
      <c r="C270" s="459">
        <f t="shared" si="119"/>
        <v>119.9906682454089</v>
      </c>
      <c r="D270" s="459">
        <f t="shared" ref="D270:N270" si="127">D100-D236</f>
        <v>108.77066714412621</v>
      </c>
      <c r="E270" s="459">
        <f t="shared" si="127"/>
        <v>102.18911029689298</v>
      </c>
      <c r="F270" s="459">
        <f t="shared" si="127"/>
        <v>96.665177759015904</v>
      </c>
      <c r="G270" s="459">
        <f t="shared" si="127"/>
        <v>92.895610532080838</v>
      </c>
      <c r="H270" s="459">
        <f t="shared" si="127"/>
        <v>92.077954675878118</v>
      </c>
      <c r="I270" s="459">
        <f t="shared" si="127"/>
        <v>92.478292484739995</v>
      </c>
      <c r="J270" s="459">
        <f t="shared" si="127"/>
        <v>93.415565338346951</v>
      </c>
      <c r="K270" s="459">
        <f t="shared" si="127"/>
        <v>93.969662899289148</v>
      </c>
      <c r="L270" s="459">
        <f t="shared" si="127"/>
        <v>94.54647683674186</v>
      </c>
      <c r="M270" s="459">
        <f t="shared" si="127"/>
        <v>95.103974859671368</v>
      </c>
      <c r="N270" s="459">
        <f t="shared" si="127"/>
        <v>95.456075015001517</v>
      </c>
      <c r="O270" s="327"/>
    </row>
    <row r="271" spans="1:15">
      <c r="B271" s="338" t="str">
        <f t="shared" si="117"/>
        <v>60-64</v>
      </c>
      <c r="C271" s="459">
        <f t="shared" si="119"/>
        <v>30.308372058140645</v>
      </c>
      <c r="D271" s="459">
        <f t="shared" ref="D271:N271" si="128">D101-D237</f>
        <v>29.914688593664124</v>
      </c>
      <c r="E271" s="459">
        <f t="shared" si="128"/>
        <v>28.5145320855477</v>
      </c>
      <c r="F271" s="459">
        <f t="shared" si="128"/>
        <v>26.39208145927228</v>
      </c>
      <c r="G271" s="459">
        <f t="shared" si="128"/>
        <v>24.70005435181012</v>
      </c>
      <c r="H271" s="459">
        <f t="shared" si="128"/>
        <v>24.22741956344121</v>
      </c>
      <c r="I271" s="459">
        <f t="shared" si="128"/>
        <v>24.262413914334733</v>
      </c>
      <c r="J271" s="459">
        <f t="shared" si="128"/>
        <v>24.542781967978765</v>
      </c>
      <c r="K271" s="459">
        <f t="shared" si="128"/>
        <v>24.69476756297836</v>
      </c>
      <c r="L271" s="459">
        <f t="shared" si="128"/>
        <v>24.914450342644184</v>
      </c>
      <c r="M271" s="459">
        <f t="shared" si="128"/>
        <v>25.169667478994192</v>
      </c>
      <c r="N271" s="459">
        <f t="shared" si="128"/>
        <v>25.367286487448233</v>
      </c>
      <c r="O271" s="327"/>
    </row>
    <row r="272" spans="1:15">
      <c r="B272" s="338" t="str">
        <f t="shared" si="117"/>
        <v>65 plus</v>
      </c>
      <c r="C272" s="459">
        <f t="shared" si="119"/>
        <v>6.5547833802844089</v>
      </c>
      <c r="D272" s="459">
        <f t="shared" ref="D272:N272" si="129">D102-D238</f>
        <v>6.9997317467313591</v>
      </c>
      <c r="E272" s="459">
        <f t="shared" si="129"/>
        <v>7.2035033625972265</v>
      </c>
      <c r="F272" s="459">
        <f t="shared" si="129"/>
        <v>6.9310155631880557</v>
      </c>
      <c r="G272" s="459">
        <f t="shared" si="129"/>
        <v>6.5570760754016355</v>
      </c>
      <c r="H272" s="459">
        <f t="shared" si="129"/>
        <v>6.440918039756963</v>
      </c>
      <c r="I272" s="459">
        <f t="shared" si="129"/>
        <v>6.4479368946358608</v>
      </c>
      <c r="J272" s="459">
        <f t="shared" si="129"/>
        <v>6.5255343792151121</v>
      </c>
      <c r="K272" s="459">
        <f t="shared" si="129"/>
        <v>6.5647832339044836</v>
      </c>
      <c r="L272" s="459">
        <f t="shared" si="129"/>
        <v>6.6273521053215019</v>
      </c>
      <c r="M272" s="459">
        <f t="shared" si="129"/>
        <v>6.7088507837983959</v>
      </c>
      <c r="N272" s="459">
        <f t="shared" si="129"/>
        <v>6.7801112719053727</v>
      </c>
      <c r="O272" s="327"/>
    </row>
    <row r="273" spans="1:15">
      <c r="B273" s="338" t="str">
        <f t="shared" si="117"/>
        <v>Total</v>
      </c>
      <c r="C273" s="459">
        <f>SUM(C263:C272)</f>
        <v>2101.1262606327973</v>
      </c>
      <c r="D273" s="459">
        <f t="shared" ref="D273:N273" si="130">SUM(D263:D272)</f>
        <v>2056.6040881057461</v>
      </c>
      <c r="E273" s="459">
        <f t="shared" si="130"/>
        <v>2022.9296038523719</v>
      </c>
      <c r="F273" s="459">
        <f t="shared" si="130"/>
        <v>1934.7083474717761</v>
      </c>
      <c r="G273" s="459">
        <f t="shared" si="130"/>
        <v>1849.0492634400464</v>
      </c>
      <c r="H273" s="459">
        <f t="shared" si="130"/>
        <v>1831.5893325413078</v>
      </c>
      <c r="I273" s="459">
        <f t="shared" si="130"/>
        <v>1843.4470911710487</v>
      </c>
      <c r="J273" s="459">
        <f t="shared" si="130"/>
        <v>1871.2916134822472</v>
      </c>
      <c r="K273" s="459">
        <f t="shared" si="130"/>
        <v>1889.1281185687444</v>
      </c>
      <c r="L273" s="459">
        <f t="shared" si="130"/>
        <v>1911.9186733079716</v>
      </c>
      <c r="M273" s="459">
        <f t="shared" si="130"/>
        <v>1939.4165687698514</v>
      </c>
      <c r="N273" s="459">
        <f t="shared" si="130"/>
        <v>1965.4651552506186</v>
      </c>
      <c r="O273" s="327"/>
    </row>
    <row r="274" spans="1:15">
      <c r="A274" s="309">
        <f>SUM(C274:N274)</f>
        <v>0</v>
      </c>
      <c r="C274" s="309">
        <f t="shared" ref="C274:N274" si="131">SUM(C263:C272)-C273</f>
        <v>0</v>
      </c>
      <c r="D274" s="309">
        <f t="shared" si="131"/>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5" ht="15.75">
      <c r="B275" s="340"/>
      <c r="H275" s="327"/>
    </row>
    <row r="276" spans="1:15" ht="15.75">
      <c r="B276" s="340" t="s">
        <v>1621</v>
      </c>
      <c r="H276" s="327"/>
    </row>
    <row r="277" spans="1:15" ht="15.75">
      <c r="B277" s="340"/>
      <c r="H277" s="327"/>
    </row>
    <row r="278" spans="1:15"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5">
      <c r="B279" s="326" t="s">
        <v>545</v>
      </c>
      <c r="C279" s="459">
        <f>C223+C239</f>
        <v>440.22891791401366</v>
      </c>
      <c r="D279" s="459">
        <f t="shared" ref="D279:K279" si="133">D223+D239</f>
        <v>430.72635059878121</v>
      </c>
      <c r="E279" s="459">
        <f t="shared" si="133"/>
        <v>423.12166087913124</v>
      </c>
      <c r="F279" s="459">
        <f t="shared" si="133"/>
        <v>404.55959639083574</v>
      </c>
      <c r="G279" s="459">
        <f t="shared" si="133"/>
        <v>387.30737170768276</v>
      </c>
      <c r="H279" s="459">
        <f t="shared" si="133"/>
        <v>384.74485671096852</v>
      </c>
      <c r="I279" s="459">
        <f t="shared" si="133"/>
        <v>388.28198447762105</v>
      </c>
      <c r="J279" s="459">
        <f t="shared" si="133"/>
        <v>394.93749632225536</v>
      </c>
      <c r="K279" s="459">
        <f t="shared" si="133"/>
        <v>399.24754623374662</v>
      </c>
      <c r="L279" s="459">
        <f>L223+L239</f>
        <v>404.37008526252959</v>
      </c>
      <c r="M279" s="459">
        <f>M223+M239</f>
        <v>410.23178703066162</v>
      </c>
      <c r="N279" s="459">
        <f>N223+N239</f>
        <v>415.56049785685281</v>
      </c>
    </row>
    <row r="280" spans="1:15">
      <c r="B280" s="326" t="s">
        <v>546</v>
      </c>
      <c r="C280" s="459">
        <f>C155+C171</f>
        <v>125.0121065841376</v>
      </c>
      <c r="D280" s="459">
        <f t="shared" ref="D280:N280" si="134">D155+D171</f>
        <v>119.14535731981894</v>
      </c>
      <c r="E280" s="459">
        <f t="shared" si="134"/>
        <v>113.88249484475651</v>
      </c>
      <c r="F280" s="459">
        <f t="shared" si="134"/>
        <v>107.32008700015504</v>
      </c>
      <c r="G280" s="459">
        <f t="shared" si="134"/>
        <v>101.9479842579226</v>
      </c>
      <c r="H280" s="459">
        <f t="shared" si="134"/>
        <v>100.08766484688229</v>
      </c>
      <c r="I280" s="459">
        <f t="shared" si="134"/>
        <v>99.770281071669558</v>
      </c>
      <c r="J280" s="459">
        <f t="shared" si="134"/>
        <v>100.24458264475101</v>
      </c>
      <c r="K280" s="459">
        <f t="shared" si="134"/>
        <v>100.3715325778598</v>
      </c>
      <c r="L280" s="459">
        <f t="shared" si="134"/>
        <v>100.71370463295074</v>
      </c>
      <c r="M280" s="459">
        <f t="shared" si="134"/>
        <v>101.20222799034127</v>
      </c>
      <c r="N280" s="459">
        <f t="shared" si="134"/>
        <v>101.56713816283515</v>
      </c>
    </row>
    <row r="281" spans="1:15">
      <c r="B281" s="326" t="s">
        <v>547</v>
      </c>
      <c r="C281" s="459">
        <f>C189+C205</f>
        <v>2.5623503252132709</v>
      </c>
      <c r="D281" s="459">
        <f t="shared" ref="D281:N281" si="135">D189+D205</f>
        <v>2.5170680707101387</v>
      </c>
      <c r="E281" s="459">
        <f t="shared" si="135"/>
        <v>2.4667754142032963</v>
      </c>
      <c r="F281" s="459">
        <f t="shared" si="135"/>
        <v>2.3682249664353647</v>
      </c>
      <c r="G281" s="459">
        <f t="shared" si="135"/>
        <v>2.271415086713064</v>
      </c>
      <c r="H281" s="459">
        <f t="shared" si="135"/>
        <v>2.2296399451153395</v>
      </c>
      <c r="I281" s="459">
        <f t="shared" si="135"/>
        <v>2.2137912429433664</v>
      </c>
      <c r="J281" s="459">
        <f t="shared" si="135"/>
        <v>2.2135022785545653</v>
      </c>
      <c r="K281" s="459">
        <f t="shared" si="135"/>
        <v>2.2085003867153992</v>
      </c>
      <c r="L281" s="459">
        <f t="shared" si="135"/>
        <v>2.2099075407397448</v>
      </c>
      <c r="M281" s="459">
        <f t="shared" si="135"/>
        <v>2.2171861735736456</v>
      </c>
      <c r="N281" s="459">
        <f t="shared" si="135"/>
        <v>2.2253413971850557</v>
      </c>
    </row>
    <row r="282" spans="1:15">
      <c r="B282" s="326" t="s">
        <v>548</v>
      </c>
      <c r="C282" s="459">
        <f>C121+C137</f>
        <v>312.65446100466278</v>
      </c>
      <c r="D282" s="459">
        <f t="shared" ref="D282:N282" si="136">D121+D137</f>
        <v>309.06392520825216</v>
      </c>
      <c r="E282" s="459">
        <f t="shared" si="136"/>
        <v>306.77239062017151</v>
      </c>
      <c r="F282" s="459">
        <f t="shared" si="136"/>
        <v>294.87128442424535</v>
      </c>
      <c r="G282" s="459">
        <f t="shared" si="136"/>
        <v>283.08797236304707</v>
      </c>
      <c r="H282" s="459">
        <f t="shared" si="136"/>
        <v>282.42755191897089</v>
      </c>
      <c r="I282" s="459">
        <f t="shared" si="136"/>
        <v>286.29791216300811</v>
      </c>
      <c r="J282" s="459">
        <f t="shared" si="136"/>
        <v>292.47941139894965</v>
      </c>
      <c r="K282" s="459">
        <f t="shared" si="136"/>
        <v>296.66751326917137</v>
      </c>
      <c r="L282" s="459">
        <f t="shared" si="136"/>
        <v>301.44647308883907</v>
      </c>
      <c r="M282" s="459">
        <f t="shared" si="136"/>
        <v>306.81237286674673</v>
      </c>
      <c r="N282" s="459">
        <f t="shared" si="136"/>
        <v>311.76801829683257</v>
      </c>
    </row>
    <row r="283" spans="1:15"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5" ht="15.75">
      <c r="B284" s="340"/>
      <c r="H284" s="327"/>
    </row>
    <row r="285" spans="1:15" ht="15.75">
      <c r="B285" s="340" t="s">
        <v>1622</v>
      </c>
      <c r="F285" s="364"/>
      <c r="G285" s="364" t="s">
        <v>265</v>
      </c>
      <c r="H285" s="327"/>
    </row>
    <row r="286" spans="1:15" ht="15.75">
      <c r="B286" s="340"/>
      <c r="H286" s="327"/>
    </row>
    <row r="287" spans="1:15" ht="15.75">
      <c r="B287" s="340" t="s">
        <v>199</v>
      </c>
      <c r="H287" s="327"/>
    </row>
    <row r="288" spans="1:15" ht="15.75">
      <c r="B288" s="340"/>
      <c r="H288" s="327"/>
    </row>
    <row r="289" spans="2:15"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5"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5" ht="15.75">
      <c r="B291" s="340"/>
      <c r="C291" s="327"/>
      <c r="D291" s="327"/>
      <c r="E291" s="327"/>
      <c r="F291" s="327"/>
      <c r="G291" s="327"/>
      <c r="H291" s="327"/>
      <c r="I291" s="327"/>
      <c r="J291" s="327"/>
      <c r="K291" s="327"/>
      <c r="L291" s="327"/>
      <c r="M291" s="327"/>
      <c r="N291" s="327"/>
    </row>
    <row r="292" spans="2:15" ht="15.75">
      <c r="B292" s="340" t="s">
        <v>263</v>
      </c>
      <c r="H292" s="327"/>
    </row>
    <row r="293" spans="2:15"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5">
      <c r="B294" s="363" t="s">
        <v>266</v>
      </c>
      <c r="C294" s="459">
        <f>C36-C15+C279-C290</f>
        <v>362.24872735684426</v>
      </c>
      <c r="D294" s="459">
        <f t="shared" ref="D294:N294" si="141">D36-D15+D279-D290</f>
        <v>373.05911124335444</v>
      </c>
      <c r="E294" s="459">
        <f t="shared" si="141"/>
        <v>256.30935172493969</v>
      </c>
      <c r="F294" s="459">
        <f t="shared" si="141"/>
        <v>242.64341944863361</v>
      </c>
      <c r="G294" s="459">
        <f t="shared" si="141"/>
        <v>361.07790710831665</v>
      </c>
      <c r="H294" s="459">
        <f t="shared" si="141"/>
        <v>416.6983553825952</v>
      </c>
      <c r="I294" s="459">
        <f t="shared" si="141"/>
        <v>451.85055300150242</v>
      </c>
      <c r="J294" s="459">
        <f t="shared" si="141"/>
        <v>438.31222345428705</v>
      </c>
      <c r="K294" s="459">
        <f t="shared" si="141"/>
        <v>452.22124837084499</v>
      </c>
      <c r="L294" s="459">
        <f t="shared" si="141"/>
        <v>466.43200415197572</v>
      </c>
      <c r="M294" s="459">
        <f t="shared" si="141"/>
        <v>469.10526220038776</v>
      </c>
      <c r="N294" s="459">
        <f t="shared" si="141"/>
        <v>440.86073111453987</v>
      </c>
    </row>
    <row r="295" spans="2:15" ht="12.75" customHeight="1">
      <c r="B295" s="1243" t="s">
        <v>264</v>
      </c>
      <c r="C295" s="1243"/>
      <c r="D295" s="1243"/>
      <c r="E295" s="1243"/>
      <c r="F295" s="1243"/>
      <c r="G295" s="1243"/>
      <c r="H295" s="1243"/>
      <c r="I295" s="1243"/>
      <c r="J295" s="1243"/>
      <c r="K295" s="1243"/>
      <c r="L295" s="1243"/>
      <c r="M295" s="1243"/>
      <c r="N295" s="1243"/>
    </row>
    <row r="296" spans="2:15">
      <c r="B296" s="326" t="s">
        <v>427</v>
      </c>
      <c r="C296" s="282">
        <f>IF(C294&lt;0,0,C294)</f>
        <v>362.24872735684426</v>
      </c>
      <c r="D296" s="282">
        <f t="shared" ref="D296:N296" si="142">IF(D294&lt;0,0,D294)</f>
        <v>373.05911124335444</v>
      </c>
      <c r="E296" s="282">
        <f t="shared" si="142"/>
        <v>256.30935172493969</v>
      </c>
      <c r="F296" s="282">
        <f t="shared" si="142"/>
        <v>242.64341944863361</v>
      </c>
      <c r="G296" s="282">
        <f t="shared" si="142"/>
        <v>361.07790710831665</v>
      </c>
      <c r="H296" s="282">
        <f t="shared" si="142"/>
        <v>416.6983553825952</v>
      </c>
      <c r="I296" s="282">
        <f t="shared" si="142"/>
        <v>451.85055300150242</v>
      </c>
      <c r="J296" s="282">
        <f t="shared" si="142"/>
        <v>438.31222345428705</v>
      </c>
      <c r="K296" s="282">
        <f t="shared" si="142"/>
        <v>452.22124837084499</v>
      </c>
      <c r="L296" s="282">
        <f t="shared" si="142"/>
        <v>466.43200415197572</v>
      </c>
      <c r="M296" s="282">
        <f t="shared" si="142"/>
        <v>469.10526220038776</v>
      </c>
      <c r="N296" s="282">
        <f t="shared" si="142"/>
        <v>440.86073111453987</v>
      </c>
    </row>
    <row r="297" spans="2:15" ht="15.75">
      <c r="B297" s="340"/>
      <c r="H297" s="327"/>
    </row>
    <row r="298" spans="2:15" ht="15.75">
      <c r="B298" s="340" t="s">
        <v>162</v>
      </c>
      <c r="H298" s="327"/>
    </row>
    <row r="299" spans="2:15" ht="15.75">
      <c r="B299" s="340"/>
      <c r="H299" s="327"/>
    </row>
    <row r="300" spans="2:15">
      <c r="B300" s="341" t="s">
        <v>49</v>
      </c>
      <c r="H300" s="325"/>
    </row>
    <row r="301" spans="2:15">
      <c r="H301" s="325"/>
    </row>
    <row r="302" spans="2:15">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5">
      <c r="B303" s="338" t="str">
        <f t="shared" si="143"/>
        <v>20-24</v>
      </c>
      <c r="C303" s="459">
        <f>C$296*Entrant_age_breakdowns!$K76*$G$31</f>
        <v>40.941159429372505</v>
      </c>
      <c r="D303" s="459">
        <f>D$296*Entrant_age_breakdowns!$K76*$G$31</f>
        <v>42.162943294342014</v>
      </c>
      <c r="E303" s="459">
        <f>E$296*Entrant_age_breakdowns!$K76*$G$31</f>
        <v>28.967947268653401</v>
      </c>
      <c r="F303" s="459">
        <f>F$296*Entrant_age_breakdowns!$K76*$G$31</f>
        <v>27.423430836097101</v>
      </c>
      <c r="G303" s="459">
        <f>G$296*Entrant_age_breakdowns!$K76*$G$31</f>
        <v>40.808833944593403</v>
      </c>
      <c r="H303" s="459">
        <f>H$296*Entrant_age_breakdowns!$K76*$G$31</f>
        <v>47.095027568918312</v>
      </c>
      <c r="I303" s="459">
        <f>I$296*Entrant_age_breakdowns!$K76*$G$31</f>
        <v>51.067910337919145</v>
      </c>
      <c r="J303" s="459">
        <f>J$296*Entrant_age_breakdowns!$K76*$G$31</f>
        <v>49.537815498265161</v>
      </c>
      <c r="K303" s="459">
        <f>K$296*Entrant_age_breakdowns!$K76*$G$31</f>
        <v>51.109806132354976</v>
      </c>
      <c r="L303" s="459">
        <f>L$296*Entrant_age_breakdowns!$K76*$G$31</f>
        <v>52.715898229054119</v>
      </c>
      <c r="M303" s="459">
        <f>M$296*Entrant_age_breakdowns!$K76*$G$31</f>
        <v>53.018028438743102</v>
      </c>
      <c r="N303" s="459">
        <f>N$296*Entrant_age_breakdowns!$K76*$G$31</f>
        <v>49.82584648511417</v>
      </c>
      <c r="O303" s="327"/>
    </row>
    <row r="304" spans="2:15">
      <c r="B304" s="338" t="str">
        <f t="shared" si="143"/>
        <v>25-29</v>
      </c>
      <c r="C304" s="459">
        <f>C$296*Entrant_age_breakdowns!$K77*$G$31</f>
        <v>42.33226992770345</v>
      </c>
      <c r="D304" s="459">
        <f>D$296*Entrant_age_breakdowns!$K77*$G$31</f>
        <v>43.595567916477464</v>
      </c>
      <c r="E304" s="459">
        <f>E$296*Entrant_age_breakdowns!$K77*$G$31</f>
        <v>29.952228518187589</v>
      </c>
      <c r="F304" s="459">
        <f>F$296*Entrant_age_breakdowns!$K77*$G$31</f>
        <v>28.355232061759946</v>
      </c>
      <c r="G304" s="459">
        <f>G$296*Entrant_age_breakdowns!$K77*$G$31</f>
        <v>42.195448249518044</v>
      </c>
      <c r="H304" s="459">
        <f>H$296*Entrant_age_breakdowns!$K77*$G$31</f>
        <v>48.695235970034219</v>
      </c>
      <c r="I304" s="459">
        <f>I$296*Entrant_age_breakdowns!$K77*$G$31</f>
        <v>52.803110493192122</v>
      </c>
      <c r="J304" s="459">
        <f>J$296*Entrant_age_breakdowns!$K77*$G$31</f>
        <v>51.221025650701108</v>
      </c>
      <c r="K304" s="459">
        <f>K$296*Entrant_age_breakdowns!$K77*$G$31</f>
        <v>52.846429834989287</v>
      </c>
      <c r="L304" s="459">
        <f>L$296*Entrant_age_breakdowns!$K77*$G$31</f>
        <v>54.507094191198057</v>
      </c>
      <c r="M304" s="459">
        <f>M$296*Entrant_age_breakdowns!$K77*$G$31</f>
        <v>54.819490268107685</v>
      </c>
      <c r="N304" s="459">
        <f>N$296*Entrant_age_breakdowns!$K77*$G$31</f>
        <v>51.518843437319219</v>
      </c>
      <c r="O304" s="327"/>
    </row>
    <row r="305" spans="1:15">
      <c r="B305" s="338" t="str">
        <f t="shared" si="143"/>
        <v>30-34</v>
      </c>
      <c r="C305" s="459">
        <f>C$296*Entrant_age_breakdowns!$K78*$G$31</f>
        <v>21.014372992745386</v>
      </c>
      <c r="D305" s="459">
        <f>D$296*Entrant_age_breakdowns!$K78*$G$31</f>
        <v>21.641493040463608</v>
      </c>
      <c r="E305" s="459">
        <f>E$296*Entrant_age_breakdowns!$K78*$G$31</f>
        <v>14.868734965549868</v>
      </c>
      <c r="F305" s="459">
        <f>F$296*Entrant_age_breakdowns!$K78*$G$31</f>
        <v>14.075961999186902</v>
      </c>
      <c r="G305" s="459">
        <f>G$296*Entrant_age_breakdowns!$K78*$G$31</f>
        <v>20.946452661901045</v>
      </c>
      <c r="H305" s="459">
        <f>H$296*Entrant_age_breakdowns!$K78*$G$31</f>
        <v>24.17304466289378</v>
      </c>
      <c r="I305" s="459">
        <f>I$296*Entrant_age_breakdowns!$K78*$G$31</f>
        <v>26.212255118285473</v>
      </c>
      <c r="J305" s="459">
        <f>J$296*Entrant_age_breakdowns!$K78*$G$31</f>
        <v>25.426884500478899</v>
      </c>
      <c r="K305" s="459">
        <f>K$296*Entrant_age_breakdowns!$K78*$G$31</f>
        <v>26.233759488542031</v>
      </c>
      <c r="L305" s="459">
        <f>L$296*Entrant_age_breakdowns!$K78*$G$31</f>
        <v>27.05813815419658</v>
      </c>
      <c r="M305" s="459">
        <f>M$296*Entrant_age_breakdowns!$K78*$G$31</f>
        <v>27.213216246934365</v>
      </c>
      <c r="N305" s="459">
        <f>N$296*Entrant_age_breakdowns!$K78*$G$31</f>
        <v>25.574725711511412</v>
      </c>
      <c r="O305" s="327"/>
    </row>
    <row r="306" spans="1:15">
      <c r="B306" s="338" t="str">
        <f t="shared" si="143"/>
        <v>35-39</v>
      </c>
      <c r="C306" s="459">
        <f>C$296*Entrant_age_breakdowns!$K79*$G$31</f>
        <v>15.015701031670524</v>
      </c>
      <c r="D306" s="459">
        <f>D$296*Entrant_age_breakdowns!$K79*$G$31</f>
        <v>15.463806104839</v>
      </c>
      <c r="E306" s="459">
        <f>E$296*Entrant_age_breakdowns!$K79*$G$31</f>
        <v>10.624370236452853</v>
      </c>
      <c r="F306" s="459">
        <f>F$296*Entrant_age_breakdowns!$K79*$G$31</f>
        <v>10.057898809824685</v>
      </c>
      <c r="G306" s="459">
        <f>G$296*Entrant_age_breakdowns!$K79*$G$31</f>
        <v>14.967168944499386</v>
      </c>
      <c r="H306" s="459">
        <f>H$296*Entrant_age_breakdowns!$K79*$G$31</f>
        <v>17.272711958074535</v>
      </c>
      <c r="I306" s="459">
        <f>I$296*Entrant_age_breakdowns!$K79*$G$31</f>
        <v>18.729818222886202</v>
      </c>
      <c r="J306" s="459">
        <f>J$296*Entrant_age_breakdowns!$K79*$G$31</f>
        <v>18.168636102434021</v>
      </c>
      <c r="K306" s="459">
        <f>K$296*Entrant_age_breakdowns!$K79*$G$31</f>
        <v>18.745184048683541</v>
      </c>
      <c r="L306" s="459">
        <f>L$296*Entrant_age_breakdowns!$K79*$G$31</f>
        <v>19.334239148477835</v>
      </c>
      <c r="M306" s="459">
        <f>M$296*Entrant_age_breakdowns!$K79*$G$31</f>
        <v>19.445049320064498</v>
      </c>
      <c r="N306" s="459">
        <f>N$296*Entrant_age_breakdowns!$K79*$G$31</f>
        <v>18.274275201244659</v>
      </c>
      <c r="O306" s="327"/>
    </row>
    <row r="307" spans="1:15">
      <c r="B307" s="338" t="str">
        <f t="shared" si="143"/>
        <v>40-44</v>
      </c>
      <c r="C307" s="459">
        <f>C$296*Entrant_age_breakdowns!$K80*$G$31</f>
        <v>13.046049274663229</v>
      </c>
      <c r="D307" s="459">
        <f>D$296*Entrant_age_breakdowns!$K80*$G$31</f>
        <v>13.43537514446127</v>
      </c>
      <c r="E307" s="459">
        <f>E$296*Entrant_age_breakdowns!$K80*$G$31</f>
        <v>9.2307416966205498</v>
      </c>
      <c r="F307" s="459">
        <f>F$296*Entrant_age_breakdowns!$K80*$G$31</f>
        <v>8.7385759210172242</v>
      </c>
      <c r="G307" s="459">
        <f>G$296*Entrant_age_breakdowns!$K80*$G$31</f>
        <v>13.003883277930775</v>
      </c>
      <c r="H307" s="459">
        <f>H$296*Entrant_age_breakdowns!$K80*$G$31</f>
        <v>15.007001726847488</v>
      </c>
      <c r="I307" s="459">
        <f>I$296*Entrant_age_breakdowns!$K80*$G$31</f>
        <v>16.272975262752301</v>
      </c>
      <c r="J307" s="459">
        <f>J$296*Entrant_age_breakdowns!$K80*$G$31</f>
        <v>15.785404980150275</v>
      </c>
      <c r="K307" s="459">
        <f>K$296*Entrant_age_breakdowns!$K80*$G$31</f>
        <v>16.286325509941904</v>
      </c>
      <c r="L307" s="459">
        <f>L$296*Entrant_age_breakdowns!$K80*$G$31</f>
        <v>16.79811259475396</v>
      </c>
      <c r="M307" s="459">
        <f>M$296*Entrant_age_breakdowns!$K80*$G$31</f>
        <v>16.894387484324842</v>
      </c>
      <c r="N307" s="459">
        <f>N$296*Entrant_age_breakdowns!$K80*$G$31</f>
        <v>15.877187101112051</v>
      </c>
      <c r="O307" s="327"/>
    </row>
    <row r="308" spans="1:15">
      <c r="B308" s="338" t="str">
        <f t="shared" si="143"/>
        <v>45-49</v>
      </c>
      <c r="C308" s="459">
        <f>C$296*Entrant_age_breakdowns!$K81*$G$31</f>
        <v>10.381351803316328</v>
      </c>
      <c r="D308" s="459">
        <f>D$296*Entrant_age_breakdowns!$K81*$G$31</f>
        <v>10.691156613601311</v>
      </c>
      <c r="E308" s="459">
        <f>E$296*Entrant_age_breakdowns!$K81*$G$31</f>
        <v>7.345333053759501</v>
      </c>
      <c r="F308" s="459">
        <f>F$296*Entrant_age_breakdowns!$K81*$G$31</f>
        <v>6.9536937187760683</v>
      </c>
      <c r="G308" s="459">
        <f>G$296*Entrant_age_breakdowns!$K81*$G$31</f>
        <v>10.347798346863636</v>
      </c>
      <c r="H308" s="459">
        <f>H$296*Entrant_age_breakdowns!$K81*$G$31</f>
        <v>11.941773418098718</v>
      </c>
      <c r="I308" s="459">
        <f>I$296*Entrant_age_breakdowns!$K81*$G$31</f>
        <v>12.949167792688449</v>
      </c>
      <c r="J308" s="459">
        <f>J$296*Entrant_age_breakdowns!$K81*$G$31</f>
        <v>12.561185306498993</v>
      </c>
      <c r="K308" s="459">
        <f>K$296*Entrant_age_breakdowns!$K81*$G$31</f>
        <v>12.959791209005424</v>
      </c>
      <c r="L308" s="459">
        <f>L$296*Entrant_age_breakdowns!$K81*$G$31</f>
        <v>13.367044137763413</v>
      </c>
      <c r="M308" s="459">
        <f>M$296*Entrant_age_breakdowns!$K81*$G$31</f>
        <v>13.443654571881721</v>
      </c>
      <c r="N308" s="459">
        <f>N$296*Entrant_age_breakdowns!$K81*$G$31</f>
        <v>12.634220634428438</v>
      </c>
      <c r="O308" s="327"/>
    </row>
    <row r="309" spans="1:15">
      <c r="B309" s="338" t="str">
        <f t="shared" si="143"/>
        <v>50-54</v>
      </c>
      <c r="C309" s="459">
        <f>C$296*Entrant_age_breakdowns!$K82*$G$31</f>
        <v>7.5942969100850481</v>
      </c>
      <c r="D309" s="459">
        <f>D$296*Entrant_age_breakdowns!$K82*$G$31</f>
        <v>7.8209292175197263</v>
      </c>
      <c r="E309" s="459">
        <f>E$296*Entrant_age_breakdowns!$K82*$G$31</f>
        <v>5.3733503276414885</v>
      </c>
      <c r="F309" s="459">
        <f>F$296*Entrant_age_breakdowns!$K82*$G$31</f>
        <v>5.0868534004703738</v>
      </c>
      <c r="G309" s="459">
        <f>G$296*Entrant_age_breakdowns!$K82*$G$31</f>
        <v>7.5697514640305226</v>
      </c>
      <c r="H309" s="459">
        <f>H$296*Entrant_age_breakdowns!$K82*$G$31</f>
        <v>8.7357961360130467</v>
      </c>
      <c r="I309" s="459">
        <f>I$296*Entrant_age_breakdowns!$K82*$G$31</f>
        <v>9.4727379265551921</v>
      </c>
      <c r="J309" s="459">
        <f>J$296*Entrant_age_breakdowns!$K82*$G$31</f>
        <v>9.1889161033611781</v>
      </c>
      <c r="K309" s="459">
        <f>K$296*Entrant_age_breakdowns!$K82*$G$31</f>
        <v>9.4805093015397848</v>
      </c>
      <c r="L309" s="459">
        <f>L$296*Entrant_age_breakdowns!$K82*$G$31</f>
        <v>9.7784280810095154</v>
      </c>
      <c r="M309" s="459">
        <f>M$296*Entrant_age_breakdowns!$K82*$G$31</f>
        <v>9.8344711083654577</v>
      </c>
      <c r="N309" s="459">
        <f>N$296*Entrant_age_breakdowns!$K82*$G$31</f>
        <v>9.2423438241175866</v>
      </c>
      <c r="O309" s="327"/>
    </row>
    <row r="310" spans="1:15">
      <c r="B310" s="338" t="str">
        <f t="shared" si="143"/>
        <v>55-59</v>
      </c>
      <c r="C310" s="459">
        <f>C$296*Entrant_age_breakdowns!$K83*$G$31</f>
        <v>5.1703686232387662</v>
      </c>
      <c r="D310" s="459">
        <f>D$296*Entrant_age_breakdowns!$K83*$G$31</f>
        <v>5.3246650097569672</v>
      </c>
      <c r="E310" s="459">
        <f>E$296*Entrant_age_breakdowns!$K83*$G$31</f>
        <v>3.6582980971962242</v>
      </c>
      <c r="F310" s="459">
        <f>F$296*Entrant_age_breakdowns!$K83*$G$31</f>
        <v>3.4632445273347758</v>
      </c>
      <c r="G310" s="459">
        <f>G$296*Entrant_age_breakdowns!$K83*$G$31</f>
        <v>5.1536575299504337</v>
      </c>
      <c r="H310" s="459">
        <f>H$296*Entrant_age_breakdowns!$K83*$G$31</f>
        <v>5.9475270423877182</v>
      </c>
      <c r="I310" s="459">
        <f>I$296*Entrant_age_breakdowns!$K83*$G$31</f>
        <v>6.4492536348669462</v>
      </c>
      <c r="J310" s="459">
        <f>J$296*Entrant_age_breakdowns!$K83*$G$31</f>
        <v>6.2560213361291934</v>
      </c>
      <c r="K310" s="459">
        <f>K$296*Entrant_age_breakdowns!$K83*$G$31</f>
        <v>6.4545445622372464</v>
      </c>
      <c r="L310" s="459">
        <f>L$296*Entrant_age_breakdowns!$K83*$G$31</f>
        <v>6.6573743867596891</v>
      </c>
      <c r="M310" s="459">
        <f>M$296*Entrant_age_breakdowns!$K83*$G$31</f>
        <v>6.6955297438155466</v>
      </c>
      <c r="N310" s="459">
        <f>N$296*Entrant_age_breakdowns!$K83*$G$31</f>
        <v>6.2923961334647123</v>
      </c>
      <c r="O310" s="327"/>
    </row>
    <row r="311" spans="1:15">
      <c r="B311" s="338" t="str">
        <f t="shared" si="143"/>
        <v>60-64</v>
      </c>
      <c r="C311" s="459">
        <f>C$296*Entrant_age_breakdowns!$K84*$G$31</f>
        <v>2.5310843603889657</v>
      </c>
      <c r="D311" s="459">
        <f>D$296*Entrant_age_breakdowns!$K84*$G$31</f>
        <v>2.6066180794018501</v>
      </c>
      <c r="E311" s="459">
        <f>E$296*Entrant_age_breakdowns!$K84*$G$31</f>
        <v>1.7908705885759195</v>
      </c>
      <c r="F311" s="459">
        <f>F$296*Entrant_age_breakdowns!$K84*$G$31</f>
        <v>1.695384739095986</v>
      </c>
      <c r="G311" s="459">
        <f>G$296*Entrant_age_breakdowns!$K84*$G$31</f>
        <v>2.5229036696202285</v>
      </c>
      <c r="H311" s="459">
        <f>H$296*Entrant_age_breakdowns!$K84*$G$31</f>
        <v>2.9115318030357811</v>
      </c>
      <c r="I311" s="459">
        <f>I$296*Entrant_age_breakdowns!$K84*$G$31</f>
        <v>3.1571453025660987</v>
      </c>
      <c r="J311" s="459">
        <f>J$296*Entrant_age_breakdowns!$K84*$G$31</f>
        <v>3.0625510318483626</v>
      </c>
      <c r="K311" s="459">
        <f>K$296*Entrant_age_breakdowns!$K84*$G$31</f>
        <v>3.1597354048382518</v>
      </c>
      <c r="L311" s="459">
        <f>L$296*Entrant_age_breakdowns!$K84*$G$31</f>
        <v>3.2590280151101303</v>
      </c>
      <c r="M311" s="459">
        <f>M$296*Entrant_age_breakdowns!$K84*$G$31</f>
        <v>3.2777064565417664</v>
      </c>
      <c r="N311" s="459">
        <f>N$296*Entrant_age_breakdowns!$K84*$G$31</f>
        <v>3.0803578242372924</v>
      </c>
      <c r="O311" s="327"/>
    </row>
    <row r="312" spans="1:15">
      <c r="B312" s="338" t="str">
        <f t="shared" si="143"/>
        <v>65 plus</v>
      </c>
      <c r="C312" s="459">
        <f>C$296*Entrant_age_breakdowns!$K85*$G$31</f>
        <v>0.63481392331562803</v>
      </c>
      <c r="D312" s="459">
        <f>D$296*Entrant_age_breakdowns!$K85*$G$31</f>
        <v>0.65375831618518088</v>
      </c>
      <c r="E312" s="459">
        <f>E$296*Entrant_age_breakdowns!$K85*$G$31</f>
        <v>0.44916305528028244</v>
      </c>
      <c r="F312" s="459">
        <f>F$296*Entrant_age_breakdowns!$K85*$G$31</f>
        <v>0.42521452646863628</v>
      </c>
      <c r="G312" s="459">
        <f>G$296*Entrant_age_breakdowns!$K85*$G$31</f>
        <v>0.63276214800398423</v>
      </c>
      <c r="H312" s="459">
        <f>H$296*Entrant_age_breakdowns!$K85*$G$31</f>
        <v>0.73023284236141905</v>
      </c>
      <c r="I312" s="459">
        <f>I$296*Entrant_age_breakdowns!$K85*$G$31</f>
        <v>0.79183445141729458</v>
      </c>
      <c r="J312" s="459">
        <f>J$296*Entrant_age_breakdowns!$K85*$G$31</f>
        <v>0.76810953688766648</v>
      </c>
      <c r="K312" s="459">
        <f>K$296*Entrant_age_breakdowns!$K85*$G$31</f>
        <v>0.79248406745179201</v>
      </c>
      <c r="L312" s="459">
        <f>L$296*Entrant_age_breakdowns!$K85*$G$31</f>
        <v>0.81738735889058634</v>
      </c>
      <c r="M312" s="459">
        <f>M$296*Entrant_age_breakdowns!$K85*$G$31</f>
        <v>0.82207204458190641</v>
      </c>
      <c r="N312" s="459">
        <f>N$296*Entrant_age_breakdowns!$K85*$G$31</f>
        <v>0.77257560681207871</v>
      </c>
      <c r="O312" s="327"/>
    </row>
    <row r="313" spans="1:15">
      <c r="B313" s="338" t="str">
        <f t="shared" si="143"/>
        <v>Total</v>
      </c>
      <c r="C313" s="459">
        <f t="shared" ref="C313:N313" si="145">SUM(C303:C312)</f>
        <v>158.66146827649982</v>
      </c>
      <c r="D313" s="459">
        <f t="shared" si="145"/>
        <v>163.39631273704839</v>
      </c>
      <c r="E313" s="459">
        <f t="shared" si="145"/>
        <v>112.26103780791766</v>
      </c>
      <c r="F313" s="459">
        <f t="shared" si="145"/>
        <v>106.2754905400317</v>
      </c>
      <c r="G313" s="459">
        <f t="shared" si="145"/>
        <v>158.1486602369115</v>
      </c>
      <c r="H313" s="459">
        <f t="shared" si="145"/>
        <v>182.509883128665</v>
      </c>
      <c r="I313" s="459">
        <f t="shared" si="145"/>
        <v>197.90620854312925</v>
      </c>
      <c r="J313" s="459">
        <f t="shared" si="145"/>
        <v>191.97655004675485</v>
      </c>
      <c r="K313" s="459">
        <f t="shared" si="145"/>
        <v>198.06856955958429</v>
      </c>
      <c r="L313" s="459">
        <f t="shared" si="145"/>
        <v>204.29274429721383</v>
      </c>
      <c r="M313" s="459">
        <f t="shared" si="145"/>
        <v>205.4636056833609</v>
      </c>
      <c r="N313" s="459">
        <f t="shared" si="145"/>
        <v>193.09277195936158</v>
      </c>
      <c r="O313" s="327"/>
    </row>
    <row r="314" spans="1:15">
      <c r="A314" s="309">
        <f>SUM(C314:N314)</f>
        <v>0</v>
      </c>
      <c r="C314" s="309">
        <f t="shared" ref="C314:N314" si="146">SUM(C303:C312)-C313</f>
        <v>0</v>
      </c>
      <c r="D314" s="309">
        <f t="shared" si="146"/>
        <v>0</v>
      </c>
      <c r="E314" s="309">
        <f t="shared" si="146"/>
        <v>0</v>
      </c>
      <c r="F314" s="309">
        <f t="shared" si="146"/>
        <v>0</v>
      </c>
      <c r="G314" s="309">
        <f t="shared" si="146"/>
        <v>0</v>
      </c>
      <c r="H314" s="309">
        <f t="shared" si="146"/>
        <v>0</v>
      </c>
      <c r="I314" s="309">
        <f t="shared" si="146"/>
        <v>0</v>
      </c>
      <c r="J314" s="309">
        <f t="shared" si="146"/>
        <v>0</v>
      </c>
      <c r="K314" s="309">
        <f t="shared" si="146"/>
        <v>0</v>
      </c>
      <c r="L314" s="309">
        <f t="shared" si="146"/>
        <v>0</v>
      </c>
      <c r="M314" s="309">
        <f t="shared" si="146"/>
        <v>0</v>
      </c>
      <c r="N314" s="309">
        <f t="shared" si="146"/>
        <v>0</v>
      </c>
    </row>
    <row r="316" spans="1:15">
      <c r="B316" s="341" t="s">
        <v>50</v>
      </c>
      <c r="H316" s="325"/>
    </row>
    <row r="317" spans="1:15">
      <c r="H317" s="325"/>
    </row>
    <row r="318" spans="1:15">
      <c r="B318" s="338" t="str">
        <f t="shared" ref="B318:B329" si="147">B302</f>
        <v>Age group</v>
      </c>
      <c r="C318" s="338" t="str">
        <f>C293</f>
        <v>2016/17</v>
      </c>
      <c r="D318" s="338" t="str">
        <f t="shared" ref="D318:N318" si="148">D302</f>
        <v>2017/18</v>
      </c>
      <c r="E318" s="338" t="str">
        <f t="shared" si="148"/>
        <v>2018/19</v>
      </c>
      <c r="F318" s="338" t="str">
        <f t="shared" si="148"/>
        <v>2019/20</v>
      </c>
      <c r="G318" s="338" t="str">
        <f t="shared" si="148"/>
        <v>2020/21</v>
      </c>
      <c r="H318" s="338" t="str">
        <f t="shared" si="148"/>
        <v>2021/22</v>
      </c>
      <c r="I318" s="338" t="str">
        <f t="shared" si="148"/>
        <v>2022/23</v>
      </c>
      <c r="J318" s="338" t="str">
        <f t="shared" si="148"/>
        <v>2023/24</v>
      </c>
      <c r="K318" s="338" t="str">
        <f t="shared" si="148"/>
        <v>2024/25</v>
      </c>
      <c r="L318" s="338" t="str">
        <f t="shared" si="148"/>
        <v>2025/26</v>
      </c>
      <c r="M318" s="338" t="str">
        <f t="shared" si="148"/>
        <v>2026/27</v>
      </c>
      <c r="N318" s="338" t="str">
        <f t="shared" si="148"/>
        <v>2027/28</v>
      </c>
    </row>
    <row r="319" spans="1:15">
      <c r="B319" s="338" t="str">
        <f t="shared" si="147"/>
        <v>20-24</v>
      </c>
      <c r="C319" s="459">
        <f>C$296*Entrant_age_breakdowns!$K76*$H$31</f>
        <v>52.533854138244493</v>
      </c>
      <c r="D319" s="459">
        <f>D$296*Entrant_age_breakdowns!$K76*$H$31</f>
        <v>54.101592234706914</v>
      </c>
      <c r="E319" s="459">
        <f>E$296*Entrant_age_breakdowns!$K76*$H$31</f>
        <v>37.17036688032848</v>
      </c>
      <c r="F319" s="459">
        <f>F$296*Entrant_age_breakdowns!$K76*$H$31</f>
        <v>35.188512870502308</v>
      </c>
      <c r="G319" s="459">
        <f>G$296*Entrant_age_breakdowns!$K76*$H$31</f>
        <v>52.364060028525891</v>
      </c>
      <c r="H319" s="459">
        <f>H$296*Entrant_age_breakdowns!$K76*$H$31</f>
        <v>60.43022091766094</v>
      </c>
      <c r="I319" s="459">
        <f>I$296*Entrant_age_breakdowns!$K76*$H$31</f>
        <v>65.528045376078666</v>
      </c>
      <c r="J319" s="459">
        <f>J$296*Entrant_age_breakdowns!$K76*$H$31</f>
        <v>63.564696505543395</v>
      </c>
      <c r="K319" s="459">
        <f>K$296*Entrant_age_breakdowns!$K76*$H$31</f>
        <v>65.581804174915192</v>
      </c>
      <c r="L319" s="459">
        <f>L$296*Entrant_age_breakdowns!$K76*$H$31</f>
        <v>67.642669307133389</v>
      </c>
      <c r="M319" s="459">
        <f>M$296*Entrant_age_breakdowns!$K76*$H$31</f>
        <v>68.030349201591164</v>
      </c>
      <c r="N319" s="459">
        <f>N$296*Entrant_age_breakdowns!$K76*$H$31</f>
        <v>63.93428491147322</v>
      </c>
      <c r="O319" s="327"/>
    </row>
    <row r="320" spans="1:15">
      <c r="B320" s="338" t="str">
        <f t="shared" si="147"/>
        <v>25-29</v>
      </c>
      <c r="C320" s="459">
        <f>C$296*Entrant_age_breakdowns!$K77*$H$31</f>
        <v>54.318864553876942</v>
      </c>
      <c r="D320" s="459">
        <f>D$296*Entrant_age_breakdowns!$K77*$H$31</f>
        <v>55.939871706590317</v>
      </c>
      <c r="E320" s="459">
        <f>E$296*Entrant_age_breakdowns!$K77*$H$31</f>
        <v>38.433352304159463</v>
      </c>
      <c r="F320" s="459">
        <f>F$296*Entrant_age_breakdowns!$K77*$H$31</f>
        <v>36.384158288391724</v>
      </c>
      <c r="G320" s="459">
        <f>G$296*Entrant_age_breakdowns!$K77*$H$31</f>
        <v>54.143301131030029</v>
      </c>
      <c r="H320" s="459">
        <f>H$296*Entrant_age_breakdowns!$K77*$H$31</f>
        <v>62.483536356370898</v>
      </c>
      <c r="I320" s="459">
        <f>I$296*Entrant_age_breakdowns!$K77*$H$31</f>
        <v>67.7545761614372</v>
      </c>
      <c r="J320" s="459">
        <f>J$296*Entrant_age_breakdowns!$K77*$H$31</f>
        <v>65.724516057909142</v>
      </c>
      <c r="K320" s="459">
        <f>K$296*Entrant_age_breakdowns!$K77*$H$31</f>
        <v>67.810161592212879</v>
      </c>
      <c r="L320" s="459">
        <f>L$296*Entrant_age_breakdowns!$K77*$H$31</f>
        <v>69.941051393029397</v>
      </c>
      <c r="M320" s="459">
        <f>M$296*Entrant_age_breakdowns!$K77*$H$31</f>
        <v>70.341903986518872</v>
      </c>
      <c r="N320" s="459">
        <f>N$296*Entrant_age_breakdowns!$K77*$H$31</f>
        <v>66.106662445066576</v>
      </c>
      <c r="O320" s="327"/>
    </row>
    <row r="321" spans="1:15">
      <c r="B321" s="338" t="str">
        <f t="shared" si="147"/>
        <v>30-34</v>
      </c>
      <c r="C321" s="459">
        <f>C$296*Entrant_age_breakdowns!$K78*$H$31</f>
        <v>26.964698142269263</v>
      </c>
      <c r="D321" s="459">
        <f>D$296*Entrant_age_breakdowns!$K78*$H$31</f>
        <v>27.769390377984557</v>
      </c>
      <c r="E321" s="459">
        <f>E$296*Entrant_age_breakdowns!$K78*$H$31</f>
        <v>19.078891872808509</v>
      </c>
      <c r="F321" s="459">
        <f>F$296*Entrant_age_breakdowns!$K78*$H$31</f>
        <v>18.06164126339425</v>
      </c>
      <c r="G321" s="459">
        <f>G$296*Entrant_age_breakdowns!$K78*$H$31</f>
        <v>26.877545828965747</v>
      </c>
      <c r="H321" s="459">
        <f>H$296*Entrant_age_breakdowns!$K78*$H$31</f>
        <v>31.017763544006083</v>
      </c>
      <c r="I321" s="459">
        <f>I$296*Entrant_age_breakdowns!$K78*$H$31</f>
        <v>33.6343866712904</v>
      </c>
      <c r="J321" s="459">
        <f>J$296*Entrant_age_breakdowns!$K78*$H$31</f>
        <v>32.626634422566504</v>
      </c>
      <c r="K321" s="459">
        <f>K$296*Entrant_age_breakdowns!$K78*$H$31</f>
        <v>33.661980111880219</v>
      </c>
      <c r="L321" s="459">
        <f>L$296*Entrant_age_breakdowns!$K78*$H$31</f>
        <v>34.719785732917572</v>
      </c>
      <c r="M321" s="459">
        <f>M$296*Entrant_age_breakdowns!$K78*$H$31</f>
        <v>34.918774965696336</v>
      </c>
      <c r="N321" s="459">
        <f>N$296*Entrant_age_breakdowns!$K78*$H$31</f>
        <v>32.816337614275128</v>
      </c>
      <c r="O321" s="327"/>
    </row>
    <row r="322" spans="1:15">
      <c r="B322" s="338" t="str">
        <f t="shared" si="147"/>
        <v>35-39</v>
      </c>
      <c r="C322" s="459">
        <f>C$296*Entrant_age_breakdowns!$K79*$H$31</f>
        <v>19.267472117932567</v>
      </c>
      <c r="D322" s="459">
        <f>D$296*Entrant_age_breakdowns!$K79*$H$31</f>
        <v>19.842460390872173</v>
      </c>
      <c r="E322" s="459">
        <f>E$296*Entrant_age_breakdowns!$K79*$H$31</f>
        <v>13.632713975171239</v>
      </c>
      <c r="F322" s="459">
        <f>F$296*Entrant_age_breakdowns!$K79*$H$31</f>
        <v>12.905843321903482</v>
      </c>
      <c r="G322" s="459">
        <f>G$296*Entrant_age_breakdowns!$K79*$H$31</f>
        <v>19.205197926776073</v>
      </c>
      <c r="H322" s="459">
        <f>H$296*Entrant_age_breakdowns!$K79*$H$31</f>
        <v>22.163567012379225</v>
      </c>
      <c r="I322" s="459">
        <f>I$296*Entrant_age_breakdowns!$K79*$H$31</f>
        <v>24.033260226895781</v>
      </c>
      <c r="J322" s="459">
        <f>J$296*Entrant_age_breakdowns!$K79*$H$31</f>
        <v>23.313176573386084</v>
      </c>
      <c r="K322" s="459">
        <f>K$296*Entrant_age_breakdowns!$K79*$H$31</f>
        <v>24.052976963363481</v>
      </c>
      <c r="L322" s="459">
        <f>L$296*Entrant_age_breakdowns!$K79*$H$31</f>
        <v>24.808825970164722</v>
      </c>
      <c r="M322" s="459">
        <f>M$296*Entrant_age_breakdowns!$K79*$H$31</f>
        <v>24.951012597810429</v>
      </c>
      <c r="N322" s="459">
        <f>N$296*Entrant_age_breakdowns!$K79*$H$31</f>
        <v>23.44872791305411</v>
      </c>
      <c r="O322" s="327"/>
    </row>
    <row r="323" spans="1:15">
      <c r="B323" s="338" t="str">
        <f t="shared" si="147"/>
        <v>40-44</v>
      </c>
      <c r="C323" s="459">
        <f>C$296*Entrant_age_breakdowns!$K80*$H$31</f>
        <v>16.740103583481069</v>
      </c>
      <c r="D323" s="459">
        <f>D$296*Entrant_age_breakdowns!$K80*$H$31</f>
        <v>17.239669026699612</v>
      </c>
      <c r="E323" s="459">
        <f>E$296*Entrant_age_breakdowns!$K80*$H$31</f>
        <v>11.844472521952412</v>
      </c>
      <c r="F323" s="459">
        <f>F$296*Entrant_age_breakdowns!$K80*$H$31</f>
        <v>11.212947537615214</v>
      </c>
      <c r="G323" s="459">
        <f>G$296*Entrant_age_breakdowns!$K80*$H$31</f>
        <v>16.68599807321193</v>
      </c>
      <c r="H323" s="459">
        <f>H$296*Entrant_age_breakdowns!$K80*$H$31</f>
        <v>19.256309561301361</v>
      </c>
      <c r="I323" s="459">
        <f>I$296*Entrant_age_breakdowns!$K80*$H$31</f>
        <v>20.880749855739804</v>
      </c>
      <c r="J323" s="459">
        <f>J$296*Entrant_age_breakdowns!$K80*$H$31</f>
        <v>20.255121601304459</v>
      </c>
      <c r="K323" s="459">
        <f>K$296*Entrant_age_breakdowns!$K80*$H$31</f>
        <v>20.89788029240411</v>
      </c>
      <c r="L323" s="459">
        <f>L$296*Entrant_age_breakdowns!$K80*$H$31</f>
        <v>21.554582458099617</v>
      </c>
      <c r="M323" s="459">
        <f>M$296*Entrant_age_breakdowns!$K80*$H$31</f>
        <v>21.678118065698062</v>
      </c>
      <c r="N323" s="459">
        <f>N$296*Entrant_age_breakdowns!$K80*$H$31</f>
        <v>20.372892290320301</v>
      </c>
      <c r="O323" s="327"/>
    </row>
    <row r="324" spans="1:15">
      <c r="B324" s="338" t="str">
        <f t="shared" si="147"/>
        <v>45-49</v>
      </c>
      <c r="C324" s="459">
        <f>C$296*Entrant_age_breakdowns!$K81*$H$31</f>
        <v>13.32088365338168</v>
      </c>
      <c r="D324" s="459">
        <f>D$296*Entrant_age_breakdowns!$K81*$H$31</f>
        <v>13.718411250100434</v>
      </c>
      <c r="E324" s="459">
        <f>E$296*Entrant_age_breakdowns!$K81*$H$31</f>
        <v>9.4252009620955164</v>
      </c>
      <c r="F324" s="459">
        <f>F$296*Entrant_age_breakdowns!$K81*$H$31</f>
        <v>8.9226669844168569</v>
      </c>
      <c r="G324" s="459">
        <f>G$296*Entrant_age_breakdowns!$K81*$H$31</f>
        <v>13.277829367384712</v>
      </c>
      <c r="H324" s="459">
        <f>H$296*Entrant_age_breakdowns!$K81*$H$31</f>
        <v>15.323146477583247</v>
      </c>
      <c r="I324" s="459">
        <f>I$296*Entrant_age_breakdowns!$K81*$H$31</f>
        <v>16.615789623796072</v>
      </c>
      <c r="J324" s="459">
        <f>J$296*Entrant_age_breakdowns!$K81*$H$31</f>
        <v>16.117947949995123</v>
      </c>
      <c r="K324" s="459">
        <f>K$296*Entrant_age_breakdowns!$K81*$H$31</f>
        <v>16.62942111374468</v>
      </c>
      <c r="L324" s="459">
        <f>L$296*Entrant_age_breakdowns!$K81*$H$31</f>
        <v>17.151989752614149</v>
      </c>
      <c r="M324" s="459">
        <f>M$296*Entrant_age_breakdowns!$K81*$H$31</f>
        <v>17.250292815535012</v>
      </c>
      <c r="N324" s="459">
        <f>N$296*Entrant_age_breakdowns!$K81*$H$31</f>
        <v>16.21166359747216</v>
      </c>
      <c r="O324" s="327"/>
    </row>
    <row r="325" spans="1:15">
      <c r="B325" s="338" t="str">
        <f t="shared" si="147"/>
        <v>50-54</v>
      </c>
      <c r="C325" s="459">
        <f>C$296*Entrant_age_breakdowns!$K82*$H$31</f>
        <v>9.7446601834803861</v>
      </c>
      <c r="D325" s="459">
        <f>D$296*Entrant_age_breakdowns!$K82*$H$31</f>
        <v>10.035464565860565</v>
      </c>
      <c r="E325" s="459">
        <f>E$296*Entrant_age_breakdowns!$K82*$H$31</f>
        <v>6.894841432934296</v>
      </c>
      <c r="F325" s="459">
        <f>F$296*Entrant_age_breakdowns!$K82*$H$31</f>
        <v>6.5272214633770922</v>
      </c>
      <c r="G325" s="459">
        <f>G$296*Entrant_age_breakdowns!$K82*$H$31</f>
        <v>9.7131645712222365</v>
      </c>
      <c r="H325" s="459">
        <f>H$296*Entrant_age_breakdowns!$K82*$H$31</f>
        <v>11.20938064253993</v>
      </c>
      <c r="I325" s="459">
        <f>I$296*Entrant_age_breakdowns!$K82*$H$31</f>
        <v>12.154991198574717</v>
      </c>
      <c r="J325" s="459">
        <f>J$296*Entrant_age_breakdowns!$K82*$H$31</f>
        <v>11.790803802107682</v>
      </c>
      <c r="K325" s="459">
        <f>K$296*Entrant_age_breakdowns!$K82*$H$31</f>
        <v>12.164963077377966</v>
      </c>
      <c r="L325" s="459">
        <f>L$296*Entrant_age_breakdowns!$K82*$H$31</f>
        <v>12.547239054019657</v>
      </c>
      <c r="M325" s="459">
        <f>M$296*Entrant_age_breakdowns!$K82*$H$31</f>
        <v>12.619150945759356</v>
      </c>
      <c r="N325" s="459">
        <f>N$296*Entrant_age_breakdowns!$K82*$H$31</f>
        <v>11.859359850062258</v>
      </c>
      <c r="O325" s="327"/>
    </row>
    <row r="326" spans="1:15">
      <c r="B326" s="338" t="str">
        <f t="shared" si="147"/>
        <v>55-59</v>
      </c>
      <c r="C326" s="459">
        <f>C$296*Entrant_age_breakdowns!$K83*$H$31</f>
        <v>6.634384440498108</v>
      </c>
      <c r="D326" s="459">
        <f>D$296*Entrant_age_breakdowns!$K83*$H$31</f>
        <v>6.8323706230191146</v>
      </c>
      <c r="E326" s="459">
        <f>E$296*Entrant_age_breakdowns!$K83*$H$31</f>
        <v>4.6941635584077881</v>
      </c>
      <c r="F326" s="459">
        <f>F$296*Entrant_age_breakdowns!$K83*$H$31</f>
        <v>4.4438795915865228</v>
      </c>
      <c r="G326" s="459">
        <f>G$296*Entrant_age_breakdowns!$K83*$H$31</f>
        <v>6.6129415172996504</v>
      </c>
      <c r="H326" s="459">
        <f>H$296*Entrant_age_breakdowns!$K83*$H$31</f>
        <v>7.6315991653109343</v>
      </c>
      <c r="I326" s="459">
        <f>I$296*Entrant_age_breakdowns!$K83*$H$31</f>
        <v>8.2753921597924816</v>
      </c>
      <c r="J326" s="459">
        <f>J$296*Entrant_age_breakdowns!$K83*$H$31</f>
        <v>8.0274451661515549</v>
      </c>
      <c r="K326" s="459">
        <f>K$296*Entrant_age_breakdowns!$K83*$H$31</f>
        <v>8.2821812397941574</v>
      </c>
      <c r="L326" s="459">
        <f>L$296*Entrant_age_breakdowns!$K83*$H$31</f>
        <v>8.5424433467999314</v>
      </c>
      <c r="M326" s="459">
        <f>M$296*Entrant_age_breakdowns!$K83*$H$31</f>
        <v>8.5914025846452322</v>
      </c>
      <c r="N326" s="459">
        <f>N$296*Entrant_age_breakdowns!$K83*$H$31</f>
        <v>8.074119669857998</v>
      </c>
      <c r="O326" s="327"/>
    </row>
    <row r="327" spans="1:15">
      <c r="B327" s="338" t="str">
        <f t="shared" si="147"/>
        <v>60-64</v>
      </c>
      <c r="C327" s="459">
        <f>C$296*Entrant_age_breakdowns!$K84*$H$31</f>
        <v>3.247773596388932</v>
      </c>
      <c r="D327" s="459">
        <f>D$296*Entrant_age_breakdowns!$K84*$H$31</f>
        <v>3.344695066920008</v>
      </c>
      <c r="E327" s="459">
        <f>E$296*Entrant_age_breakdowns!$K84*$H$31</f>
        <v>2.2979645811696883</v>
      </c>
      <c r="F327" s="459">
        <f>F$296*Entrant_age_breakdowns!$K84*$H$31</f>
        <v>2.175441434322841</v>
      </c>
      <c r="G327" s="459">
        <f>G$296*Entrant_age_breakdowns!$K84*$H$31</f>
        <v>3.2372765019835743</v>
      </c>
      <c r="H327" s="459">
        <f>H$296*Entrant_age_breakdowns!$K84*$H$31</f>
        <v>3.7359466412621329</v>
      </c>
      <c r="I327" s="459">
        <f>I$296*Entrant_age_breakdowns!$K84*$H$31</f>
        <v>4.0511068355152648</v>
      </c>
      <c r="J327" s="459">
        <f>J$296*Entrant_age_breakdowns!$K84*$H$31</f>
        <v>3.9297277224305009</v>
      </c>
      <c r="K327" s="459">
        <f>K$296*Entrant_age_breakdowns!$K84*$H$31</f>
        <v>4.0544303382412483</v>
      </c>
      <c r="L327" s="459">
        <f>L$296*Entrant_age_breakdowns!$K84*$H$31</f>
        <v>4.1818381492981604</v>
      </c>
      <c r="M327" s="459">
        <f>M$296*Entrant_age_breakdowns!$K84*$H$31</f>
        <v>4.2058054851375886</v>
      </c>
      <c r="N327" s="459">
        <f>N$296*Entrant_age_breakdowns!$K84*$H$31</f>
        <v>3.952576597427405</v>
      </c>
      <c r="O327" s="327"/>
    </row>
    <row r="328" spans="1:15">
      <c r="B328" s="338" t="str">
        <f t="shared" si="147"/>
        <v>65 plus</v>
      </c>
      <c r="C328" s="459">
        <f>C$296*Entrant_age_breakdowns!$K85*$H$31</f>
        <v>0.81456467079103101</v>
      </c>
      <c r="D328" s="459">
        <f>D$296*Entrant_age_breakdowns!$K85*$H$31</f>
        <v>0.83887326355239478</v>
      </c>
      <c r="E328" s="459">
        <f>E$296*Entrant_age_breakdowns!$K85*$H$31</f>
        <v>0.57634582799464851</v>
      </c>
      <c r="F328" s="459">
        <f>F$296*Entrant_age_breakdowns!$K85*$H$31</f>
        <v>0.54561615309164713</v>
      </c>
      <c r="G328" s="459">
        <f>G$296*Entrant_age_breakdowns!$K85*$H$31</f>
        <v>0.81193192500540434</v>
      </c>
      <c r="H328" s="459">
        <f>H$296*Entrant_age_breakdowns!$K85*$H$31</f>
        <v>0.93700193551549449</v>
      </c>
      <c r="I328" s="459">
        <f>I$296*Entrant_age_breakdowns!$K85*$H$31</f>
        <v>1.0160463492528542</v>
      </c>
      <c r="J328" s="459">
        <f>J$296*Entrant_age_breakdowns!$K85*$H$31</f>
        <v>0.9856036061377772</v>
      </c>
      <c r="K328" s="459">
        <f>K$296*Entrant_age_breakdowns!$K85*$H$31</f>
        <v>1.0168799073268755</v>
      </c>
      <c r="L328" s="459">
        <f>L$296*Entrant_age_breakdowns!$K85*$H$31</f>
        <v>1.0488346906852879</v>
      </c>
      <c r="M328" s="459">
        <f>M$296*Entrant_age_breakdowns!$K85*$H$31</f>
        <v>1.0548458686348494</v>
      </c>
      <c r="N328" s="459">
        <f>N$296*Entrant_age_breakdowns!$K85*$H$31</f>
        <v>0.99133426616915743</v>
      </c>
      <c r="O328" s="327"/>
    </row>
    <row r="329" spans="1:15">
      <c r="B329" s="338" t="str">
        <f t="shared" si="147"/>
        <v>Total</v>
      </c>
      <c r="C329" s="459">
        <f t="shared" ref="C329:N329" si="149">SUM(C319:C328)</f>
        <v>203.5872590803445</v>
      </c>
      <c r="D329" s="459">
        <f t="shared" si="149"/>
        <v>209.66279850630605</v>
      </c>
      <c r="E329" s="459">
        <f t="shared" si="149"/>
        <v>144.04831391702203</v>
      </c>
      <c r="F329" s="459">
        <f t="shared" si="149"/>
        <v>136.36792890860193</v>
      </c>
      <c r="G329" s="459">
        <f t="shared" si="149"/>
        <v>202.92924687140524</v>
      </c>
      <c r="H329" s="459">
        <f t="shared" si="149"/>
        <v>234.18847225393023</v>
      </c>
      <c r="I329" s="459">
        <f t="shared" si="149"/>
        <v>253.94434445837325</v>
      </c>
      <c r="J329" s="459">
        <f t="shared" si="149"/>
        <v>246.3356734075322</v>
      </c>
      <c r="K329" s="459">
        <f t="shared" si="149"/>
        <v>254.15267881126078</v>
      </c>
      <c r="L329" s="459">
        <f t="shared" si="149"/>
        <v>262.13925985476192</v>
      </c>
      <c r="M329" s="459">
        <f t="shared" si="149"/>
        <v>263.64165651702695</v>
      </c>
      <c r="N329" s="459">
        <f t="shared" si="149"/>
        <v>247.76795915517829</v>
      </c>
      <c r="O329" s="327"/>
    </row>
    <row r="330" spans="1:15">
      <c r="A330" s="309">
        <f>SUM(C330:N330)</f>
        <v>0</v>
      </c>
      <c r="C330" s="309">
        <f t="shared" ref="C330:N330" si="150">SUM(C319:C328)-C329</f>
        <v>0</v>
      </c>
      <c r="D330" s="309">
        <f t="shared" si="150"/>
        <v>0</v>
      </c>
      <c r="E330" s="309">
        <f t="shared" si="150"/>
        <v>0</v>
      </c>
      <c r="F330" s="309">
        <f t="shared" si="150"/>
        <v>0</v>
      </c>
      <c r="G330" s="309">
        <f t="shared" si="150"/>
        <v>0</v>
      </c>
      <c r="H330" s="309">
        <f t="shared" si="150"/>
        <v>0</v>
      </c>
      <c r="I330" s="309">
        <f t="shared" si="150"/>
        <v>0</v>
      </c>
      <c r="J330" s="309">
        <f t="shared" si="150"/>
        <v>0</v>
      </c>
      <c r="K330" s="309">
        <f t="shared" si="150"/>
        <v>0</v>
      </c>
      <c r="L330" s="309">
        <f t="shared" si="150"/>
        <v>0</v>
      </c>
      <c r="M330" s="309">
        <f t="shared" si="150"/>
        <v>0</v>
      </c>
      <c r="N330" s="309">
        <f t="shared" si="150"/>
        <v>0</v>
      </c>
    </row>
    <row r="331" spans="1:15">
      <c r="C331" s="329">
        <f>C294</f>
        <v>362.24872735684426</v>
      </c>
      <c r="D331" s="329">
        <f t="shared" ref="D331:N331" si="151">D294</f>
        <v>373.05911124335444</v>
      </c>
      <c r="E331" s="329">
        <f t="shared" si="151"/>
        <v>256.30935172493969</v>
      </c>
      <c r="F331" s="329">
        <f t="shared" si="151"/>
        <v>242.64341944863361</v>
      </c>
      <c r="G331" s="329">
        <f t="shared" si="151"/>
        <v>361.07790710831665</v>
      </c>
      <c r="H331" s="329">
        <f t="shared" si="151"/>
        <v>416.6983553825952</v>
      </c>
      <c r="I331" s="329">
        <f t="shared" si="151"/>
        <v>451.85055300150242</v>
      </c>
      <c r="J331" s="329">
        <f t="shared" si="151"/>
        <v>438.31222345428705</v>
      </c>
      <c r="K331" s="329">
        <f t="shared" si="151"/>
        <v>452.22124837084499</v>
      </c>
      <c r="L331" s="329">
        <f t="shared" si="151"/>
        <v>466.43200415197572</v>
      </c>
      <c r="M331" s="329">
        <f t="shared" si="151"/>
        <v>469.10526220038776</v>
      </c>
      <c r="N331" s="329">
        <f t="shared" si="151"/>
        <v>440.86073111453987</v>
      </c>
    </row>
    <row r="332" spans="1:15">
      <c r="C332" s="329">
        <f>C313+C329</f>
        <v>362.24872735684431</v>
      </c>
      <c r="D332" s="329">
        <f t="shared" ref="D332:N332" si="152">D313+D329</f>
        <v>373.05911124335444</v>
      </c>
      <c r="E332" s="329">
        <f t="shared" si="152"/>
        <v>256.30935172493969</v>
      </c>
      <c r="F332" s="329">
        <f t="shared" si="152"/>
        <v>242.64341944863361</v>
      </c>
      <c r="G332" s="329">
        <f t="shared" si="152"/>
        <v>361.07790710831671</v>
      </c>
      <c r="H332" s="329">
        <f t="shared" si="152"/>
        <v>416.6983553825952</v>
      </c>
      <c r="I332" s="329">
        <f t="shared" si="152"/>
        <v>451.85055300150248</v>
      </c>
      <c r="J332" s="329">
        <f t="shared" si="152"/>
        <v>438.31222345428705</v>
      </c>
      <c r="K332" s="329">
        <f t="shared" si="152"/>
        <v>452.22124837084505</v>
      </c>
      <c r="L332" s="329">
        <f t="shared" si="152"/>
        <v>466.43200415197578</v>
      </c>
      <c r="M332" s="329">
        <f t="shared" si="152"/>
        <v>469.10526220038787</v>
      </c>
      <c r="N332" s="329">
        <f t="shared" si="152"/>
        <v>440.86073111453987</v>
      </c>
    </row>
    <row r="333" spans="1:15">
      <c r="A333" s="309">
        <f>SUM(C333:L333)</f>
        <v>0</v>
      </c>
      <c r="C333" s="329">
        <f>C331-C332</f>
        <v>0</v>
      </c>
      <c r="D333" s="329">
        <f t="shared" ref="D333:K333" si="153">D331-D332</f>
        <v>0</v>
      </c>
      <c r="E333" s="329">
        <f t="shared" si="153"/>
        <v>0</v>
      </c>
      <c r="F333" s="329">
        <f t="shared" si="153"/>
        <v>0</v>
      </c>
      <c r="G333" s="329">
        <f t="shared" si="153"/>
        <v>0</v>
      </c>
      <c r="H333" s="329">
        <f t="shared" si="153"/>
        <v>0</v>
      </c>
      <c r="I333" s="329">
        <f t="shared" si="153"/>
        <v>0</v>
      </c>
      <c r="J333" s="329">
        <f t="shared" si="153"/>
        <v>0</v>
      </c>
      <c r="K333" s="329">
        <f t="shared" si="153"/>
        <v>0</v>
      </c>
      <c r="L333" s="329">
        <f>L331-L332</f>
        <v>0</v>
      </c>
      <c r="M333" s="329">
        <f>M331-M332</f>
        <v>0</v>
      </c>
      <c r="N333" s="329">
        <f>N331-N332</f>
        <v>0</v>
      </c>
    </row>
    <row r="334" spans="1:15">
      <c r="C334" s="329"/>
      <c r="D334" s="329"/>
      <c r="E334" s="329"/>
      <c r="F334" s="329"/>
      <c r="G334" s="329"/>
      <c r="H334" s="342"/>
      <c r="I334" s="329"/>
      <c r="J334" s="329"/>
      <c r="K334" s="329"/>
      <c r="L334" s="329"/>
    </row>
    <row r="335" spans="1:15" ht="15.75">
      <c r="B335" s="340" t="s">
        <v>163</v>
      </c>
      <c r="C335" s="329"/>
      <c r="D335" s="329"/>
      <c r="E335" s="329"/>
      <c r="F335" s="329"/>
      <c r="G335" s="329"/>
      <c r="H335" s="342"/>
      <c r="I335" s="329"/>
      <c r="J335" s="329"/>
      <c r="K335" s="329"/>
      <c r="L335" s="329"/>
    </row>
    <row r="336" spans="1:15"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4">C318</f>
        <v>2016/17</v>
      </c>
      <c r="D339" s="338" t="str">
        <f t="shared" si="154"/>
        <v>2017/18</v>
      </c>
      <c r="E339" s="338" t="str">
        <f t="shared" si="154"/>
        <v>2018/19</v>
      </c>
      <c r="F339" s="338" t="str">
        <f t="shared" si="154"/>
        <v>2019/20</v>
      </c>
      <c r="G339" s="338" t="str">
        <f t="shared" si="154"/>
        <v>2020/21</v>
      </c>
      <c r="H339" s="338" t="str">
        <f t="shared" si="154"/>
        <v>2021/22</v>
      </c>
      <c r="I339" s="338" t="str">
        <f t="shared" si="154"/>
        <v>2022/23</v>
      </c>
      <c r="J339" s="338" t="str">
        <f t="shared" si="154"/>
        <v>2023/24</v>
      </c>
      <c r="K339" s="338" t="str">
        <f t="shared" si="154"/>
        <v>2024/25</v>
      </c>
      <c r="L339" s="338" t="str">
        <f t="shared" si="154"/>
        <v>2025/26</v>
      </c>
      <c r="M339" s="338" t="str">
        <f t="shared" si="154"/>
        <v>2026/27</v>
      </c>
      <c r="N339" s="338" t="str">
        <f t="shared" si="154"/>
        <v>2027/28</v>
      </c>
    </row>
    <row r="340" spans="1:14">
      <c r="B340" s="338" t="str">
        <f t="shared" ref="B340:B350" si="155">B319</f>
        <v>20-24</v>
      </c>
      <c r="C340" s="459">
        <f t="shared" ref="C340:N340" si="156">C303+C247</f>
        <v>64.570852696065657</v>
      </c>
      <c r="D340" s="459">
        <f t="shared" si="156"/>
        <v>88.200983675624968</v>
      </c>
      <c r="E340" s="459">
        <f t="shared" si="156"/>
        <v>91.85391328246007</v>
      </c>
      <c r="F340" s="459">
        <f t="shared" si="156"/>
        <v>92.913880354884725</v>
      </c>
      <c r="G340" s="459">
        <f t="shared" si="156"/>
        <v>107.05502393831037</v>
      </c>
      <c r="H340" s="459">
        <f t="shared" si="156"/>
        <v>123.42363884326578</v>
      </c>
      <c r="I340" s="459">
        <f t="shared" si="156"/>
        <v>139.06709622163555</v>
      </c>
      <c r="J340" s="459">
        <f t="shared" si="156"/>
        <v>148.69054965364859</v>
      </c>
      <c r="K340" s="459">
        <f t="shared" si="156"/>
        <v>157.12391688742215</v>
      </c>
      <c r="L340" s="459">
        <f t="shared" si="156"/>
        <v>164.74287214214976</v>
      </c>
      <c r="M340" s="459">
        <f t="shared" si="156"/>
        <v>170.47720209885725</v>
      </c>
      <c r="N340" s="459">
        <f t="shared" si="156"/>
        <v>171.37351058764409</v>
      </c>
    </row>
    <row r="341" spans="1:14">
      <c r="B341" s="338" t="str">
        <f t="shared" si="155"/>
        <v>25-29</v>
      </c>
      <c r="C341" s="459">
        <f t="shared" ref="C341:N341" si="157">C304+C248</f>
        <v>193.65536757506487</v>
      </c>
      <c r="D341" s="459">
        <f t="shared" si="157"/>
        <v>197.28034884124776</v>
      </c>
      <c r="E341" s="459">
        <f t="shared" si="157"/>
        <v>190.619925217131</v>
      </c>
      <c r="F341" s="459">
        <f t="shared" si="157"/>
        <v>184.8129006193835</v>
      </c>
      <c r="G341" s="459">
        <f t="shared" si="157"/>
        <v>194.59337470530616</v>
      </c>
      <c r="H341" s="459">
        <f t="shared" si="157"/>
        <v>210.8474444876019</v>
      </c>
      <c r="I341" s="459">
        <f t="shared" si="157"/>
        <v>229.85967319451103</v>
      </c>
      <c r="J341" s="459">
        <f t="shared" si="157"/>
        <v>245.06959388972351</v>
      </c>
      <c r="K341" s="459">
        <f t="shared" si="157"/>
        <v>259.59920531637647</v>
      </c>
      <c r="L341" s="459">
        <f t="shared" si="157"/>
        <v>273.44778001400795</v>
      </c>
      <c r="M341" s="459">
        <f t="shared" si="157"/>
        <v>285.300055422421</v>
      </c>
      <c r="N341" s="459">
        <f t="shared" si="157"/>
        <v>291.73178628116329</v>
      </c>
    </row>
    <row r="342" spans="1:14">
      <c r="B342" s="338" t="str">
        <f t="shared" si="155"/>
        <v>30-34</v>
      </c>
      <c r="C342" s="459">
        <f t="shared" ref="C342:N342" si="158">C305+C249</f>
        <v>318.44615868867078</v>
      </c>
      <c r="D342" s="459">
        <f t="shared" si="158"/>
        <v>296.77969284354162</v>
      </c>
      <c r="E342" s="459">
        <f t="shared" si="158"/>
        <v>274.43715421288204</v>
      </c>
      <c r="F342" s="459">
        <f t="shared" si="158"/>
        <v>255.63909288352011</v>
      </c>
      <c r="G342" s="459">
        <f t="shared" si="158"/>
        <v>247.3225958162769</v>
      </c>
      <c r="H342" s="459">
        <f t="shared" si="158"/>
        <v>246.14576274809122</v>
      </c>
      <c r="I342" s="459">
        <f t="shared" si="158"/>
        <v>250.34993297487614</v>
      </c>
      <c r="J342" s="459">
        <f t="shared" si="158"/>
        <v>256.28231686591892</v>
      </c>
      <c r="K342" s="459">
        <f t="shared" si="158"/>
        <v>264.39015944346306</v>
      </c>
      <c r="L342" s="459">
        <f t="shared" si="158"/>
        <v>274.01950455104588</v>
      </c>
      <c r="M342" s="459">
        <f t="shared" si="158"/>
        <v>283.99295654799926</v>
      </c>
      <c r="N342" s="459">
        <f t="shared" si="158"/>
        <v>292.05661683979514</v>
      </c>
    </row>
    <row r="343" spans="1:14">
      <c r="B343" s="338" t="str">
        <f t="shared" si="155"/>
        <v>35-39</v>
      </c>
      <c r="C343" s="459">
        <f t="shared" ref="C343:N343" si="159">C306+C250</f>
        <v>330.31438802404557</v>
      </c>
      <c r="D343" s="459">
        <f t="shared" si="159"/>
        <v>322.76661267080937</v>
      </c>
      <c r="E343" s="459">
        <f t="shared" si="159"/>
        <v>308.20836244878495</v>
      </c>
      <c r="F343" s="459">
        <f t="shared" si="159"/>
        <v>292.54093755610074</v>
      </c>
      <c r="G343" s="459">
        <f t="shared" si="159"/>
        <v>282.18203978667134</v>
      </c>
      <c r="H343" s="459">
        <f t="shared" si="159"/>
        <v>275.16336390697711</v>
      </c>
      <c r="I343" s="459">
        <f t="shared" si="159"/>
        <v>271.13833383800068</v>
      </c>
      <c r="J343" s="459">
        <f t="shared" si="159"/>
        <v>268.34768866710908</v>
      </c>
      <c r="K343" s="459">
        <f t="shared" si="159"/>
        <v>267.94402650426179</v>
      </c>
      <c r="L343" s="459">
        <f t="shared" si="159"/>
        <v>269.74999457678416</v>
      </c>
      <c r="M343" s="459">
        <f t="shared" si="159"/>
        <v>273.01932721307401</v>
      </c>
      <c r="N343" s="459">
        <f t="shared" si="159"/>
        <v>276.16858367181658</v>
      </c>
    </row>
    <row r="344" spans="1:14">
      <c r="B344" s="338" t="str">
        <f t="shared" si="155"/>
        <v>40-44</v>
      </c>
      <c r="C344" s="459">
        <f t="shared" ref="C344:N344" si="160">C307+C251</f>
        <v>295.08485013254943</v>
      </c>
      <c r="D344" s="459">
        <f t="shared" si="160"/>
        <v>294.25684604902398</v>
      </c>
      <c r="E344" s="459">
        <f t="shared" si="160"/>
        <v>288.03344251735479</v>
      </c>
      <c r="F344" s="459">
        <f t="shared" si="160"/>
        <v>280.20741198711937</v>
      </c>
      <c r="G344" s="459">
        <f t="shared" si="160"/>
        <v>275.74099072231263</v>
      </c>
      <c r="H344" s="459">
        <f t="shared" si="160"/>
        <v>272.49732865430065</v>
      </c>
      <c r="I344" s="459">
        <f t="shared" si="160"/>
        <v>270.0466632494344</v>
      </c>
      <c r="J344" s="459">
        <f t="shared" si="160"/>
        <v>266.98860808897086</v>
      </c>
      <c r="K344" s="459">
        <f t="shared" si="160"/>
        <v>264.69686804577003</v>
      </c>
      <c r="L344" s="459">
        <f t="shared" si="160"/>
        <v>263.42953389040593</v>
      </c>
      <c r="M344" s="459">
        <f t="shared" si="160"/>
        <v>262.91916815658664</v>
      </c>
      <c r="N344" s="459">
        <f t="shared" si="160"/>
        <v>262.13022137994466</v>
      </c>
    </row>
    <row r="345" spans="1:14">
      <c r="B345" s="338" t="str">
        <f t="shared" si="155"/>
        <v>45-49</v>
      </c>
      <c r="C345" s="459">
        <f t="shared" ref="C345:N345" si="161">C308+C252</f>
        <v>261.17225316747869</v>
      </c>
      <c r="D345" s="459">
        <f t="shared" si="161"/>
        <v>257.49163715901017</v>
      </c>
      <c r="E345" s="459">
        <f t="shared" si="161"/>
        <v>251.2812533098278</v>
      </c>
      <c r="F345" s="459">
        <f t="shared" si="161"/>
        <v>245.16712447978477</v>
      </c>
      <c r="G345" s="459">
        <f t="shared" si="161"/>
        <v>242.61444357165945</v>
      </c>
      <c r="H345" s="459">
        <f t="shared" si="161"/>
        <v>241.50473370451749</v>
      </c>
      <c r="I345" s="459">
        <f t="shared" si="161"/>
        <v>241.09693024336752</v>
      </c>
      <c r="J345" s="459">
        <f t="shared" si="161"/>
        <v>239.9570225343727</v>
      </c>
      <c r="K345" s="459">
        <f t="shared" si="161"/>
        <v>238.95237030745599</v>
      </c>
      <c r="L345" s="459">
        <f t="shared" si="161"/>
        <v>238.19719038338485</v>
      </c>
      <c r="M345" s="459">
        <f t="shared" si="161"/>
        <v>237.48389605777169</v>
      </c>
      <c r="N345" s="459">
        <f t="shared" si="161"/>
        <v>236.05486200664649</v>
      </c>
    </row>
    <row r="346" spans="1:14">
      <c r="B346" s="338" t="str">
        <f t="shared" si="155"/>
        <v>50-54</v>
      </c>
      <c r="C346" s="459">
        <f t="shared" ref="C346:N346" si="162">C309+C253</f>
        <v>193.37530777218674</v>
      </c>
      <c r="D346" s="459">
        <f t="shared" si="162"/>
        <v>192.06068639674982</v>
      </c>
      <c r="E346" s="459">
        <f t="shared" si="162"/>
        <v>188.02136101224997</v>
      </c>
      <c r="F346" s="459">
        <f t="shared" si="162"/>
        <v>183.75194871409286</v>
      </c>
      <c r="G346" s="459">
        <f t="shared" si="162"/>
        <v>182.10518885516055</v>
      </c>
      <c r="H346" s="459">
        <f t="shared" si="162"/>
        <v>181.64376371907284</v>
      </c>
      <c r="I346" s="459">
        <f t="shared" si="162"/>
        <v>181.85444857458799</v>
      </c>
      <c r="J346" s="459">
        <f t="shared" si="162"/>
        <v>181.64807388524437</v>
      </c>
      <c r="K346" s="459">
        <f t="shared" si="162"/>
        <v>181.58969579718419</v>
      </c>
      <c r="L346" s="459">
        <f t="shared" si="162"/>
        <v>181.66714005509422</v>
      </c>
      <c r="M346" s="459">
        <f t="shared" si="162"/>
        <v>181.64387214813411</v>
      </c>
      <c r="N346" s="459">
        <f t="shared" si="162"/>
        <v>180.90815882469366</v>
      </c>
    </row>
    <row r="347" spans="1:14">
      <c r="B347" s="338" t="str">
        <f t="shared" si="155"/>
        <v>55-59</v>
      </c>
      <c r="C347" s="459">
        <f t="shared" ref="C347:N347" si="163">C310+C254</f>
        <v>112.51720857109953</v>
      </c>
      <c r="D347" s="459">
        <f t="shared" si="163"/>
        <v>100.6169228536527</v>
      </c>
      <c r="E347" s="459">
        <f t="shared" si="163"/>
        <v>91.70626958518757</v>
      </c>
      <c r="F347" s="459">
        <f t="shared" si="163"/>
        <v>85.634433146134754</v>
      </c>
      <c r="G347" s="459">
        <f t="shared" si="163"/>
        <v>83.095671036509955</v>
      </c>
      <c r="H347" s="459">
        <f t="shared" si="163"/>
        <v>82.141726114412904</v>
      </c>
      <c r="I347" s="459">
        <f t="shared" si="163"/>
        <v>82.010010767888076</v>
      </c>
      <c r="J347" s="459">
        <f t="shared" si="163"/>
        <v>81.769953619085939</v>
      </c>
      <c r="K347" s="459">
        <f t="shared" si="163"/>
        <v>81.79570619778741</v>
      </c>
      <c r="L347" s="459">
        <f t="shared" si="163"/>
        <v>82.005145928875478</v>
      </c>
      <c r="M347" s="459">
        <f t="shared" si="163"/>
        <v>82.178840289122746</v>
      </c>
      <c r="N347" s="459">
        <f t="shared" si="163"/>
        <v>81.875155341800848</v>
      </c>
    </row>
    <row r="348" spans="1:14">
      <c r="B348" s="338" t="str">
        <f t="shared" si="155"/>
        <v>60-64</v>
      </c>
      <c r="C348" s="459">
        <f t="shared" ref="C348:N348" si="164">C311+C255</f>
        <v>32.145716623388338</v>
      </c>
      <c r="D348" s="459">
        <f t="shared" si="164"/>
        <v>31.640500768033686</v>
      </c>
      <c r="E348" s="459">
        <f t="shared" si="164"/>
        <v>29.148333181194175</v>
      </c>
      <c r="F348" s="459">
        <f t="shared" si="164"/>
        <v>26.779351286739814</v>
      </c>
      <c r="G348" s="459">
        <f t="shared" si="164"/>
        <v>25.734569031064538</v>
      </c>
      <c r="H348" s="459">
        <f t="shared" si="164"/>
        <v>25.314211671635899</v>
      </c>
      <c r="I348" s="459">
        <f t="shared" si="164"/>
        <v>25.242466705048436</v>
      </c>
      <c r="J348" s="459">
        <f t="shared" si="164"/>
        <v>25.097452094603991</v>
      </c>
      <c r="K348" s="459">
        <f t="shared" si="164"/>
        <v>25.095876067616278</v>
      </c>
      <c r="L348" s="459">
        <f t="shared" si="164"/>
        <v>25.197510712074976</v>
      </c>
      <c r="M348" s="459">
        <f t="shared" si="164"/>
        <v>25.290366824149032</v>
      </c>
      <c r="N348" s="459">
        <f t="shared" si="164"/>
        <v>25.158662781687067</v>
      </c>
    </row>
    <row r="349" spans="1:14">
      <c r="B349" s="338" t="str">
        <f t="shared" si="155"/>
        <v>65 plus</v>
      </c>
      <c r="C349" s="459">
        <f t="shared" ref="C349:N349" si="165">C312+C256</f>
        <v>6.7897885010585686</v>
      </c>
      <c r="D349" s="459">
        <f t="shared" si="165"/>
        <v>7.7570542395764459</v>
      </c>
      <c r="E349" s="459">
        <f t="shared" si="165"/>
        <v>8.0179304186645979</v>
      </c>
      <c r="F349" s="459">
        <f t="shared" si="165"/>
        <v>7.8663286047903194</v>
      </c>
      <c r="G349" s="459">
        <f t="shared" si="165"/>
        <v>7.7378136388391354</v>
      </c>
      <c r="H349" s="459">
        <f t="shared" si="165"/>
        <v>7.6539414400754584</v>
      </c>
      <c r="I349" s="459">
        <f t="shared" si="165"/>
        <v>7.6252972102988279</v>
      </c>
      <c r="J349" s="459">
        <f t="shared" si="165"/>
        <v>7.5784695526456325</v>
      </c>
      <c r="K349" s="459">
        <f t="shared" si="165"/>
        <v>7.5620959308589271</v>
      </c>
      <c r="L349" s="459">
        <f t="shared" si="165"/>
        <v>7.5780313510909689</v>
      </c>
      <c r="M349" s="459">
        <f t="shared" si="165"/>
        <v>7.6022018923793393</v>
      </c>
      <c r="N349" s="459">
        <f t="shared" si="165"/>
        <v>7.5756730740717941</v>
      </c>
    </row>
    <row r="350" spans="1:14">
      <c r="B350" s="338" t="str">
        <f t="shared" si="155"/>
        <v>Total</v>
      </c>
      <c r="C350" s="459">
        <f t="shared" ref="C350:N350" si="166">SUM(C340:C349)</f>
        <v>1808.0718917516081</v>
      </c>
      <c r="D350" s="459">
        <f t="shared" si="166"/>
        <v>1788.8512854972707</v>
      </c>
      <c r="E350" s="459">
        <f t="shared" si="166"/>
        <v>1721.327945185737</v>
      </c>
      <c r="F350" s="459">
        <f t="shared" si="166"/>
        <v>1655.3134096325512</v>
      </c>
      <c r="G350" s="459">
        <f t="shared" si="166"/>
        <v>1648.1817111021107</v>
      </c>
      <c r="H350" s="459">
        <f t="shared" si="166"/>
        <v>1666.3359152899511</v>
      </c>
      <c r="I350" s="459">
        <f t="shared" si="166"/>
        <v>1698.2908529796489</v>
      </c>
      <c r="J350" s="459">
        <f t="shared" si="166"/>
        <v>1721.4297288513239</v>
      </c>
      <c r="K350" s="459">
        <f t="shared" si="166"/>
        <v>1748.7499204981966</v>
      </c>
      <c r="L350" s="459">
        <f t="shared" si="166"/>
        <v>1780.0347036049141</v>
      </c>
      <c r="M350" s="459">
        <f t="shared" si="166"/>
        <v>1809.9078866504949</v>
      </c>
      <c r="N350" s="459">
        <f t="shared" si="166"/>
        <v>1825.0332307892636</v>
      </c>
    </row>
    <row r="351" spans="1:14">
      <c r="A351" s="309">
        <f>SUM(C351:N351)</f>
        <v>0</v>
      </c>
      <c r="C351" s="309">
        <f t="shared" ref="C351:N351" si="167">SUM(C340:C349)-C350</f>
        <v>0</v>
      </c>
      <c r="D351" s="309">
        <f t="shared" si="167"/>
        <v>0</v>
      </c>
      <c r="E351" s="309">
        <f t="shared" si="167"/>
        <v>0</v>
      </c>
      <c r="F351" s="309">
        <f t="shared" si="167"/>
        <v>0</v>
      </c>
      <c r="G351" s="309">
        <f t="shared" si="167"/>
        <v>0</v>
      </c>
      <c r="H351" s="309">
        <f t="shared" si="167"/>
        <v>0</v>
      </c>
      <c r="I351" s="309">
        <f t="shared" si="167"/>
        <v>0</v>
      </c>
      <c r="J351" s="309">
        <f t="shared" si="167"/>
        <v>0</v>
      </c>
      <c r="K351" s="309">
        <f t="shared" si="167"/>
        <v>0</v>
      </c>
      <c r="L351" s="309">
        <f t="shared" si="167"/>
        <v>0</v>
      </c>
      <c r="M351" s="309">
        <f t="shared" si="167"/>
        <v>0</v>
      </c>
      <c r="N351" s="309">
        <f t="shared" si="167"/>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8">B339</f>
        <v>Age group</v>
      </c>
      <c r="C355" s="338" t="str">
        <f t="shared" ref="C355:N355" si="169">C339</f>
        <v>2016/17</v>
      </c>
      <c r="D355" s="338" t="str">
        <f t="shared" si="169"/>
        <v>2017/18</v>
      </c>
      <c r="E355" s="338" t="str">
        <f t="shared" si="169"/>
        <v>2018/19</v>
      </c>
      <c r="F355" s="338" t="str">
        <f t="shared" si="169"/>
        <v>2019/20</v>
      </c>
      <c r="G355" s="338" t="str">
        <f t="shared" si="169"/>
        <v>2020/21</v>
      </c>
      <c r="H355" s="338" t="str">
        <f t="shared" si="169"/>
        <v>2021/22</v>
      </c>
      <c r="I355" s="338" t="str">
        <f t="shared" si="169"/>
        <v>2022/23</v>
      </c>
      <c r="J355" s="338" t="str">
        <f t="shared" si="169"/>
        <v>2023/24</v>
      </c>
      <c r="K355" s="338" t="str">
        <f t="shared" si="169"/>
        <v>2024/25</v>
      </c>
      <c r="L355" s="338" t="str">
        <f t="shared" si="169"/>
        <v>2025/26</v>
      </c>
      <c r="M355" s="338" t="str">
        <f t="shared" si="169"/>
        <v>2026/27</v>
      </c>
      <c r="N355" s="338" t="str">
        <f t="shared" si="169"/>
        <v>2027/28</v>
      </c>
    </row>
    <row r="356" spans="1:14">
      <c r="B356" s="338" t="str">
        <f t="shared" si="168"/>
        <v>20-24</v>
      </c>
      <c r="C356" s="459">
        <f t="shared" ref="C356:N356" si="170">C319+C263</f>
        <v>100.57059071019194</v>
      </c>
      <c r="D356" s="459">
        <f t="shared" si="170"/>
        <v>125.84803643677145</v>
      </c>
      <c r="E356" s="459">
        <f t="shared" si="170"/>
        <v>126.94958623650137</v>
      </c>
      <c r="F356" s="459">
        <f t="shared" si="170"/>
        <v>125.75357111540026</v>
      </c>
      <c r="G356" s="459">
        <f t="shared" si="170"/>
        <v>142.07588840229602</v>
      </c>
      <c r="H356" s="459">
        <f t="shared" si="170"/>
        <v>161.78629059699577</v>
      </c>
      <c r="I356" s="459">
        <f t="shared" si="170"/>
        <v>180.94539540860691</v>
      </c>
      <c r="J356" s="459">
        <f t="shared" si="170"/>
        <v>192.6500347105669</v>
      </c>
      <c r="K356" s="459">
        <f t="shared" si="170"/>
        <v>203.01716045831776</v>
      </c>
      <c r="L356" s="459">
        <f t="shared" si="170"/>
        <v>212.47386968118238</v>
      </c>
      <c r="M356" s="459">
        <f t="shared" si="170"/>
        <v>219.60790808663421</v>
      </c>
      <c r="N356" s="459">
        <f t="shared" si="170"/>
        <v>220.6012231546139</v>
      </c>
    </row>
    <row r="357" spans="1:14">
      <c r="B357" s="338" t="str">
        <f t="shared" si="168"/>
        <v>25-29</v>
      </c>
      <c r="C357" s="459">
        <f t="shared" ref="C357:N357" si="171">C320+C264</f>
        <v>281.18476230251019</v>
      </c>
      <c r="D357" s="459">
        <f t="shared" si="171"/>
        <v>278.50676865398725</v>
      </c>
      <c r="E357" s="459">
        <f t="shared" si="171"/>
        <v>263.64594108888309</v>
      </c>
      <c r="F357" s="459">
        <f t="shared" si="171"/>
        <v>250.99947095193124</v>
      </c>
      <c r="G357" s="459">
        <f t="shared" si="171"/>
        <v>259.35288036882662</v>
      </c>
      <c r="H357" s="459">
        <f t="shared" si="171"/>
        <v>276.72722158688134</v>
      </c>
      <c r="I357" s="459">
        <f t="shared" si="171"/>
        <v>298.20208061676237</v>
      </c>
      <c r="J357" s="459">
        <f t="shared" si="171"/>
        <v>315.25499569849944</v>
      </c>
      <c r="K357" s="459">
        <f t="shared" si="171"/>
        <v>331.85674577033245</v>
      </c>
      <c r="L357" s="459">
        <f t="shared" si="171"/>
        <v>347.93299145571473</v>
      </c>
      <c r="M357" s="459">
        <f t="shared" si="171"/>
        <v>361.73201734291433</v>
      </c>
      <c r="N357" s="459">
        <f t="shared" si="171"/>
        <v>368.81850692074988</v>
      </c>
    </row>
    <row r="358" spans="1:14">
      <c r="B358" s="338" t="str">
        <f t="shared" si="168"/>
        <v>30-34</v>
      </c>
      <c r="C358" s="459">
        <f t="shared" ref="C358:N358" si="172">C321+C265</f>
        <v>416.66163443642733</v>
      </c>
      <c r="D358" s="459">
        <f t="shared" si="172"/>
        <v>383.45367440230689</v>
      </c>
      <c r="E358" s="459">
        <f t="shared" si="172"/>
        <v>350.01836447178766</v>
      </c>
      <c r="F358" s="459">
        <f t="shared" si="172"/>
        <v>321.8655914450743</v>
      </c>
      <c r="G358" s="459">
        <f t="shared" si="172"/>
        <v>307.80880352222709</v>
      </c>
      <c r="H358" s="459">
        <f t="shared" si="172"/>
        <v>303.2070230241539</v>
      </c>
      <c r="I358" s="459">
        <f t="shared" si="172"/>
        <v>305.63505492681327</v>
      </c>
      <c r="J358" s="459">
        <f t="shared" si="172"/>
        <v>310.32221117136299</v>
      </c>
      <c r="K358" s="459">
        <f t="shared" si="172"/>
        <v>317.89510718285874</v>
      </c>
      <c r="L358" s="459">
        <f t="shared" si="172"/>
        <v>327.51588330898846</v>
      </c>
      <c r="M358" s="459">
        <f t="shared" si="172"/>
        <v>337.67769807426941</v>
      </c>
      <c r="N358" s="459">
        <f t="shared" si="172"/>
        <v>345.51743994501658</v>
      </c>
    </row>
    <row r="359" spans="1:14">
      <c r="B359" s="338" t="str">
        <f t="shared" si="168"/>
        <v>35-39</v>
      </c>
      <c r="C359" s="459">
        <f t="shared" ref="C359:N359" si="173">C322+C266</f>
        <v>419.92015502403711</v>
      </c>
      <c r="D359" s="459">
        <f t="shared" si="173"/>
        <v>405.49910889726658</v>
      </c>
      <c r="E359" s="459">
        <f t="shared" si="173"/>
        <v>382.56825705923808</v>
      </c>
      <c r="F359" s="459">
        <f t="shared" si="173"/>
        <v>358.81638114539464</v>
      </c>
      <c r="G359" s="459">
        <f t="shared" si="173"/>
        <v>342.45837651818681</v>
      </c>
      <c r="H359" s="459">
        <f t="shared" si="173"/>
        <v>330.79347184401456</v>
      </c>
      <c r="I359" s="459">
        <f t="shared" si="173"/>
        <v>323.23278728102053</v>
      </c>
      <c r="J359" s="459">
        <f t="shared" si="173"/>
        <v>317.39573076362188</v>
      </c>
      <c r="K359" s="459">
        <f t="shared" si="173"/>
        <v>314.70252033167344</v>
      </c>
      <c r="L359" s="459">
        <f t="shared" si="173"/>
        <v>314.86968667576463</v>
      </c>
      <c r="M359" s="459">
        <f t="shared" si="173"/>
        <v>316.90478535833591</v>
      </c>
      <c r="N359" s="459">
        <f t="shared" si="173"/>
        <v>318.76949323362595</v>
      </c>
    </row>
    <row r="360" spans="1:14">
      <c r="B360" s="338" t="str">
        <f t="shared" si="168"/>
        <v>40-44</v>
      </c>
      <c r="C360" s="459">
        <f t="shared" ref="C360:N360" si="174">C323+C267</f>
        <v>394.69979817093531</v>
      </c>
      <c r="D360" s="459">
        <f t="shared" si="174"/>
        <v>386.21179810912668</v>
      </c>
      <c r="E360" s="459">
        <f t="shared" si="174"/>
        <v>371.8867306190964</v>
      </c>
      <c r="F360" s="459">
        <f t="shared" si="174"/>
        <v>356.44419784495369</v>
      </c>
      <c r="G360" s="459">
        <f t="shared" si="174"/>
        <v>346.12952058063507</v>
      </c>
      <c r="H360" s="459">
        <f t="shared" si="174"/>
        <v>338.06354061376015</v>
      </c>
      <c r="I360" s="459">
        <f t="shared" si="174"/>
        <v>331.57853225658192</v>
      </c>
      <c r="J360" s="459">
        <f t="shared" si="174"/>
        <v>324.76852836313253</v>
      </c>
      <c r="K360" s="459">
        <f t="shared" si="174"/>
        <v>319.30511825804871</v>
      </c>
      <c r="L360" s="459">
        <f t="shared" si="174"/>
        <v>315.43036690495825</v>
      </c>
      <c r="M360" s="459">
        <f t="shared" si="174"/>
        <v>312.72357953086504</v>
      </c>
      <c r="N360" s="459">
        <f t="shared" si="174"/>
        <v>309.79530362016459</v>
      </c>
    </row>
    <row r="361" spans="1:14">
      <c r="B361" s="338" t="str">
        <f t="shared" si="168"/>
        <v>45-49</v>
      </c>
      <c r="C361" s="459">
        <f t="shared" ref="C361:N361" si="175">C324+C268</f>
        <v>303.86546070803939</v>
      </c>
      <c r="D361" s="459">
        <f t="shared" si="175"/>
        <v>309.67309318326409</v>
      </c>
      <c r="E361" s="459">
        <f t="shared" si="175"/>
        <v>308.08962371773958</v>
      </c>
      <c r="F361" s="459">
        <f t="shared" si="175"/>
        <v>303.78988612704057</v>
      </c>
      <c r="G361" s="459">
        <f t="shared" si="175"/>
        <v>302.145402565393</v>
      </c>
      <c r="H361" s="459">
        <f t="shared" si="175"/>
        <v>301.08578453155411</v>
      </c>
      <c r="I361" s="459">
        <f t="shared" si="175"/>
        <v>300.1168161006778</v>
      </c>
      <c r="J361" s="459">
        <f t="shared" si="175"/>
        <v>297.71459943578873</v>
      </c>
      <c r="K361" s="459">
        <f t="shared" si="175"/>
        <v>295.208213094955</v>
      </c>
      <c r="L361" s="459">
        <f t="shared" si="175"/>
        <v>292.88384464850361</v>
      </c>
      <c r="M361" s="459">
        <f t="shared" si="175"/>
        <v>290.56103569256817</v>
      </c>
      <c r="N361" s="459">
        <f t="shared" si="175"/>
        <v>287.31711785694154</v>
      </c>
    </row>
    <row r="362" spans="1:14">
      <c r="B362" s="338" t="str">
        <f t="shared" si="168"/>
        <v>50-54</v>
      </c>
      <c r="C362" s="459">
        <f t="shared" ref="C362:N362" si="176">C325+C269</f>
        <v>220.26057196948796</v>
      </c>
      <c r="D362" s="459">
        <f t="shared" si="176"/>
        <v>220.37338049131608</v>
      </c>
      <c r="E362" s="459">
        <f t="shared" si="176"/>
        <v>218.34379486353791</v>
      </c>
      <c r="F362" s="459">
        <f t="shared" si="176"/>
        <v>216.25396579010592</v>
      </c>
      <c r="G362" s="459">
        <f t="shared" si="176"/>
        <v>217.19274745030594</v>
      </c>
      <c r="H362" s="459">
        <f t="shared" si="176"/>
        <v>219.06363257671359</v>
      </c>
      <c r="I362" s="459">
        <f t="shared" si="176"/>
        <v>221.14958040068828</v>
      </c>
      <c r="J362" s="459">
        <f t="shared" si="176"/>
        <v>222.09452856654613</v>
      </c>
      <c r="K362" s="459">
        <f t="shared" si="176"/>
        <v>222.71322710228463</v>
      </c>
      <c r="L362" s="459">
        <f t="shared" si="176"/>
        <v>223.08989501613038</v>
      </c>
      <c r="M362" s="459">
        <f t="shared" si="176"/>
        <v>223.01665414040986</v>
      </c>
      <c r="N362" s="459">
        <f t="shared" si="176"/>
        <v>221.79252636687485</v>
      </c>
    </row>
    <row r="363" spans="1:14">
      <c r="B363" s="338" t="str">
        <f t="shared" si="168"/>
        <v>55-59</v>
      </c>
      <c r="C363" s="459">
        <f t="shared" ref="C363:N363" si="177">C326+C270</f>
        <v>126.62505268590701</v>
      </c>
      <c r="D363" s="459">
        <f t="shared" si="177"/>
        <v>115.60303776714532</v>
      </c>
      <c r="E363" s="459">
        <f t="shared" si="177"/>
        <v>106.88327385530077</v>
      </c>
      <c r="F363" s="459">
        <f t="shared" si="177"/>
        <v>101.10905735060243</v>
      </c>
      <c r="G363" s="459">
        <f t="shared" si="177"/>
        <v>99.508552049380484</v>
      </c>
      <c r="H363" s="459">
        <f t="shared" si="177"/>
        <v>99.709553841189049</v>
      </c>
      <c r="I363" s="459">
        <f t="shared" si="177"/>
        <v>100.75368464453248</v>
      </c>
      <c r="J363" s="459">
        <f t="shared" si="177"/>
        <v>101.4430105044985</v>
      </c>
      <c r="K363" s="459">
        <f t="shared" si="177"/>
        <v>102.2518441390833</v>
      </c>
      <c r="L363" s="459">
        <f t="shared" si="177"/>
        <v>103.08892018354179</v>
      </c>
      <c r="M363" s="459">
        <f t="shared" si="177"/>
        <v>103.69537744431661</v>
      </c>
      <c r="N363" s="459">
        <f t="shared" si="177"/>
        <v>103.53019468485951</v>
      </c>
    </row>
    <row r="364" spans="1:14">
      <c r="B364" s="338" t="str">
        <f t="shared" si="168"/>
        <v>60-64</v>
      </c>
      <c r="C364" s="459">
        <f t="shared" ref="C364:N364" si="178">C327+C271</f>
        <v>33.55614565452958</v>
      </c>
      <c r="D364" s="459">
        <f t="shared" si="178"/>
        <v>33.259383660584135</v>
      </c>
      <c r="E364" s="459">
        <f t="shared" si="178"/>
        <v>30.812496666717387</v>
      </c>
      <c r="F364" s="459">
        <f t="shared" si="178"/>
        <v>28.567522893595122</v>
      </c>
      <c r="G364" s="459">
        <f t="shared" si="178"/>
        <v>27.937330853793696</v>
      </c>
      <c r="H364" s="459">
        <f t="shared" si="178"/>
        <v>27.963366204703341</v>
      </c>
      <c r="I364" s="459">
        <f t="shared" si="178"/>
        <v>28.313520749849999</v>
      </c>
      <c r="J364" s="459">
        <f t="shared" si="178"/>
        <v>28.472509690409268</v>
      </c>
      <c r="K364" s="459">
        <f t="shared" si="178"/>
        <v>28.74919790121961</v>
      </c>
      <c r="L364" s="459">
        <f t="shared" si="178"/>
        <v>29.096288491942346</v>
      </c>
      <c r="M364" s="459">
        <f t="shared" si="178"/>
        <v>29.375472964131781</v>
      </c>
      <c r="N364" s="459">
        <f t="shared" si="178"/>
        <v>29.319863084875639</v>
      </c>
    </row>
    <row r="365" spans="1:14">
      <c r="B365" s="338" t="str">
        <f t="shared" si="168"/>
        <v>65 plus</v>
      </c>
      <c r="C365" s="459">
        <f t="shared" ref="C365:N365" si="179">C328+C272</f>
        <v>7.3693480510754394</v>
      </c>
      <c r="D365" s="459">
        <f t="shared" si="179"/>
        <v>7.8386050102837537</v>
      </c>
      <c r="E365" s="459">
        <f t="shared" si="179"/>
        <v>7.7798491905918752</v>
      </c>
      <c r="F365" s="459">
        <f t="shared" si="179"/>
        <v>7.4766317162797025</v>
      </c>
      <c r="G365" s="459">
        <f t="shared" si="179"/>
        <v>7.3690080004070397</v>
      </c>
      <c r="H365" s="459">
        <f t="shared" si="179"/>
        <v>7.3779199752724578</v>
      </c>
      <c r="I365" s="459">
        <f t="shared" si="179"/>
        <v>7.4639832438887153</v>
      </c>
      <c r="J365" s="459">
        <f t="shared" si="179"/>
        <v>7.5111379853528897</v>
      </c>
      <c r="K365" s="459">
        <f t="shared" si="179"/>
        <v>7.5816631412313589</v>
      </c>
      <c r="L365" s="459">
        <f t="shared" si="179"/>
        <v>7.6761867960067898</v>
      </c>
      <c r="M365" s="459">
        <f t="shared" si="179"/>
        <v>7.7636966524332456</v>
      </c>
      <c r="N365" s="459">
        <f t="shared" si="179"/>
        <v>7.7714455380745298</v>
      </c>
    </row>
    <row r="366" spans="1:14">
      <c r="B366" s="338" t="str">
        <f t="shared" si="168"/>
        <v>Total</v>
      </c>
      <c r="C366" s="459">
        <f t="shared" ref="C366:N366" si="180">SUM(C356:C365)</f>
        <v>2304.7135197131415</v>
      </c>
      <c r="D366" s="459">
        <f t="shared" si="180"/>
        <v>2266.2668866120521</v>
      </c>
      <c r="E366" s="459">
        <f t="shared" si="180"/>
        <v>2166.977917769394</v>
      </c>
      <c r="F366" s="459">
        <f t="shared" si="180"/>
        <v>2071.0762763803777</v>
      </c>
      <c r="G366" s="459">
        <f t="shared" si="180"/>
        <v>2051.9785103114518</v>
      </c>
      <c r="H366" s="459">
        <f t="shared" si="180"/>
        <v>2065.7778047952384</v>
      </c>
      <c r="I366" s="459">
        <f t="shared" si="180"/>
        <v>2097.3914356294222</v>
      </c>
      <c r="J366" s="459">
        <f t="shared" si="180"/>
        <v>2117.6272868897795</v>
      </c>
      <c r="K366" s="459">
        <f t="shared" si="180"/>
        <v>2143.280797380005</v>
      </c>
      <c r="L366" s="459">
        <f t="shared" si="180"/>
        <v>2174.0579331627332</v>
      </c>
      <c r="M366" s="459">
        <f t="shared" si="180"/>
        <v>2203.058225286879</v>
      </c>
      <c r="N366" s="459">
        <f t="shared" si="180"/>
        <v>2213.2331144057971</v>
      </c>
    </row>
    <row r="367" spans="1:14">
      <c r="A367" s="309">
        <f>SUM(C367:N367)</f>
        <v>0</v>
      </c>
      <c r="C367" s="309">
        <f t="shared" ref="C367:N367" si="181">SUM(C356:C365)-C366</f>
        <v>0</v>
      </c>
      <c r="D367" s="309">
        <f t="shared" si="181"/>
        <v>0</v>
      </c>
      <c r="E367" s="309">
        <f t="shared" si="181"/>
        <v>0</v>
      </c>
      <c r="F367" s="309">
        <f t="shared" si="181"/>
        <v>0</v>
      </c>
      <c r="G367" s="309">
        <f t="shared" si="181"/>
        <v>0</v>
      </c>
      <c r="H367" s="309">
        <f t="shared" si="181"/>
        <v>0</v>
      </c>
      <c r="I367" s="309">
        <f t="shared" si="181"/>
        <v>0</v>
      </c>
      <c r="J367" s="309">
        <f t="shared" si="181"/>
        <v>0</v>
      </c>
      <c r="K367" s="309">
        <f t="shared" si="181"/>
        <v>0</v>
      </c>
      <c r="L367" s="309">
        <f t="shared" si="181"/>
        <v>0</v>
      </c>
      <c r="M367" s="309">
        <f t="shared" si="181"/>
        <v>0</v>
      </c>
      <c r="N367" s="309">
        <f t="shared" si="181"/>
        <v>0</v>
      </c>
    </row>
    <row r="368" spans="1:14">
      <c r="C368" s="329">
        <f>C350+C366</f>
        <v>4112.7854114647498</v>
      </c>
      <c r="D368" s="329">
        <f t="shared" ref="D368:N368" si="182">D350+D366</f>
        <v>4055.1181721093226</v>
      </c>
      <c r="E368" s="329">
        <f t="shared" si="182"/>
        <v>3888.305862955131</v>
      </c>
      <c r="F368" s="329">
        <f t="shared" si="182"/>
        <v>3726.3896860129289</v>
      </c>
      <c r="G368" s="329">
        <f t="shared" si="182"/>
        <v>3700.1602214135628</v>
      </c>
      <c r="H368" s="329">
        <f t="shared" si="182"/>
        <v>3732.1137200851895</v>
      </c>
      <c r="I368" s="329">
        <f t="shared" si="182"/>
        <v>3795.6822886090713</v>
      </c>
      <c r="J368" s="329">
        <f t="shared" si="182"/>
        <v>3839.0570157411034</v>
      </c>
      <c r="K368" s="329">
        <f t="shared" si="182"/>
        <v>3892.0307178782014</v>
      </c>
      <c r="L368" s="329">
        <f t="shared" si="182"/>
        <v>3954.0926367676475</v>
      </c>
      <c r="M368" s="329">
        <f t="shared" si="182"/>
        <v>4012.9661119373741</v>
      </c>
      <c r="N368" s="329">
        <f t="shared" si="182"/>
        <v>4038.2663451950607</v>
      </c>
    </row>
    <row r="369" spans="1:14">
      <c r="C369" s="329">
        <f>C36</f>
        <v>4112.7854114647489</v>
      </c>
      <c r="D369" s="329">
        <f t="shared" ref="D369:N369" si="183">D36</f>
        <v>4055.1181721093221</v>
      </c>
      <c r="E369" s="329">
        <f t="shared" si="183"/>
        <v>3888.3058629551306</v>
      </c>
      <c r="F369" s="329">
        <f t="shared" si="183"/>
        <v>3726.3896860129285</v>
      </c>
      <c r="G369" s="329">
        <f t="shared" si="183"/>
        <v>3700.1602214135623</v>
      </c>
      <c r="H369" s="329">
        <f t="shared" si="183"/>
        <v>3732.113720085189</v>
      </c>
      <c r="I369" s="329">
        <f t="shared" si="183"/>
        <v>3795.6822886090704</v>
      </c>
      <c r="J369" s="329">
        <f t="shared" si="183"/>
        <v>3839.0570157411021</v>
      </c>
      <c r="K369" s="329">
        <f t="shared" si="183"/>
        <v>3892.0307178782004</v>
      </c>
      <c r="L369" s="329">
        <f t="shared" si="183"/>
        <v>3954.0926367676466</v>
      </c>
      <c r="M369" s="329">
        <f t="shared" si="183"/>
        <v>4012.9661119373727</v>
      </c>
      <c r="N369" s="329">
        <f t="shared" si="183"/>
        <v>4038.2663451950598</v>
      </c>
    </row>
    <row r="370" spans="1:14">
      <c r="A370" s="309">
        <f>SUM(C370:L370)</f>
        <v>0</v>
      </c>
      <c r="C370" s="329">
        <f>C368-C369</f>
        <v>0</v>
      </c>
      <c r="D370" s="329">
        <f t="shared" ref="D370:N370" si="184">D368-D369</f>
        <v>0</v>
      </c>
      <c r="E370" s="329">
        <f t="shared" si="184"/>
        <v>0</v>
      </c>
      <c r="F370" s="329">
        <f t="shared" si="184"/>
        <v>0</v>
      </c>
      <c r="G370" s="329">
        <f t="shared" si="184"/>
        <v>0</v>
      </c>
      <c r="H370" s="329">
        <f t="shared" si="184"/>
        <v>0</v>
      </c>
      <c r="I370" s="329">
        <f t="shared" si="184"/>
        <v>0</v>
      </c>
      <c r="J370" s="329">
        <f t="shared" si="184"/>
        <v>0</v>
      </c>
      <c r="K370" s="329">
        <f t="shared" si="184"/>
        <v>0</v>
      </c>
      <c r="L370" s="329">
        <f t="shared" si="184"/>
        <v>0</v>
      </c>
      <c r="M370" s="329">
        <f t="shared" si="184"/>
        <v>0</v>
      </c>
      <c r="N370" s="329">
        <f t="shared" si="184"/>
        <v>0</v>
      </c>
    </row>
    <row r="371" spans="1:14">
      <c r="A371" s="309">
        <f>SUM(C371:L371)</f>
        <v>0</v>
      </c>
      <c r="C371" s="329">
        <f>IF(C294&gt;0,0,C294)</f>
        <v>0</v>
      </c>
      <c r="D371" s="329">
        <f t="shared" ref="D371:N371" si="185">IF(D294&gt;0,0,D294)</f>
        <v>0</v>
      </c>
      <c r="E371" s="329">
        <f t="shared" si="185"/>
        <v>0</v>
      </c>
      <c r="F371" s="329">
        <f t="shared" si="185"/>
        <v>0</v>
      </c>
      <c r="G371" s="329">
        <f t="shared" si="185"/>
        <v>0</v>
      </c>
      <c r="H371" s="329">
        <f t="shared" si="185"/>
        <v>0</v>
      </c>
      <c r="I371" s="329">
        <f t="shared" si="185"/>
        <v>0</v>
      </c>
      <c r="J371" s="329">
        <f t="shared" si="185"/>
        <v>0</v>
      </c>
      <c r="K371" s="329">
        <f t="shared" si="185"/>
        <v>0</v>
      </c>
      <c r="L371" s="329">
        <f t="shared" si="185"/>
        <v>0</v>
      </c>
      <c r="M371" s="329">
        <f t="shared" si="185"/>
        <v>0</v>
      </c>
      <c r="N371" s="329">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F50"/>
  <sheetViews>
    <sheetView showGridLines="0" workbookViewId="0"/>
  </sheetViews>
  <sheetFormatPr defaultColWidth="9.140625" defaultRowHeight="12.75"/>
  <cols>
    <col min="1" max="15" width="9.140625" style="1056"/>
    <col min="16" max="16" width="7.5703125" style="1056" customWidth="1"/>
    <col min="17" max="17" width="10.7109375" style="1056" customWidth="1"/>
    <col min="18" max="16384" width="9.140625" style="1056"/>
  </cols>
  <sheetData>
    <row r="1" spans="1:6" s="1057" customFormat="1">
      <c r="B1" s="736" t="str">
        <f>ModelBanner</f>
        <v>TSM_201718 for publication</v>
      </c>
    </row>
    <row r="2" spans="1:6" s="1057" customFormat="1">
      <c r="B2" s="1059" t="s">
        <v>30</v>
      </c>
    </row>
    <row r="3" spans="1:6" s="1057" customFormat="1">
      <c r="A3" s="1060"/>
      <c r="B3" s="1058" t="s">
        <v>284</v>
      </c>
    </row>
    <row r="4" spans="1:6" s="1057" customFormat="1">
      <c r="A4" s="1061"/>
      <c r="B4" s="1062" t="s">
        <v>13</v>
      </c>
      <c r="C4" s="1061"/>
      <c r="D4" s="1063"/>
    </row>
    <row r="7" spans="1:6">
      <c r="F7" s="1055"/>
    </row>
    <row r="18" spans="5:5">
      <c r="E18" s="1054"/>
    </row>
    <row r="50" spans="5:5">
      <c r="E50" s="1065"/>
    </row>
  </sheetData>
  <hyperlinks>
    <hyperlink ref="B4" location="'Title_&amp;_Contents'!A1" display="Contents"/>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0000"/>
  </sheetPr>
  <dimension ref="A1:R371"/>
  <sheetViews>
    <sheetView showGridLines="0" workbookViewId="0"/>
  </sheetViews>
  <sheetFormatPr defaultColWidth="9.140625" defaultRowHeight="12.75"/>
  <cols>
    <col min="1" max="1" width="9.140625" style="309"/>
    <col min="2" max="2" width="28.7109375" style="309" customWidth="1"/>
    <col min="3" max="15" width="10.7109375" style="309" customWidth="1"/>
    <col min="16"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1690</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Forecast_stock_figures!B19</f>
        <v>Chemistry</v>
      </c>
      <c r="C15" s="307">
        <f>Forecast_stock_figures!C43</f>
        <v>10615.775802123964</v>
      </c>
      <c r="D15" s="307">
        <f>Forecast_stock_figures!D43</f>
        <v>11068.508981061603</v>
      </c>
      <c r="E15" s="307">
        <f>Forecast_stock_figures!E43</f>
        <v>11129.85258610651</v>
      </c>
      <c r="F15" s="307">
        <f>Forecast_stock_figures!F43</f>
        <v>11260.285419513875</v>
      </c>
      <c r="G15" s="307">
        <f>Forecast_stock_figures!G43</f>
        <v>11383.268474585764</v>
      </c>
      <c r="H15" s="307">
        <f>Forecast_stock_figures!H43</f>
        <v>11478.037676404865</v>
      </c>
      <c r="I15" s="307">
        <f>Forecast_stock_figures!I43</f>
        <v>11591.815611587474</v>
      </c>
      <c r="J15" s="307">
        <f>Forecast_stock_figures!J43</f>
        <v>11731.989151799509</v>
      </c>
      <c r="K15" s="307">
        <f>Forecast_stock_figures!K43</f>
        <v>11822.684634785315</v>
      </c>
      <c r="L15" s="307">
        <f>Forecast_stock_figures!L43</f>
        <v>11864.545594307421</v>
      </c>
      <c r="M15" s="307">
        <f>Forecast_stock_figures!M43</f>
        <v>11923.190684157031</v>
      </c>
      <c r="N15" s="307">
        <f>Forecast_stock_figures!N43</f>
        <v>11967.082084944395</v>
      </c>
    </row>
    <row r="17" spans="1:9" ht="15.75">
      <c r="B17" s="340" t="s">
        <v>149</v>
      </c>
    </row>
    <row r="19" spans="1:9">
      <c r="B19" s="1243" t="str">
        <f>Stock_ages_breakdowns!B73</f>
        <v>Age group</v>
      </c>
      <c r="C19" s="1244" t="str">
        <f>Stock_ages_breakdowns!I73</f>
        <v>Chemistry</v>
      </c>
      <c r="D19" s="1245"/>
      <c r="H19" s="325" t="s">
        <v>120</v>
      </c>
    </row>
    <row r="20" spans="1:9">
      <c r="B20" s="1243"/>
      <c r="C20" s="363" t="str">
        <f>Stock_ages_breakdowns!I74</f>
        <v>Male</v>
      </c>
      <c r="D20" s="363" t="str">
        <f>Stock_ages_breakdowns!J74</f>
        <v>Female</v>
      </c>
    </row>
    <row r="21" spans="1:9">
      <c r="B21" s="363" t="str">
        <f>Stock_ages_breakdowns!B75</f>
        <v>20-24</v>
      </c>
      <c r="C21" s="331">
        <f>Stock_ages_breakdowns!I20</f>
        <v>146.75673666364327</v>
      </c>
      <c r="D21" s="331">
        <f>Stock_ages_breakdowns!J20</f>
        <v>392.05408784527634</v>
      </c>
    </row>
    <row r="22" spans="1:9">
      <c r="B22" s="363" t="str">
        <f>Stock_ages_breakdowns!B76</f>
        <v>25-29</v>
      </c>
      <c r="C22" s="331">
        <f>Stock_ages_breakdowns!I21</f>
        <v>703.77458035206166</v>
      </c>
      <c r="D22" s="331">
        <f>Stock_ages_breakdowns!J21</f>
        <v>1195.0956876017569</v>
      </c>
    </row>
    <row r="23" spans="1:9">
      <c r="B23" s="363" t="str">
        <f>Stock_ages_breakdowns!B77</f>
        <v>30-34</v>
      </c>
      <c r="C23" s="331">
        <f>Stock_ages_breakdowns!I22</f>
        <v>640.85175268294495</v>
      </c>
      <c r="D23" s="331">
        <f>Stock_ages_breakdowns!J22</f>
        <v>1079.4745801635797</v>
      </c>
    </row>
    <row r="24" spans="1:9">
      <c r="B24" s="363" t="str">
        <f>Stock_ages_breakdowns!B78</f>
        <v>35-39</v>
      </c>
      <c r="C24" s="331">
        <f>Stock_ages_breakdowns!I23</f>
        <v>646.80667625740921</v>
      </c>
      <c r="D24" s="331">
        <f>Stock_ages_breakdowns!J23</f>
        <v>934.2774188261576</v>
      </c>
    </row>
    <row r="25" spans="1:9">
      <c r="B25" s="363" t="str">
        <f>Stock_ages_breakdowns!B79</f>
        <v>40-44</v>
      </c>
      <c r="C25" s="331">
        <f>Stock_ages_breakdowns!I24</f>
        <v>703.69575344817713</v>
      </c>
      <c r="D25" s="331">
        <f>Stock_ages_breakdowns!J24</f>
        <v>947.33374841259604</v>
      </c>
    </row>
    <row r="26" spans="1:9">
      <c r="B26" s="363" t="str">
        <f>Stock_ages_breakdowns!B80</f>
        <v>45-49</v>
      </c>
      <c r="C26" s="331">
        <f>Stock_ages_breakdowns!I25</f>
        <v>581.07302088901884</v>
      </c>
      <c r="D26" s="331">
        <f>Stock_ages_breakdowns!J25</f>
        <v>695.39198769973689</v>
      </c>
    </row>
    <row r="27" spans="1:9">
      <c r="B27" s="363" t="str">
        <f>Stock_ages_breakdowns!B81</f>
        <v>50-54</v>
      </c>
      <c r="C27" s="331">
        <f>Stock_ages_breakdowns!I26</f>
        <v>465.4569024953912</v>
      </c>
      <c r="D27" s="331">
        <f>Stock_ages_breakdowns!J26</f>
        <v>600.53827710393966</v>
      </c>
    </row>
    <row r="28" spans="1:9">
      <c r="B28" s="363" t="str">
        <f>Stock_ages_breakdowns!B82</f>
        <v>55-59</v>
      </c>
      <c r="C28" s="331">
        <f>Stock_ages_breakdowns!I27</f>
        <v>370.22602013164038</v>
      </c>
      <c r="D28" s="331">
        <f>Stock_ages_breakdowns!J27</f>
        <v>322.44394486180659</v>
      </c>
    </row>
    <row r="29" spans="1:9">
      <c r="B29" s="363" t="str">
        <f>Stock_ages_breakdowns!B83</f>
        <v>60-64</v>
      </c>
      <c r="C29" s="331">
        <f>Stock_ages_breakdowns!I28</f>
        <v>91.46614934658372</v>
      </c>
      <c r="D29" s="331">
        <f>Stock_ages_breakdowns!J28</f>
        <v>61.054929389727072</v>
      </c>
      <c r="F29" s="325"/>
    </row>
    <row r="30" spans="1:9">
      <c r="B30" s="363" t="str">
        <f>Stock_ages_breakdowns!B84</f>
        <v>65 plus</v>
      </c>
      <c r="C30" s="331">
        <f>Stock_ages_breakdowns!I29</f>
        <v>23.230987040997984</v>
      </c>
      <c r="D30" s="331">
        <f>Stock_ages_breakdowns!J29</f>
        <v>14.772560911518562</v>
      </c>
      <c r="G30" s="326" t="s">
        <v>49</v>
      </c>
      <c r="H30" s="326" t="s">
        <v>50</v>
      </c>
    </row>
    <row r="31" spans="1:9">
      <c r="A31" s="309">
        <f>I31</f>
        <v>0</v>
      </c>
      <c r="B31" s="363" t="str">
        <f>Stock_ages_breakdowns!B85</f>
        <v>Total</v>
      </c>
      <c r="C31" s="331">
        <f>Stock_ages_breakdowns!I30</f>
        <v>4373.3385793078687</v>
      </c>
      <c r="D31" s="331">
        <f>Stock_ages_breakdowns!J30</f>
        <v>6242.4372228160955</v>
      </c>
      <c r="E31" s="327">
        <f>SUM(C31:D31)</f>
        <v>10615.775802123964</v>
      </c>
      <c r="G31" s="366">
        <f>C31/$E$31</f>
        <v>0.41196598918685412</v>
      </c>
      <c r="H31" s="366">
        <f>D31/$E$31</f>
        <v>0.58803401081314588</v>
      </c>
      <c r="I31" s="309">
        <f>(G31+H31)-1</f>
        <v>0</v>
      </c>
    </row>
    <row r="33" spans="2:16" ht="15.75">
      <c r="B33" s="340" t="s">
        <v>262</v>
      </c>
      <c r="H33" s="325"/>
    </row>
    <row r="34" spans="2:16">
      <c r="H34" s="325"/>
    </row>
    <row r="35" spans="2:16">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6">
      <c r="B36" s="326" t="str">
        <f>B15</f>
        <v>Chemistry</v>
      </c>
      <c r="C36" s="307">
        <f>Teacher_need_by_subject!C623</f>
        <v>11068.508981061603</v>
      </c>
      <c r="D36" s="307">
        <f>Teacher_need_by_subject!D623</f>
        <v>11129.85258610651</v>
      </c>
      <c r="E36" s="307">
        <f>Teacher_need_by_subject!E623</f>
        <v>11260.285419513875</v>
      </c>
      <c r="F36" s="307">
        <f>Teacher_need_by_subject!F623</f>
        <v>11383.268474585764</v>
      </c>
      <c r="G36" s="307">
        <f>Teacher_need_by_subject!G623</f>
        <v>11478.037676404865</v>
      </c>
      <c r="H36" s="307">
        <f>Teacher_need_by_subject!H623</f>
        <v>11591.815611587474</v>
      </c>
      <c r="I36" s="307">
        <f>Teacher_need_by_subject!I623</f>
        <v>11731.989151799509</v>
      </c>
      <c r="J36" s="307">
        <f>Teacher_need_by_subject!J623</f>
        <v>11822.684634785315</v>
      </c>
      <c r="K36" s="307">
        <f>Teacher_need_by_subject!K623</f>
        <v>11864.545594307421</v>
      </c>
      <c r="L36" s="307">
        <f>Teacher_need_by_subject!L623</f>
        <v>11923.190684157031</v>
      </c>
      <c r="M36" s="307">
        <f>Teacher_need_by_subject!M623</f>
        <v>11967.082084944395</v>
      </c>
      <c r="N36" s="307">
        <f>Teacher_need_by_subject!N623</f>
        <v>11945.784885887244</v>
      </c>
    </row>
    <row r="37" spans="2:16">
      <c r="H37" s="325"/>
    </row>
    <row r="38" spans="2:16" ht="15.75">
      <c r="B38" s="340" t="s">
        <v>157</v>
      </c>
      <c r="H38" s="325"/>
    </row>
    <row r="39" spans="2:16">
      <c r="H39" s="325"/>
    </row>
    <row r="40" spans="2:16">
      <c r="B40" s="341" t="s">
        <v>49</v>
      </c>
      <c r="H40" s="325"/>
    </row>
    <row r="41" spans="2:16">
      <c r="H41" s="325"/>
    </row>
    <row r="42" spans="2:16">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6">
      <c r="B43" s="363" t="str">
        <f>B21</f>
        <v>20-24</v>
      </c>
      <c r="C43" s="307">
        <f>C21</f>
        <v>146.75673666364327</v>
      </c>
      <c r="D43" s="307">
        <f>C340</f>
        <v>275.46583480197626</v>
      </c>
      <c r="E43" s="307">
        <f t="shared" ref="E43:L43" si="2">D340</f>
        <v>327.30445879779444</v>
      </c>
      <c r="F43" s="307">
        <f t="shared" si="2"/>
        <v>370.24371395750336</v>
      </c>
      <c r="G43" s="307">
        <f t="shared" si="2"/>
        <v>399.82427444489292</v>
      </c>
      <c r="H43" s="307">
        <f t="shared" si="2"/>
        <v>418.02735342286473</v>
      </c>
      <c r="I43" s="307">
        <f t="shared" si="2"/>
        <v>433.20556242268765</v>
      </c>
      <c r="J43" s="307">
        <f t="shared" si="2"/>
        <v>447.42999658315125</v>
      </c>
      <c r="K43" s="307">
        <f t="shared" si="2"/>
        <v>453.33184176770703</v>
      </c>
      <c r="L43" s="307">
        <f t="shared" si="2"/>
        <v>453.0350343578076</v>
      </c>
      <c r="M43" s="307">
        <f>L340</f>
        <v>454.91640320172473</v>
      </c>
      <c r="N43" s="307">
        <f>M340</f>
        <v>455.19876685969336</v>
      </c>
      <c r="O43" s="327"/>
      <c r="P43" s="327"/>
    </row>
    <row r="44" spans="2:16">
      <c r="B44" s="363" t="str">
        <f t="shared" ref="B44:C53" si="3">B22</f>
        <v>25-29</v>
      </c>
      <c r="C44" s="307">
        <f t="shared" si="3"/>
        <v>703.77458035206166</v>
      </c>
      <c r="D44" s="307">
        <f t="shared" ref="D44:L53" si="4">C341</f>
        <v>710.62049998897248</v>
      </c>
      <c r="E44" s="307">
        <f t="shared" si="4"/>
        <v>700.79676735488704</v>
      </c>
      <c r="F44" s="307">
        <f t="shared" si="4"/>
        <v>710.64626607624768</v>
      </c>
      <c r="G44" s="307">
        <f t="shared" si="4"/>
        <v>725.48760161001667</v>
      </c>
      <c r="H44" s="307">
        <f t="shared" si="4"/>
        <v>739.22885402681743</v>
      </c>
      <c r="I44" s="307">
        <f t="shared" si="4"/>
        <v>755.09469408784128</v>
      </c>
      <c r="J44" s="307">
        <f t="shared" si="4"/>
        <v>773.10065077831905</v>
      </c>
      <c r="K44" s="307">
        <f t="shared" si="4"/>
        <v>784.53923241882251</v>
      </c>
      <c r="L44" s="307">
        <f t="shared" si="4"/>
        <v>789.28613596231378</v>
      </c>
      <c r="M44" s="307">
        <f>L341</f>
        <v>794.78639346343289</v>
      </c>
      <c r="N44" s="307">
        <f>M341</f>
        <v>798.01624273559707</v>
      </c>
      <c r="O44" s="327"/>
      <c r="P44" s="327"/>
    </row>
    <row r="45" spans="2:16">
      <c r="B45" s="363" t="str">
        <f t="shared" si="3"/>
        <v>30-34</v>
      </c>
      <c r="C45" s="307">
        <f t="shared" si="3"/>
        <v>640.85175268294495</v>
      </c>
      <c r="D45" s="307">
        <f t="shared" si="4"/>
        <v>695.12440027273078</v>
      </c>
      <c r="E45" s="307">
        <f t="shared" si="4"/>
        <v>717.88084573666572</v>
      </c>
      <c r="F45" s="307">
        <f t="shared" si="4"/>
        <v>736.70365437033684</v>
      </c>
      <c r="G45" s="307">
        <f t="shared" si="4"/>
        <v>752.53513743787266</v>
      </c>
      <c r="H45" s="307">
        <f t="shared" si="4"/>
        <v>765.94127601773914</v>
      </c>
      <c r="I45" s="307">
        <f t="shared" si="4"/>
        <v>779.8018977326509</v>
      </c>
      <c r="J45" s="307">
        <f t="shared" si="4"/>
        <v>794.96932558237859</v>
      </c>
      <c r="K45" s="307">
        <f t="shared" si="4"/>
        <v>807.56620616577675</v>
      </c>
      <c r="L45" s="307">
        <f t="shared" ref="L45:L53" si="5">K342</f>
        <v>816.79139845840564</v>
      </c>
      <c r="M45" s="307">
        <f t="shared" ref="M45:M53" si="6">L342</f>
        <v>825.57936705013412</v>
      </c>
      <c r="N45" s="307">
        <f t="shared" ref="N45:N53" si="7">M342</f>
        <v>832.59465840040593</v>
      </c>
      <c r="O45" s="327"/>
      <c r="P45" s="327"/>
    </row>
    <row r="46" spans="2:16">
      <c r="B46" s="363" t="str">
        <f t="shared" si="3"/>
        <v>35-39</v>
      </c>
      <c r="C46" s="307">
        <f t="shared" si="3"/>
        <v>646.80667625740921</v>
      </c>
      <c r="D46" s="307">
        <f t="shared" si="4"/>
        <v>661.99515994760839</v>
      </c>
      <c r="E46" s="307">
        <f t="shared" si="4"/>
        <v>669.90925056355786</v>
      </c>
      <c r="F46" s="307">
        <f t="shared" si="4"/>
        <v>682.68531922904685</v>
      </c>
      <c r="G46" s="307">
        <f t="shared" si="4"/>
        <v>695.67601358804541</v>
      </c>
      <c r="H46" s="307">
        <f t="shared" si="4"/>
        <v>707.46201610740161</v>
      </c>
      <c r="I46" s="307">
        <f t="shared" si="4"/>
        <v>719.66123926796217</v>
      </c>
      <c r="J46" s="307">
        <f t="shared" si="4"/>
        <v>732.66252738285675</v>
      </c>
      <c r="K46" s="307">
        <f t="shared" si="4"/>
        <v>743.68781185961427</v>
      </c>
      <c r="L46" s="307">
        <f t="shared" si="5"/>
        <v>752.59483808150242</v>
      </c>
      <c r="M46" s="307">
        <f t="shared" si="6"/>
        <v>761.66740901588821</v>
      </c>
      <c r="N46" s="307">
        <f t="shared" si="7"/>
        <v>769.64681175777866</v>
      </c>
      <c r="O46" s="327"/>
      <c r="P46" s="327"/>
    </row>
    <row r="47" spans="2:16">
      <c r="B47" s="363" t="str">
        <f t="shared" si="3"/>
        <v>40-44</v>
      </c>
      <c r="C47" s="307">
        <f t="shared" si="3"/>
        <v>703.69575344817713</v>
      </c>
      <c r="D47" s="307">
        <f t="shared" si="4"/>
        <v>697.77949125512373</v>
      </c>
      <c r="E47" s="307">
        <f t="shared" si="4"/>
        <v>684.57233509000741</v>
      </c>
      <c r="F47" s="307">
        <f t="shared" si="4"/>
        <v>678.58473324574425</v>
      </c>
      <c r="G47" s="307">
        <f t="shared" si="4"/>
        <v>676.54553794845413</v>
      </c>
      <c r="H47" s="307">
        <f t="shared" si="4"/>
        <v>676.77232711329827</v>
      </c>
      <c r="I47" s="307">
        <f t="shared" si="4"/>
        <v>679.98173964183525</v>
      </c>
      <c r="J47" s="307">
        <f t="shared" si="4"/>
        <v>685.83855635758755</v>
      </c>
      <c r="K47" s="307">
        <f t="shared" si="4"/>
        <v>691.36505798766052</v>
      </c>
      <c r="L47" s="307">
        <f t="shared" si="5"/>
        <v>696.12516921236795</v>
      </c>
      <c r="M47" s="307">
        <f t="shared" si="6"/>
        <v>701.97367079856451</v>
      </c>
      <c r="N47" s="307">
        <f t="shared" si="7"/>
        <v>707.67446174658244</v>
      </c>
      <c r="O47" s="327"/>
      <c r="P47" s="327"/>
    </row>
    <row r="48" spans="2:16">
      <c r="B48" s="363" t="str">
        <f t="shared" si="3"/>
        <v>45-49</v>
      </c>
      <c r="C48" s="307">
        <f t="shared" si="3"/>
        <v>581.07302088901884</v>
      </c>
      <c r="D48" s="307">
        <f t="shared" si="4"/>
        <v>596.9188760895704</v>
      </c>
      <c r="E48" s="307">
        <f t="shared" si="4"/>
        <v>598.14838854113805</v>
      </c>
      <c r="F48" s="307">
        <f t="shared" si="4"/>
        <v>598.50064267288144</v>
      </c>
      <c r="G48" s="307">
        <f t="shared" si="4"/>
        <v>597.69175613396385</v>
      </c>
      <c r="H48" s="307">
        <f t="shared" si="4"/>
        <v>596.19605792487209</v>
      </c>
      <c r="I48" s="307">
        <f t="shared" si="4"/>
        <v>595.82587065849771</v>
      </c>
      <c r="J48" s="307">
        <f t="shared" si="4"/>
        <v>597.10630942945295</v>
      </c>
      <c r="K48" s="307">
        <f t="shared" si="4"/>
        <v>598.13054937010429</v>
      </c>
      <c r="L48" s="307">
        <f t="shared" si="5"/>
        <v>598.78432163620823</v>
      </c>
      <c r="M48" s="307">
        <f t="shared" si="6"/>
        <v>600.6590269209438</v>
      </c>
      <c r="N48" s="307">
        <f t="shared" si="7"/>
        <v>602.83906999588953</v>
      </c>
      <c r="O48" s="327"/>
      <c r="P48" s="327"/>
    </row>
    <row r="49" spans="1:16">
      <c r="B49" s="363" t="str">
        <f t="shared" si="3"/>
        <v>50-54</v>
      </c>
      <c r="C49" s="307">
        <f t="shared" si="3"/>
        <v>465.4569024953912</v>
      </c>
      <c r="D49" s="307">
        <f t="shared" si="4"/>
        <v>467.05899316123424</v>
      </c>
      <c r="E49" s="307">
        <f t="shared" si="4"/>
        <v>464.24574019772825</v>
      </c>
      <c r="F49" s="307">
        <f t="shared" si="4"/>
        <v>463.8266602336671</v>
      </c>
      <c r="G49" s="307">
        <f t="shared" si="4"/>
        <v>463.61062095507884</v>
      </c>
      <c r="H49" s="307">
        <f t="shared" si="4"/>
        <v>462.92300648304206</v>
      </c>
      <c r="I49" s="307">
        <f t="shared" si="4"/>
        <v>462.66517519645578</v>
      </c>
      <c r="J49" s="307">
        <f t="shared" si="4"/>
        <v>463.12170911604665</v>
      </c>
      <c r="K49" s="307">
        <f t="shared" si="4"/>
        <v>462.95799813803308</v>
      </c>
      <c r="L49" s="307">
        <f t="shared" si="5"/>
        <v>462.21718628094601</v>
      </c>
      <c r="M49" s="307">
        <f t="shared" si="6"/>
        <v>462.19305032559879</v>
      </c>
      <c r="N49" s="307">
        <f t="shared" si="7"/>
        <v>462.32224868090987</v>
      </c>
      <c r="O49" s="327"/>
      <c r="P49" s="327"/>
    </row>
    <row r="50" spans="1:16">
      <c r="B50" s="363" t="str">
        <f t="shared" si="3"/>
        <v>55-59</v>
      </c>
      <c r="C50" s="307">
        <f t="shared" si="3"/>
        <v>370.22602013164038</v>
      </c>
      <c r="D50" s="307">
        <f t="shared" si="4"/>
        <v>311.37412157163925</v>
      </c>
      <c r="E50" s="307">
        <f t="shared" si="4"/>
        <v>272.01005246215726</v>
      </c>
      <c r="F50" s="307">
        <f t="shared" si="4"/>
        <v>249.11635581496301</v>
      </c>
      <c r="G50" s="307">
        <f t="shared" si="4"/>
        <v>235.45563398179124</v>
      </c>
      <c r="H50" s="307">
        <f t="shared" si="4"/>
        <v>227.03588735685793</v>
      </c>
      <c r="I50" s="307">
        <f t="shared" si="4"/>
        <v>222.26643074775674</v>
      </c>
      <c r="J50" s="307">
        <f t="shared" si="4"/>
        <v>219.87295577337693</v>
      </c>
      <c r="K50" s="307">
        <f t="shared" si="4"/>
        <v>218.02997453700596</v>
      </c>
      <c r="L50" s="307">
        <f t="shared" si="5"/>
        <v>216.36076494757259</v>
      </c>
      <c r="M50" s="307">
        <f t="shared" si="6"/>
        <v>215.52152453419981</v>
      </c>
      <c r="N50" s="307">
        <f t="shared" si="7"/>
        <v>214.89152124099937</v>
      </c>
      <c r="O50" s="327"/>
      <c r="P50" s="327"/>
    </row>
    <row r="51" spans="1:16">
      <c r="B51" s="363" t="str">
        <f t="shared" si="3"/>
        <v>60-64</v>
      </c>
      <c r="C51" s="307">
        <f t="shared" si="3"/>
        <v>91.46614934658372</v>
      </c>
      <c r="D51" s="307">
        <f t="shared" si="4"/>
        <v>99.783456297197148</v>
      </c>
      <c r="E51" s="307">
        <f t="shared" si="4"/>
        <v>94.433637912293463</v>
      </c>
      <c r="F51" s="307">
        <f t="shared" si="4"/>
        <v>87.543047703910617</v>
      </c>
      <c r="G51" s="307">
        <f t="shared" si="4"/>
        <v>81.450239899072642</v>
      </c>
      <c r="H51" s="307">
        <f t="shared" si="4"/>
        <v>76.722829445549394</v>
      </c>
      <c r="I51" s="307">
        <f t="shared" si="4"/>
        <v>73.585011715263363</v>
      </c>
      <c r="J51" s="307">
        <f t="shared" si="4"/>
        <v>71.72648207563509</v>
      </c>
      <c r="K51" s="307">
        <f t="shared" si="4"/>
        <v>70.299703686695025</v>
      </c>
      <c r="L51" s="307">
        <f t="shared" si="5"/>
        <v>69.118210999418309</v>
      </c>
      <c r="M51" s="307">
        <f t="shared" si="6"/>
        <v>68.474043791507555</v>
      </c>
      <c r="N51" s="307">
        <f t="shared" si="7"/>
        <v>67.998731636129875</v>
      </c>
      <c r="O51" s="327"/>
      <c r="P51" s="327"/>
    </row>
    <row r="52" spans="1:16">
      <c r="B52" s="363" t="str">
        <f t="shared" si="3"/>
        <v>65 plus</v>
      </c>
      <c r="C52" s="307">
        <f t="shared" si="3"/>
        <v>23.230987040997984</v>
      </c>
      <c r="D52" s="307">
        <f t="shared" si="4"/>
        <v>25.206288848008029</v>
      </c>
      <c r="E52" s="307">
        <f t="shared" si="4"/>
        <v>26.611561140605424</v>
      </c>
      <c r="F52" s="307">
        <f t="shared" si="4"/>
        <v>26.907271010477839</v>
      </c>
      <c r="G52" s="307">
        <f t="shared" si="4"/>
        <v>26.322475457654434</v>
      </c>
      <c r="H52" s="307">
        <f t="shared" si="4"/>
        <v>25.312853707138594</v>
      </c>
      <c r="I52" s="307">
        <f t="shared" si="4"/>
        <v>24.295213538466342</v>
      </c>
      <c r="J52" s="307">
        <f t="shared" si="4"/>
        <v>23.462878383411649</v>
      </c>
      <c r="K52" s="307">
        <f t="shared" si="4"/>
        <v>22.750662689139901</v>
      </c>
      <c r="L52" s="307">
        <f t="shared" si="5"/>
        <v>22.14277754582703</v>
      </c>
      <c r="M52" s="307">
        <f t="shared" si="6"/>
        <v>21.717744821133685</v>
      </c>
      <c r="N52" s="307">
        <f t="shared" si="7"/>
        <v>21.402023819375071</v>
      </c>
      <c r="O52" s="327"/>
      <c r="P52" s="327"/>
    </row>
    <row r="53" spans="1:16">
      <c r="B53" s="363" t="str">
        <f t="shared" si="3"/>
        <v>Total</v>
      </c>
      <c r="C53" s="307">
        <f t="shared" si="3"/>
        <v>4373.3385793078687</v>
      </c>
      <c r="D53" s="307">
        <f t="shared" si="4"/>
        <v>4541.32712223406</v>
      </c>
      <c r="E53" s="307">
        <f t="shared" si="4"/>
        <v>4555.9130377968359</v>
      </c>
      <c r="F53" s="307">
        <f t="shared" si="4"/>
        <v>4604.7576643147786</v>
      </c>
      <c r="G53" s="307">
        <f t="shared" si="4"/>
        <v>4654.5992914568424</v>
      </c>
      <c r="H53" s="307">
        <f t="shared" si="4"/>
        <v>4695.6224616055806</v>
      </c>
      <c r="I53" s="307">
        <f t="shared" si="4"/>
        <v>4746.3828350094172</v>
      </c>
      <c r="J53" s="307">
        <f t="shared" si="4"/>
        <v>4809.2913914622168</v>
      </c>
      <c r="K53" s="307">
        <f t="shared" si="4"/>
        <v>4852.6590386205598</v>
      </c>
      <c r="L53" s="307">
        <f t="shared" si="5"/>
        <v>4876.4558374823691</v>
      </c>
      <c r="M53" s="307">
        <f t="shared" si="6"/>
        <v>4907.488633923128</v>
      </c>
      <c r="N53" s="307">
        <f t="shared" si="7"/>
        <v>4932.5845368733617</v>
      </c>
      <c r="O53" s="327"/>
      <c r="P53" s="327"/>
    </row>
    <row r="54" spans="1:16">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6">
      <c r="B56" s="341" t="s">
        <v>50</v>
      </c>
      <c r="H56" s="325"/>
    </row>
    <row r="57" spans="1:16">
      <c r="H57" s="325"/>
    </row>
    <row r="58" spans="1:16">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6">
      <c r="B59" s="338" t="str">
        <f t="shared" si="9"/>
        <v>20-24</v>
      </c>
      <c r="C59" s="307">
        <f t="shared" ref="C59:C69" si="11">D21</f>
        <v>392.05408784527634</v>
      </c>
      <c r="D59" s="307">
        <f>C356</f>
        <v>524.2095880150107</v>
      </c>
      <c r="E59" s="307">
        <f t="shared" ref="E59:L59" si="12">D356</f>
        <v>564.7259819614394</v>
      </c>
      <c r="F59" s="307">
        <f t="shared" si="12"/>
        <v>603.62437447071738</v>
      </c>
      <c r="G59" s="307">
        <f t="shared" si="12"/>
        <v>631.04036146268504</v>
      </c>
      <c r="H59" s="307">
        <f t="shared" si="12"/>
        <v>647.25680685193049</v>
      </c>
      <c r="I59" s="307">
        <f t="shared" si="12"/>
        <v>662.45315422662441</v>
      </c>
      <c r="J59" s="307">
        <f t="shared" si="12"/>
        <v>678.53687442190414</v>
      </c>
      <c r="K59" s="307">
        <f t="shared" si="12"/>
        <v>684.29757755282071</v>
      </c>
      <c r="L59" s="307">
        <f t="shared" si="12"/>
        <v>682.12914336968072</v>
      </c>
      <c r="M59" s="307">
        <f>L356</f>
        <v>683.58544517584733</v>
      </c>
      <c r="N59" s="307">
        <f>M356</f>
        <v>683.16588258863203</v>
      </c>
      <c r="O59" s="327"/>
    </row>
    <row r="60" spans="1:16">
      <c r="B60" s="338" t="str">
        <f t="shared" si="9"/>
        <v>25-29</v>
      </c>
      <c r="C60" s="307">
        <f t="shared" si="11"/>
        <v>1195.0956876017569</v>
      </c>
      <c r="D60" s="307">
        <f t="shared" ref="D60:K69" si="13">C357</f>
        <v>1184.5472576269544</v>
      </c>
      <c r="E60" s="307">
        <f t="shared" si="13"/>
        <v>1146.7763232863015</v>
      </c>
      <c r="F60" s="307">
        <f t="shared" si="13"/>
        <v>1137.8229400039047</v>
      </c>
      <c r="G60" s="307">
        <f t="shared" si="13"/>
        <v>1138.5311021427481</v>
      </c>
      <c r="H60" s="307">
        <f t="shared" si="13"/>
        <v>1140.8477278047594</v>
      </c>
      <c r="I60" s="307">
        <f t="shared" si="13"/>
        <v>1149.3727867609903</v>
      </c>
      <c r="J60" s="307">
        <f t="shared" si="13"/>
        <v>1163.8210455934602</v>
      </c>
      <c r="K60" s="307">
        <f t="shared" si="13"/>
        <v>1171.3560733227778</v>
      </c>
      <c r="L60" s="307">
        <f t="shared" ref="L60:L69" si="14">K357</f>
        <v>1171.3706608215498</v>
      </c>
      <c r="M60" s="307">
        <f t="shared" ref="M60:M69" si="15">L357</f>
        <v>1174.0700085086739</v>
      </c>
      <c r="N60" s="307">
        <f t="shared" ref="N60:N69" si="16">M357</f>
        <v>1174.7760376964566</v>
      </c>
      <c r="O60" s="327"/>
    </row>
    <row r="61" spans="1:16">
      <c r="B61" s="338" t="str">
        <f t="shared" si="9"/>
        <v>30-34</v>
      </c>
      <c r="C61" s="307">
        <f t="shared" si="11"/>
        <v>1079.4745801635797</v>
      </c>
      <c r="D61" s="307">
        <f t="shared" si="13"/>
        <v>1127.7451423883515</v>
      </c>
      <c r="E61" s="307">
        <f t="shared" si="13"/>
        <v>1134.0951446656575</v>
      </c>
      <c r="F61" s="307">
        <f t="shared" si="13"/>
        <v>1137.2405649031364</v>
      </c>
      <c r="G61" s="307">
        <f t="shared" si="13"/>
        <v>1137.9757125382123</v>
      </c>
      <c r="H61" s="307">
        <f t="shared" si="13"/>
        <v>1137.0972090133041</v>
      </c>
      <c r="I61" s="307">
        <f t="shared" si="13"/>
        <v>1138.8456999254481</v>
      </c>
      <c r="J61" s="307">
        <f t="shared" si="13"/>
        <v>1144.4480472083544</v>
      </c>
      <c r="K61" s="307">
        <f t="shared" si="13"/>
        <v>1148.3020786813527</v>
      </c>
      <c r="L61" s="307">
        <f t="shared" si="14"/>
        <v>1149.2784455638052</v>
      </c>
      <c r="M61" s="307">
        <f t="shared" si="15"/>
        <v>1151.516970363102</v>
      </c>
      <c r="N61" s="307">
        <f t="shared" si="16"/>
        <v>1152.890912219098</v>
      </c>
      <c r="O61" s="327"/>
    </row>
    <row r="62" spans="1:16">
      <c r="B62" s="338" t="str">
        <f t="shared" si="9"/>
        <v>35-39</v>
      </c>
      <c r="C62" s="307">
        <f t="shared" si="11"/>
        <v>934.2774188261576</v>
      </c>
      <c r="D62" s="307">
        <f t="shared" si="13"/>
        <v>979.02040293869891</v>
      </c>
      <c r="E62" s="307">
        <f t="shared" si="13"/>
        <v>1001.7795699229522</v>
      </c>
      <c r="F62" s="307">
        <f t="shared" si="13"/>
        <v>1023.575473895819</v>
      </c>
      <c r="G62" s="307">
        <f t="shared" si="13"/>
        <v>1040.2755071202362</v>
      </c>
      <c r="H62" s="307">
        <f t="shared" si="13"/>
        <v>1051.619672588582</v>
      </c>
      <c r="I62" s="307">
        <f t="shared" si="13"/>
        <v>1061.2238494306046</v>
      </c>
      <c r="J62" s="307">
        <f t="shared" si="13"/>
        <v>1070.6172969445647</v>
      </c>
      <c r="K62" s="307">
        <f t="shared" si="13"/>
        <v>1076.5513419330696</v>
      </c>
      <c r="L62" s="307">
        <f t="shared" si="14"/>
        <v>1079.3591088541805</v>
      </c>
      <c r="M62" s="307">
        <f t="shared" si="15"/>
        <v>1082.7001451504505</v>
      </c>
      <c r="N62" s="307">
        <f t="shared" si="16"/>
        <v>1085.0469733486507</v>
      </c>
      <c r="O62" s="327"/>
    </row>
    <row r="63" spans="1:16">
      <c r="B63" s="338" t="str">
        <f t="shared" si="9"/>
        <v>40-44</v>
      </c>
      <c r="C63" s="307">
        <f t="shared" si="11"/>
        <v>947.33374841259604</v>
      </c>
      <c r="D63" s="307">
        <f t="shared" si="13"/>
        <v>950.32201067490234</v>
      </c>
      <c r="E63" s="307">
        <f t="shared" si="13"/>
        <v>944.16719143833075</v>
      </c>
      <c r="F63" s="307">
        <f t="shared" si="13"/>
        <v>947.16969579617717</v>
      </c>
      <c r="G63" s="307">
        <f t="shared" si="13"/>
        <v>953.4501048369583</v>
      </c>
      <c r="H63" s="307">
        <f t="shared" si="13"/>
        <v>960.20422164826766</v>
      </c>
      <c r="I63" s="307">
        <f t="shared" si="13"/>
        <v>968.49671285458658</v>
      </c>
      <c r="J63" s="307">
        <f t="shared" si="13"/>
        <v>978.11349449404247</v>
      </c>
      <c r="K63" s="307">
        <f t="shared" si="13"/>
        <v>985.18034613512395</v>
      </c>
      <c r="L63" s="307">
        <f t="shared" si="14"/>
        <v>989.5080745279696</v>
      </c>
      <c r="M63" s="307">
        <f t="shared" si="15"/>
        <v>994.16556595158852</v>
      </c>
      <c r="N63" s="307">
        <f t="shared" si="16"/>
        <v>997.75718662017414</v>
      </c>
      <c r="O63" s="327"/>
    </row>
    <row r="64" spans="1:16">
      <c r="B64" s="338" t="str">
        <f t="shared" si="9"/>
        <v>45-49</v>
      </c>
      <c r="C64" s="307">
        <f t="shared" si="11"/>
        <v>695.39198769973689</v>
      </c>
      <c r="D64" s="307">
        <f t="shared" si="13"/>
        <v>744.39686994472322</v>
      </c>
      <c r="E64" s="307">
        <f t="shared" si="13"/>
        <v>767.53428473499093</v>
      </c>
      <c r="F64" s="307">
        <f t="shared" si="13"/>
        <v>785.9781093867731</v>
      </c>
      <c r="G64" s="307">
        <f t="shared" si="13"/>
        <v>800.04120665954019</v>
      </c>
      <c r="H64" s="307">
        <f t="shared" si="13"/>
        <v>810.70318014928523</v>
      </c>
      <c r="I64" s="307">
        <f t="shared" si="13"/>
        <v>820.69846526931371</v>
      </c>
      <c r="J64" s="307">
        <f t="shared" si="13"/>
        <v>830.89394782697832</v>
      </c>
      <c r="K64" s="307">
        <f t="shared" si="13"/>
        <v>838.70231628756176</v>
      </c>
      <c r="L64" s="307">
        <f t="shared" si="14"/>
        <v>844.12488539258948</v>
      </c>
      <c r="M64" s="307">
        <f t="shared" si="15"/>
        <v>849.63226352947891</v>
      </c>
      <c r="N64" s="307">
        <f t="shared" si="16"/>
        <v>854.14194016558019</v>
      </c>
      <c r="O64" s="327"/>
    </row>
    <row r="65" spans="1:18">
      <c r="B65" s="338" t="str">
        <f t="shared" si="9"/>
        <v>50-54</v>
      </c>
      <c r="C65" s="307">
        <f t="shared" si="11"/>
        <v>600.53827710393966</v>
      </c>
      <c r="D65" s="307">
        <f t="shared" si="13"/>
        <v>601.01974142707627</v>
      </c>
      <c r="E65" s="307">
        <f t="shared" si="13"/>
        <v>600.47384417723595</v>
      </c>
      <c r="F65" s="307">
        <f t="shared" si="13"/>
        <v>606.17401504869656</v>
      </c>
      <c r="G65" s="307">
        <f t="shared" si="13"/>
        <v>613.58863070076268</v>
      </c>
      <c r="H65" s="307">
        <f t="shared" si="13"/>
        <v>620.86238488783306</v>
      </c>
      <c r="I65" s="307">
        <f t="shared" si="13"/>
        <v>628.6930469738063</v>
      </c>
      <c r="J65" s="307">
        <f t="shared" si="13"/>
        <v>637.10050232078027</v>
      </c>
      <c r="K65" s="307">
        <f t="shared" si="13"/>
        <v>643.92679392787636</v>
      </c>
      <c r="L65" s="307">
        <f t="shared" si="14"/>
        <v>649.06424557731759</v>
      </c>
      <c r="M65" s="307">
        <f t="shared" si="15"/>
        <v>654.2678646642604</v>
      </c>
      <c r="N65" s="307">
        <f t="shared" si="16"/>
        <v>658.71482532323262</v>
      </c>
      <c r="O65" s="327"/>
    </row>
    <row r="66" spans="1:18">
      <c r="B66" s="338" t="str">
        <f t="shared" si="9"/>
        <v>55-59</v>
      </c>
      <c r="C66" s="307">
        <f t="shared" si="11"/>
        <v>322.44394486180659</v>
      </c>
      <c r="D66" s="307">
        <f t="shared" si="13"/>
        <v>317.84058217503843</v>
      </c>
      <c r="E66" s="307">
        <f t="shared" si="13"/>
        <v>308.54247845406127</v>
      </c>
      <c r="F66" s="307">
        <f t="shared" si="13"/>
        <v>304.15174256343329</v>
      </c>
      <c r="G66" s="307">
        <f t="shared" si="13"/>
        <v>302.37376471459561</v>
      </c>
      <c r="H66" s="307">
        <f t="shared" si="13"/>
        <v>302.04067493150421</v>
      </c>
      <c r="I66" s="307">
        <f t="shared" si="13"/>
        <v>303.42429772114292</v>
      </c>
      <c r="J66" s="307">
        <f t="shared" si="13"/>
        <v>306.13483335099062</v>
      </c>
      <c r="K66" s="307">
        <f t="shared" si="13"/>
        <v>308.3545210146608</v>
      </c>
      <c r="L66" s="307">
        <f t="shared" si="14"/>
        <v>309.94972791863313</v>
      </c>
      <c r="M66" s="307">
        <f t="shared" si="15"/>
        <v>312.07037790883794</v>
      </c>
      <c r="N66" s="307">
        <f t="shared" si="16"/>
        <v>313.96166382908393</v>
      </c>
      <c r="O66" s="327"/>
    </row>
    <row r="67" spans="1:18">
      <c r="B67" s="338" t="str">
        <f t="shared" si="9"/>
        <v>60-64</v>
      </c>
      <c r="C67" s="307">
        <f t="shared" si="11"/>
        <v>61.054929389727072</v>
      </c>
      <c r="D67" s="307">
        <f t="shared" si="13"/>
        <v>80.726055780416942</v>
      </c>
      <c r="E67" s="307">
        <f t="shared" si="13"/>
        <v>86.041817265665784</v>
      </c>
      <c r="F67" s="307">
        <f t="shared" si="13"/>
        <v>88.069818375901662</v>
      </c>
      <c r="G67" s="307">
        <f t="shared" si="13"/>
        <v>88.507987943047468</v>
      </c>
      <c r="H67" s="307">
        <f t="shared" si="13"/>
        <v>88.319565582874091</v>
      </c>
      <c r="I67" s="307">
        <f t="shared" si="13"/>
        <v>88.431065992870955</v>
      </c>
      <c r="J67" s="307">
        <f t="shared" si="13"/>
        <v>88.977743714350026</v>
      </c>
      <c r="K67" s="307">
        <f t="shared" si="13"/>
        <v>89.20131375691075</v>
      </c>
      <c r="L67" s="307">
        <f t="shared" si="14"/>
        <v>89.176502515796344</v>
      </c>
      <c r="M67" s="307">
        <f t="shared" si="15"/>
        <v>89.532910050367136</v>
      </c>
      <c r="N67" s="307">
        <f t="shared" si="16"/>
        <v>89.852569407760981</v>
      </c>
      <c r="O67" s="327"/>
    </row>
    <row r="68" spans="1:18">
      <c r="B68" s="338" t="str">
        <f t="shared" si="9"/>
        <v>65 plus</v>
      </c>
      <c r="C68" s="307">
        <f t="shared" si="11"/>
        <v>14.772560911518562</v>
      </c>
      <c r="D68" s="307">
        <f t="shared" si="13"/>
        <v>17.354207856368681</v>
      </c>
      <c r="E68" s="307">
        <f t="shared" si="13"/>
        <v>19.802912403039588</v>
      </c>
      <c r="F68" s="307">
        <f t="shared" si="13"/>
        <v>21.721020754537221</v>
      </c>
      <c r="G68" s="307">
        <f t="shared" si="13"/>
        <v>22.884805010136056</v>
      </c>
      <c r="H68" s="307">
        <f t="shared" si="13"/>
        <v>23.463771340944035</v>
      </c>
      <c r="I68" s="307">
        <f t="shared" si="13"/>
        <v>23.793697422668863</v>
      </c>
      <c r="J68" s="307">
        <f t="shared" si="13"/>
        <v>24.053974461868087</v>
      </c>
      <c r="K68" s="307">
        <f t="shared" si="13"/>
        <v>24.153233552601929</v>
      </c>
      <c r="L68" s="307">
        <f t="shared" si="14"/>
        <v>24.128962283529862</v>
      </c>
      <c r="M68" s="307">
        <f t="shared" si="15"/>
        <v>24.160498931296946</v>
      </c>
      <c r="N68" s="307">
        <f t="shared" si="16"/>
        <v>24.18955687236555</v>
      </c>
      <c r="O68" s="327"/>
    </row>
    <row r="69" spans="1:18">
      <c r="B69" s="338" t="str">
        <f t="shared" si="9"/>
        <v>Total</v>
      </c>
      <c r="C69" s="307">
        <f t="shared" si="11"/>
        <v>6242.4372228160955</v>
      </c>
      <c r="D69" s="307">
        <f t="shared" si="13"/>
        <v>6527.181858827541</v>
      </c>
      <c r="E69" s="307">
        <f t="shared" si="13"/>
        <v>6573.939548309675</v>
      </c>
      <c r="F69" s="307">
        <f t="shared" si="13"/>
        <v>6655.5277551990966</v>
      </c>
      <c r="G69" s="307">
        <f t="shared" si="13"/>
        <v>6728.6691831289227</v>
      </c>
      <c r="H69" s="307">
        <f t="shared" si="13"/>
        <v>6782.4152147992836</v>
      </c>
      <c r="I69" s="307">
        <f t="shared" si="13"/>
        <v>6845.4327765780563</v>
      </c>
      <c r="J69" s="307">
        <f t="shared" si="13"/>
        <v>6922.6977603372934</v>
      </c>
      <c r="K69" s="307">
        <f t="shared" si="13"/>
        <v>6970.0255961647563</v>
      </c>
      <c r="L69" s="307">
        <f t="shared" si="14"/>
        <v>6988.0897568250521</v>
      </c>
      <c r="M69" s="307">
        <f t="shared" si="15"/>
        <v>7015.7020502339028</v>
      </c>
      <c r="N69" s="307">
        <f t="shared" si="16"/>
        <v>7034.4975480710345</v>
      </c>
      <c r="O69" s="327"/>
    </row>
    <row r="70" spans="1:18">
      <c r="A70" s="309">
        <f>SUM(C70:N70)</f>
        <v>0</v>
      </c>
      <c r="C70" s="309">
        <f t="shared" ref="C70:N70" si="17">SUM(C59:C68)-C69</f>
        <v>0</v>
      </c>
      <c r="D70" s="309">
        <f t="shared" si="17"/>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8" ht="15.75">
      <c r="B72" s="340" t="s">
        <v>150</v>
      </c>
      <c r="H72" s="325"/>
    </row>
    <row r="73" spans="1:18">
      <c r="H73" s="325"/>
    </row>
    <row r="74" spans="1:18">
      <c r="B74" s="341" t="s">
        <v>49</v>
      </c>
      <c r="C74" s="262" t="s">
        <v>453</v>
      </c>
      <c r="H74" s="325"/>
    </row>
    <row r="75" spans="1:18">
      <c r="H75" s="325"/>
    </row>
    <row r="76" spans="1:18">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8">
      <c r="B77" s="338" t="str">
        <f t="shared" si="18"/>
        <v>20-24</v>
      </c>
      <c r="C77" s="459">
        <f>C43-(0.2*C43)</f>
        <v>117.40538933091462</v>
      </c>
      <c r="D77" s="459">
        <f>D43-(0.2*D43)</f>
        <v>220.37266784158101</v>
      </c>
      <c r="E77" s="459">
        <f t="shared" ref="E77:N77" si="20">E43-(0.2*E43)</f>
        <v>261.84356703823556</v>
      </c>
      <c r="F77" s="459">
        <f t="shared" si="20"/>
        <v>296.19497116600269</v>
      </c>
      <c r="G77" s="459">
        <f t="shared" si="20"/>
        <v>319.85941955591431</v>
      </c>
      <c r="H77" s="459">
        <f t="shared" si="20"/>
        <v>334.4218827382918</v>
      </c>
      <c r="I77" s="459">
        <f t="shared" si="20"/>
        <v>346.56444993815012</v>
      </c>
      <c r="J77" s="459">
        <f t="shared" si="20"/>
        <v>357.94399726652102</v>
      </c>
      <c r="K77" s="459">
        <f t="shared" si="20"/>
        <v>362.6654734141656</v>
      </c>
      <c r="L77" s="459">
        <f t="shared" si="20"/>
        <v>362.42802748624609</v>
      </c>
      <c r="M77" s="459">
        <f t="shared" si="20"/>
        <v>363.93312256137978</v>
      </c>
      <c r="N77" s="459">
        <f t="shared" si="20"/>
        <v>364.15901348775469</v>
      </c>
      <c r="O77" s="327"/>
      <c r="P77" s="327"/>
      <c r="Q77" s="327"/>
      <c r="R77" s="327"/>
    </row>
    <row r="78" spans="1:18">
      <c r="B78" s="338" t="str">
        <f t="shared" si="18"/>
        <v>25-29</v>
      </c>
      <c r="C78" s="459">
        <f t="shared" ref="C78:C85" si="21">C44+(0.2*C43)-(0.2*C44)</f>
        <v>592.37101161437795</v>
      </c>
      <c r="D78" s="459">
        <f t="shared" ref="D78:N78" si="22">D44+(0.2*D43)-(0.2*D44)</f>
        <v>623.58956695157326</v>
      </c>
      <c r="E78" s="459">
        <f t="shared" si="22"/>
        <v>626.09830564346851</v>
      </c>
      <c r="F78" s="459">
        <f t="shared" si="22"/>
        <v>642.56575565249886</v>
      </c>
      <c r="G78" s="459">
        <f t="shared" si="22"/>
        <v>660.35493617699194</v>
      </c>
      <c r="H78" s="459">
        <f t="shared" si="22"/>
        <v>674.98855390602694</v>
      </c>
      <c r="I78" s="459">
        <f t="shared" si="22"/>
        <v>690.71686775481055</v>
      </c>
      <c r="J78" s="459">
        <f t="shared" si="22"/>
        <v>707.96651993928549</v>
      </c>
      <c r="K78" s="459">
        <f t="shared" si="22"/>
        <v>718.29775428859944</v>
      </c>
      <c r="L78" s="459">
        <f t="shared" si="22"/>
        <v>722.03591564141254</v>
      </c>
      <c r="M78" s="459">
        <f t="shared" si="22"/>
        <v>726.81239541109119</v>
      </c>
      <c r="N78" s="459">
        <f t="shared" si="22"/>
        <v>729.45274756041636</v>
      </c>
      <c r="O78" s="327"/>
      <c r="P78" s="327"/>
      <c r="Q78" s="327"/>
      <c r="R78" s="327"/>
    </row>
    <row r="79" spans="1:18">
      <c r="B79" s="338" t="str">
        <f t="shared" si="18"/>
        <v>30-34</v>
      </c>
      <c r="C79" s="459">
        <f t="shared" si="21"/>
        <v>653.43631821676831</v>
      </c>
      <c r="D79" s="459">
        <f t="shared" ref="D79:N79" si="23">D45+(0.2*D44)-(0.2*D45)</f>
        <v>698.22362021597905</v>
      </c>
      <c r="E79" s="459">
        <f t="shared" si="23"/>
        <v>714.46403006030994</v>
      </c>
      <c r="F79" s="459">
        <f t="shared" si="23"/>
        <v>731.49217671151894</v>
      </c>
      <c r="G79" s="459">
        <f t="shared" si="23"/>
        <v>747.12563027230146</v>
      </c>
      <c r="H79" s="459">
        <f t="shared" si="23"/>
        <v>760.59879161955473</v>
      </c>
      <c r="I79" s="459">
        <f t="shared" si="23"/>
        <v>774.86045700368891</v>
      </c>
      <c r="J79" s="459">
        <f t="shared" si="23"/>
        <v>790.59559062156666</v>
      </c>
      <c r="K79" s="459">
        <f t="shared" si="23"/>
        <v>802.96081141638592</v>
      </c>
      <c r="L79" s="459">
        <f t="shared" si="23"/>
        <v>811.29034595918733</v>
      </c>
      <c r="M79" s="459">
        <f t="shared" si="23"/>
        <v>819.42077233279383</v>
      </c>
      <c r="N79" s="459">
        <f t="shared" si="23"/>
        <v>825.67897526744412</v>
      </c>
      <c r="O79" s="327"/>
      <c r="P79" s="327"/>
      <c r="Q79" s="327"/>
      <c r="R79" s="327"/>
    </row>
    <row r="80" spans="1:18">
      <c r="B80" s="338" t="str">
        <f t="shared" si="18"/>
        <v>35-39</v>
      </c>
      <c r="C80" s="459">
        <f t="shared" si="21"/>
        <v>645.6156915425164</v>
      </c>
      <c r="D80" s="459">
        <f t="shared" ref="D80:N80" si="24">D46+(0.2*D45)-(0.2*D46)</f>
        <v>668.62100801263296</v>
      </c>
      <c r="E80" s="459">
        <f t="shared" si="24"/>
        <v>679.50356959817941</v>
      </c>
      <c r="F80" s="459">
        <f t="shared" si="24"/>
        <v>693.48898625730487</v>
      </c>
      <c r="G80" s="459">
        <f t="shared" si="24"/>
        <v>707.04783835801084</v>
      </c>
      <c r="H80" s="459">
        <f t="shared" si="24"/>
        <v>719.15786808946905</v>
      </c>
      <c r="I80" s="459">
        <f t="shared" si="24"/>
        <v>731.68937096089996</v>
      </c>
      <c r="J80" s="459">
        <f t="shared" si="24"/>
        <v>745.1238870227611</v>
      </c>
      <c r="K80" s="459">
        <f t="shared" si="24"/>
        <v>756.46349072084672</v>
      </c>
      <c r="L80" s="459">
        <f t="shared" si="24"/>
        <v>765.43415015688299</v>
      </c>
      <c r="M80" s="459">
        <f t="shared" si="24"/>
        <v>774.44980062273748</v>
      </c>
      <c r="N80" s="459">
        <f t="shared" si="24"/>
        <v>782.23638108630416</v>
      </c>
      <c r="O80" s="327"/>
      <c r="P80" s="327"/>
      <c r="Q80" s="327"/>
      <c r="R80" s="327"/>
    </row>
    <row r="81" spans="1:18">
      <c r="B81" s="338" t="str">
        <f t="shared" si="18"/>
        <v>40-44</v>
      </c>
      <c r="C81" s="459">
        <f t="shared" si="21"/>
        <v>692.31793801002345</v>
      </c>
      <c r="D81" s="459">
        <f t="shared" ref="D81:N81" si="25">D47+(0.2*D46)-(0.2*D47)</f>
        <v>690.62262499362078</v>
      </c>
      <c r="E81" s="459">
        <f t="shared" si="25"/>
        <v>681.63971818471759</v>
      </c>
      <c r="F81" s="459">
        <f t="shared" si="25"/>
        <v>679.40485044240472</v>
      </c>
      <c r="G81" s="459">
        <f t="shared" si="25"/>
        <v>680.3716330763724</v>
      </c>
      <c r="H81" s="459">
        <f t="shared" si="25"/>
        <v>682.91026491211892</v>
      </c>
      <c r="I81" s="459">
        <f t="shared" si="25"/>
        <v>687.91763956706063</v>
      </c>
      <c r="J81" s="459">
        <f t="shared" si="25"/>
        <v>695.20335056264139</v>
      </c>
      <c r="K81" s="459">
        <f t="shared" si="25"/>
        <v>701.82960876205129</v>
      </c>
      <c r="L81" s="459">
        <f t="shared" si="25"/>
        <v>707.41910298619484</v>
      </c>
      <c r="M81" s="459">
        <f t="shared" si="25"/>
        <v>713.91241844202921</v>
      </c>
      <c r="N81" s="459">
        <f t="shared" si="25"/>
        <v>720.06893174882168</v>
      </c>
      <c r="O81" s="327"/>
      <c r="P81" s="327"/>
      <c r="Q81" s="327"/>
      <c r="R81" s="327"/>
    </row>
    <row r="82" spans="1:18">
      <c r="B82" s="338" t="str">
        <f t="shared" si="18"/>
        <v>45-49</v>
      </c>
      <c r="C82" s="459">
        <f t="shared" si="21"/>
        <v>605.59756740085049</v>
      </c>
      <c r="D82" s="459">
        <f t="shared" ref="D82:N82" si="26">D48+(0.2*D47)-(0.2*D48)</f>
        <v>617.09099912268107</v>
      </c>
      <c r="E82" s="459">
        <f t="shared" si="26"/>
        <v>615.43317785091187</v>
      </c>
      <c r="F82" s="459">
        <f t="shared" si="26"/>
        <v>614.51746078745407</v>
      </c>
      <c r="G82" s="459">
        <f t="shared" si="26"/>
        <v>613.4625124968619</v>
      </c>
      <c r="H82" s="459">
        <f t="shared" si="26"/>
        <v>612.31131176255735</v>
      </c>
      <c r="I82" s="459">
        <f t="shared" si="26"/>
        <v>612.65704445516519</v>
      </c>
      <c r="J82" s="459">
        <f t="shared" si="26"/>
        <v>614.85275881507982</v>
      </c>
      <c r="K82" s="459">
        <f t="shared" si="26"/>
        <v>616.77745109361558</v>
      </c>
      <c r="L82" s="459">
        <f t="shared" si="26"/>
        <v>618.25249115144015</v>
      </c>
      <c r="M82" s="459">
        <f t="shared" si="26"/>
        <v>620.92195569646799</v>
      </c>
      <c r="N82" s="459">
        <f t="shared" si="26"/>
        <v>623.80614834602807</v>
      </c>
      <c r="O82" s="327"/>
      <c r="P82" s="327"/>
      <c r="Q82" s="327"/>
      <c r="R82" s="327"/>
    </row>
    <row r="83" spans="1:18">
      <c r="B83" s="338" t="str">
        <f t="shared" si="18"/>
        <v>50-54</v>
      </c>
      <c r="C83" s="459">
        <f t="shared" si="21"/>
        <v>488.58012617411669</v>
      </c>
      <c r="D83" s="459">
        <f t="shared" ref="D83:N83" si="27">D49+(0.2*D48)-(0.2*D49)</f>
        <v>493.03096974690146</v>
      </c>
      <c r="E83" s="459">
        <f t="shared" si="27"/>
        <v>491.02626986641019</v>
      </c>
      <c r="F83" s="459">
        <f t="shared" si="27"/>
        <v>490.76145672150994</v>
      </c>
      <c r="G83" s="459">
        <f t="shared" si="27"/>
        <v>490.42684799085583</v>
      </c>
      <c r="H83" s="459">
        <f t="shared" si="27"/>
        <v>489.57761677140809</v>
      </c>
      <c r="I83" s="459">
        <f t="shared" si="27"/>
        <v>489.29731428886413</v>
      </c>
      <c r="J83" s="459">
        <f t="shared" si="27"/>
        <v>489.918629178728</v>
      </c>
      <c r="K83" s="459">
        <f t="shared" si="27"/>
        <v>489.99250838444738</v>
      </c>
      <c r="L83" s="459">
        <f t="shared" si="27"/>
        <v>489.53061335199845</v>
      </c>
      <c r="M83" s="459">
        <f t="shared" si="27"/>
        <v>489.88624564466784</v>
      </c>
      <c r="N83" s="459">
        <f t="shared" si="27"/>
        <v>490.42561294390583</v>
      </c>
      <c r="O83" s="327"/>
      <c r="P83" s="327"/>
      <c r="Q83" s="327"/>
      <c r="R83" s="327"/>
    </row>
    <row r="84" spans="1:18">
      <c r="B84" s="338" t="str">
        <f t="shared" si="18"/>
        <v>55-59</v>
      </c>
      <c r="C84" s="459">
        <f t="shared" si="21"/>
        <v>389.27219660439056</v>
      </c>
      <c r="D84" s="459">
        <f t="shared" ref="D84:N84" si="28">D50+(0.2*D49)-(0.2*D50)</f>
        <v>342.51109588955825</v>
      </c>
      <c r="E84" s="459">
        <f t="shared" si="28"/>
        <v>310.45719000927147</v>
      </c>
      <c r="F84" s="459">
        <f t="shared" si="28"/>
        <v>292.05841669870381</v>
      </c>
      <c r="G84" s="459">
        <f t="shared" si="28"/>
        <v>281.08663137644874</v>
      </c>
      <c r="H84" s="459">
        <f t="shared" si="28"/>
        <v>274.21331118209474</v>
      </c>
      <c r="I84" s="459">
        <f t="shared" si="28"/>
        <v>270.34617963749656</v>
      </c>
      <c r="J84" s="459">
        <f t="shared" si="28"/>
        <v>268.52270644191083</v>
      </c>
      <c r="K84" s="459">
        <f t="shared" si="28"/>
        <v>267.01557925721136</v>
      </c>
      <c r="L84" s="459">
        <f t="shared" si="28"/>
        <v>265.53204921424731</v>
      </c>
      <c r="M84" s="459">
        <f t="shared" si="28"/>
        <v>264.85582969247963</v>
      </c>
      <c r="N84" s="459">
        <f t="shared" si="28"/>
        <v>264.37766672898147</v>
      </c>
      <c r="O84" s="327"/>
      <c r="P84" s="327"/>
      <c r="Q84" s="327"/>
      <c r="R84" s="327"/>
    </row>
    <row r="85" spans="1:18">
      <c r="B85" s="338" t="str">
        <f t="shared" si="18"/>
        <v>60-64</v>
      </c>
      <c r="C85" s="459">
        <f t="shared" si="21"/>
        <v>147.21812350359505</v>
      </c>
      <c r="D85" s="459">
        <f t="shared" ref="D85:N85" si="29">D51+(0.2*D50)-(0.2*D51)</f>
        <v>142.10158935208557</v>
      </c>
      <c r="E85" s="459">
        <f t="shared" si="29"/>
        <v>129.94892082226622</v>
      </c>
      <c r="F85" s="459">
        <f t="shared" si="29"/>
        <v>119.8577093261211</v>
      </c>
      <c r="G85" s="459">
        <f t="shared" si="29"/>
        <v>112.25131871561636</v>
      </c>
      <c r="H85" s="459">
        <f t="shared" si="29"/>
        <v>106.78544102781112</v>
      </c>
      <c r="I85" s="459">
        <f t="shared" si="29"/>
        <v>103.32129552176205</v>
      </c>
      <c r="J85" s="459">
        <f t="shared" si="29"/>
        <v>101.35577681518345</v>
      </c>
      <c r="K85" s="459">
        <f t="shared" si="29"/>
        <v>99.845757856757217</v>
      </c>
      <c r="L85" s="459">
        <f t="shared" si="29"/>
        <v>98.566721789049168</v>
      </c>
      <c r="M85" s="459">
        <f t="shared" si="29"/>
        <v>97.883539940046006</v>
      </c>
      <c r="N85" s="459">
        <f t="shared" si="29"/>
        <v>97.377289557103779</v>
      </c>
      <c r="O85" s="327"/>
      <c r="P85" s="327"/>
      <c r="Q85" s="327"/>
      <c r="R85" s="327"/>
    </row>
    <row r="86" spans="1:18">
      <c r="B86" s="338" t="str">
        <f t="shared" si="18"/>
        <v>65 plus</v>
      </c>
      <c r="C86" s="459">
        <f>C52+(0.2*C51)</f>
        <v>41.524216910314728</v>
      </c>
      <c r="D86" s="459">
        <f t="shared" ref="D86:N86" si="30">D52+(0.2*D51)</f>
        <v>45.16298010744746</v>
      </c>
      <c r="E86" s="459">
        <f t="shared" si="30"/>
        <v>45.498288723064121</v>
      </c>
      <c r="F86" s="459">
        <f t="shared" si="30"/>
        <v>44.41588055125996</v>
      </c>
      <c r="G86" s="459">
        <f t="shared" si="30"/>
        <v>42.612523437468965</v>
      </c>
      <c r="H86" s="459">
        <f t="shared" si="30"/>
        <v>40.657419596248474</v>
      </c>
      <c r="I86" s="459">
        <f t="shared" si="30"/>
        <v>39.012215881519012</v>
      </c>
      <c r="J86" s="459">
        <f t="shared" si="30"/>
        <v>37.808174798538666</v>
      </c>
      <c r="K86" s="459">
        <f t="shared" si="30"/>
        <v>36.810603426478906</v>
      </c>
      <c r="L86" s="459">
        <f t="shared" si="30"/>
        <v>35.966419745710695</v>
      </c>
      <c r="M86" s="459">
        <f t="shared" si="30"/>
        <v>35.412553579435198</v>
      </c>
      <c r="N86" s="459">
        <f t="shared" si="30"/>
        <v>35.001770146601046</v>
      </c>
      <c r="O86" s="327"/>
      <c r="P86" s="327"/>
      <c r="Q86" s="327"/>
      <c r="R86" s="327"/>
    </row>
    <row r="87" spans="1:18">
      <c r="B87" s="338" t="str">
        <f t="shared" si="18"/>
        <v>Total</v>
      </c>
      <c r="C87" s="459">
        <f>SUM(C77:C86)</f>
        <v>4373.3385793078687</v>
      </c>
      <c r="D87" s="459">
        <f t="shared" ref="D87:N87" si="31">SUM(D77:D86)</f>
        <v>4541.3271222340609</v>
      </c>
      <c r="E87" s="459">
        <f t="shared" si="31"/>
        <v>4555.9130377968349</v>
      </c>
      <c r="F87" s="459">
        <f t="shared" si="31"/>
        <v>4604.7576643147786</v>
      </c>
      <c r="G87" s="459">
        <f t="shared" si="31"/>
        <v>4654.5992914568424</v>
      </c>
      <c r="H87" s="459">
        <f t="shared" si="31"/>
        <v>4695.6224616055815</v>
      </c>
      <c r="I87" s="459">
        <f t="shared" si="31"/>
        <v>4746.3828350094182</v>
      </c>
      <c r="J87" s="459">
        <f t="shared" si="31"/>
        <v>4809.2913914622168</v>
      </c>
      <c r="K87" s="459">
        <f t="shared" si="31"/>
        <v>4852.6590386205598</v>
      </c>
      <c r="L87" s="459">
        <f t="shared" si="31"/>
        <v>4876.45583748237</v>
      </c>
      <c r="M87" s="459">
        <f t="shared" si="31"/>
        <v>4907.4886339231289</v>
      </c>
      <c r="N87" s="459">
        <f t="shared" si="31"/>
        <v>4932.5845368733608</v>
      </c>
      <c r="O87" s="327"/>
      <c r="P87" s="327"/>
      <c r="Q87" s="327"/>
      <c r="R87" s="327"/>
    </row>
    <row r="88" spans="1:18">
      <c r="A88" s="309">
        <f>SUM(C88:N88)</f>
        <v>0</v>
      </c>
      <c r="C88" s="309">
        <f t="shared" ref="C88:N88" si="32">SUM(C77:C86)-C87</f>
        <v>0</v>
      </c>
      <c r="D88" s="309">
        <f t="shared" si="32"/>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8">
      <c r="B90" s="341" t="s">
        <v>50</v>
      </c>
      <c r="H90" s="325"/>
    </row>
    <row r="91" spans="1:18">
      <c r="H91" s="325"/>
    </row>
    <row r="92" spans="1:18">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8">
      <c r="B93" s="338" t="str">
        <f t="shared" si="33"/>
        <v>20-24</v>
      </c>
      <c r="C93" s="459">
        <f>C59-(0.2*C59)</f>
        <v>313.64327027622107</v>
      </c>
      <c r="D93" s="459">
        <f t="shared" ref="D93:N93" si="35">D59-(0.2*D59)</f>
        <v>419.36767041200858</v>
      </c>
      <c r="E93" s="459">
        <f t="shared" si="35"/>
        <v>451.78078556915153</v>
      </c>
      <c r="F93" s="459">
        <f t="shared" si="35"/>
        <v>482.89949957657393</v>
      </c>
      <c r="G93" s="459">
        <f t="shared" si="35"/>
        <v>504.83228917014804</v>
      </c>
      <c r="H93" s="459">
        <f t="shared" si="35"/>
        <v>517.80544548154444</v>
      </c>
      <c r="I93" s="459">
        <f t="shared" si="35"/>
        <v>529.96252338129955</v>
      </c>
      <c r="J93" s="459">
        <f t="shared" si="35"/>
        <v>542.82949953752336</v>
      </c>
      <c r="K93" s="459">
        <f t="shared" si="35"/>
        <v>547.43806204225655</v>
      </c>
      <c r="L93" s="459">
        <f t="shared" si="35"/>
        <v>545.70331469574455</v>
      </c>
      <c r="M93" s="459">
        <f t="shared" si="35"/>
        <v>546.86835614067786</v>
      </c>
      <c r="N93" s="459">
        <f t="shared" si="35"/>
        <v>546.53270607090565</v>
      </c>
    </row>
    <row r="94" spans="1:18">
      <c r="B94" s="338" t="str">
        <f t="shared" si="33"/>
        <v>25-29</v>
      </c>
      <c r="C94" s="459">
        <f t="shared" ref="C94:C101" si="36">C60+(0.2*C59)-(0.2*C60)</f>
        <v>1034.4873676504608</v>
      </c>
      <c r="D94" s="459">
        <f t="shared" ref="D94:N94" si="37">D60+(0.2*D59)-(0.2*D60)</f>
        <v>1052.4797237045657</v>
      </c>
      <c r="E94" s="459">
        <f t="shared" si="37"/>
        <v>1030.3662550213292</v>
      </c>
      <c r="F94" s="459">
        <f t="shared" si="37"/>
        <v>1030.9832268972673</v>
      </c>
      <c r="G94" s="459">
        <f t="shared" si="37"/>
        <v>1037.0329540067355</v>
      </c>
      <c r="H94" s="459">
        <f t="shared" si="37"/>
        <v>1042.1295436141936</v>
      </c>
      <c r="I94" s="459">
        <f t="shared" si="37"/>
        <v>1051.9888602541171</v>
      </c>
      <c r="J94" s="459">
        <f t="shared" si="37"/>
        <v>1066.7642113591492</v>
      </c>
      <c r="K94" s="459">
        <f t="shared" si="37"/>
        <v>1073.9443741687862</v>
      </c>
      <c r="L94" s="459">
        <f t="shared" si="37"/>
        <v>1073.522357331176</v>
      </c>
      <c r="M94" s="459">
        <f t="shared" si="37"/>
        <v>1075.9730958421087</v>
      </c>
      <c r="N94" s="459">
        <f t="shared" si="37"/>
        <v>1076.4540066748918</v>
      </c>
    </row>
    <row r="95" spans="1:18">
      <c r="B95" s="338" t="str">
        <f t="shared" si="33"/>
        <v>30-34</v>
      </c>
      <c r="C95" s="459">
        <f t="shared" si="36"/>
        <v>1102.5988016512151</v>
      </c>
      <c r="D95" s="459">
        <f t="shared" ref="D95:N95" si="38">D61+(0.2*D60)-(0.2*D61)</f>
        <v>1139.1055654360721</v>
      </c>
      <c r="E95" s="459">
        <f t="shared" si="38"/>
        <v>1136.6313803897863</v>
      </c>
      <c r="F95" s="459">
        <f t="shared" si="38"/>
        <v>1137.3570399232901</v>
      </c>
      <c r="G95" s="459">
        <f t="shared" si="38"/>
        <v>1138.0867904591194</v>
      </c>
      <c r="H95" s="459">
        <f t="shared" si="38"/>
        <v>1137.8473127715952</v>
      </c>
      <c r="I95" s="459">
        <f t="shared" si="38"/>
        <v>1140.9511172925565</v>
      </c>
      <c r="J95" s="459">
        <f t="shared" si="38"/>
        <v>1148.3226468853754</v>
      </c>
      <c r="K95" s="459">
        <f t="shared" si="38"/>
        <v>1152.9128776096377</v>
      </c>
      <c r="L95" s="459">
        <f t="shared" si="38"/>
        <v>1153.6968886153541</v>
      </c>
      <c r="M95" s="459">
        <f t="shared" si="38"/>
        <v>1156.0275779922163</v>
      </c>
      <c r="N95" s="459">
        <f t="shared" si="38"/>
        <v>1157.2679373145697</v>
      </c>
    </row>
    <row r="96" spans="1:18">
      <c r="B96" s="338" t="str">
        <f t="shared" si="33"/>
        <v>35-39</v>
      </c>
      <c r="C96" s="459">
        <f t="shared" si="36"/>
        <v>963.31685109364196</v>
      </c>
      <c r="D96" s="459">
        <f t="shared" ref="D96:N96" si="39">D62+(0.2*D61)-(0.2*D62)</f>
        <v>1008.7653508286295</v>
      </c>
      <c r="E96" s="459">
        <f t="shared" si="39"/>
        <v>1028.2426848714933</v>
      </c>
      <c r="F96" s="459">
        <f t="shared" si="39"/>
        <v>1046.3084920972824</v>
      </c>
      <c r="G96" s="459">
        <f t="shared" si="39"/>
        <v>1059.8155482038314</v>
      </c>
      <c r="H96" s="459">
        <f t="shared" si="39"/>
        <v>1068.7151798735265</v>
      </c>
      <c r="I96" s="459">
        <f t="shared" si="39"/>
        <v>1076.7482195295734</v>
      </c>
      <c r="J96" s="459">
        <f t="shared" si="39"/>
        <v>1085.3834469973226</v>
      </c>
      <c r="K96" s="459">
        <f t="shared" si="39"/>
        <v>1090.9014892827263</v>
      </c>
      <c r="L96" s="459">
        <f t="shared" si="39"/>
        <v>1093.3429761961056</v>
      </c>
      <c r="M96" s="459">
        <f t="shared" si="39"/>
        <v>1096.4635101929807</v>
      </c>
      <c r="N96" s="459">
        <f t="shared" si="39"/>
        <v>1098.61576112274</v>
      </c>
    </row>
    <row r="97" spans="1:14">
      <c r="B97" s="338" t="str">
        <f t="shared" si="33"/>
        <v>40-44</v>
      </c>
      <c r="C97" s="459">
        <f t="shared" si="36"/>
        <v>944.72248249530833</v>
      </c>
      <c r="D97" s="459">
        <f t="shared" ref="D97:N97" si="40">D63+(0.2*D62)-(0.2*D63)</f>
        <v>956.06168912766168</v>
      </c>
      <c r="E97" s="459">
        <f t="shared" si="40"/>
        <v>955.68966713525504</v>
      </c>
      <c r="F97" s="459">
        <f t="shared" si="40"/>
        <v>962.45085141610548</v>
      </c>
      <c r="G97" s="459">
        <f t="shared" si="40"/>
        <v>970.81518529361381</v>
      </c>
      <c r="H97" s="459">
        <f t="shared" si="40"/>
        <v>978.48731183633049</v>
      </c>
      <c r="I97" s="459">
        <f t="shared" si="40"/>
        <v>987.04214016979006</v>
      </c>
      <c r="J97" s="459">
        <f t="shared" si="40"/>
        <v>996.61425498414701</v>
      </c>
      <c r="K97" s="459">
        <f t="shared" si="40"/>
        <v>1003.4545452947131</v>
      </c>
      <c r="L97" s="459">
        <f t="shared" si="40"/>
        <v>1007.4782813932118</v>
      </c>
      <c r="M97" s="459">
        <f t="shared" si="40"/>
        <v>1011.8724817913609</v>
      </c>
      <c r="N97" s="459">
        <f t="shared" si="40"/>
        <v>1015.2151439658694</v>
      </c>
    </row>
    <row r="98" spans="1:14">
      <c r="B98" s="338" t="str">
        <f t="shared" si="33"/>
        <v>45-49</v>
      </c>
      <c r="C98" s="459">
        <f t="shared" si="36"/>
        <v>745.78033984230865</v>
      </c>
      <c r="D98" s="459">
        <f t="shared" ref="D98:N98" si="41">D64+(0.2*D63)-(0.2*D64)</f>
        <v>785.58189809075907</v>
      </c>
      <c r="E98" s="459">
        <f t="shared" si="41"/>
        <v>802.86086607565881</v>
      </c>
      <c r="F98" s="459">
        <f t="shared" si="41"/>
        <v>818.21642666865398</v>
      </c>
      <c r="G98" s="459">
        <f t="shared" si="41"/>
        <v>830.72298629502382</v>
      </c>
      <c r="H98" s="459">
        <f t="shared" si="41"/>
        <v>840.60338844908165</v>
      </c>
      <c r="I98" s="459">
        <f t="shared" si="41"/>
        <v>850.25811478636831</v>
      </c>
      <c r="J98" s="459">
        <f t="shared" si="41"/>
        <v>860.3378571603912</v>
      </c>
      <c r="K98" s="459">
        <f t="shared" si="41"/>
        <v>867.99792225707415</v>
      </c>
      <c r="L98" s="459">
        <f t="shared" si="41"/>
        <v>873.20152321966555</v>
      </c>
      <c r="M98" s="459">
        <f t="shared" si="41"/>
        <v>878.53892401390067</v>
      </c>
      <c r="N98" s="459">
        <f t="shared" si="41"/>
        <v>882.86498945649907</v>
      </c>
    </row>
    <row r="99" spans="1:14">
      <c r="B99" s="338" t="str">
        <f t="shared" si="33"/>
        <v>50-54</v>
      </c>
      <c r="C99" s="459">
        <f t="shared" si="36"/>
        <v>619.50901922309913</v>
      </c>
      <c r="D99" s="459">
        <f t="shared" ref="D99:N99" si="42">D65+(0.2*D64)-(0.2*D65)</f>
        <v>629.69516713060557</v>
      </c>
      <c r="E99" s="459">
        <f t="shared" si="42"/>
        <v>633.88593228878699</v>
      </c>
      <c r="F99" s="459">
        <f t="shared" si="42"/>
        <v>642.13483391631189</v>
      </c>
      <c r="G99" s="459">
        <f t="shared" si="42"/>
        <v>650.87914589251818</v>
      </c>
      <c r="H99" s="459">
        <f t="shared" si="42"/>
        <v>658.83054394012356</v>
      </c>
      <c r="I99" s="459">
        <f t="shared" si="42"/>
        <v>667.09413063290776</v>
      </c>
      <c r="J99" s="459">
        <f t="shared" si="42"/>
        <v>675.85919142201988</v>
      </c>
      <c r="K99" s="459">
        <f t="shared" si="42"/>
        <v>682.88189839981351</v>
      </c>
      <c r="L99" s="459">
        <f t="shared" si="42"/>
        <v>688.07637354037195</v>
      </c>
      <c r="M99" s="459">
        <f t="shared" si="42"/>
        <v>693.34074443730412</v>
      </c>
      <c r="N99" s="459">
        <f t="shared" si="42"/>
        <v>697.80024829170213</v>
      </c>
    </row>
    <row r="100" spans="1:14">
      <c r="B100" s="338" t="str">
        <f t="shared" si="33"/>
        <v>55-59</v>
      </c>
      <c r="C100" s="459">
        <f t="shared" si="36"/>
        <v>378.0628113102332</v>
      </c>
      <c r="D100" s="459">
        <f t="shared" ref="D100:N100" si="43">D66+(0.2*D65)-(0.2*D66)</f>
        <v>374.47641402544599</v>
      </c>
      <c r="E100" s="459">
        <f t="shared" si="43"/>
        <v>366.92875159869624</v>
      </c>
      <c r="F100" s="459">
        <f t="shared" si="43"/>
        <v>364.55619706048594</v>
      </c>
      <c r="G100" s="459">
        <f t="shared" si="43"/>
        <v>364.61673791182903</v>
      </c>
      <c r="H100" s="459">
        <f t="shared" si="43"/>
        <v>365.80501692276994</v>
      </c>
      <c r="I100" s="459">
        <f t="shared" si="43"/>
        <v>368.47804757167563</v>
      </c>
      <c r="J100" s="459">
        <f t="shared" si="43"/>
        <v>372.32796714494856</v>
      </c>
      <c r="K100" s="459">
        <f t="shared" si="43"/>
        <v>375.46897559730394</v>
      </c>
      <c r="L100" s="459">
        <f t="shared" si="43"/>
        <v>377.77263145037006</v>
      </c>
      <c r="M100" s="459">
        <f t="shared" si="43"/>
        <v>380.50987525992247</v>
      </c>
      <c r="N100" s="459">
        <f t="shared" si="43"/>
        <v>382.91229612791369</v>
      </c>
    </row>
    <row r="101" spans="1:14">
      <c r="B101" s="338" t="str">
        <f t="shared" si="33"/>
        <v>60-64</v>
      </c>
      <c r="C101" s="459">
        <f t="shared" si="36"/>
        <v>113.33273248414297</v>
      </c>
      <c r="D101" s="459">
        <f t="shared" ref="D101:N101" si="44">D67+(0.2*D66)-(0.2*D67)</f>
        <v>128.14896105934125</v>
      </c>
      <c r="E101" s="459">
        <f t="shared" si="44"/>
        <v>130.54194950334488</v>
      </c>
      <c r="F101" s="459">
        <f t="shared" si="44"/>
        <v>131.28620321340799</v>
      </c>
      <c r="G101" s="459">
        <f t="shared" si="44"/>
        <v>131.28114329735709</v>
      </c>
      <c r="H101" s="459">
        <f t="shared" si="44"/>
        <v>131.06378745260014</v>
      </c>
      <c r="I101" s="459">
        <f t="shared" si="44"/>
        <v>131.42971233852535</v>
      </c>
      <c r="J101" s="459">
        <f t="shared" si="44"/>
        <v>132.40916164167814</v>
      </c>
      <c r="K101" s="459">
        <f t="shared" si="44"/>
        <v>133.03195520846077</v>
      </c>
      <c r="L101" s="459">
        <f t="shared" si="44"/>
        <v>133.33114759636371</v>
      </c>
      <c r="M101" s="459">
        <f t="shared" si="44"/>
        <v>134.04040362206129</v>
      </c>
      <c r="N101" s="459">
        <f t="shared" si="44"/>
        <v>134.67438829202558</v>
      </c>
    </row>
    <row r="102" spans="1:14">
      <c r="B102" s="338" t="str">
        <f t="shared" si="33"/>
        <v>65 plus</v>
      </c>
      <c r="C102" s="459">
        <f>C68+(0.2*C67)</f>
        <v>26.983546789463979</v>
      </c>
      <c r="D102" s="459">
        <f t="shared" ref="D102:N102" si="45">D68+(0.2*D67)</f>
        <v>33.499419012452066</v>
      </c>
      <c r="E102" s="459">
        <f t="shared" si="45"/>
        <v>37.011275856172745</v>
      </c>
      <c r="F102" s="459">
        <f t="shared" si="45"/>
        <v>39.334984429717551</v>
      </c>
      <c r="G102" s="459">
        <f t="shared" si="45"/>
        <v>40.586402598745551</v>
      </c>
      <c r="H102" s="459">
        <f t="shared" si="45"/>
        <v>41.127684457518853</v>
      </c>
      <c r="I102" s="459">
        <f t="shared" si="45"/>
        <v>41.47991062124305</v>
      </c>
      <c r="J102" s="459">
        <f t="shared" si="45"/>
        <v>41.849523204738091</v>
      </c>
      <c r="K102" s="459">
        <f t="shared" si="45"/>
        <v>41.993496303984081</v>
      </c>
      <c r="L102" s="459">
        <f t="shared" si="45"/>
        <v>41.964262786689133</v>
      </c>
      <c r="M102" s="459">
        <f t="shared" si="45"/>
        <v>42.067080941370378</v>
      </c>
      <c r="N102" s="459">
        <f t="shared" si="45"/>
        <v>42.160070753917751</v>
      </c>
    </row>
    <row r="103" spans="1:14">
      <c r="B103" s="338" t="str">
        <f t="shared" si="33"/>
        <v>Total</v>
      </c>
      <c r="C103" s="459">
        <f>SUM(C93:C102)</f>
        <v>6242.4372228160946</v>
      </c>
      <c r="D103" s="459">
        <f t="shared" ref="D103:N103" si="46">SUM(D93:D102)</f>
        <v>6527.1818588275401</v>
      </c>
      <c r="E103" s="459">
        <f t="shared" si="46"/>
        <v>6573.9395483096741</v>
      </c>
      <c r="F103" s="459">
        <f t="shared" si="46"/>
        <v>6655.5277551990966</v>
      </c>
      <c r="G103" s="459">
        <f t="shared" si="46"/>
        <v>6728.6691831289208</v>
      </c>
      <c r="H103" s="459">
        <f t="shared" si="46"/>
        <v>6782.4152147992845</v>
      </c>
      <c r="I103" s="459">
        <f t="shared" si="46"/>
        <v>6845.4327765780563</v>
      </c>
      <c r="J103" s="459">
        <f t="shared" si="46"/>
        <v>6922.6977603372934</v>
      </c>
      <c r="K103" s="459">
        <f t="shared" si="46"/>
        <v>6970.0255961647572</v>
      </c>
      <c r="L103" s="459">
        <f t="shared" si="46"/>
        <v>6988.0897568250512</v>
      </c>
      <c r="M103" s="459">
        <f t="shared" si="46"/>
        <v>7015.7020502339037</v>
      </c>
      <c r="N103" s="459">
        <f t="shared" si="46"/>
        <v>7034.4975480710336</v>
      </c>
    </row>
    <row r="104" spans="1:14">
      <c r="A104" s="309">
        <f>SUM(C104:N104)</f>
        <v>0</v>
      </c>
      <c r="C104" s="309">
        <f t="shared" ref="C104:N104" si="47">SUM(C93:C102)-C103</f>
        <v>0</v>
      </c>
      <c r="D104" s="309">
        <f t="shared" si="47"/>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4" ht="15.75">
      <c r="B106" s="340" t="s">
        <v>151</v>
      </c>
      <c r="H106" s="325"/>
    </row>
    <row r="107" spans="1:14">
      <c r="H107" s="325"/>
    </row>
    <row r="108" spans="1:14">
      <c r="B108" s="341" t="s">
        <v>49</v>
      </c>
      <c r="H108" s="325"/>
    </row>
    <row r="109" spans="1:14">
      <c r="H109" s="325"/>
    </row>
    <row r="110" spans="1:14">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4">
      <c r="B111" s="338" t="str">
        <f t="shared" si="48"/>
        <v>20-24</v>
      </c>
      <c r="C111" s="459">
        <f>C77*Group_1_rates!E74</f>
        <v>16.665752909114637</v>
      </c>
      <c r="D111" s="459">
        <f>D77*Group_1_rates!F74</f>
        <v>31.282008867740377</v>
      </c>
      <c r="E111" s="459">
        <f>E77*Group_1_rates!G74</f>
        <v>37.168823458356933</v>
      </c>
      <c r="F111" s="459">
        <f>F77*Group_1_rates!H74</f>
        <v>42.045022213261639</v>
      </c>
      <c r="G111" s="459">
        <f>G77*Group_1_rates!I74</f>
        <v>45.40420233134941</v>
      </c>
      <c r="H111" s="459">
        <f>H77*Group_1_rates!J74</f>
        <v>47.47135116096176</v>
      </c>
      <c r="I111" s="459">
        <f>I77*Group_1_rates!K74</f>
        <v>49.19499456258432</v>
      </c>
      <c r="J111" s="459">
        <f>J77*Group_1_rates!L74</f>
        <v>50.810326917197685</v>
      </c>
      <c r="K111" s="459">
        <f>K77*Group_1_rates!M74</f>
        <v>51.480542784555688</v>
      </c>
      <c r="L111" s="459">
        <f>L77*Group_1_rates!N74</f>
        <v>51.446837218000915</v>
      </c>
      <c r="M111" s="459">
        <f>M77*Group_1_rates!O74</f>
        <v>51.660486206091264</v>
      </c>
      <c r="N111" s="459">
        <f>N77*Group_1_rates!P74</f>
        <v>51.692551534478916</v>
      </c>
    </row>
    <row r="112" spans="1:14">
      <c r="B112" s="338" t="str">
        <f t="shared" si="48"/>
        <v>25-29</v>
      </c>
      <c r="C112" s="459">
        <f>C78*Group_1_rates!E75</f>
        <v>62.413607061939651</v>
      </c>
      <c r="D112" s="459">
        <f>D78*Group_1_rates!F75</f>
        <v>65.702867690252674</v>
      </c>
      <c r="E112" s="459">
        <f>E78*Group_1_rates!G75</f>
        <v>65.967194316416084</v>
      </c>
      <c r="F112" s="459">
        <f>F78*Group_1_rates!H75</f>
        <v>67.702243692608093</v>
      </c>
      <c r="G112" s="459">
        <f>G78*Group_1_rates!I75</f>
        <v>69.576553713592702</v>
      </c>
      <c r="H112" s="459">
        <f>H78*Group_1_rates!J75</f>
        <v>71.118386195140914</v>
      </c>
      <c r="I112" s="459">
        <f>I78*Group_1_rates!K75</f>
        <v>72.775558442023055</v>
      </c>
      <c r="J112" s="459">
        <f>J78*Group_1_rates!L75</f>
        <v>74.593022484469827</v>
      </c>
      <c r="K112" s="459">
        <f>K78*Group_1_rates!M75</f>
        <v>75.681545704715873</v>
      </c>
      <c r="L112" s="459">
        <f>L78*Group_1_rates!N75</f>
        <v>76.07540720238228</v>
      </c>
      <c r="M112" s="459">
        <f>M78*Group_1_rates!O75</f>
        <v>76.578668377623757</v>
      </c>
      <c r="N112" s="459">
        <f>N78*Group_1_rates!P75</f>
        <v>76.856862108110363</v>
      </c>
    </row>
    <row r="113" spans="1:14">
      <c r="B113" s="338" t="str">
        <f t="shared" si="48"/>
        <v>30-34</v>
      </c>
      <c r="C113" s="459">
        <f>C79*Group_1_rates!E76</f>
        <v>47.843855552957336</v>
      </c>
      <c r="D113" s="459">
        <f>D79*Group_1_rates!F76</f>
        <v>51.123130285198457</v>
      </c>
      <c r="E113" s="459">
        <f>E79*Group_1_rates!G76</f>
        <v>52.312234412182768</v>
      </c>
      <c r="F113" s="459">
        <f>F79*Group_1_rates!H76</f>
        <v>53.559015722010052</v>
      </c>
      <c r="G113" s="459">
        <f>G79*Group_1_rates!I76</f>
        <v>54.703679208112483</v>
      </c>
      <c r="H113" s="459">
        <f>H79*Group_1_rates!J76</f>
        <v>55.690168583387511</v>
      </c>
      <c r="I113" s="459">
        <f>I79*Group_1_rates!K76</f>
        <v>56.734391317203745</v>
      </c>
      <c r="J113" s="459">
        <f>J79*Group_1_rates!L76</f>
        <v>57.886499700121156</v>
      </c>
      <c r="K113" s="459">
        <f>K79*Group_1_rates!M76</f>
        <v>58.791866942643324</v>
      </c>
      <c r="L113" s="459">
        <f>L79*Group_1_rates!N76</f>
        <v>59.401745880160476</v>
      </c>
      <c r="M113" s="459">
        <f>M79*Group_1_rates!O76</f>
        <v>59.997046346569107</v>
      </c>
      <c r="N113" s="459">
        <f>N79*Group_1_rates!P76</f>
        <v>60.455264766450654</v>
      </c>
    </row>
    <row r="114" spans="1:14">
      <c r="B114" s="338" t="str">
        <f t="shared" si="48"/>
        <v>35-39</v>
      </c>
      <c r="C114" s="459">
        <f>C80*Group_1_rates!E77</f>
        <v>47.172903932970357</v>
      </c>
      <c r="D114" s="459">
        <f>D80*Group_1_rates!F77</f>
        <v>48.853822779907837</v>
      </c>
      <c r="E114" s="459">
        <f>E80*Group_1_rates!G77</f>
        <v>49.648973887516583</v>
      </c>
      <c r="F114" s="459">
        <f>F80*Group_1_rates!H77</f>
        <v>50.670839875543052</v>
      </c>
      <c r="G114" s="459">
        <f>G80*Group_1_rates!I77</f>
        <v>51.661538267739481</v>
      </c>
      <c r="H114" s="459">
        <f>H80*Group_1_rates!J77</f>
        <v>52.546376224175482</v>
      </c>
      <c r="I114" s="459">
        <f>I80*Group_1_rates!K77</f>
        <v>53.46200976411837</v>
      </c>
      <c r="J114" s="459">
        <f>J80*Group_1_rates!L77</f>
        <v>54.443623352316585</v>
      </c>
      <c r="K114" s="459">
        <f>K80*Group_1_rates!M77</f>
        <v>55.27216894514396</v>
      </c>
      <c r="L114" s="459">
        <f>L80*Group_1_rates!N77</f>
        <v>55.927623980291081</v>
      </c>
      <c r="M114" s="459">
        <f>M80*Group_1_rates!O77</f>
        <v>56.586366354261074</v>
      </c>
      <c r="N114" s="459">
        <f>N80*Group_1_rates!P77</f>
        <v>57.155304837302857</v>
      </c>
    </row>
    <row r="115" spans="1:14">
      <c r="B115" s="338" t="str">
        <f t="shared" si="48"/>
        <v>40-44</v>
      </c>
      <c r="C115" s="459">
        <f>C81*Group_1_rates!E78</f>
        <v>49.336382920375762</v>
      </c>
      <c r="D115" s="459">
        <f>D81*Group_1_rates!F78</f>
        <v>49.215570490775058</v>
      </c>
      <c r="E115" s="459">
        <f>E81*Group_1_rates!G78</f>
        <v>48.575425109975058</v>
      </c>
      <c r="F115" s="459">
        <f>F81*Group_1_rates!H78</f>
        <v>48.416162602595755</v>
      </c>
      <c r="G115" s="459">
        <f>G81*Group_1_rates!I78</f>
        <v>48.485058055987153</v>
      </c>
      <c r="H115" s="459">
        <f>H81*Group_1_rates!J78</f>
        <v>48.665967585360683</v>
      </c>
      <c r="I115" s="459">
        <f>I81*Group_1_rates!K78</f>
        <v>49.022806170407449</v>
      </c>
      <c r="J115" s="459">
        <f>J81*Group_1_rates!L78</f>
        <v>49.542004948584939</v>
      </c>
      <c r="K115" s="459">
        <f>K81*Group_1_rates!M78</f>
        <v>50.014209399613669</v>
      </c>
      <c r="L115" s="459">
        <f>L81*Group_1_rates!N78</f>
        <v>50.412531344248279</v>
      </c>
      <c r="M115" s="459">
        <f>M81*Group_1_rates!O78</f>
        <v>50.875261948445335</v>
      </c>
      <c r="N115" s="459">
        <f>N81*Group_1_rates!P78</f>
        <v>51.313991152590127</v>
      </c>
    </row>
    <row r="116" spans="1:14">
      <c r="B116" s="338" t="str">
        <f t="shared" si="48"/>
        <v>45-49</v>
      </c>
      <c r="C116" s="459">
        <f>C82*Group_1_rates!E79</f>
        <v>51.733335828395766</v>
      </c>
      <c r="D116" s="459">
        <f>D82*Group_1_rates!F79</f>
        <v>52.715165338771975</v>
      </c>
      <c r="E116" s="459">
        <f>E82*Group_1_rates!G79</f>
        <v>52.573545508685825</v>
      </c>
      <c r="F116" s="459">
        <f>F82*Group_1_rates!H79</f>
        <v>52.495320131112109</v>
      </c>
      <c r="G116" s="459">
        <f>G82*Group_1_rates!I79</f>
        <v>52.405200888339998</v>
      </c>
      <c r="H116" s="459">
        <f>H82*Group_1_rates!J79</f>
        <v>52.306859254556237</v>
      </c>
      <c r="I116" s="459">
        <f>I82*Group_1_rates!K79</f>
        <v>52.336393563239639</v>
      </c>
      <c r="J116" s="459">
        <f>J82*Group_1_rates!L79</f>
        <v>52.52396305571996</v>
      </c>
      <c r="K116" s="459">
        <f>K82*Group_1_rates!M79</f>
        <v>52.688380413668007</v>
      </c>
      <c r="L116" s="459">
        <f>L82*Group_1_rates!N79</f>
        <v>52.814386109165241</v>
      </c>
      <c r="M116" s="459">
        <f>M82*Group_1_rates!O79</f>
        <v>53.042425839216712</v>
      </c>
      <c r="N116" s="459">
        <f>N82*Group_1_rates!P79</f>
        <v>53.288808775617646</v>
      </c>
    </row>
    <row r="117" spans="1:14">
      <c r="B117" s="338" t="str">
        <f t="shared" si="48"/>
        <v>50-54</v>
      </c>
      <c r="C117" s="459">
        <f>C83*Group_1_rates!E80</f>
        <v>39.408021878393427</v>
      </c>
      <c r="D117" s="459">
        <f>D83*Group_1_rates!F80</f>
        <v>39.767019167675521</v>
      </c>
      <c r="E117" s="459">
        <f>E83*Group_1_rates!G80</f>
        <v>39.605323567470407</v>
      </c>
      <c r="F117" s="459">
        <f>F83*Group_1_rates!H80</f>
        <v>39.58396420050304</v>
      </c>
      <c r="G117" s="459">
        <f>G83*Group_1_rates!I80</f>
        <v>39.556975243171571</v>
      </c>
      <c r="H117" s="459">
        <f>H83*Group_1_rates!J80</f>
        <v>39.488477732358199</v>
      </c>
      <c r="I117" s="459">
        <f>I83*Group_1_rates!K80</f>
        <v>39.465869022398664</v>
      </c>
      <c r="J117" s="459">
        <f>J83*Group_1_rates!L80</f>
        <v>39.515983199094428</v>
      </c>
      <c r="K117" s="459">
        <f>K83*Group_1_rates!M80</f>
        <v>39.52194216713135</v>
      </c>
      <c r="L117" s="459">
        <f>L83*Group_1_rates!N80</f>
        <v>39.484686518427822</v>
      </c>
      <c r="M117" s="459">
        <f>M83*Group_1_rates!O80</f>
        <v>39.513371199648738</v>
      </c>
      <c r="N117" s="459">
        <f>N83*Group_1_rates!P80</f>
        <v>39.556875626436018</v>
      </c>
    </row>
    <row r="118" spans="1:14">
      <c r="B118" s="338" t="str">
        <f t="shared" si="48"/>
        <v>55-59</v>
      </c>
      <c r="C118" s="459">
        <f>C84*Group_1_rates!E81</f>
        <v>17.944453509861265</v>
      </c>
      <c r="D118" s="459">
        <f>D84*Group_1_rates!F81</f>
        <v>15.78888626111678</v>
      </c>
      <c r="E118" s="459">
        <f>E84*Group_1_rates!G81</f>
        <v>14.311283111198451</v>
      </c>
      <c r="F118" s="459">
        <f>F84*Group_1_rates!H81</f>
        <v>13.463146678157772</v>
      </c>
      <c r="G118" s="459">
        <f>G84*Group_1_rates!I81</f>
        <v>12.957375412311441</v>
      </c>
      <c r="H118" s="459">
        <f>H84*Group_1_rates!J81</f>
        <v>12.640532915565336</v>
      </c>
      <c r="I118" s="459">
        <f>I84*Group_1_rates!K81</f>
        <v>12.46226803350112</v>
      </c>
      <c r="J118" s="459">
        <f>J84*Group_1_rates!L81</f>
        <v>12.378210578922825</v>
      </c>
      <c r="K118" s="459">
        <f>K84*Group_1_rates!M81</f>
        <v>12.308735867049753</v>
      </c>
      <c r="L118" s="459">
        <f>L84*Group_1_rates!N81</f>
        <v>12.240348923110098</v>
      </c>
      <c r="M118" s="459">
        <f>M84*Group_1_rates!O81</f>
        <v>12.209176931180881</v>
      </c>
      <c r="N118" s="459">
        <f>N84*Group_1_rates!P81</f>
        <v>12.18713484047038</v>
      </c>
    </row>
    <row r="119" spans="1:14">
      <c r="B119" s="338" t="str">
        <f t="shared" si="48"/>
        <v>60-64</v>
      </c>
      <c r="C119" s="459">
        <f>C85*Group_1_rates!E82</f>
        <v>2.5767337688107097</v>
      </c>
      <c r="D119" s="459">
        <f>D85*Group_1_rates!F82</f>
        <v>2.4871799420555019</v>
      </c>
      <c r="E119" s="459">
        <f>E85*Group_1_rates!G82</f>
        <v>2.2744738523655048</v>
      </c>
      <c r="F119" s="459">
        <f>F85*Group_1_rates!H82</f>
        <v>2.0978490944110741</v>
      </c>
      <c r="G119" s="459">
        <f>G85*Group_1_rates!I82</f>
        <v>1.9647157336644019</v>
      </c>
      <c r="H119" s="459">
        <f>H85*Group_1_rates!J82</f>
        <v>1.8690474064287756</v>
      </c>
      <c r="I119" s="459">
        <f>I85*Group_1_rates!K82</f>
        <v>1.8084150570068478</v>
      </c>
      <c r="J119" s="459">
        <f>J85*Group_1_rates!L82</f>
        <v>1.7740129174880233</v>
      </c>
      <c r="K119" s="459">
        <f>K85*Group_1_rates!M82</f>
        <v>1.7475833125649158</v>
      </c>
      <c r="L119" s="459">
        <f>L85*Group_1_rates!N82</f>
        <v>1.7251965618799046</v>
      </c>
      <c r="M119" s="459">
        <f>M85*Group_1_rates!O82</f>
        <v>1.7132389462095621</v>
      </c>
      <c r="N119" s="459">
        <f>N85*Group_1_rates!P82</f>
        <v>1.7043781318875488</v>
      </c>
    </row>
    <row r="120" spans="1:14">
      <c r="B120" s="338" t="str">
        <f t="shared" si="48"/>
        <v>65 plus</v>
      </c>
      <c r="C120" s="459">
        <f>C86*Group_1_rates!E83</f>
        <v>0.7665914827035426</v>
      </c>
      <c r="D120" s="459">
        <f>D86*Group_1_rates!F83</f>
        <v>0.83376782176664377</v>
      </c>
      <c r="E120" s="459">
        <f>E86*Group_1_rates!G83</f>
        <v>0.8399580584028703</v>
      </c>
      <c r="F120" s="459">
        <f>F86*Group_1_rates!H83</f>
        <v>0.81997538450667296</v>
      </c>
      <c r="G120" s="459">
        <f>G86*Group_1_rates!I83</f>
        <v>0.7866830479722875</v>
      </c>
      <c r="H120" s="459">
        <f>H86*Group_1_rates!J83</f>
        <v>0.7505892679085312</v>
      </c>
      <c r="I120" s="459">
        <f>I86*Group_1_rates!K83</f>
        <v>0.72021665046103522</v>
      </c>
      <c r="J120" s="459">
        <f>J86*Group_1_rates!L83</f>
        <v>0.69798847356292726</v>
      </c>
      <c r="K120" s="459">
        <f>K86*Group_1_rates!M83</f>
        <v>0.67957199821165004</v>
      </c>
      <c r="L120" s="459">
        <f>L86*Group_1_rates!N83</f>
        <v>0.6639872607339522</v>
      </c>
      <c r="M120" s="459">
        <f>M86*Group_1_rates!O83</f>
        <v>0.65376216518208419</v>
      </c>
      <c r="N120" s="459">
        <f>N86*Group_1_rates!P83</f>
        <v>0.64617856447200894</v>
      </c>
    </row>
    <row r="121" spans="1:14">
      <c r="B121" s="338" t="str">
        <f t="shared" si="48"/>
        <v>Total</v>
      </c>
      <c r="C121" s="459">
        <f>SUM(C111:C120)</f>
        <v>335.86163884552241</v>
      </c>
      <c r="D121" s="459">
        <f t="shared" ref="D121:N121" si="50">SUM(D111:D120)</f>
        <v>357.76941864526077</v>
      </c>
      <c r="E121" s="459">
        <f t="shared" si="50"/>
        <v>363.27723528257053</v>
      </c>
      <c r="F121" s="459">
        <f t="shared" si="50"/>
        <v>370.85353959470928</v>
      </c>
      <c r="G121" s="459">
        <f t="shared" si="50"/>
        <v>377.50198190224091</v>
      </c>
      <c r="H121" s="459">
        <f t="shared" si="50"/>
        <v>382.54775632584347</v>
      </c>
      <c r="I121" s="459">
        <f t="shared" si="50"/>
        <v>387.98292258294435</v>
      </c>
      <c r="J121" s="459">
        <f t="shared" si="50"/>
        <v>394.16563562747837</v>
      </c>
      <c r="K121" s="459">
        <f t="shared" si="50"/>
        <v>398.18654753529819</v>
      </c>
      <c r="L121" s="459">
        <f t="shared" si="50"/>
        <v>400.19275099840002</v>
      </c>
      <c r="M121" s="459">
        <f t="shared" si="50"/>
        <v>402.82980431442849</v>
      </c>
      <c r="N121" s="459">
        <f t="shared" si="50"/>
        <v>404.85735033781651</v>
      </c>
    </row>
    <row r="122" spans="1:14">
      <c r="A122" s="309">
        <f>SUM(C122:N122)</f>
        <v>0</v>
      </c>
      <c r="C122" s="309">
        <f t="shared" ref="C122:N122" si="51">SUM(C111:C120)-C121</f>
        <v>0</v>
      </c>
      <c r="D122" s="309">
        <f t="shared" si="51"/>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4">
      <c r="B127" s="338" t="str">
        <f t="shared" si="52"/>
        <v>20-24</v>
      </c>
      <c r="C127" s="459">
        <f>C93*Group_1_rates!E89</f>
        <v>38.835210359266064</v>
      </c>
      <c r="D127" s="459">
        <f>D93*Group_1_rates!F89</f>
        <v>51.925972089191212</v>
      </c>
      <c r="E127" s="459">
        <f>E93*Group_1_rates!G89</f>
        <v>55.939353739045146</v>
      </c>
      <c r="F127" s="459">
        <f>F93*Group_1_rates!H89</f>
        <v>59.792463048624072</v>
      </c>
      <c r="G127" s="459">
        <f>G93*Group_1_rates!I89</f>
        <v>62.50817410750264</v>
      </c>
      <c r="H127" s="459">
        <f>H93*Group_1_rates!J89</f>
        <v>64.114506211912271</v>
      </c>
      <c r="I127" s="459">
        <f>I93*Group_1_rates!K89</f>
        <v>65.619791745936894</v>
      </c>
      <c r="J127" s="459">
        <f>J93*Group_1_rates!L89</f>
        <v>67.212976657172334</v>
      </c>
      <c r="K127" s="459">
        <f>K93*Group_1_rates!M89</f>
        <v>67.783607406454848</v>
      </c>
      <c r="L127" s="459">
        <f>L93*Group_1_rates!N89</f>
        <v>67.568811539600631</v>
      </c>
      <c r="M127" s="459">
        <f>M93*Group_1_rates!O89</f>
        <v>67.71306660221174</v>
      </c>
      <c r="N127" s="459">
        <f>N93*Group_1_rates!P89</f>
        <v>67.671506516910924</v>
      </c>
    </row>
    <row r="128" spans="1:14">
      <c r="B128" s="338" t="str">
        <f t="shared" si="52"/>
        <v>25-29</v>
      </c>
      <c r="C128" s="459">
        <f>C94*Group_1_rates!E90</f>
        <v>107.81587502331611</v>
      </c>
      <c r="D128" s="459">
        <f>D94*Group_1_rates!F90</f>
        <v>109.69106622657867</v>
      </c>
      <c r="E128" s="459">
        <f>E94*Group_1_rates!G90</f>
        <v>107.38636628490724</v>
      </c>
      <c r="F128" s="459">
        <f>F94*Group_1_rates!H90</f>
        <v>107.45066804899753</v>
      </c>
      <c r="G128" s="459">
        <f>G94*Group_1_rates!I90</f>
        <v>108.08117997437851</v>
      </c>
      <c r="H128" s="459">
        <f>H94*Group_1_rates!J90</f>
        <v>108.61235443367698</v>
      </c>
      <c r="I128" s="459">
        <f>I94*Group_1_rates!K90</f>
        <v>109.63990767783072</v>
      </c>
      <c r="J128" s="459">
        <f>J94*Group_1_rates!L90</f>
        <v>111.17981764481642</v>
      </c>
      <c r="K128" s="459">
        <f>K94*Group_1_rates!M90</f>
        <v>111.92814532898053</v>
      </c>
      <c r="L128" s="459">
        <f>L94*Group_1_rates!N90</f>
        <v>111.88416208080916</v>
      </c>
      <c r="M128" s="459">
        <f>M94*Group_1_rates!O90</f>
        <v>112.13958184258901</v>
      </c>
      <c r="N128" s="459">
        <f>N94*Group_1_rates!P90</f>
        <v>112.18970311411547</v>
      </c>
    </row>
    <row r="129" spans="1:14">
      <c r="B129" s="338" t="str">
        <f t="shared" si="52"/>
        <v>30-34</v>
      </c>
      <c r="C129" s="459">
        <f>C95*Group_1_rates!E91</f>
        <v>102.6592740561407</v>
      </c>
      <c r="D129" s="459">
        <f>D95*Group_1_rates!F91</f>
        <v>106.0582963139918</v>
      </c>
      <c r="E129" s="459">
        <f>E95*Group_1_rates!G91</f>
        <v>105.82793324779594</v>
      </c>
      <c r="F129" s="459">
        <f>F95*Group_1_rates!H91</f>
        <v>105.89549697161812</v>
      </c>
      <c r="G129" s="459">
        <f>G95*Group_1_rates!I91</f>
        <v>105.96344159493724</v>
      </c>
      <c r="H129" s="459">
        <f>H95*Group_1_rates!J91</f>
        <v>105.94114463114853</v>
      </c>
      <c r="I129" s="459">
        <f>I95*Group_1_rates!K91</f>
        <v>106.23012945360334</v>
      </c>
      <c r="J129" s="459">
        <f>J95*Group_1_rates!L91</f>
        <v>106.91646783484306</v>
      </c>
      <c r="K129" s="459">
        <f>K95*Group_1_rates!M91</f>
        <v>107.34384881258153</v>
      </c>
      <c r="L129" s="459">
        <f>L95*Group_1_rates!N91</f>
        <v>107.41684544615154</v>
      </c>
      <c r="M129" s="459">
        <f>M95*Group_1_rates!O91</f>
        <v>107.63384811214456</v>
      </c>
      <c r="N129" s="459">
        <f>N95*Group_1_rates!P91</f>
        <v>107.74933380595348</v>
      </c>
    </row>
    <row r="130" spans="1:14">
      <c r="B130" s="338" t="str">
        <f t="shared" si="52"/>
        <v>35-39</v>
      </c>
      <c r="C130" s="459">
        <f>C96*Group_1_rates!E92</f>
        <v>75.18919290700984</v>
      </c>
      <c r="D130" s="459">
        <f>D96*Group_1_rates!F92</f>
        <v>78.736557421633066</v>
      </c>
      <c r="E130" s="459">
        <f>E96*Group_1_rates!G92</f>
        <v>80.256810103811873</v>
      </c>
      <c r="F130" s="459">
        <f>F96*Group_1_rates!H92</f>
        <v>81.666889729200534</v>
      </c>
      <c r="G130" s="459">
        <f>G96*Group_1_rates!I92</f>
        <v>82.721147885328648</v>
      </c>
      <c r="H130" s="459">
        <f>H96*Group_1_rates!J92</f>
        <v>83.415785502904171</v>
      </c>
      <c r="I130" s="459">
        <f>I96*Group_1_rates!K92</f>
        <v>84.042783533347063</v>
      </c>
      <c r="J130" s="459">
        <f>J96*Group_1_rates!L92</f>
        <v>84.716783768193352</v>
      </c>
      <c r="K130" s="459">
        <f>K96*Group_1_rates!M92</f>
        <v>85.147480215987486</v>
      </c>
      <c r="L130" s="459">
        <f>L96*Group_1_rates!N92</f>
        <v>85.338044130966864</v>
      </c>
      <c r="M130" s="459">
        <f>M96*Group_1_rates!O92</f>
        <v>85.581609301032728</v>
      </c>
      <c r="N130" s="459">
        <f>N96*Group_1_rates!P92</f>
        <v>85.74959765310841</v>
      </c>
    </row>
    <row r="131" spans="1:14">
      <c r="B131" s="338" t="str">
        <f t="shared" si="52"/>
        <v>40-44</v>
      </c>
      <c r="C131" s="459">
        <f>C97*Group_1_rates!E93</f>
        <v>73.079141662916086</v>
      </c>
      <c r="D131" s="459">
        <f>D97*Group_1_rates!F93</f>
        <v>73.95628760067558</v>
      </c>
      <c r="E131" s="459">
        <f>E97*Group_1_rates!G93</f>
        <v>73.927509786673525</v>
      </c>
      <c r="F131" s="459">
        <f>F97*Group_1_rates!H93</f>
        <v>74.450522155940192</v>
      </c>
      <c r="G131" s="459">
        <f>G97*Group_1_rates!I93</f>
        <v>75.097546389698053</v>
      </c>
      <c r="H131" s="459">
        <f>H97*Group_1_rates!J93</f>
        <v>75.691024826868414</v>
      </c>
      <c r="I131" s="459">
        <f>I97*Group_1_rates!K93</f>
        <v>76.352784786292176</v>
      </c>
      <c r="J131" s="459">
        <f>J97*Group_1_rates!L93</f>
        <v>77.093237085770042</v>
      </c>
      <c r="K131" s="459">
        <f>K97*Group_1_rates!M93</f>
        <v>77.622368713188266</v>
      </c>
      <c r="L131" s="459">
        <f>L97*Group_1_rates!N93</f>
        <v>77.933625389942378</v>
      </c>
      <c r="M131" s="459">
        <f>M97*Group_1_rates!O93</f>
        <v>78.273539385154379</v>
      </c>
      <c r="N131" s="459">
        <f>N97*Group_1_rates!P93</f>
        <v>78.532111491893033</v>
      </c>
    </row>
    <row r="132" spans="1:14">
      <c r="B132" s="338" t="str">
        <f t="shared" si="52"/>
        <v>45-49</v>
      </c>
      <c r="C132" s="459">
        <f>C98*Group_1_rates!E94</f>
        <v>63.473366739864076</v>
      </c>
      <c r="D132" s="459">
        <f>D98*Group_1_rates!F94</f>
        <v>66.860877469975492</v>
      </c>
      <c r="E132" s="459">
        <f>E98*Group_1_rates!G94</f>
        <v>68.331490481876301</v>
      </c>
      <c r="F132" s="459">
        <f>F98*Group_1_rates!H94</f>
        <v>69.638402285453054</v>
      </c>
      <c r="G132" s="459">
        <f>G98*Group_1_rates!I94</f>
        <v>70.702835609059306</v>
      </c>
      <c r="H132" s="459">
        <f>H98*Group_1_rates!J94</f>
        <v>71.543756663098435</v>
      </c>
      <c r="I132" s="459">
        <f>I98*Group_1_rates!K94</f>
        <v>72.365470447762149</v>
      </c>
      <c r="J132" s="459">
        <f>J98*Group_1_rates!L94</f>
        <v>73.223357348461334</v>
      </c>
      <c r="K132" s="459">
        <f>K98*Group_1_rates!M94</f>
        <v>73.875305509545598</v>
      </c>
      <c r="L132" s="459">
        <f>L98*Group_1_rates!N94</f>
        <v>74.318184001537375</v>
      </c>
      <c r="M132" s="459">
        <f>M98*Group_1_rates!O94</f>
        <v>74.772450197562009</v>
      </c>
      <c r="N132" s="459">
        <f>N98*Group_1_rates!P94</f>
        <v>75.140641639075156</v>
      </c>
    </row>
    <row r="133" spans="1:14">
      <c r="B133" s="338" t="str">
        <f t="shared" si="52"/>
        <v>50-54</v>
      </c>
      <c r="C133" s="459">
        <f>C99*Group_1_rates!E95</f>
        <v>49.560950286619239</v>
      </c>
      <c r="D133" s="459">
        <f>D99*Group_1_rates!F95</f>
        <v>50.375845880373738</v>
      </c>
      <c r="E133" s="459">
        <f>E99*Group_1_rates!G95</f>
        <v>50.711108640434908</v>
      </c>
      <c r="F133" s="459">
        <f>F99*Group_1_rates!H95</f>
        <v>51.371023816478129</v>
      </c>
      <c r="G133" s="459">
        <f>G99*Group_1_rates!I95</f>
        <v>52.070572003342185</v>
      </c>
      <c r="H133" s="459">
        <f>H99*Group_1_rates!J95</f>
        <v>52.706686783141016</v>
      </c>
      <c r="I133" s="459">
        <f>I99*Group_1_rates!K95</f>
        <v>53.367776769827323</v>
      </c>
      <c r="J133" s="459">
        <f>J99*Group_1_rates!L95</f>
        <v>54.068984869385183</v>
      </c>
      <c r="K133" s="459">
        <f>K99*Group_1_rates!M95</f>
        <v>54.630804020687293</v>
      </c>
      <c r="L133" s="459">
        <f>L99*Group_1_rates!N95</f>
        <v>55.046363949950539</v>
      </c>
      <c r="M133" s="459">
        <f>M99*Group_1_rates!O95</f>
        <v>55.467515565532146</v>
      </c>
      <c r="N133" s="459">
        <f>N99*Group_1_rates!P95</f>
        <v>55.824277520520262</v>
      </c>
    </row>
    <row r="134" spans="1:14">
      <c r="B134" s="338" t="str">
        <f t="shared" si="52"/>
        <v>55-59</v>
      </c>
      <c r="C134" s="459">
        <f>C100*Group_1_rates!E96</f>
        <v>17.577980994033307</v>
      </c>
      <c r="D134" s="459">
        <f>D100*Group_1_rates!F96</f>
        <v>17.411231921066936</v>
      </c>
      <c r="E134" s="459">
        <f>E100*Group_1_rates!G96</f>
        <v>17.060304343115035</v>
      </c>
      <c r="F134" s="459">
        <f>F100*Group_1_rates!H96</f>
        <v>16.949992729985368</v>
      </c>
      <c r="G134" s="459">
        <f>G100*Group_1_rates!I96</f>
        <v>16.952807568955073</v>
      </c>
      <c r="H134" s="459">
        <f>H100*Group_1_rates!J96</f>
        <v>17.008056446244904</v>
      </c>
      <c r="I134" s="459">
        <f>I100*Group_1_rates!K96</f>
        <v>17.13233865686513</v>
      </c>
      <c r="J134" s="459">
        <f>J100*Group_1_rates!L96</f>
        <v>17.311340164188778</v>
      </c>
      <c r="K134" s="459">
        <f>K100*Group_1_rates!M96</f>
        <v>17.457380941609475</v>
      </c>
      <c r="L134" s="459">
        <f>L100*Group_1_rates!N96</f>
        <v>17.564489119379338</v>
      </c>
      <c r="M134" s="459">
        <f>M100*Group_1_rates!O96</f>
        <v>17.691756912510318</v>
      </c>
      <c r="N134" s="459">
        <f>N100*Group_1_rates!P96</f>
        <v>17.803457156739221</v>
      </c>
    </row>
    <row r="135" spans="1:14">
      <c r="B135" s="338" t="str">
        <f t="shared" si="52"/>
        <v>60-64</v>
      </c>
      <c r="C135" s="459">
        <f>C101*Group_1_rates!E97</f>
        <v>2.3742555301122161</v>
      </c>
      <c r="D135" s="459">
        <f>D101*Group_1_rates!F97</f>
        <v>2.6846469930110133</v>
      </c>
      <c r="E135" s="459">
        <f>E101*Group_1_rates!G97</f>
        <v>2.7347787239076031</v>
      </c>
      <c r="F135" s="459">
        <f>F101*Group_1_rates!H97</f>
        <v>2.7503704108650413</v>
      </c>
      <c r="G135" s="459">
        <f>G101*Group_1_rates!I97</f>
        <v>2.7502644085354193</v>
      </c>
      <c r="H135" s="459">
        <f>H101*Group_1_rates!J97</f>
        <v>2.7457109286615569</v>
      </c>
      <c r="I135" s="459">
        <f>I101*Group_1_rates!K97</f>
        <v>2.7533768444563176</v>
      </c>
      <c r="J135" s="459">
        <f>J101*Group_1_rates!L97</f>
        <v>2.7738957437496037</v>
      </c>
      <c r="K135" s="459">
        <f>K101*Group_1_rates!M97</f>
        <v>2.7869429105975296</v>
      </c>
      <c r="L135" s="459">
        <f>L101*Group_1_rates!N97</f>
        <v>2.7932108189588272</v>
      </c>
      <c r="M135" s="459">
        <f>M101*Group_1_rates!O97</f>
        <v>2.8080693245676414</v>
      </c>
      <c r="N135" s="459">
        <f>N101*Group_1_rates!P97</f>
        <v>2.8213509385874898</v>
      </c>
    </row>
    <row r="136" spans="1:14">
      <c r="B136" s="338" t="str">
        <f t="shared" si="52"/>
        <v>65 plus</v>
      </c>
      <c r="C136" s="459">
        <f>C102*Group_1_rates!E98</f>
        <v>0.86742583744642376</v>
      </c>
      <c r="D136" s="459">
        <f>D102*Group_1_rates!F98</f>
        <v>1.0768881428956922</v>
      </c>
      <c r="E136" s="459">
        <f>E102*Group_1_rates!G98</f>
        <v>1.1897819513866432</v>
      </c>
      <c r="F136" s="459">
        <f>F102*Group_1_rates!H98</f>
        <v>1.2644809845091374</v>
      </c>
      <c r="G136" s="459">
        <f>G102*Group_1_rates!I98</f>
        <v>1.3047096639238329</v>
      </c>
      <c r="H136" s="459">
        <f>H102*Group_1_rates!J98</f>
        <v>1.3221099661637268</v>
      </c>
      <c r="I136" s="459">
        <f>I102*Group_1_rates!K98</f>
        <v>1.3334327947534175</v>
      </c>
      <c r="J136" s="459">
        <f>J102*Group_1_rates!L98</f>
        <v>1.3453145354033942</v>
      </c>
      <c r="K136" s="459">
        <f>K102*Group_1_rates!M98</f>
        <v>1.3499427626397029</v>
      </c>
      <c r="L136" s="459">
        <f>L102*Group_1_rates!N98</f>
        <v>1.349003008187891</v>
      </c>
      <c r="M136" s="459">
        <f>M102*Group_1_rates!O98</f>
        <v>1.3523082491417562</v>
      </c>
      <c r="N136" s="459">
        <f>N102*Group_1_rates!P98</f>
        <v>1.35529754356818</v>
      </c>
    </row>
    <row r="137" spans="1:14">
      <c r="B137" s="338" t="str">
        <f t="shared" si="52"/>
        <v>Total</v>
      </c>
      <c r="C137" s="459">
        <f>SUM(C127:C136)</f>
        <v>531.432673396724</v>
      </c>
      <c r="D137" s="459">
        <f t="shared" ref="D137:N137" si="54">SUM(D127:D136)</f>
        <v>558.77767005939313</v>
      </c>
      <c r="E137" s="459">
        <f t="shared" si="54"/>
        <v>563.36543730295421</v>
      </c>
      <c r="F137" s="459">
        <f t="shared" si="54"/>
        <v>571.23031018167114</v>
      </c>
      <c r="G137" s="459">
        <f t="shared" si="54"/>
        <v>578.15267920566089</v>
      </c>
      <c r="H137" s="459">
        <f t="shared" si="54"/>
        <v>583.10113639381996</v>
      </c>
      <c r="I137" s="459">
        <f t="shared" si="54"/>
        <v>588.83779271067453</v>
      </c>
      <c r="J137" s="459">
        <f t="shared" si="54"/>
        <v>595.84217565198355</v>
      </c>
      <c r="K137" s="459">
        <f t="shared" si="54"/>
        <v>599.92582662227221</v>
      </c>
      <c r="L137" s="459">
        <f t="shared" si="54"/>
        <v>601.21273948548469</v>
      </c>
      <c r="M137" s="459">
        <f t="shared" si="54"/>
        <v>603.43374549244629</v>
      </c>
      <c r="N137" s="459">
        <f t="shared" si="54"/>
        <v>604.83727738047162</v>
      </c>
    </row>
    <row r="138" spans="1:14">
      <c r="A138" s="309">
        <f>SUM(C138:N138)</f>
        <v>0</v>
      </c>
      <c r="C138" s="309">
        <f t="shared" ref="C138:N138" si="55">SUM(C127:C136)-C137</f>
        <v>0</v>
      </c>
      <c r="D138" s="309">
        <f t="shared" si="55"/>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4" ht="15.75">
      <c r="B140" s="340" t="s">
        <v>152</v>
      </c>
      <c r="H140" s="325"/>
    </row>
    <row r="141" spans="1:14">
      <c r="H141" s="325"/>
    </row>
    <row r="142" spans="1:14">
      <c r="B142" s="341" t="s">
        <v>49</v>
      </c>
      <c r="H142" s="325"/>
    </row>
    <row r="143" spans="1:14">
      <c r="H143" s="325"/>
    </row>
    <row r="144" spans="1:14">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6">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c r="O145" s="327"/>
      <c r="P145" s="327"/>
    </row>
    <row r="146" spans="1:16">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c r="O146" s="327"/>
      <c r="P146" s="327"/>
    </row>
    <row r="147" spans="1:16">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c r="O147" s="327"/>
      <c r="P147" s="327"/>
    </row>
    <row r="148" spans="1:16">
      <c r="B148" s="338" t="str">
        <f t="shared" si="56"/>
        <v>35-39</v>
      </c>
      <c r="C148" s="459">
        <f>C80*Calc_SEC_retirement_rates!$G127</f>
        <v>0.25804403171825097</v>
      </c>
      <c r="D148" s="459">
        <f>D80*Calc_SEC_retirement_rates!$G127</f>
        <v>0.2672389516848333</v>
      </c>
      <c r="E148" s="459">
        <f>E80*Calc_SEC_retirement_rates!$G127</f>
        <v>0.27158856725914998</v>
      </c>
      <c r="F148" s="459">
        <f>F80*Calc_SEC_retirement_rates!$G127</f>
        <v>0.27717835286575132</v>
      </c>
      <c r="G148" s="459">
        <f>G80*Calc_SEC_retirement_rates!$G127</f>
        <v>0.2825976462741539</v>
      </c>
      <c r="H148" s="459">
        <f>H80*Calc_SEC_retirement_rates!$G127</f>
        <v>0.28743786459144305</v>
      </c>
      <c r="I148" s="459">
        <f>I80*Calc_SEC_retirement_rates!$G127</f>
        <v>0.29244654013448462</v>
      </c>
      <c r="J148" s="459">
        <f>J80*Calc_SEC_retirement_rates!$G127</f>
        <v>0.29781613807672724</v>
      </c>
      <c r="K148" s="459">
        <f>K80*Calc_SEC_retirement_rates!$G127</f>
        <v>0.30234842732352368</v>
      </c>
      <c r="L148" s="459">
        <f>L80*Calc_SEC_retirement_rates!$G127</f>
        <v>0.30593388095851132</v>
      </c>
      <c r="M148" s="459">
        <f>M80*Calc_SEC_retirement_rates!$G127</f>
        <v>0.30953731691158309</v>
      </c>
      <c r="N148" s="459">
        <f>N80*Calc_SEC_retirement_rates!$G127</f>
        <v>0.31264950988092793</v>
      </c>
      <c r="O148" s="327"/>
      <c r="P148" s="327"/>
    </row>
    <row r="149" spans="1:16">
      <c r="B149" s="338" t="str">
        <f t="shared" si="56"/>
        <v>40-44</v>
      </c>
      <c r="C149" s="459">
        <f>C81*Calc_SEC_retirement_rates!$G128</f>
        <v>0.35343670884870715</v>
      </c>
      <c r="D149" s="459">
        <f>D81*Calc_SEC_retirement_rates!$G128</f>
        <v>0.35257123098068016</v>
      </c>
      <c r="E149" s="459">
        <f>E81*Calc_SEC_retirement_rates!$G128</f>
        <v>0.34798534804435299</v>
      </c>
      <c r="F149" s="459">
        <f>F81*Calc_SEC_retirement_rates!$G128</f>
        <v>0.34684442094108364</v>
      </c>
      <c r="G149" s="459">
        <f>G81*Calc_SEC_retirement_rates!$G128</f>
        <v>0.34733797520793358</v>
      </c>
      <c r="H149" s="459">
        <f>H81*Calc_SEC_retirement_rates!$G128</f>
        <v>0.34863397756717307</v>
      </c>
      <c r="I149" s="459">
        <f>I81*Calc_SEC_retirement_rates!$G128</f>
        <v>0.35119030309457749</v>
      </c>
      <c r="J149" s="459">
        <f>J81*Calc_SEC_retirement_rates!$G128</f>
        <v>0.35490974697220184</v>
      </c>
      <c r="K149" s="459">
        <f>K81*Calc_SEC_retirement_rates!$G128</f>
        <v>0.35829253219471519</v>
      </c>
      <c r="L149" s="459">
        <f>L81*Calc_SEC_retirement_rates!$G128</f>
        <v>0.36114603682640012</v>
      </c>
      <c r="M149" s="459">
        <f>M81*Calc_SEC_retirement_rates!$G128</f>
        <v>0.36446095316501637</v>
      </c>
      <c r="N149" s="459">
        <f>N81*Calc_SEC_retirement_rates!$G128</f>
        <v>0.36760392791934737</v>
      </c>
      <c r="O149" s="327"/>
      <c r="P149" s="327"/>
    </row>
    <row r="150" spans="1:16">
      <c r="B150" s="338" t="str">
        <f t="shared" si="56"/>
        <v>45-49</v>
      </c>
      <c r="C150" s="459">
        <f>C82*Calc_SEC_retirement_rates!$G129</f>
        <v>0.75963411715040652</v>
      </c>
      <c r="D150" s="459">
        <f>D82*Calc_SEC_retirement_rates!$G129</f>
        <v>0.77405095653190004</v>
      </c>
      <c r="E150" s="459">
        <f>E82*Calc_SEC_retirement_rates!$G129</f>
        <v>0.77197146073144884</v>
      </c>
      <c r="F150" s="459">
        <f>F82*Calc_SEC_retirement_rates!$G129</f>
        <v>0.77082282678622871</v>
      </c>
      <c r="G150" s="459">
        <f>G82*Calc_SEC_retirement_rates!$G129</f>
        <v>0.7694995475055626</v>
      </c>
      <c r="H150" s="459">
        <f>H82*Calc_SEC_retirement_rates!$G129</f>
        <v>0.76805553352575173</v>
      </c>
      <c r="I150" s="459">
        <f>I82*Calc_SEC_retirement_rates!$G129</f>
        <v>0.76848920493207251</v>
      </c>
      <c r="J150" s="459">
        <f>J82*Calc_SEC_retirement_rates!$G129</f>
        <v>0.77124340942213809</v>
      </c>
      <c r="K150" s="459">
        <f>K82*Calc_SEC_retirement_rates!$G129</f>
        <v>0.77365765610755111</v>
      </c>
      <c r="L150" s="459">
        <f>L82*Calc_SEC_retirement_rates!$G129</f>
        <v>0.77550787944463628</v>
      </c>
      <c r="M150" s="459">
        <f>M82*Calc_SEC_retirement_rates!$G129</f>
        <v>0.77885633467643267</v>
      </c>
      <c r="N150" s="459">
        <f>N82*Calc_SEC_retirement_rates!$G129</f>
        <v>0.78247413510195862</v>
      </c>
      <c r="O150" s="327"/>
      <c r="P150" s="327"/>
    </row>
    <row r="151" spans="1:16">
      <c r="B151" s="338" t="str">
        <f t="shared" si="56"/>
        <v>50-54</v>
      </c>
      <c r="C151" s="459">
        <f>C83*Calc_SEC_retirement_rates!$G130</f>
        <v>13.744899888419953</v>
      </c>
      <c r="D151" s="459">
        <f>D83*Calc_SEC_retirement_rates!$G130</f>
        <v>13.870112511794533</v>
      </c>
      <c r="E151" s="459">
        <f>E83*Calc_SEC_retirement_rates!$G130</f>
        <v>13.813715622753122</v>
      </c>
      <c r="F151" s="459">
        <f>F83*Calc_SEC_retirement_rates!$G130</f>
        <v>13.80626581059172</v>
      </c>
      <c r="G151" s="459">
        <f>G83*Calc_SEC_retirement_rates!$G130</f>
        <v>13.796852485615434</v>
      </c>
      <c r="H151" s="459">
        <f>H83*Calc_SEC_retirement_rates!$G130</f>
        <v>13.77296162827575</v>
      </c>
      <c r="I151" s="459">
        <f>I83*Calc_SEC_retirement_rates!$G130</f>
        <v>13.765076064875512</v>
      </c>
      <c r="J151" s="459">
        <f>J83*Calc_SEC_retirement_rates!$G130</f>
        <v>13.782555103630601</v>
      </c>
      <c r="K151" s="459">
        <f>K83*Calc_SEC_retirement_rates!$G130</f>
        <v>13.784633498211241</v>
      </c>
      <c r="L151" s="459">
        <f>L83*Calc_SEC_retirement_rates!$G130</f>
        <v>13.771639312324714</v>
      </c>
      <c r="M151" s="459">
        <f>M83*Calc_SEC_retirement_rates!$G130</f>
        <v>13.781644079195006</v>
      </c>
      <c r="N151" s="459">
        <f>N83*Calc_SEC_retirement_rates!$G130</f>
        <v>13.796817740860631</v>
      </c>
      <c r="O151" s="327"/>
      <c r="P151" s="327"/>
    </row>
    <row r="152" spans="1:16">
      <c r="B152" s="338" t="str">
        <f t="shared" si="56"/>
        <v>55-59</v>
      </c>
      <c r="C152" s="459">
        <f>C84*Calc_SEC_retirement_rates!$G131</f>
        <v>81.460479023097719</v>
      </c>
      <c r="D152" s="459">
        <f>D84*Calc_SEC_retirement_rates!$G131</f>
        <v>71.675085416503336</v>
      </c>
      <c r="E152" s="459">
        <f>E84*Calc_SEC_retirement_rates!$G131</f>
        <v>64.967371507454018</v>
      </c>
      <c r="F152" s="459">
        <f>F84*Calc_SEC_retirement_rates!$G131</f>
        <v>61.117179019035952</v>
      </c>
      <c r="G152" s="459">
        <f>G84*Calc_SEC_retirement_rates!$G131</f>
        <v>58.821184350303398</v>
      </c>
      <c r="H152" s="459">
        <f>H84*Calc_SEC_retirement_rates!$G131</f>
        <v>57.382849014784362</v>
      </c>
      <c r="I152" s="459">
        <f>I84*Calc_SEC_retirement_rates!$G131</f>
        <v>56.573599366810029</v>
      </c>
      <c r="J152" s="459">
        <f>J84*Calc_SEC_retirement_rates!$G131</f>
        <v>56.192012905475487</v>
      </c>
      <c r="K152" s="459">
        <f>K84*Calc_SEC_retirement_rates!$G131</f>
        <v>55.876626131168763</v>
      </c>
      <c r="L152" s="459">
        <f>L84*Calc_SEC_retirement_rates!$G131</f>
        <v>55.566177378344463</v>
      </c>
      <c r="M152" s="459">
        <f>M84*Calc_SEC_retirement_rates!$G131</f>
        <v>55.424669285425239</v>
      </c>
      <c r="N152" s="459">
        <f>N84*Calc_SEC_retirement_rates!$G131</f>
        <v>55.324607209588748</v>
      </c>
      <c r="O152" s="327"/>
      <c r="P152" s="327"/>
    </row>
    <row r="153" spans="1:16">
      <c r="B153" s="338" t="str">
        <f t="shared" si="56"/>
        <v>60-64</v>
      </c>
      <c r="C153" s="459">
        <f>C85*Calc_SEC_retirement_rates!$G132</f>
        <v>55.232781933746843</v>
      </c>
      <c r="D153" s="459">
        <f>D85*Calc_SEC_retirement_rates!$G132</f>
        <v>53.313178502312049</v>
      </c>
      <c r="E153" s="459">
        <f>E85*Calc_SEC_retirement_rates!$G132</f>
        <v>48.753782723814517</v>
      </c>
      <c r="F153" s="459">
        <f>F85*Calc_SEC_retirement_rates!$G132</f>
        <v>44.967797202811106</v>
      </c>
      <c r="G153" s="459">
        <f>G85*Calc_SEC_retirement_rates!$G132</f>
        <v>42.114058112170895</v>
      </c>
      <c r="H153" s="459">
        <f>H85*Calc_SEC_retirement_rates!$G132</f>
        <v>40.063389191644227</v>
      </c>
      <c r="I153" s="459">
        <f>I85*Calc_SEC_retirement_rates!$G132</f>
        <v>38.763723167048383</v>
      </c>
      <c r="J153" s="459">
        <f>J85*Calc_SEC_retirement_rates!$G132</f>
        <v>38.02630671638628</v>
      </c>
      <c r="K153" s="459">
        <f>K85*Calc_SEC_retirement_rates!$G132</f>
        <v>37.459783072002622</v>
      </c>
      <c r="L153" s="459">
        <f>L85*Calc_SEC_retirement_rates!$G132</f>
        <v>36.979918782661983</v>
      </c>
      <c r="M153" s="459">
        <f>M85*Calc_SEC_retirement_rates!$G132</f>
        <v>36.72360500016655</v>
      </c>
      <c r="N153" s="459">
        <f>N85*Calc_SEC_retirement_rates!$G132</f>
        <v>36.533671747796028</v>
      </c>
      <c r="O153" s="327"/>
      <c r="P153" s="327"/>
    </row>
    <row r="154" spans="1:16">
      <c r="B154" s="338" t="str">
        <f t="shared" si="56"/>
        <v>65 plus</v>
      </c>
      <c r="C154" s="459">
        <f>C86*Calc_SEC_retirement_rates!$G133</f>
        <v>17.867951828076031</v>
      </c>
      <c r="D154" s="459">
        <f>D86*Calc_SEC_retirement_rates!$G133</f>
        <v>19.43371875537462</v>
      </c>
      <c r="E154" s="459">
        <f>E86*Calc_SEC_retirement_rates!$G133</f>
        <v>19.578002709104982</v>
      </c>
      <c r="F154" s="459">
        <f>F86*Calc_SEC_retirement_rates!$G133</f>
        <v>19.112240353757389</v>
      </c>
      <c r="G154" s="459">
        <f>G86*Calc_SEC_retirement_rates!$G133</f>
        <v>18.33625225727792</v>
      </c>
      <c r="H154" s="459">
        <f>H86*Calc_SEC_retirement_rates!$G133</f>
        <v>17.494967246912399</v>
      </c>
      <c r="I154" s="459">
        <f>I86*Calc_SEC_retirement_rates!$G133</f>
        <v>16.787032867664525</v>
      </c>
      <c r="J154" s="459">
        <f>J86*Calc_SEC_retirement_rates!$G133</f>
        <v>16.268931632518218</v>
      </c>
      <c r="K154" s="459">
        <f>K86*Calc_SEC_retirement_rates!$G133</f>
        <v>15.83967471818484</v>
      </c>
      <c r="L154" s="459">
        <f>L86*Calc_SEC_retirement_rates!$G133</f>
        <v>15.476420827699853</v>
      </c>
      <c r="M154" s="459">
        <f>M86*Calc_SEC_retirement_rates!$G133</f>
        <v>15.23809113205294</v>
      </c>
      <c r="N154" s="459">
        <f>N86*Calc_SEC_retirement_rates!$G133</f>
        <v>15.061330216717554</v>
      </c>
      <c r="O154" s="327"/>
      <c r="P154" s="327"/>
    </row>
    <row r="155" spans="1:16">
      <c r="B155" s="338" t="str">
        <f t="shared" si="56"/>
        <v>Total</v>
      </c>
      <c r="C155" s="459">
        <f>SUM(C145:C154)</f>
        <v>169.67722753105792</v>
      </c>
      <c r="D155" s="459">
        <f t="shared" ref="D155:N155" si="58">SUM(D145:D154)</f>
        <v>159.68595632518196</v>
      </c>
      <c r="E155" s="459">
        <f t="shared" si="58"/>
        <v>148.50441793916161</v>
      </c>
      <c r="F155" s="459">
        <f t="shared" si="58"/>
        <v>140.39832798678924</v>
      </c>
      <c r="G155" s="459">
        <f t="shared" si="58"/>
        <v>134.46778237435529</v>
      </c>
      <c r="H155" s="459">
        <f t="shared" si="58"/>
        <v>130.11829445730112</v>
      </c>
      <c r="I155" s="459">
        <f t="shared" si="58"/>
        <v>127.30155751455958</v>
      </c>
      <c r="J155" s="459">
        <f t="shared" si="58"/>
        <v>125.69377565248166</v>
      </c>
      <c r="K155" s="459">
        <f t="shared" si="58"/>
        <v>124.39501603519325</v>
      </c>
      <c r="L155" s="459">
        <f t="shared" si="58"/>
        <v>123.23674409826056</v>
      </c>
      <c r="M155" s="459">
        <f t="shared" si="58"/>
        <v>122.62086410159276</v>
      </c>
      <c r="N155" s="459">
        <f t="shared" si="58"/>
        <v>122.17915448786519</v>
      </c>
      <c r="O155" s="327"/>
      <c r="P155" s="327"/>
    </row>
    <row r="156" spans="1:16">
      <c r="A156" s="309">
        <f>SUM(C156:N156)</f>
        <v>0</v>
      </c>
      <c r="C156" s="309">
        <f t="shared" ref="C156:N156" si="59">SUM(C145:C154)-C155</f>
        <v>0</v>
      </c>
      <c r="D156" s="309">
        <f t="shared" si="59"/>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6">
      <c r="B158" s="341" t="s">
        <v>50</v>
      </c>
      <c r="C158" s="329"/>
      <c r="D158" s="329"/>
      <c r="E158" s="329"/>
      <c r="F158" s="329"/>
      <c r="G158" s="329"/>
      <c r="H158" s="339"/>
      <c r="I158" s="329"/>
      <c r="J158" s="329"/>
      <c r="K158" s="329"/>
      <c r="L158" s="329"/>
    </row>
    <row r="159" spans="1:16">
      <c r="C159" s="329"/>
      <c r="D159" s="329"/>
      <c r="E159" s="329"/>
      <c r="F159" s="329"/>
      <c r="G159" s="329"/>
      <c r="H159" s="339"/>
      <c r="I159" s="329"/>
      <c r="J159" s="329"/>
      <c r="K159" s="329"/>
      <c r="L159" s="329"/>
    </row>
    <row r="160" spans="1:16">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5">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c r="O161" s="327"/>
    </row>
    <row r="162" spans="1:15">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c r="O162" s="327"/>
    </row>
    <row r="163" spans="1:15">
      <c r="B163" s="338" t="str">
        <f t="shared" si="60"/>
        <v>30-34</v>
      </c>
      <c r="C163" s="459">
        <f>C95*Calc_SEC_retirement_rates!$G142</f>
        <v>0.13315654706802035</v>
      </c>
      <c r="D163" s="459">
        <f>D95*Calc_SEC_retirement_rates!$G142</f>
        <v>0.13756532622045511</v>
      </c>
      <c r="E163" s="459">
        <f>E95*Calc_SEC_retirement_rates!$G142</f>
        <v>0.13726652856433816</v>
      </c>
      <c r="F163" s="459">
        <f>F95*Calc_SEC_retirement_rates!$G142</f>
        <v>0.13735416362949843</v>
      </c>
      <c r="G163" s="459">
        <f>G95*Calc_SEC_retirement_rates!$G142</f>
        <v>0.13744229274901729</v>
      </c>
      <c r="H163" s="459">
        <f>H95*Calc_SEC_retirement_rates!$G142</f>
        <v>0.13741337196484557</v>
      </c>
      <c r="I163" s="459">
        <f>I95*Calc_SEC_retirement_rates!$G142</f>
        <v>0.13778820630365166</v>
      </c>
      <c r="J163" s="459">
        <f>J95*Calc_SEC_retirement_rates!$G142</f>
        <v>0.1386784371162732</v>
      </c>
      <c r="K163" s="459">
        <f>K95*Calc_SEC_retirement_rates!$G142</f>
        <v>0.13923278133701147</v>
      </c>
      <c r="L163" s="459">
        <f>L95*Calc_SEC_retirement_rates!$G142</f>
        <v>0.13932746328136711</v>
      </c>
      <c r="M163" s="459">
        <f>M95*Calc_SEC_retirement_rates!$G142</f>
        <v>0.1396089315264317</v>
      </c>
      <c r="N163" s="459">
        <f>N95*Calc_SEC_retirement_rates!$G142</f>
        <v>0.13975872487306046</v>
      </c>
      <c r="O163" s="327"/>
    </row>
    <row r="164" spans="1:15">
      <c r="B164" s="338" t="str">
        <f t="shared" si="60"/>
        <v>35-39</v>
      </c>
      <c r="C164" s="459">
        <f>C96*Calc_SEC_retirement_rates!$G143</f>
        <v>0.32905904750283371</v>
      </c>
      <c r="D164" s="459">
        <f>D96*Calc_SEC_retirement_rates!$G143</f>
        <v>0.34458378374745491</v>
      </c>
      <c r="E164" s="459">
        <f>E96*Calc_SEC_retirement_rates!$G143</f>
        <v>0.35123703909201054</v>
      </c>
      <c r="F164" s="459">
        <f>F96*Calc_SEC_retirement_rates!$G143</f>
        <v>0.35740813151226564</v>
      </c>
      <c r="G164" s="459">
        <f>G96*Calc_SEC_retirement_rates!$G143</f>
        <v>0.36202200182081723</v>
      </c>
      <c r="H164" s="459">
        <f>H96*Calc_SEC_retirement_rates!$G143</f>
        <v>0.36506202371707203</v>
      </c>
      <c r="I164" s="459">
        <f>I96*Calc_SEC_retirement_rates!$G143</f>
        <v>0.36780602676733559</v>
      </c>
      <c r="J164" s="459">
        <f>J96*Calc_SEC_retirement_rates!$G143</f>
        <v>0.37075573092986736</v>
      </c>
      <c r="K164" s="459">
        <f>K96*Calc_SEC_retirement_rates!$G143</f>
        <v>0.37264063695684474</v>
      </c>
      <c r="L164" s="459">
        <f>L96*Calc_SEC_retirement_rates!$G143</f>
        <v>0.37347462357017464</v>
      </c>
      <c r="M164" s="459">
        <f>M96*Calc_SEC_retirement_rates!$G143</f>
        <v>0.37454056562604776</v>
      </c>
      <c r="N164" s="459">
        <f>N96*Calc_SEC_retirement_rates!$G143</f>
        <v>0.37527575222652049</v>
      </c>
      <c r="O164" s="327"/>
    </row>
    <row r="165" spans="1:15">
      <c r="B165" s="338" t="str">
        <f t="shared" si="60"/>
        <v>40-44</v>
      </c>
      <c r="C165" s="459">
        <f>C97*Calc_SEC_retirement_rates!$G144</f>
        <v>0.51922881002200694</v>
      </c>
      <c r="D165" s="459">
        <f>D97*Calc_SEC_retirement_rates!$G144</f>
        <v>0.52546095001592275</v>
      </c>
      <c r="E165" s="459">
        <f>E97*Calc_SEC_retirement_rates!$G144</f>
        <v>0.52525648305340367</v>
      </c>
      <c r="F165" s="459">
        <f>F97*Calc_SEC_retirement_rates!$G144</f>
        <v>0.52897249673311719</v>
      </c>
      <c r="G165" s="459">
        <f>G97*Calc_SEC_retirement_rates!$G144</f>
        <v>0.53356961726990615</v>
      </c>
      <c r="H165" s="459">
        <f>H97*Calc_SEC_retirement_rates!$G144</f>
        <v>0.537786293816643</v>
      </c>
      <c r="I165" s="459">
        <f>I97*Calc_SEC_retirement_rates!$G144</f>
        <v>0.54248811198846458</v>
      </c>
      <c r="J165" s="459">
        <f>J97*Calc_SEC_retirement_rates!$G144</f>
        <v>0.54774904086074561</v>
      </c>
      <c r="K165" s="459">
        <f>K97*Calc_SEC_retirement_rates!$G144</f>
        <v>0.5515085319959403</v>
      </c>
      <c r="L165" s="459">
        <f>L97*Calc_SEC_retirement_rates!$G144</f>
        <v>0.55372001710926988</v>
      </c>
      <c r="M165" s="459">
        <f>M97*Calc_SEC_retirement_rates!$G144</f>
        <v>0.55613511306178998</v>
      </c>
      <c r="N165" s="459">
        <f>N97*Calc_SEC_retirement_rates!$G144</f>
        <v>0.55797227321763954</v>
      </c>
      <c r="O165" s="327"/>
    </row>
    <row r="166" spans="1:15">
      <c r="B166" s="338" t="str">
        <f t="shared" si="60"/>
        <v>45-49</v>
      </c>
      <c r="C166" s="459">
        <f>C98*Calc_SEC_retirement_rates!$G145</f>
        <v>0.83098093014265162</v>
      </c>
      <c r="D166" s="459">
        <f>D98*Calc_SEC_retirement_rates!$G145</f>
        <v>0.8753295595278372</v>
      </c>
      <c r="E166" s="459">
        <f>E98*Calc_SEC_retirement_rates!$G145</f>
        <v>0.89458253808052079</v>
      </c>
      <c r="F166" s="459">
        <f>F98*Calc_SEC_retirement_rates!$G145</f>
        <v>0.91169237236111755</v>
      </c>
      <c r="G166" s="459">
        <f>G98*Calc_SEC_retirement_rates!$G145</f>
        <v>0.92562772570309859</v>
      </c>
      <c r="H166" s="459">
        <f>H98*Calc_SEC_retirement_rates!$G145</f>
        <v>0.9366369000316932</v>
      </c>
      <c r="I166" s="459">
        <f>I98*Calc_SEC_retirement_rates!$G145</f>
        <v>0.94739461653804091</v>
      </c>
      <c r="J166" s="459">
        <f>J98*Calc_SEC_retirement_rates!$G145</f>
        <v>0.95862590442012008</v>
      </c>
      <c r="K166" s="459">
        <f>K98*Calc_SEC_retirement_rates!$G145</f>
        <v>0.96716108251336508</v>
      </c>
      <c r="L166" s="459">
        <f>L98*Calc_SEC_retirement_rates!$G145</f>
        <v>0.97295916130007554</v>
      </c>
      <c r="M166" s="459">
        <f>M98*Calc_SEC_retirement_rates!$G145</f>
        <v>0.97890632568560421</v>
      </c>
      <c r="N166" s="459">
        <f>N98*Calc_SEC_retirement_rates!$G145</f>
        <v>0.98372661618308299</v>
      </c>
      <c r="O166" s="327"/>
    </row>
    <row r="167" spans="1:15">
      <c r="B167" s="338" t="str">
        <f t="shared" si="60"/>
        <v>50-54</v>
      </c>
      <c r="C167" s="459">
        <f>C99*Calc_SEC_retirement_rates!$G146</f>
        <v>14.83554453713757</v>
      </c>
      <c r="D167" s="459">
        <f>D99*Calc_SEC_retirement_rates!$G146</f>
        <v>15.079474885614486</v>
      </c>
      <c r="E167" s="459">
        <f>E99*Calc_SEC_retirement_rates!$G146</f>
        <v>15.179832235095615</v>
      </c>
      <c r="F167" s="459">
        <f>F99*Calc_SEC_retirement_rates!$G146</f>
        <v>15.377370840152699</v>
      </c>
      <c r="G167" s="459">
        <f>G99*Calc_SEC_retirement_rates!$G146</f>
        <v>15.586773166421198</v>
      </c>
      <c r="H167" s="459">
        <f>H99*Calc_SEC_retirement_rates!$G146</f>
        <v>15.777187375427697</v>
      </c>
      <c r="I167" s="459">
        <f>I99*Calc_SEC_retirement_rates!$G146</f>
        <v>15.975077647583927</v>
      </c>
      <c r="J167" s="459">
        <f>J99*Calc_SEC_retirement_rates!$G146</f>
        <v>16.184976851102643</v>
      </c>
      <c r="K167" s="459">
        <f>K99*Calc_SEC_retirement_rates!$G146</f>
        <v>16.353151452129403</v>
      </c>
      <c r="L167" s="459">
        <f>L99*Calc_SEC_retirement_rates!$G146</f>
        <v>16.477544907113241</v>
      </c>
      <c r="M167" s="459">
        <f>M99*Calc_SEC_retirement_rates!$G146</f>
        <v>16.603612174058586</v>
      </c>
      <c r="N167" s="459">
        <f>N99*Calc_SEC_retirement_rates!$G146</f>
        <v>16.710405079395827</v>
      </c>
      <c r="O167" s="327"/>
    </row>
    <row r="168" spans="1:15">
      <c r="B168" s="338" t="str">
        <f t="shared" si="60"/>
        <v>55-59</v>
      </c>
      <c r="C168" s="459">
        <f>C100*Calc_SEC_retirement_rates!$G147</f>
        <v>73.544082161807793</v>
      </c>
      <c r="D168" s="459">
        <f>D100*Calc_SEC_retirement_rates!$G147</f>
        <v>72.846424818407144</v>
      </c>
      <c r="E168" s="459">
        <f>E100*Calc_SEC_retirement_rates!$G147</f>
        <v>71.378187559844903</v>
      </c>
      <c r="F168" s="459">
        <f>F100*Calc_SEC_retirement_rates!$G147</f>
        <v>70.916657515969931</v>
      </c>
      <c r="G168" s="459">
        <f>G100*Calc_SEC_retirement_rates!$G147</f>
        <v>70.928434451474089</v>
      </c>
      <c r="H168" s="459">
        <f>H100*Calc_SEC_retirement_rates!$G147</f>
        <v>71.159588869727827</v>
      </c>
      <c r="I168" s="459">
        <f>I100*Calc_SEC_retirement_rates!$G147</f>
        <v>71.67957015268675</v>
      </c>
      <c r="J168" s="459">
        <f>J100*Calc_SEC_retirement_rates!$G147</f>
        <v>72.428490154714652</v>
      </c>
      <c r="K168" s="459">
        <f>K100*Calc_SEC_retirement_rates!$G147</f>
        <v>73.039506569924555</v>
      </c>
      <c r="L168" s="459">
        <f>L100*Calc_SEC_retirement_rates!$G147</f>
        <v>73.487633839420525</v>
      </c>
      <c r="M168" s="459">
        <f>M100*Calc_SEC_retirement_rates!$G147</f>
        <v>74.020106427583741</v>
      </c>
      <c r="N168" s="459">
        <f>N100*Calc_SEC_retirement_rates!$G147</f>
        <v>74.487446330946526</v>
      </c>
      <c r="O168" s="327"/>
    </row>
    <row r="169" spans="1:15">
      <c r="B169" s="338" t="str">
        <f t="shared" si="60"/>
        <v>60-64</v>
      </c>
      <c r="C169" s="459">
        <f>C101*Calc_SEC_retirement_rates!$G148</f>
        <v>45.380554961880613</v>
      </c>
      <c r="D169" s="459">
        <f>D101*Calc_SEC_retirement_rates!$G148</f>
        <v>51.313251195765623</v>
      </c>
      <c r="E169" s="459">
        <f>E101*Calc_SEC_retirement_rates!$G148</f>
        <v>52.271448719340256</v>
      </c>
      <c r="F169" s="459">
        <f>F101*Calc_SEC_retirement_rates!$G148</f>
        <v>52.569461885129122</v>
      </c>
      <c r="G169" s="459">
        <f>G101*Calc_SEC_retirement_rates!$G148</f>
        <v>52.567435799695396</v>
      </c>
      <c r="H169" s="459">
        <f>H101*Calc_SEC_retirement_rates!$G148</f>
        <v>52.480402436578885</v>
      </c>
      <c r="I169" s="459">
        <f>I101*Calc_SEC_retirement_rates!$G148</f>
        <v>52.626925634543539</v>
      </c>
      <c r="J169" s="459">
        <f>J101*Calc_SEC_retirement_rates!$G148</f>
        <v>53.019115533788401</v>
      </c>
      <c r="K169" s="459">
        <f>K101*Calc_SEC_retirement_rates!$G148</f>
        <v>53.268493776664869</v>
      </c>
      <c r="L169" s="459">
        <f>L101*Calc_SEC_retirement_rates!$G148</f>
        <v>53.388296028898623</v>
      </c>
      <c r="M169" s="459">
        <f>M101*Calc_SEC_retirement_rates!$G148</f>
        <v>53.672295464460788</v>
      </c>
      <c r="N169" s="459">
        <f>N101*Calc_SEC_retirement_rates!$G148</f>
        <v>53.92615483526815</v>
      </c>
      <c r="O169" s="327"/>
    </row>
    <row r="170" spans="1:15">
      <c r="B170" s="338" t="str">
        <f t="shared" si="60"/>
        <v>65 plus</v>
      </c>
      <c r="C170" s="459">
        <f>C102*Calc_SEC_retirement_rates!$G149</f>
        <v>12.235055215001566</v>
      </c>
      <c r="D170" s="459">
        <f>D102*Calc_SEC_retirement_rates!$G149</f>
        <v>15.18952436037287</v>
      </c>
      <c r="E170" s="459">
        <f>E102*Calc_SEC_retirement_rates!$G149</f>
        <v>16.781893322294543</v>
      </c>
      <c r="F170" s="459">
        <f>F102*Calc_SEC_retirement_rates!$G149</f>
        <v>17.835524370974706</v>
      </c>
      <c r="G170" s="459">
        <f>G102*Calc_SEC_retirement_rates!$G149</f>
        <v>18.402950533094067</v>
      </c>
      <c r="H170" s="459">
        <f>H102*Calc_SEC_retirement_rates!$G149</f>
        <v>18.648382072566704</v>
      </c>
      <c r="I170" s="459">
        <f>I102*Calc_SEC_retirement_rates!$G149</f>
        <v>18.808090749671244</v>
      </c>
      <c r="J170" s="459">
        <f>J102*Calc_SEC_retirement_rates!$G149</f>
        <v>18.975682890263634</v>
      </c>
      <c r="K170" s="459">
        <f>K102*Calc_SEC_retirement_rates!$G149</f>
        <v>19.040964108944543</v>
      </c>
      <c r="L170" s="459">
        <f>L102*Calc_SEC_retirement_rates!$G149</f>
        <v>19.02770885747508</v>
      </c>
      <c r="M170" s="459">
        <f>M102*Calc_SEC_retirement_rates!$G149</f>
        <v>19.074329333628377</v>
      </c>
      <c r="N170" s="459">
        <f>N102*Calc_SEC_retirement_rates!$G149</f>
        <v>19.116493378993756</v>
      </c>
      <c r="O170" s="327"/>
    </row>
    <row r="171" spans="1:15">
      <c r="B171" s="338" t="str">
        <f t="shared" si="60"/>
        <v>Total</v>
      </c>
      <c r="C171" s="459">
        <f>SUM(C161:C170)</f>
        <v>147.80766221056308</v>
      </c>
      <c r="D171" s="459">
        <f t="shared" ref="D171:N171" si="62">SUM(D161:D170)</f>
        <v>156.31161487967179</v>
      </c>
      <c r="E171" s="459">
        <f t="shared" si="62"/>
        <v>157.5197044253656</v>
      </c>
      <c r="F171" s="459">
        <f t="shared" si="62"/>
        <v>158.63444177646244</v>
      </c>
      <c r="G171" s="459">
        <f t="shared" si="62"/>
        <v>159.44425558822761</v>
      </c>
      <c r="H171" s="459">
        <f t="shared" si="62"/>
        <v>160.04245934383138</v>
      </c>
      <c r="I171" s="459">
        <f t="shared" si="62"/>
        <v>161.08514114608295</v>
      </c>
      <c r="J171" s="459">
        <f t="shared" si="62"/>
        <v>162.62407454319634</v>
      </c>
      <c r="K171" s="459">
        <f t="shared" si="62"/>
        <v>163.73265894046654</v>
      </c>
      <c r="L171" s="459">
        <f t="shared" si="62"/>
        <v>164.42066489816835</v>
      </c>
      <c r="M171" s="459">
        <f t="shared" si="62"/>
        <v>165.41953433563137</v>
      </c>
      <c r="N171" s="459">
        <f t="shared" si="62"/>
        <v>166.29723299110458</v>
      </c>
      <c r="O171" s="327"/>
    </row>
    <row r="172" spans="1:15">
      <c r="A172" s="309">
        <f>SUM(C172:N172)</f>
        <v>0</v>
      </c>
      <c r="C172" s="309">
        <f t="shared" ref="C172:N172" si="63">SUM(C161:C170)-C171</f>
        <v>0</v>
      </c>
      <c r="D172" s="309">
        <f t="shared" si="63"/>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5" ht="15.75">
      <c r="B174" s="340" t="s">
        <v>516</v>
      </c>
      <c r="H174" s="325"/>
    </row>
    <row r="175" spans="1:15">
      <c r="H175" s="325"/>
    </row>
    <row r="176" spans="1:15">
      <c r="B176" s="341" t="s">
        <v>49</v>
      </c>
      <c r="H176" s="325"/>
    </row>
    <row r="177" spans="1:17">
      <c r="H177" s="325"/>
    </row>
    <row r="178" spans="1:17">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7">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c r="O179" s="327"/>
      <c r="P179" s="327"/>
      <c r="Q179" s="327"/>
    </row>
    <row r="180" spans="1:17">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c r="O180" s="327"/>
      <c r="P180" s="327"/>
      <c r="Q180" s="327"/>
    </row>
    <row r="181" spans="1:17">
      <c r="B181" s="338" t="str">
        <f t="shared" si="64"/>
        <v>30-34</v>
      </c>
      <c r="C181" s="459">
        <f>C79*Calc_SEC_death_rates!$G126</f>
        <v>0.15192956879405123</v>
      </c>
      <c r="D181" s="459">
        <f>D79*Calc_SEC_death_rates!$G126</f>
        <v>0.16234300203993904</v>
      </c>
      <c r="E181" s="459">
        <f>E79*Calc_SEC_death_rates!$G126</f>
        <v>0.16611903712691034</v>
      </c>
      <c r="F181" s="459">
        <f>F79*Calc_SEC_death_rates!$G126</f>
        <v>0.17007822780235399</v>
      </c>
      <c r="G181" s="459">
        <f>G79*Calc_SEC_death_rates!$G126</f>
        <v>0.17371314032869381</v>
      </c>
      <c r="H181" s="459">
        <f>H79*Calc_SEC_death_rates!$G126</f>
        <v>0.17684576631949742</v>
      </c>
      <c r="I181" s="459">
        <f>I79*Calc_SEC_death_rates!$G126</f>
        <v>0.18016172628635338</v>
      </c>
      <c r="J181" s="459">
        <f>J79*Calc_SEC_death_rates!$G126</f>
        <v>0.18382028030123426</v>
      </c>
      <c r="K181" s="459">
        <f>K79*Calc_SEC_death_rates!$G126</f>
        <v>0.18669530057639583</v>
      </c>
      <c r="L181" s="459">
        <f>L79*Calc_SEC_death_rates!$G126</f>
        <v>0.18863198905859793</v>
      </c>
      <c r="M181" s="459">
        <f>M79*Calc_SEC_death_rates!$G126</f>
        <v>0.19052238317753034</v>
      </c>
      <c r="N181" s="459">
        <f>N79*Calc_SEC_death_rates!$G126</f>
        <v>0.19197746923072345</v>
      </c>
      <c r="O181" s="327"/>
      <c r="P181" s="327"/>
      <c r="Q181" s="327"/>
    </row>
    <row r="182" spans="1:17">
      <c r="B182" s="338" t="str">
        <f t="shared" si="64"/>
        <v>35-39</v>
      </c>
      <c r="C182" s="459">
        <f>C80*Calc_SEC_death_rates!$G127</f>
        <v>0.27268224893606985</v>
      </c>
      <c r="D182" s="459">
        <f>D80*Calc_SEC_death_rates!$G127</f>
        <v>0.28239877459480883</v>
      </c>
      <c r="E182" s="459">
        <f>E80*Calc_SEC_death_rates!$G127</f>
        <v>0.28699513339805</v>
      </c>
      <c r="F182" s="459">
        <f>F80*Calc_SEC_death_rates!$G127</f>
        <v>0.29290201409639061</v>
      </c>
      <c r="G182" s="459">
        <f>G80*Calc_SEC_death_rates!$G127</f>
        <v>0.2986287309842322</v>
      </c>
      <c r="H182" s="459">
        <f>H80*Calc_SEC_death_rates!$G127</f>
        <v>0.30374352324395415</v>
      </c>
      <c r="I182" s="459">
        <f>I80*Calc_SEC_death_rates!$G127</f>
        <v>0.30903632890263688</v>
      </c>
      <c r="J182" s="459">
        <f>J80*Calc_SEC_death_rates!$G127</f>
        <v>0.31471053122006121</v>
      </c>
      <c r="K182" s="459">
        <f>K80*Calc_SEC_death_rates!$G127</f>
        <v>0.31949992633381696</v>
      </c>
      <c r="L182" s="459">
        <f>L80*Calc_SEC_death_rates!$G127</f>
        <v>0.32328877412903329</v>
      </c>
      <c r="M182" s="459">
        <f>M80*Calc_SEC_death_rates!$G127</f>
        <v>0.32709662433598391</v>
      </c>
      <c r="N182" s="459">
        <f>N80*Calc_SEC_death_rates!$G127</f>
        <v>0.33038536452638123</v>
      </c>
      <c r="O182" s="327"/>
      <c r="P182" s="327"/>
      <c r="Q182" s="327"/>
    </row>
    <row r="183" spans="1:17">
      <c r="B183" s="338" t="str">
        <f t="shared" si="64"/>
        <v>40-44</v>
      </c>
      <c r="C183" s="459">
        <f>C81*Calc_SEC_death_rates!$G128</f>
        <v>0.52576537513541555</v>
      </c>
      <c r="D183" s="459">
        <f>D81*Calc_SEC_death_rates!$G128</f>
        <v>0.52447790757881441</v>
      </c>
      <c r="E183" s="459">
        <f>E81*Calc_SEC_death_rates!$G128</f>
        <v>0.5176560398950667</v>
      </c>
      <c r="F183" s="459">
        <f>F81*Calc_SEC_death_rates!$G128</f>
        <v>0.51595881956838763</v>
      </c>
      <c r="G183" s="459">
        <f>G81*Calc_SEC_death_rates!$G128</f>
        <v>0.516693021018784</v>
      </c>
      <c r="H183" s="459">
        <f>H81*Calc_SEC_death_rates!$G128</f>
        <v>0.5186209281928903</v>
      </c>
      <c r="I183" s="459">
        <f>I81*Calc_SEC_death_rates!$G128</f>
        <v>0.5224236668904696</v>
      </c>
      <c r="J183" s="459">
        <f>J81*Calc_SEC_death_rates!$G128</f>
        <v>0.52795663716960206</v>
      </c>
      <c r="K183" s="459">
        <f>K81*Calc_SEC_death_rates!$G128</f>
        <v>0.53298880077057809</v>
      </c>
      <c r="L183" s="459">
        <f>L81*Calc_SEC_death_rates!$G128</f>
        <v>0.53723361715655993</v>
      </c>
      <c r="M183" s="459">
        <f>M81*Calc_SEC_death_rates!$G128</f>
        <v>0.54216482036403757</v>
      </c>
      <c r="N183" s="459">
        <f>N81*Calc_SEC_death_rates!$G128</f>
        <v>0.54684024671161413</v>
      </c>
      <c r="O183" s="327"/>
      <c r="P183" s="327"/>
      <c r="Q183" s="327"/>
    </row>
    <row r="184" spans="1:17">
      <c r="B184" s="338" t="str">
        <f t="shared" si="64"/>
        <v>45-49</v>
      </c>
      <c r="C184" s="459">
        <f>C82*Calc_SEC_death_rates!$G129</f>
        <v>0.49062527960067825</v>
      </c>
      <c r="D184" s="459">
        <f>D82*Calc_SEC_death_rates!$G129</f>
        <v>0.4999366910984096</v>
      </c>
      <c r="E184" s="459">
        <f>E82*Calc_SEC_death_rates!$G129</f>
        <v>0.49859360607169689</v>
      </c>
      <c r="F184" s="459">
        <f>F82*Calc_SEC_death_rates!$G129</f>
        <v>0.49785173727221954</v>
      </c>
      <c r="G184" s="459">
        <f>G82*Calc_SEC_death_rates!$G129</f>
        <v>0.49699707019973205</v>
      </c>
      <c r="H184" s="459">
        <f>H82*Calc_SEC_death_rates!$G129</f>
        <v>0.49606442414474744</v>
      </c>
      <c r="I184" s="459">
        <f>I82*Calc_SEC_death_rates!$G129</f>
        <v>0.49634451971994237</v>
      </c>
      <c r="J184" s="459">
        <f>J82*Calc_SEC_death_rates!$G129</f>
        <v>0.4981233791965084</v>
      </c>
      <c r="K184" s="459">
        <f>K82*Calc_SEC_death_rates!$G129</f>
        <v>0.49968266995019278</v>
      </c>
      <c r="L184" s="459">
        <f>L82*Calc_SEC_death_rates!$G129</f>
        <v>0.50087767465257027</v>
      </c>
      <c r="M184" s="459">
        <f>M82*Calc_SEC_death_rates!$G129</f>
        <v>0.50304034316263291</v>
      </c>
      <c r="N184" s="459">
        <f>N82*Calc_SEC_death_rates!$G129</f>
        <v>0.50537697379208857</v>
      </c>
      <c r="O184" s="327"/>
      <c r="P184" s="327"/>
      <c r="Q184" s="327"/>
    </row>
    <row r="185" spans="1:17">
      <c r="B185" s="338" t="str">
        <f t="shared" si="64"/>
        <v>50-54</v>
      </c>
      <c r="C185" s="459">
        <f>C83*Calc_SEC_death_rates!$G130</f>
        <v>0.7786912364696833</v>
      </c>
      <c r="D185" s="459">
        <f>D83*Calc_SEC_death_rates!$G130</f>
        <v>0.78578492018572899</v>
      </c>
      <c r="E185" s="459">
        <f>E83*Calc_SEC_death_rates!$G130</f>
        <v>0.78258986139176145</v>
      </c>
      <c r="F185" s="459">
        <f>F83*Calc_SEC_death_rates!$G130</f>
        <v>0.7821678064120583</v>
      </c>
      <c r="G185" s="459">
        <f>G83*Calc_SEC_death_rates!$G130</f>
        <v>0.78163451233755943</v>
      </c>
      <c r="H185" s="459">
        <f>H83*Calc_SEC_death_rates!$G130</f>
        <v>0.78028102112313213</v>
      </c>
      <c r="I185" s="459">
        <f>I83*Calc_SEC_death_rates!$G130</f>
        <v>0.77983427948337924</v>
      </c>
      <c r="J185" s="459">
        <f>J83*Calc_SEC_death_rates!$G130</f>
        <v>0.78082452127567992</v>
      </c>
      <c r="K185" s="459">
        <f>K83*Calc_SEC_death_rates!$G130</f>
        <v>0.78094226877904549</v>
      </c>
      <c r="L185" s="459">
        <f>L83*Calc_SEC_death_rates!$G130</f>
        <v>0.78020610782065092</v>
      </c>
      <c r="M185" s="459">
        <f>M83*Calc_SEC_death_rates!$G130</f>
        <v>0.78077290891400641</v>
      </c>
      <c r="N185" s="459">
        <f>N83*Calc_SEC_death_rates!$G130</f>
        <v>0.78163254393936821</v>
      </c>
      <c r="O185" s="327"/>
      <c r="P185" s="327"/>
      <c r="Q185" s="327"/>
    </row>
    <row r="186" spans="1:17">
      <c r="B186" s="338" t="str">
        <f t="shared" si="64"/>
        <v>55-59</v>
      </c>
      <c r="C186" s="459">
        <f>C84*Calc_SEC_death_rates!$G131</f>
        <v>0.55892828490442248</v>
      </c>
      <c r="D186" s="459">
        <f>D84*Calc_SEC_death_rates!$G131</f>
        <v>0.49178734329397977</v>
      </c>
      <c r="E186" s="459">
        <f>E84*Calc_SEC_death_rates!$G131</f>
        <v>0.44576341763364297</v>
      </c>
      <c r="F186" s="459">
        <f>F84*Calc_SEC_death_rates!$G131</f>
        <v>0.41934592647829122</v>
      </c>
      <c r="G186" s="459">
        <f>G84*Calc_SEC_death_rates!$G131</f>
        <v>0.40359231960371694</v>
      </c>
      <c r="H186" s="459">
        <f>H84*Calc_SEC_death_rates!$G131</f>
        <v>0.39372340756391505</v>
      </c>
      <c r="I186" s="459">
        <f>I84*Calc_SEC_death_rates!$G131</f>
        <v>0.38817086818253532</v>
      </c>
      <c r="J186" s="459">
        <f>J84*Calc_SEC_death_rates!$G131</f>
        <v>0.38555267259942333</v>
      </c>
      <c r="K186" s="459">
        <f>K84*Calc_SEC_death_rates!$G131</f>
        <v>0.38338869577337481</v>
      </c>
      <c r="L186" s="459">
        <f>L84*Calc_SEC_death_rates!$G131</f>
        <v>0.38125860040629994</v>
      </c>
      <c r="M186" s="459">
        <f>M84*Calc_SEC_death_rates!$G131</f>
        <v>0.38028766484805199</v>
      </c>
      <c r="N186" s="459">
        <f>N84*Calc_SEC_death_rates!$G131</f>
        <v>0.37960110462766083</v>
      </c>
      <c r="O186" s="327"/>
      <c r="P186" s="327"/>
      <c r="Q186" s="327"/>
    </row>
    <row r="187" spans="1:17">
      <c r="B187" s="338" t="str">
        <f t="shared" si="64"/>
        <v>60-64</v>
      </c>
      <c r="C187" s="459">
        <f>C85*Calc_SEC_death_rates!$G132</f>
        <v>0.4271599040470615</v>
      </c>
      <c r="D187" s="459">
        <f>D85*Calc_SEC_death_rates!$G132</f>
        <v>0.41231405365039525</v>
      </c>
      <c r="E187" s="459">
        <f>E85*Calc_SEC_death_rates!$G132</f>
        <v>0.37705254780063069</v>
      </c>
      <c r="F187" s="459">
        <f>F85*Calc_SEC_death_rates!$G132</f>
        <v>0.34777245081374925</v>
      </c>
      <c r="G187" s="459">
        <f>G85*Calc_SEC_death_rates!$G132</f>
        <v>0.32570217165244525</v>
      </c>
      <c r="H187" s="459">
        <f>H85*Calc_SEC_death_rates!$G132</f>
        <v>0.30984268551656302</v>
      </c>
      <c r="I187" s="459">
        <f>I85*Calc_SEC_death_rates!$G132</f>
        <v>0.29979131394115477</v>
      </c>
      <c r="J187" s="459">
        <f>J85*Calc_SEC_death_rates!$G132</f>
        <v>0.29408827438241242</v>
      </c>
      <c r="K187" s="459">
        <f>K85*Calc_SEC_death_rates!$G132</f>
        <v>0.28970688751210061</v>
      </c>
      <c r="L187" s="459">
        <f>L85*Calc_SEC_death_rates!$G132</f>
        <v>0.28599570772694627</v>
      </c>
      <c r="M187" s="459">
        <f>M85*Calc_SEC_death_rates!$G132</f>
        <v>0.28401342534131485</v>
      </c>
      <c r="N187" s="459">
        <f>N85*Calc_SEC_death_rates!$G132</f>
        <v>0.28254451743884379</v>
      </c>
      <c r="O187" s="327"/>
      <c r="P187" s="327"/>
      <c r="Q187" s="327"/>
    </row>
    <row r="188" spans="1:17">
      <c r="B188" s="338" t="str">
        <f t="shared" si="64"/>
        <v>65 plus</v>
      </c>
      <c r="C188" s="459">
        <f>C86*Calc_SEC_death_rates!$G133</f>
        <v>0.39260513135271125</v>
      </c>
      <c r="D188" s="459">
        <f>D86*Calc_SEC_death_rates!$G133</f>
        <v>0.42700908184880937</v>
      </c>
      <c r="E188" s="459">
        <f>E86*Calc_SEC_death_rates!$G133</f>
        <v>0.43017937361763919</v>
      </c>
      <c r="F188" s="459">
        <f>F86*Calc_SEC_death_rates!$G133</f>
        <v>0.41994536960532369</v>
      </c>
      <c r="G188" s="459">
        <f>G86*Calc_SEC_death_rates!$G133</f>
        <v>0.40289490341435524</v>
      </c>
      <c r="H188" s="459">
        <f>H86*Calc_SEC_death_rates!$G133</f>
        <v>0.38440969508283124</v>
      </c>
      <c r="I188" s="459">
        <f>I86*Calc_SEC_death_rates!$G133</f>
        <v>0.36885454513458782</v>
      </c>
      <c r="J188" s="459">
        <f>J86*Calc_SEC_death_rates!$G133</f>
        <v>0.35747052051689215</v>
      </c>
      <c r="K188" s="459">
        <f>K86*Calc_SEC_death_rates!$G133</f>
        <v>0.34803863549406011</v>
      </c>
      <c r="L188" s="459">
        <f>L86*Calc_SEC_death_rates!$G133</f>
        <v>0.3400570076745722</v>
      </c>
      <c r="M188" s="459">
        <f>M86*Calc_SEC_death_rates!$G133</f>
        <v>0.33482028763161337</v>
      </c>
      <c r="N188" s="459">
        <f>N86*Calc_SEC_death_rates!$G133</f>
        <v>0.33093639298879091</v>
      </c>
      <c r="O188" s="327"/>
      <c r="P188" s="327"/>
      <c r="Q188" s="327"/>
    </row>
    <row r="189" spans="1:17">
      <c r="B189" s="338" t="str">
        <f t="shared" si="64"/>
        <v>Total</v>
      </c>
      <c r="C189" s="459">
        <f>SUM(C179:C188)</f>
        <v>3.5983870292400937</v>
      </c>
      <c r="D189" s="459">
        <f t="shared" ref="D189:N189" si="66">SUM(D179:D188)</f>
        <v>3.5860517742908851</v>
      </c>
      <c r="E189" s="459">
        <f t="shared" si="66"/>
        <v>3.5049490169353987</v>
      </c>
      <c r="F189" s="459">
        <f t="shared" si="66"/>
        <v>3.4460223520487743</v>
      </c>
      <c r="G189" s="459">
        <f t="shared" si="66"/>
        <v>3.3998558695395191</v>
      </c>
      <c r="H189" s="459">
        <f t="shared" si="66"/>
        <v>3.3635314511875309</v>
      </c>
      <c r="I189" s="459">
        <f t="shared" si="66"/>
        <v>3.3446172485410592</v>
      </c>
      <c r="J189" s="459">
        <f t="shared" si="66"/>
        <v>3.3425468166618133</v>
      </c>
      <c r="K189" s="459">
        <f t="shared" si="66"/>
        <v>3.3409431851895652</v>
      </c>
      <c r="L189" s="459">
        <f t="shared" si="66"/>
        <v>3.3375494786252311</v>
      </c>
      <c r="M189" s="459">
        <f t="shared" si="66"/>
        <v>3.3427184577751712</v>
      </c>
      <c r="N189" s="459">
        <f t="shared" si="66"/>
        <v>3.3492946132554708</v>
      </c>
      <c r="O189" s="327"/>
      <c r="P189" s="327"/>
      <c r="Q189" s="327"/>
    </row>
    <row r="190" spans="1:17">
      <c r="A190" s="309">
        <f>SUM(C190:N190)</f>
        <v>0</v>
      </c>
      <c r="C190" s="309">
        <f t="shared" ref="C190:N190" si="67">SUM(C179:C188)-C189</f>
        <v>0</v>
      </c>
      <c r="D190" s="309">
        <f t="shared" si="67"/>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7">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4">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8"/>
        <v>30-34</v>
      </c>
      <c r="C197" s="459">
        <f>C95*Calc_SEC_death_rates!$G142</f>
        <v>7.4621769697912649E-2</v>
      </c>
      <c r="D197" s="459">
        <f>D95*Calc_SEC_death_rates!$G142</f>
        <v>7.7092477370993756E-2</v>
      </c>
      <c r="E197" s="459">
        <f>E95*Calc_SEC_death_rates!$G142</f>
        <v>7.6925029277963491E-2</v>
      </c>
      <c r="F197" s="459">
        <f>F95*Calc_SEC_death_rates!$G142</f>
        <v>7.6974140521787734E-2</v>
      </c>
      <c r="G197" s="459">
        <f>G95*Calc_SEC_death_rates!$G142</f>
        <v>7.7023528636793875E-2</v>
      </c>
      <c r="H197" s="459">
        <f>H95*Calc_SEC_death_rates!$G142</f>
        <v>7.7007321246744601E-2</v>
      </c>
      <c r="I197" s="459">
        <f>I95*Calc_SEC_death_rates!$G142</f>
        <v>7.721738077683267E-2</v>
      </c>
      <c r="J197" s="459">
        <f>J95*Calc_SEC_death_rates!$G142</f>
        <v>7.7716271744946275E-2</v>
      </c>
      <c r="K197" s="459">
        <f>K95*Calc_SEC_death_rates!$G142</f>
        <v>7.8026929746254844E-2</v>
      </c>
      <c r="L197" s="459">
        <f>L95*Calc_SEC_death_rates!$G142</f>
        <v>7.8079990105672584E-2</v>
      </c>
      <c r="M197" s="459">
        <f>M95*Calc_SEC_death_rates!$G142</f>
        <v>7.8237726687335044E-2</v>
      </c>
      <c r="N197" s="459">
        <f>N95*Calc_SEC_death_rates!$G142</f>
        <v>7.8321671824547884E-2</v>
      </c>
    </row>
    <row r="198" spans="1:14">
      <c r="B198" s="338" t="str">
        <f t="shared" si="68"/>
        <v>35-39</v>
      </c>
      <c r="C198" s="459">
        <f>C96*Calc_SEC_death_rates!$G143</f>
        <v>0.24944017490955725</v>
      </c>
      <c r="D198" s="459">
        <f>D96*Calc_SEC_death_rates!$G143</f>
        <v>0.26120855798144255</v>
      </c>
      <c r="E198" s="459">
        <f>E96*Calc_SEC_death_rates!$G143</f>
        <v>0.26625199680939216</v>
      </c>
      <c r="F198" s="459">
        <f>F96*Calc_SEC_death_rates!$G143</f>
        <v>0.27092993648123243</v>
      </c>
      <c r="G198" s="459">
        <f>G96*Calc_SEC_death_rates!$G143</f>
        <v>0.27442743829894251</v>
      </c>
      <c r="H198" s="459">
        <f>H96*Calc_SEC_death_rates!$G143</f>
        <v>0.27673189884875965</v>
      </c>
      <c r="I198" s="459">
        <f>I96*Calc_SEC_death_rates!$G143</f>
        <v>0.27881196504357902</v>
      </c>
      <c r="J198" s="459">
        <f>J96*Calc_SEC_death_rates!$G143</f>
        <v>0.28104796106866031</v>
      </c>
      <c r="K198" s="459">
        <f>K96*Calc_SEC_death_rates!$G143</f>
        <v>0.28247679669140147</v>
      </c>
      <c r="L198" s="459">
        <f>L96*Calc_SEC_death_rates!$G143</f>
        <v>0.28310899254889249</v>
      </c>
      <c r="M198" s="459">
        <f>M96*Calc_SEC_death_rates!$G143</f>
        <v>0.28391702008947595</v>
      </c>
      <c r="N198" s="459">
        <f>N96*Calc_SEC_death_rates!$G143</f>
        <v>0.28447432150879493</v>
      </c>
    </row>
    <row r="199" spans="1:14">
      <c r="B199" s="338" t="str">
        <f t="shared" si="68"/>
        <v>40-44</v>
      </c>
      <c r="C199" s="459">
        <f>C97*Calc_SEC_death_rates!$G144</f>
        <v>0.27480485886936579</v>
      </c>
      <c r="D199" s="459">
        <f>D97*Calc_SEC_death_rates!$G144</f>
        <v>0.27810325510321415</v>
      </c>
      <c r="E199" s="459">
        <f>E97*Calc_SEC_death_rates!$G144</f>
        <v>0.27799503977753504</v>
      </c>
      <c r="F199" s="459">
        <f>F97*Calc_SEC_death_rates!$G144</f>
        <v>0.27996176156781288</v>
      </c>
      <c r="G199" s="459">
        <f>G97*Calc_SEC_death_rates!$G144</f>
        <v>0.28239481427200352</v>
      </c>
      <c r="H199" s="459">
        <f>H97*Calc_SEC_death_rates!$G144</f>
        <v>0.28462651478814921</v>
      </c>
      <c r="I199" s="459">
        <f>I97*Calc_SEC_death_rates!$G144</f>
        <v>0.28711497932285418</v>
      </c>
      <c r="J199" s="459">
        <f>J97*Calc_SEC_death_rates!$G144</f>
        <v>0.28989935643822973</v>
      </c>
      <c r="K199" s="459">
        <f>K97*Calc_SEC_death_rates!$G144</f>
        <v>0.29188908892395993</v>
      </c>
      <c r="L199" s="459">
        <f>L97*Calc_SEC_death_rates!$G144</f>
        <v>0.29305953024526193</v>
      </c>
      <c r="M199" s="459">
        <f>M97*Calc_SEC_death_rates!$G144</f>
        <v>0.29433773378400652</v>
      </c>
      <c r="N199" s="459">
        <f>N97*Calc_SEC_death_rates!$G144</f>
        <v>0.29531006145073835</v>
      </c>
    </row>
    <row r="200" spans="1:14">
      <c r="B200" s="338" t="str">
        <f t="shared" si="68"/>
        <v>45-49</v>
      </c>
      <c r="C200" s="459">
        <f>C98*Calc_SEC_death_rates!$G145</f>
        <v>0.31927076164962959</v>
      </c>
      <c r="D200" s="459">
        <f>D98*Calc_SEC_death_rates!$G145</f>
        <v>0.33630992604958121</v>
      </c>
      <c r="E200" s="459">
        <f>E98*Calc_SEC_death_rates!$G145</f>
        <v>0.34370710317310926</v>
      </c>
      <c r="F200" s="459">
        <f>F98*Calc_SEC_death_rates!$G145</f>
        <v>0.35028086392298263</v>
      </c>
      <c r="G200" s="459">
        <f>G98*Calc_SEC_death_rates!$G145</f>
        <v>0.35563495896170666</v>
      </c>
      <c r="H200" s="459">
        <f>H98*Calc_SEC_death_rates!$G145</f>
        <v>0.35986478824602069</v>
      </c>
      <c r="I200" s="459">
        <f>I98*Calc_SEC_death_rates!$G145</f>
        <v>0.36399800504800295</v>
      </c>
      <c r="J200" s="459">
        <f>J98*Calc_SEC_death_rates!$G145</f>
        <v>0.3683131724680328</v>
      </c>
      <c r="K200" s="459">
        <f>K98*Calc_SEC_death_rates!$G145</f>
        <v>0.37159246891371389</v>
      </c>
      <c r="L200" s="459">
        <f>L98*Calc_SEC_death_rates!$G145</f>
        <v>0.37382014582324274</v>
      </c>
      <c r="M200" s="459">
        <f>M98*Calc_SEC_death_rates!$G145</f>
        <v>0.37610510283506893</v>
      </c>
      <c r="N200" s="459">
        <f>N98*Calc_SEC_death_rates!$G145</f>
        <v>0.37795710420198153</v>
      </c>
    </row>
    <row r="201" spans="1:14">
      <c r="B201" s="338" t="str">
        <f t="shared" si="68"/>
        <v>50-54</v>
      </c>
      <c r="C201" s="459">
        <f>C99*Calc_SEC_death_rates!$G146</f>
        <v>0.35501102354871833</v>
      </c>
      <c r="D201" s="459">
        <f>D99*Calc_SEC_death_rates!$G146</f>
        <v>0.36084821829884062</v>
      </c>
      <c r="E201" s="459">
        <f>E99*Calc_SEC_death_rates!$G146</f>
        <v>0.36324974560852219</v>
      </c>
      <c r="F201" s="459">
        <f>F99*Calc_SEC_death_rates!$G146</f>
        <v>0.36797679706228914</v>
      </c>
      <c r="G201" s="459">
        <f>G99*Calc_SEC_death_rates!$G146</f>
        <v>0.37298774451999578</v>
      </c>
      <c r="H201" s="459">
        <f>H99*Calc_SEC_death_rates!$G146</f>
        <v>0.37754431088453982</v>
      </c>
      <c r="I201" s="459">
        <f>I99*Calc_SEC_death_rates!$G146</f>
        <v>0.38227977764766763</v>
      </c>
      <c r="J201" s="459">
        <f>J99*Calc_SEC_death_rates!$G146</f>
        <v>0.38730261525883219</v>
      </c>
      <c r="K201" s="459">
        <f>K99*Calc_SEC_death_rates!$G146</f>
        <v>0.3913269931369715</v>
      </c>
      <c r="L201" s="459">
        <f>L99*Calc_SEC_death_rates!$G146</f>
        <v>0.39430369868802329</v>
      </c>
      <c r="M201" s="459">
        <f>M99*Calc_SEC_death_rates!$G146</f>
        <v>0.39732045815797207</v>
      </c>
      <c r="N201" s="459">
        <f>N99*Calc_SEC_death_rates!$G146</f>
        <v>0.39987598677619085</v>
      </c>
    </row>
    <row r="202" spans="1:14">
      <c r="B202" s="338" t="str">
        <f t="shared" si="68"/>
        <v>55-59</v>
      </c>
      <c r="C202" s="459">
        <f>C100*Calc_SEC_death_rates!$G147</f>
        <v>0.59653426590639247</v>
      </c>
      <c r="D202" s="459">
        <f>D100*Calc_SEC_death_rates!$G147</f>
        <v>0.59087539439741021</v>
      </c>
      <c r="E202" s="459">
        <f>E100*Calc_SEC_death_rates!$G147</f>
        <v>0.57896615833833698</v>
      </c>
      <c r="F202" s="459">
        <f>F100*Calc_SEC_death_rates!$G147</f>
        <v>0.57522257384011777</v>
      </c>
      <c r="G202" s="459">
        <f>G100*Calc_SEC_death_rates!$G147</f>
        <v>0.57531809948091839</v>
      </c>
      <c r="H202" s="459">
        <f>H100*Calc_SEC_death_rates!$G147</f>
        <v>0.57719305021999523</v>
      </c>
      <c r="I202" s="459">
        <f>I100*Calc_SEC_death_rates!$G147</f>
        <v>0.58141074719570174</v>
      </c>
      <c r="J202" s="459">
        <f>J100*Calc_SEC_death_rates!$G147</f>
        <v>0.58748542282561034</v>
      </c>
      <c r="K202" s="459">
        <f>K100*Calc_SEC_death_rates!$G147</f>
        <v>0.59244152830670205</v>
      </c>
      <c r="L202" s="459">
        <f>L100*Calc_SEC_death_rates!$G147</f>
        <v>0.59607639958231695</v>
      </c>
      <c r="M202" s="459">
        <f>M100*Calc_SEC_death_rates!$G147</f>
        <v>0.60039541662839779</v>
      </c>
      <c r="N202" s="459">
        <f>N100*Calc_SEC_death_rates!$G147</f>
        <v>0.60418612633591606</v>
      </c>
    </row>
    <row r="203" spans="1:14">
      <c r="B203" s="338" t="str">
        <f t="shared" si="68"/>
        <v>60-64</v>
      </c>
      <c r="C203" s="459">
        <f>C101*Calc_SEC_death_rates!$G148</f>
        <v>0.27048932901635264</v>
      </c>
      <c r="D203" s="459">
        <f>D101*Calc_SEC_death_rates!$G148</f>
        <v>0.30585097289464724</v>
      </c>
      <c r="E203" s="459">
        <f>E101*Calc_SEC_death_rates!$G148</f>
        <v>0.31156227821990262</v>
      </c>
      <c r="F203" s="459">
        <f>F101*Calc_SEC_death_rates!$G148</f>
        <v>0.31333857604878507</v>
      </c>
      <c r="G203" s="459">
        <f>G101*Calc_SEC_death_rates!$G148</f>
        <v>0.31332649963213577</v>
      </c>
      <c r="H203" s="459">
        <f>H101*Calc_SEC_death_rates!$G148</f>
        <v>0.31280774008829154</v>
      </c>
      <c r="I203" s="459">
        <f>I101*Calc_SEC_death_rates!$G148</f>
        <v>0.31368108686723861</v>
      </c>
      <c r="J203" s="459">
        <f>J101*Calc_SEC_death_rates!$G148</f>
        <v>0.31601872206766407</v>
      </c>
      <c r="K203" s="459">
        <f>K101*Calc_SEC_death_rates!$G148</f>
        <v>0.3175051330126954</v>
      </c>
      <c r="L203" s="459">
        <f>L101*Calc_SEC_death_rates!$G148</f>
        <v>0.31821921045949114</v>
      </c>
      <c r="M203" s="459">
        <f>M101*Calc_SEC_death_rates!$G148</f>
        <v>0.31991197990294024</v>
      </c>
      <c r="N203" s="459">
        <f>N101*Calc_SEC_death_rates!$G148</f>
        <v>0.32142510046596279</v>
      </c>
    </row>
    <row r="204" spans="1:14">
      <c r="B204" s="338" t="str">
        <f t="shared" si="68"/>
        <v>65 plus</v>
      </c>
      <c r="C204" s="459">
        <f>C102*Calc_SEC_death_rates!$G149</f>
        <v>0.39395800041707341</v>
      </c>
      <c r="D204" s="459">
        <f>D102*Calc_SEC_death_rates!$G149</f>
        <v>0.48908930439168075</v>
      </c>
      <c r="E204" s="459">
        <f>E102*Calc_SEC_death_rates!$G149</f>
        <v>0.54036218229383348</v>
      </c>
      <c r="F204" s="459">
        <f>F102*Calc_SEC_death_rates!$G149</f>
        <v>0.57428817394824294</v>
      </c>
      <c r="G204" s="459">
        <f>G102*Calc_SEC_death_rates!$G149</f>
        <v>0.59255879653920518</v>
      </c>
      <c r="H204" s="459">
        <f>H102*Calc_SEC_death_rates!$G149</f>
        <v>0.60046147591668531</v>
      </c>
      <c r="I204" s="459">
        <f>I102*Calc_SEC_death_rates!$G149</f>
        <v>0.6056039546367008</v>
      </c>
      <c r="J204" s="459">
        <f>J102*Calc_SEC_death_rates!$G149</f>
        <v>0.6110002739367103</v>
      </c>
      <c r="K204" s="459">
        <f>K102*Calc_SEC_death_rates!$G149</f>
        <v>0.61310227167389975</v>
      </c>
      <c r="L204" s="459">
        <f>L102*Calc_SEC_death_rates!$G149</f>
        <v>0.61267546425275032</v>
      </c>
      <c r="M204" s="459">
        <f>M102*Calc_SEC_death_rates!$G149</f>
        <v>0.61417660251825856</v>
      </c>
      <c r="N204" s="459">
        <f>N102*Calc_SEC_death_rates!$G149</f>
        <v>0.61553424763793674</v>
      </c>
    </row>
    <row r="205" spans="1:14">
      <c r="B205" s="338" t="str">
        <f t="shared" si="68"/>
        <v>Total</v>
      </c>
      <c r="C205" s="459">
        <f>SUM(C195:C204)</f>
        <v>2.5341301840150021</v>
      </c>
      <c r="D205" s="459">
        <f t="shared" ref="D205:N205" si="70">SUM(D195:D204)</f>
        <v>2.69937810648781</v>
      </c>
      <c r="E205" s="459">
        <f t="shared" si="70"/>
        <v>2.759019533498595</v>
      </c>
      <c r="F205" s="459">
        <f t="shared" si="70"/>
        <v>2.8089728233932507</v>
      </c>
      <c r="G205" s="459">
        <f t="shared" si="70"/>
        <v>2.8436718803417018</v>
      </c>
      <c r="H205" s="459">
        <f t="shared" si="70"/>
        <v>2.8662371002391858</v>
      </c>
      <c r="I205" s="459">
        <f t="shared" si="70"/>
        <v>2.8901178965385776</v>
      </c>
      <c r="J205" s="459">
        <f t="shared" si="70"/>
        <v>2.918783795808686</v>
      </c>
      <c r="K205" s="459">
        <f t="shared" si="70"/>
        <v>2.9383612104055987</v>
      </c>
      <c r="L205" s="459">
        <f t="shared" si="70"/>
        <v>2.9493434317056515</v>
      </c>
      <c r="M205" s="459">
        <f t="shared" si="70"/>
        <v>2.964402040603455</v>
      </c>
      <c r="N205" s="459">
        <f t="shared" si="70"/>
        <v>2.9770846202020689</v>
      </c>
    </row>
    <row r="206" spans="1:14">
      <c r="A206" s="309">
        <f>SUM(C206:N206)</f>
        <v>0</v>
      </c>
      <c r="C206" s="309">
        <f t="shared" ref="C206:N206" si="71">SUM(C195:C204)-C205</f>
        <v>0</v>
      </c>
      <c r="D206" s="309">
        <f t="shared" si="71"/>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16.665752909114637</v>
      </c>
      <c r="D213" s="459">
        <f t="shared" ref="D213:N213" si="75">D111+D145+D179</f>
        <v>31.282008867740377</v>
      </c>
      <c r="E213" s="459">
        <f t="shared" si="75"/>
        <v>37.168823458356933</v>
      </c>
      <c r="F213" s="459">
        <f t="shared" si="75"/>
        <v>42.045022213261639</v>
      </c>
      <c r="G213" s="459">
        <f t="shared" si="75"/>
        <v>45.40420233134941</v>
      </c>
      <c r="H213" s="459">
        <f t="shared" si="75"/>
        <v>47.47135116096176</v>
      </c>
      <c r="I213" s="459">
        <f t="shared" si="75"/>
        <v>49.19499456258432</v>
      </c>
      <c r="J213" s="459">
        <f t="shared" si="75"/>
        <v>50.810326917197685</v>
      </c>
      <c r="K213" s="459">
        <f t="shared" si="75"/>
        <v>51.480542784555688</v>
      </c>
      <c r="L213" s="459">
        <f t="shared" si="75"/>
        <v>51.446837218000915</v>
      </c>
      <c r="M213" s="459">
        <f t="shared" si="75"/>
        <v>51.660486206091264</v>
      </c>
      <c r="N213" s="459">
        <f t="shared" si="75"/>
        <v>51.692551534478916</v>
      </c>
    </row>
    <row r="214" spans="1:14">
      <c r="B214" s="338" t="str">
        <f t="shared" si="72"/>
        <v>25-29</v>
      </c>
      <c r="C214" s="459">
        <f t="shared" si="74"/>
        <v>62.413607061939651</v>
      </c>
      <c r="D214" s="459">
        <f t="shared" ref="D214:N214" si="76">D112+D146+D180</f>
        <v>65.702867690252674</v>
      </c>
      <c r="E214" s="459">
        <f t="shared" si="76"/>
        <v>65.967194316416084</v>
      </c>
      <c r="F214" s="459">
        <f t="shared" si="76"/>
        <v>67.702243692608093</v>
      </c>
      <c r="G214" s="459">
        <f t="shared" si="76"/>
        <v>69.576553713592702</v>
      </c>
      <c r="H214" s="459">
        <f t="shared" si="76"/>
        <v>71.118386195140914</v>
      </c>
      <c r="I214" s="459">
        <f t="shared" si="76"/>
        <v>72.775558442023055</v>
      </c>
      <c r="J214" s="459">
        <f t="shared" si="76"/>
        <v>74.593022484469827</v>
      </c>
      <c r="K214" s="459">
        <f t="shared" si="76"/>
        <v>75.681545704715873</v>
      </c>
      <c r="L214" s="459">
        <f t="shared" si="76"/>
        <v>76.07540720238228</v>
      </c>
      <c r="M214" s="459">
        <f t="shared" si="76"/>
        <v>76.578668377623757</v>
      </c>
      <c r="N214" s="459">
        <f t="shared" si="76"/>
        <v>76.856862108110363</v>
      </c>
    </row>
    <row r="215" spans="1:14">
      <c r="B215" s="338" t="str">
        <f t="shared" si="72"/>
        <v>30-34</v>
      </c>
      <c r="C215" s="459">
        <f t="shared" si="74"/>
        <v>47.995785121751389</v>
      </c>
      <c r="D215" s="459">
        <f t="shared" ref="D215:N215" si="77">D113+D147+D181</f>
        <v>51.285473287238396</v>
      </c>
      <c r="E215" s="459">
        <f t="shared" si="77"/>
        <v>52.478353449309679</v>
      </c>
      <c r="F215" s="459">
        <f t="shared" si="77"/>
        <v>53.729093949812409</v>
      </c>
      <c r="G215" s="459">
        <f t="shared" si="77"/>
        <v>54.877392348441177</v>
      </c>
      <c r="H215" s="459">
        <f t="shared" si="77"/>
        <v>55.867014349707006</v>
      </c>
      <c r="I215" s="459">
        <f t="shared" si="77"/>
        <v>56.914553043490095</v>
      </c>
      <c r="J215" s="459">
        <f t="shared" si="77"/>
        <v>58.07031998042239</v>
      </c>
      <c r="K215" s="459">
        <f t="shared" si="77"/>
        <v>58.97856224321972</v>
      </c>
      <c r="L215" s="459">
        <f t="shared" si="77"/>
        <v>59.590377869219076</v>
      </c>
      <c r="M215" s="459">
        <f t="shared" si="77"/>
        <v>60.187568729746637</v>
      </c>
      <c r="N215" s="459">
        <f t="shared" si="77"/>
        <v>60.647242235681375</v>
      </c>
    </row>
    <row r="216" spans="1:14">
      <c r="B216" s="338" t="str">
        <f t="shared" si="72"/>
        <v>35-39</v>
      </c>
      <c r="C216" s="459">
        <f t="shared" si="74"/>
        <v>47.703630213624677</v>
      </c>
      <c r="D216" s="459">
        <f t="shared" ref="D216:N216" si="78">D114+D148+D182</f>
        <v>49.403460506187479</v>
      </c>
      <c r="E216" s="459">
        <f t="shared" si="78"/>
        <v>50.207557588173785</v>
      </c>
      <c r="F216" s="459">
        <f t="shared" si="78"/>
        <v>51.240920242505197</v>
      </c>
      <c r="G216" s="459">
        <f t="shared" si="78"/>
        <v>52.24276464499787</v>
      </c>
      <c r="H216" s="459">
        <f t="shared" si="78"/>
        <v>53.13755761201088</v>
      </c>
      <c r="I216" s="459">
        <f t="shared" si="78"/>
        <v>54.063492633155491</v>
      </c>
      <c r="J216" s="459">
        <f t="shared" si="78"/>
        <v>55.056150021613369</v>
      </c>
      <c r="K216" s="459">
        <f t="shared" si="78"/>
        <v>55.894017298801302</v>
      </c>
      <c r="L216" s="459">
        <f t="shared" si="78"/>
        <v>56.556846635378626</v>
      </c>
      <c r="M216" s="459">
        <f t="shared" si="78"/>
        <v>57.223000295508641</v>
      </c>
      <c r="N216" s="459">
        <f t="shared" si="78"/>
        <v>57.798339711710163</v>
      </c>
    </row>
    <row r="217" spans="1:14">
      <c r="B217" s="338" t="str">
        <f t="shared" si="72"/>
        <v>40-44</v>
      </c>
      <c r="C217" s="459">
        <f t="shared" si="74"/>
        <v>50.21558500435988</v>
      </c>
      <c r="D217" s="459">
        <f t="shared" ref="D217:N217" si="79">D115+D149+D183</f>
        <v>50.09261962933455</v>
      </c>
      <c r="E217" s="459">
        <f t="shared" si="79"/>
        <v>49.441066497914477</v>
      </c>
      <c r="F217" s="459">
        <f t="shared" si="79"/>
        <v>49.278965843105226</v>
      </c>
      <c r="G217" s="459">
        <f t="shared" si="79"/>
        <v>49.34908905221387</v>
      </c>
      <c r="H217" s="459">
        <f t="shared" si="79"/>
        <v>49.533222491120746</v>
      </c>
      <c r="I217" s="459">
        <f t="shared" si="79"/>
        <v>49.896420140392493</v>
      </c>
      <c r="J217" s="459">
        <f t="shared" si="79"/>
        <v>50.424871332726745</v>
      </c>
      <c r="K217" s="459">
        <f t="shared" si="79"/>
        <v>50.905490732578961</v>
      </c>
      <c r="L217" s="459">
        <f t="shared" si="79"/>
        <v>51.310910998231236</v>
      </c>
      <c r="M217" s="459">
        <f t="shared" si="79"/>
        <v>51.781887721974385</v>
      </c>
      <c r="N217" s="459">
        <f t="shared" si="79"/>
        <v>52.228435327221085</v>
      </c>
    </row>
    <row r="218" spans="1:14">
      <c r="B218" s="338" t="str">
        <f t="shared" si="72"/>
        <v>45-49</v>
      </c>
      <c r="C218" s="459">
        <f t="shared" si="74"/>
        <v>52.98359522514685</v>
      </c>
      <c r="D218" s="459">
        <f t="shared" ref="D218:N218" si="80">D116+D150+D184</f>
        <v>53.989152986402289</v>
      </c>
      <c r="E218" s="459">
        <f t="shared" si="80"/>
        <v>53.844110575488969</v>
      </c>
      <c r="F218" s="459">
        <f t="shared" si="80"/>
        <v>53.76399469517056</v>
      </c>
      <c r="G218" s="459">
        <f t="shared" si="80"/>
        <v>53.671697506045291</v>
      </c>
      <c r="H218" s="459">
        <f t="shared" si="80"/>
        <v>53.570979212226739</v>
      </c>
      <c r="I218" s="459">
        <f t="shared" si="80"/>
        <v>53.601227287891653</v>
      </c>
      <c r="J218" s="459">
        <f t="shared" si="80"/>
        <v>53.793329844338608</v>
      </c>
      <c r="K218" s="459">
        <f t="shared" si="80"/>
        <v>53.961720739725749</v>
      </c>
      <c r="L218" s="459">
        <f t="shared" si="80"/>
        <v>54.090771663262451</v>
      </c>
      <c r="M218" s="459">
        <f t="shared" si="80"/>
        <v>54.324322517055776</v>
      </c>
      <c r="N218" s="459">
        <f t="shared" si="80"/>
        <v>54.576659884511692</v>
      </c>
    </row>
    <row r="219" spans="1:14">
      <c r="B219" s="338" t="str">
        <f t="shared" si="72"/>
        <v>50-54</v>
      </c>
      <c r="C219" s="459">
        <f t="shared" si="74"/>
        <v>53.931613003283061</v>
      </c>
      <c r="D219" s="459">
        <f t="shared" ref="D219:N219" si="81">D117+D151+D185</f>
        <v>54.422916599655778</v>
      </c>
      <c r="E219" s="459">
        <f t="shared" si="81"/>
        <v>54.201629051615292</v>
      </c>
      <c r="F219" s="459">
        <f t="shared" si="81"/>
        <v>54.17239781750682</v>
      </c>
      <c r="G219" s="459">
        <f t="shared" si="81"/>
        <v>54.135462241124564</v>
      </c>
      <c r="H219" s="459">
        <f t="shared" si="81"/>
        <v>54.041720381757081</v>
      </c>
      <c r="I219" s="459">
        <f t="shared" si="81"/>
        <v>54.010779366757561</v>
      </c>
      <c r="J219" s="459">
        <f t="shared" si="81"/>
        <v>54.079362824000711</v>
      </c>
      <c r="K219" s="459">
        <f t="shared" si="81"/>
        <v>54.087517934121635</v>
      </c>
      <c r="L219" s="459">
        <f t="shared" si="81"/>
        <v>54.036531938573191</v>
      </c>
      <c r="M219" s="459">
        <f t="shared" si="81"/>
        <v>54.075788187757752</v>
      </c>
      <c r="N219" s="459">
        <f t="shared" si="81"/>
        <v>54.135325911236016</v>
      </c>
    </row>
    <row r="220" spans="1:14">
      <c r="B220" s="338" t="str">
        <f t="shared" si="72"/>
        <v>55-59</v>
      </c>
      <c r="C220" s="459">
        <f t="shared" si="74"/>
        <v>99.963860817863406</v>
      </c>
      <c r="D220" s="459">
        <f t="shared" ref="D220:N220" si="82">D118+D152+D186</f>
        <v>87.955759020914101</v>
      </c>
      <c r="E220" s="459">
        <f t="shared" si="82"/>
        <v>79.72441803628611</v>
      </c>
      <c r="F220" s="459">
        <f t="shared" si="82"/>
        <v>74.999671623672015</v>
      </c>
      <c r="G220" s="459">
        <f t="shared" si="82"/>
        <v>72.182152082218551</v>
      </c>
      <c r="H220" s="459">
        <f t="shared" si="82"/>
        <v>70.417105337913611</v>
      </c>
      <c r="I220" s="459">
        <f t="shared" si="82"/>
        <v>69.424038268493689</v>
      </c>
      <c r="J220" s="459">
        <f t="shared" si="82"/>
        <v>68.955776156997729</v>
      </c>
      <c r="K220" s="459">
        <f t="shared" si="82"/>
        <v>68.568750693991888</v>
      </c>
      <c r="L220" s="459">
        <f t="shared" si="82"/>
        <v>68.187784901860866</v>
      </c>
      <c r="M220" s="459">
        <f t="shared" si="82"/>
        <v>68.014133881454171</v>
      </c>
      <c r="N220" s="459">
        <f t="shared" si="82"/>
        <v>67.891343154686794</v>
      </c>
    </row>
    <row r="221" spans="1:14">
      <c r="B221" s="338" t="str">
        <f t="shared" si="72"/>
        <v>60-64</v>
      </c>
      <c r="C221" s="459">
        <f t="shared" si="74"/>
        <v>58.236675606604614</v>
      </c>
      <c r="D221" s="459">
        <f t="shared" ref="D221:N221" si="83">D119+D153+D187</f>
        <v>56.212672498017952</v>
      </c>
      <c r="E221" s="459">
        <f t="shared" si="83"/>
        <v>51.405309123980651</v>
      </c>
      <c r="F221" s="459">
        <f t="shared" si="83"/>
        <v>47.41341874803593</v>
      </c>
      <c r="G221" s="459">
        <f t="shared" si="83"/>
        <v>44.404476017487738</v>
      </c>
      <c r="H221" s="459">
        <f t="shared" si="83"/>
        <v>42.242279283589568</v>
      </c>
      <c r="I221" s="459">
        <f t="shared" si="83"/>
        <v>40.871929537996387</v>
      </c>
      <c r="J221" s="459">
        <f t="shared" si="83"/>
        <v>40.094407908256713</v>
      </c>
      <c r="K221" s="459">
        <f t="shared" si="83"/>
        <v>39.497073272079639</v>
      </c>
      <c r="L221" s="459">
        <f t="shared" si="83"/>
        <v>38.991111052268835</v>
      </c>
      <c r="M221" s="459">
        <f t="shared" si="83"/>
        <v>38.720857371717429</v>
      </c>
      <c r="N221" s="459">
        <f t="shared" si="83"/>
        <v>38.520594397122423</v>
      </c>
    </row>
    <row r="222" spans="1:14">
      <c r="B222" s="338" t="str">
        <f t="shared" si="72"/>
        <v>65 plus</v>
      </c>
      <c r="C222" s="459">
        <f t="shared" si="74"/>
        <v>19.027148442132283</v>
      </c>
      <c r="D222" s="459">
        <f t="shared" ref="D222:N222" si="84">D120+D154+D188</f>
        <v>20.694495658990071</v>
      </c>
      <c r="E222" s="459">
        <f t="shared" si="84"/>
        <v>20.848140141125494</v>
      </c>
      <c r="F222" s="459">
        <f t="shared" si="84"/>
        <v>20.352161107869385</v>
      </c>
      <c r="G222" s="459">
        <f t="shared" si="84"/>
        <v>19.525830208664566</v>
      </c>
      <c r="H222" s="459">
        <f t="shared" si="84"/>
        <v>18.62996620990376</v>
      </c>
      <c r="I222" s="459">
        <f t="shared" si="84"/>
        <v>17.876104063260151</v>
      </c>
      <c r="J222" s="459">
        <f t="shared" si="84"/>
        <v>17.324390626598035</v>
      </c>
      <c r="K222" s="459">
        <f t="shared" si="84"/>
        <v>16.867285351890551</v>
      </c>
      <c r="L222" s="459">
        <f t="shared" si="84"/>
        <v>16.480465096108379</v>
      </c>
      <c r="M222" s="459">
        <f t="shared" si="84"/>
        <v>16.226673584866639</v>
      </c>
      <c r="N222" s="459">
        <f t="shared" si="84"/>
        <v>16.038445174178353</v>
      </c>
    </row>
    <row r="223" spans="1:14">
      <c r="B223" s="338" t="str">
        <f t="shared" si="72"/>
        <v>Total</v>
      </c>
      <c r="C223" s="459">
        <f>SUM(C213:C222)</f>
        <v>509.13725340582045</v>
      </c>
      <c r="D223" s="459">
        <f t="shared" ref="D223:N223" si="85">SUM(D213:D222)</f>
        <v>521.0414267447336</v>
      </c>
      <c r="E223" s="459">
        <f t="shared" si="85"/>
        <v>515.28660223866746</v>
      </c>
      <c r="F223" s="459">
        <f t="shared" si="85"/>
        <v>514.69788993354734</v>
      </c>
      <c r="G223" s="459">
        <f t="shared" si="85"/>
        <v>515.36962014613573</v>
      </c>
      <c r="H223" s="459">
        <f t="shared" si="85"/>
        <v>516.029582234332</v>
      </c>
      <c r="I223" s="459">
        <f t="shared" si="85"/>
        <v>518.62909734604489</v>
      </c>
      <c r="J223" s="459">
        <f t="shared" si="85"/>
        <v>523.20195809662175</v>
      </c>
      <c r="K223" s="459">
        <f t="shared" si="85"/>
        <v>525.92250675568107</v>
      </c>
      <c r="L223" s="459">
        <f t="shared" si="85"/>
        <v>526.76704457528581</v>
      </c>
      <c r="M223" s="459">
        <f t="shared" si="85"/>
        <v>528.79338687379652</v>
      </c>
      <c r="N223" s="459">
        <f t="shared" si="85"/>
        <v>530.38579943893717</v>
      </c>
    </row>
    <row r="224" spans="1:14">
      <c r="A224" s="309">
        <f>SUM(C224:N224)</f>
        <v>0</v>
      </c>
      <c r="C224" s="309">
        <f t="shared" ref="C224:N224" si="86">SUM(C213:C222)-C223</f>
        <v>0</v>
      </c>
      <c r="D224" s="309">
        <f t="shared" si="86"/>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38.835210359266064</v>
      </c>
      <c r="D229" s="459">
        <f t="shared" ref="D229:N229" si="90">D195+D161+D127</f>
        <v>51.925972089191212</v>
      </c>
      <c r="E229" s="459">
        <f t="shared" si="90"/>
        <v>55.939353739045146</v>
      </c>
      <c r="F229" s="459">
        <f t="shared" si="90"/>
        <v>59.792463048624072</v>
      </c>
      <c r="G229" s="459">
        <f t="shared" si="90"/>
        <v>62.50817410750264</v>
      </c>
      <c r="H229" s="459">
        <f t="shared" si="90"/>
        <v>64.114506211912271</v>
      </c>
      <c r="I229" s="459">
        <f t="shared" si="90"/>
        <v>65.619791745936894</v>
      </c>
      <c r="J229" s="459">
        <f t="shared" si="90"/>
        <v>67.212976657172334</v>
      </c>
      <c r="K229" s="459">
        <f t="shared" si="90"/>
        <v>67.783607406454848</v>
      </c>
      <c r="L229" s="459">
        <f t="shared" si="90"/>
        <v>67.568811539600631</v>
      </c>
      <c r="M229" s="459">
        <f t="shared" si="90"/>
        <v>67.71306660221174</v>
      </c>
      <c r="N229" s="459">
        <f t="shared" si="90"/>
        <v>67.671506516910924</v>
      </c>
    </row>
    <row r="230" spans="1:14">
      <c r="B230" s="338" t="str">
        <f t="shared" si="87"/>
        <v>25-29</v>
      </c>
      <c r="C230" s="459">
        <f t="shared" si="89"/>
        <v>107.81587502331611</v>
      </c>
      <c r="D230" s="459">
        <f t="shared" ref="D230:N230" si="91">D196+D162+D128</f>
        <v>109.69106622657867</v>
      </c>
      <c r="E230" s="459">
        <f t="shared" si="91"/>
        <v>107.38636628490724</v>
      </c>
      <c r="F230" s="459">
        <f t="shared" si="91"/>
        <v>107.45066804899753</v>
      </c>
      <c r="G230" s="459">
        <f t="shared" si="91"/>
        <v>108.08117997437851</v>
      </c>
      <c r="H230" s="459">
        <f t="shared" si="91"/>
        <v>108.61235443367698</v>
      </c>
      <c r="I230" s="459">
        <f t="shared" si="91"/>
        <v>109.63990767783072</v>
      </c>
      <c r="J230" s="459">
        <f t="shared" si="91"/>
        <v>111.17981764481642</v>
      </c>
      <c r="K230" s="459">
        <f t="shared" si="91"/>
        <v>111.92814532898053</v>
      </c>
      <c r="L230" s="459">
        <f t="shared" si="91"/>
        <v>111.88416208080916</v>
      </c>
      <c r="M230" s="459">
        <f t="shared" si="91"/>
        <v>112.13958184258901</v>
      </c>
      <c r="N230" s="459">
        <f t="shared" si="91"/>
        <v>112.18970311411547</v>
      </c>
    </row>
    <row r="231" spans="1:14">
      <c r="B231" s="338" t="str">
        <f t="shared" si="87"/>
        <v>30-34</v>
      </c>
      <c r="C231" s="459">
        <f t="shared" si="89"/>
        <v>102.86705237290664</v>
      </c>
      <c r="D231" s="459">
        <f t="shared" ref="D231:N231" si="92">D197+D163+D129</f>
        <v>106.27295411758325</v>
      </c>
      <c r="E231" s="459">
        <f t="shared" si="92"/>
        <v>106.04212480563824</v>
      </c>
      <c r="F231" s="459">
        <f t="shared" si="92"/>
        <v>106.1098252757694</v>
      </c>
      <c r="G231" s="459">
        <f t="shared" si="92"/>
        <v>106.17790741632305</v>
      </c>
      <c r="H231" s="459">
        <f t="shared" si="92"/>
        <v>106.15556532436013</v>
      </c>
      <c r="I231" s="459">
        <f t="shared" si="92"/>
        <v>106.44513504068382</v>
      </c>
      <c r="J231" s="459">
        <f t="shared" si="92"/>
        <v>107.13286254370428</v>
      </c>
      <c r="K231" s="459">
        <f t="shared" si="92"/>
        <v>107.5611085236648</v>
      </c>
      <c r="L231" s="459">
        <f t="shared" si="92"/>
        <v>107.63425289953858</v>
      </c>
      <c r="M231" s="459">
        <f t="shared" si="92"/>
        <v>107.85169477035834</v>
      </c>
      <c r="N231" s="459">
        <f t="shared" si="92"/>
        <v>107.96741420265109</v>
      </c>
    </row>
    <row r="232" spans="1:14">
      <c r="B232" s="338" t="str">
        <f t="shared" si="87"/>
        <v>35-39</v>
      </c>
      <c r="C232" s="459">
        <f t="shared" si="89"/>
        <v>75.76769212942223</v>
      </c>
      <c r="D232" s="459">
        <f t="shared" ref="D232:N232" si="93">D198+D164+D130</f>
        <v>79.342349763361966</v>
      </c>
      <c r="E232" s="459">
        <f t="shared" si="93"/>
        <v>80.874299139713273</v>
      </c>
      <c r="F232" s="459">
        <f t="shared" si="93"/>
        <v>82.29522779719403</v>
      </c>
      <c r="G232" s="459">
        <f t="shared" si="93"/>
        <v>83.35759732544841</v>
      </c>
      <c r="H232" s="459">
        <f t="shared" si="93"/>
        <v>84.05757942547001</v>
      </c>
      <c r="I232" s="459">
        <f t="shared" si="93"/>
        <v>84.689401525157976</v>
      </c>
      <c r="J232" s="459">
        <f t="shared" si="93"/>
        <v>85.368587460191875</v>
      </c>
      <c r="K232" s="459">
        <f t="shared" si="93"/>
        <v>85.802597649635729</v>
      </c>
      <c r="L232" s="459">
        <f t="shared" si="93"/>
        <v>85.994627747085929</v>
      </c>
      <c r="M232" s="459">
        <f t="shared" si="93"/>
        <v>86.240066886748252</v>
      </c>
      <c r="N232" s="459">
        <f t="shared" si="93"/>
        <v>86.40934772684372</v>
      </c>
    </row>
    <row r="233" spans="1:14">
      <c r="B233" s="338" t="str">
        <f t="shared" si="87"/>
        <v>40-44</v>
      </c>
      <c r="C233" s="459">
        <f t="shared" si="89"/>
        <v>73.87317533180746</v>
      </c>
      <c r="D233" s="459">
        <f t="shared" ref="D233:N233" si="94">D199+D165+D131</f>
        <v>74.75985180579471</v>
      </c>
      <c r="E233" s="459">
        <f t="shared" si="94"/>
        <v>74.730761309504459</v>
      </c>
      <c r="F233" s="459">
        <f t="shared" si="94"/>
        <v>75.259456414241129</v>
      </c>
      <c r="G233" s="459">
        <f t="shared" si="94"/>
        <v>75.913510821239967</v>
      </c>
      <c r="H233" s="459">
        <f t="shared" si="94"/>
        <v>76.51343763547321</v>
      </c>
      <c r="I233" s="459">
        <f t="shared" si="94"/>
        <v>77.182387877603489</v>
      </c>
      <c r="J233" s="459">
        <f t="shared" si="94"/>
        <v>77.930885483069019</v>
      </c>
      <c r="K233" s="459">
        <f t="shared" si="94"/>
        <v>78.465766334108167</v>
      </c>
      <c r="L233" s="459">
        <f t="shared" si="94"/>
        <v>78.780404937296908</v>
      </c>
      <c r="M233" s="459">
        <f t="shared" si="94"/>
        <v>79.124012232000169</v>
      </c>
      <c r="N233" s="459">
        <f t="shared" si="94"/>
        <v>79.385393826561412</v>
      </c>
    </row>
    <row r="234" spans="1:14">
      <c r="B234" s="338" t="str">
        <f t="shared" si="87"/>
        <v>45-49</v>
      </c>
      <c r="C234" s="459">
        <f t="shared" si="89"/>
        <v>64.623618431656354</v>
      </c>
      <c r="D234" s="459">
        <f t="shared" ref="D234:N234" si="95">D200+D166+D132</f>
        <v>68.072516955552913</v>
      </c>
      <c r="E234" s="459">
        <f t="shared" si="95"/>
        <v>69.569780123129931</v>
      </c>
      <c r="F234" s="459">
        <f t="shared" si="95"/>
        <v>70.900375521737161</v>
      </c>
      <c r="G234" s="459">
        <f t="shared" si="95"/>
        <v>71.984098293724117</v>
      </c>
      <c r="H234" s="459">
        <f t="shared" si="95"/>
        <v>72.84025835137615</v>
      </c>
      <c r="I234" s="459">
        <f t="shared" si="95"/>
        <v>73.676863069348187</v>
      </c>
      <c r="J234" s="459">
        <f t="shared" si="95"/>
        <v>74.550296425349487</v>
      </c>
      <c r="K234" s="459">
        <f t="shared" si="95"/>
        <v>75.214059060972673</v>
      </c>
      <c r="L234" s="459">
        <f t="shared" si="95"/>
        <v>75.664963308660688</v>
      </c>
      <c r="M234" s="459">
        <f t="shared" si="95"/>
        <v>76.127461626082678</v>
      </c>
      <c r="N234" s="459">
        <f t="shared" si="95"/>
        <v>76.502325359460215</v>
      </c>
    </row>
    <row r="235" spans="1:14">
      <c r="B235" s="338" t="str">
        <f t="shared" si="87"/>
        <v>50-54</v>
      </c>
      <c r="C235" s="459">
        <f t="shared" si="89"/>
        <v>64.751505847305523</v>
      </c>
      <c r="D235" s="459">
        <f t="shared" ref="D235:N235" si="96">D201+D167+D133</f>
        <v>65.81616898428706</v>
      </c>
      <c r="E235" s="459">
        <f t="shared" si="96"/>
        <v>66.254190621139045</v>
      </c>
      <c r="F235" s="459">
        <f t="shared" si="96"/>
        <v>67.11637145369312</v>
      </c>
      <c r="G235" s="459">
        <f t="shared" si="96"/>
        <v>68.030332914283377</v>
      </c>
      <c r="H235" s="459">
        <f t="shared" si="96"/>
        <v>68.861418469453255</v>
      </c>
      <c r="I235" s="459">
        <f t="shared" si="96"/>
        <v>69.725134195058914</v>
      </c>
      <c r="J235" s="459">
        <f t="shared" si="96"/>
        <v>70.641264335746655</v>
      </c>
      <c r="K235" s="459">
        <f t="shared" si="96"/>
        <v>71.37528246595366</v>
      </c>
      <c r="L235" s="459">
        <f t="shared" si="96"/>
        <v>71.918212555751808</v>
      </c>
      <c r="M235" s="459">
        <f t="shared" si="96"/>
        <v>72.4684481977487</v>
      </c>
      <c r="N235" s="459">
        <f t="shared" si="96"/>
        <v>72.934558586692276</v>
      </c>
    </row>
    <row r="236" spans="1:14">
      <c r="B236" s="338" t="str">
        <f t="shared" si="87"/>
        <v>55-59</v>
      </c>
      <c r="C236" s="459">
        <f t="shared" si="89"/>
        <v>91.718597421747504</v>
      </c>
      <c r="D236" s="459">
        <f t="shared" ref="D236:N236" si="97">D202+D168+D134</f>
        <v>90.848532133871487</v>
      </c>
      <c r="E236" s="459">
        <f t="shared" si="97"/>
        <v>89.017458061298271</v>
      </c>
      <c r="F236" s="459">
        <f t="shared" si="97"/>
        <v>88.441872819795421</v>
      </c>
      <c r="G236" s="459">
        <f t="shared" si="97"/>
        <v>88.45656011991008</v>
      </c>
      <c r="H236" s="459">
        <f t="shared" si="97"/>
        <v>88.744838366192724</v>
      </c>
      <c r="I236" s="459">
        <f t="shared" si="97"/>
        <v>89.393319556747585</v>
      </c>
      <c r="J236" s="459">
        <f t="shared" si="97"/>
        <v>90.327315741729038</v>
      </c>
      <c r="K236" s="459">
        <f t="shared" si="97"/>
        <v>91.089329039840734</v>
      </c>
      <c r="L236" s="459">
        <f t="shared" si="97"/>
        <v>91.648199358382186</v>
      </c>
      <c r="M236" s="459">
        <f t="shared" si="97"/>
        <v>92.312258756722457</v>
      </c>
      <c r="N236" s="459">
        <f t="shared" si="97"/>
        <v>92.895089614021657</v>
      </c>
    </row>
    <row r="237" spans="1:14">
      <c r="B237" s="338" t="str">
        <f t="shared" si="87"/>
        <v>60-64</v>
      </c>
      <c r="C237" s="459">
        <f t="shared" si="89"/>
        <v>48.025299821009177</v>
      </c>
      <c r="D237" s="459">
        <f t="shared" ref="D237:N237" si="98">D203+D169+D135</f>
        <v>54.303749161671284</v>
      </c>
      <c r="E237" s="459">
        <f t="shared" si="98"/>
        <v>55.317789721467761</v>
      </c>
      <c r="F237" s="459">
        <f t="shared" si="98"/>
        <v>55.633170872042946</v>
      </c>
      <c r="G237" s="459">
        <f t="shared" si="98"/>
        <v>55.631026707862951</v>
      </c>
      <c r="H237" s="459">
        <f t="shared" si="98"/>
        <v>55.538921105328733</v>
      </c>
      <c r="I237" s="459">
        <f t="shared" si="98"/>
        <v>55.6939835658671</v>
      </c>
      <c r="J237" s="459">
        <f t="shared" si="98"/>
        <v>56.109029999605674</v>
      </c>
      <c r="K237" s="459">
        <f t="shared" si="98"/>
        <v>56.372941820275095</v>
      </c>
      <c r="L237" s="459">
        <f t="shared" si="98"/>
        <v>56.499726058316938</v>
      </c>
      <c r="M237" s="459">
        <f t="shared" si="98"/>
        <v>56.800276768931369</v>
      </c>
      <c r="N237" s="459">
        <f t="shared" si="98"/>
        <v>57.068930874321609</v>
      </c>
    </row>
    <row r="238" spans="1:14">
      <c r="B238" s="338" t="str">
        <f t="shared" si="87"/>
        <v>65 plus</v>
      </c>
      <c r="C238" s="459">
        <f t="shared" si="89"/>
        <v>13.496439052865064</v>
      </c>
      <c r="D238" s="459">
        <f t="shared" ref="D238:N238" si="99">D204+D170+D136</f>
        <v>16.755501807660245</v>
      </c>
      <c r="E238" s="459">
        <f t="shared" si="99"/>
        <v>18.512037455975019</v>
      </c>
      <c r="F238" s="459">
        <f t="shared" si="99"/>
        <v>19.674293529432088</v>
      </c>
      <c r="G238" s="459">
        <f t="shared" si="99"/>
        <v>20.300218993557106</v>
      </c>
      <c r="H238" s="459">
        <f t="shared" si="99"/>
        <v>20.570953514647115</v>
      </c>
      <c r="I238" s="459">
        <f t="shared" si="99"/>
        <v>20.747127499061364</v>
      </c>
      <c r="J238" s="459">
        <f t="shared" si="99"/>
        <v>20.931997699603738</v>
      </c>
      <c r="K238" s="459">
        <f t="shared" si="99"/>
        <v>21.004009143258145</v>
      </c>
      <c r="L238" s="459">
        <f t="shared" si="99"/>
        <v>20.989387329915722</v>
      </c>
      <c r="M238" s="459">
        <f t="shared" si="99"/>
        <v>21.040814185288394</v>
      </c>
      <c r="N238" s="459">
        <f t="shared" si="99"/>
        <v>21.087325170199872</v>
      </c>
    </row>
    <row r="239" spans="1:14">
      <c r="B239" s="338" t="str">
        <f t="shared" si="87"/>
        <v>Total</v>
      </c>
      <c r="C239" s="459">
        <f>SUM(C229:C238)</f>
        <v>681.77446579130219</v>
      </c>
      <c r="D239" s="459">
        <f t="shared" ref="D239:N239" si="100">SUM(D229:D238)</f>
        <v>717.78866304555277</v>
      </c>
      <c r="E239" s="459">
        <f t="shared" si="100"/>
        <v>723.64416126181845</v>
      </c>
      <c r="F239" s="459">
        <f t="shared" si="100"/>
        <v>732.67372478152686</v>
      </c>
      <c r="G239" s="459">
        <f t="shared" si="100"/>
        <v>740.44060667423014</v>
      </c>
      <c r="H239" s="459">
        <f t="shared" si="100"/>
        <v>746.00983283789071</v>
      </c>
      <c r="I239" s="459">
        <f t="shared" si="100"/>
        <v>752.81305175329601</v>
      </c>
      <c r="J239" s="459">
        <f t="shared" si="100"/>
        <v>761.38503399098852</v>
      </c>
      <c r="K239" s="459">
        <f t="shared" si="100"/>
        <v>766.59684677314442</v>
      </c>
      <c r="L239" s="459">
        <f t="shared" si="100"/>
        <v>768.58274781535852</v>
      </c>
      <c r="M239" s="459">
        <f t="shared" si="100"/>
        <v>771.81768186868101</v>
      </c>
      <c r="N239" s="459">
        <f t="shared" si="100"/>
        <v>774.11159499177825</v>
      </c>
    </row>
    <row r="240" spans="1:14">
      <c r="A240" s="309">
        <f>SUM(C240:N240)</f>
        <v>0</v>
      </c>
      <c r="C240" s="309">
        <f t="shared" ref="C240:N240" si="101">SUM(C229:C238)-C239</f>
        <v>0</v>
      </c>
      <c r="D240" s="309">
        <f t="shared" si="101"/>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5" ht="15.75">
      <c r="B242" s="340" t="s">
        <v>154</v>
      </c>
      <c r="C242" s="329"/>
      <c r="D242" s="329"/>
      <c r="E242" s="329"/>
      <c r="F242" s="329"/>
      <c r="G242" s="329"/>
      <c r="H242" s="339"/>
      <c r="I242" s="329"/>
      <c r="J242" s="329"/>
      <c r="K242" s="329"/>
      <c r="L242" s="329"/>
    </row>
    <row r="243" spans="2:15">
      <c r="C243" s="329"/>
      <c r="D243" s="329"/>
      <c r="E243" s="329"/>
      <c r="F243" s="329"/>
      <c r="G243" s="329"/>
      <c r="H243" s="339"/>
      <c r="I243" s="329"/>
      <c r="J243" s="329"/>
      <c r="K243" s="329"/>
      <c r="L243" s="329"/>
    </row>
    <row r="244" spans="2:15">
      <c r="B244" s="341" t="s">
        <v>49</v>
      </c>
      <c r="C244" s="329"/>
      <c r="D244" s="329"/>
      <c r="E244" s="329"/>
      <c r="F244" s="329"/>
      <c r="G244" s="329"/>
      <c r="H244" s="339"/>
      <c r="I244" s="329"/>
      <c r="J244" s="329"/>
      <c r="K244" s="329"/>
      <c r="L244" s="329"/>
    </row>
    <row r="245" spans="2:15">
      <c r="C245" s="329"/>
      <c r="D245" s="329"/>
      <c r="E245" s="329"/>
      <c r="F245" s="329"/>
      <c r="G245" s="329"/>
      <c r="H245" s="339"/>
      <c r="I245" s="329"/>
      <c r="J245" s="329"/>
      <c r="K245" s="329"/>
      <c r="L245" s="329"/>
    </row>
    <row r="246" spans="2:15">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5">
      <c r="B247" s="338" t="str">
        <f t="shared" si="102"/>
        <v>20-24</v>
      </c>
      <c r="C247" s="459">
        <f t="shared" ref="C247:C256" si="104">C77-C213</f>
        <v>100.73963642179999</v>
      </c>
      <c r="D247" s="459">
        <f t="shared" ref="D247:N247" si="105">D77-D213</f>
        <v>189.09065897384062</v>
      </c>
      <c r="E247" s="459">
        <f t="shared" si="105"/>
        <v>224.67474357987862</v>
      </c>
      <c r="F247" s="459">
        <f t="shared" si="105"/>
        <v>254.14994895274106</v>
      </c>
      <c r="G247" s="459">
        <f t="shared" si="105"/>
        <v>274.45521722456488</v>
      </c>
      <c r="H247" s="459">
        <f t="shared" si="105"/>
        <v>286.95053157733003</v>
      </c>
      <c r="I247" s="459">
        <f t="shared" si="105"/>
        <v>297.36945537556579</v>
      </c>
      <c r="J247" s="459">
        <f t="shared" si="105"/>
        <v>307.13367034932332</v>
      </c>
      <c r="K247" s="459">
        <f t="shared" si="105"/>
        <v>311.18493062960994</v>
      </c>
      <c r="L247" s="459">
        <f t="shared" si="105"/>
        <v>310.9811902682452</v>
      </c>
      <c r="M247" s="459">
        <f t="shared" si="105"/>
        <v>312.27263635528851</v>
      </c>
      <c r="N247" s="459">
        <f t="shared" si="105"/>
        <v>312.46646195327577</v>
      </c>
      <c r="O247" s="327"/>
    </row>
    <row r="248" spans="2:15">
      <c r="B248" s="338" t="str">
        <f t="shared" si="102"/>
        <v>25-29</v>
      </c>
      <c r="C248" s="459">
        <f t="shared" si="104"/>
        <v>529.95740455243833</v>
      </c>
      <c r="D248" s="459">
        <f t="shared" ref="D248:N248" si="106">D78-D214</f>
        <v>557.88669926132059</v>
      </c>
      <c r="E248" s="459">
        <f t="shared" si="106"/>
        <v>560.13111132705239</v>
      </c>
      <c r="F248" s="459">
        <f t="shared" si="106"/>
        <v>574.86351195989073</v>
      </c>
      <c r="G248" s="459">
        <f t="shared" si="106"/>
        <v>590.77838246339923</v>
      </c>
      <c r="H248" s="459">
        <f t="shared" si="106"/>
        <v>603.87016771088599</v>
      </c>
      <c r="I248" s="459">
        <f t="shared" si="106"/>
        <v>617.94130931278755</v>
      </c>
      <c r="J248" s="459">
        <f t="shared" si="106"/>
        <v>633.37349745481561</v>
      </c>
      <c r="K248" s="459">
        <f t="shared" si="106"/>
        <v>642.61620858388358</v>
      </c>
      <c r="L248" s="459">
        <f t="shared" si="106"/>
        <v>645.96050843903026</v>
      </c>
      <c r="M248" s="459">
        <f t="shared" si="106"/>
        <v>650.2337270334674</v>
      </c>
      <c r="N248" s="459">
        <f t="shared" si="106"/>
        <v>652.59588545230599</v>
      </c>
      <c r="O248" s="327"/>
    </row>
    <row r="249" spans="2:15">
      <c r="B249" s="338" t="str">
        <f t="shared" si="102"/>
        <v>30-34</v>
      </c>
      <c r="C249" s="459">
        <f t="shared" si="104"/>
        <v>605.44053309501692</v>
      </c>
      <c r="D249" s="459">
        <f t="shared" ref="D249:N249" si="107">D79-D215</f>
        <v>646.93814692874071</v>
      </c>
      <c r="E249" s="459">
        <f t="shared" si="107"/>
        <v>661.98567661100026</v>
      </c>
      <c r="F249" s="459">
        <f t="shared" si="107"/>
        <v>677.76308276170653</v>
      </c>
      <c r="G249" s="459">
        <f t="shared" si="107"/>
        <v>692.2482379238603</v>
      </c>
      <c r="H249" s="459">
        <f t="shared" si="107"/>
        <v>704.73177726984773</v>
      </c>
      <c r="I249" s="459">
        <f t="shared" si="107"/>
        <v>717.94590396019885</v>
      </c>
      <c r="J249" s="459">
        <f t="shared" si="107"/>
        <v>732.52527064114429</v>
      </c>
      <c r="K249" s="459">
        <f t="shared" si="107"/>
        <v>743.98224917316622</v>
      </c>
      <c r="L249" s="459">
        <f t="shared" si="107"/>
        <v>751.69996808996825</v>
      </c>
      <c r="M249" s="459">
        <f t="shared" si="107"/>
        <v>759.23320360304717</v>
      </c>
      <c r="N249" s="459">
        <f t="shared" si="107"/>
        <v>765.03173303176277</v>
      </c>
      <c r="O249" s="327"/>
    </row>
    <row r="250" spans="2:15">
      <c r="B250" s="338" t="str">
        <f t="shared" si="102"/>
        <v>35-39</v>
      </c>
      <c r="C250" s="459">
        <f t="shared" si="104"/>
        <v>597.9120613288917</v>
      </c>
      <c r="D250" s="459">
        <f t="shared" ref="D250:N250" si="108">D80-D216</f>
        <v>619.2175475064455</v>
      </c>
      <c r="E250" s="459">
        <f t="shared" si="108"/>
        <v>629.2960120100056</v>
      </c>
      <c r="F250" s="459">
        <f t="shared" si="108"/>
        <v>642.24806601479963</v>
      </c>
      <c r="G250" s="459">
        <f t="shared" si="108"/>
        <v>654.80507371301292</v>
      </c>
      <c r="H250" s="459">
        <f t="shared" si="108"/>
        <v>666.02031047745822</v>
      </c>
      <c r="I250" s="459">
        <f t="shared" si="108"/>
        <v>677.62587832774443</v>
      </c>
      <c r="J250" s="459">
        <f t="shared" si="108"/>
        <v>690.06773700114775</v>
      </c>
      <c r="K250" s="459">
        <f t="shared" si="108"/>
        <v>700.56947342204546</v>
      </c>
      <c r="L250" s="459">
        <f t="shared" si="108"/>
        <v>708.87730352150436</v>
      </c>
      <c r="M250" s="459">
        <f t="shared" si="108"/>
        <v>717.22680032722883</v>
      </c>
      <c r="N250" s="459">
        <f t="shared" si="108"/>
        <v>724.43804137459404</v>
      </c>
      <c r="O250" s="327"/>
    </row>
    <row r="251" spans="2:15">
      <c r="B251" s="338" t="str">
        <f t="shared" si="102"/>
        <v>40-44</v>
      </c>
      <c r="C251" s="459">
        <f t="shared" si="104"/>
        <v>642.10235300566353</v>
      </c>
      <c r="D251" s="459">
        <f t="shared" ref="D251:N251" si="109">D81-D217</f>
        <v>640.53000536428624</v>
      </c>
      <c r="E251" s="459">
        <f t="shared" si="109"/>
        <v>632.19865168680315</v>
      </c>
      <c r="F251" s="459">
        <f t="shared" si="109"/>
        <v>630.12588459929952</v>
      </c>
      <c r="G251" s="459">
        <f t="shared" si="109"/>
        <v>631.02254402415849</v>
      </c>
      <c r="H251" s="459">
        <f t="shared" si="109"/>
        <v>633.37704242099812</v>
      </c>
      <c r="I251" s="459">
        <f t="shared" si="109"/>
        <v>638.02121942666815</v>
      </c>
      <c r="J251" s="459">
        <f t="shared" si="109"/>
        <v>644.77847922991464</v>
      </c>
      <c r="K251" s="459">
        <f t="shared" si="109"/>
        <v>650.92411802947231</v>
      </c>
      <c r="L251" s="459">
        <f t="shared" si="109"/>
        <v>656.10819198796366</v>
      </c>
      <c r="M251" s="459">
        <f t="shared" si="109"/>
        <v>662.13053072005482</v>
      </c>
      <c r="N251" s="459">
        <f t="shared" si="109"/>
        <v>667.84049642160062</v>
      </c>
      <c r="O251" s="327"/>
    </row>
    <row r="252" spans="2:15">
      <c r="B252" s="338" t="str">
        <f t="shared" si="102"/>
        <v>45-49</v>
      </c>
      <c r="C252" s="459">
        <f t="shared" si="104"/>
        <v>552.61397217570368</v>
      </c>
      <c r="D252" s="459">
        <f t="shared" ref="D252:N252" si="110">D82-D218</f>
        <v>563.10184613627882</v>
      </c>
      <c r="E252" s="459">
        <f t="shared" si="110"/>
        <v>561.58906727542285</v>
      </c>
      <c r="F252" s="459">
        <f t="shared" si="110"/>
        <v>560.75346609228347</v>
      </c>
      <c r="G252" s="459">
        <f t="shared" si="110"/>
        <v>559.79081499081667</v>
      </c>
      <c r="H252" s="459">
        <f t="shared" si="110"/>
        <v>558.74033255033066</v>
      </c>
      <c r="I252" s="459">
        <f t="shared" si="110"/>
        <v>559.05581716727352</v>
      </c>
      <c r="J252" s="459">
        <f t="shared" si="110"/>
        <v>561.05942897074124</v>
      </c>
      <c r="K252" s="459">
        <f t="shared" si="110"/>
        <v>562.81573035388988</v>
      </c>
      <c r="L252" s="459">
        <f t="shared" si="110"/>
        <v>564.16171948817771</v>
      </c>
      <c r="M252" s="459">
        <f t="shared" si="110"/>
        <v>566.59763317941224</v>
      </c>
      <c r="N252" s="459">
        <f t="shared" si="110"/>
        <v>569.22948846151633</v>
      </c>
      <c r="O252" s="327"/>
    </row>
    <row r="253" spans="2:15">
      <c r="B253" s="338" t="str">
        <f t="shared" si="102"/>
        <v>50-54</v>
      </c>
      <c r="C253" s="459">
        <f t="shared" si="104"/>
        <v>434.64851317083361</v>
      </c>
      <c r="D253" s="459">
        <f t="shared" ref="D253:N253" si="111">D83-D219</f>
        <v>438.6080531472457</v>
      </c>
      <c r="E253" s="459">
        <f t="shared" si="111"/>
        <v>436.82464081479492</v>
      </c>
      <c r="F253" s="459">
        <f t="shared" si="111"/>
        <v>436.58905890400314</v>
      </c>
      <c r="G253" s="459">
        <f t="shared" si="111"/>
        <v>436.29138574973126</v>
      </c>
      <c r="H253" s="459">
        <f t="shared" si="111"/>
        <v>435.53589638965099</v>
      </c>
      <c r="I253" s="459">
        <f t="shared" si="111"/>
        <v>435.28653492210657</v>
      </c>
      <c r="J253" s="459">
        <f t="shared" si="111"/>
        <v>435.83926635472727</v>
      </c>
      <c r="K253" s="459">
        <f t="shared" si="111"/>
        <v>435.90499045032573</v>
      </c>
      <c r="L253" s="459">
        <f t="shared" si="111"/>
        <v>435.49408141342525</v>
      </c>
      <c r="M253" s="459">
        <f t="shared" si="111"/>
        <v>435.81045745691006</v>
      </c>
      <c r="N253" s="459">
        <f t="shared" si="111"/>
        <v>436.29028703266982</v>
      </c>
      <c r="O253" s="327"/>
    </row>
    <row r="254" spans="2:15">
      <c r="B254" s="338" t="str">
        <f t="shared" si="102"/>
        <v>55-59</v>
      </c>
      <c r="C254" s="459">
        <f t="shared" si="104"/>
        <v>289.30833578652715</v>
      </c>
      <c r="D254" s="459">
        <f t="shared" ref="D254:N254" si="112">D84-D220</f>
        <v>254.55533686864413</v>
      </c>
      <c r="E254" s="459">
        <f t="shared" si="112"/>
        <v>230.73277197298535</v>
      </c>
      <c r="F254" s="459">
        <f t="shared" si="112"/>
        <v>217.05874507503179</v>
      </c>
      <c r="G254" s="459">
        <f t="shared" si="112"/>
        <v>208.90447929423019</v>
      </c>
      <c r="H254" s="459">
        <f t="shared" si="112"/>
        <v>203.79620584418115</v>
      </c>
      <c r="I254" s="459">
        <f t="shared" si="112"/>
        <v>200.92214136900287</v>
      </c>
      <c r="J254" s="459">
        <f t="shared" si="112"/>
        <v>199.5669302849131</v>
      </c>
      <c r="K254" s="459">
        <f t="shared" si="112"/>
        <v>198.44682856321947</v>
      </c>
      <c r="L254" s="459">
        <f t="shared" si="112"/>
        <v>197.34426431238643</v>
      </c>
      <c r="M254" s="459">
        <f t="shared" si="112"/>
        <v>196.84169581102546</v>
      </c>
      <c r="N254" s="459">
        <f t="shared" si="112"/>
        <v>196.48632357429466</v>
      </c>
      <c r="O254" s="327"/>
    </row>
    <row r="255" spans="2:15">
      <c r="B255" s="338" t="str">
        <f t="shared" si="102"/>
        <v>60-64</v>
      </c>
      <c r="C255" s="459">
        <f t="shared" si="104"/>
        <v>88.981447896990431</v>
      </c>
      <c r="D255" s="459">
        <f t="shared" ref="D255:N255" si="113">D85-D221</f>
        <v>85.888916854067617</v>
      </c>
      <c r="E255" s="459">
        <f t="shared" si="113"/>
        <v>78.543611698285559</v>
      </c>
      <c r="F255" s="459">
        <f t="shared" si="113"/>
        <v>72.444290578085173</v>
      </c>
      <c r="G255" s="459">
        <f t="shared" si="113"/>
        <v>67.846842698128626</v>
      </c>
      <c r="H255" s="459">
        <f t="shared" si="113"/>
        <v>64.54316174422155</v>
      </c>
      <c r="I255" s="459">
        <f t="shared" si="113"/>
        <v>62.449365983765666</v>
      </c>
      <c r="J255" s="459">
        <f t="shared" si="113"/>
        <v>61.261368906926734</v>
      </c>
      <c r="K255" s="459">
        <f t="shared" si="113"/>
        <v>60.348684584677578</v>
      </c>
      <c r="L255" s="459">
        <f t="shared" si="113"/>
        <v>59.575610736780334</v>
      </c>
      <c r="M255" s="459">
        <f t="shared" si="113"/>
        <v>59.162682568328577</v>
      </c>
      <c r="N255" s="459">
        <f t="shared" si="113"/>
        <v>58.856695159981356</v>
      </c>
      <c r="O255" s="327"/>
    </row>
    <row r="256" spans="2:15">
      <c r="B256" s="338" t="str">
        <f t="shared" si="102"/>
        <v>65 plus</v>
      </c>
      <c r="C256" s="459">
        <f t="shared" si="104"/>
        <v>22.497068468182444</v>
      </c>
      <c r="D256" s="459">
        <f t="shared" ref="D256:N256" si="114">D86-D222</f>
        <v>24.468484448457389</v>
      </c>
      <c r="E256" s="459">
        <f t="shared" si="114"/>
        <v>24.650148581938627</v>
      </c>
      <c r="F256" s="459">
        <f t="shared" si="114"/>
        <v>24.063719443390575</v>
      </c>
      <c r="G256" s="459">
        <f t="shared" si="114"/>
        <v>23.0866932288044</v>
      </c>
      <c r="H256" s="459">
        <f t="shared" si="114"/>
        <v>22.027453386344714</v>
      </c>
      <c r="I256" s="459">
        <f t="shared" si="114"/>
        <v>21.136111818258861</v>
      </c>
      <c r="J256" s="459">
        <f t="shared" si="114"/>
        <v>20.483784171940631</v>
      </c>
      <c r="K256" s="459">
        <f t="shared" si="114"/>
        <v>19.943318074588355</v>
      </c>
      <c r="L256" s="459">
        <f t="shared" si="114"/>
        <v>19.485954649602316</v>
      </c>
      <c r="M256" s="459">
        <f t="shared" si="114"/>
        <v>19.185879994568559</v>
      </c>
      <c r="N256" s="459">
        <f t="shared" si="114"/>
        <v>18.963324972422694</v>
      </c>
      <c r="O256" s="327"/>
    </row>
    <row r="257" spans="1:15">
      <c r="B257" s="338" t="str">
        <f t="shared" si="102"/>
        <v>Total</v>
      </c>
      <c r="C257" s="459">
        <f>SUM(C247:C256)</f>
        <v>3864.2013259020478</v>
      </c>
      <c r="D257" s="459">
        <f t="shared" ref="D257:N257" si="115">SUM(D247:D256)</f>
        <v>4020.2856954893273</v>
      </c>
      <c r="E257" s="459">
        <f t="shared" si="115"/>
        <v>4040.6264355581666</v>
      </c>
      <c r="F257" s="459">
        <f t="shared" si="115"/>
        <v>4090.0597743812318</v>
      </c>
      <c r="G257" s="459">
        <f t="shared" si="115"/>
        <v>4139.2296713107062</v>
      </c>
      <c r="H257" s="459">
        <f t="shared" si="115"/>
        <v>4179.5928793712492</v>
      </c>
      <c r="I257" s="459">
        <f t="shared" si="115"/>
        <v>4227.7537376633718</v>
      </c>
      <c r="J257" s="459">
        <f t="shared" si="115"/>
        <v>4286.0894333655951</v>
      </c>
      <c r="K257" s="459">
        <f t="shared" si="115"/>
        <v>4326.736531864879</v>
      </c>
      <c r="L257" s="459">
        <f t="shared" si="115"/>
        <v>4349.6887929070845</v>
      </c>
      <c r="M257" s="459">
        <f t="shared" si="115"/>
        <v>4378.6952470493325</v>
      </c>
      <c r="N257" s="459">
        <f t="shared" si="115"/>
        <v>4402.1987374344244</v>
      </c>
      <c r="O257" s="327"/>
    </row>
    <row r="258" spans="1:15">
      <c r="A258" s="309">
        <f>SUM(C258:N258)</f>
        <v>0</v>
      </c>
      <c r="C258" s="309">
        <f t="shared" ref="C258:N258" si="116">SUM(C247:C256)-C257</f>
        <v>0</v>
      </c>
      <c r="D258" s="309">
        <f t="shared" si="116"/>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5">
      <c r="B260" s="341" t="s">
        <v>50</v>
      </c>
      <c r="C260" s="329"/>
      <c r="D260" s="329"/>
      <c r="E260" s="329"/>
      <c r="F260" s="329"/>
      <c r="G260" s="329"/>
      <c r="H260" s="339"/>
      <c r="I260" s="329"/>
      <c r="J260" s="329"/>
      <c r="K260" s="329"/>
      <c r="L260" s="329"/>
    </row>
    <row r="261" spans="1:15">
      <c r="C261" s="329"/>
      <c r="D261" s="329"/>
      <c r="E261" s="329"/>
      <c r="F261" s="329"/>
      <c r="G261" s="329"/>
      <c r="H261" s="339"/>
      <c r="I261" s="329"/>
      <c r="J261" s="329"/>
      <c r="K261" s="329"/>
      <c r="L261" s="329"/>
    </row>
    <row r="262" spans="1:15">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5">
      <c r="B263" s="338" t="str">
        <f t="shared" si="117"/>
        <v>20-24</v>
      </c>
      <c r="C263" s="459">
        <f t="shared" ref="C263:C272" si="119">C93-C229</f>
        <v>274.80805991695502</v>
      </c>
      <c r="D263" s="459">
        <f t="shared" ref="D263:N263" si="120">D93-D229</f>
        <v>367.44169832281739</v>
      </c>
      <c r="E263" s="459">
        <f t="shared" si="120"/>
        <v>395.84143183010639</v>
      </c>
      <c r="F263" s="459">
        <f t="shared" si="120"/>
        <v>423.10703652794984</v>
      </c>
      <c r="G263" s="459">
        <f t="shared" si="120"/>
        <v>442.32411506264543</v>
      </c>
      <c r="H263" s="459">
        <f t="shared" si="120"/>
        <v>453.69093926963217</v>
      </c>
      <c r="I263" s="459">
        <f t="shared" si="120"/>
        <v>464.34273163536267</v>
      </c>
      <c r="J263" s="459">
        <f t="shared" si="120"/>
        <v>475.616522880351</v>
      </c>
      <c r="K263" s="459">
        <f t="shared" si="120"/>
        <v>479.6544546358017</v>
      </c>
      <c r="L263" s="459">
        <f t="shared" si="120"/>
        <v>478.13450315614392</v>
      </c>
      <c r="M263" s="459">
        <f t="shared" si="120"/>
        <v>479.15528953846615</v>
      </c>
      <c r="N263" s="459">
        <f t="shared" si="120"/>
        <v>478.86119955399471</v>
      </c>
    </row>
    <row r="264" spans="1:15">
      <c r="B264" s="338" t="str">
        <f t="shared" si="117"/>
        <v>25-29</v>
      </c>
      <c r="C264" s="459">
        <f t="shared" si="119"/>
        <v>926.67149262714463</v>
      </c>
      <c r="D264" s="459">
        <f t="shared" ref="D264:N264" si="121">D94-D230</f>
        <v>942.78865747798704</v>
      </c>
      <c r="E264" s="459">
        <f t="shared" si="121"/>
        <v>922.97988873642191</v>
      </c>
      <c r="F264" s="459">
        <f t="shared" si="121"/>
        <v>923.53255884826979</v>
      </c>
      <c r="G264" s="459">
        <f t="shared" si="121"/>
        <v>928.95177403235698</v>
      </c>
      <c r="H264" s="459">
        <f t="shared" si="121"/>
        <v>933.51718918051665</v>
      </c>
      <c r="I264" s="459">
        <f t="shared" si="121"/>
        <v>942.34895257628637</v>
      </c>
      <c r="J264" s="459">
        <f t="shared" si="121"/>
        <v>955.58439371433269</v>
      </c>
      <c r="K264" s="459">
        <f t="shared" si="121"/>
        <v>962.01622883980565</v>
      </c>
      <c r="L264" s="459">
        <f t="shared" si="121"/>
        <v>961.63819525036683</v>
      </c>
      <c r="M264" s="459">
        <f t="shared" si="121"/>
        <v>963.83351399951971</v>
      </c>
      <c r="N264" s="459">
        <f t="shared" si="121"/>
        <v>964.2643035607764</v>
      </c>
    </row>
    <row r="265" spans="1:15">
      <c r="B265" s="338" t="str">
        <f t="shared" si="117"/>
        <v>30-34</v>
      </c>
      <c r="C265" s="459">
        <f t="shared" si="119"/>
        <v>999.73174927830848</v>
      </c>
      <c r="D265" s="459">
        <f t="shared" ref="D265:N265" si="122">D95-D231</f>
        <v>1032.8326113184889</v>
      </c>
      <c r="E265" s="459">
        <f t="shared" si="122"/>
        <v>1030.5892555841481</v>
      </c>
      <c r="F265" s="459">
        <f t="shared" si="122"/>
        <v>1031.2472146475207</v>
      </c>
      <c r="G265" s="459">
        <f t="shared" si="122"/>
        <v>1031.9088830427963</v>
      </c>
      <c r="H265" s="459">
        <f t="shared" si="122"/>
        <v>1031.691747447235</v>
      </c>
      <c r="I265" s="459">
        <f t="shared" si="122"/>
        <v>1034.5059822518726</v>
      </c>
      <c r="J265" s="459">
        <f t="shared" si="122"/>
        <v>1041.1897843416712</v>
      </c>
      <c r="K265" s="459">
        <f t="shared" si="122"/>
        <v>1045.3517690859728</v>
      </c>
      <c r="L265" s="459">
        <f t="shared" si="122"/>
        <v>1046.0626357158155</v>
      </c>
      <c r="M265" s="459">
        <f t="shared" si="122"/>
        <v>1048.1758832218579</v>
      </c>
      <c r="N265" s="459">
        <f t="shared" si="122"/>
        <v>1049.3005231119187</v>
      </c>
    </row>
    <row r="266" spans="1:15">
      <c r="B266" s="338" t="str">
        <f t="shared" si="117"/>
        <v>35-39</v>
      </c>
      <c r="C266" s="459">
        <f t="shared" si="119"/>
        <v>887.54915896421971</v>
      </c>
      <c r="D266" s="459">
        <f t="shared" ref="D266:N266" si="123">D96-D232</f>
        <v>929.4230010652675</v>
      </c>
      <c r="E266" s="459">
        <f t="shared" si="123"/>
        <v>947.36838573178011</v>
      </c>
      <c r="F266" s="459">
        <f t="shared" si="123"/>
        <v>964.01326430008839</v>
      </c>
      <c r="G266" s="459">
        <f t="shared" si="123"/>
        <v>976.45795087838303</v>
      </c>
      <c r="H266" s="459">
        <f t="shared" si="123"/>
        <v>984.65760044805643</v>
      </c>
      <c r="I266" s="459">
        <f t="shared" si="123"/>
        <v>992.05881800441534</v>
      </c>
      <c r="J266" s="459">
        <f t="shared" si="123"/>
        <v>1000.0148595371307</v>
      </c>
      <c r="K266" s="459">
        <f t="shared" si="123"/>
        <v>1005.0988916330906</v>
      </c>
      <c r="L266" s="459">
        <f t="shared" si="123"/>
        <v>1007.3483484490197</v>
      </c>
      <c r="M266" s="459">
        <f t="shared" si="123"/>
        <v>1010.2234433062324</v>
      </c>
      <c r="N266" s="459">
        <f t="shared" si="123"/>
        <v>1012.2064133958962</v>
      </c>
    </row>
    <row r="267" spans="1:15">
      <c r="B267" s="338" t="str">
        <f t="shared" si="117"/>
        <v>40-44</v>
      </c>
      <c r="C267" s="459">
        <f t="shared" si="119"/>
        <v>870.84930716350084</v>
      </c>
      <c r="D267" s="459">
        <f t="shared" ref="D267:N267" si="124">D97-D233</f>
        <v>881.30183732186697</v>
      </c>
      <c r="E267" s="459">
        <f t="shared" si="124"/>
        <v>880.95890582575055</v>
      </c>
      <c r="F267" s="459">
        <f t="shared" si="124"/>
        <v>887.19139500186429</v>
      </c>
      <c r="G267" s="459">
        <f t="shared" si="124"/>
        <v>894.90167447237388</v>
      </c>
      <c r="H267" s="459">
        <f t="shared" si="124"/>
        <v>901.97387420085727</v>
      </c>
      <c r="I267" s="459">
        <f t="shared" si="124"/>
        <v>909.85975229218661</v>
      </c>
      <c r="J267" s="459">
        <f t="shared" si="124"/>
        <v>918.683369501078</v>
      </c>
      <c r="K267" s="459">
        <f t="shared" si="124"/>
        <v>924.98877896060492</v>
      </c>
      <c r="L267" s="459">
        <f t="shared" si="124"/>
        <v>928.69787645591487</v>
      </c>
      <c r="M267" s="459">
        <f t="shared" si="124"/>
        <v>932.74846955936073</v>
      </c>
      <c r="N267" s="459">
        <f t="shared" si="124"/>
        <v>935.82975013930798</v>
      </c>
    </row>
    <row r="268" spans="1:15">
      <c r="B268" s="338" t="str">
        <f t="shared" si="117"/>
        <v>45-49</v>
      </c>
      <c r="C268" s="459">
        <f t="shared" si="119"/>
        <v>681.15672141065227</v>
      </c>
      <c r="D268" s="459">
        <f t="shared" ref="D268:N268" si="125">D98-D234</f>
        <v>717.50938113520613</v>
      </c>
      <c r="E268" s="459">
        <f t="shared" si="125"/>
        <v>733.29108595252887</v>
      </c>
      <c r="F268" s="459">
        <f t="shared" si="125"/>
        <v>747.31605114691683</v>
      </c>
      <c r="G268" s="459">
        <f t="shared" si="125"/>
        <v>758.73888800129976</v>
      </c>
      <c r="H268" s="459">
        <f t="shared" si="125"/>
        <v>767.76313009770547</v>
      </c>
      <c r="I268" s="459">
        <f t="shared" si="125"/>
        <v>776.58125171702011</v>
      </c>
      <c r="J268" s="459">
        <f t="shared" si="125"/>
        <v>785.78756073504167</v>
      </c>
      <c r="K268" s="459">
        <f t="shared" si="125"/>
        <v>792.78386319610149</v>
      </c>
      <c r="L268" s="459">
        <f t="shared" si="125"/>
        <v>797.53655991100482</v>
      </c>
      <c r="M268" s="459">
        <f t="shared" si="125"/>
        <v>802.41146238781801</v>
      </c>
      <c r="N268" s="459">
        <f t="shared" si="125"/>
        <v>806.36266409703887</v>
      </c>
    </row>
    <row r="269" spans="1:15">
      <c r="B269" s="338" t="str">
        <f t="shared" si="117"/>
        <v>50-54</v>
      </c>
      <c r="C269" s="459">
        <f t="shared" si="119"/>
        <v>554.75751337579356</v>
      </c>
      <c r="D269" s="459">
        <f t="shared" ref="D269:N269" si="126">D99-D235</f>
        <v>563.87899814631851</v>
      </c>
      <c r="E269" s="459">
        <f t="shared" si="126"/>
        <v>567.63174166764793</v>
      </c>
      <c r="F269" s="459">
        <f t="shared" si="126"/>
        <v>575.0184624626188</v>
      </c>
      <c r="G269" s="459">
        <f t="shared" si="126"/>
        <v>582.84881297823483</v>
      </c>
      <c r="H269" s="459">
        <f t="shared" si="126"/>
        <v>589.96912547067029</v>
      </c>
      <c r="I269" s="459">
        <f t="shared" si="126"/>
        <v>597.36899643784886</v>
      </c>
      <c r="J269" s="459">
        <f t="shared" si="126"/>
        <v>605.21792708627322</v>
      </c>
      <c r="K269" s="459">
        <f t="shared" si="126"/>
        <v>611.50661593385985</v>
      </c>
      <c r="L269" s="459">
        <f t="shared" si="126"/>
        <v>616.15816098462017</v>
      </c>
      <c r="M269" s="459">
        <f t="shared" si="126"/>
        <v>620.87229623955545</v>
      </c>
      <c r="N269" s="459">
        <f t="shared" si="126"/>
        <v>624.8656897050098</v>
      </c>
    </row>
    <row r="270" spans="1:15">
      <c r="B270" s="338" t="str">
        <f t="shared" si="117"/>
        <v>55-59</v>
      </c>
      <c r="C270" s="459">
        <f t="shared" si="119"/>
        <v>286.34421388848568</v>
      </c>
      <c r="D270" s="459">
        <f t="shared" ref="D270:N270" si="127">D100-D236</f>
        <v>283.62788189157448</v>
      </c>
      <c r="E270" s="459">
        <f t="shared" si="127"/>
        <v>277.91129353739797</v>
      </c>
      <c r="F270" s="459">
        <f t="shared" si="127"/>
        <v>276.11432424069051</v>
      </c>
      <c r="G270" s="459">
        <f t="shared" si="127"/>
        <v>276.16017779191895</v>
      </c>
      <c r="H270" s="459">
        <f t="shared" si="127"/>
        <v>277.06017855657723</v>
      </c>
      <c r="I270" s="459">
        <f t="shared" si="127"/>
        <v>279.08472801492803</v>
      </c>
      <c r="J270" s="459">
        <f t="shared" si="127"/>
        <v>282.00065140321954</v>
      </c>
      <c r="K270" s="459">
        <f t="shared" si="127"/>
        <v>284.37964655746322</v>
      </c>
      <c r="L270" s="459">
        <f t="shared" si="127"/>
        <v>286.12443209198784</v>
      </c>
      <c r="M270" s="459">
        <f t="shared" si="127"/>
        <v>288.19761650320004</v>
      </c>
      <c r="N270" s="459">
        <f t="shared" si="127"/>
        <v>290.01720651389201</v>
      </c>
    </row>
    <row r="271" spans="1:15">
      <c r="B271" s="338" t="str">
        <f t="shared" si="117"/>
        <v>60-64</v>
      </c>
      <c r="C271" s="459">
        <f t="shared" si="119"/>
        <v>65.307432663133795</v>
      </c>
      <c r="D271" s="459">
        <f t="shared" ref="D271:N271" si="128">D101-D237</f>
        <v>73.845211897669969</v>
      </c>
      <c r="E271" s="459">
        <f t="shared" si="128"/>
        <v>75.22415978187712</v>
      </c>
      <c r="F271" s="459">
        <f t="shared" si="128"/>
        <v>75.653032341365048</v>
      </c>
      <c r="G271" s="459">
        <f t="shared" si="128"/>
        <v>75.650116589494132</v>
      </c>
      <c r="H271" s="459">
        <f t="shared" si="128"/>
        <v>75.524866347271399</v>
      </c>
      <c r="I271" s="459">
        <f t="shared" si="128"/>
        <v>75.735728772658248</v>
      </c>
      <c r="J271" s="459">
        <f t="shared" si="128"/>
        <v>76.300131642072472</v>
      </c>
      <c r="K271" s="459">
        <f t="shared" si="128"/>
        <v>76.659013388185684</v>
      </c>
      <c r="L271" s="459">
        <f t="shared" si="128"/>
        <v>76.831421538046769</v>
      </c>
      <c r="M271" s="459">
        <f t="shared" si="128"/>
        <v>77.240126853129922</v>
      </c>
      <c r="N271" s="459">
        <f t="shared" si="128"/>
        <v>77.605457417703974</v>
      </c>
    </row>
    <row r="272" spans="1:15">
      <c r="B272" s="338" t="str">
        <f t="shared" si="117"/>
        <v>65 plus</v>
      </c>
      <c r="C272" s="459">
        <f t="shared" si="119"/>
        <v>13.487107736598915</v>
      </c>
      <c r="D272" s="459">
        <f t="shared" ref="D272:N272" si="129">D102-D238</f>
        <v>16.743917204791821</v>
      </c>
      <c r="E272" s="459">
        <f t="shared" si="129"/>
        <v>18.499238400197726</v>
      </c>
      <c r="F272" s="459">
        <f t="shared" si="129"/>
        <v>19.660690900285463</v>
      </c>
      <c r="G272" s="459">
        <f t="shared" si="129"/>
        <v>20.286183605188445</v>
      </c>
      <c r="H272" s="459">
        <f t="shared" si="129"/>
        <v>20.556730942871738</v>
      </c>
      <c r="I272" s="459">
        <f t="shared" si="129"/>
        <v>20.732783122181687</v>
      </c>
      <c r="J272" s="459">
        <f t="shared" si="129"/>
        <v>20.917525505134353</v>
      </c>
      <c r="K272" s="459">
        <f t="shared" si="129"/>
        <v>20.989487160725936</v>
      </c>
      <c r="L272" s="459">
        <f t="shared" si="129"/>
        <v>20.974875456773411</v>
      </c>
      <c r="M272" s="459">
        <f t="shared" si="129"/>
        <v>21.026266756081984</v>
      </c>
      <c r="N272" s="459">
        <f t="shared" si="129"/>
        <v>21.072745583717879</v>
      </c>
    </row>
    <row r="273" spans="1:14">
      <c r="B273" s="338" t="str">
        <f t="shared" si="117"/>
        <v>Total</v>
      </c>
      <c r="C273" s="459">
        <f>SUM(C263:C272)</f>
        <v>5560.6627570247929</v>
      </c>
      <c r="D273" s="459">
        <f t="shared" ref="D273:N273" si="130">SUM(D263:D272)</f>
        <v>5809.3931957819896</v>
      </c>
      <c r="E273" s="459">
        <f t="shared" si="130"/>
        <v>5850.2953870478577</v>
      </c>
      <c r="F273" s="459">
        <f t="shared" si="130"/>
        <v>5922.8540304175704</v>
      </c>
      <c r="G273" s="459">
        <f t="shared" si="130"/>
        <v>5988.2285764546914</v>
      </c>
      <c r="H273" s="459">
        <f t="shared" si="130"/>
        <v>6036.4053819613937</v>
      </c>
      <c r="I273" s="459">
        <f t="shared" si="130"/>
        <v>6092.6197248247609</v>
      </c>
      <c r="J273" s="459">
        <f t="shared" si="130"/>
        <v>6161.3127263463039</v>
      </c>
      <c r="K273" s="459">
        <f t="shared" si="130"/>
        <v>6203.4287493916117</v>
      </c>
      <c r="L273" s="459">
        <f t="shared" si="130"/>
        <v>6219.5070090096933</v>
      </c>
      <c r="M273" s="459">
        <f t="shared" si="130"/>
        <v>6243.8843683652221</v>
      </c>
      <c r="N273" s="459">
        <f t="shared" si="130"/>
        <v>6260.3859530792561</v>
      </c>
    </row>
    <row r="274" spans="1:14">
      <c r="A274" s="309">
        <f>SUM(C274:N274)</f>
        <v>0</v>
      </c>
      <c r="C274" s="309">
        <f t="shared" ref="C274:N274" si="131">SUM(C263:C272)-C273</f>
        <v>0</v>
      </c>
      <c r="D274" s="309">
        <f t="shared" si="131"/>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4">
      <c r="B279" s="326" t="s">
        <v>184</v>
      </c>
      <c r="C279" s="459">
        <f>C223+C239</f>
        <v>1190.9117191971227</v>
      </c>
      <c r="D279" s="459">
        <f t="shared" ref="D279:N279" si="133">D223+D239</f>
        <v>1238.8300897902864</v>
      </c>
      <c r="E279" s="459">
        <f t="shared" si="133"/>
        <v>1238.9307635004859</v>
      </c>
      <c r="F279" s="459">
        <f t="shared" si="133"/>
        <v>1247.3716147150742</v>
      </c>
      <c r="G279" s="459">
        <f t="shared" si="133"/>
        <v>1255.8102268203659</v>
      </c>
      <c r="H279" s="459">
        <f t="shared" si="133"/>
        <v>1262.0394150722227</v>
      </c>
      <c r="I279" s="459">
        <f t="shared" si="133"/>
        <v>1271.4421490993409</v>
      </c>
      <c r="J279" s="459">
        <f t="shared" si="133"/>
        <v>1284.5869920876103</v>
      </c>
      <c r="K279" s="459">
        <f t="shared" si="133"/>
        <v>1292.5193535288254</v>
      </c>
      <c r="L279" s="459">
        <f t="shared" si="133"/>
        <v>1295.3497923906443</v>
      </c>
      <c r="M279" s="459">
        <f t="shared" si="133"/>
        <v>1300.6110687424775</v>
      </c>
      <c r="N279" s="459">
        <f t="shared" si="133"/>
        <v>1304.4973944307153</v>
      </c>
    </row>
    <row r="280" spans="1:14">
      <c r="B280" s="326" t="s">
        <v>185</v>
      </c>
      <c r="C280" s="459">
        <f>C155+C171</f>
        <v>317.48488974162103</v>
      </c>
      <c r="D280" s="459">
        <f t="shared" ref="D280:N280" si="134">D155+D171</f>
        <v>315.99757120485378</v>
      </c>
      <c r="E280" s="459">
        <f t="shared" si="134"/>
        <v>306.02412236452722</v>
      </c>
      <c r="F280" s="459">
        <f t="shared" si="134"/>
        <v>299.03276976325168</v>
      </c>
      <c r="G280" s="459">
        <f t="shared" si="134"/>
        <v>293.91203796258287</v>
      </c>
      <c r="H280" s="459">
        <f t="shared" si="134"/>
        <v>290.1607538011325</v>
      </c>
      <c r="I280" s="459">
        <f t="shared" si="134"/>
        <v>288.38669866064254</v>
      </c>
      <c r="J280" s="459">
        <f t="shared" si="134"/>
        <v>288.31785019567803</v>
      </c>
      <c r="K280" s="459">
        <f t="shared" si="134"/>
        <v>288.12767497565977</v>
      </c>
      <c r="L280" s="459">
        <f t="shared" si="134"/>
        <v>287.6574089964289</v>
      </c>
      <c r="M280" s="459">
        <f t="shared" si="134"/>
        <v>288.0403984372241</v>
      </c>
      <c r="N280" s="459">
        <f t="shared" si="134"/>
        <v>288.47638747896974</v>
      </c>
    </row>
    <row r="281" spans="1:14">
      <c r="B281" s="326" t="s">
        <v>519</v>
      </c>
      <c r="C281" s="459">
        <f>C189+C205</f>
        <v>6.1325172132550954</v>
      </c>
      <c r="D281" s="459">
        <f t="shared" ref="D281:N281" si="135">D189+D205</f>
        <v>6.285429880778695</v>
      </c>
      <c r="E281" s="459">
        <f t="shared" si="135"/>
        <v>6.2639685504339937</v>
      </c>
      <c r="F281" s="459">
        <f t="shared" si="135"/>
        <v>6.2549951754420245</v>
      </c>
      <c r="G281" s="459">
        <f t="shared" si="135"/>
        <v>6.2435277498812205</v>
      </c>
      <c r="H281" s="459">
        <f t="shared" si="135"/>
        <v>6.2297685514267167</v>
      </c>
      <c r="I281" s="459">
        <f t="shared" si="135"/>
        <v>6.2347351450796369</v>
      </c>
      <c r="J281" s="459">
        <f t="shared" si="135"/>
        <v>6.2613306124704993</v>
      </c>
      <c r="K281" s="459">
        <f t="shared" si="135"/>
        <v>6.2793043955951635</v>
      </c>
      <c r="L281" s="459">
        <f t="shared" si="135"/>
        <v>6.2868929103308826</v>
      </c>
      <c r="M281" s="459">
        <f t="shared" si="135"/>
        <v>6.3071204983786266</v>
      </c>
      <c r="N281" s="459">
        <f t="shared" si="135"/>
        <v>6.3263792334575397</v>
      </c>
    </row>
    <row r="282" spans="1:14">
      <c r="B282" s="326" t="s">
        <v>186</v>
      </c>
      <c r="C282" s="459">
        <f>C121+C137</f>
        <v>867.29431224224641</v>
      </c>
      <c r="D282" s="459">
        <f t="shared" ref="D282:N282" si="136">D121+D137</f>
        <v>916.5470887046539</v>
      </c>
      <c r="E282" s="459">
        <f t="shared" si="136"/>
        <v>926.64267258552468</v>
      </c>
      <c r="F282" s="459">
        <f t="shared" si="136"/>
        <v>942.08384977638048</v>
      </c>
      <c r="G282" s="459">
        <f t="shared" si="136"/>
        <v>955.6546611079018</v>
      </c>
      <c r="H282" s="459">
        <f t="shared" si="136"/>
        <v>965.64889271966342</v>
      </c>
      <c r="I282" s="459">
        <f t="shared" si="136"/>
        <v>976.82071529361883</v>
      </c>
      <c r="J282" s="459">
        <f t="shared" si="136"/>
        <v>990.00781127946198</v>
      </c>
      <c r="K282" s="459">
        <f t="shared" si="136"/>
        <v>998.11237415757046</v>
      </c>
      <c r="L282" s="459">
        <f t="shared" si="136"/>
        <v>1001.4054904838847</v>
      </c>
      <c r="M282" s="459">
        <f t="shared" si="136"/>
        <v>1006.2635498068748</v>
      </c>
      <c r="N282" s="459">
        <f t="shared" si="136"/>
        <v>1009.6946277182881</v>
      </c>
    </row>
    <row r="283" spans="1:14"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6"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6"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6" ht="15.75">
      <c r="B291" s="340"/>
      <c r="H291" s="327"/>
    </row>
    <row r="292" spans="2:16" ht="15.75">
      <c r="B292" s="340" t="s">
        <v>263</v>
      </c>
      <c r="H292" s="327"/>
    </row>
    <row r="293" spans="2:16"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6">
      <c r="B294" s="363" t="s">
        <v>266</v>
      </c>
      <c r="C294" s="459">
        <f>C36-C15+C279-C290</f>
        <v>1643.6448981347612</v>
      </c>
      <c r="D294" s="459">
        <f t="shared" ref="D294:N294" si="141">D36-D15+D279-D290</f>
        <v>1300.1736948351936</v>
      </c>
      <c r="E294" s="459">
        <f t="shared" si="141"/>
        <v>1369.3635969078512</v>
      </c>
      <c r="F294" s="459">
        <f t="shared" si="141"/>
        <v>1370.3546697869631</v>
      </c>
      <c r="G294" s="459">
        <f t="shared" si="141"/>
        <v>1350.5794286394669</v>
      </c>
      <c r="H294" s="459">
        <f t="shared" si="141"/>
        <v>1375.8173502548311</v>
      </c>
      <c r="I294" s="459">
        <f t="shared" si="141"/>
        <v>1411.6156893113766</v>
      </c>
      <c r="J294" s="459">
        <f t="shared" si="141"/>
        <v>1375.2824750734162</v>
      </c>
      <c r="K294" s="459">
        <f t="shared" si="141"/>
        <v>1334.3803130509314</v>
      </c>
      <c r="L294" s="459">
        <f t="shared" si="141"/>
        <v>1353.9948822402539</v>
      </c>
      <c r="M294" s="459">
        <f t="shared" si="141"/>
        <v>1344.5024695298421</v>
      </c>
      <c r="N294" s="459">
        <f t="shared" si="141"/>
        <v>1283.2001953735639</v>
      </c>
    </row>
    <row r="295" spans="2:16" ht="12.75" customHeight="1">
      <c r="B295" s="1243" t="s">
        <v>264</v>
      </c>
      <c r="C295" s="1243"/>
      <c r="D295" s="1243"/>
      <c r="E295" s="1243"/>
      <c r="F295" s="1243"/>
      <c r="G295" s="1243"/>
      <c r="H295" s="1243"/>
      <c r="I295" s="1243"/>
      <c r="J295" s="1243"/>
      <c r="K295" s="1243"/>
      <c r="L295" s="1243"/>
      <c r="M295" s="1243"/>
      <c r="N295" s="1243"/>
    </row>
    <row r="296" spans="2:16">
      <c r="B296" s="545" t="s">
        <v>3</v>
      </c>
      <c r="C296" s="546">
        <f>IF(C294&lt;0,0,C294)</f>
        <v>1643.6448981347612</v>
      </c>
      <c r="D296" s="546">
        <f t="shared" ref="D296:N296" si="142">IF(D294&lt;0,0,D294)</f>
        <v>1300.1736948351936</v>
      </c>
      <c r="E296" s="546">
        <f t="shared" si="142"/>
        <v>1369.3635969078512</v>
      </c>
      <c r="F296" s="546">
        <f t="shared" si="142"/>
        <v>1370.3546697869631</v>
      </c>
      <c r="G296" s="546">
        <f t="shared" si="142"/>
        <v>1350.5794286394669</v>
      </c>
      <c r="H296" s="546">
        <f t="shared" si="142"/>
        <v>1375.8173502548311</v>
      </c>
      <c r="I296" s="546">
        <f t="shared" si="142"/>
        <v>1411.6156893113766</v>
      </c>
      <c r="J296" s="546">
        <f t="shared" si="142"/>
        <v>1375.2824750734162</v>
      </c>
      <c r="K296" s="546">
        <f t="shared" si="142"/>
        <v>1334.3803130509314</v>
      </c>
      <c r="L296" s="546">
        <f t="shared" si="142"/>
        <v>1353.9948822402539</v>
      </c>
      <c r="M296" s="546">
        <f t="shared" si="142"/>
        <v>1344.5024695298421</v>
      </c>
      <c r="N296" s="546">
        <f t="shared" si="142"/>
        <v>1283.2001953735639</v>
      </c>
    </row>
    <row r="297" spans="2:16" ht="15.75">
      <c r="B297" s="340"/>
      <c r="H297" s="327"/>
    </row>
    <row r="298" spans="2:16" ht="15.75">
      <c r="B298" s="340" t="s">
        <v>162</v>
      </c>
      <c r="H298" s="327"/>
    </row>
    <row r="299" spans="2:16" ht="15.75">
      <c r="B299" s="340"/>
      <c r="H299" s="327"/>
    </row>
    <row r="300" spans="2:16">
      <c r="B300" s="341" t="s">
        <v>49</v>
      </c>
      <c r="H300" s="325"/>
    </row>
    <row r="301" spans="2:16">
      <c r="H301" s="325"/>
    </row>
    <row r="302" spans="2:16">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6">
      <c r="B303" s="338" t="str">
        <f t="shared" si="143"/>
        <v>20-24</v>
      </c>
      <c r="C303" s="459">
        <f>C$296*Entrant_age_breakdowns!$K76*$G$31</f>
        <v>174.7261983801763</v>
      </c>
      <c r="D303" s="459">
        <f>D$296*Entrant_age_breakdowns!$K76*$G$31</f>
        <v>138.21379982395382</v>
      </c>
      <c r="E303" s="459">
        <f>E$296*Entrant_age_breakdowns!$K76*$G$31</f>
        <v>145.56897037762471</v>
      </c>
      <c r="F303" s="459">
        <f>F$296*Entrant_age_breakdowns!$K76*$G$31</f>
        <v>145.67432549215184</v>
      </c>
      <c r="G303" s="459">
        <f>G$296*Entrant_age_breakdowns!$K76*$G$31</f>
        <v>143.57213619829989</v>
      </c>
      <c r="H303" s="459">
        <f>H$296*Entrant_age_breakdowns!$K76*$G$31</f>
        <v>146.2550308453576</v>
      </c>
      <c r="I303" s="459">
        <f>I$296*Entrant_age_breakdowns!$K76*$G$31</f>
        <v>150.06054120758546</v>
      </c>
      <c r="J303" s="459">
        <f>J$296*Entrant_age_breakdowns!$K76*$G$31</f>
        <v>146.19817141838368</v>
      </c>
      <c r="K303" s="459">
        <f>K$296*Entrant_age_breakdowns!$K76*$G$31</f>
        <v>141.85010372819769</v>
      </c>
      <c r="L303" s="459">
        <f>L$296*Entrant_age_breakdowns!$K76*$G$31</f>
        <v>143.93521293347951</v>
      </c>
      <c r="M303" s="459">
        <f>M$296*Entrant_age_breakdowns!$K76*$G$31</f>
        <v>142.92613050440488</v>
      </c>
      <c r="N303" s="459">
        <f>N$296*Entrant_age_breakdowns!$K76*$G$31</f>
        <v>136.40944716998089</v>
      </c>
      <c r="O303" s="327"/>
      <c r="P303" s="327"/>
    </row>
    <row r="304" spans="2:16">
      <c r="B304" s="338" t="str">
        <f t="shared" si="143"/>
        <v>25-29</v>
      </c>
      <c r="C304" s="459">
        <f>C$296*Entrant_age_breakdowns!$K77*$G$31</f>
        <v>180.66309543653418</v>
      </c>
      <c r="D304" s="459">
        <f>D$296*Entrant_age_breakdowns!$K77*$G$31</f>
        <v>142.91006809356645</v>
      </c>
      <c r="E304" s="459">
        <f>E$296*Entrant_age_breakdowns!$K77*$G$31</f>
        <v>150.51515474919523</v>
      </c>
      <c r="F304" s="459">
        <f>F$296*Entrant_age_breakdowns!$K77*$G$31</f>
        <v>150.62408965012594</v>
      </c>
      <c r="G304" s="459">
        <f>G$296*Entrant_age_breakdowns!$K77*$G$31</f>
        <v>148.45047156341823</v>
      </c>
      <c r="H304" s="459">
        <f>H$296*Entrant_age_breakdowns!$K77*$G$31</f>
        <v>151.22452637695525</v>
      </c>
      <c r="I304" s="459">
        <f>I$296*Entrant_age_breakdowns!$K77*$G$31</f>
        <v>155.15934146553153</v>
      </c>
      <c r="J304" s="459">
        <f>J$296*Entrant_age_breakdowns!$K77*$G$31</f>
        <v>151.16573496400693</v>
      </c>
      <c r="K304" s="459">
        <f>K$296*Entrant_age_breakdowns!$K77*$G$31</f>
        <v>146.6699273784302</v>
      </c>
      <c r="L304" s="459">
        <f>L$296*Entrant_age_breakdowns!$K77*$G$31</f>
        <v>148.82588502440257</v>
      </c>
      <c r="M304" s="459">
        <f>M$296*Entrant_age_breakdowns!$K77*$G$31</f>
        <v>147.7825157021297</v>
      </c>
      <c r="N304" s="459">
        <f>N$296*Entrant_age_breakdowns!$K77*$G$31</f>
        <v>141.04440662580765</v>
      </c>
      <c r="O304" s="327"/>
      <c r="P304" s="327"/>
    </row>
    <row r="305" spans="1:16">
      <c r="B305" s="338" t="str">
        <f t="shared" si="143"/>
        <v>30-34</v>
      </c>
      <c r="C305" s="459">
        <f>C$296*Entrant_age_breakdowns!$K78*$G$31</f>
        <v>89.683867177713822</v>
      </c>
      <c r="D305" s="459">
        <f>D$296*Entrant_age_breakdowns!$K78*$G$31</f>
        <v>70.942698807924998</v>
      </c>
      <c r="E305" s="459">
        <f>E$296*Entrant_age_breakdowns!$K78*$G$31</f>
        <v>74.71797775933662</v>
      </c>
      <c r="F305" s="459">
        <f>F$296*Entrant_age_breakdowns!$K78*$G$31</f>
        <v>74.77205467616615</v>
      </c>
      <c r="G305" s="459">
        <f>G$296*Entrant_age_breakdowns!$K78*$G$31</f>
        <v>73.69303809387884</v>
      </c>
      <c r="H305" s="459">
        <f>H$296*Entrant_age_breakdowns!$K78*$G$31</f>
        <v>75.070120462803217</v>
      </c>
      <c r="I305" s="459">
        <f>I$296*Entrant_age_breakdowns!$K78*$G$31</f>
        <v>77.023421622179782</v>
      </c>
      <c r="J305" s="459">
        <f>J$296*Entrant_age_breakdowns!$K78*$G$31</f>
        <v>75.040935524632516</v>
      </c>
      <c r="K305" s="459">
        <f>K$296*Entrant_age_breakdowns!$K78*$G$31</f>
        <v>72.8091492852394</v>
      </c>
      <c r="L305" s="459">
        <f>L$296*Entrant_age_breakdowns!$K78*$G$31</f>
        <v>73.879398960165872</v>
      </c>
      <c r="M305" s="459">
        <f>M$296*Entrant_age_breakdowns!$K78*$G$31</f>
        <v>73.361454797358746</v>
      </c>
      <c r="N305" s="459">
        <f>N$296*Entrant_age_breakdowns!$K78*$G$31</f>
        <v>70.016556504934087</v>
      </c>
      <c r="O305" s="327"/>
      <c r="P305" s="327"/>
    </row>
    <row r="306" spans="1:16">
      <c r="B306" s="338" t="str">
        <f t="shared" si="143"/>
        <v>35-39</v>
      </c>
      <c r="C306" s="459">
        <f>C$296*Entrant_age_breakdowns!$K79*$G$31</f>
        <v>64.083098618716718</v>
      </c>
      <c r="D306" s="459">
        <f>D$296*Entrant_age_breakdowns!$K79*$G$31</f>
        <v>50.691703057112356</v>
      </c>
      <c r="E306" s="459">
        <f>E$296*Entrant_age_breakdowns!$K79*$G$31</f>
        <v>53.389307219041214</v>
      </c>
      <c r="F306" s="459">
        <f>F$296*Entrant_age_breakdowns!$K79*$G$31</f>
        <v>53.427947573245795</v>
      </c>
      <c r="G306" s="459">
        <f>G$296*Entrant_age_breakdowns!$K79*$G$31</f>
        <v>52.656942394388722</v>
      </c>
      <c r="H306" s="459">
        <f>H$296*Entrant_age_breakdowns!$K79*$G$31</f>
        <v>53.640928790503963</v>
      </c>
      <c r="I306" s="459">
        <f>I$296*Entrant_age_breakdowns!$K79*$G$31</f>
        <v>55.036649055112349</v>
      </c>
      <c r="J306" s="459">
        <f>J$296*Entrant_age_breakdowns!$K79*$G$31</f>
        <v>53.620074858466566</v>
      </c>
      <c r="K306" s="459">
        <f>K$296*Entrant_age_breakdowns!$K79*$G$31</f>
        <v>52.025364659456947</v>
      </c>
      <c r="L306" s="459">
        <f>L$296*Entrant_age_breakdowns!$K79*$G$31</f>
        <v>52.790105494383894</v>
      </c>
      <c r="M306" s="459">
        <f>M$296*Entrant_age_breakdowns!$K79*$G$31</f>
        <v>52.420011430549799</v>
      </c>
      <c r="N306" s="459">
        <f>N$296*Entrant_age_breakdowns!$K79*$G$31</f>
        <v>50.02993332744709</v>
      </c>
      <c r="O306" s="327"/>
      <c r="P306" s="327"/>
    </row>
    <row r="307" spans="1:16">
      <c r="B307" s="338" t="str">
        <f t="shared" si="143"/>
        <v>40-44</v>
      </c>
      <c r="C307" s="459">
        <f>C$296*Entrant_age_breakdowns!$K80*$G$31</f>
        <v>55.677138249460164</v>
      </c>
      <c r="D307" s="459">
        <f>D$296*Entrant_age_breakdowns!$K80*$G$31</f>
        <v>44.042329725721153</v>
      </c>
      <c r="E307" s="459">
        <f>E$296*Entrant_age_breakdowns!$K80*$G$31</f>
        <v>46.3860815589411</v>
      </c>
      <c r="F307" s="459">
        <f>F$296*Entrant_age_breakdowns!$K80*$G$31</f>
        <v>46.419653349154565</v>
      </c>
      <c r="G307" s="459">
        <f>G$296*Entrant_age_breakdowns!$K80*$G$31</f>
        <v>45.749783089139747</v>
      </c>
      <c r="H307" s="459">
        <f>H$296*Entrant_age_breakdowns!$K80*$G$31</f>
        <v>46.604697220837103</v>
      </c>
      <c r="I307" s="459">
        <f>I$296*Entrant_age_breakdowns!$K80*$G$31</f>
        <v>47.817336930919375</v>
      </c>
      <c r="J307" s="459">
        <f>J$296*Entrant_age_breakdowns!$K80*$G$31</f>
        <v>46.58657875774594</v>
      </c>
      <c r="K307" s="459">
        <f>K$296*Entrant_age_breakdowns!$K80*$G$31</f>
        <v>45.201051182895647</v>
      </c>
      <c r="L307" s="459">
        <f>L$296*Entrant_age_breakdowns!$K80*$G$31</f>
        <v>45.865478810600898</v>
      </c>
      <c r="M307" s="459">
        <f>M$296*Entrant_age_breakdowns!$K80*$G$31</f>
        <v>45.543931026527645</v>
      </c>
      <c r="N307" s="459">
        <f>N$296*Entrant_age_breakdowns!$K80*$G$31</f>
        <v>43.467366193649994</v>
      </c>
      <c r="O307" s="327"/>
      <c r="P307" s="327"/>
    </row>
    <row r="308" spans="1:16">
      <c r="B308" s="338" t="str">
        <f t="shared" si="143"/>
        <v>45-49</v>
      </c>
      <c r="C308" s="459">
        <f>C$296*Entrant_age_breakdowns!$K81*$G$31</f>
        <v>44.304903913866781</v>
      </c>
      <c r="D308" s="459">
        <f>D$296*Entrant_age_breakdowns!$K81*$G$31</f>
        <v>35.04654240485921</v>
      </c>
      <c r="E308" s="459">
        <f>E$296*Entrant_age_breakdowns!$K81*$G$31</f>
        <v>36.911575397458577</v>
      </c>
      <c r="F308" s="459">
        <f>F$296*Entrant_age_breakdowns!$K81*$G$31</f>
        <v>36.938290041680396</v>
      </c>
      <c r="G308" s="459">
        <f>G$296*Entrant_age_breakdowns!$K81*$G$31</f>
        <v>36.405242934055373</v>
      </c>
      <c r="H308" s="459">
        <f>H$296*Entrant_age_breakdowns!$K81*$G$31</f>
        <v>37.085538108167086</v>
      </c>
      <c r="I308" s="459">
        <f>I$296*Entrant_age_breakdowns!$K81*$G$31</f>
        <v>38.05049226217939</v>
      </c>
      <c r="J308" s="459">
        <f>J$296*Entrant_age_breakdowns!$K81*$G$31</f>
        <v>37.071120399363082</v>
      </c>
      <c r="K308" s="459">
        <f>K$296*Entrant_age_breakdowns!$K81*$G$31</f>
        <v>35.968591282318343</v>
      </c>
      <c r="L308" s="459">
        <f>L$296*Entrant_age_breakdowns!$K81*$G$31</f>
        <v>36.497307432766057</v>
      </c>
      <c r="M308" s="459">
        <f>M$296*Entrant_age_breakdowns!$K81*$G$31</f>
        <v>36.241436816477325</v>
      </c>
      <c r="N308" s="459">
        <f>N$296*Entrant_age_breakdowns!$K81*$G$31</f>
        <v>34.589017021132491</v>
      </c>
      <c r="O308" s="327"/>
      <c r="P308" s="327"/>
    </row>
    <row r="309" spans="1:16">
      <c r="B309" s="338" t="str">
        <f t="shared" si="143"/>
        <v>50-54</v>
      </c>
      <c r="C309" s="459">
        <f>C$296*Entrant_age_breakdowns!$K82*$G$31</f>
        <v>32.410479990400646</v>
      </c>
      <c r="D309" s="459">
        <f>D$296*Entrant_age_breakdowns!$K82*$G$31</f>
        <v>25.637687050482569</v>
      </c>
      <c r="E309" s="459">
        <f>E$296*Entrant_age_breakdowns!$K82*$G$31</f>
        <v>27.002019418872155</v>
      </c>
      <c r="F309" s="459">
        <f>F$296*Entrant_age_breakdowns!$K82*$G$31</f>
        <v>27.021562051075698</v>
      </c>
      <c r="G309" s="459">
        <f>G$296*Entrant_age_breakdowns!$K82*$G$31</f>
        <v>26.631620733310772</v>
      </c>
      <c r="H309" s="459">
        <f>H$296*Entrant_age_breakdowns!$K82*$G$31</f>
        <v>27.129278806804816</v>
      </c>
      <c r="I309" s="459">
        <f>I$296*Entrant_age_breakdowns!$K82*$G$31</f>
        <v>27.835174193940084</v>
      </c>
      <c r="J309" s="459">
        <f>J$296*Entrant_age_breakdowns!$K82*$G$31</f>
        <v>27.118731783305833</v>
      </c>
      <c r="K309" s="459">
        <f>K$296*Entrant_age_breakdowns!$K82*$G$31</f>
        <v>26.312195830620279</v>
      </c>
      <c r="L309" s="459">
        <f>L$296*Entrant_age_breakdowns!$K82*$G$31</f>
        <v>26.698968912173534</v>
      </c>
      <c r="M309" s="459">
        <f>M$296*Entrant_age_breakdowns!$K82*$G$31</f>
        <v>26.511791223999793</v>
      </c>
      <c r="N309" s="459">
        <f>N$296*Entrant_age_breakdowns!$K82*$G$31</f>
        <v>25.302992333094096</v>
      </c>
      <c r="O309" s="327"/>
      <c r="P309" s="327"/>
    </row>
    <row r="310" spans="1:16">
      <c r="B310" s="338" t="str">
        <f t="shared" si="143"/>
        <v>55-59</v>
      </c>
      <c r="C310" s="459">
        <f>C$296*Entrant_age_breakdowns!$K83*$G$31</f>
        <v>22.065785785112094</v>
      </c>
      <c r="D310" s="459">
        <f>D$296*Entrant_age_breakdowns!$K83*$G$31</f>
        <v>17.454715593513111</v>
      </c>
      <c r="E310" s="459">
        <f>E$296*Entrant_age_breakdowns!$K83*$G$31</f>
        <v>18.383583841977671</v>
      </c>
      <c r="F310" s="459">
        <f>F$296*Entrant_age_breakdowns!$K83*$G$31</f>
        <v>18.396888906759447</v>
      </c>
      <c r="G310" s="459">
        <f>G$296*Entrant_age_breakdowns!$K83*$G$31</f>
        <v>18.131408062627742</v>
      </c>
      <c r="H310" s="459">
        <f>H$296*Entrant_age_breakdowns!$K83*$G$31</f>
        <v>18.470224903575595</v>
      </c>
      <c r="I310" s="459">
        <f>I$296*Entrant_age_breakdowns!$K83*$G$31</f>
        <v>18.950814404374068</v>
      </c>
      <c r="J310" s="459">
        <f>J$296*Entrant_age_breakdowns!$K83*$G$31</f>
        <v>18.463044252092864</v>
      </c>
      <c r="K310" s="459">
        <f>K$296*Entrant_age_breakdowns!$K83*$G$31</f>
        <v>17.913936384353114</v>
      </c>
      <c r="L310" s="459">
        <f>L$296*Entrant_age_breakdowns!$K83*$G$31</f>
        <v>18.177260221813391</v>
      </c>
      <c r="M310" s="459">
        <f>M$296*Entrant_age_breakdowns!$K83*$G$31</f>
        <v>18.049825429973914</v>
      </c>
      <c r="N310" s="459">
        <f>N$296*Entrant_age_breakdowns!$K83*$G$31</f>
        <v>17.226847880986476</v>
      </c>
      <c r="O310" s="327"/>
      <c r="P310" s="327"/>
    </row>
    <row r="311" spans="1:16">
      <c r="B311" s="338" t="str">
        <f t="shared" si="143"/>
        <v>60-64</v>
      </c>
      <c r="C311" s="459">
        <f>C$296*Entrant_age_breakdowns!$K84*$G$31</f>
        <v>10.802008400206715</v>
      </c>
      <c r="D311" s="459">
        <f>D$296*Entrant_age_breakdowns!$K84*$G$31</f>
        <v>8.544721058225841</v>
      </c>
      <c r="E311" s="459">
        <f>E$296*Entrant_age_breakdowns!$K84*$G$31</f>
        <v>8.99943600562505</v>
      </c>
      <c r="F311" s="459">
        <f>F$296*Entrant_age_breakdowns!$K84*$G$31</f>
        <v>9.0059493209874706</v>
      </c>
      <c r="G311" s="459">
        <f>G$296*Entrant_age_breakdowns!$K84*$G$31</f>
        <v>8.8759867474207716</v>
      </c>
      <c r="H311" s="459">
        <f>H$296*Entrant_age_breakdowns!$K84*$G$31</f>
        <v>9.0418499710418203</v>
      </c>
      <c r="I311" s="459">
        <f>I$296*Entrant_age_breakdowns!$K84*$G$31</f>
        <v>9.2771160918694271</v>
      </c>
      <c r="J311" s="459">
        <f>J$296*Entrant_age_breakdowns!$K84*$G$31</f>
        <v>9.0383347797682916</v>
      </c>
      <c r="K311" s="459">
        <f>K$296*Entrant_age_breakdowns!$K84*$G$31</f>
        <v>8.7695264147407297</v>
      </c>
      <c r="L311" s="459">
        <f>L$296*Entrant_age_breakdowns!$K84*$G$31</f>
        <v>8.8984330547272243</v>
      </c>
      <c r="M311" s="459">
        <f>M$296*Entrant_age_breakdowns!$K84*$G$31</f>
        <v>8.8360490678013033</v>
      </c>
      <c r="N311" s="459">
        <f>N$296*Entrant_age_breakdowns!$K84*$G$31</f>
        <v>8.4331714869203278</v>
      </c>
      <c r="O311" s="327"/>
      <c r="P311" s="327"/>
    </row>
    <row r="312" spans="1:16">
      <c r="B312" s="338" t="str">
        <f t="shared" si="143"/>
        <v>65 plus</v>
      </c>
      <c r="C312" s="459">
        <f>C$296*Entrant_age_breakdowns!$K85*$G$31</f>
        <v>2.7092203798255863</v>
      </c>
      <c r="D312" s="459">
        <f>D$296*Entrant_age_breakdowns!$K85*$G$31</f>
        <v>2.1430766921480355</v>
      </c>
      <c r="E312" s="459">
        <f>E$296*Entrant_age_breakdowns!$K85*$G$31</f>
        <v>2.2571224285392129</v>
      </c>
      <c r="F312" s="459">
        <f>F$296*Entrant_age_breakdowns!$K85*$G$31</f>
        <v>2.2587560142638603</v>
      </c>
      <c r="G312" s="459">
        <f>G$296*Entrant_age_breakdowns!$K85*$G$31</f>
        <v>2.2261604783341955</v>
      </c>
      <c r="H312" s="459">
        <f>H$296*Entrant_age_breakdowns!$K85*$G$31</f>
        <v>2.2677601521216286</v>
      </c>
      <c r="I312" s="459">
        <f>I$296*Entrant_age_breakdowns!$K85*$G$31</f>
        <v>2.3267665651527896</v>
      </c>
      <c r="J312" s="459">
        <f>J$296*Entrant_age_breakdowns!$K85*$G$31</f>
        <v>2.2668785171992702</v>
      </c>
      <c r="K312" s="459">
        <f>K$296*Entrant_age_breakdowns!$K85*$G$31</f>
        <v>2.1994594712386757</v>
      </c>
      <c r="L312" s="459">
        <f>L$296*Entrant_age_breakdowns!$K85*$G$31</f>
        <v>2.2317901715313702</v>
      </c>
      <c r="M312" s="459">
        <f>M$296*Entrant_age_breakdowns!$K85*$G$31</f>
        <v>2.2161438248065108</v>
      </c>
      <c r="N312" s="459">
        <f>N$296*Entrant_age_breakdowns!$K85*$G$31</f>
        <v>2.1150992678816443</v>
      </c>
      <c r="O312" s="327"/>
      <c r="P312" s="327"/>
    </row>
    <row r="313" spans="1:16">
      <c r="B313" s="338" t="str">
        <f t="shared" si="143"/>
        <v>Total</v>
      </c>
      <c r="C313" s="459">
        <f t="shared" ref="C313:N313" si="145">SUM(C303:C312)</f>
        <v>677.12579633201312</v>
      </c>
      <c r="D313" s="459">
        <f t="shared" si="145"/>
        <v>535.62734230750755</v>
      </c>
      <c r="E313" s="459">
        <f t="shared" si="145"/>
        <v>564.13122875661156</v>
      </c>
      <c r="F313" s="459">
        <f t="shared" si="145"/>
        <v>564.53951707561123</v>
      </c>
      <c r="G313" s="459">
        <f t="shared" si="145"/>
        <v>556.39279029487443</v>
      </c>
      <c r="H313" s="459">
        <f t="shared" si="145"/>
        <v>566.78995563816818</v>
      </c>
      <c r="I313" s="459">
        <f t="shared" si="145"/>
        <v>581.53765379884442</v>
      </c>
      <c r="J313" s="459">
        <f t="shared" si="145"/>
        <v>566.56960525496515</v>
      </c>
      <c r="K313" s="459">
        <f t="shared" si="145"/>
        <v>549.71930561749105</v>
      </c>
      <c r="L313" s="459">
        <f t="shared" si="145"/>
        <v>557.79984101604418</v>
      </c>
      <c r="M313" s="459">
        <f t="shared" si="145"/>
        <v>553.88928982402967</v>
      </c>
      <c r="N313" s="459">
        <f t="shared" si="145"/>
        <v>528.6348378118347</v>
      </c>
      <c r="O313" s="327"/>
      <c r="P313" s="327"/>
    </row>
    <row r="314" spans="1:16">
      <c r="A314" s="309">
        <f>SUM(C314:N314)</f>
        <v>0</v>
      </c>
      <c r="C314" s="309">
        <f t="shared" ref="C314:N314" si="146">SUM(C303:C312)-C313</f>
        <v>0</v>
      </c>
      <c r="D314" s="309">
        <f t="shared" si="146"/>
        <v>0</v>
      </c>
      <c r="E314" s="309">
        <f t="shared" si="146"/>
        <v>0</v>
      </c>
      <c r="F314" s="309">
        <f t="shared" si="146"/>
        <v>0</v>
      </c>
      <c r="G314" s="309">
        <f t="shared" si="146"/>
        <v>0</v>
      </c>
      <c r="H314" s="309">
        <f t="shared" si="146"/>
        <v>0</v>
      </c>
      <c r="I314" s="309">
        <f t="shared" si="146"/>
        <v>0</v>
      </c>
      <c r="J314" s="309">
        <f t="shared" si="146"/>
        <v>0</v>
      </c>
      <c r="K314" s="309">
        <f t="shared" si="146"/>
        <v>0</v>
      </c>
      <c r="L314" s="309">
        <f t="shared" si="146"/>
        <v>0</v>
      </c>
      <c r="M314" s="309">
        <f t="shared" si="146"/>
        <v>0</v>
      </c>
      <c r="N314" s="309">
        <f t="shared" si="146"/>
        <v>0</v>
      </c>
    </row>
    <row r="316" spans="1:16">
      <c r="B316" s="341" t="s">
        <v>50</v>
      </c>
      <c r="H316" s="325"/>
    </row>
    <row r="317" spans="1:16">
      <c r="H317" s="325"/>
    </row>
    <row r="318" spans="1:16">
      <c r="B318" s="338" t="str">
        <f t="shared" ref="B318:B329" si="147">B302</f>
        <v>Age group</v>
      </c>
      <c r="C318" s="338" t="str">
        <f>C293</f>
        <v>2016/17</v>
      </c>
      <c r="D318" s="338" t="str">
        <f t="shared" ref="D318:N318" si="148">D302</f>
        <v>2017/18</v>
      </c>
      <c r="E318" s="338" t="str">
        <f t="shared" si="148"/>
        <v>2018/19</v>
      </c>
      <c r="F318" s="338" t="str">
        <f t="shared" si="148"/>
        <v>2019/20</v>
      </c>
      <c r="G318" s="338" t="str">
        <f t="shared" si="148"/>
        <v>2020/21</v>
      </c>
      <c r="H318" s="338" t="str">
        <f t="shared" si="148"/>
        <v>2021/22</v>
      </c>
      <c r="I318" s="338" t="str">
        <f t="shared" si="148"/>
        <v>2022/23</v>
      </c>
      <c r="J318" s="338" t="str">
        <f t="shared" si="148"/>
        <v>2023/24</v>
      </c>
      <c r="K318" s="338" t="str">
        <f t="shared" si="148"/>
        <v>2024/25</v>
      </c>
      <c r="L318" s="338" t="str">
        <f t="shared" si="148"/>
        <v>2025/26</v>
      </c>
      <c r="M318" s="338" t="str">
        <f t="shared" si="148"/>
        <v>2026/27</v>
      </c>
      <c r="N318" s="338" t="str">
        <f t="shared" si="148"/>
        <v>2027/28</v>
      </c>
    </row>
    <row r="319" spans="1:16">
      <c r="B319" s="338" t="str">
        <f t="shared" si="147"/>
        <v>20-24</v>
      </c>
      <c r="C319" s="459">
        <f>C$296*Entrant_age_breakdowns!$K76*$H$31</f>
        <v>249.40152809805562</v>
      </c>
      <c r="D319" s="459">
        <f>D$296*Entrant_age_breakdowns!$K76*$H$31</f>
        <v>197.28428363862207</v>
      </c>
      <c r="E319" s="459">
        <f>E$296*Entrant_age_breakdowns!$K76*$H$31</f>
        <v>207.78294264061097</v>
      </c>
      <c r="F319" s="459">
        <f>F$296*Entrant_age_breakdowns!$K76*$H$31</f>
        <v>207.93332493473517</v>
      </c>
      <c r="G319" s="459">
        <f>G$296*Entrant_age_breakdowns!$K76*$H$31</f>
        <v>204.93269178928509</v>
      </c>
      <c r="H319" s="459">
        <f>H$296*Entrant_age_breakdowns!$K76*$H$31</f>
        <v>208.76221495699227</v>
      </c>
      <c r="I319" s="459">
        <f>I$296*Entrant_age_breakdowns!$K76*$H$31</f>
        <v>214.19414278654148</v>
      </c>
      <c r="J319" s="459">
        <f>J$296*Entrant_age_breakdowns!$K76*$H$31</f>
        <v>208.68105467246974</v>
      </c>
      <c r="K319" s="459">
        <f>K$296*Entrant_age_breakdowns!$K76*$H$31</f>
        <v>202.47468873387905</v>
      </c>
      <c r="L319" s="459">
        <f>L$296*Entrant_age_breakdowns!$K76*$H$31</f>
        <v>205.45094201970343</v>
      </c>
      <c r="M319" s="459">
        <f>M$296*Entrant_age_breakdowns!$K76*$H$31</f>
        <v>204.01059305016585</v>
      </c>
      <c r="N319" s="459">
        <f>N$296*Entrant_age_breakdowns!$K76*$H$31</f>
        <v>194.70877800008307</v>
      </c>
      <c r="O319" s="327"/>
    </row>
    <row r="320" spans="1:16">
      <c r="B320" s="338" t="str">
        <f t="shared" si="147"/>
        <v>25-29</v>
      </c>
      <c r="C320" s="459">
        <f>C$296*Entrant_age_breakdowns!$K77*$H$31</f>
        <v>257.87576499980975</v>
      </c>
      <c r="D320" s="459">
        <f>D$296*Entrant_age_breakdowns!$K77*$H$31</f>
        <v>203.98766580831443</v>
      </c>
      <c r="E320" s="459">
        <f>E$296*Entrant_age_breakdowns!$K77*$H$31</f>
        <v>214.84305126748285</v>
      </c>
      <c r="F320" s="459">
        <f>F$296*Entrant_age_breakdowns!$K77*$H$31</f>
        <v>214.99854329447822</v>
      </c>
      <c r="G320" s="459">
        <f>G$296*Entrant_age_breakdowns!$K77*$H$31</f>
        <v>211.89595377240241</v>
      </c>
      <c r="H320" s="459">
        <f>H$296*Entrant_age_breakdowns!$K77*$H$31</f>
        <v>215.8555975804737</v>
      </c>
      <c r="I320" s="459">
        <f>I$296*Entrant_age_breakdowns!$K77*$H$31</f>
        <v>221.47209301717376</v>
      </c>
      <c r="J320" s="459">
        <f>J$296*Entrant_age_breakdowns!$K77*$H$31</f>
        <v>215.771679608445</v>
      </c>
      <c r="K320" s="459">
        <f>K$296*Entrant_age_breakdowns!$K77*$H$31</f>
        <v>209.35443198174403</v>
      </c>
      <c r="L320" s="459">
        <f>L$296*Entrant_age_breakdowns!$K77*$H$31</f>
        <v>212.43181325830705</v>
      </c>
      <c r="M320" s="459">
        <f>M$296*Entrant_age_breakdowns!$K77*$H$31</f>
        <v>210.94252369693695</v>
      </c>
      <c r="N320" s="459">
        <f>N$296*Entrant_age_breakdowns!$K77*$H$31</f>
        <v>201.32464889793511</v>
      </c>
      <c r="O320" s="327"/>
    </row>
    <row r="321" spans="1:15">
      <c r="B321" s="338" t="str">
        <f t="shared" si="147"/>
        <v>30-34</v>
      </c>
      <c r="C321" s="459">
        <f>C$296*Entrant_age_breakdowns!$K78*$H$31</f>
        <v>128.01339311004307</v>
      </c>
      <c r="D321" s="459">
        <f>D$296*Entrant_age_breakdowns!$K78*$H$31</f>
        <v>101.26253334716863</v>
      </c>
      <c r="E321" s="459">
        <f>E$296*Entrant_age_breakdowns!$K78*$H$31</f>
        <v>106.65130931898823</v>
      </c>
      <c r="F321" s="459">
        <f>F$296*Entrant_age_breakdowns!$K78*$H$31</f>
        <v>106.72849789069154</v>
      </c>
      <c r="G321" s="459">
        <f>G$296*Entrant_age_breakdowns!$K78*$H$31</f>
        <v>105.18832597050786</v>
      </c>
      <c r="H321" s="459">
        <f>H$296*Entrant_age_breakdowns!$K78*$H$31</f>
        <v>107.15395247821304</v>
      </c>
      <c r="I321" s="459">
        <f>I$296*Entrant_age_breakdowns!$K78*$H$31</f>
        <v>109.94206495648173</v>
      </c>
      <c r="J321" s="459">
        <f>J$296*Entrant_age_breakdowns!$K78*$H$31</f>
        <v>107.11229433968143</v>
      </c>
      <c r="K321" s="459">
        <f>K$296*Entrant_age_breakdowns!$K78*$H$31</f>
        <v>103.92667647783246</v>
      </c>
      <c r="L321" s="459">
        <f>L$296*Entrant_age_breakdowns!$K78*$H$31</f>
        <v>105.45433464728643</v>
      </c>
      <c r="M321" s="459">
        <f>M$296*Entrant_age_breakdowns!$K78*$H$31</f>
        <v>104.71502899724017</v>
      </c>
      <c r="N321" s="459">
        <f>N$296*Entrant_age_breakdowns!$K78*$H$31</f>
        <v>99.94057185688537</v>
      </c>
      <c r="O321" s="327"/>
    </row>
    <row r="322" spans="1:15">
      <c r="B322" s="338" t="str">
        <f t="shared" si="147"/>
        <v>35-39</v>
      </c>
      <c r="C322" s="459">
        <f>C$296*Entrant_age_breakdowns!$K79*$H$31</f>
        <v>91.471243974479137</v>
      </c>
      <c r="D322" s="459">
        <f>D$296*Entrant_age_breakdowns!$K79*$H$31</f>
        <v>72.356568857684664</v>
      </c>
      <c r="E322" s="459">
        <f>E$296*Entrant_age_breakdowns!$K79*$H$31</f>
        <v>76.207088164038808</v>
      </c>
      <c r="F322" s="459">
        <f>F$296*Entrant_age_breakdowns!$K79*$H$31</f>
        <v>76.262242820147691</v>
      </c>
      <c r="G322" s="459">
        <f>G$296*Entrant_age_breakdowns!$K79*$H$31</f>
        <v>75.161721710198989</v>
      </c>
      <c r="H322" s="459">
        <f>H$296*Entrant_age_breakdowns!$K79*$H$31</f>
        <v>76.566248982548117</v>
      </c>
      <c r="I322" s="459">
        <f>I$296*Entrant_age_breakdowns!$K79*$H$31</f>
        <v>78.558478940149286</v>
      </c>
      <c r="J322" s="459">
        <f>J$296*Entrant_age_breakdowns!$K79*$H$31</f>
        <v>76.536482395938904</v>
      </c>
      <c r="K322" s="459">
        <f>K$296*Entrant_age_breakdowns!$K79*$H$31</f>
        <v>74.260217221089917</v>
      </c>
      <c r="L322" s="459">
        <f>L$296*Entrant_age_breakdowns!$K79*$H$31</f>
        <v>75.351796701430757</v>
      </c>
      <c r="M322" s="459">
        <f>M$296*Entrant_age_breakdowns!$K79*$H$31</f>
        <v>74.823530042418298</v>
      </c>
      <c r="N322" s="459">
        <f>N$296*Entrant_age_breakdowns!$K79*$H$31</f>
        <v>71.411968772765292</v>
      </c>
      <c r="O322" s="327"/>
    </row>
    <row r="323" spans="1:15">
      <c r="B323" s="338" t="str">
        <f t="shared" si="147"/>
        <v>40-44</v>
      </c>
      <c r="C323" s="459">
        <f>C$296*Entrant_age_breakdowns!$K80*$H$31</f>
        <v>79.472703511401463</v>
      </c>
      <c r="D323" s="459">
        <f>D$296*Entrant_age_breakdowns!$K80*$H$31</f>
        <v>62.865354116463728</v>
      </c>
      <c r="E323" s="459">
        <f>E$296*Entrant_age_breakdowns!$K80*$H$31</f>
        <v>66.210789970426617</v>
      </c>
      <c r="F323" s="459">
        <f>F$296*Entrant_age_breakdowns!$K80*$H$31</f>
        <v>66.258709835093995</v>
      </c>
      <c r="G323" s="459">
        <f>G$296*Entrant_age_breakdowns!$K80*$H$31</f>
        <v>65.302547175893764</v>
      </c>
      <c r="H323" s="459">
        <f>H$296*Entrant_age_breakdowns!$K80*$H$31</f>
        <v>66.522838653729366</v>
      </c>
      <c r="I323" s="459">
        <f>I$296*Entrant_age_breakdowns!$K80*$H$31</f>
        <v>68.253742201855871</v>
      </c>
      <c r="J323" s="459">
        <f>J$296*Entrant_age_breakdowns!$K80*$H$31</f>
        <v>66.496976634045907</v>
      </c>
      <c r="K323" s="459">
        <f>K$296*Entrant_age_breakdowns!$K80*$H$31</f>
        <v>64.519295567364722</v>
      </c>
      <c r="L323" s="459">
        <f>L$296*Entrant_age_breakdowns!$K80*$H$31</f>
        <v>65.467689495673625</v>
      </c>
      <c r="M323" s="459">
        <f>M$296*Entrant_age_breakdowns!$K80*$H$31</f>
        <v>65.008717060813439</v>
      </c>
      <c r="N323" s="459">
        <f>N$296*Entrant_age_breakdowns!$K80*$H$31</f>
        <v>62.044659882693509</v>
      </c>
      <c r="O323" s="327"/>
    </row>
    <row r="324" spans="1:15">
      <c r="B324" s="338" t="str">
        <f t="shared" si="147"/>
        <v>45-49</v>
      </c>
      <c r="C324" s="459">
        <f>C$296*Entrant_age_breakdowns!$K81*$H$31</f>
        <v>63.240148534070968</v>
      </c>
      <c r="D324" s="459">
        <f>D$296*Entrant_age_breakdowns!$K81*$H$31</f>
        <v>50.024903599784778</v>
      </c>
      <c r="E324" s="459">
        <f>E$296*Entrant_age_breakdowns!$K81*$H$31</f>
        <v>52.687023434244267</v>
      </c>
      <c r="F324" s="459">
        <f>F$296*Entrant_age_breakdowns!$K81*$H$31</f>
        <v>52.725155512623395</v>
      </c>
      <c r="G324" s="459">
        <f>G$296*Entrant_age_breakdowns!$K81*$H$31</f>
        <v>51.964292147985496</v>
      </c>
      <c r="H324" s="459">
        <f>H$296*Entrant_age_breakdowns!$K81*$H$31</f>
        <v>52.935335171608244</v>
      </c>
      <c r="I324" s="459">
        <f>I$296*Entrant_age_breakdowns!$K81*$H$31</f>
        <v>54.312696109958168</v>
      </c>
      <c r="J324" s="459">
        <f>J$296*Entrant_age_breakdowns!$K81*$H$31</f>
        <v>52.914755552520049</v>
      </c>
      <c r="K324" s="459">
        <f>K$296*Entrant_age_breakdowns!$K81*$H$31</f>
        <v>51.341022196487998</v>
      </c>
      <c r="L324" s="459">
        <f>L$296*Entrant_age_breakdowns!$K81*$H$31</f>
        <v>52.095703618474111</v>
      </c>
      <c r="M324" s="459">
        <f>M$296*Entrant_age_breakdowns!$K81*$H$31</f>
        <v>51.730477777762182</v>
      </c>
      <c r="N324" s="459">
        <f>N$296*Entrant_age_breakdowns!$K81*$H$31</f>
        <v>49.371838799526188</v>
      </c>
      <c r="O324" s="327"/>
    </row>
    <row r="325" spans="1:15">
      <c r="B325" s="338" t="str">
        <f t="shared" si="147"/>
        <v>50-54</v>
      </c>
      <c r="C325" s="459">
        <f>C$296*Entrant_age_breakdowns!$K82*$H$31</f>
        <v>46.262228051282676</v>
      </c>
      <c r="D325" s="459">
        <f>D$296*Entrant_age_breakdowns!$K82*$H$31</f>
        <v>36.594846030917424</v>
      </c>
      <c r="E325" s="459">
        <f>E$296*Entrant_age_breakdowns!$K82*$H$31</f>
        <v>38.542273381048602</v>
      </c>
      <c r="F325" s="459">
        <f>F$296*Entrant_age_breakdowns!$K82*$H$31</f>
        <v>38.570168238143914</v>
      </c>
      <c r="G325" s="459">
        <f>G$296*Entrant_age_breakdowns!$K82*$H$31</f>
        <v>38.013571909598276</v>
      </c>
      <c r="H325" s="459">
        <f>H$296*Entrant_age_breakdowns!$K82*$H$31</f>
        <v>38.723921503135998</v>
      </c>
      <c r="I325" s="459">
        <f>I$296*Entrant_age_breakdowns!$K82*$H$31</f>
        <v>39.731505882931437</v>
      </c>
      <c r="J325" s="459">
        <f>J$296*Entrant_age_breakdowns!$K82*$H$31</f>
        <v>38.708866841603168</v>
      </c>
      <c r="K325" s="459">
        <f>K$296*Entrant_age_breakdowns!$K82*$H$31</f>
        <v>37.557629643457723</v>
      </c>
      <c r="L325" s="459">
        <f>L$296*Entrant_age_breakdowns!$K82*$H$31</f>
        <v>38.109703679640269</v>
      </c>
      <c r="M325" s="459">
        <f>M$296*Entrant_age_breakdowns!$K82*$H$31</f>
        <v>37.842529083677164</v>
      </c>
      <c r="N325" s="459">
        <f>N$296*Entrant_age_breakdowns!$K82*$H$31</f>
        <v>36.117107862646812</v>
      </c>
      <c r="O325" s="327"/>
    </row>
    <row r="326" spans="1:15">
      <c r="B326" s="338" t="str">
        <f t="shared" si="147"/>
        <v>55-59</v>
      </c>
      <c r="C326" s="459">
        <f>C$296*Entrant_age_breakdowns!$K83*$H$31</f>
        <v>31.496368286552748</v>
      </c>
      <c r="D326" s="459">
        <f>D$296*Entrant_age_breakdowns!$K83*$H$31</f>
        <v>24.91459656248681</v>
      </c>
      <c r="E326" s="459">
        <f>E$296*Entrant_age_breakdowns!$K83*$H$31</f>
        <v>26.240449026035339</v>
      </c>
      <c r="F326" s="459">
        <f>F$296*Entrant_age_breakdowns!$K83*$H$31</f>
        <v>26.259440473905098</v>
      </c>
      <c r="G326" s="459">
        <f>G$296*Entrant_age_breakdowns!$K83*$H$31</f>
        <v>25.880497139585287</v>
      </c>
      <c r="H326" s="459">
        <f>H$296*Entrant_age_breakdowns!$K83*$H$31</f>
        <v>26.364119164565704</v>
      </c>
      <c r="I326" s="459">
        <f>I$296*Entrant_age_breakdowns!$K83*$H$31</f>
        <v>27.050105336062582</v>
      </c>
      <c r="J326" s="459">
        <f>J$296*Entrant_age_breakdowns!$K83*$H$31</f>
        <v>26.35386961144124</v>
      </c>
      <c r="K326" s="459">
        <f>K$296*Entrant_age_breakdowns!$K83*$H$31</f>
        <v>25.570081361169919</v>
      </c>
      <c r="L326" s="459">
        <f>L$296*Entrant_age_breakdowns!$K83*$H$31</f>
        <v>25.945945816850127</v>
      </c>
      <c r="M326" s="459">
        <f>M$296*Entrant_age_breakdowns!$K83*$H$31</f>
        <v>25.76404732588388</v>
      </c>
      <c r="N326" s="459">
        <f>N$296*Entrant_age_breakdowns!$K83*$H$31</f>
        <v>24.589341642301939</v>
      </c>
      <c r="O326" s="327"/>
    </row>
    <row r="327" spans="1:15">
      <c r="B327" s="338" t="str">
        <f t="shared" si="147"/>
        <v>60-64</v>
      </c>
      <c r="C327" s="459">
        <f>C$296*Entrant_age_breakdowns!$K84*$H$31</f>
        <v>15.418623117283145</v>
      </c>
      <c r="D327" s="459">
        <f>D$296*Entrant_age_breakdowns!$K84*$H$31</f>
        <v>12.196605367995813</v>
      </c>
      <c r="E327" s="459">
        <f>E$296*Entrant_age_breakdowns!$K84*$H$31</f>
        <v>12.845658594024545</v>
      </c>
      <c r="F327" s="459">
        <f>F$296*Entrant_age_breakdowns!$K84*$H$31</f>
        <v>12.854955601682422</v>
      </c>
      <c r="G327" s="459">
        <f>G$296*Entrant_age_breakdowns!$K84*$H$31</f>
        <v>12.669448993379955</v>
      </c>
      <c r="H327" s="459">
        <f>H$296*Entrant_age_breakdowns!$K84*$H$31</f>
        <v>12.90619964559956</v>
      </c>
      <c r="I327" s="459">
        <f>I$296*Entrant_age_breakdowns!$K84*$H$31</f>
        <v>13.242014941691782</v>
      </c>
      <c r="J327" s="459">
        <f>J$296*Entrant_age_breakdowns!$K84*$H$31</f>
        <v>12.901182114838274</v>
      </c>
      <c r="K327" s="459">
        <f>K$296*Entrant_age_breakdowns!$K84*$H$31</f>
        <v>12.517489127610665</v>
      </c>
      <c r="L327" s="459">
        <f>L$296*Entrant_age_breakdowns!$K84*$H$31</f>
        <v>12.701488512320367</v>
      </c>
      <c r="M327" s="459">
        <f>M$296*Entrant_age_breakdowns!$K84*$H$31</f>
        <v>12.612442554631064</v>
      </c>
      <c r="N327" s="459">
        <f>N$296*Entrant_age_breakdowns!$K84*$H$31</f>
        <v>12.037381200125205</v>
      </c>
      <c r="O327" s="327"/>
    </row>
    <row r="328" spans="1:15">
      <c r="B328" s="338" t="str">
        <f t="shared" si="147"/>
        <v>65 plus</v>
      </c>
      <c r="C328" s="459">
        <f>C$296*Entrant_age_breakdowns!$K85*$H$31</f>
        <v>3.8671001197697672</v>
      </c>
      <c r="D328" s="459">
        <f>D$296*Entrant_age_breakdowns!$K85*$H$31</f>
        <v>3.0589951982477688</v>
      </c>
      <c r="E328" s="459">
        <f>E$296*Entrant_age_breakdowns!$K85*$H$31</f>
        <v>3.2217823543394948</v>
      </c>
      <c r="F328" s="459">
        <f>F$296*Entrant_age_breakdowns!$K85*$H$31</f>
        <v>3.2241141098505928</v>
      </c>
      <c r="G328" s="459">
        <f>G$296*Entrant_age_breakdowns!$K85*$H$31</f>
        <v>3.1775877357555915</v>
      </c>
      <c r="H328" s="459">
        <f>H$296*Entrant_age_breakdowns!$K85*$H$31</f>
        <v>3.236966479797124</v>
      </c>
      <c r="I328" s="459">
        <f>I$296*Entrant_age_breakdowns!$K85*$H$31</f>
        <v>3.3211913396864015</v>
      </c>
      <c r="J328" s="459">
        <f>J$296*Entrant_age_breakdowns!$K85*$H$31</f>
        <v>3.2357080474675746</v>
      </c>
      <c r="K328" s="459">
        <f>K$296*Entrant_age_breakdowns!$K85*$H$31</f>
        <v>3.1394751228039262</v>
      </c>
      <c r="L328" s="459">
        <f>L$296*Entrant_age_breakdowns!$K85*$H$31</f>
        <v>3.1856234745235334</v>
      </c>
      <c r="M328" s="459">
        <f>M$296*Entrant_age_breakdowns!$K85*$H$31</f>
        <v>3.1632901162835667</v>
      </c>
      <c r="N328" s="459">
        <f>N$296*Entrant_age_breakdowns!$K85*$H$31</f>
        <v>3.0190606467668082</v>
      </c>
      <c r="O328" s="327"/>
    </row>
    <row r="329" spans="1:15">
      <c r="B329" s="338" t="str">
        <f t="shared" si="147"/>
        <v>Total</v>
      </c>
      <c r="C329" s="459">
        <f t="shared" ref="C329:N329" si="149">SUM(C319:C328)</f>
        <v>966.51910180274854</v>
      </c>
      <c r="D329" s="459">
        <f t="shared" si="149"/>
        <v>764.54635252768628</v>
      </c>
      <c r="E329" s="459">
        <f t="shared" si="149"/>
        <v>805.23236815123971</v>
      </c>
      <c r="F329" s="459">
        <f t="shared" si="149"/>
        <v>805.81515271135186</v>
      </c>
      <c r="G329" s="459">
        <f t="shared" si="149"/>
        <v>794.18663834459267</v>
      </c>
      <c r="H329" s="459">
        <f t="shared" si="149"/>
        <v>809.02739461666329</v>
      </c>
      <c r="I329" s="459">
        <f t="shared" si="149"/>
        <v>830.07803551253244</v>
      </c>
      <c r="J329" s="459">
        <f t="shared" si="149"/>
        <v>808.71286981845151</v>
      </c>
      <c r="K329" s="459">
        <f t="shared" si="149"/>
        <v>784.66100743344032</v>
      </c>
      <c r="L329" s="459">
        <f t="shared" si="149"/>
        <v>796.19504122420949</v>
      </c>
      <c r="M329" s="459">
        <f t="shared" si="149"/>
        <v>790.61317970581251</v>
      </c>
      <c r="N329" s="459">
        <f t="shared" si="149"/>
        <v>754.56535756172923</v>
      </c>
      <c r="O329" s="327"/>
    </row>
    <row r="330" spans="1:15">
      <c r="A330" s="309">
        <f>SUM(C330:N330)</f>
        <v>0</v>
      </c>
      <c r="C330" s="309">
        <f t="shared" ref="C330:N330" si="150">SUM(C319:C328)-C329</f>
        <v>0</v>
      </c>
      <c r="D330" s="309">
        <f t="shared" si="150"/>
        <v>0</v>
      </c>
      <c r="E330" s="309">
        <f t="shared" si="150"/>
        <v>0</v>
      </c>
      <c r="F330" s="309">
        <f t="shared" si="150"/>
        <v>0</v>
      </c>
      <c r="G330" s="309">
        <f t="shared" si="150"/>
        <v>0</v>
      </c>
      <c r="H330" s="309">
        <f t="shared" si="150"/>
        <v>0</v>
      </c>
      <c r="I330" s="309">
        <f t="shared" si="150"/>
        <v>0</v>
      </c>
      <c r="J330" s="309">
        <f t="shared" si="150"/>
        <v>0</v>
      </c>
      <c r="K330" s="309">
        <f t="shared" si="150"/>
        <v>0</v>
      </c>
      <c r="L330" s="309">
        <f t="shared" si="150"/>
        <v>0</v>
      </c>
      <c r="M330" s="309">
        <f t="shared" si="150"/>
        <v>0</v>
      </c>
      <c r="N330" s="309">
        <f t="shared" si="150"/>
        <v>0</v>
      </c>
    </row>
    <row r="331" spans="1:15">
      <c r="C331" s="329">
        <f>C294</f>
        <v>1643.6448981347612</v>
      </c>
      <c r="D331" s="329">
        <f t="shared" ref="D331:N331" si="151">D294</f>
        <v>1300.1736948351936</v>
      </c>
      <c r="E331" s="329">
        <f t="shared" si="151"/>
        <v>1369.3635969078512</v>
      </c>
      <c r="F331" s="329">
        <f t="shared" si="151"/>
        <v>1370.3546697869631</v>
      </c>
      <c r="G331" s="329">
        <f t="shared" si="151"/>
        <v>1350.5794286394669</v>
      </c>
      <c r="H331" s="329">
        <f t="shared" si="151"/>
        <v>1375.8173502548311</v>
      </c>
      <c r="I331" s="329">
        <f t="shared" si="151"/>
        <v>1411.6156893113766</v>
      </c>
      <c r="J331" s="329">
        <f t="shared" si="151"/>
        <v>1375.2824750734162</v>
      </c>
      <c r="K331" s="329">
        <f t="shared" si="151"/>
        <v>1334.3803130509314</v>
      </c>
      <c r="L331" s="329">
        <f t="shared" si="151"/>
        <v>1353.9948822402539</v>
      </c>
      <c r="M331" s="329">
        <f t="shared" si="151"/>
        <v>1344.5024695298421</v>
      </c>
      <c r="N331" s="329">
        <f t="shared" si="151"/>
        <v>1283.2001953735639</v>
      </c>
    </row>
    <row r="332" spans="1:15">
      <c r="C332" s="329">
        <f>C313+C329</f>
        <v>1643.6448981347617</v>
      </c>
      <c r="D332" s="329">
        <f t="shared" ref="D332:N332" si="152">D313+D329</f>
        <v>1300.1736948351938</v>
      </c>
      <c r="E332" s="329">
        <f t="shared" si="152"/>
        <v>1369.3635969078514</v>
      </c>
      <c r="F332" s="329">
        <f t="shared" si="152"/>
        <v>1370.3546697869631</v>
      </c>
      <c r="G332" s="329">
        <f t="shared" si="152"/>
        <v>1350.5794286394671</v>
      </c>
      <c r="H332" s="329">
        <f t="shared" si="152"/>
        <v>1375.8173502548316</v>
      </c>
      <c r="I332" s="329">
        <f t="shared" si="152"/>
        <v>1411.6156893113769</v>
      </c>
      <c r="J332" s="329">
        <f t="shared" si="152"/>
        <v>1375.2824750734167</v>
      </c>
      <c r="K332" s="329">
        <f t="shared" si="152"/>
        <v>1334.3803130509314</v>
      </c>
      <c r="L332" s="329">
        <f t="shared" si="152"/>
        <v>1353.9948822402537</v>
      </c>
      <c r="M332" s="329">
        <f t="shared" si="152"/>
        <v>1344.5024695298421</v>
      </c>
      <c r="N332" s="329">
        <f t="shared" si="152"/>
        <v>1283.2001953735639</v>
      </c>
    </row>
    <row r="333" spans="1:15">
      <c r="A333" s="309">
        <f>SUM(C333:L333)</f>
        <v>0</v>
      </c>
      <c r="C333" s="329">
        <f>C331-C332</f>
        <v>0</v>
      </c>
      <c r="D333" s="329">
        <f t="shared" ref="D333:K333" si="153">D331-D332</f>
        <v>0</v>
      </c>
      <c r="E333" s="329">
        <f t="shared" si="153"/>
        <v>0</v>
      </c>
      <c r="F333" s="329">
        <f t="shared" si="153"/>
        <v>0</v>
      </c>
      <c r="G333" s="329">
        <f t="shared" si="153"/>
        <v>0</v>
      </c>
      <c r="H333" s="329">
        <f t="shared" si="153"/>
        <v>0</v>
      </c>
      <c r="I333" s="329">
        <f t="shared" si="153"/>
        <v>0</v>
      </c>
      <c r="J333" s="329">
        <f t="shared" si="153"/>
        <v>0</v>
      </c>
      <c r="K333" s="329">
        <f t="shared" si="153"/>
        <v>0</v>
      </c>
      <c r="L333" s="329">
        <f>L331-L332</f>
        <v>0</v>
      </c>
      <c r="M333" s="329">
        <f>M331-M332</f>
        <v>0</v>
      </c>
      <c r="N333" s="329">
        <f>N331-N332</f>
        <v>0</v>
      </c>
    </row>
    <row r="334" spans="1:15">
      <c r="C334" s="329"/>
      <c r="D334" s="329"/>
      <c r="E334" s="329"/>
      <c r="F334" s="329"/>
      <c r="G334" s="329"/>
      <c r="H334" s="342"/>
      <c r="I334" s="329"/>
      <c r="J334" s="329"/>
      <c r="K334" s="329"/>
      <c r="L334" s="329"/>
    </row>
    <row r="335" spans="1:15" ht="15.75">
      <c r="B335" s="340" t="s">
        <v>163</v>
      </c>
      <c r="C335" s="329"/>
      <c r="D335" s="329"/>
      <c r="E335" s="329"/>
      <c r="F335" s="329"/>
      <c r="G335" s="329"/>
      <c r="H335" s="342"/>
      <c r="I335" s="329"/>
      <c r="J335" s="329"/>
      <c r="K335" s="329"/>
      <c r="L335" s="329"/>
    </row>
    <row r="336" spans="1:15" ht="15.75">
      <c r="B336" s="340"/>
      <c r="C336" s="329"/>
      <c r="D336" s="329"/>
      <c r="E336" s="329"/>
      <c r="F336" s="329"/>
      <c r="G336" s="329"/>
      <c r="H336" s="342"/>
      <c r="I336" s="329"/>
      <c r="J336" s="329"/>
      <c r="K336" s="329"/>
      <c r="L336" s="329"/>
    </row>
    <row r="337" spans="1:15">
      <c r="B337" s="341" t="s">
        <v>49</v>
      </c>
      <c r="C337" s="329"/>
      <c r="D337" s="329"/>
      <c r="E337" s="329"/>
      <c r="F337" s="329"/>
      <c r="G337" s="329"/>
      <c r="H337" s="339"/>
      <c r="I337" s="329"/>
      <c r="J337" s="329"/>
      <c r="K337" s="329"/>
      <c r="L337" s="329"/>
    </row>
    <row r="338" spans="1:15">
      <c r="C338" s="329"/>
      <c r="D338" s="329"/>
      <c r="E338" s="329"/>
      <c r="F338" s="329"/>
      <c r="G338" s="329"/>
      <c r="H338" s="339"/>
      <c r="I338" s="329"/>
      <c r="J338" s="329"/>
      <c r="K338" s="329"/>
      <c r="L338" s="329"/>
    </row>
    <row r="339" spans="1:15">
      <c r="B339" s="338" t="str">
        <f>B318</f>
        <v>Age group</v>
      </c>
      <c r="C339" s="338" t="str">
        <f t="shared" ref="C339:N339" si="154">C318</f>
        <v>2016/17</v>
      </c>
      <c r="D339" s="338" t="str">
        <f t="shared" si="154"/>
        <v>2017/18</v>
      </c>
      <c r="E339" s="338" t="str">
        <f t="shared" si="154"/>
        <v>2018/19</v>
      </c>
      <c r="F339" s="338" t="str">
        <f t="shared" si="154"/>
        <v>2019/20</v>
      </c>
      <c r="G339" s="338" t="str">
        <f t="shared" si="154"/>
        <v>2020/21</v>
      </c>
      <c r="H339" s="338" t="str">
        <f t="shared" si="154"/>
        <v>2021/22</v>
      </c>
      <c r="I339" s="338" t="str">
        <f t="shared" si="154"/>
        <v>2022/23</v>
      </c>
      <c r="J339" s="338" t="str">
        <f t="shared" si="154"/>
        <v>2023/24</v>
      </c>
      <c r="K339" s="338" t="str">
        <f t="shared" si="154"/>
        <v>2024/25</v>
      </c>
      <c r="L339" s="338" t="str">
        <f t="shared" si="154"/>
        <v>2025/26</v>
      </c>
      <c r="M339" s="338" t="str">
        <f t="shared" si="154"/>
        <v>2026/27</v>
      </c>
      <c r="N339" s="338" t="str">
        <f t="shared" si="154"/>
        <v>2027/28</v>
      </c>
    </row>
    <row r="340" spans="1:15">
      <c r="B340" s="338" t="str">
        <f t="shared" ref="B340:B350" si="155">B319</f>
        <v>20-24</v>
      </c>
      <c r="C340" s="459">
        <f t="shared" ref="C340:N340" si="156">C303+C247</f>
        <v>275.46583480197626</v>
      </c>
      <c r="D340" s="459">
        <f t="shared" si="156"/>
        <v>327.30445879779444</v>
      </c>
      <c r="E340" s="459">
        <f t="shared" si="156"/>
        <v>370.24371395750336</v>
      </c>
      <c r="F340" s="459">
        <f t="shared" si="156"/>
        <v>399.82427444489292</v>
      </c>
      <c r="G340" s="459">
        <f t="shared" si="156"/>
        <v>418.02735342286473</v>
      </c>
      <c r="H340" s="459">
        <f t="shared" si="156"/>
        <v>433.20556242268765</v>
      </c>
      <c r="I340" s="459">
        <f t="shared" si="156"/>
        <v>447.42999658315125</v>
      </c>
      <c r="J340" s="459">
        <f t="shared" si="156"/>
        <v>453.33184176770703</v>
      </c>
      <c r="K340" s="459">
        <f t="shared" si="156"/>
        <v>453.0350343578076</v>
      </c>
      <c r="L340" s="459">
        <f t="shared" si="156"/>
        <v>454.91640320172473</v>
      </c>
      <c r="M340" s="459">
        <f t="shared" si="156"/>
        <v>455.19876685969336</v>
      </c>
      <c r="N340" s="459">
        <f t="shared" si="156"/>
        <v>448.87590912325663</v>
      </c>
      <c r="O340" s="327"/>
    </row>
    <row r="341" spans="1:15">
      <c r="B341" s="338" t="str">
        <f t="shared" si="155"/>
        <v>25-29</v>
      </c>
      <c r="C341" s="459">
        <f t="shared" ref="C341:N341" si="157">C304+C248</f>
        <v>710.62049998897248</v>
      </c>
      <c r="D341" s="459">
        <f t="shared" si="157"/>
        <v>700.79676735488704</v>
      </c>
      <c r="E341" s="459">
        <f t="shared" si="157"/>
        <v>710.64626607624768</v>
      </c>
      <c r="F341" s="459">
        <f t="shared" si="157"/>
        <v>725.48760161001667</v>
      </c>
      <c r="G341" s="459">
        <f t="shared" si="157"/>
        <v>739.22885402681743</v>
      </c>
      <c r="H341" s="459">
        <f t="shared" si="157"/>
        <v>755.09469408784128</v>
      </c>
      <c r="I341" s="459">
        <f t="shared" si="157"/>
        <v>773.10065077831905</v>
      </c>
      <c r="J341" s="459">
        <f t="shared" si="157"/>
        <v>784.53923241882251</v>
      </c>
      <c r="K341" s="459">
        <f t="shared" si="157"/>
        <v>789.28613596231378</v>
      </c>
      <c r="L341" s="459">
        <f t="shared" si="157"/>
        <v>794.78639346343289</v>
      </c>
      <c r="M341" s="459">
        <f t="shared" si="157"/>
        <v>798.01624273559707</v>
      </c>
      <c r="N341" s="459">
        <f t="shared" si="157"/>
        <v>793.64029207811359</v>
      </c>
      <c r="O341" s="327"/>
    </row>
    <row r="342" spans="1:15">
      <c r="B342" s="338" t="str">
        <f t="shared" si="155"/>
        <v>30-34</v>
      </c>
      <c r="C342" s="459">
        <f t="shared" ref="C342:N342" si="158">C305+C249</f>
        <v>695.12440027273078</v>
      </c>
      <c r="D342" s="459">
        <f t="shared" si="158"/>
        <v>717.88084573666572</v>
      </c>
      <c r="E342" s="459">
        <f t="shared" si="158"/>
        <v>736.70365437033684</v>
      </c>
      <c r="F342" s="459">
        <f t="shared" si="158"/>
        <v>752.53513743787266</v>
      </c>
      <c r="G342" s="459">
        <f t="shared" si="158"/>
        <v>765.94127601773914</v>
      </c>
      <c r="H342" s="459">
        <f t="shared" si="158"/>
        <v>779.8018977326509</v>
      </c>
      <c r="I342" s="459">
        <f t="shared" si="158"/>
        <v>794.96932558237859</v>
      </c>
      <c r="J342" s="459">
        <f t="shared" si="158"/>
        <v>807.56620616577675</v>
      </c>
      <c r="K342" s="459">
        <f t="shared" si="158"/>
        <v>816.79139845840564</v>
      </c>
      <c r="L342" s="459">
        <f t="shared" si="158"/>
        <v>825.57936705013412</v>
      </c>
      <c r="M342" s="459">
        <f t="shared" si="158"/>
        <v>832.59465840040593</v>
      </c>
      <c r="N342" s="459">
        <f t="shared" si="158"/>
        <v>835.04828953669687</v>
      </c>
      <c r="O342" s="327"/>
    </row>
    <row r="343" spans="1:15">
      <c r="B343" s="338" t="str">
        <f t="shared" si="155"/>
        <v>35-39</v>
      </c>
      <c r="C343" s="459">
        <f t="shared" ref="C343:N343" si="159">C306+C250</f>
        <v>661.99515994760839</v>
      </c>
      <c r="D343" s="459">
        <f t="shared" si="159"/>
        <v>669.90925056355786</v>
      </c>
      <c r="E343" s="459">
        <f t="shared" si="159"/>
        <v>682.68531922904685</v>
      </c>
      <c r="F343" s="459">
        <f t="shared" si="159"/>
        <v>695.67601358804541</v>
      </c>
      <c r="G343" s="459">
        <f t="shared" si="159"/>
        <v>707.46201610740161</v>
      </c>
      <c r="H343" s="459">
        <f t="shared" si="159"/>
        <v>719.66123926796217</v>
      </c>
      <c r="I343" s="459">
        <f t="shared" si="159"/>
        <v>732.66252738285675</v>
      </c>
      <c r="J343" s="459">
        <f t="shared" si="159"/>
        <v>743.68781185961427</v>
      </c>
      <c r="K343" s="459">
        <f t="shared" si="159"/>
        <v>752.59483808150242</v>
      </c>
      <c r="L343" s="459">
        <f t="shared" si="159"/>
        <v>761.66740901588821</v>
      </c>
      <c r="M343" s="459">
        <f t="shared" si="159"/>
        <v>769.64681175777866</v>
      </c>
      <c r="N343" s="459">
        <f t="shared" si="159"/>
        <v>774.46797470204115</v>
      </c>
      <c r="O343" s="327"/>
    </row>
    <row r="344" spans="1:15">
      <c r="B344" s="338" t="str">
        <f t="shared" si="155"/>
        <v>40-44</v>
      </c>
      <c r="C344" s="459">
        <f t="shared" ref="C344:N344" si="160">C307+C251</f>
        <v>697.77949125512373</v>
      </c>
      <c r="D344" s="459">
        <f t="shared" si="160"/>
        <v>684.57233509000741</v>
      </c>
      <c r="E344" s="459">
        <f t="shared" si="160"/>
        <v>678.58473324574425</v>
      </c>
      <c r="F344" s="459">
        <f t="shared" si="160"/>
        <v>676.54553794845413</v>
      </c>
      <c r="G344" s="459">
        <f t="shared" si="160"/>
        <v>676.77232711329827</v>
      </c>
      <c r="H344" s="459">
        <f t="shared" si="160"/>
        <v>679.98173964183525</v>
      </c>
      <c r="I344" s="459">
        <f t="shared" si="160"/>
        <v>685.83855635758755</v>
      </c>
      <c r="J344" s="459">
        <f t="shared" si="160"/>
        <v>691.36505798766052</v>
      </c>
      <c r="K344" s="459">
        <f t="shared" si="160"/>
        <v>696.12516921236795</v>
      </c>
      <c r="L344" s="459">
        <f t="shared" si="160"/>
        <v>701.97367079856451</v>
      </c>
      <c r="M344" s="459">
        <f t="shared" si="160"/>
        <v>707.67446174658244</v>
      </c>
      <c r="N344" s="459">
        <f t="shared" si="160"/>
        <v>711.30786261525066</v>
      </c>
      <c r="O344" s="327"/>
    </row>
    <row r="345" spans="1:15">
      <c r="B345" s="338" t="str">
        <f t="shared" si="155"/>
        <v>45-49</v>
      </c>
      <c r="C345" s="459">
        <f t="shared" ref="C345:N345" si="161">C308+C252</f>
        <v>596.9188760895704</v>
      </c>
      <c r="D345" s="459">
        <f t="shared" si="161"/>
        <v>598.14838854113805</v>
      </c>
      <c r="E345" s="459">
        <f t="shared" si="161"/>
        <v>598.50064267288144</v>
      </c>
      <c r="F345" s="459">
        <f t="shared" si="161"/>
        <v>597.69175613396385</v>
      </c>
      <c r="G345" s="459">
        <f t="shared" si="161"/>
        <v>596.19605792487209</v>
      </c>
      <c r="H345" s="459">
        <f t="shared" si="161"/>
        <v>595.82587065849771</v>
      </c>
      <c r="I345" s="459">
        <f t="shared" si="161"/>
        <v>597.10630942945295</v>
      </c>
      <c r="J345" s="459">
        <f t="shared" si="161"/>
        <v>598.13054937010429</v>
      </c>
      <c r="K345" s="459">
        <f t="shared" si="161"/>
        <v>598.78432163620823</v>
      </c>
      <c r="L345" s="459">
        <f t="shared" si="161"/>
        <v>600.6590269209438</v>
      </c>
      <c r="M345" s="459">
        <f t="shared" si="161"/>
        <v>602.83906999588953</v>
      </c>
      <c r="N345" s="459">
        <f t="shared" si="161"/>
        <v>603.81850548264879</v>
      </c>
      <c r="O345" s="327"/>
    </row>
    <row r="346" spans="1:15">
      <c r="B346" s="338" t="str">
        <f t="shared" si="155"/>
        <v>50-54</v>
      </c>
      <c r="C346" s="459">
        <f t="shared" ref="C346:N346" si="162">C309+C253</f>
        <v>467.05899316123424</v>
      </c>
      <c r="D346" s="459">
        <f t="shared" si="162"/>
        <v>464.24574019772825</v>
      </c>
      <c r="E346" s="459">
        <f t="shared" si="162"/>
        <v>463.8266602336671</v>
      </c>
      <c r="F346" s="459">
        <f t="shared" si="162"/>
        <v>463.61062095507884</v>
      </c>
      <c r="G346" s="459">
        <f t="shared" si="162"/>
        <v>462.92300648304206</v>
      </c>
      <c r="H346" s="459">
        <f t="shared" si="162"/>
        <v>462.66517519645578</v>
      </c>
      <c r="I346" s="459">
        <f t="shared" si="162"/>
        <v>463.12170911604665</v>
      </c>
      <c r="J346" s="459">
        <f t="shared" si="162"/>
        <v>462.95799813803308</v>
      </c>
      <c r="K346" s="459">
        <f t="shared" si="162"/>
        <v>462.21718628094601</v>
      </c>
      <c r="L346" s="459">
        <f t="shared" si="162"/>
        <v>462.19305032559879</v>
      </c>
      <c r="M346" s="459">
        <f t="shared" si="162"/>
        <v>462.32224868090987</v>
      </c>
      <c r="N346" s="459">
        <f t="shared" si="162"/>
        <v>461.59327936576392</v>
      </c>
      <c r="O346" s="327"/>
    </row>
    <row r="347" spans="1:15">
      <c r="B347" s="338" t="str">
        <f t="shared" si="155"/>
        <v>55-59</v>
      </c>
      <c r="C347" s="459">
        <f t="shared" ref="C347:N347" si="163">C310+C254</f>
        <v>311.37412157163925</v>
      </c>
      <c r="D347" s="459">
        <f t="shared" si="163"/>
        <v>272.01005246215726</v>
      </c>
      <c r="E347" s="459">
        <f t="shared" si="163"/>
        <v>249.11635581496301</v>
      </c>
      <c r="F347" s="459">
        <f t="shared" si="163"/>
        <v>235.45563398179124</v>
      </c>
      <c r="G347" s="459">
        <f t="shared" si="163"/>
        <v>227.03588735685793</v>
      </c>
      <c r="H347" s="459">
        <f t="shared" si="163"/>
        <v>222.26643074775674</v>
      </c>
      <c r="I347" s="459">
        <f t="shared" si="163"/>
        <v>219.87295577337693</v>
      </c>
      <c r="J347" s="459">
        <f t="shared" si="163"/>
        <v>218.02997453700596</v>
      </c>
      <c r="K347" s="459">
        <f t="shared" si="163"/>
        <v>216.36076494757259</v>
      </c>
      <c r="L347" s="459">
        <f t="shared" si="163"/>
        <v>215.52152453419981</v>
      </c>
      <c r="M347" s="459">
        <f t="shared" si="163"/>
        <v>214.89152124099937</v>
      </c>
      <c r="N347" s="459">
        <f t="shared" si="163"/>
        <v>213.71317145528113</v>
      </c>
      <c r="O347" s="327"/>
    </row>
    <row r="348" spans="1:15">
      <c r="B348" s="338" t="str">
        <f t="shared" si="155"/>
        <v>60-64</v>
      </c>
      <c r="C348" s="459">
        <f t="shared" ref="C348:N348" si="164">C311+C255</f>
        <v>99.783456297197148</v>
      </c>
      <c r="D348" s="459">
        <f t="shared" si="164"/>
        <v>94.433637912293463</v>
      </c>
      <c r="E348" s="459">
        <f t="shared" si="164"/>
        <v>87.543047703910617</v>
      </c>
      <c r="F348" s="459">
        <f t="shared" si="164"/>
        <v>81.450239899072642</v>
      </c>
      <c r="G348" s="459">
        <f t="shared" si="164"/>
        <v>76.722829445549394</v>
      </c>
      <c r="H348" s="459">
        <f t="shared" si="164"/>
        <v>73.585011715263363</v>
      </c>
      <c r="I348" s="459">
        <f t="shared" si="164"/>
        <v>71.72648207563509</v>
      </c>
      <c r="J348" s="459">
        <f t="shared" si="164"/>
        <v>70.299703686695025</v>
      </c>
      <c r="K348" s="459">
        <f t="shared" si="164"/>
        <v>69.118210999418309</v>
      </c>
      <c r="L348" s="459">
        <f t="shared" si="164"/>
        <v>68.474043791507555</v>
      </c>
      <c r="M348" s="459">
        <f t="shared" si="164"/>
        <v>67.998731636129875</v>
      </c>
      <c r="N348" s="459">
        <f t="shared" si="164"/>
        <v>67.289866646901686</v>
      </c>
      <c r="O348" s="327"/>
    </row>
    <row r="349" spans="1:15">
      <c r="B349" s="338" t="str">
        <f t="shared" si="155"/>
        <v>65 plus</v>
      </c>
      <c r="C349" s="459">
        <f t="shared" ref="C349:N349" si="165">C312+C256</f>
        <v>25.206288848008029</v>
      </c>
      <c r="D349" s="459">
        <f t="shared" si="165"/>
        <v>26.611561140605424</v>
      </c>
      <c r="E349" s="459">
        <f t="shared" si="165"/>
        <v>26.907271010477839</v>
      </c>
      <c r="F349" s="459">
        <f t="shared" si="165"/>
        <v>26.322475457654434</v>
      </c>
      <c r="G349" s="459">
        <f t="shared" si="165"/>
        <v>25.312853707138594</v>
      </c>
      <c r="H349" s="459">
        <f t="shared" si="165"/>
        <v>24.295213538466342</v>
      </c>
      <c r="I349" s="459">
        <f t="shared" si="165"/>
        <v>23.462878383411649</v>
      </c>
      <c r="J349" s="459">
        <f t="shared" si="165"/>
        <v>22.750662689139901</v>
      </c>
      <c r="K349" s="459">
        <f t="shared" si="165"/>
        <v>22.14277754582703</v>
      </c>
      <c r="L349" s="459">
        <f t="shared" si="165"/>
        <v>21.717744821133685</v>
      </c>
      <c r="M349" s="459">
        <f t="shared" si="165"/>
        <v>21.402023819375071</v>
      </c>
      <c r="N349" s="459">
        <f t="shared" si="165"/>
        <v>21.078424240304336</v>
      </c>
      <c r="O349" s="327"/>
    </row>
    <row r="350" spans="1:15">
      <c r="B350" s="338" t="str">
        <f t="shared" si="155"/>
        <v>Total</v>
      </c>
      <c r="C350" s="459">
        <f t="shared" ref="C350:N350" si="166">SUM(C340:C349)</f>
        <v>4541.32712223406</v>
      </c>
      <c r="D350" s="459">
        <f t="shared" si="166"/>
        <v>4555.9130377968359</v>
      </c>
      <c r="E350" s="459">
        <f t="shared" si="166"/>
        <v>4604.7576643147786</v>
      </c>
      <c r="F350" s="459">
        <f t="shared" si="166"/>
        <v>4654.5992914568424</v>
      </c>
      <c r="G350" s="459">
        <f t="shared" si="166"/>
        <v>4695.6224616055806</v>
      </c>
      <c r="H350" s="459">
        <f t="shared" si="166"/>
        <v>4746.3828350094172</v>
      </c>
      <c r="I350" s="459">
        <f t="shared" si="166"/>
        <v>4809.2913914622168</v>
      </c>
      <c r="J350" s="459">
        <f t="shared" si="166"/>
        <v>4852.6590386205598</v>
      </c>
      <c r="K350" s="459">
        <f t="shared" si="166"/>
        <v>4876.4558374823691</v>
      </c>
      <c r="L350" s="459">
        <f t="shared" si="166"/>
        <v>4907.488633923128</v>
      </c>
      <c r="M350" s="459">
        <f t="shared" si="166"/>
        <v>4932.5845368733617</v>
      </c>
      <c r="N350" s="459">
        <f t="shared" si="166"/>
        <v>4930.833575246259</v>
      </c>
      <c r="O350" s="327"/>
    </row>
    <row r="351" spans="1:15">
      <c r="A351" s="309">
        <f>SUM(C351:N351)</f>
        <v>0</v>
      </c>
      <c r="C351" s="309">
        <f t="shared" ref="C351:N351" si="167">SUM(C340:C349)-C350</f>
        <v>0</v>
      </c>
      <c r="D351" s="309">
        <f t="shared" si="167"/>
        <v>0</v>
      </c>
      <c r="E351" s="309">
        <f t="shared" si="167"/>
        <v>0</v>
      </c>
      <c r="F351" s="309">
        <f t="shared" si="167"/>
        <v>0</v>
      </c>
      <c r="G351" s="309">
        <f t="shared" si="167"/>
        <v>0</v>
      </c>
      <c r="H351" s="309">
        <f t="shared" si="167"/>
        <v>0</v>
      </c>
      <c r="I351" s="309">
        <f t="shared" si="167"/>
        <v>0</v>
      </c>
      <c r="J351" s="309">
        <f t="shared" si="167"/>
        <v>0</v>
      </c>
      <c r="K351" s="309">
        <f t="shared" si="167"/>
        <v>0</v>
      </c>
      <c r="L351" s="309">
        <f t="shared" si="167"/>
        <v>0</v>
      </c>
      <c r="M351" s="309">
        <f t="shared" si="167"/>
        <v>0</v>
      </c>
      <c r="N351" s="309">
        <f t="shared" si="167"/>
        <v>0</v>
      </c>
    </row>
    <row r="353" spans="1:16">
      <c r="B353" s="341" t="s">
        <v>50</v>
      </c>
      <c r="C353" s="329"/>
      <c r="D353" s="329"/>
      <c r="E353" s="329"/>
      <c r="F353" s="329"/>
      <c r="G353" s="329"/>
      <c r="H353" s="339"/>
      <c r="I353" s="329"/>
      <c r="J353" s="329"/>
      <c r="K353" s="329"/>
      <c r="L353" s="329"/>
    </row>
    <row r="354" spans="1:16">
      <c r="C354" s="329"/>
      <c r="D354" s="329"/>
      <c r="E354" s="329"/>
      <c r="F354" s="329"/>
      <c r="G354" s="329"/>
      <c r="H354" s="339"/>
      <c r="I354" s="329"/>
      <c r="J354" s="329"/>
      <c r="K354" s="329"/>
      <c r="L354" s="329"/>
    </row>
    <row r="355" spans="1:16">
      <c r="B355" s="338" t="str">
        <f t="shared" ref="B355:B366" si="168">B339</f>
        <v>Age group</v>
      </c>
      <c r="C355" s="338" t="str">
        <f t="shared" ref="C355:N355" si="169">C339</f>
        <v>2016/17</v>
      </c>
      <c r="D355" s="338" t="str">
        <f t="shared" si="169"/>
        <v>2017/18</v>
      </c>
      <c r="E355" s="338" t="str">
        <f t="shared" si="169"/>
        <v>2018/19</v>
      </c>
      <c r="F355" s="338" t="str">
        <f t="shared" si="169"/>
        <v>2019/20</v>
      </c>
      <c r="G355" s="338" t="str">
        <f t="shared" si="169"/>
        <v>2020/21</v>
      </c>
      <c r="H355" s="338" t="str">
        <f t="shared" si="169"/>
        <v>2021/22</v>
      </c>
      <c r="I355" s="338" t="str">
        <f t="shared" si="169"/>
        <v>2022/23</v>
      </c>
      <c r="J355" s="338" t="str">
        <f t="shared" si="169"/>
        <v>2023/24</v>
      </c>
      <c r="K355" s="338" t="str">
        <f t="shared" si="169"/>
        <v>2024/25</v>
      </c>
      <c r="L355" s="338" t="str">
        <f t="shared" si="169"/>
        <v>2025/26</v>
      </c>
      <c r="M355" s="338" t="str">
        <f t="shared" si="169"/>
        <v>2026/27</v>
      </c>
      <c r="N355" s="338" t="str">
        <f t="shared" si="169"/>
        <v>2027/28</v>
      </c>
    </row>
    <row r="356" spans="1:16">
      <c r="B356" s="338" t="str">
        <f t="shared" si="168"/>
        <v>20-24</v>
      </c>
      <c r="C356" s="459">
        <f t="shared" ref="C356:N356" si="170">C319+C263</f>
        <v>524.2095880150107</v>
      </c>
      <c r="D356" s="459">
        <f t="shared" si="170"/>
        <v>564.7259819614394</v>
      </c>
      <c r="E356" s="459">
        <f t="shared" si="170"/>
        <v>603.62437447071738</v>
      </c>
      <c r="F356" s="459">
        <f t="shared" si="170"/>
        <v>631.04036146268504</v>
      </c>
      <c r="G356" s="459">
        <f t="shared" si="170"/>
        <v>647.25680685193049</v>
      </c>
      <c r="H356" s="459">
        <f t="shared" si="170"/>
        <v>662.45315422662441</v>
      </c>
      <c r="I356" s="459">
        <f t="shared" si="170"/>
        <v>678.53687442190414</v>
      </c>
      <c r="J356" s="459">
        <f t="shared" si="170"/>
        <v>684.29757755282071</v>
      </c>
      <c r="K356" s="459">
        <f t="shared" si="170"/>
        <v>682.12914336968072</v>
      </c>
      <c r="L356" s="459">
        <f t="shared" si="170"/>
        <v>683.58544517584733</v>
      </c>
      <c r="M356" s="459">
        <f t="shared" si="170"/>
        <v>683.16588258863203</v>
      </c>
      <c r="N356" s="459">
        <f t="shared" si="170"/>
        <v>673.56997755407781</v>
      </c>
      <c r="O356" s="327"/>
      <c r="P356" s="327"/>
    </row>
    <row r="357" spans="1:16">
      <c r="B357" s="338" t="str">
        <f t="shared" si="168"/>
        <v>25-29</v>
      </c>
      <c r="C357" s="459">
        <f t="shared" ref="C357:N357" si="171">C320+C264</f>
        <v>1184.5472576269544</v>
      </c>
      <c r="D357" s="459">
        <f t="shared" si="171"/>
        <v>1146.7763232863015</v>
      </c>
      <c r="E357" s="459">
        <f t="shared" si="171"/>
        <v>1137.8229400039047</v>
      </c>
      <c r="F357" s="459">
        <f t="shared" si="171"/>
        <v>1138.5311021427481</v>
      </c>
      <c r="G357" s="459">
        <f t="shared" si="171"/>
        <v>1140.8477278047594</v>
      </c>
      <c r="H357" s="459">
        <f t="shared" si="171"/>
        <v>1149.3727867609903</v>
      </c>
      <c r="I357" s="459">
        <f t="shared" si="171"/>
        <v>1163.8210455934602</v>
      </c>
      <c r="J357" s="459">
        <f t="shared" si="171"/>
        <v>1171.3560733227778</v>
      </c>
      <c r="K357" s="459">
        <f t="shared" si="171"/>
        <v>1171.3706608215498</v>
      </c>
      <c r="L357" s="459">
        <f t="shared" si="171"/>
        <v>1174.0700085086739</v>
      </c>
      <c r="M357" s="459">
        <f t="shared" si="171"/>
        <v>1174.7760376964566</v>
      </c>
      <c r="N357" s="459">
        <f t="shared" si="171"/>
        <v>1165.5889524587114</v>
      </c>
      <c r="O357" s="327"/>
      <c r="P357" s="327"/>
    </row>
    <row r="358" spans="1:16">
      <c r="B358" s="338" t="str">
        <f t="shared" si="168"/>
        <v>30-34</v>
      </c>
      <c r="C358" s="459">
        <f t="shared" ref="C358:N358" si="172">C321+C265</f>
        <v>1127.7451423883515</v>
      </c>
      <c r="D358" s="459">
        <f t="shared" si="172"/>
        <v>1134.0951446656575</v>
      </c>
      <c r="E358" s="459">
        <f t="shared" si="172"/>
        <v>1137.2405649031364</v>
      </c>
      <c r="F358" s="459">
        <f t="shared" si="172"/>
        <v>1137.9757125382123</v>
      </c>
      <c r="G358" s="459">
        <f t="shared" si="172"/>
        <v>1137.0972090133041</v>
      </c>
      <c r="H358" s="459">
        <f t="shared" si="172"/>
        <v>1138.8456999254481</v>
      </c>
      <c r="I358" s="459">
        <f t="shared" si="172"/>
        <v>1144.4480472083544</v>
      </c>
      <c r="J358" s="459">
        <f t="shared" si="172"/>
        <v>1148.3020786813527</v>
      </c>
      <c r="K358" s="459">
        <f t="shared" si="172"/>
        <v>1149.2784455638052</v>
      </c>
      <c r="L358" s="459">
        <f t="shared" si="172"/>
        <v>1151.516970363102</v>
      </c>
      <c r="M358" s="459">
        <f t="shared" si="172"/>
        <v>1152.890912219098</v>
      </c>
      <c r="N358" s="459">
        <f t="shared" si="172"/>
        <v>1149.241094968804</v>
      </c>
      <c r="O358" s="327"/>
      <c r="P358" s="327"/>
    </row>
    <row r="359" spans="1:16">
      <c r="B359" s="338" t="str">
        <f t="shared" si="168"/>
        <v>35-39</v>
      </c>
      <c r="C359" s="459">
        <f t="shared" ref="C359:N359" si="173">C322+C266</f>
        <v>979.02040293869891</v>
      </c>
      <c r="D359" s="459">
        <f t="shared" si="173"/>
        <v>1001.7795699229522</v>
      </c>
      <c r="E359" s="459">
        <f t="shared" si="173"/>
        <v>1023.575473895819</v>
      </c>
      <c r="F359" s="459">
        <f t="shared" si="173"/>
        <v>1040.2755071202362</v>
      </c>
      <c r="G359" s="459">
        <f t="shared" si="173"/>
        <v>1051.619672588582</v>
      </c>
      <c r="H359" s="459">
        <f t="shared" si="173"/>
        <v>1061.2238494306046</v>
      </c>
      <c r="I359" s="459">
        <f t="shared" si="173"/>
        <v>1070.6172969445647</v>
      </c>
      <c r="J359" s="459">
        <f t="shared" si="173"/>
        <v>1076.5513419330696</v>
      </c>
      <c r="K359" s="459">
        <f t="shared" si="173"/>
        <v>1079.3591088541805</v>
      </c>
      <c r="L359" s="459">
        <f t="shared" si="173"/>
        <v>1082.7001451504505</v>
      </c>
      <c r="M359" s="459">
        <f t="shared" si="173"/>
        <v>1085.0469733486507</v>
      </c>
      <c r="N359" s="459">
        <f t="shared" si="173"/>
        <v>1083.6183821686616</v>
      </c>
      <c r="O359" s="327"/>
      <c r="P359" s="327"/>
    </row>
    <row r="360" spans="1:16">
      <c r="B360" s="338" t="str">
        <f t="shared" si="168"/>
        <v>40-44</v>
      </c>
      <c r="C360" s="459">
        <f t="shared" ref="C360:N360" si="174">C323+C267</f>
        <v>950.32201067490234</v>
      </c>
      <c r="D360" s="459">
        <f t="shared" si="174"/>
        <v>944.16719143833075</v>
      </c>
      <c r="E360" s="459">
        <f t="shared" si="174"/>
        <v>947.16969579617717</v>
      </c>
      <c r="F360" s="459">
        <f t="shared" si="174"/>
        <v>953.4501048369583</v>
      </c>
      <c r="G360" s="459">
        <f t="shared" si="174"/>
        <v>960.20422164826766</v>
      </c>
      <c r="H360" s="459">
        <f t="shared" si="174"/>
        <v>968.49671285458658</v>
      </c>
      <c r="I360" s="459">
        <f t="shared" si="174"/>
        <v>978.11349449404247</v>
      </c>
      <c r="J360" s="459">
        <f t="shared" si="174"/>
        <v>985.18034613512395</v>
      </c>
      <c r="K360" s="459">
        <f t="shared" si="174"/>
        <v>989.5080745279696</v>
      </c>
      <c r="L360" s="459">
        <f t="shared" si="174"/>
        <v>994.16556595158852</v>
      </c>
      <c r="M360" s="459">
        <f t="shared" si="174"/>
        <v>997.75718662017414</v>
      </c>
      <c r="N360" s="459">
        <f t="shared" si="174"/>
        <v>997.87441002200148</v>
      </c>
      <c r="O360" s="327"/>
      <c r="P360" s="327"/>
    </row>
    <row r="361" spans="1:16">
      <c r="B361" s="338" t="str">
        <f t="shared" si="168"/>
        <v>45-49</v>
      </c>
      <c r="C361" s="459">
        <f t="shared" ref="C361:N361" si="175">C324+C268</f>
        <v>744.39686994472322</v>
      </c>
      <c r="D361" s="459">
        <f t="shared" si="175"/>
        <v>767.53428473499093</v>
      </c>
      <c r="E361" s="459">
        <f t="shared" si="175"/>
        <v>785.9781093867731</v>
      </c>
      <c r="F361" s="459">
        <f t="shared" si="175"/>
        <v>800.04120665954019</v>
      </c>
      <c r="G361" s="459">
        <f t="shared" si="175"/>
        <v>810.70318014928523</v>
      </c>
      <c r="H361" s="459">
        <f t="shared" si="175"/>
        <v>820.69846526931371</v>
      </c>
      <c r="I361" s="459">
        <f t="shared" si="175"/>
        <v>830.89394782697832</v>
      </c>
      <c r="J361" s="459">
        <f t="shared" si="175"/>
        <v>838.70231628756176</v>
      </c>
      <c r="K361" s="459">
        <f t="shared" si="175"/>
        <v>844.12488539258948</v>
      </c>
      <c r="L361" s="459">
        <f t="shared" si="175"/>
        <v>849.63226352947891</v>
      </c>
      <c r="M361" s="459">
        <f t="shared" si="175"/>
        <v>854.14194016558019</v>
      </c>
      <c r="N361" s="459">
        <f t="shared" si="175"/>
        <v>855.73450289656512</v>
      </c>
      <c r="O361" s="327"/>
      <c r="P361" s="327"/>
    </row>
    <row r="362" spans="1:16">
      <c r="B362" s="338" t="str">
        <f t="shared" si="168"/>
        <v>50-54</v>
      </c>
      <c r="C362" s="459">
        <f t="shared" ref="C362:N362" si="176">C325+C269</f>
        <v>601.01974142707627</v>
      </c>
      <c r="D362" s="459">
        <f t="shared" si="176"/>
        <v>600.47384417723595</v>
      </c>
      <c r="E362" s="459">
        <f t="shared" si="176"/>
        <v>606.17401504869656</v>
      </c>
      <c r="F362" s="459">
        <f t="shared" si="176"/>
        <v>613.58863070076268</v>
      </c>
      <c r="G362" s="459">
        <f t="shared" si="176"/>
        <v>620.86238488783306</v>
      </c>
      <c r="H362" s="459">
        <f t="shared" si="176"/>
        <v>628.6930469738063</v>
      </c>
      <c r="I362" s="459">
        <f t="shared" si="176"/>
        <v>637.10050232078027</v>
      </c>
      <c r="J362" s="459">
        <f t="shared" si="176"/>
        <v>643.92679392787636</v>
      </c>
      <c r="K362" s="459">
        <f t="shared" si="176"/>
        <v>649.06424557731759</v>
      </c>
      <c r="L362" s="459">
        <f t="shared" si="176"/>
        <v>654.2678646642604</v>
      </c>
      <c r="M362" s="459">
        <f t="shared" si="176"/>
        <v>658.71482532323262</v>
      </c>
      <c r="N362" s="459">
        <f t="shared" si="176"/>
        <v>660.98279756765658</v>
      </c>
      <c r="O362" s="327"/>
      <c r="P362" s="327"/>
    </row>
    <row r="363" spans="1:16">
      <c r="B363" s="338" t="str">
        <f t="shared" si="168"/>
        <v>55-59</v>
      </c>
      <c r="C363" s="459">
        <f t="shared" ref="C363:N363" si="177">C326+C270</f>
        <v>317.84058217503843</v>
      </c>
      <c r="D363" s="459">
        <f t="shared" si="177"/>
        <v>308.54247845406127</v>
      </c>
      <c r="E363" s="459">
        <f t="shared" si="177"/>
        <v>304.15174256343329</v>
      </c>
      <c r="F363" s="459">
        <f t="shared" si="177"/>
        <v>302.37376471459561</v>
      </c>
      <c r="G363" s="459">
        <f t="shared" si="177"/>
        <v>302.04067493150421</v>
      </c>
      <c r="H363" s="459">
        <f t="shared" si="177"/>
        <v>303.42429772114292</v>
      </c>
      <c r="I363" s="459">
        <f t="shared" si="177"/>
        <v>306.13483335099062</v>
      </c>
      <c r="J363" s="459">
        <f t="shared" si="177"/>
        <v>308.3545210146608</v>
      </c>
      <c r="K363" s="459">
        <f t="shared" si="177"/>
        <v>309.94972791863313</v>
      </c>
      <c r="L363" s="459">
        <f t="shared" si="177"/>
        <v>312.07037790883794</v>
      </c>
      <c r="M363" s="459">
        <f t="shared" si="177"/>
        <v>313.96166382908393</v>
      </c>
      <c r="N363" s="459">
        <f t="shared" si="177"/>
        <v>314.60654815619392</v>
      </c>
      <c r="O363" s="327"/>
      <c r="P363" s="327"/>
    </row>
    <row r="364" spans="1:16">
      <c r="B364" s="338" t="str">
        <f t="shared" si="168"/>
        <v>60-64</v>
      </c>
      <c r="C364" s="459">
        <f t="shared" ref="C364:N364" si="178">C327+C271</f>
        <v>80.726055780416942</v>
      </c>
      <c r="D364" s="459">
        <f t="shared" si="178"/>
        <v>86.041817265665784</v>
      </c>
      <c r="E364" s="459">
        <f t="shared" si="178"/>
        <v>88.069818375901662</v>
      </c>
      <c r="F364" s="459">
        <f t="shared" si="178"/>
        <v>88.507987943047468</v>
      </c>
      <c r="G364" s="459">
        <f t="shared" si="178"/>
        <v>88.319565582874091</v>
      </c>
      <c r="H364" s="459">
        <f t="shared" si="178"/>
        <v>88.431065992870955</v>
      </c>
      <c r="I364" s="459">
        <f t="shared" si="178"/>
        <v>88.977743714350026</v>
      </c>
      <c r="J364" s="459">
        <f t="shared" si="178"/>
        <v>89.20131375691075</v>
      </c>
      <c r="K364" s="459">
        <f t="shared" si="178"/>
        <v>89.176502515796344</v>
      </c>
      <c r="L364" s="459">
        <f t="shared" si="178"/>
        <v>89.532910050367136</v>
      </c>
      <c r="M364" s="459">
        <f t="shared" si="178"/>
        <v>89.852569407760981</v>
      </c>
      <c r="N364" s="459">
        <f t="shared" si="178"/>
        <v>89.642838617829184</v>
      </c>
      <c r="O364" s="327"/>
      <c r="P364" s="327"/>
    </row>
    <row r="365" spans="1:16">
      <c r="B365" s="338" t="str">
        <f t="shared" si="168"/>
        <v>65 plus</v>
      </c>
      <c r="C365" s="459">
        <f t="shared" ref="C365:N365" si="179">C328+C272</f>
        <v>17.354207856368681</v>
      </c>
      <c r="D365" s="459">
        <f t="shared" si="179"/>
        <v>19.802912403039588</v>
      </c>
      <c r="E365" s="459">
        <f t="shared" si="179"/>
        <v>21.721020754537221</v>
      </c>
      <c r="F365" s="459">
        <f t="shared" si="179"/>
        <v>22.884805010136056</v>
      </c>
      <c r="G365" s="459">
        <f t="shared" si="179"/>
        <v>23.463771340944035</v>
      </c>
      <c r="H365" s="459">
        <f t="shared" si="179"/>
        <v>23.793697422668863</v>
      </c>
      <c r="I365" s="459">
        <f t="shared" si="179"/>
        <v>24.053974461868087</v>
      </c>
      <c r="J365" s="459">
        <f t="shared" si="179"/>
        <v>24.153233552601929</v>
      </c>
      <c r="K365" s="459">
        <f t="shared" si="179"/>
        <v>24.128962283529862</v>
      </c>
      <c r="L365" s="459">
        <f t="shared" si="179"/>
        <v>24.160498931296946</v>
      </c>
      <c r="M365" s="459">
        <f t="shared" si="179"/>
        <v>24.18955687236555</v>
      </c>
      <c r="N365" s="459">
        <f t="shared" si="179"/>
        <v>24.091806230484686</v>
      </c>
      <c r="O365" s="327"/>
      <c r="P365" s="327"/>
    </row>
    <row r="366" spans="1:16">
      <c r="B366" s="338" t="str">
        <f t="shared" si="168"/>
        <v>Total</v>
      </c>
      <c r="C366" s="459">
        <f t="shared" ref="C366:K366" si="180">SUM(C356:C365)</f>
        <v>6527.181858827541</v>
      </c>
      <c r="D366" s="459">
        <f t="shared" si="180"/>
        <v>6573.939548309675</v>
      </c>
      <c r="E366" s="459">
        <f t="shared" si="180"/>
        <v>6655.5277551990966</v>
      </c>
      <c r="F366" s="459">
        <f t="shared" si="180"/>
        <v>6728.6691831289227</v>
      </c>
      <c r="G366" s="459">
        <f t="shared" si="180"/>
        <v>6782.4152147992836</v>
      </c>
      <c r="H366" s="459">
        <f t="shared" si="180"/>
        <v>6845.4327765780563</v>
      </c>
      <c r="I366" s="459">
        <f t="shared" si="180"/>
        <v>6922.6977603372934</v>
      </c>
      <c r="J366" s="459">
        <f t="shared" si="180"/>
        <v>6970.0255961647563</v>
      </c>
      <c r="K366" s="459">
        <f t="shared" si="180"/>
        <v>6988.0897568250521</v>
      </c>
      <c r="L366" s="459">
        <f>L329+L273</f>
        <v>7015.7020502339028</v>
      </c>
      <c r="M366" s="459">
        <f>M329+M273</f>
        <v>7034.4975480710345</v>
      </c>
      <c r="N366" s="459">
        <f>N329+N273</f>
        <v>7014.951310640985</v>
      </c>
      <c r="O366" s="327"/>
      <c r="P366" s="327"/>
    </row>
    <row r="367" spans="1:16">
      <c r="A367" s="309">
        <f>SUM(C367:N367)</f>
        <v>0</v>
      </c>
      <c r="C367" s="309">
        <f t="shared" ref="C367:N367" si="181">SUM(C356:C365)-C366</f>
        <v>0</v>
      </c>
      <c r="D367" s="309">
        <f t="shared" si="181"/>
        <v>0</v>
      </c>
      <c r="E367" s="309">
        <f t="shared" si="181"/>
        <v>0</v>
      </c>
      <c r="F367" s="309">
        <f t="shared" si="181"/>
        <v>0</v>
      </c>
      <c r="G367" s="309">
        <f t="shared" si="181"/>
        <v>0</v>
      </c>
      <c r="H367" s="309">
        <f t="shared" si="181"/>
        <v>0</v>
      </c>
      <c r="I367" s="309">
        <f t="shared" si="181"/>
        <v>0</v>
      </c>
      <c r="J367" s="309">
        <f t="shared" si="181"/>
        <v>0</v>
      </c>
      <c r="K367" s="309">
        <f t="shared" si="181"/>
        <v>0</v>
      </c>
      <c r="L367" s="309">
        <f t="shared" si="181"/>
        <v>0</v>
      </c>
      <c r="M367" s="309">
        <f t="shared" si="181"/>
        <v>0</v>
      </c>
      <c r="N367" s="309">
        <f t="shared" si="181"/>
        <v>0</v>
      </c>
    </row>
    <row r="368" spans="1:16">
      <c r="C368" s="329">
        <f>C350+C366</f>
        <v>11068.508981061601</v>
      </c>
      <c r="D368" s="329">
        <f t="shared" ref="D368:N368" si="182">D350+D366</f>
        <v>11129.85258610651</v>
      </c>
      <c r="E368" s="329">
        <f t="shared" si="182"/>
        <v>11260.285419513875</v>
      </c>
      <c r="F368" s="329">
        <f t="shared" si="182"/>
        <v>11383.268474585766</v>
      </c>
      <c r="G368" s="329">
        <f t="shared" si="182"/>
        <v>11478.037676404863</v>
      </c>
      <c r="H368" s="329">
        <f t="shared" si="182"/>
        <v>11591.815611587474</v>
      </c>
      <c r="I368" s="329">
        <f t="shared" si="182"/>
        <v>11731.989151799509</v>
      </c>
      <c r="J368" s="329">
        <f t="shared" si="182"/>
        <v>11822.684634785317</v>
      </c>
      <c r="K368" s="329">
        <f t="shared" si="182"/>
        <v>11864.545594307421</v>
      </c>
      <c r="L368" s="329">
        <f t="shared" si="182"/>
        <v>11923.190684157031</v>
      </c>
      <c r="M368" s="329">
        <f t="shared" si="182"/>
        <v>11967.082084944395</v>
      </c>
      <c r="N368" s="329">
        <f t="shared" si="182"/>
        <v>11945.784885887244</v>
      </c>
    </row>
    <row r="369" spans="1:14">
      <c r="C369" s="329">
        <f>C36</f>
        <v>11068.508981061603</v>
      </c>
      <c r="D369" s="329">
        <f t="shared" ref="D369:N369" si="183">D36</f>
        <v>11129.85258610651</v>
      </c>
      <c r="E369" s="329">
        <f t="shared" si="183"/>
        <v>11260.285419513875</v>
      </c>
      <c r="F369" s="329">
        <f t="shared" si="183"/>
        <v>11383.268474585764</v>
      </c>
      <c r="G369" s="329">
        <f t="shared" si="183"/>
        <v>11478.037676404865</v>
      </c>
      <c r="H369" s="329">
        <f t="shared" si="183"/>
        <v>11591.815611587474</v>
      </c>
      <c r="I369" s="329">
        <f t="shared" si="183"/>
        <v>11731.989151799509</v>
      </c>
      <c r="J369" s="329">
        <f t="shared" si="183"/>
        <v>11822.684634785315</v>
      </c>
      <c r="K369" s="329">
        <f t="shared" si="183"/>
        <v>11864.545594307421</v>
      </c>
      <c r="L369" s="329">
        <f t="shared" si="183"/>
        <v>11923.190684157031</v>
      </c>
      <c r="M369" s="329">
        <f t="shared" si="183"/>
        <v>11967.082084944395</v>
      </c>
      <c r="N369" s="329">
        <f t="shared" si="183"/>
        <v>11945.784885887244</v>
      </c>
    </row>
    <row r="370" spans="1:14">
      <c r="A370" s="309">
        <f>SUM(C370:L370)</f>
        <v>0</v>
      </c>
      <c r="C370" s="329">
        <f>C368-C369</f>
        <v>0</v>
      </c>
      <c r="D370" s="329">
        <f t="shared" ref="D370:N370" si="184">D368-D369</f>
        <v>0</v>
      </c>
      <c r="E370" s="329">
        <f t="shared" si="184"/>
        <v>0</v>
      </c>
      <c r="F370" s="329">
        <f t="shared" si="184"/>
        <v>0</v>
      </c>
      <c r="G370" s="329">
        <f t="shared" si="184"/>
        <v>0</v>
      </c>
      <c r="H370" s="329">
        <f t="shared" si="184"/>
        <v>0</v>
      </c>
      <c r="I370" s="329">
        <f t="shared" si="184"/>
        <v>0</v>
      </c>
      <c r="J370" s="329">
        <f t="shared" si="184"/>
        <v>0</v>
      </c>
      <c r="K370" s="329">
        <f t="shared" si="184"/>
        <v>0</v>
      </c>
      <c r="L370" s="329">
        <f t="shared" si="184"/>
        <v>0</v>
      </c>
      <c r="M370" s="329">
        <f t="shared" si="184"/>
        <v>0</v>
      </c>
      <c r="N370" s="329">
        <f t="shared" si="184"/>
        <v>0</v>
      </c>
    </row>
    <row r="371" spans="1:14">
      <c r="A371" s="309">
        <f>SUM(C371:L371)</f>
        <v>0</v>
      </c>
      <c r="C371" s="329">
        <f>IF(C294&gt;0,0,C294)</f>
        <v>0</v>
      </c>
      <c r="D371" s="329">
        <f t="shared" ref="D371:N371" si="185">IF(D294&gt;0,0,D294)</f>
        <v>0</v>
      </c>
      <c r="E371" s="329">
        <f t="shared" si="185"/>
        <v>0</v>
      </c>
      <c r="F371" s="329">
        <f t="shared" si="185"/>
        <v>0</v>
      </c>
      <c r="G371" s="329">
        <f t="shared" si="185"/>
        <v>0</v>
      </c>
      <c r="H371" s="329">
        <f t="shared" si="185"/>
        <v>0</v>
      </c>
      <c r="I371" s="329">
        <f t="shared" si="185"/>
        <v>0</v>
      </c>
      <c r="J371" s="329">
        <f t="shared" si="185"/>
        <v>0</v>
      </c>
      <c r="K371" s="329">
        <f t="shared" si="185"/>
        <v>0</v>
      </c>
      <c r="L371" s="329">
        <f t="shared" si="185"/>
        <v>0</v>
      </c>
      <c r="M371" s="329">
        <f t="shared" si="185"/>
        <v>0</v>
      </c>
      <c r="N371" s="329">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0000"/>
  </sheetPr>
  <dimension ref="A1:Q371"/>
  <sheetViews>
    <sheetView showGridLines="0" workbookViewId="0"/>
  </sheetViews>
  <sheetFormatPr defaultColWidth="9.140625" defaultRowHeight="12.75"/>
  <cols>
    <col min="1" max="1" width="9.140625" style="309"/>
    <col min="2" max="2" width="28.7109375" style="309" customWidth="1"/>
    <col min="3" max="15" width="10.7109375" style="309" customWidth="1"/>
    <col min="16"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1691</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Forecast_stock_figures!B20</f>
        <v>Classics</v>
      </c>
      <c r="C15" s="307">
        <f>Forecast_stock_figures!C44</f>
        <v>323.69501650688886</v>
      </c>
      <c r="D15" s="307">
        <f>Forecast_stock_figures!D44</f>
        <v>318.24964480117319</v>
      </c>
      <c r="E15" s="307">
        <f>Forecast_stock_figures!E44</f>
        <v>316.66378192264295</v>
      </c>
      <c r="F15" s="307">
        <f>Forecast_stock_figures!F44</f>
        <v>316.17539575582185</v>
      </c>
      <c r="G15" s="307">
        <f>Forecast_stock_figures!G44</f>
        <v>316.8320077141023</v>
      </c>
      <c r="H15" s="307">
        <f>Forecast_stock_figures!H44</f>
        <v>318.22126343422786</v>
      </c>
      <c r="I15" s="307">
        <f>Forecast_stock_figures!I44</f>
        <v>320.55922029487579</v>
      </c>
      <c r="J15" s="307">
        <f>Forecast_stock_figures!J44</f>
        <v>323.9615218164621</v>
      </c>
      <c r="K15" s="307">
        <f>Forecast_stock_figures!K44</f>
        <v>327.23843536550851</v>
      </c>
      <c r="L15" s="307">
        <f>Forecast_stock_figures!L44</f>
        <v>329.9037008362418</v>
      </c>
      <c r="M15" s="307">
        <f>Forecast_stock_figures!M44</f>
        <v>331.60054560560565</v>
      </c>
      <c r="N15" s="307">
        <f>Forecast_stock_figures!N44</f>
        <v>332.77509243618636</v>
      </c>
    </row>
    <row r="17" spans="1:9" ht="15.75">
      <c r="B17" s="340" t="s">
        <v>149</v>
      </c>
    </row>
    <row r="19" spans="1:9">
      <c r="B19" s="1243" t="str">
        <f>Stock_ages_breakdowns!B73</f>
        <v>Age group</v>
      </c>
      <c r="C19" s="1244" t="str">
        <f>Stock_ages_breakdowns!K73</f>
        <v>Classics</v>
      </c>
      <c r="D19" s="1245"/>
      <c r="H19" s="325" t="s">
        <v>120</v>
      </c>
    </row>
    <row r="20" spans="1:9">
      <c r="B20" s="1243"/>
      <c r="C20" s="363" t="str">
        <f>Stock_ages_breakdowns!K74</f>
        <v>Male</v>
      </c>
      <c r="D20" s="363" t="str">
        <f>Stock_ages_breakdowns!L74</f>
        <v>Female</v>
      </c>
    </row>
    <row r="21" spans="1:9">
      <c r="B21" s="363" t="str">
        <f>Stock_ages_breakdowns!B75</f>
        <v>20-24</v>
      </c>
      <c r="C21" s="331">
        <f>Stock_ages_breakdowns!K20</f>
        <v>5.7033033199250696</v>
      </c>
      <c r="D21" s="331">
        <f>Stock_ages_breakdowns!L20</f>
        <v>5.9424309566605302</v>
      </c>
    </row>
    <row r="22" spans="1:9">
      <c r="B22" s="363" t="str">
        <f>Stock_ages_breakdowns!B76</f>
        <v>25-29</v>
      </c>
      <c r="C22" s="331">
        <f>Stock_ages_breakdowns!K21</f>
        <v>18.479143475464983</v>
      </c>
      <c r="D22" s="331">
        <f>Stock_ages_breakdowns!L21</f>
        <v>38.932770191791001</v>
      </c>
    </row>
    <row r="23" spans="1:9">
      <c r="B23" s="363" t="str">
        <f>Stock_ages_breakdowns!B77</f>
        <v>30-34</v>
      </c>
      <c r="C23" s="331">
        <f>Stock_ages_breakdowns!K22</f>
        <v>17.317248173197143</v>
      </c>
      <c r="D23" s="331">
        <f>Stock_ages_breakdowns!L22</f>
        <v>32.861604376554567</v>
      </c>
    </row>
    <row r="24" spans="1:9">
      <c r="B24" s="363" t="str">
        <f>Stock_ages_breakdowns!B78</f>
        <v>35-39</v>
      </c>
      <c r="C24" s="331">
        <f>Stock_ages_breakdowns!K23</f>
        <v>16.090246668647055</v>
      </c>
      <c r="D24" s="331">
        <f>Stock_ages_breakdowns!L23</f>
        <v>26.193727628970933</v>
      </c>
    </row>
    <row r="25" spans="1:9">
      <c r="B25" s="363" t="str">
        <f>Stock_ages_breakdowns!B79</f>
        <v>40-44</v>
      </c>
      <c r="C25" s="331">
        <f>Stock_ages_breakdowns!K24</f>
        <v>12.785856494352569</v>
      </c>
      <c r="D25" s="331">
        <f>Stock_ages_breakdowns!L24</f>
        <v>16.836463910189764</v>
      </c>
    </row>
    <row r="26" spans="1:9">
      <c r="B26" s="363" t="str">
        <f>Stock_ages_breakdowns!B80</f>
        <v>45-49</v>
      </c>
      <c r="C26" s="331">
        <f>Stock_ages_breakdowns!K25</f>
        <v>12.613575466774922</v>
      </c>
      <c r="D26" s="331">
        <f>Stock_ages_breakdowns!L25</f>
        <v>18.001364114101399</v>
      </c>
    </row>
    <row r="27" spans="1:9">
      <c r="B27" s="363" t="str">
        <f>Stock_ages_breakdowns!B81</f>
        <v>50-54</v>
      </c>
      <c r="C27" s="331">
        <f>Stock_ages_breakdowns!K26</f>
        <v>21.378873561728259</v>
      </c>
      <c r="D27" s="331">
        <f>Stock_ages_breakdowns!L26</f>
        <v>20.127832844027797</v>
      </c>
    </row>
    <row r="28" spans="1:9">
      <c r="B28" s="363" t="str">
        <f>Stock_ages_breakdowns!B82</f>
        <v>55-59</v>
      </c>
      <c r="C28" s="331">
        <f>Stock_ages_breakdowns!K27</f>
        <v>14.452575272778159</v>
      </c>
      <c r="D28" s="331">
        <f>Stock_ages_breakdowns!L27</f>
        <v>21.952809775693321</v>
      </c>
    </row>
    <row r="29" spans="1:9">
      <c r="B29" s="363" t="str">
        <f>Stock_ages_breakdowns!B83</f>
        <v>60-64</v>
      </c>
      <c r="C29" s="331">
        <f>Stock_ages_breakdowns!K28</f>
        <v>6.2360660191480601</v>
      </c>
      <c r="D29" s="331">
        <f>Stock_ages_breakdowns!L28</f>
        <v>7.1345316106430996</v>
      </c>
      <c r="F29" s="325"/>
    </row>
    <row r="30" spans="1:9">
      <c r="B30" s="363" t="str">
        <f>Stock_ages_breakdowns!B84</f>
        <v>65 plus</v>
      </c>
      <c r="C30" s="331">
        <f>Stock_ages_breakdowns!K29</f>
        <v>5.2566811344908997</v>
      </c>
      <c r="D30" s="331">
        <f>Stock_ages_breakdowns!L29</f>
        <v>5.3979115117493199</v>
      </c>
      <c r="G30" s="326" t="s">
        <v>49</v>
      </c>
      <c r="H30" s="326" t="s">
        <v>50</v>
      </c>
    </row>
    <row r="31" spans="1:9">
      <c r="A31" s="309">
        <f>I31</f>
        <v>0</v>
      </c>
      <c r="B31" s="363" t="str">
        <f>Stock_ages_breakdowns!B85</f>
        <v>Total</v>
      </c>
      <c r="C31" s="331">
        <f>Stock_ages_breakdowns!K30</f>
        <v>130.3135695865071</v>
      </c>
      <c r="D31" s="331">
        <f>Stock_ages_breakdowns!L30</f>
        <v>193.38144692038176</v>
      </c>
      <c r="E31" s="327">
        <f>SUM(C31:D31)</f>
        <v>323.69501650688886</v>
      </c>
      <c r="G31" s="366">
        <f>C31/$E$31</f>
        <v>0.40258132792023932</v>
      </c>
      <c r="H31" s="366">
        <f>D31/$E$31</f>
        <v>0.59741867207976074</v>
      </c>
      <c r="I31" s="309">
        <f>(G31+H31)-1</f>
        <v>0</v>
      </c>
    </row>
    <row r="33" spans="2:15" ht="15.75">
      <c r="B33" s="340" t="s">
        <v>262</v>
      </c>
      <c r="H33" s="325"/>
    </row>
    <row r="34" spans="2:15">
      <c r="H34" s="325"/>
    </row>
    <row r="35" spans="2:15">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5">
      <c r="B36" s="326" t="str">
        <f>B15</f>
        <v>Classics</v>
      </c>
      <c r="C36" s="307">
        <f>Teacher_need_by_subject!C624</f>
        <v>318.24964480117319</v>
      </c>
      <c r="D36" s="307">
        <f>Teacher_need_by_subject!D624</f>
        <v>316.66378192264295</v>
      </c>
      <c r="E36" s="307">
        <f>Teacher_need_by_subject!E624</f>
        <v>316.17539575582185</v>
      </c>
      <c r="F36" s="307">
        <f>Teacher_need_by_subject!F624</f>
        <v>316.8320077141023</v>
      </c>
      <c r="G36" s="307">
        <f>Teacher_need_by_subject!G624</f>
        <v>318.22126343422786</v>
      </c>
      <c r="H36" s="307">
        <f>Teacher_need_by_subject!H624</f>
        <v>320.55922029487579</v>
      </c>
      <c r="I36" s="307">
        <f>Teacher_need_by_subject!I624</f>
        <v>323.9615218164621</v>
      </c>
      <c r="J36" s="307">
        <f>Teacher_need_by_subject!J624</f>
        <v>327.23843536550851</v>
      </c>
      <c r="K36" s="307">
        <f>Teacher_need_by_subject!K624</f>
        <v>329.9037008362418</v>
      </c>
      <c r="L36" s="307">
        <f>Teacher_need_by_subject!L624</f>
        <v>331.60054560560565</v>
      </c>
      <c r="M36" s="307">
        <f>Teacher_need_by_subject!M624</f>
        <v>332.77509243618636</v>
      </c>
      <c r="N36" s="307">
        <f>Teacher_need_by_subject!N624</f>
        <v>333.88423337973057</v>
      </c>
    </row>
    <row r="37" spans="2:15">
      <c r="H37" s="325"/>
    </row>
    <row r="38" spans="2:15" ht="15.75">
      <c r="B38" s="340" t="s">
        <v>157</v>
      </c>
      <c r="H38" s="325"/>
    </row>
    <row r="39" spans="2:15">
      <c r="H39" s="325"/>
    </row>
    <row r="40" spans="2:15">
      <c r="B40" s="341" t="s">
        <v>49</v>
      </c>
      <c r="H40" s="325"/>
    </row>
    <row r="41" spans="2:15">
      <c r="H41" s="325"/>
    </row>
    <row r="42" spans="2:15">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5">
      <c r="B43" s="363" t="str">
        <f>B21</f>
        <v>20-24</v>
      </c>
      <c r="C43" s="307">
        <f>C21</f>
        <v>5.7033033199250696</v>
      </c>
      <c r="D43" s="307">
        <f>C340</f>
        <v>8.1984494506050503</v>
      </c>
      <c r="E43" s="307">
        <f t="shared" ref="E43:L43" si="2">D340</f>
        <v>9.9089513359871724</v>
      </c>
      <c r="F43" s="307">
        <f t="shared" si="2"/>
        <v>10.940141957846071</v>
      </c>
      <c r="G43" s="307">
        <f t="shared" si="2"/>
        <v>11.589540110468972</v>
      </c>
      <c r="H43" s="307">
        <f t="shared" si="2"/>
        <v>11.995208930851751</v>
      </c>
      <c r="I43" s="307">
        <f t="shared" si="2"/>
        <v>12.298902380819053</v>
      </c>
      <c r="J43" s="307">
        <f t="shared" si="2"/>
        <v>12.581257365162701</v>
      </c>
      <c r="K43" s="307">
        <f t="shared" si="2"/>
        <v>12.756814143505856</v>
      </c>
      <c r="L43" s="307">
        <f t="shared" si="2"/>
        <v>12.819722248185691</v>
      </c>
      <c r="M43" s="307">
        <f>L340</f>
        <v>12.770071666308382</v>
      </c>
      <c r="N43" s="307">
        <f>M340</f>
        <v>12.684643837920298</v>
      </c>
      <c r="O43" s="327"/>
    </row>
    <row r="44" spans="2:15">
      <c r="B44" s="363" t="str">
        <f t="shared" ref="B44:C53" si="3">B22</f>
        <v>25-29</v>
      </c>
      <c r="C44" s="307">
        <f t="shared" si="3"/>
        <v>18.479143475464983</v>
      </c>
      <c r="D44" s="307">
        <f t="shared" ref="D44:L53" si="4">C341</f>
        <v>18.548583467355801</v>
      </c>
      <c r="E44" s="307">
        <f t="shared" si="4"/>
        <v>19.004638724052512</v>
      </c>
      <c r="F44" s="307">
        <f t="shared" si="4"/>
        <v>19.462495329223433</v>
      </c>
      <c r="G44" s="307">
        <f t="shared" si="4"/>
        <v>19.897711457478852</v>
      </c>
      <c r="H44" s="307">
        <f t="shared" si="4"/>
        <v>20.273184967145529</v>
      </c>
      <c r="I44" s="307">
        <f t="shared" si="4"/>
        <v>20.633644335643684</v>
      </c>
      <c r="J44" s="307">
        <f t="shared" si="4"/>
        <v>21.016996334148637</v>
      </c>
      <c r="K44" s="307">
        <f t="shared" si="4"/>
        <v>21.317904166460753</v>
      </c>
      <c r="L44" s="307">
        <f t="shared" ref="L44:L52" si="5">K341</f>
        <v>21.501812769162772</v>
      </c>
      <c r="M44" s="307">
        <f t="shared" ref="M44:M53" si="6">L341</f>
        <v>21.54735365425984</v>
      </c>
      <c r="N44" s="307">
        <f t="shared" ref="N44:N53" si="7">M341</f>
        <v>21.518621441200573</v>
      </c>
      <c r="O44" s="327"/>
    </row>
    <row r="45" spans="2:15">
      <c r="B45" s="363" t="str">
        <f t="shared" si="3"/>
        <v>30-34</v>
      </c>
      <c r="C45" s="307">
        <f t="shared" si="3"/>
        <v>17.317248173197143</v>
      </c>
      <c r="D45" s="307">
        <f t="shared" si="4"/>
        <v>18.456468346395127</v>
      </c>
      <c r="E45" s="307">
        <f t="shared" si="4"/>
        <v>19.296647249218402</v>
      </c>
      <c r="F45" s="307">
        <f t="shared" si="4"/>
        <v>19.919890858388257</v>
      </c>
      <c r="G45" s="307">
        <f t="shared" si="4"/>
        <v>20.430564151101777</v>
      </c>
      <c r="H45" s="307">
        <f t="shared" si="4"/>
        <v>20.865563131017421</v>
      </c>
      <c r="I45" s="307">
        <f t="shared" si="4"/>
        <v>21.268529423219533</v>
      </c>
      <c r="J45" s="307">
        <f t="shared" si="4"/>
        <v>21.670619024865196</v>
      </c>
      <c r="K45" s="307">
        <f t="shared" si="4"/>
        <v>22.029163987555922</v>
      </c>
      <c r="L45" s="307">
        <f t="shared" si="5"/>
        <v>22.320620218661034</v>
      </c>
      <c r="M45" s="307">
        <f t="shared" si="6"/>
        <v>22.523225951141296</v>
      </c>
      <c r="N45" s="307">
        <f t="shared" si="7"/>
        <v>22.656221537067509</v>
      </c>
      <c r="O45" s="327"/>
    </row>
    <row r="46" spans="2:15">
      <c r="B46" s="363" t="str">
        <f t="shared" si="3"/>
        <v>35-39</v>
      </c>
      <c r="C46" s="307">
        <f t="shared" si="3"/>
        <v>16.090246668647055</v>
      </c>
      <c r="D46" s="307">
        <f t="shared" si="4"/>
        <v>16.867592682642513</v>
      </c>
      <c r="E46" s="307">
        <f t="shared" si="4"/>
        <v>17.651112030083937</v>
      </c>
      <c r="F46" s="307">
        <f t="shared" si="4"/>
        <v>18.335590369859958</v>
      </c>
      <c r="G46" s="307">
        <f t="shared" si="4"/>
        <v>18.939522788471255</v>
      </c>
      <c r="H46" s="307">
        <f t="shared" si="4"/>
        <v>19.470574407210499</v>
      </c>
      <c r="I46" s="307">
        <f t="shared" si="4"/>
        <v>19.957941632297953</v>
      </c>
      <c r="J46" s="307">
        <f t="shared" si="4"/>
        <v>20.42488327233179</v>
      </c>
      <c r="K46" s="307">
        <f t="shared" si="4"/>
        <v>20.842642393742285</v>
      </c>
      <c r="L46" s="307">
        <f t="shared" si="5"/>
        <v>21.201439055040378</v>
      </c>
      <c r="M46" s="307">
        <f t="shared" si="6"/>
        <v>21.491051183330445</v>
      </c>
      <c r="N46" s="307">
        <f t="shared" si="7"/>
        <v>21.727860714843793</v>
      </c>
      <c r="O46" s="327"/>
    </row>
    <row r="47" spans="2:15">
      <c r="B47" s="363" t="str">
        <f t="shared" si="3"/>
        <v>40-44</v>
      </c>
      <c r="C47" s="307">
        <f t="shared" si="3"/>
        <v>12.785856494352569</v>
      </c>
      <c r="D47" s="307">
        <f t="shared" si="4"/>
        <v>13.89811787453664</v>
      </c>
      <c r="E47" s="307">
        <f t="shared" si="4"/>
        <v>14.862478458221528</v>
      </c>
      <c r="F47" s="307">
        <f t="shared" si="4"/>
        <v>15.676161672324724</v>
      </c>
      <c r="G47" s="307">
        <f t="shared" si="4"/>
        <v>16.388733776868385</v>
      </c>
      <c r="H47" s="307">
        <f t="shared" si="4"/>
        <v>17.018268676265091</v>
      </c>
      <c r="I47" s="307">
        <f t="shared" si="4"/>
        <v>17.594055604907588</v>
      </c>
      <c r="J47" s="307">
        <f t="shared" si="4"/>
        <v>18.137486379402258</v>
      </c>
      <c r="K47" s="307">
        <f t="shared" si="4"/>
        <v>18.623657721468572</v>
      </c>
      <c r="L47" s="307">
        <f t="shared" si="5"/>
        <v>19.045802437225444</v>
      </c>
      <c r="M47" s="307">
        <f t="shared" si="6"/>
        <v>19.398372054965186</v>
      </c>
      <c r="N47" s="307">
        <f t="shared" si="7"/>
        <v>19.699758141831822</v>
      </c>
      <c r="O47" s="327"/>
    </row>
    <row r="48" spans="2:15">
      <c r="B48" s="363" t="str">
        <f t="shared" si="3"/>
        <v>45-49</v>
      </c>
      <c r="C48" s="307">
        <f t="shared" si="3"/>
        <v>12.613575466774922</v>
      </c>
      <c r="D48" s="307">
        <f t="shared" si="4"/>
        <v>12.762808531116194</v>
      </c>
      <c r="E48" s="307">
        <f t="shared" si="4"/>
        <v>13.069484557029909</v>
      </c>
      <c r="F48" s="307">
        <f t="shared" si="4"/>
        <v>13.432404548243621</v>
      </c>
      <c r="G48" s="307">
        <f t="shared" si="4"/>
        <v>13.832915431844656</v>
      </c>
      <c r="H48" s="307">
        <f t="shared" si="4"/>
        <v>14.248547936615797</v>
      </c>
      <c r="I48" s="307">
        <f t="shared" si="4"/>
        <v>14.677442812639713</v>
      </c>
      <c r="J48" s="307">
        <f t="shared" si="4"/>
        <v>15.1189105432001</v>
      </c>
      <c r="K48" s="307">
        <f t="shared" si="4"/>
        <v>15.540405155607514</v>
      </c>
      <c r="L48" s="307">
        <f t="shared" si="5"/>
        <v>15.926937377212374</v>
      </c>
      <c r="M48" s="307">
        <f t="shared" si="6"/>
        <v>16.267227790221735</v>
      </c>
      <c r="N48" s="307">
        <f t="shared" si="7"/>
        <v>16.571358435938812</v>
      </c>
      <c r="O48" s="327"/>
    </row>
    <row r="49" spans="1:15">
      <c r="B49" s="363" t="str">
        <f t="shared" si="3"/>
        <v>50-54</v>
      </c>
      <c r="C49" s="307">
        <f t="shared" si="3"/>
        <v>21.378873561728259</v>
      </c>
      <c r="D49" s="307">
        <f t="shared" si="4"/>
        <v>18.355640854718388</v>
      </c>
      <c r="E49" s="307">
        <f t="shared" si="4"/>
        <v>16.209480944525176</v>
      </c>
      <c r="F49" s="307">
        <f t="shared" si="4"/>
        <v>14.695837015488568</v>
      </c>
      <c r="G49" s="307">
        <f t="shared" si="4"/>
        <v>13.662873833168502</v>
      </c>
      <c r="H49" s="307">
        <f t="shared" si="4"/>
        <v>12.985421185093964</v>
      </c>
      <c r="I49" s="307">
        <f t="shared" si="4"/>
        <v>12.578132651085284</v>
      </c>
      <c r="J49" s="307">
        <f t="shared" si="4"/>
        <v>12.37606836010715</v>
      </c>
      <c r="K49" s="307">
        <f t="shared" si="4"/>
        <v>12.306249498677282</v>
      </c>
      <c r="L49" s="307">
        <f t="shared" si="5"/>
        <v>12.320580603176444</v>
      </c>
      <c r="M49" s="307">
        <f t="shared" si="6"/>
        <v>12.382696208179494</v>
      </c>
      <c r="N49" s="307">
        <f t="shared" si="7"/>
        <v>12.478753038533998</v>
      </c>
      <c r="O49" s="327"/>
    </row>
    <row r="50" spans="1:15">
      <c r="B50" s="363" t="str">
        <f t="shared" si="3"/>
        <v>55-59</v>
      </c>
      <c r="C50" s="307">
        <f t="shared" si="3"/>
        <v>14.452575272778159</v>
      </c>
      <c r="D50" s="307">
        <f t="shared" si="4"/>
        <v>12.200892024432292</v>
      </c>
      <c r="E50" s="307">
        <f t="shared" si="4"/>
        <v>10.423333606144656</v>
      </c>
      <c r="F50" s="307">
        <f t="shared" si="4"/>
        <v>9.0381372459283558</v>
      </c>
      <c r="G50" s="307">
        <f t="shared" si="4"/>
        <v>7.9893204825378623</v>
      </c>
      <c r="H50" s="307">
        <f t="shared" si="4"/>
        <v>7.2126235976833373</v>
      </c>
      <c r="I50" s="307">
        <f t="shared" si="4"/>
        <v>6.657409126791312</v>
      </c>
      <c r="J50" s="307">
        <f t="shared" si="4"/>
        <v>6.2788935827075907</v>
      </c>
      <c r="K50" s="307">
        <f t="shared" si="4"/>
        <v>6.0231821341839398</v>
      </c>
      <c r="L50" s="307">
        <f t="shared" si="5"/>
        <v>5.8545712782434762</v>
      </c>
      <c r="M50" s="307">
        <f t="shared" si="6"/>
        <v>5.7454557251783411</v>
      </c>
      <c r="N50" s="307">
        <f t="shared" si="7"/>
        <v>5.6838922283904214</v>
      </c>
      <c r="O50" s="327"/>
    </row>
    <row r="51" spans="1:15">
      <c r="B51" s="363" t="str">
        <f t="shared" si="3"/>
        <v>60-64</v>
      </c>
      <c r="C51" s="307">
        <f t="shared" si="3"/>
        <v>6.2360660191480601</v>
      </c>
      <c r="D51" s="307">
        <f t="shared" si="4"/>
        <v>5.0127785689877546</v>
      </c>
      <c r="E51" s="307">
        <f t="shared" si="4"/>
        <v>4.1485054774013168</v>
      </c>
      <c r="F51" s="307">
        <f t="shared" si="4"/>
        <v>3.5066633101362386</v>
      </c>
      <c r="G51" s="307">
        <f t="shared" si="4"/>
        <v>3.0253090933240023</v>
      </c>
      <c r="H51" s="307">
        <f t="shared" si="4"/>
        <v>2.6634485022862346</v>
      </c>
      <c r="I51" s="307">
        <f t="shared" si="4"/>
        <v>2.3963312554587666</v>
      </c>
      <c r="J51" s="307">
        <f t="shared" si="4"/>
        <v>2.2047511026874749</v>
      </c>
      <c r="K51" s="307">
        <f t="shared" si="4"/>
        <v>2.0652615972162436</v>
      </c>
      <c r="L51" s="307">
        <f t="shared" si="5"/>
        <v>1.9633854350267888</v>
      </c>
      <c r="M51" s="307">
        <f t="shared" si="6"/>
        <v>1.8880879091139326</v>
      </c>
      <c r="N51" s="307">
        <f t="shared" si="7"/>
        <v>1.8354565869711403</v>
      </c>
      <c r="O51" s="327"/>
    </row>
    <row r="52" spans="1:15">
      <c r="B52" s="363" t="str">
        <f t="shared" si="3"/>
        <v>65 plus</v>
      </c>
      <c r="C52" s="307">
        <f t="shared" si="3"/>
        <v>5.2566811344908997</v>
      </c>
      <c r="D52" s="307">
        <f t="shared" si="4"/>
        <v>3.5603629790310669</v>
      </c>
      <c r="E52" s="307">
        <f t="shared" si="4"/>
        <v>2.51670599128928</v>
      </c>
      <c r="F52" s="307">
        <f t="shared" si="4"/>
        <v>1.8603645478411828</v>
      </c>
      <c r="G52" s="307">
        <f t="shared" si="4"/>
        <v>1.4375313053796457</v>
      </c>
      <c r="H52" s="307">
        <f t="shared" si="4"/>
        <v>1.1578020048295512</v>
      </c>
      <c r="I52" s="307">
        <f t="shared" si="4"/>
        <v>0.96888583379159265</v>
      </c>
      <c r="J52" s="307">
        <f t="shared" si="4"/>
        <v>0.83973228102602426</v>
      </c>
      <c r="K52" s="307">
        <f t="shared" si="4"/>
        <v>0.7493896234663735</v>
      </c>
      <c r="L52" s="307">
        <f t="shared" si="5"/>
        <v>0.68491589437037304</v>
      </c>
      <c r="M52" s="307">
        <f t="shared" si="6"/>
        <v>0.6378650130282657</v>
      </c>
      <c r="N52" s="307">
        <f t="shared" si="7"/>
        <v>0.60370161330434347</v>
      </c>
      <c r="O52" s="327"/>
    </row>
    <row r="53" spans="1:15">
      <c r="B53" s="363" t="str">
        <f t="shared" si="3"/>
        <v>Total</v>
      </c>
      <c r="C53" s="307">
        <f t="shared" si="3"/>
        <v>130.3135695865071</v>
      </c>
      <c r="D53" s="307">
        <f t="shared" si="4"/>
        <v>127.86169477982082</v>
      </c>
      <c r="E53" s="307">
        <f t="shared" si="4"/>
        <v>127.0913383739539</v>
      </c>
      <c r="F53" s="307">
        <f t="shared" si="4"/>
        <v>126.8676868552804</v>
      </c>
      <c r="G53" s="307">
        <f t="shared" si="4"/>
        <v>127.19402243064391</v>
      </c>
      <c r="H53" s="307">
        <f t="shared" si="4"/>
        <v>127.89064333899915</v>
      </c>
      <c r="I53" s="307">
        <f t="shared" si="4"/>
        <v>129.03127505665449</v>
      </c>
      <c r="J53" s="307">
        <f t="shared" si="4"/>
        <v>130.64959824563891</v>
      </c>
      <c r="K53" s="307">
        <f t="shared" si="4"/>
        <v>132.25467042188475</v>
      </c>
      <c r="L53" s="307">
        <f t="shared" si="4"/>
        <v>133.63978731630476</v>
      </c>
      <c r="M53" s="307">
        <f t="shared" si="6"/>
        <v>134.6514071557269</v>
      </c>
      <c r="N53" s="307">
        <f t="shared" si="7"/>
        <v>135.46026757600271</v>
      </c>
      <c r="O53" s="327"/>
    </row>
    <row r="54" spans="1:15">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5">
      <c r="B56" s="341" t="s">
        <v>50</v>
      </c>
      <c r="H56" s="325"/>
    </row>
    <row r="57" spans="1:15">
      <c r="H57" s="325"/>
    </row>
    <row r="58" spans="1:15">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5">
      <c r="B59" s="338" t="str">
        <f t="shared" si="9"/>
        <v>20-24</v>
      </c>
      <c r="C59" s="307">
        <f t="shared" ref="C59:C69" si="11">D21</f>
        <v>5.9424309566605302</v>
      </c>
      <c r="D59" s="307">
        <f>C356</f>
        <v>10.487727450319568</v>
      </c>
      <c r="E59" s="307">
        <f t="shared" ref="E59:L59" si="12">D356</f>
        <v>13.683162585974436</v>
      </c>
      <c r="F59" s="307">
        <f t="shared" si="12"/>
        <v>15.72073372429303</v>
      </c>
      <c r="G59" s="307">
        <f t="shared" si="12"/>
        <v>17.069773163266035</v>
      </c>
      <c r="H59" s="307">
        <f t="shared" si="12"/>
        <v>17.961559444755011</v>
      </c>
      <c r="I59" s="307">
        <f t="shared" si="12"/>
        <v>18.628345574997347</v>
      </c>
      <c r="J59" s="307">
        <f t="shared" si="12"/>
        <v>19.208549021585679</v>
      </c>
      <c r="K59" s="307">
        <f t="shared" si="12"/>
        <v>19.59052452203353</v>
      </c>
      <c r="L59" s="307">
        <f t="shared" si="12"/>
        <v>19.774576451052365</v>
      </c>
      <c r="M59" s="307">
        <f>L356</f>
        <v>19.767137553897186</v>
      </c>
      <c r="N59" s="307">
        <f>M356</f>
        <v>19.686656342117111</v>
      </c>
      <c r="O59" s="327"/>
    </row>
    <row r="60" spans="1:15">
      <c r="B60" s="338" t="str">
        <f t="shared" si="9"/>
        <v>25-29</v>
      </c>
      <c r="C60" s="307">
        <f t="shared" si="11"/>
        <v>38.932770191791001</v>
      </c>
      <c r="D60" s="307">
        <f t="shared" ref="D60:L69" si="13">C357</f>
        <v>35.56627412777943</v>
      </c>
      <c r="E60" s="307">
        <f t="shared" si="13"/>
        <v>33.902468089706424</v>
      </c>
      <c r="F60" s="307">
        <f t="shared" si="13"/>
        <v>33.023158854931346</v>
      </c>
      <c r="G60" s="307">
        <f t="shared" si="13"/>
        <v>32.644773100081729</v>
      </c>
      <c r="H60" s="307">
        <f t="shared" si="13"/>
        <v>32.539620617799017</v>
      </c>
      <c r="I60" s="307">
        <f t="shared" si="13"/>
        <v>32.654444168013548</v>
      </c>
      <c r="J60" s="307">
        <f t="shared" si="13"/>
        <v>32.964075608749994</v>
      </c>
      <c r="K60" s="307">
        <f t="shared" si="13"/>
        <v>33.257514203763463</v>
      </c>
      <c r="L60" s="307">
        <f t="shared" ref="L60:L68" si="14">K357</f>
        <v>33.445528663619704</v>
      </c>
      <c r="M60" s="307">
        <f t="shared" ref="M60:M69" si="15">L357</f>
        <v>33.470319548131563</v>
      </c>
      <c r="N60" s="307">
        <f t="shared" ref="N60:N69" si="16">M357</f>
        <v>33.409123945618859</v>
      </c>
      <c r="O60" s="327"/>
    </row>
    <row r="61" spans="1:15">
      <c r="B61" s="338" t="str">
        <f t="shared" si="9"/>
        <v>30-34</v>
      </c>
      <c r="C61" s="307">
        <f t="shared" si="11"/>
        <v>32.861604376554567</v>
      </c>
      <c r="D61" s="307">
        <f t="shared" si="13"/>
        <v>34.126131959062334</v>
      </c>
      <c r="E61" s="307">
        <f t="shared" si="13"/>
        <v>34.404754402540028</v>
      </c>
      <c r="F61" s="307">
        <f t="shared" si="13"/>
        <v>34.177861102336138</v>
      </c>
      <c r="G61" s="307">
        <f t="shared" si="13"/>
        <v>33.797984246593394</v>
      </c>
      <c r="H61" s="307">
        <f t="shared" si="13"/>
        <v>33.416017595702563</v>
      </c>
      <c r="I61" s="307">
        <f t="shared" si="13"/>
        <v>33.134494913085774</v>
      </c>
      <c r="J61" s="307">
        <f t="shared" si="13"/>
        <v>33.003978273971924</v>
      </c>
      <c r="K61" s="307">
        <f t="shared" si="13"/>
        <v>32.948489959701142</v>
      </c>
      <c r="L61" s="307">
        <f t="shared" si="14"/>
        <v>32.915712739417202</v>
      </c>
      <c r="M61" s="307">
        <f t="shared" si="15"/>
        <v>32.854657848067852</v>
      </c>
      <c r="N61" s="307">
        <f t="shared" si="16"/>
        <v>32.776251992799295</v>
      </c>
      <c r="O61" s="327"/>
    </row>
    <row r="62" spans="1:15">
      <c r="B62" s="338" t="str">
        <f t="shared" si="9"/>
        <v>35-39</v>
      </c>
      <c r="C62" s="307">
        <f t="shared" si="11"/>
        <v>26.193727628970933</v>
      </c>
      <c r="D62" s="307">
        <f t="shared" si="13"/>
        <v>27.564369853213982</v>
      </c>
      <c r="E62" s="307">
        <f t="shared" si="13"/>
        <v>28.783156270881253</v>
      </c>
      <c r="F62" s="307">
        <f t="shared" si="13"/>
        <v>29.638749919561526</v>
      </c>
      <c r="G62" s="307">
        <f t="shared" si="13"/>
        <v>30.185898297076697</v>
      </c>
      <c r="H62" s="307">
        <f t="shared" si="13"/>
        <v>30.491274740878652</v>
      </c>
      <c r="I62" s="307">
        <f t="shared" si="13"/>
        <v>30.656083641369424</v>
      </c>
      <c r="J62" s="307">
        <f t="shared" si="13"/>
        <v>30.763343356345036</v>
      </c>
      <c r="K62" s="307">
        <f t="shared" si="13"/>
        <v>30.806068572787396</v>
      </c>
      <c r="L62" s="307">
        <f t="shared" si="14"/>
        <v>30.794571928386535</v>
      </c>
      <c r="M62" s="307">
        <f t="shared" si="15"/>
        <v>30.72910050723851</v>
      </c>
      <c r="N62" s="307">
        <f t="shared" si="16"/>
        <v>30.642227018775543</v>
      </c>
      <c r="O62" s="327"/>
    </row>
    <row r="63" spans="1:15">
      <c r="B63" s="338" t="str">
        <f t="shared" si="9"/>
        <v>40-44</v>
      </c>
      <c r="C63" s="307">
        <f t="shared" si="11"/>
        <v>16.836463910189764</v>
      </c>
      <c r="D63" s="307">
        <f t="shared" si="13"/>
        <v>19.276820567856507</v>
      </c>
      <c r="E63" s="307">
        <f t="shared" si="13"/>
        <v>21.316749897270856</v>
      </c>
      <c r="F63" s="307">
        <f t="shared" si="13"/>
        <v>22.971239981050562</v>
      </c>
      <c r="G63" s="307">
        <f t="shared" si="13"/>
        <v>24.318108174130852</v>
      </c>
      <c r="H63" s="307">
        <f t="shared" si="13"/>
        <v>25.391742966195366</v>
      </c>
      <c r="I63" s="307">
        <f t="shared" si="13"/>
        <v>26.2511919599599</v>
      </c>
      <c r="J63" s="307">
        <f t="shared" si="13"/>
        <v>26.949993318993517</v>
      </c>
      <c r="K63" s="307">
        <f t="shared" si="13"/>
        <v>27.475952313188991</v>
      </c>
      <c r="L63" s="307">
        <f t="shared" si="14"/>
        <v>27.844302903346318</v>
      </c>
      <c r="M63" s="307">
        <f t="shared" si="15"/>
        <v>28.070194571808958</v>
      </c>
      <c r="N63" s="307">
        <f t="shared" si="16"/>
        <v>28.201151474874838</v>
      </c>
      <c r="O63" s="327"/>
    </row>
    <row r="64" spans="1:15">
      <c r="B64" s="338" t="str">
        <f t="shared" si="9"/>
        <v>45-49</v>
      </c>
      <c r="C64" s="307">
        <f t="shared" si="11"/>
        <v>18.001364114101399</v>
      </c>
      <c r="D64" s="307">
        <f t="shared" si="13"/>
        <v>17.85714955632675</v>
      </c>
      <c r="E64" s="307">
        <f t="shared" si="13"/>
        <v>18.184499033978504</v>
      </c>
      <c r="F64" s="307">
        <f t="shared" si="13"/>
        <v>18.735248156947041</v>
      </c>
      <c r="G64" s="307">
        <f t="shared" si="13"/>
        <v>19.41448050602682</v>
      </c>
      <c r="H64" s="307">
        <f t="shared" si="13"/>
        <v>20.140429554648307</v>
      </c>
      <c r="I64" s="307">
        <f t="shared" si="13"/>
        <v>20.876427211789093</v>
      </c>
      <c r="J64" s="307">
        <f t="shared" si="13"/>
        <v>21.599399838086004</v>
      </c>
      <c r="K64" s="307">
        <f t="shared" si="13"/>
        <v>22.248835643813717</v>
      </c>
      <c r="L64" s="307">
        <f t="shared" si="14"/>
        <v>22.798482748701719</v>
      </c>
      <c r="M64" s="307">
        <f t="shared" si="15"/>
        <v>23.233470949409124</v>
      </c>
      <c r="N64" s="307">
        <f t="shared" si="16"/>
        <v>23.574547051856126</v>
      </c>
      <c r="O64" s="327"/>
    </row>
    <row r="65" spans="1:15">
      <c r="B65" s="338" t="str">
        <f t="shared" si="9"/>
        <v>50-54</v>
      </c>
      <c r="C65" s="307">
        <f t="shared" si="11"/>
        <v>20.127832844027797</v>
      </c>
      <c r="D65" s="307">
        <f t="shared" si="13"/>
        <v>18.774025026055639</v>
      </c>
      <c r="E65" s="307">
        <f t="shared" si="13"/>
        <v>17.769564734980055</v>
      </c>
      <c r="F65" s="307">
        <f t="shared" si="13"/>
        <v>17.063631221268309</v>
      </c>
      <c r="G65" s="307">
        <f t="shared" si="13"/>
        <v>16.637079042675929</v>
      </c>
      <c r="H65" s="307">
        <f t="shared" si="13"/>
        <v>16.439876203314746</v>
      </c>
      <c r="I65" s="307">
        <f t="shared" si="13"/>
        <v>16.43401056526341</v>
      </c>
      <c r="J65" s="307">
        <f t="shared" si="13"/>
        <v>16.580597831001992</v>
      </c>
      <c r="K65" s="307">
        <f t="shared" si="13"/>
        <v>16.808624663189658</v>
      </c>
      <c r="L65" s="307">
        <f t="shared" si="14"/>
        <v>17.07134045150827</v>
      </c>
      <c r="M65" s="307">
        <f t="shared" si="15"/>
        <v>17.331761887357093</v>
      </c>
      <c r="N65" s="307">
        <f t="shared" si="16"/>
        <v>17.581892887775588</v>
      </c>
      <c r="O65" s="327"/>
    </row>
    <row r="66" spans="1:15">
      <c r="B66" s="338" t="str">
        <f t="shared" si="9"/>
        <v>55-59</v>
      </c>
      <c r="C66" s="307">
        <f t="shared" si="11"/>
        <v>21.952809775693321</v>
      </c>
      <c r="D66" s="307">
        <f t="shared" si="13"/>
        <v>17.053114218048425</v>
      </c>
      <c r="E66" s="307">
        <f t="shared" si="13"/>
        <v>13.888772503968205</v>
      </c>
      <c r="F66" s="307">
        <f t="shared" si="13"/>
        <v>11.798774253745089</v>
      </c>
      <c r="G66" s="307">
        <f t="shared" si="13"/>
        <v>10.418959541933475</v>
      </c>
      <c r="H66" s="307">
        <f t="shared" si="13"/>
        <v>9.5137591021200336</v>
      </c>
      <c r="I66" s="307">
        <f t="shared" si="13"/>
        <v>8.9420830753220475</v>
      </c>
      <c r="J66" s="307">
        <f t="shared" si="13"/>
        <v>8.6096630886377117</v>
      </c>
      <c r="K66" s="307">
        <f t="shared" si="13"/>
        <v>8.427216942594761</v>
      </c>
      <c r="L66" s="307">
        <f t="shared" si="14"/>
        <v>8.3403501133318194</v>
      </c>
      <c r="M66" s="307">
        <f t="shared" si="15"/>
        <v>8.3100157238844545</v>
      </c>
      <c r="N66" s="307">
        <f t="shared" si="16"/>
        <v>8.3214824029690408</v>
      </c>
      <c r="O66" s="327"/>
    </row>
    <row r="67" spans="1:15">
      <c r="B67" s="338" t="str">
        <f t="shared" si="9"/>
        <v>60-64</v>
      </c>
      <c r="C67" s="307">
        <f t="shared" si="11"/>
        <v>7.1345316106430996</v>
      </c>
      <c r="D67" s="307">
        <f t="shared" si="13"/>
        <v>6.1947383451420972</v>
      </c>
      <c r="E67" s="307">
        <f t="shared" si="13"/>
        <v>5.1950919892122434</v>
      </c>
      <c r="F67" s="307">
        <f t="shared" si="13"/>
        <v>4.3556599455826044</v>
      </c>
      <c r="G67" s="307">
        <f t="shared" si="13"/>
        <v>3.7221945965660694</v>
      </c>
      <c r="H67" s="307">
        <f t="shared" si="13"/>
        <v>3.2674006716726725</v>
      </c>
      <c r="I67" s="307">
        <f t="shared" si="13"/>
        <v>2.9557461894609069</v>
      </c>
      <c r="J67" s="307">
        <f t="shared" si="13"/>
        <v>2.752934409826127</v>
      </c>
      <c r="K67" s="307">
        <f t="shared" si="13"/>
        <v>2.6193134602723585</v>
      </c>
      <c r="L67" s="307">
        <f t="shared" si="14"/>
        <v>2.5313182664274065</v>
      </c>
      <c r="M67" s="307">
        <f t="shared" si="15"/>
        <v>2.4722299525522349</v>
      </c>
      <c r="N67" s="307">
        <f t="shared" si="16"/>
        <v>2.4369002418169474</v>
      </c>
      <c r="O67" s="327"/>
    </row>
    <row r="68" spans="1:15">
      <c r="B68" s="338" t="str">
        <f t="shared" si="9"/>
        <v>65 plus</v>
      </c>
      <c r="C68" s="307">
        <f t="shared" si="11"/>
        <v>5.3979115117493199</v>
      </c>
      <c r="D68" s="307">
        <f t="shared" si="13"/>
        <v>3.4875989175476274</v>
      </c>
      <c r="E68" s="307">
        <f t="shared" si="13"/>
        <v>2.444224040177069</v>
      </c>
      <c r="F68" s="307">
        <f t="shared" si="13"/>
        <v>1.8226517408257963</v>
      </c>
      <c r="G68" s="307">
        <f t="shared" si="13"/>
        <v>1.4287346151074045</v>
      </c>
      <c r="H68" s="307">
        <f t="shared" si="13"/>
        <v>1.1689391981423134</v>
      </c>
      <c r="I68" s="307">
        <f t="shared" si="13"/>
        <v>0.99511793895985301</v>
      </c>
      <c r="J68" s="307">
        <f t="shared" si="13"/>
        <v>0.87938882362518167</v>
      </c>
      <c r="K68" s="307">
        <f t="shared" si="13"/>
        <v>0.80122466227872957</v>
      </c>
      <c r="L68" s="307">
        <f t="shared" si="14"/>
        <v>0.74772925414566893</v>
      </c>
      <c r="M68" s="307">
        <f t="shared" si="15"/>
        <v>0.71024990753174444</v>
      </c>
      <c r="N68" s="307">
        <f t="shared" si="16"/>
        <v>0.68459150158028181</v>
      </c>
      <c r="O68" s="327"/>
    </row>
    <row r="69" spans="1:15">
      <c r="B69" s="338" t="str">
        <f t="shared" si="9"/>
        <v>Total</v>
      </c>
      <c r="C69" s="307">
        <f t="shared" si="11"/>
        <v>193.38144692038176</v>
      </c>
      <c r="D69" s="307">
        <f t="shared" si="13"/>
        <v>190.38795002135234</v>
      </c>
      <c r="E69" s="307">
        <f t="shared" si="13"/>
        <v>189.57244354868908</v>
      </c>
      <c r="F69" s="307">
        <f t="shared" si="13"/>
        <v>189.30770890054143</v>
      </c>
      <c r="G69" s="307">
        <f t="shared" si="13"/>
        <v>189.63798528345839</v>
      </c>
      <c r="H69" s="307">
        <f t="shared" si="13"/>
        <v>190.33062009522868</v>
      </c>
      <c r="I69" s="307">
        <f t="shared" si="13"/>
        <v>191.52794523822129</v>
      </c>
      <c r="J69" s="307">
        <f t="shared" si="13"/>
        <v>193.31192357082321</v>
      </c>
      <c r="K69" s="307">
        <f t="shared" si="13"/>
        <v>194.98376494362375</v>
      </c>
      <c r="L69" s="307">
        <f t="shared" si="13"/>
        <v>196.26391351993701</v>
      </c>
      <c r="M69" s="307">
        <f t="shared" si="15"/>
        <v>196.94913844987872</v>
      </c>
      <c r="N69" s="307">
        <f t="shared" si="16"/>
        <v>197.31482486018362</v>
      </c>
      <c r="O69" s="327"/>
    </row>
    <row r="70" spans="1:15">
      <c r="A70" s="309">
        <f>SUM(C70:N70)</f>
        <v>0</v>
      </c>
      <c r="C70" s="309">
        <f t="shared" ref="C70:N70" si="17">SUM(C59:C68)-C69</f>
        <v>0</v>
      </c>
      <c r="D70" s="309">
        <f t="shared" si="17"/>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5" ht="15.75">
      <c r="B72" s="340" t="s">
        <v>150</v>
      </c>
      <c r="H72" s="325"/>
    </row>
    <row r="73" spans="1:15">
      <c r="H73" s="325"/>
    </row>
    <row r="74" spans="1:15">
      <c r="B74" s="341" t="s">
        <v>49</v>
      </c>
      <c r="C74" s="262" t="s">
        <v>453</v>
      </c>
      <c r="H74" s="325"/>
    </row>
    <row r="75" spans="1:15">
      <c r="H75" s="325"/>
    </row>
    <row r="76" spans="1:15">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5">
      <c r="B77" s="338" t="str">
        <f t="shared" si="18"/>
        <v>20-24</v>
      </c>
      <c r="C77" s="459">
        <f>C43-(0.2*C43)</f>
        <v>4.5626426559400555</v>
      </c>
      <c r="D77" s="459">
        <f>D43-(0.2*D43)</f>
        <v>6.5587595604840399</v>
      </c>
      <c r="E77" s="459">
        <f t="shared" ref="E77:N77" si="20">E43-(0.2*E43)</f>
        <v>7.9271610687897383</v>
      </c>
      <c r="F77" s="459">
        <f t="shared" si="20"/>
        <v>8.7521135662768579</v>
      </c>
      <c r="G77" s="459">
        <f t="shared" si="20"/>
        <v>9.2716320883751777</v>
      </c>
      <c r="H77" s="459">
        <f t="shared" si="20"/>
        <v>9.5961671446814005</v>
      </c>
      <c r="I77" s="459">
        <f t="shared" si="20"/>
        <v>9.8391219046552418</v>
      </c>
      <c r="J77" s="459">
        <f t="shared" si="20"/>
        <v>10.065005892130161</v>
      </c>
      <c r="K77" s="459">
        <f t="shared" si="20"/>
        <v>10.205451314804685</v>
      </c>
      <c r="L77" s="459">
        <f t="shared" si="20"/>
        <v>10.255777798548554</v>
      </c>
      <c r="M77" s="459">
        <f t="shared" si="20"/>
        <v>10.216057333046706</v>
      </c>
      <c r="N77" s="459">
        <f t="shared" si="20"/>
        <v>10.147715070336238</v>
      </c>
    </row>
    <row r="78" spans="1:15">
      <c r="B78" s="338" t="str">
        <f t="shared" si="18"/>
        <v>25-29</v>
      </c>
      <c r="C78" s="459">
        <f t="shared" ref="C78:C85" si="21">C44+(0.2*C43)-(0.2*C44)</f>
        <v>15.923975444357</v>
      </c>
      <c r="D78" s="459">
        <f t="shared" ref="D78:N78" si="22">D44+(0.2*D43)-(0.2*D44)</f>
        <v>16.478556664005648</v>
      </c>
      <c r="E78" s="459">
        <f t="shared" si="22"/>
        <v>17.185501246439443</v>
      </c>
      <c r="F78" s="459">
        <f t="shared" si="22"/>
        <v>17.75802465494796</v>
      </c>
      <c r="G78" s="459">
        <f t="shared" si="22"/>
        <v>18.236077188076873</v>
      </c>
      <c r="H78" s="459">
        <f t="shared" si="22"/>
        <v>18.617589759886773</v>
      </c>
      <c r="I78" s="459">
        <f t="shared" si="22"/>
        <v>18.966695944678758</v>
      </c>
      <c r="J78" s="459">
        <f t="shared" si="22"/>
        <v>19.329848540351449</v>
      </c>
      <c r="K78" s="459">
        <f t="shared" si="22"/>
        <v>19.605686161869777</v>
      </c>
      <c r="L78" s="459">
        <f t="shared" si="22"/>
        <v>19.765394664967353</v>
      </c>
      <c r="M78" s="459">
        <f t="shared" si="22"/>
        <v>19.79189725666955</v>
      </c>
      <c r="N78" s="459">
        <f t="shared" si="22"/>
        <v>19.751825920544515</v>
      </c>
    </row>
    <row r="79" spans="1:15">
      <c r="B79" s="338" t="str">
        <f t="shared" si="18"/>
        <v>30-34</v>
      </c>
      <c r="C79" s="459">
        <f t="shared" si="21"/>
        <v>17.549627233650714</v>
      </c>
      <c r="D79" s="459">
        <f t="shared" ref="D79:N79" si="23">D45+(0.2*D44)-(0.2*D45)</f>
        <v>18.474891370587262</v>
      </c>
      <c r="E79" s="459">
        <f t="shared" si="23"/>
        <v>19.238245544185222</v>
      </c>
      <c r="F79" s="459">
        <f t="shared" si="23"/>
        <v>19.828411752555294</v>
      </c>
      <c r="G79" s="459">
        <f t="shared" si="23"/>
        <v>20.323993612377194</v>
      </c>
      <c r="H79" s="459">
        <f t="shared" si="23"/>
        <v>20.747087498243044</v>
      </c>
      <c r="I79" s="459">
        <f t="shared" si="23"/>
        <v>21.141552405704363</v>
      </c>
      <c r="J79" s="459">
        <f t="shared" si="23"/>
        <v>21.539894486721884</v>
      </c>
      <c r="K79" s="459">
        <f t="shared" si="23"/>
        <v>21.886912023336887</v>
      </c>
      <c r="L79" s="459">
        <f t="shared" si="23"/>
        <v>22.156858728761385</v>
      </c>
      <c r="M79" s="459">
        <f t="shared" si="23"/>
        <v>22.328051491765002</v>
      </c>
      <c r="N79" s="459">
        <f t="shared" si="23"/>
        <v>22.428701517894122</v>
      </c>
    </row>
    <row r="80" spans="1:15">
      <c r="B80" s="338" t="str">
        <f t="shared" si="18"/>
        <v>35-39</v>
      </c>
      <c r="C80" s="459">
        <f t="shared" si="21"/>
        <v>16.335646969557072</v>
      </c>
      <c r="D80" s="459">
        <f t="shared" ref="D80:N80" si="24">D46+(0.2*D45)-(0.2*D46)</f>
        <v>17.185367815393036</v>
      </c>
      <c r="E80" s="459">
        <f t="shared" si="24"/>
        <v>17.980219073910831</v>
      </c>
      <c r="F80" s="459">
        <f t="shared" si="24"/>
        <v>18.652450467565618</v>
      </c>
      <c r="G80" s="459">
        <f t="shared" si="24"/>
        <v>19.237731060997358</v>
      </c>
      <c r="H80" s="459">
        <f t="shared" si="24"/>
        <v>19.749572151971883</v>
      </c>
      <c r="I80" s="459">
        <f t="shared" si="24"/>
        <v>20.220059190482267</v>
      </c>
      <c r="J80" s="459">
        <f t="shared" si="24"/>
        <v>20.67403042283847</v>
      </c>
      <c r="K80" s="459">
        <f t="shared" si="24"/>
        <v>21.079946712505013</v>
      </c>
      <c r="L80" s="459">
        <f t="shared" si="24"/>
        <v>21.42527528776451</v>
      </c>
      <c r="M80" s="459">
        <f t="shared" si="24"/>
        <v>21.697486136892614</v>
      </c>
      <c r="N80" s="459">
        <f t="shared" si="24"/>
        <v>21.913532879288535</v>
      </c>
    </row>
    <row r="81" spans="1:14">
      <c r="B81" s="338" t="str">
        <f t="shared" si="18"/>
        <v>40-44</v>
      </c>
      <c r="C81" s="459">
        <f t="shared" si="21"/>
        <v>13.446734529211465</v>
      </c>
      <c r="D81" s="459">
        <f t="shared" ref="D81:N81" si="25">D47+(0.2*D46)-(0.2*D47)</f>
        <v>14.492012836157814</v>
      </c>
      <c r="E81" s="459">
        <f t="shared" si="25"/>
        <v>15.420205172594009</v>
      </c>
      <c r="F81" s="459">
        <f t="shared" si="25"/>
        <v>16.208047411831771</v>
      </c>
      <c r="G81" s="459">
        <f t="shared" si="25"/>
        <v>16.898891579188959</v>
      </c>
      <c r="H81" s="459">
        <f t="shared" si="25"/>
        <v>17.508729822454171</v>
      </c>
      <c r="I81" s="459">
        <f t="shared" si="25"/>
        <v>18.066832810385662</v>
      </c>
      <c r="J81" s="459">
        <f t="shared" si="25"/>
        <v>18.594965757988167</v>
      </c>
      <c r="K81" s="459">
        <f t="shared" si="25"/>
        <v>19.067454655923314</v>
      </c>
      <c r="L81" s="459">
        <f t="shared" si="25"/>
        <v>19.47692976078843</v>
      </c>
      <c r="M81" s="459">
        <f t="shared" si="25"/>
        <v>19.81690788063824</v>
      </c>
      <c r="N81" s="459">
        <f t="shared" si="25"/>
        <v>20.105378656434215</v>
      </c>
    </row>
    <row r="82" spans="1:14">
      <c r="B82" s="338" t="str">
        <f t="shared" si="18"/>
        <v>45-49</v>
      </c>
      <c r="C82" s="459">
        <f t="shared" si="21"/>
        <v>12.648031672290452</v>
      </c>
      <c r="D82" s="459">
        <f t="shared" ref="D82:N82" si="26">D48+(0.2*D47)-(0.2*D48)</f>
        <v>12.989870399800283</v>
      </c>
      <c r="E82" s="459">
        <f t="shared" si="26"/>
        <v>13.428083337268232</v>
      </c>
      <c r="F82" s="459">
        <f t="shared" si="26"/>
        <v>13.881155973059842</v>
      </c>
      <c r="G82" s="459">
        <f t="shared" si="26"/>
        <v>14.344079100849399</v>
      </c>
      <c r="H82" s="459">
        <f t="shared" si="26"/>
        <v>14.802492084545657</v>
      </c>
      <c r="I82" s="459">
        <f t="shared" si="26"/>
        <v>15.260765371093285</v>
      </c>
      <c r="J82" s="459">
        <f t="shared" si="26"/>
        <v>15.722625710440532</v>
      </c>
      <c r="K82" s="459">
        <f t="shared" si="26"/>
        <v>16.157055668779723</v>
      </c>
      <c r="L82" s="459">
        <f t="shared" si="26"/>
        <v>16.550710389214988</v>
      </c>
      <c r="M82" s="459">
        <f t="shared" si="26"/>
        <v>16.893456643170424</v>
      </c>
      <c r="N82" s="459">
        <f t="shared" si="26"/>
        <v>17.197038377117416</v>
      </c>
    </row>
    <row r="83" spans="1:14">
      <c r="B83" s="338" t="str">
        <f t="shared" si="18"/>
        <v>50-54</v>
      </c>
      <c r="C83" s="459">
        <f t="shared" si="21"/>
        <v>19.625813942737594</v>
      </c>
      <c r="D83" s="459">
        <f t="shared" ref="D83:N83" si="27">D49+(0.2*D48)-(0.2*D49)</f>
        <v>17.237074389997947</v>
      </c>
      <c r="E83" s="459">
        <f t="shared" si="27"/>
        <v>15.581481667026122</v>
      </c>
      <c r="F83" s="459">
        <f t="shared" si="27"/>
        <v>14.443150522039581</v>
      </c>
      <c r="G83" s="459">
        <f t="shared" si="27"/>
        <v>13.696882152903733</v>
      </c>
      <c r="H83" s="459">
        <f t="shared" si="27"/>
        <v>13.238046535398331</v>
      </c>
      <c r="I83" s="459">
        <f t="shared" si="27"/>
        <v>12.99799468339617</v>
      </c>
      <c r="J83" s="459">
        <f t="shared" si="27"/>
        <v>12.924636796725739</v>
      </c>
      <c r="K83" s="459">
        <f t="shared" si="27"/>
        <v>12.953080630063329</v>
      </c>
      <c r="L83" s="459">
        <f t="shared" si="27"/>
        <v>13.04185195798363</v>
      </c>
      <c r="M83" s="459">
        <f t="shared" si="27"/>
        <v>13.159602524587942</v>
      </c>
      <c r="N83" s="459">
        <f t="shared" si="27"/>
        <v>13.297274118014961</v>
      </c>
    </row>
    <row r="84" spans="1:14">
      <c r="B84" s="338" t="str">
        <f t="shared" si="18"/>
        <v>55-59</v>
      </c>
      <c r="C84" s="459">
        <f t="shared" si="21"/>
        <v>15.837834930568178</v>
      </c>
      <c r="D84" s="459">
        <f t="shared" ref="D84:N84" si="28">D50+(0.2*D49)-(0.2*D50)</f>
        <v>13.431841790489512</v>
      </c>
      <c r="E84" s="459">
        <f t="shared" si="28"/>
        <v>11.580563073820759</v>
      </c>
      <c r="F84" s="459">
        <f t="shared" si="28"/>
        <v>10.169677199840399</v>
      </c>
      <c r="G84" s="459">
        <f t="shared" si="28"/>
        <v>9.1240311526639903</v>
      </c>
      <c r="H84" s="459">
        <f t="shared" si="28"/>
        <v>8.3671831151654636</v>
      </c>
      <c r="I84" s="459">
        <f t="shared" si="28"/>
        <v>7.8415538316501072</v>
      </c>
      <c r="J84" s="459">
        <f t="shared" si="28"/>
        <v>7.4983285381875033</v>
      </c>
      <c r="K84" s="459">
        <f t="shared" si="28"/>
        <v>7.2797956070826091</v>
      </c>
      <c r="L84" s="459">
        <f t="shared" si="28"/>
        <v>7.1477731432300704</v>
      </c>
      <c r="M84" s="459">
        <f t="shared" si="28"/>
        <v>7.0729038217785716</v>
      </c>
      <c r="N84" s="459">
        <f t="shared" si="28"/>
        <v>7.0428643904191368</v>
      </c>
    </row>
    <row r="85" spans="1:14">
      <c r="B85" s="338" t="str">
        <f t="shared" si="18"/>
        <v>60-64</v>
      </c>
      <c r="C85" s="459">
        <f t="shared" si="21"/>
        <v>7.8793678698740797</v>
      </c>
      <c r="D85" s="459">
        <f t="shared" ref="D85:N85" si="29">D51+(0.2*D50)-(0.2*D51)</f>
        <v>6.4504012600766627</v>
      </c>
      <c r="E85" s="459">
        <f t="shared" si="29"/>
        <v>5.4034711031499842</v>
      </c>
      <c r="F85" s="459">
        <f t="shared" si="29"/>
        <v>4.612958097294662</v>
      </c>
      <c r="G85" s="459">
        <f t="shared" si="29"/>
        <v>4.0181113711667749</v>
      </c>
      <c r="H85" s="459">
        <f t="shared" si="29"/>
        <v>3.5732835213656551</v>
      </c>
      <c r="I85" s="459">
        <f t="shared" si="29"/>
        <v>3.2485468297252753</v>
      </c>
      <c r="J85" s="459">
        <f t="shared" si="29"/>
        <v>3.0195795986914984</v>
      </c>
      <c r="K85" s="459">
        <f t="shared" si="29"/>
        <v>2.8568457046097828</v>
      </c>
      <c r="L85" s="459">
        <f t="shared" si="29"/>
        <v>2.7416226036701268</v>
      </c>
      <c r="M85" s="459">
        <f t="shared" si="29"/>
        <v>2.6595614723268142</v>
      </c>
      <c r="N85" s="459">
        <f t="shared" si="29"/>
        <v>2.6051437152549966</v>
      </c>
    </row>
    <row r="86" spans="1:14">
      <c r="B86" s="338" t="str">
        <f t="shared" si="18"/>
        <v>65 plus</v>
      </c>
      <c r="C86" s="459">
        <f>C52+(0.2*C51)</f>
        <v>6.5038943383205119</v>
      </c>
      <c r="D86" s="459">
        <f t="shared" ref="D86:N86" si="30">D52+(0.2*D51)</f>
        <v>4.5629186928286174</v>
      </c>
      <c r="E86" s="459">
        <f t="shared" si="30"/>
        <v>3.3464070867695432</v>
      </c>
      <c r="F86" s="459">
        <f t="shared" si="30"/>
        <v>2.5616972098684307</v>
      </c>
      <c r="G86" s="459">
        <f t="shared" si="30"/>
        <v>2.0425931240444459</v>
      </c>
      <c r="H86" s="459">
        <f t="shared" si="30"/>
        <v>1.690491705286798</v>
      </c>
      <c r="I86" s="459">
        <f t="shared" si="30"/>
        <v>1.448152084883346</v>
      </c>
      <c r="J86" s="459">
        <f t="shared" si="30"/>
        <v>1.2806825015635193</v>
      </c>
      <c r="K86" s="459">
        <f t="shared" si="30"/>
        <v>1.1624419429096222</v>
      </c>
      <c r="L86" s="459">
        <f t="shared" si="30"/>
        <v>1.0775929813757308</v>
      </c>
      <c r="M86" s="459">
        <f t="shared" si="30"/>
        <v>1.0154825948510522</v>
      </c>
      <c r="N86" s="459">
        <f t="shared" si="30"/>
        <v>0.97079293069857153</v>
      </c>
    </row>
    <row r="87" spans="1:14">
      <c r="B87" s="338" t="str">
        <f t="shared" si="18"/>
        <v>Total</v>
      </c>
      <c r="C87" s="459">
        <f>SUM(C77:C86)</f>
        <v>130.31356958650713</v>
      </c>
      <c r="D87" s="459">
        <f t="shared" ref="D87:N87" si="31">SUM(D77:D86)</f>
        <v>127.86169477982081</v>
      </c>
      <c r="E87" s="459">
        <f t="shared" si="31"/>
        <v>127.09133837395389</v>
      </c>
      <c r="F87" s="459">
        <f t="shared" si="31"/>
        <v>126.86768685528043</v>
      </c>
      <c r="G87" s="459">
        <f t="shared" si="31"/>
        <v>127.1940224306439</v>
      </c>
      <c r="H87" s="459">
        <f t="shared" si="31"/>
        <v>127.89064333899918</v>
      </c>
      <c r="I87" s="459">
        <f t="shared" si="31"/>
        <v>129.03127505665447</v>
      </c>
      <c r="J87" s="459">
        <f t="shared" si="31"/>
        <v>130.64959824563894</v>
      </c>
      <c r="K87" s="459">
        <f t="shared" si="31"/>
        <v>132.25467042188475</v>
      </c>
      <c r="L87" s="459">
        <f t="shared" si="31"/>
        <v>133.63978731630479</v>
      </c>
      <c r="M87" s="459">
        <f t="shared" si="31"/>
        <v>134.65140715572693</v>
      </c>
      <c r="N87" s="459">
        <f t="shared" si="31"/>
        <v>135.46026757600271</v>
      </c>
    </row>
    <row r="88" spans="1:14">
      <c r="A88" s="309">
        <f>SUM(C88:N88)</f>
        <v>0</v>
      </c>
      <c r="C88" s="309">
        <f t="shared" ref="C88:N88" si="32">SUM(C77:C86)-C87</f>
        <v>0</v>
      </c>
      <c r="D88" s="309">
        <f t="shared" si="32"/>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4">
      <c r="B90" s="341" t="s">
        <v>50</v>
      </c>
      <c r="H90" s="325"/>
    </row>
    <row r="91" spans="1:14">
      <c r="H91" s="325"/>
    </row>
    <row r="92" spans="1:14">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4">
      <c r="B93" s="338" t="str">
        <f t="shared" si="33"/>
        <v>20-24</v>
      </c>
      <c r="C93" s="459">
        <f>C59-(0.2*C59)</f>
        <v>4.7539447653284244</v>
      </c>
      <c r="D93" s="459">
        <f t="shared" ref="D93:N93" si="35">D59-(0.2*D59)</f>
        <v>8.3901819602556547</v>
      </c>
      <c r="E93" s="459">
        <f t="shared" si="35"/>
        <v>10.946530068779548</v>
      </c>
      <c r="F93" s="459">
        <f t="shared" si="35"/>
        <v>12.576586979434424</v>
      </c>
      <c r="G93" s="459">
        <f t="shared" si="35"/>
        <v>13.655818530612828</v>
      </c>
      <c r="H93" s="459">
        <f t="shared" si="35"/>
        <v>14.369247555804009</v>
      </c>
      <c r="I93" s="459">
        <f t="shared" si="35"/>
        <v>14.902676459997878</v>
      </c>
      <c r="J93" s="459">
        <f t="shared" si="35"/>
        <v>15.366839217268543</v>
      </c>
      <c r="K93" s="459">
        <f t="shared" si="35"/>
        <v>15.672419617626824</v>
      </c>
      <c r="L93" s="459">
        <f t="shared" si="35"/>
        <v>15.819661160841893</v>
      </c>
      <c r="M93" s="459">
        <f t="shared" si="35"/>
        <v>15.813710043117748</v>
      </c>
      <c r="N93" s="459">
        <f t="shared" si="35"/>
        <v>15.749325073693688</v>
      </c>
    </row>
    <row r="94" spans="1:14">
      <c r="B94" s="338" t="str">
        <f t="shared" si="33"/>
        <v>25-29</v>
      </c>
      <c r="C94" s="459">
        <f t="shared" ref="C94:C101" si="36">C60+(0.2*C59)-(0.2*C60)</f>
        <v>32.334702344764906</v>
      </c>
      <c r="D94" s="459">
        <f t="shared" ref="D94:N94" si="37">D60+(0.2*D59)-(0.2*D60)</f>
        <v>30.55056479228746</v>
      </c>
      <c r="E94" s="459">
        <f t="shared" si="37"/>
        <v>29.858606988960023</v>
      </c>
      <c r="F94" s="459">
        <f t="shared" si="37"/>
        <v>29.562673828803685</v>
      </c>
      <c r="G94" s="459">
        <f t="shared" si="37"/>
        <v>29.529773112718591</v>
      </c>
      <c r="H94" s="459">
        <f t="shared" si="37"/>
        <v>29.624008383190215</v>
      </c>
      <c r="I94" s="459">
        <f t="shared" si="37"/>
        <v>29.849224449410308</v>
      </c>
      <c r="J94" s="459">
        <f t="shared" si="37"/>
        <v>30.212970291317127</v>
      </c>
      <c r="K94" s="459">
        <f t="shared" si="37"/>
        <v>30.524116267417476</v>
      </c>
      <c r="L94" s="459">
        <f t="shared" si="37"/>
        <v>30.711338221106235</v>
      </c>
      <c r="M94" s="459">
        <f t="shared" si="37"/>
        <v>30.729683149284686</v>
      </c>
      <c r="N94" s="459">
        <f t="shared" si="37"/>
        <v>30.664630424918506</v>
      </c>
    </row>
    <row r="95" spans="1:14">
      <c r="B95" s="338" t="str">
        <f t="shared" si="33"/>
        <v>30-34</v>
      </c>
      <c r="C95" s="459">
        <f t="shared" si="36"/>
        <v>34.075837539601856</v>
      </c>
      <c r="D95" s="459">
        <f t="shared" ref="D95:N95" si="38">D61+(0.2*D60)-(0.2*D61)</f>
        <v>34.414160392805755</v>
      </c>
      <c r="E95" s="459">
        <f t="shared" si="38"/>
        <v>34.304297139973301</v>
      </c>
      <c r="F95" s="459">
        <f t="shared" si="38"/>
        <v>33.946920652855184</v>
      </c>
      <c r="G95" s="459">
        <f t="shared" si="38"/>
        <v>33.567342017291054</v>
      </c>
      <c r="H95" s="459">
        <f t="shared" si="38"/>
        <v>33.240738200121854</v>
      </c>
      <c r="I95" s="459">
        <f t="shared" si="38"/>
        <v>33.038484764071328</v>
      </c>
      <c r="J95" s="459">
        <f t="shared" si="38"/>
        <v>32.995997740927535</v>
      </c>
      <c r="K95" s="459">
        <f t="shared" si="38"/>
        <v>33.010294808513606</v>
      </c>
      <c r="L95" s="459">
        <f t="shared" si="38"/>
        <v>33.021675924257707</v>
      </c>
      <c r="M95" s="459">
        <f t="shared" si="38"/>
        <v>32.977790188080597</v>
      </c>
      <c r="N95" s="459">
        <f t="shared" si="38"/>
        <v>32.902826383363205</v>
      </c>
    </row>
    <row r="96" spans="1:14">
      <c r="B96" s="338" t="str">
        <f t="shared" si="33"/>
        <v>35-39</v>
      </c>
      <c r="C96" s="459">
        <f t="shared" si="36"/>
        <v>27.527302978487661</v>
      </c>
      <c r="D96" s="459">
        <f t="shared" ref="D96:N96" si="39">D62+(0.2*D61)-(0.2*D62)</f>
        <v>28.876722274383656</v>
      </c>
      <c r="E96" s="459">
        <f t="shared" si="39"/>
        <v>29.907475897213008</v>
      </c>
      <c r="F96" s="459">
        <f t="shared" si="39"/>
        <v>30.546572156116447</v>
      </c>
      <c r="G96" s="459">
        <f t="shared" si="39"/>
        <v>30.908315486980033</v>
      </c>
      <c r="H96" s="459">
        <f t="shared" si="39"/>
        <v>31.076223311843435</v>
      </c>
      <c r="I96" s="459">
        <f t="shared" si="39"/>
        <v>31.151765895712693</v>
      </c>
      <c r="J96" s="459">
        <f t="shared" si="39"/>
        <v>31.211470339870413</v>
      </c>
      <c r="K96" s="459">
        <f t="shared" si="39"/>
        <v>31.234552850170143</v>
      </c>
      <c r="L96" s="459">
        <f t="shared" si="39"/>
        <v>31.218800090592666</v>
      </c>
      <c r="M96" s="459">
        <f t="shared" si="39"/>
        <v>31.154211975404372</v>
      </c>
      <c r="N96" s="459">
        <f t="shared" si="39"/>
        <v>31.069032013580298</v>
      </c>
    </row>
    <row r="97" spans="1:14">
      <c r="B97" s="338" t="str">
        <f t="shared" si="33"/>
        <v>40-44</v>
      </c>
      <c r="C97" s="459">
        <f t="shared" si="36"/>
        <v>18.707916653945997</v>
      </c>
      <c r="D97" s="459">
        <f t="shared" ref="D97:N97" si="40">D63+(0.2*D62)-(0.2*D63)</f>
        <v>20.934330424928003</v>
      </c>
      <c r="E97" s="459">
        <f t="shared" si="40"/>
        <v>22.810031171992936</v>
      </c>
      <c r="F97" s="459">
        <f t="shared" si="40"/>
        <v>24.304741968752758</v>
      </c>
      <c r="G97" s="459">
        <f t="shared" si="40"/>
        <v>25.491666198720022</v>
      </c>
      <c r="H97" s="459">
        <f t="shared" si="40"/>
        <v>26.411649321132021</v>
      </c>
      <c r="I97" s="459">
        <f t="shared" si="40"/>
        <v>27.132170296241807</v>
      </c>
      <c r="J97" s="459">
        <f t="shared" si="40"/>
        <v>27.712663326463822</v>
      </c>
      <c r="K97" s="459">
        <f t="shared" si="40"/>
        <v>28.141975565108677</v>
      </c>
      <c r="L97" s="459">
        <f t="shared" si="40"/>
        <v>28.434356708354361</v>
      </c>
      <c r="M97" s="459">
        <f t="shared" si="40"/>
        <v>28.601975758894866</v>
      </c>
      <c r="N97" s="459">
        <f t="shared" si="40"/>
        <v>28.689366583654973</v>
      </c>
    </row>
    <row r="98" spans="1:14">
      <c r="B98" s="338" t="str">
        <f t="shared" si="33"/>
        <v>45-49</v>
      </c>
      <c r="C98" s="459">
        <f t="shared" si="36"/>
        <v>17.768384073319073</v>
      </c>
      <c r="D98" s="459">
        <f t="shared" ref="D98:N98" si="41">D64+(0.2*D63)-(0.2*D64)</f>
        <v>18.1410837586327</v>
      </c>
      <c r="E98" s="459">
        <f t="shared" si="41"/>
        <v>18.810949206636977</v>
      </c>
      <c r="F98" s="459">
        <f t="shared" si="41"/>
        <v>19.582446521767743</v>
      </c>
      <c r="G98" s="459">
        <f t="shared" si="41"/>
        <v>20.395206039647626</v>
      </c>
      <c r="H98" s="459">
        <f t="shared" si="41"/>
        <v>21.19069223695772</v>
      </c>
      <c r="I98" s="459">
        <f t="shared" si="41"/>
        <v>21.951380161423256</v>
      </c>
      <c r="J98" s="459">
        <f t="shared" si="41"/>
        <v>22.669518534267507</v>
      </c>
      <c r="K98" s="459">
        <f t="shared" si="41"/>
        <v>23.29425897768877</v>
      </c>
      <c r="L98" s="459">
        <f t="shared" si="41"/>
        <v>23.807646779630637</v>
      </c>
      <c r="M98" s="459">
        <f t="shared" si="41"/>
        <v>24.200815673889092</v>
      </c>
      <c r="N98" s="459">
        <f t="shared" si="41"/>
        <v>24.499867936459864</v>
      </c>
    </row>
    <row r="99" spans="1:14">
      <c r="B99" s="338" t="str">
        <f t="shared" si="33"/>
        <v>50-54</v>
      </c>
      <c r="C99" s="459">
        <f t="shared" si="36"/>
        <v>19.702539098042518</v>
      </c>
      <c r="D99" s="459">
        <f t="shared" ref="D99:N99" si="42">D65+(0.2*D64)-(0.2*D65)</f>
        <v>18.590649932109862</v>
      </c>
      <c r="E99" s="459">
        <f t="shared" si="42"/>
        <v>17.852551594779744</v>
      </c>
      <c r="F99" s="459">
        <f t="shared" si="42"/>
        <v>17.397954608404056</v>
      </c>
      <c r="G99" s="459">
        <f t="shared" si="42"/>
        <v>17.192559335346107</v>
      </c>
      <c r="H99" s="459">
        <f t="shared" si="42"/>
        <v>17.179986873581459</v>
      </c>
      <c r="I99" s="459">
        <f t="shared" si="42"/>
        <v>17.322493894568545</v>
      </c>
      <c r="J99" s="459">
        <f t="shared" si="42"/>
        <v>17.584358232418793</v>
      </c>
      <c r="K99" s="459">
        <f t="shared" si="42"/>
        <v>17.896666859314472</v>
      </c>
      <c r="L99" s="459">
        <f t="shared" si="42"/>
        <v>18.216768910946961</v>
      </c>
      <c r="M99" s="459">
        <f t="shared" si="42"/>
        <v>18.512103699767497</v>
      </c>
      <c r="N99" s="459">
        <f t="shared" si="42"/>
        <v>18.780423720591699</v>
      </c>
    </row>
    <row r="100" spans="1:14">
      <c r="B100" s="338" t="str">
        <f t="shared" si="33"/>
        <v>55-59</v>
      </c>
      <c r="C100" s="459">
        <f t="shared" si="36"/>
        <v>21.587814389360215</v>
      </c>
      <c r="D100" s="459">
        <f t="shared" ref="D100:N100" si="43">D66+(0.2*D65)-(0.2*D66)</f>
        <v>17.397296379649866</v>
      </c>
      <c r="E100" s="459">
        <f t="shared" si="43"/>
        <v>14.664930950170575</v>
      </c>
      <c r="F100" s="459">
        <f t="shared" si="43"/>
        <v>12.851745647249732</v>
      </c>
      <c r="G100" s="459">
        <f t="shared" si="43"/>
        <v>11.662583442081965</v>
      </c>
      <c r="H100" s="459">
        <f t="shared" si="43"/>
        <v>10.898982522358976</v>
      </c>
      <c r="I100" s="459">
        <f t="shared" si="43"/>
        <v>10.440468573310319</v>
      </c>
      <c r="J100" s="459">
        <f t="shared" si="43"/>
        <v>10.203850037110568</v>
      </c>
      <c r="K100" s="459">
        <f t="shared" si="43"/>
        <v>10.10349848671374</v>
      </c>
      <c r="L100" s="459">
        <f t="shared" si="43"/>
        <v>10.08654818096711</v>
      </c>
      <c r="M100" s="459">
        <f t="shared" si="43"/>
        <v>10.114364956578981</v>
      </c>
      <c r="N100" s="459">
        <f t="shared" si="43"/>
        <v>10.17356449993035</v>
      </c>
    </row>
    <row r="101" spans="1:14">
      <c r="B101" s="338" t="str">
        <f t="shared" si="33"/>
        <v>60-64</v>
      </c>
      <c r="C101" s="459">
        <f t="shared" si="36"/>
        <v>10.098187243653143</v>
      </c>
      <c r="D101" s="459">
        <f t="shared" ref="D101:N101" si="44">D67+(0.2*D66)-(0.2*D67)</f>
        <v>8.3664135197233627</v>
      </c>
      <c r="E101" s="459">
        <f t="shared" si="44"/>
        <v>6.9338280921634361</v>
      </c>
      <c r="F101" s="459">
        <f t="shared" si="44"/>
        <v>5.8442828072151007</v>
      </c>
      <c r="G101" s="459">
        <f t="shared" si="44"/>
        <v>5.0615475856395511</v>
      </c>
      <c r="H101" s="459">
        <f t="shared" si="44"/>
        <v>4.516672357762145</v>
      </c>
      <c r="I101" s="459">
        <f t="shared" si="44"/>
        <v>4.1530135666331356</v>
      </c>
      <c r="J101" s="459">
        <f t="shared" si="44"/>
        <v>3.924280145588444</v>
      </c>
      <c r="K101" s="459">
        <f t="shared" si="44"/>
        <v>3.7808941567368386</v>
      </c>
      <c r="L101" s="459">
        <f t="shared" si="44"/>
        <v>3.6931246358082888</v>
      </c>
      <c r="M101" s="459">
        <f t="shared" si="44"/>
        <v>3.6397871068186793</v>
      </c>
      <c r="N101" s="459">
        <f t="shared" si="44"/>
        <v>3.6138166740473663</v>
      </c>
    </row>
    <row r="102" spans="1:14">
      <c r="B102" s="338" t="str">
        <f t="shared" si="33"/>
        <v>65 plus</v>
      </c>
      <c r="C102" s="459">
        <f>C68+(0.2*C67)</f>
        <v>6.8248178338779404</v>
      </c>
      <c r="D102" s="459">
        <f t="shared" ref="D102:N102" si="45">D68+(0.2*D67)</f>
        <v>4.7265465865760472</v>
      </c>
      <c r="E102" s="459">
        <f t="shared" si="45"/>
        <v>3.4832424380195177</v>
      </c>
      <c r="F102" s="459">
        <f t="shared" si="45"/>
        <v>2.6937837299423171</v>
      </c>
      <c r="G102" s="459">
        <f t="shared" si="45"/>
        <v>2.1731735344206182</v>
      </c>
      <c r="H102" s="459">
        <f t="shared" si="45"/>
        <v>1.8224193324768478</v>
      </c>
      <c r="I102" s="459">
        <f t="shared" si="45"/>
        <v>1.5862671768520344</v>
      </c>
      <c r="J102" s="459">
        <f t="shared" si="45"/>
        <v>1.4299757055904072</v>
      </c>
      <c r="K102" s="459">
        <f t="shared" si="45"/>
        <v>1.3250873543332014</v>
      </c>
      <c r="L102" s="459">
        <f t="shared" si="45"/>
        <v>1.2539929074311502</v>
      </c>
      <c r="M102" s="459">
        <f t="shared" si="45"/>
        <v>1.2046958980421913</v>
      </c>
      <c r="N102" s="459">
        <f t="shared" si="45"/>
        <v>1.1719715499436714</v>
      </c>
    </row>
    <row r="103" spans="1:14">
      <c r="B103" s="338" t="str">
        <f t="shared" si="33"/>
        <v>Total</v>
      </c>
      <c r="C103" s="459">
        <f>SUM(C93:C102)</f>
        <v>193.38144692038173</v>
      </c>
      <c r="D103" s="459">
        <f t="shared" ref="D103:N103" si="46">SUM(D93:D102)</f>
        <v>190.38795002135237</v>
      </c>
      <c r="E103" s="459">
        <f t="shared" si="46"/>
        <v>189.57244354868905</v>
      </c>
      <c r="F103" s="459">
        <f t="shared" si="46"/>
        <v>189.30770890054146</v>
      </c>
      <c r="G103" s="459">
        <f t="shared" si="46"/>
        <v>189.63798528345839</v>
      </c>
      <c r="H103" s="459">
        <f t="shared" si="46"/>
        <v>190.33062009522868</v>
      </c>
      <c r="I103" s="459">
        <f t="shared" si="46"/>
        <v>191.52794523822129</v>
      </c>
      <c r="J103" s="459">
        <f t="shared" si="46"/>
        <v>193.31192357082315</v>
      </c>
      <c r="K103" s="459">
        <f t="shared" si="46"/>
        <v>194.98376494362375</v>
      </c>
      <c r="L103" s="459">
        <f t="shared" si="46"/>
        <v>196.26391351993701</v>
      </c>
      <c r="M103" s="459">
        <f t="shared" si="46"/>
        <v>196.94913844987869</v>
      </c>
      <c r="N103" s="459">
        <f t="shared" si="46"/>
        <v>197.31482486018362</v>
      </c>
    </row>
    <row r="104" spans="1:14">
      <c r="A104" s="309">
        <f>SUM(C104:N104)</f>
        <v>0</v>
      </c>
      <c r="C104" s="309">
        <f t="shared" ref="C104:N104" si="47">SUM(C93:C102)-C103</f>
        <v>0</v>
      </c>
      <c r="D104" s="309">
        <f t="shared" si="47"/>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4" ht="15.75">
      <c r="B106" s="340" t="s">
        <v>151</v>
      </c>
      <c r="H106" s="325"/>
    </row>
    <row r="107" spans="1:14">
      <c r="H107" s="325"/>
    </row>
    <row r="108" spans="1:14">
      <c r="B108" s="341" t="s">
        <v>49</v>
      </c>
      <c r="H108" s="325"/>
    </row>
    <row r="109" spans="1:14">
      <c r="H109" s="325"/>
    </row>
    <row r="110" spans="1:14">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4">
      <c r="B111" s="338" t="str">
        <f t="shared" si="48"/>
        <v>20-24</v>
      </c>
      <c r="C111" s="459">
        <f>C77*Group_2_rates!E74</f>
        <v>0.56758751174787281</v>
      </c>
      <c r="D111" s="459">
        <f>D77*Group_2_rates!F74</f>
        <v>0.81590216455834075</v>
      </c>
      <c r="E111" s="459">
        <f>E77*Group_2_rates!G74</f>
        <v>0.98612974224516803</v>
      </c>
      <c r="F111" s="459">
        <f>F77*Group_2_rates!H74</f>
        <v>1.0887528864770137</v>
      </c>
      <c r="G111" s="459">
        <f>G77*Group_2_rates!I74</f>
        <v>1.1533803945902836</v>
      </c>
      <c r="H111" s="459">
        <f>H77*Group_2_rates!J74</f>
        <v>1.1937521832606048</v>
      </c>
      <c r="I111" s="459">
        <f>I77*Group_2_rates!K74</f>
        <v>1.2239754766630206</v>
      </c>
      <c r="J111" s="459">
        <f>J77*Group_2_rates!L74</f>
        <v>1.2520751855516103</v>
      </c>
      <c r="K111" s="459">
        <f>K77*Group_2_rates!M74</f>
        <v>1.269546435001407</v>
      </c>
      <c r="L111" s="459">
        <f>L77*Group_2_rates!N74</f>
        <v>1.2758069918403288</v>
      </c>
      <c r="M111" s="459">
        <f>M77*Group_2_rates!O74</f>
        <v>1.2708658115025897</v>
      </c>
      <c r="N111" s="459">
        <f>N77*Group_2_rates!P74</f>
        <v>1.2623641124294542</v>
      </c>
    </row>
    <row r="112" spans="1:14">
      <c r="B112" s="338" t="str">
        <f t="shared" si="48"/>
        <v>25-29</v>
      </c>
      <c r="C112" s="459">
        <f>C78*Group_2_rates!E75</f>
        <v>1.7216104249326449</v>
      </c>
      <c r="D112" s="459">
        <f>D78*Group_2_rates!F75</f>
        <v>1.7815686189499134</v>
      </c>
      <c r="E112" s="459">
        <f>E78*Group_2_rates!G75</f>
        <v>1.8579994805284508</v>
      </c>
      <c r="F112" s="459">
        <f>F78*Group_2_rates!H75</f>
        <v>1.9198974828238213</v>
      </c>
      <c r="G112" s="459">
        <f>G78*Group_2_rates!I75</f>
        <v>1.9715818268229732</v>
      </c>
      <c r="H112" s="459">
        <f>H78*Group_2_rates!J75</f>
        <v>2.0128288146223388</v>
      </c>
      <c r="I112" s="459">
        <f>I78*Group_2_rates!K75</f>
        <v>2.0505722066067396</v>
      </c>
      <c r="J112" s="459">
        <f>J78*Group_2_rates!L75</f>
        <v>2.0898342173236055</v>
      </c>
      <c r="K112" s="459">
        <f>K78*Group_2_rates!M75</f>
        <v>2.1196562254304356</v>
      </c>
      <c r="L112" s="459">
        <f>L78*Group_2_rates!N75</f>
        <v>2.1369230081408181</v>
      </c>
      <c r="M112" s="459">
        <f>M78*Group_2_rates!O75</f>
        <v>2.1397883188995332</v>
      </c>
      <c r="N112" s="459">
        <f>N78*Group_2_rates!P75</f>
        <v>2.1354560320120726</v>
      </c>
    </row>
    <row r="113" spans="1:15">
      <c r="B113" s="338" t="str">
        <f t="shared" si="48"/>
        <v>30-34</v>
      </c>
      <c r="C113" s="459">
        <f>C79*Group_2_rates!E76</f>
        <v>1.2466063982530748</v>
      </c>
      <c r="D113" s="459">
        <f>D79*Group_2_rates!F76</f>
        <v>1.3123308821878408</v>
      </c>
      <c r="E113" s="459">
        <f>E79*Group_2_rates!G76</f>
        <v>1.3665543813124119</v>
      </c>
      <c r="F113" s="459">
        <f>F79*Group_2_rates!H76</f>
        <v>1.4084757829235073</v>
      </c>
      <c r="G113" s="459">
        <f>G79*Group_2_rates!I76</f>
        <v>1.4436785544175672</v>
      </c>
      <c r="H113" s="459">
        <f>H79*Group_2_rates!J76</f>
        <v>1.4737322722635393</v>
      </c>
      <c r="I113" s="459">
        <f>I79*Group_2_rates!K76</f>
        <v>1.5017523818066463</v>
      </c>
      <c r="J113" s="459">
        <f>J79*Group_2_rates!L76</f>
        <v>1.5300478994423554</v>
      </c>
      <c r="K113" s="459">
        <f>K79*Group_2_rates!M76</f>
        <v>1.554697669815871</v>
      </c>
      <c r="L113" s="459">
        <f>L79*Group_2_rates!N76</f>
        <v>1.5738728514701148</v>
      </c>
      <c r="M113" s="459">
        <f>M79*Group_2_rates!O76</f>
        <v>1.5860332233602781</v>
      </c>
      <c r="N113" s="459">
        <f>N79*Group_2_rates!P76</f>
        <v>1.593182718041072</v>
      </c>
    </row>
    <row r="114" spans="1:15">
      <c r="B114" s="338" t="str">
        <f t="shared" si="48"/>
        <v>35-39</v>
      </c>
      <c r="C114" s="459">
        <f>C80*Group_2_rates!E77</f>
        <v>0.99627498121161484</v>
      </c>
      <c r="D114" s="459">
        <f>D80*Group_2_rates!F77</f>
        <v>1.0480975763802038</v>
      </c>
      <c r="E114" s="459">
        <f>E80*Group_2_rates!G77</f>
        <v>1.0965737967663081</v>
      </c>
      <c r="F114" s="459">
        <f>F80*Group_2_rates!H77</f>
        <v>1.137571702777094</v>
      </c>
      <c r="G114" s="459">
        <f>G80*Group_2_rates!I77</f>
        <v>1.1732666717802431</v>
      </c>
      <c r="H114" s="459">
        <f>H80*Group_2_rates!J77</f>
        <v>1.2044827279452843</v>
      </c>
      <c r="I114" s="459">
        <f>I80*Group_2_rates!K77</f>
        <v>1.2331766919080076</v>
      </c>
      <c r="J114" s="459">
        <f>J80*Group_2_rates!L77</f>
        <v>1.2608633933792841</v>
      </c>
      <c r="K114" s="459">
        <f>K80*Group_2_rates!M77</f>
        <v>1.2856193301728907</v>
      </c>
      <c r="L114" s="459">
        <f>L80*Group_2_rates!N77</f>
        <v>1.3066801562589123</v>
      </c>
      <c r="M114" s="459">
        <f>M80*Group_2_rates!O77</f>
        <v>1.3232816939333063</v>
      </c>
      <c r="N114" s="459">
        <f>N80*Group_2_rates!P77</f>
        <v>1.3364579069490778</v>
      </c>
    </row>
    <row r="115" spans="1:15">
      <c r="B115" s="338" t="str">
        <f t="shared" si="48"/>
        <v>40-44</v>
      </c>
      <c r="C115" s="459">
        <f>C81*Group_2_rates!E78</f>
        <v>0.87096698691808139</v>
      </c>
      <c r="D115" s="459">
        <f>D81*Group_2_rates!F78</f>
        <v>0.93867137235933118</v>
      </c>
      <c r="E115" s="459">
        <f>E81*Group_2_rates!G78</f>
        <v>0.99879190800239592</v>
      </c>
      <c r="F115" s="459">
        <f>F81*Group_2_rates!H78</f>
        <v>1.0498217383143613</v>
      </c>
      <c r="G115" s="459">
        <f>G81*Group_2_rates!I78</f>
        <v>1.0945688448751321</v>
      </c>
      <c r="H115" s="459">
        <f>H81*Group_2_rates!J78</f>
        <v>1.1340690652513326</v>
      </c>
      <c r="I115" s="459">
        <f>I81*Group_2_rates!K78</f>
        <v>1.1702183085291482</v>
      </c>
      <c r="J115" s="459">
        <f>J81*Group_2_rates!L78</f>
        <v>1.204426343280355</v>
      </c>
      <c r="K115" s="459">
        <f>K81*Group_2_rates!M78</f>
        <v>1.2350302219315499</v>
      </c>
      <c r="L115" s="459">
        <f>L81*Group_2_rates!N78</f>
        <v>1.2615525941496954</v>
      </c>
      <c r="M115" s="459">
        <f>M81*Group_2_rates!O78</f>
        <v>1.2835735329895601</v>
      </c>
      <c r="N115" s="459">
        <f>N81*Group_2_rates!P78</f>
        <v>1.302258256917376</v>
      </c>
    </row>
    <row r="116" spans="1:15">
      <c r="B116" s="338" t="str">
        <f t="shared" si="48"/>
        <v>45-49</v>
      </c>
      <c r="C116" s="459">
        <f>C82*Group_2_rates!E79</f>
        <v>0.92495584595939828</v>
      </c>
      <c r="D116" s="459">
        <f>D82*Group_2_rates!F79</f>
        <v>0.94995465506882248</v>
      </c>
      <c r="E116" s="459">
        <f>E82*Group_2_rates!G79</f>
        <v>0.98200135045890591</v>
      </c>
      <c r="F116" s="459">
        <f>F82*Group_2_rates!H79</f>
        <v>1.015134741802145</v>
      </c>
      <c r="G116" s="459">
        <f>G82*Group_2_rates!I79</f>
        <v>1.0489885037449487</v>
      </c>
      <c r="H116" s="459">
        <f>H82*Group_2_rates!J79</f>
        <v>1.0825124369639392</v>
      </c>
      <c r="I116" s="459">
        <f>I82*Group_2_rates!K79</f>
        <v>1.1160261540720253</v>
      </c>
      <c r="J116" s="459">
        <f>J82*Group_2_rates!L79</f>
        <v>1.1498021938515546</v>
      </c>
      <c r="K116" s="459">
        <f>K82*Group_2_rates!M79</f>
        <v>1.1815722383958029</v>
      </c>
      <c r="L116" s="459">
        <f>L82*Group_2_rates!N79</f>
        <v>1.2103603727387788</v>
      </c>
      <c r="M116" s="459">
        <f>M82*Group_2_rates!O79</f>
        <v>1.2354255496367232</v>
      </c>
      <c r="N116" s="459">
        <f>N82*Group_2_rates!P79</f>
        <v>1.2576266088067396</v>
      </c>
    </row>
    <row r="117" spans="1:15">
      <c r="B117" s="338" t="str">
        <f t="shared" si="48"/>
        <v>50-54</v>
      </c>
      <c r="C117" s="459">
        <f>C83*Group_2_rates!E80</f>
        <v>1.4664738594097511</v>
      </c>
      <c r="D117" s="459">
        <f>D83*Group_2_rates!F80</f>
        <v>1.2879832183972746</v>
      </c>
      <c r="E117" s="459">
        <f>E83*Group_2_rates!G80</f>
        <v>1.1642745428156631</v>
      </c>
      <c r="F117" s="459">
        <f>F83*Group_2_rates!H80</f>
        <v>1.0792165231918474</v>
      </c>
      <c r="G117" s="459">
        <f>G83*Group_2_rates!I80</f>
        <v>1.0234540942482551</v>
      </c>
      <c r="H117" s="459">
        <f>H83*Group_2_rates!J80</f>
        <v>0.98916912442223692</v>
      </c>
      <c r="I117" s="459">
        <f>I83*Group_2_rates!K80</f>
        <v>0.97123204589437628</v>
      </c>
      <c r="J117" s="459">
        <f>J83*Group_2_rates!L80</f>
        <v>0.96575062109856347</v>
      </c>
      <c r="K117" s="459">
        <f>K83*Group_2_rates!M80</f>
        <v>0.96787599221298903</v>
      </c>
      <c r="L117" s="459">
        <f>L83*Group_2_rates!N80</f>
        <v>0.97450913528873817</v>
      </c>
      <c r="M117" s="459">
        <f>M83*Group_2_rates!O80</f>
        <v>0.98330765586779467</v>
      </c>
      <c r="N117" s="459">
        <f>N83*Group_2_rates!P80</f>
        <v>0.99359470910966641</v>
      </c>
    </row>
    <row r="118" spans="1:15">
      <c r="B118" s="338" t="str">
        <f t="shared" si="48"/>
        <v>55-59</v>
      </c>
      <c r="C118" s="459">
        <f>C84*Group_2_rates!E81</f>
        <v>0.83075842015894086</v>
      </c>
      <c r="D118" s="459">
        <f>D84*Group_2_rates!F81</f>
        <v>0.70455436078292266</v>
      </c>
      <c r="E118" s="459">
        <f>E84*Group_2_rates!G81</f>
        <v>0.60744731372277061</v>
      </c>
      <c r="F118" s="459">
        <f>F84*Group_2_rates!H81</f>
        <v>0.53344065025955678</v>
      </c>
      <c r="G118" s="459">
        <f>G84*Group_2_rates!I81</f>
        <v>0.47859229112423712</v>
      </c>
      <c r="H118" s="459">
        <f>H84*Group_2_rates!J81</f>
        <v>0.4388925542164403</v>
      </c>
      <c r="I118" s="459">
        <f>I84*Group_2_rates!K81</f>
        <v>0.41132117497951654</v>
      </c>
      <c r="J118" s="459">
        <f>J84*Group_2_rates!L81</f>
        <v>0.39331762185463542</v>
      </c>
      <c r="K118" s="459">
        <f>K84*Group_2_rates!M81</f>
        <v>0.38185468683900375</v>
      </c>
      <c r="L118" s="459">
        <f>L84*Group_2_rates!N81</f>
        <v>0.37492957529588888</v>
      </c>
      <c r="M118" s="459">
        <f>M84*Group_2_rates!O81</f>
        <v>0.37100237694585608</v>
      </c>
      <c r="N118" s="459">
        <f>N84*Group_2_rates!P81</f>
        <v>0.36942668742465323</v>
      </c>
    </row>
    <row r="119" spans="1:15">
      <c r="B119" s="338" t="str">
        <f t="shared" si="48"/>
        <v>60-64</v>
      </c>
      <c r="C119" s="459">
        <f>C85*Group_2_rates!E82</f>
        <v>0.14743751613839395</v>
      </c>
      <c r="D119" s="459">
        <f>D85*Group_2_rates!F82</f>
        <v>0.12069891336306755</v>
      </c>
      <c r="E119" s="459">
        <f>E85*Group_2_rates!G82</f>
        <v>0.10110891776230177</v>
      </c>
      <c r="F119" s="459">
        <f>F85*Group_2_rates!H82</f>
        <v>8.6316960338404136E-2</v>
      </c>
      <c r="G119" s="459">
        <f>G85*Group_2_rates!I82</f>
        <v>7.518628015799611E-2</v>
      </c>
      <c r="H119" s="459">
        <f>H85*Group_2_rates!J82</f>
        <v>6.6862730050047184E-2</v>
      </c>
      <c r="I119" s="459">
        <f>I85*Group_2_rates!K82</f>
        <v>6.0786307168775838E-2</v>
      </c>
      <c r="J119" s="459">
        <f>J85*Group_2_rates!L82</f>
        <v>5.6501907661325838E-2</v>
      </c>
      <c r="K119" s="459">
        <f>K85*Group_2_rates!M82</f>
        <v>5.3456856138008643E-2</v>
      </c>
      <c r="L119" s="459">
        <f>L85*Group_2_rates!N82</f>
        <v>5.1300819247123153E-2</v>
      </c>
      <c r="M119" s="459">
        <f>M85*Group_2_rates!O82</f>
        <v>4.9765304015879371E-2</v>
      </c>
      <c r="N119" s="459">
        <f>N85*Group_2_rates!P82</f>
        <v>4.8747047339837223E-2</v>
      </c>
    </row>
    <row r="120" spans="1:15">
      <c r="B120" s="338" t="str">
        <f t="shared" si="48"/>
        <v>65 plus</v>
      </c>
      <c r="C120" s="459">
        <f>C86*Group_2_rates!E83</f>
        <v>0.14857537495043655</v>
      </c>
      <c r="D120" s="459">
        <f>D86*Group_2_rates!F83</f>
        <v>0.10423560414581244</v>
      </c>
      <c r="E120" s="459">
        <f>E86*Group_2_rates!G83</f>
        <v>7.6445535826766262E-2</v>
      </c>
      <c r="F120" s="459">
        <f>F86*Group_2_rates!H83</f>
        <v>5.851957360733695E-2</v>
      </c>
      <c r="G120" s="459">
        <f>G86*Group_2_rates!I83</f>
        <v>4.6661126932522383E-2</v>
      </c>
      <c r="H120" s="459">
        <f>H86*Group_2_rates!J83</f>
        <v>3.8617699780843437E-2</v>
      </c>
      <c r="I120" s="459">
        <f>I86*Group_2_rates!K83</f>
        <v>3.3081678115385836E-2</v>
      </c>
      <c r="J120" s="459">
        <f>J86*Group_2_rates!L83</f>
        <v>2.9255992327728682E-2</v>
      </c>
      <c r="K120" s="459">
        <f>K86*Group_2_rates!M83</f>
        <v>2.6554897503225691E-2</v>
      </c>
      <c r="L120" s="459">
        <f>L86*Group_2_rates!N83</f>
        <v>2.4616602442099525E-2</v>
      </c>
      <c r="M120" s="459">
        <f>M86*Group_2_rates!O83</f>
        <v>2.3197748831294461E-2</v>
      </c>
      <c r="N120" s="459">
        <f>N86*Group_2_rates!P83</f>
        <v>2.2176855307741543E-2</v>
      </c>
    </row>
    <row r="121" spans="1:15">
      <c r="B121" s="338" t="str">
        <f t="shared" si="48"/>
        <v>Total</v>
      </c>
      <c r="C121" s="459">
        <f>SUM(C111:C120)</f>
        <v>8.9212473196802105</v>
      </c>
      <c r="D121" s="459">
        <f t="shared" ref="D121:N121" si="50">SUM(D111:D120)</f>
        <v>9.0639973661935294</v>
      </c>
      <c r="E121" s="459">
        <f t="shared" si="50"/>
        <v>9.237326969441142</v>
      </c>
      <c r="F121" s="459">
        <f t="shared" si="50"/>
        <v>9.3771480425150866</v>
      </c>
      <c r="G121" s="459">
        <f t="shared" si="50"/>
        <v>9.5093585886941572</v>
      </c>
      <c r="H121" s="459">
        <f t="shared" si="50"/>
        <v>9.634919608776606</v>
      </c>
      <c r="I121" s="459">
        <f t="shared" si="50"/>
        <v>9.7721424257436418</v>
      </c>
      <c r="J121" s="459">
        <f t="shared" si="50"/>
        <v>9.9318753757710194</v>
      </c>
      <c r="K121" s="459">
        <f t="shared" si="50"/>
        <v>10.075864553441185</v>
      </c>
      <c r="L121" s="459">
        <f t="shared" si="50"/>
        <v>10.190552106872499</v>
      </c>
      <c r="M121" s="459">
        <f t="shared" si="50"/>
        <v>10.266241215982816</v>
      </c>
      <c r="N121" s="459">
        <f t="shared" si="50"/>
        <v>10.321290934337691</v>
      </c>
    </row>
    <row r="122" spans="1:15">
      <c r="A122" s="309">
        <f>SUM(C122:N122)</f>
        <v>0</v>
      </c>
      <c r="C122" s="309">
        <f t="shared" ref="C122:N122" si="51">SUM(C111:C120)-C121</f>
        <v>0</v>
      </c>
      <c r="D122" s="309">
        <f t="shared" si="51"/>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5">
      <c r="B124" s="341" t="s">
        <v>50</v>
      </c>
      <c r="C124" s="329"/>
      <c r="D124" s="329"/>
      <c r="E124" s="329"/>
      <c r="F124" s="329"/>
      <c r="G124" s="329"/>
      <c r="H124" s="339"/>
      <c r="I124" s="329"/>
      <c r="J124" s="329"/>
      <c r="K124" s="329"/>
      <c r="L124" s="329"/>
    </row>
    <row r="125" spans="1:15">
      <c r="C125" s="329"/>
      <c r="D125" s="329"/>
      <c r="E125" s="329"/>
      <c r="F125" s="329"/>
      <c r="G125" s="329"/>
      <c r="H125" s="339"/>
      <c r="I125" s="329"/>
      <c r="J125" s="329"/>
      <c r="K125" s="329"/>
      <c r="L125" s="329"/>
    </row>
    <row r="126" spans="1:15">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5">
      <c r="B127" s="338" t="str">
        <f t="shared" si="52"/>
        <v>20-24</v>
      </c>
      <c r="C127" s="459">
        <f>C93*Group_2_rates!E89</f>
        <v>0.50392897873094167</v>
      </c>
      <c r="D127" s="459">
        <f>D93*Group_2_rates!F89</f>
        <v>0.88937840789286249</v>
      </c>
      <c r="E127" s="459">
        <f>E93*Group_2_rates!G89</f>
        <v>1.1603571329728171</v>
      </c>
      <c r="F127" s="459">
        <f>F93*Group_2_rates!H89</f>
        <v>1.333146880184547</v>
      </c>
      <c r="G127" s="459">
        <f>G93*Group_2_rates!I89</f>
        <v>1.4475478840342355</v>
      </c>
      <c r="H127" s="459">
        <f>H93*Group_2_rates!J89</f>
        <v>1.5231729865141053</v>
      </c>
      <c r="I127" s="459">
        <f>I93*Group_2_rates!K89</f>
        <v>1.5797176659719894</v>
      </c>
      <c r="J127" s="459">
        <f>J93*Group_2_rates!L89</f>
        <v>1.6289199760077024</v>
      </c>
      <c r="K127" s="459">
        <f>K93*Group_2_rates!M89</f>
        <v>1.6613121948226599</v>
      </c>
      <c r="L127" s="459">
        <f>L93*Group_2_rates!N89</f>
        <v>1.6769201339472979</v>
      </c>
      <c r="M127" s="459">
        <f>M93*Group_2_rates!O89</f>
        <v>1.6762893019067351</v>
      </c>
      <c r="N127" s="459">
        <f>N93*Group_2_rates!P89</f>
        <v>1.6694643484230258</v>
      </c>
      <c r="O127" s="327"/>
    </row>
    <row r="128" spans="1:15">
      <c r="B128" s="338" t="str">
        <f t="shared" si="52"/>
        <v>25-29</v>
      </c>
      <c r="C128" s="459">
        <f>C94*Group_2_rates!E90</f>
        <v>3.2180866428879198</v>
      </c>
      <c r="D128" s="459">
        <f>D94*Group_2_rates!F90</f>
        <v>3.0405217107761513</v>
      </c>
      <c r="E128" s="459">
        <f>E94*Group_2_rates!G90</f>
        <v>2.9716551370069757</v>
      </c>
      <c r="F128" s="459">
        <f>F94*Group_2_rates!H90</f>
        <v>2.9422026144591409</v>
      </c>
      <c r="G128" s="459">
        <f>G94*Group_2_rates!I90</f>
        <v>2.9389281957295053</v>
      </c>
      <c r="H128" s="459">
        <f>H94*Group_2_rates!J90</f>
        <v>2.9483068893064623</v>
      </c>
      <c r="I128" s="459">
        <f>I94*Group_2_rates!K90</f>
        <v>2.9707213468987703</v>
      </c>
      <c r="J128" s="459">
        <f>J94*Group_2_rates!L90</f>
        <v>3.0069228749897157</v>
      </c>
      <c r="K128" s="459">
        <f>K94*Group_2_rates!M90</f>
        <v>3.0378894414668296</v>
      </c>
      <c r="L128" s="459">
        <f>L94*Group_2_rates!N90</f>
        <v>3.0565225639244642</v>
      </c>
      <c r="M128" s="459">
        <f>M94*Group_2_rates!O90</f>
        <v>3.058348328940216</v>
      </c>
      <c r="N128" s="459">
        <f>N94*Group_2_rates!P90</f>
        <v>3.0518740060553426</v>
      </c>
      <c r="O128" s="327"/>
    </row>
    <row r="129" spans="1:15">
      <c r="B129" s="338" t="str">
        <f t="shared" si="52"/>
        <v>30-34</v>
      </c>
      <c r="C129" s="459">
        <f>C95*Group_2_rates!E91</f>
        <v>3.1449912557290349</v>
      </c>
      <c r="D129" s="459">
        <f>D95*Group_2_rates!F91</f>
        <v>3.1762163844937494</v>
      </c>
      <c r="E129" s="459">
        <f>E95*Group_2_rates!G91</f>
        <v>3.1660766786367041</v>
      </c>
      <c r="F129" s="459">
        <f>F95*Group_2_rates!H91</f>
        <v>3.1330930160727708</v>
      </c>
      <c r="G129" s="459">
        <f>G95*Group_2_rates!I91</f>
        <v>3.0980602310877097</v>
      </c>
      <c r="H129" s="459">
        <f>H95*Group_2_rates!J91</f>
        <v>3.0679166976267607</v>
      </c>
      <c r="I129" s="459">
        <f>I95*Group_2_rates!K91</f>
        <v>3.049249943300302</v>
      </c>
      <c r="J129" s="459">
        <f>J95*Group_2_rates!L91</f>
        <v>3.0453286510910091</v>
      </c>
      <c r="K129" s="459">
        <f>K95*Group_2_rates!M91</f>
        <v>3.0466481829290308</v>
      </c>
      <c r="L129" s="459">
        <f>L95*Group_2_rates!N91</f>
        <v>3.0476985902580958</v>
      </c>
      <c r="M129" s="459">
        <f>M95*Group_2_rates!O91</f>
        <v>3.0436482053961584</v>
      </c>
      <c r="N129" s="459">
        <f>N95*Group_2_rates!P91</f>
        <v>3.0367295050103387</v>
      </c>
      <c r="O129" s="327"/>
    </row>
    <row r="130" spans="1:15">
      <c r="B130" s="338" t="str">
        <f t="shared" si="52"/>
        <v>35-39</v>
      </c>
      <c r="C130" s="459">
        <f>C96*Group_2_rates!E92</f>
        <v>2.2341638212862476</v>
      </c>
      <c r="D130" s="459">
        <f>D96*Group_2_rates!F92</f>
        <v>2.3436850400192437</v>
      </c>
      <c r="E130" s="459">
        <f>E96*Group_2_rates!G92</f>
        <v>2.4273427980852893</v>
      </c>
      <c r="F130" s="459">
        <f>F96*Group_2_rates!H92</f>
        <v>2.4792129628114634</v>
      </c>
      <c r="G130" s="459">
        <f>G96*Group_2_rates!I92</f>
        <v>2.5085726811623168</v>
      </c>
      <c r="H130" s="459">
        <f>H96*Group_2_rates!J92</f>
        <v>2.5222003724735158</v>
      </c>
      <c r="I130" s="459">
        <f>I96*Group_2_rates!K92</f>
        <v>2.5283315400629842</v>
      </c>
      <c r="J130" s="459">
        <f>J96*Group_2_rates!L92</f>
        <v>2.5331772566670199</v>
      </c>
      <c r="K130" s="459">
        <f>K96*Group_2_rates!M92</f>
        <v>2.5350506733782914</v>
      </c>
      <c r="L130" s="459">
        <f>L96*Group_2_rates!N92</f>
        <v>2.5337721519931442</v>
      </c>
      <c r="M130" s="459">
        <f>M96*Group_2_rates!O92</f>
        <v>2.5285300681481875</v>
      </c>
      <c r="N130" s="459">
        <f>N96*Group_2_rates!P92</f>
        <v>2.5216167141899515</v>
      </c>
      <c r="O130" s="327"/>
    </row>
    <row r="131" spans="1:15">
      <c r="B131" s="338" t="str">
        <f t="shared" si="52"/>
        <v>40-44</v>
      </c>
      <c r="C131" s="459">
        <f>C97*Group_2_rates!E93</f>
        <v>1.4030416885305406</v>
      </c>
      <c r="D131" s="459">
        <f>D97*Group_2_rates!F93</f>
        <v>1.5700165256750795</v>
      </c>
      <c r="E131" s="459">
        <f>E97*Group_2_rates!G93</f>
        <v>1.7106888619923832</v>
      </c>
      <c r="F131" s="459">
        <f>F97*Group_2_rates!H93</f>
        <v>1.8227880122581819</v>
      </c>
      <c r="G131" s="459">
        <f>G97*Group_2_rates!I93</f>
        <v>1.9118040265250524</v>
      </c>
      <c r="H131" s="459">
        <f>H97*Group_2_rates!J93</f>
        <v>1.9808002005707752</v>
      </c>
      <c r="I131" s="459">
        <f>I97*Group_2_rates!K93</f>
        <v>2.0348372686334275</v>
      </c>
      <c r="J131" s="459">
        <f>J97*Group_2_rates!L93</f>
        <v>2.0783726305001973</v>
      </c>
      <c r="K131" s="459">
        <f>K97*Group_2_rates!M93</f>
        <v>2.1105698537055964</v>
      </c>
      <c r="L131" s="459">
        <f>L97*Group_2_rates!N93</f>
        <v>2.1324976258088242</v>
      </c>
      <c r="M131" s="459">
        <f>M97*Group_2_rates!O93</f>
        <v>2.1450685881479488</v>
      </c>
      <c r="N131" s="459">
        <f>N97*Group_2_rates!P93</f>
        <v>2.1516226568131862</v>
      </c>
      <c r="O131" s="327"/>
    </row>
    <row r="132" spans="1:15">
      <c r="B132" s="338" t="str">
        <f t="shared" si="52"/>
        <v>45-49</v>
      </c>
      <c r="C132" s="459">
        <f>C98*Group_2_rates!E94</f>
        <v>1.4655111286556821</v>
      </c>
      <c r="D132" s="459">
        <f>D98*Group_2_rates!F94</f>
        <v>1.4962508703350481</v>
      </c>
      <c r="E132" s="459">
        <f>E98*Group_2_rates!G94</f>
        <v>1.5515004228380413</v>
      </c>
      <c r="F132" s="459">
        <f>F98*Group_2_rates!H94</f>
        <v>1.6151324276611405</v>
      </c>
      <c r="G132" s="459">
        <f>G98*Group_2_rates!I94</f>
        <v>1.6821676804707846</v>
      </c>
      <c r="H132" s="459">
        <f>H98*Group_2_rates!J94</f>
        <v>1.7477782542877072</v>
      </c>
      <c r="I132" s="459">
        <f>I98*Group_2_rates!K94</f>
        <v>1.810518715892891</v>
      </c>
      <c r="J132" s="459">
        <f>J98*Group_2_rates!L94</f>
        <v>1.8697497508015899</v>
      </c>
      <c r="K132" s="459">
        <f>K98*Group_2_rates!M94</f>
        <v>1.9212774568989583</v>
      </c>
      <c r="L132" s="459">
        <f>L98*Group_2_rates!N94</f>
        <v>1.9636209549884469</v>
      </c>
      <c r="M132" s="459">
        <f>M98*Group_2_rates!O94</f>
        <v>1.9960489680029914</v>
      </c>
      <c r="N132" s="459">
        <f>N98*Group_2_rates!P94</f>
        <v>2.0207143746622962</v>
      </c>
      <c r="O132" s="327"/>
    </row>
    <row r="133" spans="1:15">
      <c r="B133" s="338" t="str">
        <f t="shared" si="52"/>
        <v>50-54</v>
      </c>
      <c r="C133" s="459">
        <f>C99*Group_2_rates!E95</f>
        <v>1.6024532399412237</v>
      </c>
      <c r="D133" s="459">
        <f>D99*Group_2_rates!F95</f>
        <v>1.512020713070545</v>
      </c>
      <c r="E133" s="459">
        <f>E99*Group_2_rates!G95</f>
        <v>1.4519894619630473</v>
      </c>
      <c r="F133" s="459">
        <f>F99*Group_2_rates!H95</f>
        <v>1.4150160338145092</v>
      </c>
      <c r="G133" s="459">
        <f>G99*Group_2_rates!I95</f>
        <v>1.3983107594768975</v>
      </c>
      <c r="H133" s="459">
        <f>H99*Group_2_rates!J95</f>
        <v>1.3972882119773826</v>
      </c>
      <c r="I133" s="459">
        <f>I99*Group_2_rates!K95</f>
        <v>1.4088786387928693</v>
      </c>
      <c r="J133" s="459">
        <f>J99*Group_2_rates!L95</f>
        <v>1.4301766732505137</v>
      </c>
      <c r="K133" s="459">
        <f>K99*Group_2_rates!M95</f>
        <v>1.45557745883151</v>
      </c>
      <c r="L133" s="459">
        <f>L99*Group_2_rates!N95</f>
        <v>1.4816121017370671</v>
      </c>
      <c r="M133" s="459">
        <f>M99*Group_2_rates!O95</f>
        <v>1.5056323656663921</v>
      </c>
      <c r="N133" s="459">
        <f>N99*Group_2_rates!P95</f>
        <v>1.5274554558057516</v>
      </c>
      <c r="O133" s="327"/>
    </row>
    <row r="134" spans="1:15">
      <c r="B134" s="338" t="str">
        <f t="shared" si="52"/>
        <v>55-59</v>
      </c>
      <c r="C134" s="459">
        <f>C100*Group_2_rates!E96</f>
        <v>1.0889338991041213</v>
      </c>
      <c r="D134" s="459">
        <f>D100*Group_2_rates!F96</f>
        <v>0.87755552456014929</v>
      </c>
      <c r="E134" s="459">
        <f>E100*Group_2_rates!G96</f>
        <v>0.73972937471300992</v>
      </c>
      <c r="F134" s="459">
        <f>F100*Group_2_rates!H96</f>
        <v>0.64826856695838131</v>
      </c>
      <c r="G134" s="459">
        <f>G100*Group_2_rates!I96</f>
        <v>0.58828477177720695</v>
      </c>
      <c r="H134" s="459">
        <f>H100*Group_2_rates!J96</f>
        <v>0.54976716587805363</v>
      </c>
      <c r="I134" s="459">
        <f>I100*Group_2_rates!K96</f>
        <v>0.5266387762538931</v>
      </c>
      <c r="J134" s="459">
        <f>J100*Group_2_rates!L96</f>
        <v>0.51470324908207821</v>
      </c>
      <c r="K134" s="459">
        <f>K100*Group_2_rates!M96</f>
        <v>0.5096413098285788</v>
      </c>
      <c r="L134" s="459">
        <f>L100*Group_2_rates!N96</f>
        <v>0.50878630143380676</v>
      </c>
      <c r="M134" s="459">
        <f>M100*Group_2_rates!O96</f>
        <v>0.51018943698894981</v>
      </c>
      <c r="N134" s="459">
        <f>N100*Group_2_rates!P96</f>
        <v>0.5131755840997273</v>
      </c>
      <c r="O134" s="327"/>
    </row>
    <row r="135" spans="1:15">
      <c r="B135" s="338" t="str">
        <f t="shared" si="52"/>
        <v>60-64</v>
      </c>
      <c r="C135" s="459">
        <f>C101*Group_2_rates!E97</f>
        <v>0.22147472292807702</v>
      </c>
      <c r="D135" s="459">
        <f>D101*Group_2_rates!F97</f>
        <v>0.18349324205164197</v>
      </c>
      <c r="E135" s="459">
        <f>E101*Group_2_rates!G97</f>
        <v>0.15207359682382629</v>
      </c>
      <c r="F135" s="459">
        <f>F101*Group_2_rates!H97</f>
        <v>0.12817755149616711</v>
      </c>
      <c r="G135" s="459">
        <f>G101*Group_2_rates!I97</f>
        <v>0.11101050337736255</v>
      </c>
      <c r="H135" s="459">
        <f>H101*Group_2_rates!J97</f>
        <v>9.9060230797462831E-2</v>
      </c>
      <c r="I135" s="459">
        <f>I101*Group_2_rates!K97</f>
        <v>9.1084420083883705E-2</v>
      </c>
      <c r="J135" s="459">
        <f>J101*Group_2_rates!L97</f>
        <v>8.6067809693528355E-2</v>
      </c>
      <c r="K135" s="459">
        <f>K101*Group_2_rates!M97</f>
        <v>8.2923050006819529E-2</v>
      </c>
      <c r="L135" s="459">
        <f>L101*Group_2_rates!N97</f>
        <v>8.0998077745941907E-2</v>
      </c>
      <c r="M135" s="459">
        <f>M101*Group_2_rates!O97</f>
        <v>7.982827229773469E-2</v>
      </c>
      <c r="N135" s="459">
        <f>N101*Group_2_rates!P97</f>
        <v>7.9258685473528809E-2</v>
      </c>
      <c r="O135" s="327"/>
    </row>
    <row r="136" spans="1:15">
      <c r="B136" s="338" t="str">
        <f t="shared" si="52"/>
        <v>65 plus</v>
      </c>
      <c r="C136" s="459">
        <f>C102*Group_2_rates!E98</f>
        <v>0.23974271041902448</v>
      </c>
      <c r="D136" s="459">
        <f>D102*Group_2_rates!F98</f>
        <v>0.16603448138390212</v>
      </c>
      <c r="E136" s="459">
        <f>E102*Group_2_rates!G98</f>
        <v>0.12235960042656067</v>
      </c>
      <c r="F136" s="459">
        <f>F102*Group_2_rates!H98</f>
        <v>9.4627435987120118E-2</v>
      </c>
      <c r="G136" s="459">
        <f>G102*Group_2_rates!I98</f>
        <v>7.6339402169339751E-2</v>
      </c>
      <c r="H136" s="459">
        <f>H102*Group_2_rates!J98</f>
        <v>6.4018082375653762E-2</v>
      </c>
      <c r="I136" s="459">
        <f>I102*Group_2_rates!K98</f>
        <v>5.5722511821411094E-2</v>
      </c>
      <c r="J136" s="459">
        <f>J102*Group_2_rates!L98</f>
        <v>5.0232293349990173E-2</v>
      </c>
      <c r="K136" s="459">
        <f>K102*Group_2_rates!M98</f>
        <v>4.6547767515914273E-2</v>
      </c>
      <c r="L136" s="459">
        <f>L102*Group_2_rates!N98</f>
        <v>4.4050356477126976E-2</v>
      </c>
      <c r="M136" s="459">
        <f>M102*Group_2_rates!O98</f>
        <v>4.231864745072713E-2</v>
      </c>
      <c r="N136" s="459">
        <f>N102*Group_2_rates!P98</f>
        <v>4.1169104107476165E-2</v>
      </c>
      <c r="O136" s="327"/>
    </row>
    <row r="137" spans="1:15">
      <c r="B137" s="338" t="str">
        <f t="shared" si="52"/>
        <v>Total</v>
      </c>
      <c r="C137" s="459">
        <f>SUM(C127:C136)</f>
        <v>15.122328088212814</v>
      </c>
      <c r="D137" s="459">
        <f t="shared" ref="D137:N137" si="54">SUM(D127:D136)</f>
        <v>15.255172900258371</v>
      </c>
      <c r="E137" s="459">
        <f t="shared" si="54"/>
        <v>15.453773065458654</v>
      </c>
      <c r="F137" s="459">
        <f t="shared" si="54"/>
        <v>15.61166550170342</v>
      </c>
      <c r="G137" s="459">
        <f t="shared" si="54"/>
        <v>15.761026135810413</v>
      </c>
      <c r="H137" s="459">
        <f t="shared" si="54"/>
        <v>15.900309091807879</v>
      </c>
      <c r="I137" s="459">
        <f t="shared" si="54"/>
        <v>16.055700827712421</v>
      </c>
      <c r="J137" s="459">
        <f t="shared" si="54"/>
        <v>16.243651165433345</v>
      </c>
      <c r="K137" s="459">
        <f t="shared" si="54"/>
        <v>16.407437389384189</v>
      </c>
      <c r="L137" s="459">
        <f t="shared" si="54"/>
        <v>16.526478858314213</v>
      </c>
      <c r="M137" s="459">
        <f t="shared" si="54"/>
        <v>16.58590218294604</v>
      </c>
      <c r="N137" s="459">
        <f t="shared" si="54"/>
        <v>16.613080434640626</v>
      </c>
      <c r="O137" s="327"/>
    </row>
    <row r="138" spans="1:15">
      <c r="A138" s="309">
        <f>SUM(C138:N138)</f>
        <v>0</v>
      </c>
      <c r="C138" s="309">
        <f t="shared" ref="C138:N138" si="55">SUM(C127:C136)-C137</f>
        <v>0</v>
      </c>
      <c r="D138" s="309">
        <f t="shared" si="55"/>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5" ht="15.75">
      <c r="B140" s="340" t="s">
        <v>152</v>
      </c>
      <c r="H140" s="325"/>
    </row>
    <row r="141" spans="1:15">
      <c r="H141" s="325"/>
    </row>
    <row r="142" spans="1:15">
      <c r="B142" s="341" t="s">
        <v>49</v>
      </c>
      <c r="H142" s="325"/>
    </row>
    <row r="143" spans="1:15">
      <c r="H143" s="325"/>
    </row>
    <row r="144" spans="1:15">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6.5291415000760392E-3</v>
      </c>
      <c r="D148" s="459">
        <f>D80*Calc_SEC_retirement_rates!$G127</f>
        <v>6.8687636557437275E-3</v>
      </c>
      <c r="E148" s="459">
        <f>E80*Calc_SEC_retirement_rates!$G127</f>
        <v>7.1864551648738928E-3</v>
      </c>
      <c r="F148" s="459">
        <f>F80*Calc_SEC_retirement_rates!$G127</f>
        <v>7.4551371398299442E-3</v>
      </c>
      <c r="G148" s="459">
        <f>G80*Calc_SEC_retirement_rates!$G127</f>
        <v>7.689066032813845E-3</v>
      </c>
      <c r="H148" s="459">
        <f>H80*Calc_SEC_retirement_rates!$G127</f>
        <v>7.8936421303968697E-3</v>
      </c>
      <c r="I148" s="459">
        <f>I80*Calc_SEC_retirement_rates!$G127</f>
        <v>8.0816895615216204E-3</v>
      </c>
      <c r="J148" s="459">
        <f>J80*Calc_SEC_retirement_rates!$G127</f>
        <v>8.263135843908925E-3</v>
      </c>
      <c r="K148" s="459">
        <f>K80*Calc_SEC_retirement_rates!$G127</f>
        <v>8.4253752028616343E-3</v>
      </c>
      <c r="L148" s="459">
        <f>L80*Calc_SEC_retirement_rates!$G127</f>
        <v>8.5633984556958039E-3</v>
      </c>
      <c r="M148" s="459">
        <f>M80*Calc_SEC_retirement_rates!$G127</f>
        <v>8.6721975228601107E-3</v>
      </c>
      <c r="N148" s="459">
        <f>N80*Calc_SEC_retirement_rates!$G127</f>
        <v>8.7585485412410916E-3</v>
      </c>
    </row>
    <row r="149" spans="1:14">
      <c r="B149" s="338" t="str">
        <f t="shared" si="56"/>
        <v>40-44</v>
      </c>
      <c r="C149" s="459">
        <f>C81*Calc_SEC_retirement_rates!$G128</f>
        <v>6.864721157489294E-3</v>
      </c>
      <c r="D149" s="459">
        <f>D81*Calc_SEC_retirement_rates!$G128</f>
        <v>7.3983484179644043E-3</v>
      </c>
      <c r="E149" s="459">
        <f>E81*Calc_SEC_retirement_rates!$G128</f>
        <v>7.8722018696192296E-3</v>
      </c>
      <c r="F149" s="459">
        <f>F81*Calc_SEC_retirement_rates!$G128</f>
        <v>8.2744048934619528E-3</v>
      </c>
      <c r="G149" s="459">
        <f>G81*Calc_SEC_retirement_rates!$G128</f>
        <v>8.627089224507719E-3</v>
      </c>
      <c r="H149" s="459">
        <f>H81*Calc_SEC_retirement_rates!$G128</f>
        <v>8.9384190482723232E-3</v>
      </c>
      <c r="I149" s="459">
        <f>I81*Calc_SEC_retirement_rates!$G128</f>
        <v>9.2233373963655652E-3</v>
      </c>
      <c r="J149" s="459">
        <f>J81*Calc_SEC_retirement_rates!$G128</f>
        <v>9.4929556751750521E-3</v>
      </c>
      <c r="K149" s="459">
        <f>K81*Calc_SEC_retirement_rates!$G128</f>
        <v>9.7341669913714179E-3</v>
      </c>
      <c r="L149" s="459">
        <f>L81*Calc_SEC_retirement_rates!$G128</f>
        <v>9.943209001513454E-3</v>
      </c>
      <c r="M149" s="459">
        <f>M81*Calc_SEC_retirement_rates!$G128</f>
        <v>1.0116771957437541E-2</v>
      </c>
      <c r="N149" s="459">
        <f>N81*Calc_SEC_retirement_rates!$G128</f>
        <v>1.0264039789164424E-2</v>
      </c>
    </row>
    <row r="150" spans="1:14">
      <c r="B150" s="338" t="str">
        <f t="shared" si="56"/>
        <v>45-49</v>
      </c>
      <c r="C150" s="459">
        <f>C82*Calc_SEC_retirement_rates!$G129</f>
        <v>1.5865117183852882E-2</v>
      </c>
      <c r="D150" s="459">
        <f>D82*Calc_SEC_retirement_rates!$G129</f>
        <v>1.6293904176994601E-2</v>
      </c>
      <c r="E150" s="459">
        <f>E82*Calc_SEC_retirement_rates!$G129</f>
        <v>1.6843578607336249E-2</v>
      </c>
      <c r="F150" s="459">
        <f>F82*Calc_SEC_retirement_rates!$G129</f>
        <v>1.7411892369182586E-2</v>
      </c>
      <c r="G150" s="459">
        <f>G82*Calc_SEC_retirement_rates!$G129</f>
        <v>1.7992562141348568E-2</v>
      </c>
      <c r="H150" s="459">
        <f>H82*Calc_SEC_retirement_rates!$G129</f>
        <v>1.856757459335516E-2</v>
      </c>
      <c r="I150" s="459">
        <f>I82*Calc_SEC_retirement_rates!$G129</f>
        <v>1.914241181559552E-2</v>
      </c>
      <c r="J150" s="459">
        <f>J82*Calc_SEC_retirement_rates!$G129</f>
        <v>1.9721748474150168E-2</v>
      </c>
      <c r="K150" s="459">
        <f>K82*Calc_SEC_retirement_rates!$G129</f>
        <v>2.0266677707077956E-2</v>
      </c>
      <c r="L150" s="459">
        <f>L82*Calc_SEC_retirement_rates!$G129</f>
        <v>2.0760460331244276E-2</v>
      </c>
      <c r="M150" s="459">
        <f>M82*Calc_SEC_retirement_rates!$G129</f>
        <v>2.1190385684391726E-2</v>
      </c>
      <c r="N150" s="459">
        <f>N82*Calc_SEC_retirement_rates!$G129</f>
        <v>2.157118484023967E-2</v>
      </c>
    </row>
    <row r="151" spans="1:14">
      <c r="B151" s="338" t="str">
        <f t="shared" si="56"/>
        <v>50-54</v>
      </c>
      <c r="C151" s="459">
        <f>C83*Calc_SEC_retirement_rates!$G130</f>
        <v>0.55211997668433899</v>
      </c>
      <c r="D151" s="459">
        <f>D83*Calc_SEC_retirement_rates!$G130</f>
        <v>0.48491915484776943</v>
      </c>
      <c r="E151" s="459">
        <f>E83*Calc_SEC_retirement_rates!$G130</f>
        <v>0.43834346538729652</v>
      </c>
      <c r="F151" s="459">
        <f>F83*Calc_SEC_retirement_rates!$G130</f>
        <v>0.40631955203201903</v>
      </c>
      <c r="G151" s="459">
        <f>G83*Calc_SEC_retirement_rates!$G130</f>
        <v>0.38532528011189754</v>
      </c>
      <c r="H151" s="459">
        <f>H83*Calc_SEC_retirement_rates!$G130</f>
        <v>0.37241716271212105</v>
      </c>
      <c r="I151" s="459">
        <f>I83*Calc_SEC_retirement_rates!$G130</f>
        <v>0.36566394354285908</v>
      </c>
      <c r="J151" s="459">
        <f>J83*Calc_SEC_retirement_rates!$G130</f>
        <v>0.36360021488445721</v>
      </c>
      <c r="K151" s="459">
        <f>K83*Calc_SEC_retirement_rates!$G130</f>
        <v>0.36440040633868093</v>
      </c>
      <c r="L151" s="459">
        <f>L83*Calc_SEC_retirement_rates!$G130</f>
        <v>0.36689775109312511</v>
      </c>
      <c r="M151" s="459">
        <f>M83*Calc_SEC_retirement_rates!$G130</f>
        <v>0.37021034950447401</v>
      </c>
      <c r="N151" s="459">
        <f>N83*Calc_SEC_retirement_rates!$G130</f>
        <v>0.37408337292020594</v>
      </c>
    </row>
    <row r="152" spans="1:14">
      <c r="B152" s="338" t="str">
        <f t="shared" si="56"/>
        <v>55-59</v>
      </c>
      <c r="C152" s="459">
        <f>C84*Calc_SEC_retirement_rates!$G131</f>
        <v>3.3142814498102839</v>
      </c>
      <c r="D152" s="459">
        <f>D84*Calc_SEC_retirement_rates!$G131</f>
        <v>2.8107948010674786</v>
      </c>
      <c r="E152" s="459">
        <f>E84*Calc_SEC_retirement_rates!$G131</f>
        <v>2.4233896578782685</v>
      </c>
      <c r="F152" s="459">
        <f>F84*Calc_SEC_retirement_rates!$G131</f>
        <v>2.1281426812282391</v>
      </c>
      <c r="G152" s="459">
        <f>G84*Calc_SEC_retirement_rates!$G131</f>
        <v>1.9093270847520172</v>
      </c>
      <c r="H152" s="459">
        <f>H84*Calc_SEC_retirement_rates!$G131</f>
        <v>1.7509463829702809</v>
      </c>
      <c r="I152" s="459">
        <f>I84*Calc_SEC_retirement_rates!$G131</f>
        <v>1.6409513368374495</v>
      </c>
      <c r="J152" s="459">
        <f>J84*Calc_SEC_retirement_rates!$G131</f>
        <v>1.5691267959064632</v>
      </c>
      <c r="K152" s="459">
        <f>K84*Calc_SEC_retirement_rates!$G131</f>
        <v>1.5233958204979678</v>
      </c>
      <c r="L152" s="459">
        <f>L84*Calc_SEC_retirement_rates!$G131</f>
        <v>1.495768331966679</v>
      </c>
      <c r="M152" s="459">
        <f>M84*Calc_SEC_retirement_rates!$G131</f>
        <v>1.4801009125034505</v>
      </c>
      <c r="N152" s="459">
        <f>N84*Calc_SEC_retirement_rates!$G131</f>
        <v>1.473814754669764</v>
      </c>
    </row>
    <row r="153" spans="1:14">
      <c r="B153" s="338" t="str">
        <f t="shared" si="56"/>
        <v>60-64</v>
      </c>
      <c r="C153" s="459">
        <f>C85*Calc_SEC_retirement_rates!$G132</f>
        <v>2.9561537463958971</v>
      </c>
      <c r="D153" s="459">
        <f>D85*Calc_SEC_retirement_rates!$G132</f>
        <v>2.4200390393800935</v>
      </c>
      <c r="E153" s="459">
        <f>E85*Calc_SEC_retirement_rates!$G132</f>
        <v>2.0272554358315635</v>
      </c>
      <c r="F153" s="459">
        <f>F85*Calc_SEC_retirement_rates!$G132</f>
        <v>1.7306735243855078</v>
      </c>
      <c r="G153" s="459">
        <f>G85*Calc_SEC_retirement_rates!$G132</f>
        <v>1.5075010050902018</v>
      </c>
      <c r="H153" s="459">
        <f>H85*Calc_SEC_retirement_rates!$G132</f>
        <v>1.3406120444010461</v>
      </c>
      <c r="I153" s="459">
        <f>I85*Calc_SEC_retirement_rates!$G132</f>
        <v>1.2187784654339735</v>
      </c>
      <c r="J153" s="459">
        <f>J85*Calc_SEC_retirement_rates!$G132</f>
        <v>1.1328753385587447</v>
      </c>
      <c r="K153" s="459">
        <f>K85*Calc_SEC_retirement_rates!$G132</f>
        <v>1.071821403953843</v>
      </c>
      <c r="L153" s="459">
        <f>L85*Calc_SEC_retirement_rates!$G132</f>
        <v>1.0285924029553706</v>
      </c>
      <c r="M153" s="459">
        <f>M85*Calc_SEC_retirement_rates!$G132</f>
        <v>0.99780499400832567</v>
      </c>
      <c r="N153" s="459">
        <f>N85*Calc_SEC_retirement_rates!$G132</f>
        <v>0.9773887297730468</v>
      </c>
    </row>
    <row r="154" spans="1:14">
      <c r="B154" s="338" t="str">
        <f t="shared" si="56"/>
        <v>65 plus</v>
      </c>
      <c r="C154" s="459">
        <f>C86*Calc_SEC_retirement_rates!$G133</f>
        <v>2.7986384663918886</v>
      </c>
      <c r="D154" s="459">
        <f>D86*Calc_SEC_retirement_rates!$G133</f>
        <v>1.9634328463070214</v>
      </c>
      <c r="E154" s="459">
        <f>E86*Calc_SEC_retirement_rates!$G133</f>
        <v>1.4399655206665101</v>
      </c>
      <c r="F154" s="459">
        <f>F86*Calc_SEC_retirement_rates!$G133</f>
        <v>1.1023033244168403</v>
      </c>
      <c r="G154" s="459">
        <f>G86*Calc_SEC_retirement_rates!$G133</f>
        <v>0.87893182004160919</v>
      </c>
      <c r="H154" s="459">
        <f>H86*Calc_SEC_retirement_rates!$G133</f>
        <v>0.72742189024456838</v>
      </c>
      <c r="I154" s="459">
        <f>I86*Calc_SEC_retirement_rates!$G133</f>
        <v>0.62314267715897498</v>
      </c>
      <c r="J154" s="459">
        <f>J86*Calc_SEC_retirement_rates!$G133</f>
        <v>0.55108018760283062</v>
      </c>
      <c r="K154" s="459">
        <f>K86*Calc_SEC_retirement_rates!$G133</f>
        <v>0.50020104373563279</v>
      </c>
      <c r="L154" s="459">
        <f>L86*Calc_SEC_retirement_rates!$G133</f>
        <v>0.46369036947958797</v>
      </c>
      <c r="M154" s="459">
        <f>M86*Calc_SEC_retirement_rates!$G133</f>
        <v>0.43696414856510118</v>
      </c>
      <c r="N154" s="459">
        <f>N86*Calc_SEC_retirement_rates!$G133</f>
        <v>0.41773409859175492</v>
      </c>
    </row>
    <row r="155" spans="1:14">
      <c r="B155" s="338" t="str">
        <f t="shared" si="56"/>
        <v>Total</v>
      </c>
      <c r="C155" s="459">
        <f>SUM(C145:C154)</f>
        <v>9.6504526191238273</v>
      </c>
      <c r="D155" s="459">
        <f t="shared" ref="D155:N155" si="58">SUM(D145:D154)</f>
        <v>7.7097468578530659</v>
      </c>
      <c r="E155" s="459">
        <f t="shared" si="58"/>
        <v>6.3608563154054671</v>
      </c>
      <c r="F155" s="459">
        <f t="shared" si="58"/>
        <v>5.4005805164650811</v>
      </c>
      <c r="G155" s="459">
        <f t="shared" si="58"/>
        <v>4.7153939073943958</v>
      </c>
      <c r="H155" s="459">
        <f t="shared" si="58"/>
        <v>4.2267971161000411</v>
      </c>
      <c r="I155" s="459">
        <f t="shared" si="58"/>
        <v>3.8849838617467398</v>
      </c>
      <c r="J155" s="459">
        <f t="shared" si="58"/>
        <v>3.6541603769457298</v>
      </c>
      <c r="K155" s="459">
        <f t="shared" si="58"/>
        <v>3.4982448944274358</v>
      </c>
      <c r="L155" s="459">
        <f t="shared" si="58"/>
        <v>3.3942159232832161</v>
      </c>
      <c r="M155" s="459">
        <f t="shared" si="58"/>
        <v>3.3250597597460407</v>
      </c>
      <c r="N155" s="459">
        <f t="shared" si="58"/>
        <v>3.283614729125417</v>
      </c>
    </row>
    <row r="156" spans="1:14">
      <c r="A156" s="309">
        <f>SUM(C156:N156)</f>
        <v>0</v>
      </c>
      <c r="C156" s="309">
        <f t="shared" ref="C156:N156" si="59">SUM(C145:C154)-C155</f>
        <v>0</v>
      </c>
      <c r="D156" s="309">
        <f t="shared" si="59"/>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4.1152056926137773E-3</v>
      </c>
      <c r="D163" s="459">
        <f>D95*Calc_SEC_retirement_rates!$G142</f>
        <v>4.1560636210455576E-3</v>
      </c>
      <c r="E163" s="459">
        <f>E95*Calc_SEC_retirement_rates!$G142</f>
        <v>4.1427958654712523E-3</v>
      </c>
      <c r="F163" s="459">
        <f>F95*Calc_SEC_retirement_rates!$G142</f>
        <v>4.0996369041548762E-3</v>
      </c>
      <c r="G163" s="459">
        <f>G95*Calc_SEC_retirement_rates!$G142</f>
        <v>4.0537966761618671E-3</v>
      </c>
      <c r="H163" s="459">
        <f>H95*Calc_SEC_retirement_rates!$G142</f>
        <v>4.0143540099007056E-3</v>
      </c>
      <c r="I163" s="459">
        <f>I95*Calc_SEC_retirement_rates!$G142</f>
        <v>3.9899286530648377E-3</v>
      </c>
      <c r="J163" s="459">
        <f>J95*Calc_SEC_retirement_rates!$G142</f>
        <v>3.9847976613672648E-3</v>
      </c>
      <c r="K163" s="459">
        <f>K95*Calc_SEC_retirement_rates!$G142</f>
        <v>3.9865242623304698E-3</v>
      </c>
      <c r="L163" s="459">
        <f>L95*Calc_SEC_retirement_rates!$G142</f>
        <v>3.9878987151885682E-3</v>
      </c>
      <c r="M163" s="459">
        <f>M95*Calc_SEC_retirement_rates!$G142</f>
        <v>3.9825988063857199E-3</v>
      </c>
      <c r="N163" s="459">
        <f>N95*Calc_SEC_retirement_rates!$G142</f>
        <v>3.9735457207336214E-3</v>
      </c>
    </row>
    <row r="164" spans="1:14">
      <c r="B164" s="338" t="str">
        <f t="shared" si="60"/>
        <v>35-39</v>
      </c>
      <c r="C164" s="459">
        <f>C96*Calc_SEC_retirement_rates!$G143</f>
        <v>9.4030412611795459E-3</v>
      </c>
      <c r="D164" s="459">
        <f>D96*Calc_SEC_retirement_rates!$G143</f>
        <v>9.8639889002511225E-3</v>
      </c>
      <c r="E164" s="459">
        <f>E96*Calc_SEC_retirement_rates!$G143</f>
        <v>1.0216083649713105E-2</v>
      </c>
      <c r="F164" s="459">
        <f>F96*Calc_SEC_retirement_rates!$G143</f>
        <v>1.0434392304833836E-2</v>
      </c>
      <c r="G164" s="459">
        <f>G96*Calc_SEC_retirement_rates!$G143</f>
        <v>1.0557960075665765E-2</v>
      </c>
      <c r="H164" s="459">
        <f>H96*Calc_SEC_retirement_rates!$G143</f>
        <v>1.0615315647568298E-2</v>
      </c>
      <c r="I164" s="459">
        <f>I96*Calc_SEC_retirement_rates!$G143</f>
        <v>1.0641120210901432E-2</v>
      </c>
      <c r="J164" s="459">
        <f>J96*Calc_SEC_retirement_rates!$G143</f>
        <v>1.0661514629938036E-2</v>
      </c>
      <c r="K164" s="459">
        <f>K96*Calc_SEC_retirement_rates!$G143</f>
        <v>1.0669399376109123E-2</v>
      </c>
      <c r="L164" s="459">
        <f>L96*Calc_SEC_retirement_rates!$G143</f>
        <v>1.0664018396781064E-2</v>
      </c>
      <c r="M164" s="459">
        <f>M96*Calc_SEC_retirement_rates!$G143</f>
        <v>1.0641955766360206E-2</v>
      </c>
      <c r="N164" s="459">
        <f>N96*Calc_SEC_retirement_rates!$G143</f>
        <v>1.0612859174649663E-2</v>
      </c>
    </row>
    <row r="165" spans="1:14">
      <c r="B165" s="338" t="str">
        <f t="shared" si="60"/>
        <v>40-44</v>
      </c>
      <c r="C165" s="459">
        <f>C97*Calc_SEC_retirement_rates!$G144</f>
        <v>1.0282055822956987E-2</v>
      </c>
      <c r="D165" s="459">
        <f>D97*Calc_SEC_retirement_rates!$G144</f>
        <v>1.1505714827948791E-2</v>
      </c>
      <c r="E165" s="459">
        <f>E97*Calc_SEC_retirement_rates!$G144</f>
        <v>1.2536618490031112E-2</v>
      </c>
      <c r="F165" s="459">
        <f>F97*Calc_SEC_retirement_rates!$G144</f>
        <v>1.335812631133196E-2</v>
      </c>
      <c r="G165" s="459">
        <f>G97*Calc_SEC_retirement_rates!$G144</f>
        <v>1.4010471594662559E-2</v>
      </c>
      <c r="H165" s="459">
        <f>H97*Calc_SEC_retirement_rates!$G144</f>
        <v>1.4516103407963546E-2</v>
      </c>
      <c r="I165" s="459">
        <f>I97*Calc_SEC_retirement_rates!$G144</f>
        <v>1.4912108854466729E-2</v>
      </c>
      <c r="J165" s="459">
        <f>J97*Calc_SEC_retirement_rates!$G144</f>
        <v>1.5231153559015446E-2</v>
      </c>
      <c r="K165" s="459">
        <f>K97*Calc_SEC_retirement_rates!$G144</f>
        <v>1.5467107806881627E-2</v>
      </c>
      <c r="L165" s="459">
        <f>L97*Calc_SEC_retirement_rates!$G144</f>
        <v>1.5627803371868441E-2</v>
      </c>
      <c r="M165" s="459">
        <f>M97*Calc_SEC_retirement_rates!$G144</f>
        <v>1.5719928458083482E-2</v>
      </c>
      <c r="N165" s="459">
        <f>N97*Calc_SEC_retirement_rates!$G144</f>
        <v>1.5767959318773044E-2</v>
      </c>
    </row>
    <row r="166" spans="1:14">
      <c r="B166" s="338" t="str">
        <f t="shared" si="60"/>
        <v>45-49</v>
      </c>
      <c r="C166" s="459">
        <f>C98*Calc_SEC_retirement_rates!$G145</f>
        <v>1.9798307270342607E-2</v>
      </c>
      <c r="D166" s="459">
        <f>D98*Calc_SEC_retirement_rates!$G145</f>
        <v>2.0213585489169451E-2</v>
      </c>
      <c r="E166" s="459">
        <f>E98*Calc_SEC_retirement_rates!$G145</f>
        <v>2.0959978741062788E-2</v>
      </c>
      <c r="F166" s="459">
        <f>F98*Calc_SEC_retirement_rates!$G145</f>
        <v>2.1819614644934267E-2</v>
      </c>
      <c r="G166" s="459">
        <f>G98*Calc_SEC_retirement_rates!$G145</f>
        <v>2.272522669189829E-2</v>
      </c>
      <c r="H166" s="459">
        <f>H98*Calc_SEC_retirement_rates!$G145</f>
        <v>2.3611592052905469E-2</v>
      </c>
      <c r="I166" s="459">
        <f>I98*Calc_SEC_retirement_rates!$G145</f>
        <v>2.4459183662995796E-2</v>
      </c>
      <c r="J166" s="459">
        <f>J98*Calc_SEC_retirement_rates!$G145</f>
        <v>2.5259364709821767E-2</v>
      </c>
      <c r="K166" s="459">
        <f>K98*Calc_SEC_retirement_rates!$G145</f>
        <v>2.5955477716611011E-2</v>
      </c>
      <c r="L166" s="459">
        <f>L98*Calc_SEC_retirement_rates!$G145</f>
        <v>2.6527516761340655E-2</v>
      </c>
      <c r="M166" s="459">
        <f>M98*Calc_SEC_retirement_rates!$G145</f>
        <v>2.6965602664118852E-2</v>
      </c>
      <c r="N166" s="459">
        <f>N98*Calc_SEC_retirement_rates!$G145</f>
        <v>2.7298819717500644E-2</v>
      </c>
    </row>
    <row r="167" spans="1:14">
      <c r="B167" s="338" t="str">
        <f t="shared" si="60"/>
        <v>50-54</v>
      </c>
      <c r="C167" s="459">
        <f>C99*Calc_SEC_retirement_rates!$G146</f>
        <v>0.47182185765473261</v>
      </c>
      <c r="D167" s="459">
        <f>D99*Calc_SEC_retirement_rates!$G146</f>
        <v>0.44519515694544998</v>
      </c>
      <c r="E167" s="459">
        <f>E99*Calc_SEC_retirement_rates!$G146</f>
        <v>0.42751972298650581</v>
      </c>
      <c r="F167" s="459">
        <f>F99*Calc_SEC_retirement_rates!$G146</f>
        <v>0.4166333700383556</v>
      </c>
      <c r="G167" s="459">
        <f>G99*Calc_SEC_retirement_rates!$G146</f>
        <v>0.4117147157062685</v>
      </c>
      <c r="H167" s="459">
        <f>H99*Calc_SEC_retirement_rates!$G146</f>
        <v>0.41141363967563249</v>
      </c>
      <c r="I167" s="459">
        <f>I99*Calc_SEC_retirement_rates!$G146</f>
        <v>0.41482629258480241</v>
      </c>
      <c r="J167" s="459">
        <f>J99*Calc_SEC_retirement_rates!$G146</f>
        <v>0.42109722638288866</v>
      </c>
      <c r="K167" s="459">
        <f>K99*Calc_SEC_retirement_rates!$G146</f>
        <v>0.42857616276617733</v>
      </c>
      <c r="L167" s="459">
        <f>L99*Calc_SEC_retirement_rates!$G146</f>
        <v>0.43624173033027558</v>
      </c>
      <c r="M167" s="459">
        <f>M99*Calc_SEC_retirement_rates!$G146</f>
        <v>0.44331418977309012</v>
      </c>
      <c r="N167" s="459">
        <f>N99*Calc_SEC_retirement_rates!$G146</f>
        <v>0.44973971950005864</v>
      </c>
    </row>
    <row r="168" spans="1:14">
      <c r="B168" s="338" t="str">
        <f t="shared" si="60"/>
        <v>55-59</v>
      </c>
      <c r="C168" s="459">
        <f>C100*Calc_SEC_retirement_rates!$G147</f>
        <v>4.1994503231955163</v>
      </c>
      <c r="D168" s="459">
        <f>D100*Calc_SEC_retirement_rates!$G147</f>
        <v>3.3842741366285214</v>
      </c>
      <c r="E168" s="459">
        <f>E100*Calc_SEC_retirement_rates!$G147</f>
        <v>2.852750533592062</v>
      </c>
      <c r="F168" s="459">
        <f>F100*Calc_SEC_retirement_rates!$G147</f>
        <v>2.5000338820111994</v>
      </c>
      <c r="G168" s="459">
        <f>G100*Calc_SEC_retirement_rates!$G147</f>
        <v>2.2687076570977163</v>
      </c>
      <c r="H168" s="459">
        <f>H100*Calc_SEC_retirement_rates!$G147</f>
        <v>2.1201653326508487</v>
      </c>
      <c r="I168" s="459">
        <f>I100*Calc_SEC_retirement_rates!$G147</f>
        <v>2.0309711920679541</v>
      </c>
      <c r="J168" s="459">
        <f>J100*Calc_SEC_retirement_rates!$G147</f>
        <v>1.9849420864625327</v>
      </c>
      <c r="K168" s="459">
        <f>K100*Calc_SEC_retirement_rates!$G147</f>
        <v>1.9654208258501182</v>
      </c>
      <c r="L168" s="459">
        <f>L100*Calc_SEC_retirement_rates!$G147</f>
        <v>1.9621235042379299</v>
      </c>
      <c r="M168" s="459">
        <f>M100*Calc_SEC_retirement_rates!$G147</f>
        <v>1.9675346665365601</v>
      </c>
      <c r="N168" s="459">
        <f>N100*Calc_SEC_retirement_rates!$G147</f>
        <v>1.9790506790877176</v>
      </c>
    </row>
    <row r="169" spans="1:14">
      <c r="B169" s="338" t="str">
        <f t="shared" si="60"/>
        <v>60-64</v>
      </c>
      <c r="C169" s="459">
        <f>C101*Calc_SEC_retirement_rates!$G148</f>
        <v>4.0435038596645603</v>
      </c>
      <c r="D169" s="459">
        <f>D101*Calc_SEC_retirement_rates!$G148</f>
        <v>3.3500691304583983</v>
      </c>
      <c r="E169" s="459">
        <f>E101*Calc_SEC_retirement_rates!$G148</f>
        <v>2.7764350151592847</v>
      </c>
      <c r="F169" s="459">
        <f>F101*Calc_SEC_retirement_rates!$G148</f>
        <v>2.3401606167283298</v>
      </c>
      <c r="G169" s="459">
        <f>G101*Calc_SEC_retirement_rates!$G148</f>
        <v>2.0267387308818998</v>
      </c>
      <c r="H169" s="459">
        <f>H101*Calc_SEC_retirement_rates!$G148</f>
        <v>1.8085604545439715</v>
      </c>
      <c r="I169" s="459">
        <f>I101*Calc_SEC_retirement_rates!$G148</f>
        <v>1.6629446435027075</v>
      </c>
      <c r="J169" s="459">
        <f>J101*Calc_SEC_retirement_rates!$G148</f>
        <v>1.5713554851208611</v>
      </c>
      <c r="K169" s="459">
        <f>K101*Calc_SEC_retirement_rates!$G148</f>
        <v>1.5139410417802817</v>
      </c>
      <c r="L169" s="459">
        <f>L101*Calc_SEC_retirement_rates!$G148</f>
        <v>1.4787964769121111</v>
      </c>
      <c r="M169" s="459">
        <f>M101*Calc_SEC_retirement_rates!$G148</f>
        <v>1.4574391283969101</v>
      </c>
      <c r="N169" s="459">
        <f>N101*Calc_SEC_retirement_rates!$G148</f>
        <v>1.4470400792790634</v>
      </c>
    </row>
    <row r="170" spans="1:14">
      <c r="B170" s="338" t="str">
        <f t="shared" si="60"/>
        <v>65 plus</v>
      </c>
      <c r="C170" s="459">
        <f>C102*Calc_SEC_retirement_rates!$G149</f>
        <v>3.0945532728272869</v>
      </c>
      <c r="D170" s="459">
        <f>D102*Calc_SEC_retirement_rates!$G149</f>
        <v>2.1431414822611572</v>
      </c>
      <c r="E170" s="459">
        <f>E102*Calc_SEC_retirement_rates!$G149</f>
        <v>1.5793944320561299</v>
      </c>
      <c r="F170" s="459">
        <f>F102*Calc_SEC_retirement_rates!$G149</f>
        <v>1.2214329320853461</v>
      </c>
      <c r="G170" s="459">
        <f>G102*Calc_SEC_retirement_rates!$G149</f>
        <v>0.98537447255815525</v>
      </c>
      <c r="H170" s="459">
        <f>H102*Calc_SEC_retirement_rates!$G149</f>
        <v>0.82633322193384873</v>
      </c>
      <c r="I170" s="459">
        <f>I102*Calc_SEC_retirement_rates!$G149</f>
        <v>0.71925557622052072</v>
      </c>
      <c r="J170" s="459">
        <f>J102*Calc_SEC_retirement_rates!$G149</f>
        <v>0.64838888121412175</v>
      </c>
      <c r="K170" s="459">
        <f>K102*Calc_SEC_retirement_rates!$G149</f>
        <v>0.60082972307026061</v>
      </c>
      <c r="L170" s="459">
        <f>L102*Calc_SEC_retirement_rates!$G149</f>
        <v>0.56859361674541553</v>
      </c>
      <c r="M170" s="459">
        <f>M102*Calc_SEC_retirement_rates!$G149</f>
        <v>0.54624104625072178</v>
      </c>
      <c r="N170" s="459">
        <f>N102*Calc_SEC_retirement_rates!$G149</f>
        <v>0.5314029595831582</v>
      </c>
    </row>
    <row r="171" spans="1:14">
      <c r="B171" s="338" t="str">
        <f t="shared" si="60"/>
        <v>Total</v>
      </c>
      <c r="C171" s="459">
        <f>SUM(C161:C170)</f>
        <v>11.852927923389188</v>
      </c>
      <c r="D171" s="459">
        <f t="shared" ref="D171:N171" si="62">SUM(D161:D170)</f>
        <v>9.368419259131942</v>
      </c>
      <c r="E171" s="459">
        <f t="shared" si="62"/>
        <v>7.6839551805402611</v>
      </c>
      <c r="F171" s="459">
        <f t="shared" si="62"/>
        <v>6.527972571028485</v>
      </c>
      <c r="G171" s="459">
        <f t="shared" si="62"/>
        <v>5.7438830312824285</v>
      </c>
      <c r="H171" s="459">
        <f t="shared" si="62"/>
        <v>5.2192300139226395</v>
      </c>
      <c r="I171" s="459">
        <f t="shared" si="62"/>
        <v>4.8820000457574135</v>
      </c>
      <c r="J171" s="459">
        <f t="shared" si="62"/>
        <v>4.6809205097405471</v>
      </c>
      <c r="K171" s="459">
        <f t="shared" si="62"/>
        <v>4.5648462626287705</v>
      </c>
      <c r="L171" s="459">
        <f t="shared" si="62"/>
        <v>4.5025625654709103</v>
      </c>
      <c r="M171" s="459">
        <f t="shared" si="62"/>
        <v>4.4718391166522302</v>
      </c>
      <c r="N171" s="459">
        <f t="shared" si="62"/>
        <v>4.4648866213816554</v>
      </c>
    </row>
    <row r="172" spans="1:14">
      <c r="A172" s="309">
        <f>SUM(C172:N172)</f>
        <v>0</v>
      </c>
      <c r="C172" s="309">
        <f t="shared" ref="C172:N172" si="63">SUM(C161:C170)-C171</f>
        <v>0</v>
      </c>
      <c r="D172" s="309">
        <f t="shared" si="63"/>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5">
      <c r="H177" s="325"/>
    </row>
    <row r="178" spans="1:15">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5">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c r="O179" s="327"/>
    </row>
    <row r="180" spans="1:15">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c r="O180" s="327"/>
    </row>
    <row r="181" spans="1:15">
      <c r="B181" s="338" t="str">
        <f t="shared" si="64"/>
        <v>30-34</v>
      </c>
      <c r="C181" s="459">
        <f>C79*Calc_SEC_death_rates!$G126</f>
        <v>4.0804393997891939E-3</v>
      </c>
      <c r="D181" s="459">
        <f>D79*Calc_SEC_death_rates!$G126</f>
        <v>4.2955712763414486E-3</v>
      </c>
      <c r="E181" s="459">
        <f>E79*Calc_SEC_death_rates!$G126</f>
        <v>4.4730576926893754E-3</v>
      </c>
      <c r="F181" s="459">
        <f>F79*Calc_SEC_death_rates!$G126</f>
        <v>4.6102764163121731E-3</v>
      </c>
      <c r="G181" s="459">
        <f>G79*Calc_SEC_death_rates!$G126</f>
        <v>4.7255034647112762E-3</v>
      </c>
      <c r="H181" s="459">
        <f>H79*Calc_SEC_death_rates!$G126</f>
        <v>4.8238764351859198E-3</v>
      </c>
      <c r="I181" s="459">
        <f>I79*Calc_SEC_death_rates!$G126</f>
        <v>4.9155929217420012E-3</v>
      </c>
      <c r="J181" s="459">
        <f>J79*Calc_SEC_death_rates!$G126</f>
        <v>5.0082108845247806E-3</v>
      </c>
      <c r="K181" s="459">
        <f>K79*Calc_SEC_death_rates!$G126</f>
        <v>5.0888954489300316E-3</v>
      </c>
      <c r="L181" s="459">
        <f>L79*Calc_SEC_death_rates!$G126</f>
        <v>5.1516603816543763E-3</v>
      </c>
      <c r="M181" s="459">
        <f>M79*Calc_SEC_death_rates!$G126</f>
        <v>5.1914641726875732E-3</v>
      </c>
      <c r="N181" s="459">
        <f>N79*Calc_SEC_death_rates!$G126</f>
        <v>5.2148661701624582E-3</v>
      </c>
      <c r="O181" s="327"/>
    </row>
    <row r="182" spans="1:15">
      <c r="B182" s="338" t="str">
        <f t="shared" si="64"/>
        <v>35-39</v>
      </c>
      <c r="C182" s="459">
        <f>C80*Calc_SEC_death_rates!$G127</f>
        <v>6.8995239921165593E-3</v>
      </c>
      <c r="D182" s="459">
        <f>D80*Calc_SEC_death_rates!$G127</f>
        <v>7.2584120957449264E-3</v>
      </c>
      <c r="E182" s="459">
        <f>E80*Calc_SEC_death_rates!$G127</f>
        <v>7.5941254800098818E-3</v>
      </c>
      <c r="F182" s="459">
        <f>F80*Calc_SEC_death_rates!$G127</f>
        <v>7.8780491371150223E-3</v>
      </c>
      <c r="G182" s="459">
        <f>G80*Calc_SEC_death_rates!$G127</f>
        <v>8.1252482535031263E-3</v>
      </c>
      <c r="H182" s="459">
        <f>H80*Calc_SEC_death_rates!$G127</f>
        <v>8.3414294610127549E-3</v>
      </c>
      <c r="I182" s="459">
        <f>I80*Calc_SEC_death_rates!$G127</f>
        <v>8.5401443705741403E-3</v>
      </c>
      <c r="J182" s="459">
        <f>J80*Calc_SEC_death_rates!$G127</f>
        <v>8.7318836641086701E-3</v>
      </c>
      <c r="K182" s="459">
        <f>K80*Calc_SEC_death_rates!$G127</f>
        <v>8.9033264716426759E-3</v>
      </c>
      <c r="L182" s="459">
        <f>L80*Calc_SEC_death_rates!$G127</f>
        <v>9.049179451607688E-3</v>
      </c>
      <c r="M182" s="459">
        <f>M80*Calc_SEC_death_rates!$G127</f>
        <v>9.1641504281459209E-3</v>
      </c>
      <c r="N182" s="459">
        <f>N80*Calc_SEC_death_rates!$G127</f>
        <v>9.255399932090097E-3</v>
      </c>
      <c r="O182" s="327"/>
    </row>
    <row r="183" spans="1:15">
      <c r="B183" s="338" t="str">
        <f t="shared" si="64"/>
        <v>40-44</v>
      </c>
      <c r="C183" s="459">
        <f>C81*Calc_SEC_death_rates!$G128</f>
        <v>1.0211821817615326E-2</v>
      </c>
      <c r="D183" s="459">
        <f>D81*Calc_SEC_death_rates!$G128</f>
        <v>1.1005635051390877E-2</v>
      </c>
      <c r="E183" s="459">
        <f>E81*Calc_SEC_death_rates!$G128</f>
        <v>1.1710529963354185E-2</v>
      </c>
      <c r="F183" s="459">
        <f>F81*Calc_SEC_death_rates!$G128</f>
        <v>1.2308839132766997E-2</v>
      </c>
      <c r="G183" s="459">
        <f>G81*Calc_SEC_death_rates!$G128</f>
        <v>1.2833485285739285E-2</v>
      </c>
      <c r="H183" s="459">
        <f>H81*Calc_SEC_death_rates!$G128</f>
        <v>1.3296613301263296E-2</v>
      </c>
      <c r="I183" s="459">
        <f>I81*Calc_SEC_death_rates!$G128</f>
        <v>1.3720452134122986E-2</v>
      </c>
      <c r="J183" s="459">
        <f>J81*Calc_SEC_death_rates!$G128</f>
        <v>1.4121530890099961E-2</v>
      </c>
      <c r="K183" s="459">
        <f>K81*Calc_SEC_death_rates!$G128</f>
        <v>1.4480352016971579E-2</v>
      </c>
      <c r="L183" s="459">
        <f>L81*Calc_SEC_death_rates!$G128</f>
        <v>1.4791318727926429E-2</v>
      </c>
      <c r="M183" s="459">
        <f>M81*Calc_SEC_death_rates!$G128</f>
        <v>1.5049507507830729E-2</v>
      </c>
      <c r="N183" s="459">
        <f>N81*Calc_SEC_death_rates!$G128</f>
        <v>1.5268580187195249E-2</v>
      </c>
      <c r="O183" s="327"/>
    </row>
    <row r="184" spans="1:15">
      <c r="B184" s="338" t="str">
        <f t="shared" si="64"/>
        <v>45-49</v>
      </c>
      <c r="C184" s="459">
        <f>C82*Calc_SEC_death_rates!$G129</f>
        <v>1.0246811429987627E-2</v>
      </c>
      <c r="D184" s="459">
        <f>D82*Calc_SEC_death_rates!$G129</f>
        <v>1.0523752306719781E-2</v>
      </c>
      <c r="E184" s="459">
        <f>E82*Calc_SEC_death_rates!$G129</f>
        <v>1.0878770814955526E-2</v>
      </c>
      <c r="F184" s="459">
        <f>F82*Calc_SEC_death_rates!$G129</f>
        <v>1.1245827917857561E-2</v>
      </c>
      <c r="G184" s="459">
        <f>G82*Calc_SEC_death_rates!$G129</f>
        <v>1.1620865403526715E-2</v>
      </c>
      <c r="H184" s="459">
        <f>H82*Calc_SEC_death_rates!$G129</f>
        <v>1.1992248992902478E-2</v>
      </c>
      <c r="I184" s="459">
        <f>I82*Calc_SEC_death_rates!$G129</f>
        <v>1.2363519406538613E-2</v>
      </c>
      <c r="J184" s="459">
        <f>J82*Calc_SEC_death_rates!$G129</f>
        <v>1.2737695873431055E-2</v>
      </c>
      <c r="K184" s="459">
        <f>K82*Calc_SEC_death_rates!$G129</f>
        <v>1.3089649598562179E-2</v>
      </c>
      <c r="L184" s="459">
        <f>L82*Calc_SEC_death_rates!$G129</f>
        <v>1.3408569237074926E-2</v>
      </c>
      <c r="M184" s="459">
        <f>M82*Calc_SEC_death_rates!$G129</f>
        <v>1.3686245346971954E-2</v>
      </c>
      <c r="N184" s="459">
        <f>N82*Calc_SEC_death_rates!$G129</f>
        <v>1.39321922944451E-2</v>
      </c>
      <c r="O184" s="327"/>
    </row>
    <row r="185" spans="1:15">
      <c r="B185" s="338" t="str">
        <f t="shared" si="64"/>
        <v>50-54</v>
      </c>
      <c r="C185" s="459">
        <f>C83*Calc_SEC_death_rates!$G130</f>
        <v>3.1279310203354518E-2</v>
      </c>
      <c r="D185" s="459">
        <f>D83*Calc_SEC_death_rates!$G130</f>
        <v>2.7472175086147587E-2</v>
      </c>
      <c r="E185" s="459">
        <f>E83*Calc_SEC_death_rates!$G130</f>
        <v>2.4833517728885972E-2</v>
      </c>
      <c r="F185" s="459">
        <f>F83*Calc_SEC_death_rates!$G130</f>
        <v>2.3019263649943705E-2</v>
      </c>
      <c r="G185" s="459">
        <f>G83*Calc_SEC_death_rates!$G130</f>
        <v>2.1829872989191541E-2</v>
      </c>
      <c r="H185" s="459">
        <f>H83*Calc_SEC_death_rates!$G130</f>
        <v>2.1098588077688031E-2</v>
      </c>
      <c r="I185" s="459">
        <f>I83*Calc_SEC_death_rates!$G130</f>
        <v>2.0715997252890986E-2</v>
      </c>
      <c r="J185" s="459">
        <f>J83*Calc_SEC_death_rates!$G130</f>
        <v>2.0599080619536473E-2</v>
      </c>
      <c r="K185" s="459">
        <f>K83*Calc_SEC_death_rates!$G130</f>
        <v>2.064441394884118E-2</v>
      </c>
      <c r="L185" s="459">
        <f>L83*Calc_SEC_death_rates!$G130</f>
        <v>2.0785896279779625E-2</v>
      </c>
      <c r="M185" s="459">
        <f>M83*Calc_SEC_death_rates!$G130</f>
        <v>2.0973565260550737E-2</v>
      </c>
      <c r="N185" s="459">
        <f>N83*Calc_SEC_death_rates!$G130</f>
        <v>2.1192984057119293E-2</v>
      </c>
      <c r="O185" s="327"/>
    </row>
    <row r="186" spans="1:15">
      <c r="B186" s="338" t="str">
        <f t="shared" si="64"/>
        <v>55-59</v>
      </c>
      <c r="C186" s="459">
        <f>C84*Calc_SEC_death_rates!$G131</f>
        <v>2.2740421719196532E-2</v>
      </c>
      <c r="D186" s="459">
        <f>D84*Calc_SEC_death_rates!$G131</f>
        <v>1.9285827142428841E-2</v>
      </c>
      <c r="E186" s="459">
        <f>E84*Calc_SEC_death_rates!$G131</f>
        <v>1.662770758749103E-2</v>
      </c>
      <c r="F186" s="459">
        <f>F84*Calc_SEC_death_rates!$G131</f>
        <v>1.4601916820468585E-2</v>
      </c>
      <c r="G186" s="459">
        <f>G84*Calc_SEC_death_rates!$G131</f>
        <v>1.3100547966326263E-2</v>
      </c>
      <c r="H186" s="459">
        <f>H84*Calc_SEC_death_rates!$G131</f>
        <v>1.2013843651909889E-2</v>
      </c>
      <c r="I186" s="459">
        <f>I84*Calc_SEC_death_rates!$G131</f>
        <v>1.1259129915625891E-2</v>
      </c>
      <c r="J186" s="459">
        <f>J84*Calc_SEC_death_rates!$G131</f>
        <v>1.0766317106788605E-2</v>
      </c>
      <c r="K186" s="459">
        <f>K84*Calc_SEC_death_rates!$G131</f>
        <v>1.0452541200255707E-2</v>
      </c>
      <c r="L186" s="459">
        <f>L84*Calc_SEC_death_rates!$G131</f>
        <v>1.026297952610165E-2</v>
      </c>
      <c r="M186" s="459">
        <f>M84*Calc_SEC_death_rates!$G131</f>
        <v>1.0155479987742962E-2</v>
      </c>
      <c r="N186" s="459">
        <f>N84*Calc_SEC_death_rates!$G131</f>
        <v>1.011234850289588E-2</v>
      </c>
      <c r="O186" s="327"/>
    </row>
    <row r="187" spans="1:15">
      <c r="B187" s="338" t="str">
        <f t="shared" si="64"/>
        <v>60-64</v>
      </c>
      <c r="C187" s="459">
        <f>C85*Calc_SEC_death_rates!$G132</f>
        <v>2.2862334766580013E-2</v>
      </c>
      <c r="D187" s="459">
        <f>D85*Calc_SEC_death_rates!$G132</f>
        <v>1.8716124874748226E-2</v>
      </c>
      <c r="E187" s="459">
        <f>E85*Calc_SEC_death_rates!$G132</f>
        <v>1.5678410667191067E-2</v>
      </c>
      <c r="F187" s="459">
        <f>F85*Calc_SEC_death_rates!$G132</f>
        <v>1.3384702177414892E-2</v>
      </c>
      <c r="G187" s="459">
        <f>G85*Calc_SEC_death_rates!$G132</f>
        <v>1.1658728062215061E-2</v>
      </c>
      <c r="H187" s="459">
        <f>H85*Calc_SEC_death_rates!$G132</f>
        <v>1.0368040359393833E-2</v>
      </c>
      <c r="I187" s="459">
        <f>I85*Calc_SEC_death_rates!$G132</f>
        <v>9.4258024695169293E-3</v>
      </c>
      <c r="J187" s="459">
        <f>J85*Calc_SEC_death_rates!$G132</f>
        <v>8.7614439101856029E-3</v>
      </c>
      <c r="K187" s="459">
        <f>K85*Calc_SEC_death_rates!$G132</f>
        <v>8.2892643107801492E-3</v>
      </c>
      <c r="L187" s="459">
        <f>L85*Calc_SEC_death_rates!$G132</f>
        <v>7.9549393814165002E-3</v>
      </c>
      <c r="M187" s="459">
        <f>M85*Calc_SEC_death_rates!$G132</f>
        <v>7.7168353752222708E-3</v>
      </c>
      <c r="N187" s="459">
        <f>N85*Calc_SEC_death_rates!$G132</f>
        <v>7.558939843503404E-3</v>
      </c>
      <c r="O187" s="327"/>
    </row>
    <row r="188" spans="1:15">
      <c r="B188" s="338" t="str">
        <f t="shared" si="64"/>
        <v>65 plus</v>
      </c>
      <c r="C188" s="459">
        <f>C86*Calc_SEC_death_rates!$G133</f>
        <v>6.1493328014241073E-2</v>
      </c>
      <c r="D188" s="459">
        <f>D86*Calc_SEC_death_rates!$G133</f>
        <v>4.3141699616368344E-2</v>
      </c>
      <c r="E188" s="459">
        <f>E86*Calc_SEC_death_rates!$G133</f>
        <v>3.1639768106847661E-2</v>
      </c>
      <c r="F188" s="459">
        <f>F86*Calc_SEC_death_rates!$G133</f>
        <v>2.4220456023011521E-2</v>
      </c>
      <c r="G188" s="459">
        <f>G86*Calc_SEC_death_rates!$G133</f>
        <v>1.9312406143568051E-2</v>
      </c>
      <c r="H188" s="459">
        <f>H86*Calc_SEC_death_rates!$G133</f>
        <v>1.598334098481044E-2</v>
      </c>
      <c r="I188" s="459">
        <f>I86*Calc_SEC_death_rates!$G133</f>
        <v>1.3692056872073099E-2</v>
      </c>
      <c r="J188" s="459">
        <f>J86*Calc_SEC_death_rates!$G133</f>
        <v>1.2108657529494958E-2</v>
      </c>
      <c r="K188" s="459">
        <f>K86*Calc_SEC_death_rates!$G133</f>
        <v>1.0990711099299911E-2</v>
      </c>
      <c r="L188" s="459">
        <f>L86*Calc_SEC_death_rates!$G133</f>
        <v>1.0188477121953554E-2</v>
      </c>
      <c r="M188" s="459">
        <f>M86*Calc_SEC_death_rates!$G133</f>
        <v>9.6012328998034708E-3</v>
      </c>
      <c r="N188" s="459">
        <f>N86*Calc_SEC_death_rates!$G133</f>
        <v>9.1786989480473601E-3</v>
      </c>
      <c r="O188" s="327"/>
    </row>
    <row r="189" spans="1:15">
      <c r="B189" s="338" t="str">
        <f t="shared" si="64"/>
        <v>Total</v>
      </c>
      <c r="C189" s="459">
        <f>SUM(C179:C188)</f>
        <v>0.16981399134288083</v>
      </c>
      <c r="D189" s="459">
        <f t="shared" ref="D189:N189" si="66">SUM(D179:D188)</f>
        <v>0.14169919744989004</v>
      </c>
      <c r="E189" s="459">
        <f t="shared" si="66"/>
        <v>0.12343588804142469</v>
      </c>
      <c r="F189" s="459">
        <f t="shared" si="66"/>
        <v>0.11126933127489046</v>
      </c>
      <c r="G189" s="459">
        <f t="shared" si="66"/>
        <v>0.10320665756878132</v>
      </c>
      <c r="H189" s="459">
        <f t="shared" si="66"/>
        <v>9.7917981264166634E-2</v>
      </c>
      <c r="I189" s="459">
        <f t="shared" si="66"/>
        <v>9.4632695343084647E-2</v>
      </c>
      <c r="J189" s="459">
        <f t="shared" si="66"/>
        <v>9.2834820478170099E-2</v>
      </c>
      <c r="K189" s="459">
        <f t="shared" si="66"/>
        <v>9.1939154095283415E-2</v>
      </c>
      <c r="L189" s="459">
        <f t="shared" si="66"/>
        <v>9.1593020107514758E-2</v>
      </c>
      <c r="M189" s="459">
        <f t="shared" si="66"/>
        <v>9.1538480978955616E-2</v>
      </c>
      <c r="N189" s="459">
        <f t="shared" si="66"/>
        <v>9.1714009935458848E-2</v>
      </c>
      <c r="O189" s="327"/>
    </row>
    <row r="190" spans="1:15">
      <c r="A190" s="309">
        <f>SUM(C190:N190)</f>
        <v>0</v>
      </c>
      <c r="C190" s="309">
        <f t="shared" ref="C190:N190" si="67">SUM(C179:C188)-C189</f>
        <v>0</v>
      </c>
      <c r="D190" s="309">
        <f t="shared" si="67"/>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5">
      <c r="B192" s="341" t="s">
        <v>50</v>
      </c>
      <c r="C192" s="329"/>
      <c r="D192" s="329"/>
      <c r="E192" s="329"/>
      <c r="F192" s="329"/>
      <c r="G192" s="329"/>
      <c r="H192" s="339"/>
      <c r="I192" s="329"/>
      <c r="J192" s="329"/>
      <c r="K192" s="329"/>
      <c r="L192" s="329"/>
    </row>
    <row r="193" spans="1:17">
      <c r="C193" s="329"/>
      <c r="D193" s="329"/>
      <c r="E193" s="329"/>
      <c r="F193" s="329"/>
      <c r="G193" s="329"/>
      <c r="H193" s="339"/>
      <c r="I193" s="329"/>
      <c r="J193" s="329"/>
      <c r="K193" s="329"/>
      <c r="L193" s="329"/>
    </row>
    <row r="194" spans="1:17">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7">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c r="O195" s="327"/>
      <c r="P195" s="327"/>
      <c r="Q195" s="327"/>
    </row>
    <row r="196" spans="1:17">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c r="O196" s="327"/>
      <c r="P196" s="327"/>
      <c r="Q196" s="327"/>
    </row>
    <row r="197" spans="1:17">
      <c r="B197" s="338" t="str">
        <f t="shared" si="68"/>
        <v>30-34</v>
      </c>
      <c r="C197" s="459">
        <f>C95*Calc_SEC_death_rates!$G142</f>
        <v>2.306187252639532E-3</v>
      </c>
      <c r="D197" s="459">
        <f>D95*Calc_SEC_death_rates!$G142</f>
        <v>2.3290842937006271E-3</v>
      </c>
      <c r="E197" s="459">
        <f>E95*Calc_SEC_death_rates!$G142</f>
        <v>2.3216489597071115E-3</v>
      </c>
      <c r="F197" s="459">
        <f>F95*Calc_SEC_death_rates!$G142</f>
        <v>2.2974624052892758E-3</v>
      </c>
      <c r="G197" s="459">
        <f>G95*Calc_SEC_death_rates!$G142</f>
        <v>2.2717732520969305E-3</v>
      </c>
      <c r="H197" s="459">
        <f>H95*Calc_SEC_death_rates!$G142</f>
        <v>2.2496693328919026E-3</v>
      </c>
      <c r="I197" s="459">
        <f>I95*Calc_SEC_death_rates!$G142</f>
        <v>2.2359812087047806E-3</v>
      </c>
      <c r="J197" s="459">
        <f>J95*Calc_SEC_death_rates!$G142</f>
        <v>2.2331057685615135E-3</v>
      </c>
      <c r="K197" s="459">
        <f>K95*Calc_SEC_death_rates!$G142</f>
        <v>2.2340733666426703E-3</v>
      </c>
      <c r="L197" s="459">
        <f>L95*Calc_SEC_death_rates!$G142</f>
        <v>2.23484361870234E-3</v>
      </c>
      <c r="M197" s="459">
        <f>M95*Calc_SEC_death_rates!$G142</f>
        <v>2.2318735163467714E-3</v>
      </c>
      <c r="N197" s="459">
        <f>N95*Calc_SEC_death_rates!$G142</f>
        <v>2.2268001099881546E-3</v>
      </c>
      <c r="O197" s="327"/>
      <c r="P197" s="327"/>
      <c r="Q197" s="327"/>
    </row>
    <row r="198" spans="1:17">
      <c r="B198" s="338" t="str">
        <f t="shared" si="68"/>
        <v>35-39</v>
      </c>
      <c r="C198" s="459">
        <f>C96*Calc_SEC_death_rates!$G143</f>
        <v>7.1278886712580402E-3</v>
      </c>
      <c r="D198" s="459">
        <f>D96*Calc_SEC_death_rates!$G143</f>
        <v>7.4773057761415383E-3</v>
      </c>
      <c r="E198" s="459">
        <f>E96*Calc_SEC_death_rates!$G143</f>
        <v>7.7442079523832577E-3</v>
      </c>
      <c r="F198" s="459">
        <f>F96*Calc_SEC_death_rates!$G143</f>
        <v>7.9096948141815695E-3</v>
      </c>
      <c r="G198" s="459">
        <f>G96*Calc_SEC_death_rates!$G143</f>
        <v>8.0033642227676817E-3</v>
      </c>
      <c r="H198" s="459">
        <f>H96*Calc_SEC_death_rates!$G143</f>
        <v>8.046842084859538E-3</v>
      </c>
      <c r="I198" s="459">
        <f>I96*Calc_SEC_death_rates!$G143</f>
        <v>8.0664029960094627E-3</v>
      </c>
      <c r="J198" s="459">
        <f>J96*Calc_SEC_death_rates!$G143</f>
        <v>8.0818627971918789E-3</v>
      </c>
      <c r="K198" s="459">
        <f>K96*Calc_SEC_death_rates!$G143</f>
        <v>8.0878397562785809E-3</v>
      </c>
      <c r="L198" s="459">
        <f>L96*Calc_SEC_death_rates!$G143</f>
        <v>8.0837607545463323E-3</v>
      </c>
      <c r="M198" s="459">
        <f>M96*Calc_SEC_death_rates!$G143</f>
        <v>8.0670363811157671E-3</v>
      </c>
      <c r="N198" s="459">
        <f>N96*Calc_SEC_death_rates!$G143</f>
        <v>8.0449799782281138E-3</v>
      </c>
      <c r="O198" s="327"/>
      <c r="P198" s="327"/>
      <c r="Q198" s="327"/>
    </row>
    <row r="199" spans="1:17">
      <c r="B199" s="338" t="str">
        <f t="shared" si="68"/>
        <v>40-44</v>
      </c>
      <c r="C199" s="459">
        <f>C97*Calc_SEC_death_rates!$G144</f>
        <v>5.4418376730576206E-3</v>
      </c>
      <c r="D199" s="459">
        <f>D97*Calc_SEC_death_rates!$G144</f>
        <v>6.0894662978189249E-3</v>
      </c>
      <c r="E199" s="459">
        <f>E97*Calc_SEC_death_rates!$G144</f>
        <v>6.6350780394987393E-3</v>
      </c>
      <c r="F199" s="459">
        <f>F97*Calc_SEC_death_rates!$G144</f>
        <v>7.0698658180950212E-3</v>
      </c>
      <c r="G199" s="459">
        <f>G97*Calc_SEC_death_rates!$G144</f>
        <v>7.4151233424457289E-3</v>
      </c>
      <c r="H199" s="459">
        <f>H97*Calc_SEC_death_rates!$G144</f>
        <v>7.6827319119473899E-3</v>
      </c>
      <c r="I199" s="459">
        <f>I97*Calc_SEC_death_rates!$G144</f>
        <v>7.8923200910647907E-3</v>
      </c>
      <c r="J199" s="459">
        <f>J97*Calc_SEC_death_rates!$G144</f>
        <v>8.0611763511841267E-3</v>
      </c>
      <c r="K199" s="459">
        <f>K97*Calc_SEC_death_rates!$G144</f>
        <v>8.1860565052374896E-3</v>
      </c>
      <c r="L199" s="459">
        <f>L97*Calc_SEC_death_rates!$G144</f>
        <v>8.2711055649290419E-3</v>
      </c>
      <c r="M199" s="459">
        <f>M97*Calc_SEC_death_rates!$G144</f>
        <v>8.3198633010696434E-3</v>
      </c>
      <c r="N199" s="459">
        <f>N97*Calc_SEC_death_rates!$G144</f>
        <v>8.3452839126351118E-3</v>
      </c>
      <c r="O199" s="327"/>
      <c r="P199" s="327"/>
      <c r="Q199" s="327"/>
    </row>
    <row r="200" spans="1:17">
      <c r="B200" s="338" t="str">
        <f t="shared" si="68"/>
        <v>45-49</v>
      </c>
      <c r="C200" s="459">
        <f>C98*Calc_SEC_death_rates!$G145</f>
        <v>7.6066975935182718E-3</v>
      </c>
      <c r="D200" s="459">
        <f>D98*Calc_SEC_death_rates!$G145</f>
        <v>7.7662514273211577E-3</v>
      </c>
      <c r="E200" s="459">
        <f>E98*Calc_SEC_death_rates!$G145</f>
        <v>8.0530228000182669E-3</v>
      </c>
      <c r="F200" s="459">
        <f>F98*Calc_SEC_death_rates!$G145</f>
        <v>8.3833030745888281E-3</v>
      </c>
      <c r="G200" s="459">
        <f>G98*Calc_SEC_death_rates!$G145</f>
        <v>8.7312478197752782E-3</v>
      </c>
      <c r="H200" s="459">
        <f>H98*Calc_SEC_death_rates!$G145</f>
        <v>9.0717978055132546E-3</v>
      </c>
      <c r="I200" s="459">
        <f>I98*Calc_SEC_death_rates!$G145</f>
        <v>9.3974505480797048E-3</v>
      </c>
      <c r="J200" s="459">
        <f>J98*Calc_SEC_death_rates!$G145</f>
        <v>9.7048877021836729E-3</v>
      </c>
      <c r="K200" s="459">
        <f>K98*Calc_SEC_death_rates!$G145</f>
        <v>9.9723409274143204E-3</v>
      </c>
      <c r="L200" s="459">
        <f>L98*Calc_SEC_death_rates!$G145</f>
        <v>1.0192123758619375E-2</v>
      </c>
      <c r="M200" s="459">
        <f>M98*Calc_SEC_death_rates!$G145</f>
        <v>1.0360440521103863E-2</v>
      </c>
      <c r="N200" s="459">
        <f>N98*Calc_SEC_death_rates!$G145</f>
        <v>1.0488465676157166E-2</v>
      </c>
      <c r="O200" s="327"/>
      <c r="P200" s="327"/>
      <c r="Q200" s="327"/>
    </row>
    <row r="201" spans="1:17">
      <c r="B201" s="338" t="str">
        <f t="shared" si="68"/>
        <v>50-54</v>
      </c>
      <c r="C201" s="459">
        <f>C99*Calc_SEC_death_rates!$G146</f>
        <v>1.1290583921564823E-2</v>
      </c>
      <c r="D201" s="459">
        <f>D99*Calc_SEC_death_rates!$G146</f>
        <v>1.0653413358066811E-2</v>
      </c>
      <c r="E201" s="459">
        <f>E99*Calc_SEC_death_rates!$G146</f>
        <v>1.0230444461594929E-2</v>
      </c>
      <c r="F201" s="459">
        <f>F99*Calc_SEC_death_rates!$G146</f>
        <v>9.9699366458446681E-3</v>
      </c>
      <c r="G201" s="459">
        <f>G99*Calc_SEC_death_rates!$G146</f>
        <v>9.8522344270588723E-3</v>
      </c>
      <c r="H201" s="459">
        <f>H99*Calc_SEC_death_rates!$G146</f>
        <v>9.845029749836913E-3</v>
      </c>
      <c r="I201" s="459">
        <f>I99*Calc_SEC_death_rates!$G146</f>
        <v>9.92669371567707E-3</v>
      </c>
      <c r="J201" s="459">
        <f>J99*Calc_SEC_death_rates!$G146</f>
        <v>1.0076755657838473E-2</v>
      </c>
      <c r="K201" s="459">
        <f>K99*Calc_SEC_death_rates!$G146</f>
        <v>1.0255724812212321E-2</v>
      </c>
      <c r="L201" s="459">
        <f>L99*Calc_SEC_death_rates!$G146</f>
        <v>1.0439160005993042E-2</v>
      </c>
      <c r="M201" s="459">
        <f>M99*Calc_SEC_death_rates!$G146</f>
        <v>1.0608402264645237E-2</v>
      </c>
      <c r="N201" s="459">
        <f>N99*Calc_SEC_death_rates!$G146</f>
        <v>1.0762163650316217E-2</v>
      </c>
      <c r="O201" s="327"/>
      <c r="P201" s="327"/>
      <c r="Q201" s="327"/>
    </row>
    <row r="202" spans="1:17">
      <c r="B202" s="338" t="str">
        <f t="shared" si="68"/>
        <v>55-59</v>
      </c>
      <c r="C202" s="459">
        <f>C100*Calc_SEC_death_rates!$G147</f>
        <v>3.4062781696645235E-2</v>
      </c>
      <c r="D202" s="459">
        <f>D100*Calc_SEC_death_rates!$G147</f>
        <v>2.7450685743523866E-2</v>
      </c>
      <c r="E202" s="459">
        <f>E100*Calc_SEC_death_rates!$G147</f>
        <v>2.313936615085195E-2</v>
      </c>
      <c r="F202" s="459">
        <f>F100*Calc_SEC_death_rates!$G147</f>
        <v>2.0278394028569929E-2</v>
      </c>
      <c r="G202" s="459">
        <f>G100*Calc_SEC_death_rates!$G147</f>
        <v>1.8402049723122559E-2</v>
      </c>
      <c r="H202" s="459">
        <f>H100*Calc_SEC_death_rates!$G147</f>
        <v>1.7197186138381844E-2</v>
      </c>
      <c r="I202" s="459">
        <f>I100*Calc_SEC_death_rates!$G147</f>
        <v>1.6473710372395606E-2</v>
      </c>
      <c r="J202" s="459">
        <f>J100*Calc_SEC_death_rates!$G147</f>
        <v>1.6100356896282513E-2</v>
      </c>
      <c r="K202" s="459">
        <f>K100*Calc_SEC_death_rates!$G147</f>
        <v>1.5942015116404522E-2</v>
      </c>
      <c r="L202" s="459">
        <f>L100*Calc_SEC_death_rates!$G147</f>
        <v>1.5915269724123243E-2</v>
      </c>
      <c r="M202" s="459">
        <f>M100*Calc_SEC_death_rates!$G147</f>
        <v>1.5959161001771003E-2</v>
      </c>
      <c r="N202" s="459">
        <f>N100*Calc_SEC_death_rates!$G147</f>
        <v>1.6052570231874105E-2</v>
      </c>
      <c r="O202" s="327"/>
      <c r="P202" s="327"/>
      <c r="Q202" s="327"/>
    </row>
    <row r="203" spans="1:17">
      <c r="B203" s="338" t="str">
        <f t="shared" si="68"/>
        <v>60-64</v>
      </c>
      <c r="C203" s="459">
        <f>C101*Calc_SEC_death_rates!$G148</f>
        <v>2.410117387930626E-2</v>
      </c>
      <c r="D203" s="459">
        <f>D101*Calc_SEC_death_rates!$G148</f>
        <v>1.9967978620297949E-2</v>
      </c>
      <c r="E203" s="459">
        <f>E101*Calc_SEC_death_rates!$G148</f>
        <v>1.6548851042892134E-2</v>
      </c>
      <c r="F203" s="459">
        <f>F101*Calc_SEC_death_rates!$G148</f>
        <v>1.3948451611952439E-2</v>
      </c>
      <c r="G203" s="459">
        <f>G101*Calc_SEC_death_rates!$G148</f>
        <v>1.2080310605901432E-2</v>
      </c>
      <c r="H203" s="459">
        <f>H101*Calc_SEC_death_rates!$G148</f>
        <v>1.0779866051572761E-2</v>
      </c>
      <c r="I203" s="459">
        <f>I101*Calc_SEC_death_rates!$G148</f>
        <v>9.9119277230131208E-3</v>
      </c>
      <c r="J203" s="459">
        <f>J101*Calc_SEC_death_rates!$G148</f>
        <v>9.3660135089474704E-3</v>
      </c>
      <c r="K203" s="459">
        <f>K101*Calc_SEC_death_rates!$G148</f>
        <v>9.0237965777511496E-3</v>
      </c>
      <c r="L203" s="459">
        <f>L101*Calc_SEC_death_rates!$G148</f>
        <v>8.8143185363797234E-3</v>
      </c>
      <c r="M203" s="459">
        <f>M101*Calc_SEC_death_rates!$G148</f>
        <v>8.6870187518288799E-3</v>
      </c>
      <c r="N203" s="459">
        <f>N101*Calc_SEC_death_rates!$G148</f>
        <v>8.625035556148325E-3</v>
      </c>
      <c r="O203" s="327"/>
      <c r="P203" s="327"/>
      <c r="Q203" s="327"/>
    </row>
    <row r="204" spans="1:17">
      <c r="B204" s="338" t="str">
        <f t="shared" si="68"/>
        <v>65 plus</v>
      </c>
      <c r="C204" s="459">
        <f>C102*Calc_SEC_death_rates!$G149</f>
        <v>9.9641889482637053E-2</v>
      </c>
      <c r="D204" s="459">
        <f>D102*Calc_SEC_death_rates!$G149</f>
        <v>6.9007267897513949E-2</v>
      </c>
      <c r="E204" s="459">
        <f>E102*Calc_SEC_death_rates!$G149</f>
        <v>5.0855109469370108E-2</v>
      </c>
      <c r="F204" s="459">
        <f>F102*Calc_SEC_death_rates!$G149</f>
        <v>3.9329064488234464E-2</v>
      </c>
      <c r="G204" s="459">
        <f>G102*Calc_SEC_death_rates!$G149</f>
        <v>3.1728190028522847E-2</v>
      </c>
      <c r="H204" s="459">
        <f>H102*Calc_SEC_death_rates!$G149</f>
        <v>2.6607201853254173E-2</v>
      </c>
      <c r="I204" s="459">
        <f>I102*Calc_SEC_death_rates!$G149</f>
        <v>2.3159395982883597E-2</v>
      </c>
      <c r="J204" s="459">
        <f>J102*Calc_SEC_death_rates!$G149</f>
        <v>2.0877550828097838E-2</v>
      </c>
      <c r="K204" s="459">
        <f>K102*Calc_SEC_death_rates!$G149</f>
        <v>1.9346187829351248E-2</v>
      </c>
      <c r="L204" s="459">
        <f>L102*Calc_SEC_death_rates!$G149</f>
        <v>1.8308213601544179E-2</v>
      </c>
      <c r="M204" s="459">
        <f>M102*Calc_SEC_death_rates!$G149</f>
        <v>1.7588480521347358E-2</v>
      </c>
      <c r="N204" s="459">
        <f>N102*Calc_SEC_death_rates!$G149</f>
        <v>1.7110707201092847E-2</v>
      </c>
      <c r="O204" s="327"/>
      <c r="P204" s="327"/>
      <c r="Q204" s="327"/>
    </row>
    <row r="205" spans="1:17">
      <c r="B205" s="338" t="str">
        <f t="shared" si="68"/>
        <v>Total</v>
      </c>
      <c r="C205" s="459">
        <f>SUM(C195:C204)</f>
        <v>0.19157904017062682</v>
      </c>
      <c r="D205" s="459">
        <f t="shared" ref="D205:N205" si="70">SUM(D195:D204)</f>
        <v>0.15074145341438483</v>
      </c>
      <c r="E205" s="459">
        <f t="shared" si="70"/>
        <v>0.1255277288763165</v>
      </c>
      <c r="F205" s="459">
        <f t="shared" si="70"/>
        <v>0.10918617288675619</v>
      </c>
      <c r="G205" s="459">
        <f t="shared" si="70"/>
        <v>9.8484293421691321E-2</v>
      </c>
      <c r="H205" s="459">
        <f t="shared" si="70"/>
        <v>9.1480324928257778E-2</v>
      </c>
      <c r="I205" s="459">
        <f t="shared" si="70"/>
        <v>8.7063882637828133E-2</v>
      </c>
      <c r="J205" s="459">
        <f t="shared" si="70"/>
        <v>8.4501709510287487E-2</v>
      </c>
      <c r="K205" s="459">
        <f t="shared" si="70"/>
        <v>8.3048034891292311E-2</v>
      </c>
      <c r="L205" s="459">
        <f t="shared" si="70"/>
        <v>8.225879556483727E-2</v>
      </c>
      <c r="M205" s="459">
        <f t="shared" si="70"/>
        <v>8.1822276259228527E-2</v>
      </c>
      <c r="N205" s="459">
        <f t="shared" si="70"/>
        <v>8.1656006316440044E-2</v>
      </c>
      <c r="O205" s="327"/>
      <c r="P205" s="327"/>
      <c r="Q205" s="327"/>
    </row>
    <row r="206" spans="1:17">
      <c r="A206" s="309">
        <f>SUM(C206:N206)</f>
        <v>0</v>
      </c>
      <c r="C206" s="309">
        <f t="shared" ref="C206:N206" si="71">SUM(C195:C204)-C205</f>
        <v>0</v>
      </c>
      <c r="D206" s="309">
        <f t="shared" si="71"/>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7"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0.56758751174787281</v>
      </c>
      <c r="D213" s="459">
        <f t="shared" ref="D213:N213" si="75">D111+D145+D179</f>
        <v>0.81590216455834075</v>
      </c>
      <c r="E213" s="459">
        <f t="shared" si="75"/>
        <v>0.98612974224516803</v>
      </c>
      <c r="F213" s="459">
        <f t="shared" si="75"/>
        <v>1.0887528864770137</v>
      </c>
      <c r="G213" s="459">
        <f t="shared" si="75"/>
        <v>1.1533803945902836</v>
      </c>
      <c r="H213" s="459">
        <f t="shared" si="75"/>
        <v>1.1937521832606048</v>
      </c>
      <c r="I213" s="459">
        <f t="shared" si="75"/>
        <v>1.2239754766630206</v>
      </c>
      <c r="J213" s="459">
        <f t="shared" si="75"/>
        <v>1.2520751855516103</v>
      </c>
      <c r="K213" s="459">
        <f t="shared" si="75"/>
        <v>1.269546435001407</v>
      </c>
      <c r="L213" s="459">
        <f t="shared" si="75"/>
        <v>1.2758069918403288</v>
      </c>
      <c r="M213" s="459">
        <f t="shared" si="75"/>
        <v>1.2708658115025897</v>
      </c>
      <c r="N213" s="459">
        <f t="shared" si="75"/>
        <v>1.2623641124294542</v>
      </c>
    </row>
    <row r="214" spans="1:14">
      <c r="B214" s="338" t="str">
        <f t="shared" si="72"/>
        <v>25-29</v>
      </c>
      <c r="C214" s="459">
        <f t="shared" si="74"/>
        <v>1.7216104249326449</v>
      </c>
      <c r="D214" s="459">
        <f t="shared" ref="D214:N214" si="76">D112+D146+D180</f>
        <v>1.7815686189499134</v>
      </c>
      <c r="E214" s="459">
        <f t="shared" si="76"/>
        <v>1.8579994805284508</v>
      </c>
      <c r="F214" s="459">
        <f t="shared" si="76"/>
        <v>1.9198974828238213</v>
      </c>
      <c r="G214" s="459">
        <f t="shared" si="76"/>
        <v>1.9715818268229732</v>
      </c>
      <c r="H214" s="459">
        <f t="shared" si="76"/>
        <v>2.0128288146223388</v>
      </c>
      <c r="I214" s="459">
        <f t="shared" si="76"/>
        <v>2.0505722066067396</v>
      </c>
      <c r="J214" s="459">
        <f t="shared" si="76"/>
        <v>2.0898342173236055</v>
      </c>
      <c r="K214" s="459">
        <f t="shared" si="76"/>
        <v>2.1196562254304356</v>
      </c>
      <c r="L214" s="459">
        <f t="shared" si="76"/>
        <v>2.1369230081408181</v>
      </c>
      <c r="M214" s="459">
        <f t="shared" si="76"/>
        <v>2.1397883188995332</v>
      </c>
      <c r="N214" s="459">
        <f t="shared" si="76"/>
        <v>2.1354560320120726</v>
      </c>
    </row>
    <row r="215" spans="1:14">
      <c r="B215" s="338" t="str">
        <f t="shared" si="72"/>
        <v>30-34</v>
      </c>
      <c r="C215" s="459">
        <f t="shared" si="74"/>
        <v>1.2506868376528641</v>
      </c>
      <c r="D215" s="459">
        <f t="shared" ref="D215:N215" si="77">D113+D147+D181</f>
        <v>1.3166264534641823</v>
      </c>
      <c r="E215" s="459">
        <f t="shared" si="77"/>
        <v>1.3710274390051014</v>
      </c>
      <c r="F215" s="459">
        <f t="shared" si="77"/>
        <v>1.4130860593398193</v>
      </c>
      <c r="G215" s="459">
        <f t="shared" si="77"/>
        <v>1.4484040578822786</v>
      </c>
      <c r="H215" s="459">
        <f t="shared" si="77"/>
        <v>1.4785561486987253</v>
      </c>
      <c r="I215" s="459">
        <f t="shared" si="77"/>
        <v>1.5066679747283882</v>
      </c>
      <c r="J215" s="459">
        <f t="shared" si="77"/>
        <v>1.5350561103268803</v>
      </c>
      <c r="K215" s="459">
        <f t="shared" si="77"/>
        <v>1.5597865652648011</v>
      </c>
      <c r="L215" s="459">
        <f t="shared" si="77"/>
        <v>1.5790245118517692</v>
      </c>
      <c r="M215" s="459">
        <f t="shared" si="77"/>
        <v>1.5912246875329656</v>
      </c>
      <c r="N215" s="459">
        <f t="shared" si="77"/>
        <v>1.5983975842112346</v>
      </c>
    </row>
    <row r="216" spans="1:14">
      <c r="B216" s="338" t="str">
        <f t="shared" si="72"/>
        <v>35-39</v>
      </c>
      <c r="C216" s="459">
        <f t="shared" si="74"/>
        <v>1.0097036467038074</v>
      </c>
      <c r="D216" s="459">
        <f t="shared" ref="D216:N216" si="78">D114+D148+D182</f>
        <v>1.0622247521316923</v>
      </c>
      <c r="E216" s="459">
        <f t="shared" si="78"/>
        <v>1.1113543774111918</v>
      </c>
      <c r="F216" s="459">
        <f t="shared" si="78"/>
        <v>1.152904889054039</v>
      </c>
      <c r="G216" s="459">
        <f t="shared" si="78"/>
        <v>1.1890809860665601</v>
      </c>
      <c r="H216" s="459">
        <f t="shared" si="78"/>
        <v>1.2207177995366938</v>
      </c>
      <c r="I216" s="459">
        <f t="shared" si="78"/>
        <v>1.2497985258401034</v>
      </c>
      <c r="J216" s="459">
        <f t="shared" si="78"/>
        <v>1.2778584128873016</v>
      </c>
      <c r="K216" s="459">
        <f t="shared" si="78"/>
        <v>1.3029480318473949</v>
      </c>
      <c r="L216" s="459">
        <f t="shared" si="78"/>
        <v>1.3242927341662158</v>
      </c>
      <c r="M216" s="459">
        <f t="shared" si="78"/>
        <v>1.3411180418843123</v>
      </c>
      <c r="N216" s="459">
        <f t="shared" si="78"/>
        <v>1.3544718554224091</v>
      </c>
    </row>
    <row r="217" spans="1:14">
      <c r="B217" s="338" t="str">
        <f t="shared" si="72"/>
        <v>40-44</v>
      </c>
      <c r="C217" s="459">
        <f t="shared" si="74"/>
        <v>0.88804352989318602</v>
      </c>
      <c r="D217" s="459">
        <f t="shared" ref="D217:N217" si="79">D115+D149+D183</f>
        <v>0.95707535582868641</v>
      </c>
      <c r="E217" s="459">
        <f t="shared" si="79"/>
        <v>1.0183746398353692</v>
      </c>
      <c r="F217" s="459">
        <f t="shared" si="79"/>
        <v>1.0704049823405903</v>
      </c>
      <c r="G217" s="459">
        <f t="shared" si="79"/>
        <v>1.116029419385379</v>
      </c>
      <c r="H217" s="459">
        <f t="shared" si="79"/>
        <v>1.1563040976008683</v>
      </c>
      <c r="I217" s="459">
        <f t="shared" si="79"/>
        <v>1.1931620980596367</v>
      </c>
      <c r="J217" s="459">
        <f t="shared" si="79"/>
        <v>1.22804082984563</v>
      </c>
      <c r="K217" s="459">
        <f t="shared" si="79"/>
        <v>1.259244740939893</v>
      </c>
      <c r="L217" s="459">
        <f t="shared" si="79"/>
        <v>1.2862871218791354</v>
      </c>
      <c r="M217" s="459">
        <f t="shared" si="79"/>
        <v>1.3087398124548284</v>
      </c>
      <c r="N217" s="459">
        <f t="shared" si="79"/>
        <v>1.3277908768937356</v>
      </c>
    </row>
    <row r="218" spans="1:14">
      <c r="B218" s="338" t="str">
        <f t="shared" si="72"/>
        <v>45-49</v>
      </c>
      <c r="C218" s="459">
        <f t="shared" si="74"/>
        <v>0.95106777457323877</v>
      </c>
      <c r="D218" s="459">
        <f t="shared" ref="D218:N218" si="80">D116+D150+D184</f>
        <v>0.97677231155253685</v>
      </c>
      <c r="E218" s="459">
        <f t="shared" si="80"/>
        <v>1.0097236998811976</v>
      </c>
      <c r="F218" s="459">
        <f t="shared" si="80"/>
        <v>1.0437924620891852</v>
      </c>
      <c r="G218" s="459">
        <f t="shared" si="80"/>
        <v>1.0786019312898241</v>
      </c>
      <c r="H218" s="459">
        <f t="shared" si="80"/>
        <v>1.1130722605501968</v>
      </c>
      <c r="I218" s="459">
        <f t="shared" si="80"/>
        <v>1.1475320852941595</v>
      </c>
      <c r="J218" s="459">
        <f t="shared" si="80"/>
        <v>1.1822616381991358</v>
      </c>
      <c r="K218" s="459">
        <f t="shared" si="80"/>
        <v>1.214928565701443</v>
      </c>
      <c r="L218" s="459">
        <f t="shared" si="80"/>
        <v>1.2445294023070981</v>
      </c>
      <c r="M218" s="459">
        <f t="shared" si="80"/>
        <v>1.270302180668087</v>
      </c>
      <c r="N218" s="459">
        <f t="shared" si="80"/>
        <v>1.2931299859414243</v>
      </c>
    </row>
    <row r="219" spans="1:14">
      <c r="B219" s="338" t="str">
        <f t="shared" si="72"/>
        <v>50-54</v>
      </c>
      <c r="C219" s="459">
        <f t="shared" si="74"/>
        <v>2.0498731462974447</v>
      </c>
      <c r="D219" s="459">
        <f t="shared" ref="D219:N219" si="81">D117+D151+D185</f>
        <v>1.8003745483311915</v>
      </c>
      <c r="E219" s="459">
        <f t="shared" si="81"/>
        <v>1.6274515259318456</v>
      </c>
      <c r="F219" s="459">
        <f t="shared" si="81"/>
        <v>1.5085553388738102</v>
      </c>
      <c r="G219" s="459">
        <f t="shared" si="81"/>
        <v>1.4306092473493441</v>
      </c>
      <c r="H219" s="459">
        <f t="shared" si="81"/>
        <v>1.382684875212046</v>
      </c>
      <c r="I219" s="459">
        <f t="shared" si="81"/>
        <v>1.3576119866901264</v>
      </c>
      <c r="J219" s="459">
        <f t="shared" si="81"/>
        <v>1.349949916602557</v>
      </c>
      <c r="K219" s="459">
        <f t="shared" si="81"/>
        <v>1.352920812500511</v>
      </c>
      <c r="L219" s="459">
        <f t="shared" si="81"/>
        <v>1.3621927826616429</v>
      </c>
      <c r="M219" s="459">
        <f t="shared" si="81"/>
        <v>1.3744915706328193</v>
      </c>
      <c r="N219" s="459">
        <f t="shared" si="81"/>
        <v>1.3888710660869916</v>
      </c>
    </row>
    <row r="220" spans="1:14">
      <c r="B220" s="338" t="str">
        <f t="shared" si="72"/>
        <v>55-59</v>
      </c>
      <c r="C220" s="459">
        <f t="shared" si="74"/>
        <v>4.1677802916884206</v>
      </c>
      <c r="D220" s="459">
        <f t="shared" ref="D220:N220" si="82">D118+D152+D186</f>
        <v>3.5346349889928299</v>
      </c>
      <c r="E220" s="459">
        <f t="shared" si="82"/>
        <v>3.04746467918853</v>
      </c>
      <c r="F220" s="459">
        <f t="shared" si="82"/>
        <v>2.6761852483082644</v>
      </c>
      <c r="G220" s="459">
        <f t="shared" si="82"/>
        <v>2.4010199238425805</v>
      </c>
      <c r="H220" s="459">
        <f t="shared" si="82"/>
        <v>2.2018527808386308</v>
      </c>
      <c r="I220" s="459">
        <f t="shared" si="82"/>
        <v>2.0635316417325917</v>
      </c>
      <c r="J220" s="459">
        <f t="shared" si="82"/>
        <v>1.9732107348678873</v>
      </c>
      <c r="K220" s="459">
        <f t="shared" si="82"/>
        <v>1.9157030485372273</v>
      </c>
      <c r="L220" s="459">
        <f t="shared" si="82"/>
        <v>1.8809608867886696</v>
      </c>
      <c r="M220" s="459">
        <f t="shared" si="82"/>
        <v>1.8612587694370497</v>
      </c>
      <c r="N220" s="459">
        <f t="shared" si="82"/>
        <v>1.853353790597313</v>
      </c>
    </row>
    <row r="221" spans="1:14">
      <c r="B221" s="338" t="str">
        <f t="shared" si="72"/>
        <v>60-64</v>
      </c>
      <c r="C221" s="459">
        <f t="shared" si="74"/>
        <v>3.1264535973008711</v>
      </c>
      <c r="D221" s="459">
        <f t="shared" ref="D221:N221" si="83">D119+D153+D187</f>
        <v>2.5594540776179091</v>
      </c>
      <c r="E221" s="459">
        <f t="shared" si="83"/>
        <v>2.1440427642610564</v>
      </c>
      <c r="F221" s="459">
        <f t="shared" si="83"/>
        <v>1.8303751869013269</v>
      </c>
      <c r="G221" s="459">
        <f t="shared" si="83"/>
        <v>1.594346013310413</v>
      </c>
      <c r="H221" s="459">
        <f t="shared" si="83"/>
        <v>1.4178428148104871</v>
      </c>
      <c r="I221" s="459">
        <f t="shared" si="83"/>
        <v>1.2889905750722661</v>
      </c>
      <c r="J221" s="459">
        <f t="shared" si="83"/>
        <v>1.198138690130256</v>
      </c>
      <c r="K221" s="459">
        <f t="shared" si="83"/>
        <v>1.1335675244026318</v>
      </c>
      <c r="L221" s="459">
        <f t="shared" si="83"/>
        <v>1.0878481615839102</v>
      </c>
      <c r="M221" s="459">
        <f t="shared" si="83"/>
        <v>1.0552871333994271</v>
      </c>
      <c r="N221" s="459">
        <f t="shared" si="83"/>
        <v>1.0336947169563875</v>
      </c>
    </row>
    <row r="222" spans="1:14">
      <c r="B222" s="338" t="str">
        <f t="shared" si="72"/>
        <v>65 plus</v>
      </c>
      <c r="C222" s="459">
        <f t="shared" si="74"/>
        <v>3.0087071693565663</v>
      </c>
      <c r="D222" s="459">
        <f t="shared" ref="D222:N222" si="84">D120+D154+D188</f>
        <v>2.1108101500692023</v>
      </c>
      <c r="E222" s="459">
        <f t="shared" si="84"/>
        <v>1.5480508246001239</v>
      </c>
      <c r="F222" s="459">
        <f t="shared" si="84"/>
        <v>1.1850433540471887</v>
      </c>
      <c r="G222" s="459">
        <f t="shared" si="84"/>
        <v>0.94490535311769963</v>
      </c>
      <c r="H222" s="459">
        <f t="shared" si="84"/>
        <v>0.78202293101022224</v>
      </c>
      <c r="I222" s="459">
        <f t="shared" si="84"/>
        <v>0.66991641214643394</v>
      </c>
      <c r="J222" s="459">
        <f t="shared" si="84"/>
        <v>0.59244483746005427</v>
      </c>
      <c r="K222" s="459">
        <f t="shared" si="84"/>
        <v>0.53774665233815844</v>
      </c>
      <c r="L222" s="459">
        <f t="shared" si="84"/>
        <v>0.49849544904364101</v>
      </c>
      <c r="M222" s="459">
        <f t="shared" si="84"/>
        <v>0.46976313029619909</v>
      </c>
      <c r="N222" s="459">
        <f t="shared" si="84"/>
        <v>0.44908965284754382</v>
      </c>
    </row>
    <row r="223" spans="1:14">
      <c r="B223" s="338" t="str">
        <f t="shared" si="72"/>
        <v>Total</v>
      </c>
      <c r="C223" s="459">
        <f>SUM(C213:C222)</f>
        <v>18.741513930146919</v>
      </c>
      <c r="D223" s="459">
        <f t="shared" ref="D223:N223" si="85">SUM(D213:D222)</f>
        <v>16.915443421496484</v>
      </c>
      <c r="E223" s="459">
        <f t="shared" si="85"/>
        <v>15.721619172888033</v>
      </c>
      <c r="F223" s="459">
        <f t="shared" si="85"/>
        <v>14.888997890255059</v>
      </c>
      <c r="G223" s="459">
        <f t="shared" si="85"/>
        <v>14.327959153657334</v>
      </c>
      <c r="H223" s="459">
        <f t="shared" si="85"/>
        <v>13.959634706140815</v>
      </c>
      <c r="I223" s="459">
        <f t="shared" si="85"/>
        <v>13.751758982833463</v>
      </c>
      <c r="J223" s="459">
        <f t="shared" si="85"/>
        <v>13.678870573194919</v>
      </c>
      <c r="K223" s="459">
        <f t="shared" si="85"/>
        <v>13.666048601963903</v>
      </c>
      <c r="L223" s="459">
        <f t="shared" si="85"/>
        <v>13.676361050263228</v>
      </c>
      <c r="M223" s="459">
        <f t="shared" si="85"/>
        <v>13.682839456707812</v>
      </c>
      <c r="N223" s="459">
        <f t="shared" si="85"/>
        <v>13.696619673398565</v>
      </c>
    </row>
    <row r="224" spans="1:14">
      <c r="A224" s="309">
        <f>SUM(C224:N224)</f>
        <v>0</v>
      </c>
      <c r="C224" s="309">
        <f t="shared" ref="C224:N224" si="86">SUM(C213:C222)-C223</f>
        <v>0</v>
      </c>
      <c r="D224" s="309">
        <f t="shared" si="86"/>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0.50392897873094167</v>
      </c>
      <c r="D229" s="459">
        <f t="shared" ref="D229:N229" si="90">D195+D161+D127</f>
        <v>0.88937840789286249</v>
      </c>
      <c r="E229" s="459">
        <f t="shared" si="90"/>
        <v>1.1603571329728171</v>
      </c>
      <c r="F229" s="459">
        <f t="shared" si="90"/>
        <v>1.333146880184547</v>
      </c>
      <c r="G229" s="459">
        <f t="shared" si="90"/>
        <v>1.4475478840342355</v>
      </c>
      <c r="H229" s="459">
        <f t="shared" si="90"/>
        <v>1.5231729865141053</v>
      </c>
      <c r="I229" s="459">
        <f t="shared" si="90"/>
        <v>1.5797176659719894</v>
      </c>
      <c r="J229" s="459">
        <f t="shared" si="90"/>
        <v>1.6289199760077024</v>
      </c>
      <c r="K229" s="459">
        <f t="shared" si="90"/>
        <v>1.6613121948226599</v>
      </c>
      <c r="L229" s="459">
        <f t="shared" si="90"/>
        <v>1.6769201339472979</v>
      </c>
      <c r="M229" s="459">
        <f t="shared" si="90"/>
        <v>1.6762893019067351</v>
      </c>
      <c r="N229" s="459">
        <f t="shared" si="90"/>
        <v>1.6694643484230258</v>
      </c>
    </row>
    <row r="230" spans="1:14">
      <c r="B230" s="338" t="str">
        <f t="shared" si="87"/>
        <v>25-29</v>
      </c>
      <c r="C230" s="459">
        <f t="shared" si="89"/>
        <v>3.2180866428879198</v>
      </c>
      <c r="D230" s="459">
        <f t="shared" ref="D230:N230" si="91">D196+D162+D128</f>
        <v>3.0405217107761513</v>
      </c>
      <c r="E230" s="459">
        <f t="shared" si="91"/>
        <v>2.9716551370069757</v>
      </c>
      <c r="F230" s="459">
        <f t="shared" si="91"/>
        <v>2.9422026144591409</v>
      </c>
      <c r="G230" s="459">
        <f t="shared" si="91"/>
        <v>2.9389281957295053</v>
      </c>
      <c r="H230" s="459">
        <f t="shared" si="91"/>
        <v>2.9483068893064623</v>
      </c>
      <c r="I230" s="459">
        <f t="shared" si="91"/>
        <v>2.9707213468987703</v>
      </c>
      <c r="J230" s="459">
        <f t="shared" si="91"/>
        <v>3.0069228749897157</v>
      </c>
      <c r="K230" s="459">
        <f t="shared" si="91"/>
        <v>3.0378894414668296</v>
      </c>
      <c r="L230" s="459">
        <f t="shared" si="91"/>
        <v>3.0565225639244642</v>
      </c>
      <c r="M230" s="459">
        <f t="shared" si="91"/>
        <v>3.058348328940216</v>
      </c>
      <c r="N230" s="459">
        <f t="shared" si="91"/>
        <v>3.0518740060553426</v>
      </c>
    </row>
    <row r="231" spans="1:14">
      <c r="B231" s="338" t="str">
        <f t="shared" si="87"/>
        <v>30-34</v>
      </c>
      <c r="C231" s="459">
        <f t="shared" si="89"/>
        <v>3.1514126486742882</v>
      </c>
      <c r="D231" s="459">
        <f t="shared" ref="D231:N231" si="92">D197+D163+D129</f>
        <v>3.1827015324084957</v>
      </c>
      <c r="E231" s="459">
        <f t="shared" si="92"/>
        <v>3.1725411234618823</v>
      </c>
      <c r="F231" s="459">
        <f t="shared" si="92"/>
        <v>3.1394901153822148</v>
      </c>
      <c r="G231" s="459">
        <f t="shared" si="92"/>
        <v>3.1043858010159684</v>
      </c>
      <c r="H231" s="459">
        <f t="shared" si="92"/>
        <v>3.0741807209695531</v>
      </c>
      <c r="I231" s="459">
        <f t="shared" si="92"/>
        <v>3.0554758531620716</v>
      </c>
      <c r="J231" s="459">
        <f t="shared" si="92"/>
        <v>3.0515465545209377</v>
      </c>
      <c r="K231" s="459">
        <f t="shared" si="92"/>
        <v>3.0528687805580041</v>
      </c>
      <c r="L231" s="459">
        <f t="shared" si="92"/>
        <v>3.0539213325919867</v>
      </c>
      <c r="M231" s="459">
        <f t="shared" si="92"/>
        <v>3.0498626777188909</v>
      </c>
      <c r="N231" s="459">
        <f t="shared" si="92"/>
        <v>3.0429298508410603</v>
      </c>
    </row>
    <row r="232" spans="1:14">
      <c r="B232" s="338" t="str">
        <f t="shared" si="87"/>
        <v>35-39</v>
      </c>
      <c r="C232" s="459">
        <f t="shared" si="89"/>
        <v>2.2506947512186852</v>
      </c>
      <c r="D232" s="459">
        <f t="shared" ref="D232:N232" si="93">D198+D164+D130</f>
        <v>2.3610263346956364</v>
      </c>
      <c r="E232" s="459">
        <f t="shared" si="93"/>
        <v>2.4453030896873855</v>
      </c>
      <c r="F232" s="459">
        <f t="shared" si="93"/>
        <v>2.4975570499304789</v>
      </c>
      <c r="G232" s="459">
        <f t="shared" si="93"/>
        <v>2.5271340054607503</v>
      </c>
      <c r="H232" s="459">
        <f t="shared" si="93"/>
        <v>2.5408625302059438</v>
      </c>
      <c r="I232" s="459">
        <f t="shared" si="93"/>
        <v>2.5470390632698949</v>
      </c>
      <c r="J232" s="459">
        <f t="shared" si="93"/>
        <v>2.5519206340941496</v>
      </c>
      <c r="K232" s="459">
        <f t="shared" si="93"/>
        <v>2.553807912510679</v>
      </c>
      <c r="L232" s="459">
        <f t="shared" si="93"/>
        <v>2.5525199311444715</v>
      </c>
      <c r="M232" s="459">
        <f t="shared" si="93"/>
        <v>2.5472390602956634</v>
      </c>
      <c r="N232" s="459">
        <f t="shared" si="93"/>
        <v>2.5402745533428295</v>
      </c>
    </row>
    <row r="233" spans="1:14">
      <c r="B233" s="338" t="str">
        <f t="shared" si="87"/>
        <v>40-44</v>
      </c>
      <c r="C233" s="459">
        <f t="shared" si="89"/>
        <v>1.4187655820265552</v>
      </c>
      <c r="D233" s="459">
        <f t="shared" ref="D233:N233" si="94">D199+D165+D131</f>
        <v>1.5876117068008473</v>
      </c>
      <c r="E233" s="459">
        <f t="shared" si="94"/>
        <v>1.7298605585219131</v>
      </c>
      <c r="F233" s="459">
        <f t="shared" si="94"/>
        <v>1.8432160043876089</v>
      </c>
      <c r="G233" s="459">
        <f t="shared" si="94"/>
        <v>1.9332296214621607</v>
      </c>
      <c r="H233" s="459">
        <f t="shared" si="94"/>
        <v>2.002999035890686</v>
      </c>
      <c r="I233" s="459">
        <f t="shared" si="94"/>
        <v>2.0576416975789589</v>
      </c>
      <c r="J233" s="459">
        <f t="shared" si="94"/>
        <v>2.101664960410397</v>
      </c>
      <c r="K233" s="459">
        <f t="shared" si="94"/>
        <v>2.1342230180177153</v>
      </c>
      <c r="L233" s="459">
        <f t="shared" si="94"/>
        <v>2.1563965347456215</v>
      </c>
      <c r="M233" s="459">
        <f t="shared" si="94"/>
        <v>2.1691083799071018</v>
      </c>
      <c r="N233" s="459">
        <f t="shared" si="94"/>
        <v>2.1757359000445944</v>
      </c>
    </row>
    <row r="234" spans="1:14">
      <c r="B234" s="338" t="str">
        <f t="shared" si="87"/>
        <v>45-49</v>
      </c>
      <c r="C234" s="459">
        <f t="shared" si="89"/>
        <v>1.4929161335195429</v>
      </c>
      <c r="D234" s="459">
        <f t="shared" ref="D234:N234" si="95">D200+D166+D132</f>
        <v>1.5242307072515386</v>
      </c>
      <c r="E234" s="459">
        <f t="shared" si="95"/>
        <v>1.5805134243791223</v>
      </c>
      <c r="F234" s="459">
        <f t="shared" si="95"/>
        <v>1.6453353453806636</v>
      </c>
      <c r="G234" s="459">
        <f t="shared" si="95"/>
        <v>1.7136241549824582</v>
      </c>
      <c r="H234" s="459">
        <f t="shared" si="95"/>
        <v>1.7804616441461258</v>
      </c>
      <c r="I234" s="459">
        <f t="shared" si="95"/>
        <v>1.8443753501039666</v>
      </c>
      <c r="J234" s="459">
        <f t="shared" si="95"/>
        <v>1.9047140032135954</v>
      </c>
      <c r="K234" s="459">
        <f t="shared" si="95"/>
        <v>1.9572052755429836</v>
      </c>
      <c r="L234" s="459">
        <f t="shared" si="95"/>
        <v>2.000340595508407</v>
      </c>
      <c r="M234" s="459">
        <f t="shared" si="95"/>
        <v>2.0333750111882143</v>
      </c>
      <c r="N234" s="459">
        <f t="shared" si="95"/>
        <v>2.058501660055954</v>
      </c>
    </row>
    <row r="235" spans="1:14">
      <c r="B235" s="338" t="str">
        <f t="shared" si="87"/>
        <v>50-54</v>
      </c>
      <c r="C235" s="459">
        <f t="shared" si="89"/>
        <v>2.085565681517521</v>
      </c>
      <c r="D235" s="459">
        <f t="shared" ref="D235:N235" si="96">D201+D167+D133</f>
        <v>1.9678692833740619</v>
      </c>
      <c r="E235" s="459">
        <f t="shared" si="96"/>
        <v>1.8897396294111481</v>
      </c>
      <c r="F235" s="459">
        <f t="shared" si="96"/>
        <v>1.8416193404987096</v>
      </c>
      <c r="G235" s="459">
        <f t="shared" si="96"/>
        <v>1.8198777096102248</v>
      </c>
      <c r="H235" s="459">
        <f t="shared" si="96"/>
        <v>1.818546881402852</v>
      </c>
      <c r="I235" s="459">
        <f t="shared" si="96"/>
        <v>1.8336316250933489</v>
      </c>
      <c r="J235" s="459">
        <f t="shared" si="96"/>
        <v>1.8613506552912409</v>
      </c>
      <c r="K235" s="459">
        <f t="shared" si="96"/>
        <v>1.8944093464098997</v>
      </c>
      <c r="L235" s="459">
        <f t="shared" si="96"/>
        <v>1.9282929920733358</v>
      </c>
      <c r="M235" s="459">
        <f t="shared" si="96"/>
        <v>1.9595549577041274</v>
      </c>
      <c r="N235" s="459">
        <f t="shared" si="96"/>
        <v>1.9879573389561265</v>
      </c>
    </row>
    <row r="236" spans="1:14">
      <c r="B236" s="338" t="str">
        <f t="shared" si="87"/>
        <v>55-59</v>
      </c>
      <c r="C236" s="459">
        <f t="shared" si="89"/>
        <v>5.3224470039962828</v>
      </c>
      <c r="D236" s="459">
        <f t="shared" ref="D236:N236" si="97">D202+D168+D134</f>
        <v>4.2892803469321947</v>
      </c>
      <c r="E236" s="459">
        <f t="shared" si="97"/>
        <v>3.6156192744559239</v>
      </c>
      <c r="F236" s="459">
        <f t="shared" si="97"/>
        <v>3.1685808429981508</v>
      </c>
      <c r="G236" s="459">
        <f t="shared" si="97"/>
        <v>2.8753944785980456</v>
      </c>
      <c r="H236" s="459">
        <f t="shared" si="97"/>
        <v>2.6871296846672843</v>
      </c>
      <c r="I236" s="459">
        <f t="shared" si="97"/>
        <v>2.5740836786942429</v>
      </c>
      <c r="J236" s="459">
        <f t="shared" si="97"/>
        <v>2.515745692440893</v>
      </c>
      <c r="K236" s="459">
        <f t="shared" si="97"/>
        <v>2.4910041507951015</v>
      </c>
      <c r="L236" s="459">
        <f t="shared" si="97"/>
        <v>2.4868250753958598</v>
      </c>
      <c r="M236" s="459">
        <f t="shared" si="97"/>
        <v>2.4936832645272808</v>
      </c>
      <c r="N236" s="459">
        <f t="shared" si="97"/>
        <v>2.5082788334193191</v>
      </c>
    </row>
    <row r="237" spans="1:14">
      <c r="B237" s="338" t="str">
        <f t="shared" si="87"/>
        <v>60-64</v>
      </c>
      <c r="C237" s="459">
        <f t="shared" si="89"/>
        <v>4.2890797564719438</v>
      </c>
      <c r="D237" s="459">
        <f t="shared" ref="D237:N237" si="98">D203+D169+D135</f>
        <v>3.5535303511303384</v>
      </c>
      <c r="E237" s="459">
        <f t="shared" si="98"/>
        <v>2.9450574630260031</v>
      </c>
      <c r="F237" s="459">
        <f t="shared" si="98"/>
        <v>2.482286619836449</v>
      </c>
      <c r="G237" s="459">
        <f t="shared" si="98"/>
        <v>2.1498295448651641</v>
      </c>
      <c r="H237" s="459">
        <f t="shared" si="98"/>
        <v>1.9184005513930071</v>
      </c>
      <c r="I237" s="459">
        <f t="shared" si="98"/>
        <v>1.7639409913096042</v>
      </c>
      <c r="J237" s="459">
        <f t="shared" si="98"/>
        <v>1.6667893083233369</v>
      </c>
      <c r="K237" s="459">
        <f t="shared" si="98"/>
        <v>1.6058878883648522</v>
      </c>
      <c r="L237" s="459">
        <f t="shared" si="98"/>
        <v>1.5686088731944328</v>
      </c>
      <c r="M237" s="459">
        <f t="shared" si="98"/>
        <v>1.5459544194464736</v>
      </c>
      <c r="N237" s="459">
        <f t="shared" si="98"/>
        <v>1.5349238003087406</v>
      </c>
    </row>
    <row r="238" spans="1:14">
      <c r="B238" s="338" t="str">
        <f t="shared" si="87"/>
        <v>65 plus</v>
      </c>
      <c r="C238" s="459">
        <f t="shared" si="89"/>
        <v>3.4339378727289485</v>
      </c>
      <c r="D238" s="459">
        <f t="shared" ref="D238:N238" si="99">D204+D170+D136</f>
        <v>2.3781832315425735</v>
      </c>
      <c r="E238" s="459">
        <f t="shared" si="99"/>
        <v>1.7526091419520606</v>
      </c>
      <c r="F238" s="459">
        <f t="shared" si="99"/>
        <v>1.3553894325607008</v>
      </c>
      <c r="G238" s="459">
        <f t="shared" si="99"/>
        <v>1.0934420647560179</v>
      </c>
      <c r="H238" s="459">
        <f t="shared" si="99"/>
        <v>0.91695850616275665</v>
      </c>
      <c r="I238" s="459">
        <f t="shared" si="99"/>
        <v>0.79813748402481544</v>
      </c>
      <c r="J238" s="459">
        <f t="shared" si="99"/>
        <v>0.71949872539220971</v>
      </c>
      <c r="K238" s="459">
        <f t="shared" si="99"/>
        <v>0.66672367841552616</v>
      </c>
      <c r="L238" s="459">
        <f t="shared" si="99"/>
        <v>0.63095218682408671</v>
      </c>
      <c r="M238" s="459">
        <f t="shared" si="99"/>
        <v>0.60614817422279621</v>
      </c>
      <c r="N238" s="459">
        <f t="shared" si="99"/>
        <v>0.58968277089172727</v>
      </c>
    </row>
    <row r="239" spans="1:14">
      <c r="B239" s="338" t="str">
        <f t="shared" si="87"/>
        <v>Total</v>
      </c>
      <c r="C239" s="459">
        <f>SUM(C229:C238)</f>
        <v>27.16683505177263</v>
      </c>
      <c r="D239" s="459">
        <f t="shared" ref="D239:N239" si="100">SUM(D229:D238)</f>
        <v>24.774333612804703</v>
      </c>
      <c r="E239" s="459">
        <f t="shared" si="100"/>
        <v>23.263255974875232</v>
      </c>
      <c r="F239" s="459">
        <f t="shared" si="100"/>
        <v>22.248824245618664</v>
      </c>
      <c r="G239" s="459">
        <f t="shared" si="100"/>
        <v>21.603393460514532</v>
      </c>
      <c r="H239" s="459">
        <f t="shared" si="100"/>
        <v>21.211019430658776</v>
      </c>
      <c r="I239" s="459">
        <f t="shared" si="100"/>
        <v>21.024764756107658</v>
      </c>
      <c r="J239" s="459">
        <f t="shared" si="100"/>
        <v>21.009073384684175</v>
      </c>
      <c r="K239" s="459">
        <f t="shared" si="100"/>
        <v>21.055331686904253</v>
      </c>
      <c r="L239" s="459">
        <f t="shared" si="100"/>
        <v>21.11130021934996</v>
      </c>
      <c r="M239" s="459">
        <f t="shared" si="100"/>
        <v>21.139563575857498</v>
      </c>
      <c r="N239" s="459">
        <f t="shared" si="100"/>
        <v>21.159623062338717</v>
      </c>
    </row>
    <row r="240" spans="1:14">
      <c r="A240" s="309">
        <f>SUM(C240:N240)</f>
        <v>0</v>
      </c>
      <c r="C240" s="309">
        <f t="shared" ref="C240:N240" si="101">SUM(C229:C238)-C239</f>
        <v>0</v>
      </c>
      <c r="D240" s="309">
        <f t="shared" si="101"/>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6" ht="15.75">
      <c r="B242" s="340" t="s">
        <v>154</v>
      </c>
      <c r="C242" s="329"/>
      <c r="D242" s="329"/>
      <c r="E242" s="329"/>
      <c r="F242" s="329"/>
      <c r="G242" s="329"/>
      <c r="H242" s="339"/>
      <c r="I242" s="329"/>
      <c r="J242" s="329"/>
      <c r="K242" s="329"/>
      <c r="L242" s="329"/>
    </row>
    <row r="243" spans="2:16">
      <c r="C243" s="329"/>
      <c r="D243" s="329"/>
      <c r="E243" s="329"/>
      <c r="F243" s="329"/>
      <c r="G243" s="329"/>
      <c r="H243" s="339"/>
      <c r="I243" s="329"/>
      <c r="J243" s="329"/>
      <c r="K243" s="329"/>
      <c r="L243" s="329"/>
    </row>
    <row r="244" spans="2:16">
      <c r="B244" s="341" t="s">
        <v>49</v>
      </c>
      <c r="C244" s="329"/>
      <c r="D244" s="329"/>
      <c r="E244" s="329"/>
      <c r="F244" s="329"/>
      <c r="G244" s="329"/>
      <c r="H244" s="339"/>
      <c r="I244" s="329"/>
      <c r="J244" s="329"/>
      <c r="K244" s="329"/>
      <c r="L244" s="329"/>
    </row>
    <row r="245" spans="2:16">
      <c r="C245" s="329"/>
      <c r="D245" s="329"/>
      <c r="E245" s="329"/>
      <c r="F245" s="329"/>
      <c r="G245" s="329"/>
      <c r="H245" s="339"/>
      <c r="I245" s="329"/>
      <c r="J245" s="329"/>
      <c r="K245" s="329"/>
      <c r="L245" s="329"/>
    </row>
    <row r="246" spans="2:16">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6">
      <c r="B247" s="338" t="str">
        <f t="shared" si="102"/>
        <v>20-24</v>
      </c>
      <c r="C247" s="459">
        <f t="shared" ref="C247:C256" si="104">C77-C213</f>
        <v>3.9950551441921824</v>
      </c>
      <c r="D247" s="459">
        <f t="shared" ref="D247:N247" si="105">D77-D213</f>
        <v>5.7428573959256992</v>
      </c>
      <c r="E247" s="459">
        <f t="shared" si="105"/>
        <v>6.9410313265445698</v>
      </c>
      <c r="F247" s="459">
        <f t="shared" si="105"/>
        <v>7.6633606797998439</v>
      </c>
      <c r="G247" s="459">
        <f t="shared" si="105"/>
        <v>8.1182516937848934</v>
      </c>
      <c r="H247" s="459">
        <f t="shared" si="105"/>
        <v>8.4024149614207957</v>
      </c>
      <c r="I247" s="459">
        <f t="shared" si="105"/>
        <v>8.6151464279922205</v>
      </c>
      <c r="J247" s="459">
        <f t="shared" si="105"/>
        <v>8.81293070657855</v>
      </c>
      <c r="K247" s="459">
        <f t="shared" si="105"/>
        <v>8.9359048798032781</v>
      </c>
      <c r="L247" s="459">
        <f t="shared" si="105"/>
        <v>8.9799708067082253</v>
      </c>
      <c r="M247" s="459">
        <f t="shared" si="105"/>
        <v>8.9451915215441158</v>
      </c>
      <c r="N247" s="459">
        <f t="shared" si="105"/>
        <v>8.885350957906784</v>
      </c>
      <c r="O247" s="327"/>
      <c r="P247" s="327"/>
    </row>
    <row r="248" spans="2:16">
      <c r="B248" s="338" t="str">
        <f t="shared" si="102"/>
        <v>25-29</v>
      </c>
      <c r="C248" s="459">
        <f t="shared" si="104"/>
        <v>14.202365019424354</v>
      </c>
      <c r="D248" s="459">
        <f t="shared" ref="D248:N248" si="106">D78-D214</f>
        <v>14.696988045055734</v>
      </c>
      <c r="E248" s="459">
        <f t="shared" si="106"/>
        <v>15.327501765910993</v>
      </c>
      <c r="F248" s="459">
        <f t="shared" si="106"/>
        <v>15.838127172124139</v>
      </c>
      <c r="G248" s="459">
        <f t="shared" si="106"/>
        <v>16.2644953612539</v>
      </c>
      <c r="H248" s="459">
        <f t="shared" si="106"/>
        <v>16.604760945264434</v>
      </c>
      <c r="I248" s="459">
        <f t="shared" si="106"/>
        <v>16.916123738072017</v>
      </c>
      <c r="J248" s="459">
        <f t="shared" si="106"/>
        <v>17.240014323027843</v>
      </c>
      <c r="K248" s="459">
        <f t="shared" si="106"/>
        <v>17.486029936439341</v>
      </c>
      <c r="L248" s="459">
        <f t="shared" si="106"/>
        <v>17.628471656826534</v>
      </c>
      <c r="M248" s="459">
        <f t="shared" si="106"/>
        <v>17.652108937770016</v>
      </c>
      <c r="N248" s="459">
        <f t="shared" si="106"/>
        <v>17.616369888532443</v>
      </c>
      <c r="O248" s="327"/>
      <c r="P248" s="327"/>
    </row>
    <row r="249" spans="2:16">
      <c r="B249" s="338" t="str">
        <f t="shared" si="102"/>
        <v>30-34</v>
      </c>
      <c r="C249" s="459">
        <f t="shared" si="104"/>
        <v>16.29894039599785</v>
      </c>
      <c r="D249" s="459">
        <f t="shared" ref="D249:N249" si="107">D79-D215</f>
        <v>17.158264917123081</v>
      </c>
      <c r="E249" s="459">
        <f t="shared" si="107"/>
        <v>17.867218105180122</v>
      </c>
      <c r="F249" s="459">
        <f t="shared" si="107"/>
        <v>18.415325693215475</v>
      </c>
      <c r="G249" s="459">
        <f t="shared" si="107"/>
        <v>18.875589554494915</v>
      </c>
      <c r="H249" s="459">
        <f t="shared" si="107"/>
        <v>19.268531349544318</v>
      </c>
      <c r="I249" s="459">
        <f t="shared" si="107"/>
        <v>19.634884430975976</v>
      </c>
      <c r="J249" s="459">
        <f t="shared" si="107"/>
        <v>20.004838376395004</v>
      </c>
      <c r="K249" s="459">
        <f t="shared" si="107"/>
        <v>20.327125458072086</v>
      </c>
      <c r="L249" s="459">
        <f t="shared" si="107"/>
        <v>20.577834216909615</v>
      </c>
      <c r="M249" s="459">
        <f t="shared" si="107"/>
        <v>20.736826804232038</v>
      </c>
      <c r="N249" s="459">
        <f t="shared" si="107"/>
        <v>20.830303933682888</v>
      </c>
      <c r="O249" s="327"/>
      <c r="P249" s="327"/>
    </row>
    <row r="250" spans="2:16">
      <c r="B250" s="338" t="str">
        <f t="shared" si="102"/>
        <v>35-39</v>
      </c>
      <c r="C250" s="459">
        <f t="shared" si="104"/>
        <v>15.325943322853265</v>
      </c>
      <c r="D250" s="459">
        <f t="shared" ref="D250:N250" si="108">D80-D216</f>
        <v>16.123143063261345</v>
      </c>
      <c r="E250" s="459">
        <f t="shared" si="108"/>
        <v>16.868864696499639</v>
      </c>
      <c r="F250" s="459">
        <f t="shared" si="108"/>
        <v>17.499545578511579</v>
      </c>
      <c r="G250" s="459">
        <f t="shared" si="108"/>
        <v>18.048650074930798</v>
      </c>
      <c r="H250" s="459">
        <f t="shared" si="108"/>
        <v>18.528854352435189</v>
      </c>
      <c r="I250" s="459">
        <f t="shared" si="108"/>
        <v>18.970260664642165</v>
      </c>
      <c r="J250" s="459">
        <f t="shared" si="108"/>
        <v>19.396172009951169</v>
      </c>
      <c r="K250" s="459">
        <f t="shared" si="108"/>
        <v>19.776998680657616</v>
      </c>
      <c r="L250" s="459">
        <f t="shared" si="108"/>
        <v>20.100982553598293</v>
      </c>
      <c r="M250" s="459">
        <f t="shared" si="108"/>
        <v>20.356368095008303</v>
      </c>
      <c r="N250" s="459">
        <f t="shared" si="108"/>
        <v>20.559061023866125</v>
      </c>
      <c r="O250" s="327"/>
      <c r="P250" s="327"/>
    </row>
    <row r="251" spans="2:16">
      <c r="B251" s="338" t="str">
        <f t="shared" si="102"/>
        <v>40-44</v>
      </c>
      <c r="C251" s="459">
        <f t="shared" si="104"/>
        <v>12.558690999318278</v>
      </c>
      <c r="D251" s="459">
        <f t="shared" ref="D251:N251" si="109">D81-D217</f>
        <v>13.534937480329127</v>
      </c>
      <c r="E251" s="459">
        <f t="shared" si="109"/>
        <v>14.401830532758641</v>
      </c>
      <c r="F251" s="459">
        <f t="shared" si="109"/>
        <v>15.13764242949118</v>
      </c>
      <c r="G251" s="459">
        <f t="shared" si="109"/>
        <v>15.78286215980358</v>
      </c>
      <c r="H251" s="459">
        <f t="shared" si="109"/>
        <v>16.352425724853305</v>
      </c>
      <c r="I251" s="459">
        <f t="shared" si="109"/>
        <v>16.873670712326025</v>
      </c>
      <c r="J251" s="459">
        <f t="shared" si="109"/>
        <v>17.366924928142538</v>
      </c>
      <c r="K251" s="459">
        <f t="shared" si="109"/>
        <v>17.808209914983422</v>
      </c>
      <c r="L251" s="459">
        <f t="shared" si="109"/>
        <v>18.190642638909296</v>
      </c>
      <c r="M251" s="459">
        <f t="shared" si="109"/>
        <v>18.508168068183412</v>
      </c>
      <c r="N251" s="459">
        <f t="shared" si="109"/>
        <v>18.777587779540479</v>
      </c>
      <c r="O251" s="327"/>
      <c r="P251" s="327"/>
    </row>
    <row r="252" spans="2:16">
      <c r="B252" s="338" t="str">
        <f t="shared" si="102"/>
        <v>45-49</v>
      </c>
      <c r="C252" s="459">
        <f t="shared" si="104"/>
        <v>11.696963897717213</v>
      </c>
      <c r="D252" s="459">
        <f t="shared" ref="D252:N252" si="110">D82-D218</f>
        <v>12.013098088247746</v>
      </c>
      <c r="E252" s="459">
        <f t="shared" si="110"/>
        <v>12.418359637387034</v>
      </c>
      <c r="F252" s="459">
        <f t="shared" si="110"/>
        <v>12.837363510970658</v>
      </c>
      <c r="G252" s="459">
        <f t="shared" si="110"/>
        <v>13.265477169559574</v>
      </c>
      <c r="H252" s="459">
        <f t="shared" si="110"/>
        <v>13.689419823995459</v>
      </c>
      <c r="I252" s="459">
        <f t="shared" si="110"/>
        <v>14.113233285799126</v>
      </c>
      <c r="J252" s="459">
        <f t="shared" si="110"/>
        <v>14.540364072241395</v>
      </c>
      <c r="K252" s="459">
        <f t="shared" si="110"/>
        <v>14.942127103078279</v>
      </c>
      <c r="L252" s="459">
        <f t="shared" si="110"/>
        <v>15.30618098690789</v>
      </c>
      <c r="M252" s="459">
        <f t="shared" si="110"/>
        <v>15.623154462502336</v>
      </c>
      <c r="N252" s="459">
        <f t="shared" si="110"/>
        <v>15.903908391175991</v>
      </c>
      <c r="O252" s="327"/>
      <c r="P252" s="327"/>
    </row>
    <row r="253" spans="2:16">
      <c r="B253" s="338" t="str">
        <f t="shared" si="102"/>
        <v>50-54</v>
      </c>
      <c r="C253" s="459">
        <f t="shared" si="104"/>
        <v>17.57594079644015</v>
      </c>
      <c r="D253" s="459">
        <f t="shared" ref="D253:N253" si="111">D83-D219</f>
        <v>15.436699841666755</v>
      </c>
      <c r="E253" s="459">
        <f t="shared" si="111"/>
        <v>13.954030141094275</v>
      </c>
      <c r="F253" s="459">
        <f t="shared" si="111"/>
        <v>12.93459518316577</v>
      </c>
      <c r="G253" s="459">
        <f t="shared" si="111"/>
        <v>12.266272905554388</v>
      </c>
      <c r="H253" s="459">
        <f t="shared" si="111"/>
        <v>11.855361660186285</v>
      </c>
      <c r="I253" s="459">
        <f t="shared" si="111"/>
        <v>11.640382696706045</v>
      </c>
      <c r="J253" s="459">
        <f t="shared" si="111"/>
        <v>11.574686880123181</v>
      </c>
      <c r="K253" s="459">
        <f t="shared" si="111"/>
        <v>11.600159817562819</v>
      </c>
      <c r="L253" s="459">
        <f t="shared" si="111"/>
        <v>11.679659175321987</v>
      </c>
      <c r="M253" s="459">
        <f t="shared" si="111"/>
        <v>11.785110953955122</v>
      </c>
      <c r="N253" s="459">
        <f t="shared" si="111"/>
        <v>11.908403051927969</v>
      </c>
      <c r="O253" s="327"/>
      <c r="P253" s="327"/>
    </row>
    <row r="254" spans="2:16">
      <c r="B254" s="338" t="str">
        <f t="shared" si="102"/>
        <v>55-59</v>
      </c>
      <c r="C254" s="459">
        <f t="shared" si="104"/>
        <v>11.670054638879758</v>
      </c>
      <c r="D254" s="459">
        <f t="shared" ref="D254:N254" si="112">D84-D220</f>
        <v>9.897206801496683</v>
      </c>
      <c r="E254" s="459">
        <f t="shared" si="112"/>
        <v>8.5330983946322299</v>
      </c>
      <c r="F254" s="459">
        <f t="shared" si="112"/>
        <v>7.4934919515321337</v>
      </c>
      <c r="G254" s="459">
        <f t="shared" si="112"/>
        <v>6.7230112288214094</v>
      </c>
      <c r="H254" s="459">
        <f t="shared" si="112"/>
        <v>6.1653303343268329</v>
      </c>
      <c r="I254" s="459">
        <f t="shared" si="112"/>
        <v>5.7780221899175155</v>
      </c>
      <c r="J254" s="459">
        <f t="shared" si="112"/>
        <v>5.525117803319616</v>
      </c>
      <c r="K254" s="459">
        <f t="shared" si="112"/>
        <v>5.3640925585453818</v>
      </c>
      <c r="L254" s="459">
        <f t="shared" si="112"/>
        <v>5.2668122564414013</v>
      </c>
      <c r="M254" s="459">
        <f t="shared" si="112"/>
        <v>5.2116450523415221</v>
      </c>
      <c r="N254" s="459">
        <f t="shared" si="112"/>
        <v>5.1895105998218236</v>
      </c>
      <c r="O254" s="327"/>
      <c r="P254" s="327"/>
    </row>
    <row r="255" spans="2:16">
      <c r="B255" s="338" t="str">
        <f t="shared" si="102"/>
        <v>60-64</v>
      </c>
      <c r="C255" s="459">
        <f t="shared" si="104"/>
        <v>4.752914272573209</v>
      </c>
      <c r="D255" s="459">
        <f t="shared" ref="D255:N255" si="113">D85-D221</f>
        <v>3.8909471824587536</v>
      </c>
      <c r="E255" s="459">
        <f t="shared" si="113"/>
        <v>3.2594283388889278</v>
      </c>
      <c r="F255" s="459">
        <f t="shared" si="113"/>
        <v>2.7825829103933351</v>
      </c>
      <c r="G255" s="459">
        <f t="shared" si="113"/>
        <v>2.4237653578563618</v>
      </c>
      <c r="H255" s="459">
        <f t="shared" si="113"/>
        <v>2.1554407065551677</v>
      </c>
      <c r="I255" s="459">
        <f t="shared" si="113"/>
        <v>1.9595562546530092</v>
      </c>
      <c r="J255" s="459">
        <f t="shared" si="113"/>
        <v>1.8214409085612424</v>
      </c>
      <c r="K255" s="459">
        <f t="shared" si="113"/>
        <v>1.7232781802071511</v>
      </c>
      <c r="L255" s="459">
        <f t="shared" si="113"/>
        <v>1.6537744420862166</v>
      </c>
      <c r="M255" s="459">
        <f t="shared" si="113"/>
        <v>1.604274338927387</v>
      </c>
      <c r="N255" s="459">
        <f t="shared" si="113"/>
        <v>1.5714489982986091</v>
      </c>
      <c r="O255" s="327"/>
      <c r="P255" s="327"/>
    </row>
    <row r="256" spans="2:16">
      <c r="B256" s="338" t="str">
        <f t="shared" si="102"/>
        <v>65 plus</v>
      </c>
      <c r="C256" s="459">
        <f t="shared" si="104"/>
        <v>3.4951871689639455</v>
      </c>
      <c r="D256" s="459">
        <f t="shared" ref="D256:N256" si="114">D86-D222</f>
        <v>2.4521085427594151</v>
      </c>
      <c r="E256" s="459">
        <f t="shared" si="114"/>
        <v>1.7983562621694194</v>
      </c>
      <c r="F256" s="459">
        <f t="shared" si="114"/>
        <v>1.376653855821242</v>
      </c>
      <c r="G256" s="459">
        <f t="shared" si="114"/>
        <v>1.0976877709267463</v>
      </c>
      <c r="H256" s="459">
        <f t="shared" si="114"/>
        <v>0.9084687742765758</v>
      </c>
      <c r="I256" s="459">
        <f t="shared" si="114"/>
        <v>0.77823567273691208</v>
      </c>
      <c r="J256" s="459">
        <f t="shared" si="114"/>
        <v>0.68823766410346499</v>
      </c>
      <c r="K256" s="459">
        <f t="shared" si="114"/>
        <v>0.62469529057146378</v>
      </c>
      <c r="L256" s="459">
        <f t="shared" si="114"/>
        <v>0.57909753233208972</v>
      </c>
      <c r="M256" s="459">
        <f t="shared" si="114"/>
        <v>0.5457194645548531</v>
      </c>
      <c r="N256" s="459">
        <f t="shared" si="114"/>
        <v>0.52170327785102777</v>
      </c>
      <c r="O256" s="327"/>
      <c r="P256" s="327"/>
    </row>
    <row r="257" spans="1:16">
      <c r="B257" s="338" t="str">
        <f t="shared" si="102"/>
        <v>Total</v>
      </c>
      <c r="C257" s="459">
        <f>SUM(C247:C256)</f>
        <v>111.57205565636022</v>
      </c>
      <c r="D257" s="459">
        <f t="shared" ref="D257:N257" si="115">SUM(D247:D256)</f>
        <v>110.94625135832435</v>
      </c>
      <c r="E257" s="459">
        <f t="shared" si="115"/>
        <v>111.36971920106586</v>
      </c>
      <c r="F257" s="459">
        <f t="shared" si="115"/>
        <v>111.97868896502537</v>
      </c>
      <c r="G257" s="459">
        <f t="shared" si="115"/>
        <v>112.86606327698657</v>
      </c>
      <c r="H257" s="459">
        <f t="shared" si="115"/>
        <v>113.93100863285838</v>
      </c>
      <c r="I257" s="459">
        <f t="shared" si="115"/>
        <v>115.27951607382101</v>
      </c>
      <c r="J257" s="459">
        <f t="shared" si="115"/>
        <v>116.970727672444</v>
      </c>
      <c r="K257" s="459">
        <f t="shared" si="115"/>
        <v>118.58862181992082</v>
      </c>
      <c r="L257" s="459">
        <f t="shared" si="115"/>
        <v>119.96342626604154</v>
      </c>
      <c r="M257" s="459">
        <f t="shared" si="115"/>
        <v>120.9685676990191</v>
      </c>
      <c r="N257" s="459">
        <f t="shared" si="115"/>
        <v>121.76364790260415</v>
      </c>
      <c r="O257" s="327"/>
      <c r="P257" s="327"/>
    </row>
    <row r="258" spans="1:16">
      <c r="A258" s="309">
        <f>SUM(C258:N258)</f>
        <v>0</v>
      </c>
      <c r="C258" s="309">
        <f t="shared" ref="C258:N258" si="116">SUM(C247:C256)-C257</f>
        <v>0</v>
      </c>
      <c r="D258" s="309">
        <f t="shared" si="116"/>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6">
      <c r="B260" s="341" t="s">
        <v>50</v>
      </c>
      <c r="C260" s="329"/>
      <c r="D260" s="329"/>
      <c r="E260" s="329"/>
      <c r="F260" s="329"/>
      <c r="G260" s="329"/>
      <c r="H260" s="339"/>
      <c r="I260" s="329"/>
      <c r="J260" s="329"/>
      <c r="K260" s="329"/>
      <c r="L260" s="329"/>
    </row>
    <row r="261" spans="1:16">
      <c r="C261" s="329"/>
      <c r="D261" s="329"/>
      <c r="E261" s="329"/>
      <c r="F261" s="329"/>
      <c r="G261" s="329"/>
      <c r="H261" s="339"/>
      <c r="I261" s="329"/>
      <c r="J261" s="329"/>
      <c r="K261" s="329"/>
      <c r="L261" s="329"/>
    </row>
    <row r="262" spans="1:16">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6">
      <c r="B263" s="338" t="str">
        <f t="shared" si="117"/>
        <v>20-24</v>
      </c>
      <c r="C263" s="459">
        <f t="shared" ref="C263:C272" si="119">C93-C229</f>
        <v>4.2500157865974826</v>
      </c>
      <c r="D263" s="459">
        <f t="shared" ref="D263:N263" si="120">D93-D229</f>
        <v>7.5008035523627923</v>
      </c>
      <c r="E263" s="459">
        <f t="shared" si="120"/>
        <v>9.7861729358067322</v>
      </c>
      <c r="F263" s="459">
        <f t="shared" si="120"/>
        <v>11.243440099249877</v>
      </c>
      <c r="G263" s="459">
        <f t="shared" si="120"/>
        <v>12.208270646578592</v>
      </c>
      <c r="H263" s="459">
        <f t="shared" si="120"/>
        <v>12.846074569289904</v>
      </c>
      <c r="I263" s="459">
        <f t="shared" si="120"/>
        <v>13.322958794025888</v>
      </c>
      <c r="J263" s="459">
        <f t="shared" si="120"/>
        <v>13.73791924126084</v>
      </c>
      <c r="K263" s="459">
        <f t="shared" si="120"/>
        <v>14.011107422804164</v>
      </c>
      <c r="L263" s="459">
        <f t="shared" si="120"/>
        <v>14.142741026894594</v>
      </c>
      <c r="M263" s="459">
        <f t="shared" si="120"/>
        <v>14.137420741211013</v>
      </c>
      <c r="N263" s="459">
        <f t="shared" si="120"/>
        <v>14.079860725270663</v>
      </c>
    </row>
    <row r="264" spans="1:16">
      <c r="B264" s="338" t="str">
        <f t="shared" si="117"/>
        <v>25-29</v>
      </c>
      <c r="C264" s="459">
        <f t="shared" si="119"/>
        <v>29.116615701876988</v>
      </c>
      <c r="D264" s="459">
        <f t="shared" ref="D264:N264" si="121">D94-D230</f>
        <v>27.510043081511309</v>
      </c>
      <c r="E264" s="459">
        <f t="shared" si="121"/>
        <v>26.886951851953047</v>
      </c>
      <c r="F264" s="459">
        <f t="shared" si="121"/>
        <v>26.620471214344544</v>
      </c>
      <c r="G264" s="459">
        <f t="shared" si="121"/>
        <v>26.590844916989084</v>
      </c>
      <c r="H264" s="459">
        <f t="shared" si="121"/>
        <v>26.675701493883754</v>
      </c>
      <c r="I264" s="459">
        <f t="shared" si="121"/>
        <v>26.878503102511537</v>
      </c>
      <c r="J264" s="459">
        <f t="shared" si="121"/>
        <v>27.206047416327412</v>
      </c>
      <c r="K264" s="459">
        <f t="shared" si="121"/>
        <v>27.486226825950645</v>
      </c>
      <c r="L264" s="459">
        <f t="shared" si="121"/>
        <v>27.654815657181771</v>
      </c>
      <c r="M264" s="459">
        <f t="shared" si="121"/>
        <v>27.67133482034447</v>
      </c>
      <c r="N264" s="459">
        <f t="shared" si="121"/>
        <v>27.612756418863164</v>
      </c>
    </row>
    <row r="265" spans="1:16">
      <c r="B265" s="338" t="str">
        <f t="shared" si="117"/>
        <v>30-34</v>
      </c>
      <c r="C265" s="459">
        <f t="shared" si="119"/>
        <v>30.924424890927568</v>
      </c>
      <c r="D265" s="459">
        <f t="shared" ref="D265:N265" si="122">D95-D231</f>
        <v>31.231458860397261</v>
      </c>
      <c r="E265" s="459">
        <f t="shared" si="122"/>
        <v>31.131756016511417</v>
      </c>
      <c r="F265" s="459">
        <f t="shared" si="122"/>
        <v>30.807430537472968</v>
      </c>
      <c r="G265" s="459">
        <f t="shared" si="122"/>
        <v>30.462956216275085</v>
      </c>
      <c r="H265" s="459">
        <f t="shared" si="122"/>
        <v>30.166557479152299</v>
      </c>
      <c r="I265" s="459">
        <f t="shared" si="122"/>
        <v>29.983008910909255</v>
      </c>
      <c r="J265" s="459">
        <f t="shared" si="122"/>
        <v>29.944451186406596</v>
      </c>
      <c r="K265" s="459">
        <f t="shared" si="122"/>
        <v>29.957426027955602</v>
      </c>
      <c r="L265" s="459">
        <f t="shared" si="122"/>
        <v>29.96775459166572</v>
      </c>
      <c r="M265" s="459">
        <f t="shared" si="122"/>
        <v>29.927927510361705</v>
      </c>
      <c r="N265" s="459">
        <f t="shared" si="122"/>
        <v>29.859896532522146</v>
      </c>
    </row>
    <row r="266" spans="1:16">
      <c r="B266" s="338" t="str">
        <f t="shared" si="117"/>
        <v>35-39</v>
      </c>
      <c r="C266" s="459">
        <f t="shared" si="119"/>
        <v>25.276608227268976</v>
      </c>
      <c r="D266" s="459">
        <f t="shared" ref="D266:N266" si="123">D96-D232</f>
        <v>26.515695939688019</v>
      </c>
      <c r="E266" s="459">
        <f t="shared" si="123"/>
        <v>27.462172807525622</v>
      </c>
      <c r="F266" s="459">
        <f t="shared" si="123"/>
        <v>28.049015106185969</v>
      </c>
      <c r="G266" s="459">
        <f t="shared" si="123"/>
        <v>28.381181481519285</v>
      </c>
      <c r="H266" s="459">
        <f t="shared" si="123"/>
        <v>28.535360781637493</v>
      </c>
      <c r="I266" s="459">
        <f t="shared" si="123"/>
        <v>28.604726832442797</v>
      </c>
      <c r="J266" s="459">
        <f t="shared" si="123"/>
        <v>28.659549705776264</v>
      </c>
      <c r="K266" s="459">
        <f t="shared" si="123"/>
        <v>28.680744937659465</v>
      </c>
      <c r="L266" s="459">
        <f t="shared" si="123"/>
        <v>28.666280159448196</v>
      </c>
      <c r="M266" s="459">
        <f t="shared" si="123"/>
        <v>28.60697291510871</v>
      </c>
      <c r="N266" s="459">
        <f t="shared" si="123"/>
        <v>28.528757460237468</v>
      </c>
    </row>
    <row r="267" spans="1:16">
      <c r="B267" s="338" t="str">
        <f t="shared" si="117"/>
        <v>40-44</v>
      </c>
      <c r="C267" s="459">
        <f t="shared" si="119"/>
        <v>17.289151071919441</v>
      </c>
      <c r="D267" s="459">
        <f t="shared" ref="D267:N267" si="124">D97-D233</f>
        <v>19.346718718127157</v>
      </c>
      <c r="E267" s="459">
        <f t="shared" si="124"/>
        <v>21.080170613471022</v>
      </c>
      <c r="F267" s="459">
        <f t="shared" si="124"/>
        <v>22.461525964365148</v>
      </c>
      <c r="G267" s="459">
        <f t="shared" si="124"/>
        <v>23.558436577257861</v>
      </c>
      <c r="H267" s="459">
        <f t="shared" si="124"/>
        <v>24.408650285241336</v>
      </c>
      <c r="I267" s="459">
        <f t="shared" si="124"/>
        <v>25.074528598662848</v>
      </c>
      <c r="J267" s="459">
        <f t="shared" si="124"/>
        <v>25.610998366053426</v>
      </c>
      <c r="K267" s="459">
        <f t="shared" si="124"/>
        <v>26.007752547090963</v>
      </c>
      <c r="L267" s="459">
        <f t="shared" si="124"/>
        <v>26.27796017360874</v>
      </c>
      <c r="M267" s="459">
        <f t="shared" si="124"/>
        <v>26.432867378987766</v>
      </c>
      <c r="N267" s="459">
        <f t="shared" si="124"/>
        <v>26.51363068361038</v>
      </c>
    </row>
    <row r="268" spans="1:16">
      <c r="B268" s="338" t="str">
        <f t="shared" si="117"/>
        <v>45-49</v>
      </c>
      <c r="C268" s="459">
        <f t="shared" si="119"/>
        <v>16.27546793979953</v>
      </c>
      <c r="D268" s="459">
        <f t="shared" ref="D268:N268" si="125">D98-D234</f>
        <v>16.61685305138116</v>
      </c>
      <c r="E268" s="459">
        <f t="shared" si="125"/>
        <v>17.230435782257853</v>
      </c>
      <c r="F268" s="459">
        <f t="shared" si="125"/>
        <v>17.937111176387081</v>
      </c>
      <c r="G268" s="459">
        <f t="shared" si="125"/>
        <v>18.681581884665167</v>
      </c>
      <c r="H268" s="459">
        <f t="shared" si="125"/>
        <v>19.410230592811594</v>
      </c>
      <c r="I268" s="459">
        <f t="shared" si="125"/>
        <v>20.107004811319289</v>
      </c>
      <c r="J268" s="459">
        <f t="shared" si="125"/>
        <v>20.764804531053912</v>
      </c>
      <c r="K268" s="459">
        <f t="shared" si="125"/>
        <v>21.337053702145788</v>
      </c>
      <c r="L268" s="459">
        <f t="shared" si="125"/>
        <v>21.807306184122229</v>
      </c>
      <c r="M268" s="459">
        <f t="shared" si="125"/>
        <v>22.167440662700876</v>
      </c>
      <c r="N268" s="459">
        <f t="shared" si="125"/>
        <v>22.441366276403912</v>
      </c>
    </row>
    <row r="269" spans="1:16">
      <c r="B269" s="338" t="str">
        <f t="shared" si="117"/>
        <v>50-54</v>
      </c>
      <c r="C269" s="459">
        <f t="shared" si="119"/>
        <v>17.616973416524996</v>
      </c>
      <c r="D269" s="459">
        <f t="shared" ref="D269:N269" si="126">D99-D235</f>
        <v>16.622780648735802</v>
      </c>
      <c r="E269" s="459">
        <f t="shared" si="126"/>
        <v>15.962811965368596</v>
      </c>
      <c r="F269" s="459">
        <f t="shared" si="126"/>
        <v>15.556335267905347</v>
      </c>
      <c r="G269" s="459">
        <f t="shared" si="126"/>
        <v>15.372681625735883</v>
      </c>
      <c r="H269" s="459">
        <f t="shared" si="126"/>
        <v>15.361439992178607</v>
      </c>
      <c r="I269" s="459">
        <f t="shared" si="126"/>
        <v>15.488862269475197</v>
      </c>
      <c r="J269" s="459">
        <f t="shared" si="126"/>
        <v>15.723007577127552</v>
      </c>
      <c r="K269" s="459">
        <f t="shared" si="126"/>
        <v>16.002257512904571</v>
      </c>
      <c r="L269" s="459">
        <f t="shared" si="126"/>
        <v>16.288475918873626</v>
      </c>
      <c r="M269" s="459">
        <f t="shared" si="126"/>
        <v>16.552548742063369</v>
      </c>
      <c r="N269" s="459">
        <f t="shared" si="126"/>
        <v>16.792466381635574</v>
      </c>
    </row>
    <row r="270" spans="1:16">
      <c r="B270" s="338" t="str">
        <f t="shared" si="117"/>
        <v>55-59</v>
      </c>
      <c r="C270" s="459">
        <f t="shared" si="119"/>
        <v>16.26536738536393</v>
      </c>
      <c r="D270" s="459">
        <f t="shared" ref="D270:N270" si="127">D100-D236</f>
        <v>13.108016032717671</v>
      </c>
      <c r="E270" s="459">
        <f t="shared" si="127"/>
        <v>11.049311675714652</v>
      </c>
      <c r="F270" s="459">
        <f t="shared" si="127"/>
        <v>9.6831648042515823</v>
      </c>
      <c r="G270" s="459">
        <f t="shared" si="127"/>
        <v>8.7871889634839206</v>
      </c>
      <c r="H270" s="459">
        <f t="shared" si="127"/>
        <v>8.2118528376916906</v>
      </c>
      <c r="I270" s="459">
        <f t="shared" si="127"/>
        <v>7.8663848946160764</v>
      </c>
      <c r="J270" s="459">
        <f t="shared" si="127"/>
        <v>7.6881043446696751</v>
      </c>
      <c r="K270" s="459">
        <f t="shared" si="127"/>
        <v>7.6124943359186386</v>
      </c>
      <c r="L270" s="459">
        <f t="shared" si="127"/>
        <v>7.5997231055712504</v>
      </c>
      <c r="M270" s="459">
        <f t="shared" si="127"/>
        <v>7.6206816920517007</v>
      </c>
      <c r="N270" s="459">
        <f t="shared" si="127"/>
        <v>7.6652856665110312</v>
      </c>
    </row>
    <row r="271" spans="1:16">
      <c r="B271" s="338" t="str">
        <f t="shared" si="117"/>
        <v>60-64</v>
      </c>
      <c r="C271" s="459">
        <f t="shared" si="119"/>
        <v>5.8091074871811994</v>
      </c>
      <c r="D271" s="459">
        <f t="shared" ref="D271:N271" si="128">D101-D237</f>
        <v>4.8128831685930242</v>
      </c>
      <c r="E271" s="459">
        <f t="shared" si="128"/>
        <v>3.988770629137433</v>
      </c>
      <c r="F271" s="459">
        <f t="shared" si="128"/>
        <v>3.3619961873786517</v>
      </c>
      <c r="G271" s="459">
        <f t="shared" si="128"/>
        <v>2.911718040774387</v>
      </c>
      <c r="H271" s="459">
        <f t="shared" si="128"/>
        <v>2.5982718063691381</v>
      </c>
      <c r="I271" s="459">
        <f t="shared" si="128"/>
        <v>2.3890725753235316</v>
      </c>
      <c r="J271" s="459">
        <f t="shared" si="128"/>
        <v>2.2574908372651068</v>
      </c>
      <c r="K271" s="459">
        <f t="shared" si="128"/>
        <v>2.1750062683719866</v>
      </c>
      <c r="L271" s="459">
        <f t="shared" si="128"/>
        <v>2.1245157626138562</v>
      </c>
      <c r="M271" s="459">
        <f t="shared" si="128"/>
        <v>2.0938326873722057</v>
      </c>
      <c r="N271" s="459">
        <f t="shared" si="128"/>
        <v>2.0788928737386256</v>
      </c>
    </row>
    <row r="272" spans="1:16">
      <c r="B272" s="338" t="str">
        <f t="shared" si="117"/>
        <v>65 plus</v>
      </c>
      <c r="C272" s="459">
        <f t="shared" si="119"/>
        <v>3.3908799611489919</v>
      </c>
      <c r="D272" s="459">
        <f t="shared" ref="D272:N272" si="129">D102-D238</f>
        <v>2.3483633550334737</v>
      </c>
      <c r="E272" s="459">
        <f t="shared" si="129"/>
        <v>1.7306332960674571</v>
      </c>
      <c r="F272" s="459">
        <f t="shared" si="129"/>
        <v>1.3383942973816163</v>
      </c>
      <c r="G272" s="459">
        <f t="shared" si="129"/>
        <v>1.0797314696646003</v>
      </c>
      <c r="H272" s="459">
        <f t="shared" si="129"/>
        <v>0.90546082631409119</v>
      </c>
      <c r="I272" s="459">
        <f t="shared" si="129"/>
        <v>0.78812969282721901</v>
      </c>
      <c r="J272" s="459">
        <f t="shared" si="129"/>
        <v>0.71047698019819749</v>
      </c>
      <c r="K272" s="459">
        <f t="shared" si="129"/>
        <v>0.6583636759176752</v>
      </c>
      <c r="L272" s="459">
        <f t="shared" si="129"/>
        <v>0.6230407206070635</v>
      </c>
      <c r="M272" s="459">
        <f t="shared" si="129"/>
        <v>0.59854772381939514</v>
      </c>
      <c r="N272" s="459">
        <f t="shared" si="129"/>
        <v>0.58228877905194409</v>
      </c>
    </row>
    <row r="273" spans="1:14">
      <c r="B273" s="338" t="str">
        <f t="shared" si="117"/>
        <v>Total</v>
      </c>
      <c r="C273" s="459">
        <f>SUM(C263:C272)</f>
        <v>166.2146118686091</v>
      </c>
      <c r="D273" s="459">
        <f t="shared" ref="D273:N273" si="130">SUM(D263:D272)</f>
        <v>165.6136164085477</v>
      </c>
      <c r="E273" s="459">
        <f t="shared" si="130"/>
        <v>166.3091875738138</v>
      </c>
      <c r="F273" s="459">
        <f t="shared" si="130"/>
        <v>167.05888465492282</v>
      </c>
      <c r="G273" s="459">
        <f t="shared" si="130"/>
        <v>168.03459182294387</v>
      </c>
      <c r="H273" s="459">
        <f t="shared" si="130"/>
        <v>169.1196006645699</v>
      </c>
      <c r="I273" s="459">
        <f t="shared" si="130"/>
        <v>170.50318048211363</v>
      </c>
      <c r="J273" s="459">
        <f t="shared" si="130"/>
        <v>172.30285018613898</v>
      </c>
      <c r="K273" s="459">
        <f t="shared" si="130"/>
        <v>173.9284332567195</v>
      </c>
      <c r="L273" s="459">
        <f t="shared" si="130"/>
        <v>175.15261330058706</v>
      </c>
      <c r="M273" s="459">
        <f t="shared" si="130"/>
        <v>175.80957487402122</v>
      </c>
      <c r="N273" s="459">
        <f t="shared" si="130"/>
        <v>176.15520179784491</v>
      </c>
    </row>
    <row r="274" spans="1:14">
      <c r="A274" s="309">
        <f>SUM(C274:N274)</f>
        <v>0</v>
      </c>
      <c r="C274" s="309">
        <f t="shared" ref="C274:N274" si="131">SUM(C263:C272)-C273</f>
        <v>0</v>
      </c>
      <c r="D274" s="309">
        <f t="shared" si="131"/>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4">
      <c r="B279" s="326" t="s">
        <v>187</v>
      </c>
      <c r="C279" s="459">
        <f>C223+C239</f>
        <v>45.908348981919545</v>
      </c>
      <c r="D279" s="459">
        <f t="shared" ref="D279:N279" si="133">D223+D239</f>
        <v>41.689777034301187</v>
      </c>
      <c r="E279" s="459">
        <f t="shared" si="133"/>
        <v>38.984875147763262</v>
      </c>
      <c r="F279" s="459">
        <f t="shared" si="133"/>
        <v>37.137822135873719</v>
      </c>
      <c r="G279" s="459">
        <f t="shared" si="133"/>
        <v>35.931352614171864</v>
      </c>
      <c r="H279" s="459">
        <f t="shared" si="133"/>
        <v>35.170654136799591</v>
      </c>
      <c r="I279" s="459">
        <f t="shared" si="133"/>
        <v>34.776523738941123</v>
      </c>
      <c r="J279" s="459">
        <f t="shared" si="133"/>
        <v>34.687943957879092</v>
      </c>
      <c r="K279" s="459">
        <f t="shared" si="133"/>
        <v>34.721380288868154</v>
      </c>
      <c r="L279" s="459">
        <f t="shared" si="133"/>
        <v>34.787661269613189</v>
      </c>
      <c r="M279" s="459">
        <f t="shared" si="133"/>
        <v>34.822403032565312</v>
      </c>
      <c r="N279" s="459">
        <f t="shared" si="133"/>
        <v>34.856242735737283</v>
      </c>
    </row>
    <row r="280" spans="1:14">
      <c r="B280" s="326" t="s">
        <v>188</v>
      </c>
      <c r="C280" s="459">
        <f>C155+C171</f>
        <v>21.503380542513014</v>
      </c>
      <c r="D280" s="459">
        <f t="shared" ref="D280:N280" si="134">D155+D171</f>
        <v>17.07816611698501</v>
      </c>
      <c r="E280" s="459">
        <f t="shared" si="134"/>
        <v>14.044811495945728</v>
      </c>
      <c r="F280" s="459">
        <f t="shared" si="134"/>
        <v>11.928553087493565</v>
      </c>
      <c r="G280" s="459">
        <f t="shared" si="134"/>
        <v>10.459276938676824</v>
      </c>
      <c r="H280" s="459">
        <f t="shared" si="134"/>
        <v>9.4460271300226815</v>
      </c>
      <c r="I280" s="459">
        <f t="shared" si="134"/>
        <v>8.7669839075041534</v>
      </c>
      <c r="J280" s="459">
        <f t="shared" si="134"/>
        <v>8.3350808866862778</v>
      </c>
      <c r="K280" s="459">
        <f t="shared" si="134"/>
        <v>8.0630911570562063</v>
      </c>
      <c r="L280" s="459">
        <f t="shared" si="134"/>
        <v>7.8967784887541264</v>
      </c>
      <c r="M280" s="459">
        <f t="shared" si="134"/>
        <v>7.796898876398271</v>
      </c>
      <c r="N280" s="459">
        <f t="shared" si="134"/>
        <v>7.7485013505070723</v>
      </c>
    </row>
    <row r="281" spans="1:14">
      <c r="B281" s="326" t="s">
        <v>520</v>
      </c>
      <c r="C281" s="459">
        <f>C189+C205</f>
        <v>0.36139303151350766</v>
      </c>
      <c r="D281" s="459">
        <f t="shared" ref="D281:N281" si="135">D189+D205</f>
        <v>0.29244065086427484</v>
      </c>
      <c r="E281" s="459">
        <f t="shared" si="135"/>
        <v>0.24896361691774119</v>
      </c>
      <c r="F281" s="459">
        <f t="shared" si="135"/>
        <v>0.22045550416164666</v>
      </c>
      <c r="G281" s="459">
        <f t="shared" si="135"/>
        <v>0.20169095099047263</v>
      </c>
      <c r="H281" s="459">
        <f t="shared" si="135"/>
        <v>0.18939830619242443</v>
      </c>
      <c r="I281" s="459">
        <f t="shared" si="135"/>
        <v>0.18169657798091277</v>
      </c>
      <c r="J281" s="459">
        <f t="shared" si="135"/>
        <v>0.17733652998845759</v>
      </c>
      <c r="K281" s="459">
        <f t="shared" si="135"/>
        <v>0.17498718898657573</v>
      </c>
      <c r="L281" s="459">
        <f t="shared" si="135"/>
        <v>0.17385181567235203</v>
      </c>
      <c r="M281" s="459">
        <f t="shared" si="135"/>
        <v>0.17336075723818414</v>
      </c>
      <c r="N281" s="459">
        <f t="shared" si="135"/>
        <v>0.17337001625189891</v>
      </c>
    </row>
    <row r="282" spans="1:14">
      <c r="B282" s="326" t="s">
        <v>189</v>
      </c>
      <c r="C282" s="459">
        <f>C121+C137</f>
        <v>24.043575407893023</v>
      </c>
      <c r="D282" s="459">
        <f t="shared" ref="D282:N282" si="136">D121+D137</f>
        <v>24.319170266451898</v>
      </c>
      <c r="E282" s="459">
        <f t="shared" si="136"/>
        <v>24.691100034899797</v>
      </c>
      <c r="F282" s="459">
        <f t="shared" si="136"/>
        <v>24.988813544218509</v>
      </c>
      <c r="G282" s="459">
        <f t="shared" si="136"/>
        <v>25.27038472450457</v>
      </c>
      <c r="H282" s="459">
        <f t="shared" si="136"/>
        <v>25.535228700584483</v>
      </c>
      <c r="I282" s="459">
        <f t="shared" si="136"/>
        <v>25.827843253456063</v>
      </c>
      <c r="J282" s="459">
        <f t="shared" si="136"/>
        <v>26.175526541204363</v>
      </c>
      <c r="K282" s="459">
        <f t="shared" si="136"/>
        <v>26.483301942825374</v>
      </c>
      <c r="L282" s="459">
        <f t="shared" si="136"/>
        <v>26.717030965186712</v>
      </c>
      <c r="M282" s="459">
        <f t="shared" si="136"/>
        <v>26.852143398928856</v>
      </c>
      <c r="N282" s="459">
        <f t="shared" si="136"/>
        <v>26.934371368978319</v>
      </c>
    </row>
    <row r="283" spans="1:14"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4"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4" ht="15.75">
      <c r="B291" s="340"/>
      <c r="C291" s="327"/>
      <c r="D291" s="327"/>
      <c r="E291" s="327"/>
      <c r="F291" s="327"/>
      <c r="G291" s="327"/>
      <c r="H291" s="327"/>
      <c r="I291" s="327"/>
      <c r="J291" s="327"/>
      <c r="K291" s="327"/>
      <c r="L291" s="327"/>
      <c r="M291" s="327"/>
      <c r="N291" s="327"/>
    </row>
    <row r="292" spans="2:14" ht="15.75">
      <c r="B292" s="340" t="s">
        <v>263</v>
      </c>
      <c r="H292" s="327"/>
    </row>
    <row r="293" spans="2:14"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4">
      <c r="B294" s="363" t="s">
        <v>266</v>
      </c>
      <c r="C294" s="459">
        <f>C36-C15+C279-C290</f>
        <v>40.462977276203873</v>
      </c>
      <c r="D294" s="459">
        <f t="shared" ref="D294:N294" si="141">D36-D15+D279-D290</f>
        <v>40.103914155770951</v>
      </c>
      <c r="E294" s="459">
        <f t="shared" si="141"/>
        <v>38.496488980942161</v>
      </c>
      <c r="F294" s="459">
        <f t="shared" si="141"/>
        <v>37.79443409415417</v>
      </c>
      <c r="G294" s="459">
        <f t="shared" si="141"/>
        <v>37.320608334297425</v>
      </c>
      <c r="H294" s="459">
        <f t="shared" si="141"/>
        <v>37.508610997447512</v>
      </c>
      <c r="I294" s="459">
        <f t="shared" si="141"/>
        <v>38.178825260527432</v>
      </c>
      <c r="J294" s="459">
        <f t="shared" si="141"/>
        <v>37.964857506925505</v>
      </c>
      <c r="K294" s="459">
        <f t="shared" si="141"/>
        <v>37.386645759601443</v>
      </c>
      <c r="L294" s="459">
        <f t="shared" si="141"/>
        <v>36.484506038977038</v>
      </c>
      <c r="M294" s="459">
        <f t="shared" si="141"/>
        <v>35.996949863146021</v>
      </c>
      <c r="N294" s="459">
        <f t="shared" si="141"/>
        <v>35.965383679281501</v>
      </c>
    </row>
    <row r="295" spans="2:14" ht="12.75" customHeight="1">
      <c r="B295" s="1243" t="s">
        <v>264</v>
      </c>
      <c r="C295" s="1243"/>
      <c r="D295" s="1243"/>
      <c r="E295" s="1243"/>
      <c r="F295" s="1243"/>
      <c r="G295" s="1243"/>
      <c r="H295" s="1243"/>
      <c r="I295" s="1243"/>
      <c r="J295" s="1243"/>
      <c r="K295" s="1243"/>
      <c r="L295" s="1243"/>
      <c r="M295" s="1243"/>
      <c r="N295" s="1243"/>
    </row>
    <row r="296" spans="2:14">
      <c r="B296" s="545" t="s">
        <v>85</v>
      </c>
      <c r="C296" s="546">
        <f>IF(C294&lt;0,0,C294)</f>
        <v>40.462977276203873</v>
      </c>
      <c r="D296" s="546">
        <f t="shared" ref="D296:N296" si="142">IF(D294&lt;0,0,D294)</f>
        <v>40.103914155770951</v>
      </c>
      <c r="E296" s="546">
        <f t="shared" si="142"/>
        <v>38.496488980942161</v>
      </c>
      <c r="F296" s="546">
        <f t="shared" si="142"/>
        <v>37.79443409415417</v>
      </c>
      <c r="G296" s="546">
        <f t="shared" si="142"/>
        <v>37.320608334297425</v>
      </c>
      <c r="H296" s="546">
        <f t="shared" si="142"/>
        <v>37.508610997447512</v>
      </c>
      <c r="I296" s="546">
        <f t="shared" si="142"/>
        <v>38.178825260527432</v>
      </c>
      <c r="J296" s="546">
        <f t="shared" si="142"/>
        <v>37.964857506925505</v>
      </c>
      <c r="K296" s="546">
        <f t="shared" si="142"/>
        <v>37.386645759601443</v>
      </c>
      <c r="L296" s="546">
        <f t="shared" si="142"/>
        <v>36.484506038977038</v>
      </c>
      <c r="M296" s="546">
        <f t="shared" si="142"/>
        <v>35.996949863146021</v>
      </c>
      <c r="N296" s="546">
        <f t="shared" si="142"/>
        <v>35.965383679281501</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4">
      <c r="B303" s="338" t="str">
        <f t="shared" si="143"/>
        <v>20-24</v>
      </c>
      <c r="C303" s="459">
        <f>C$296*Entrant_age_breakdowns!$K76*$G$31</f>
        <v>4.2033943064128678</v>
      </c>
      <c r="D303" s="459">
        <f>D$296*Entrant_age_breakdowns!$K76*$G$31</f>
        <v>4.1660939400614723</v>
      </c>
      <c r="E303" s="459">
        <f>E$296*Entrant_age_breakdowns!$K76*$G$31</f>
        <v>3.9991106313015012</v>
      </c>
      <c r="F303" s="459">
        <f>F$296*Entrant_age_breakdowns!$K76*$G$31</f>
        <v>3.9261794306691282</v>
      </c>
      <c r="G303" s="459">
        <f>G$296*Entrant_age_breakdowns!$K76*$G$31</f>
        <v>3.8769572370668572</v>
      </c>
      <c r="H303" s="459">
        <f>H$296*Entrant_age_breakdowns!$K76*$G$31</f>
        <v>3.896487419398257</v>
      </c>
      <c r="I303" s="459">
        <f>I$296*Entrant_age_breakdowns!$K76*$G$31</f>
        <v>3.9661109371704799</v>
      </c>
      <c r="J303" s="459">
        <f>J$296*Entrant_age_breakdowns!$K76*$G$31</f>
        <v>3.9438834369273073</v>
      </c>
      <c r="K303" s="459">
        <f>K$296*Entrant_age_breakdowns!$K76*$G$31</f>
        <v>3.8838173683824122</v>
      </c>
      <c r="L303" s="459">
        <f>L$296*Entrant_age_breakdowns!$K76*$G$31</f>
        <v>3.790100859600158</v>
      </c>
      <c r="M303" s="459">
        <f>M$296*Entrant_age_breakdowns!$K76*$G$31</f>
        <v>3.739452316376183</v>
      </c>
      <c r="N303" s="459">
        <f>N$296*Entrant_age_breakdowns!$K76*$G$31</f>
        <v>3.7361731430067695</v>
      </c>
    </row>
    <row r="304" spans="2:14">
      <c r="B304" s="338" t="str">
        <f t="shared" si="143"/>
        <v>25-29</v>
      </c>
      <c r="C304" s="459">
        <f>C$296*Entrant_age_breakdowns!$K77*$G$31</f>
        <v>4.3462184479314478</v>
      </c>
      <c r="D304" s="459">
        <f>D$296*Entrant_age_breakdowns!$K77*$G$31</f>
        <v>4.3076506789967794</v>
      </c>
      <c r="E304" s="459">
        <f>E$296*Entrant_age_breakdowns!$K77*$G$31</f>
        <v>4.1349935633124399</v>
      </c>
      <c r="F304" s="459">
        <f>F$296*Entrant_age_breakdowns!$K77*$G$31</f>
        <v>4.0595842853547142</v>
      </c>
      <c r="G304" s="459">
        <f>G$296*Entrant_age_breakdowns!$K77*$G$31</f>
        <v>4.0086896058916288</v>
      </c>
      <c r="H304" s="459">
        <f>H$296*Entrant_age_breakdowns!$K77*$G$31</f>
        <v>4.0288833903792494</v>
      </c>
      <c r="I304" s="459">
        <f>I$296*Entrant_age_breakdowns!$K77*$G$31</f>
        <v>4.1008725960766217</v>
      </c>
      <c r="J304" s="459">
        <f>J$296*Entrant_age_breakdowns!$K77*$G$31</f>
        <v>4.0778898434329092</v>
      </c>
      <c r="K304" s="459">
        <f>K$296*Entrant_age_breakdowns!$K77*$G$31</f>
        <v>4.0157828327234313</v>
      </c>
      <c r="L304" s="459">
        <f>L$296*Entrant_age_breakdowns!$K77*$G$31</f>
        <v>3.9188819974333069</v>
      </c>
      <c r="M304" s="459">
        <f>M$296*Entrant_age_breakdowns!$K77*$G$31</f>
        <v>3.8665125034305543</v>
      </c>
      <c r="N304" s="459">
        <f>N$296*Entrant_age_breakdowns!$K77*$G$31</f>
        <v>3.8631219093646187</v>
      </c>
    </row>
    <row r="305" spans="1:14">
      <c r="B305" s="338" t="str">
        <f t="shared" si="143"/>
        <v>30-34</v>
      </c>
      <c r="C305" s="459">
        <f>C$296*Entrant_age_breakdowns!$K78*$G$31</f>
        <v>2.1575279503972786</v>
      </c>
      <c r="D305" s="459">
        <f>D$296*Entrant_age_breakdowns!$K78*$G$31</f>
        <v>2.1383823320953237</v>
      </c>
      <c r="E305" s="459">
        <f>E$296*Entrant_age_breakdowns!$K78*$G$31</f>
        <v>2.0526727532081344</v>
      </c>
      <c r="F305" s="459">
        <f>F$296*Entrant_age_breakdowns!$K78*$G$31</f>
        <v>2.0152384578863001</v>
      </c>
      <c r="G305" s="459">
        <f>G$296*Entrant_age_breakdowns!$K78*$G$31</f>
        <v>1.9899735765225066</v>
      </c>
      <c r="H305" s="459">
        <f>H$296*Entrant_age_breakdowns!$K78*$G$31</f>
        <v>1.9999980736752156</v>
      </c>
      <c r="I305" s="459">
        <f>I$296*Entrant_age_breakdowns!$K78*$G$31</f>
        <v>2.0357345938892193</v>
      </c>
      <c r="J305" s="459">
        <f>J$296*Entrant_age_breakdowns!$K78*$G$31</f>
        <v>2.0243256111609176</v>
      </c>
      <c r="K305" s="459">
        <f>K$296*Entrant_age_breakdowns!$K78*$G$31</f>
        <v>1.9934947605889466</v>
      </c>
      <c r="L305" s="459">
        <f>L$296*Entrant_age_breakdowns!$K78*$G$31</f>
        <v>1.9453917342316791</v>
      </c>
      <c r="M305" s="459">
        <f>M$296*Entrant_age_breakdowns!$K78*$G$31</f>
        <v>1.9193947328354704</v>
      </c>
      <c r="N305" s="459">
        <f>N$296*Entrant_age_breakdowns!$K78*$G$31</f>
        <v>1.9177115911449769</v>
      </c>
    </row>
    <row r="306" spans="1:14">
      <c r="B306" s="338" t="str">
        <f t="shared" si="143"/>
        <v>35-39</v>
      </c>
      <c r="C306" s="459">
        <f>C$296*Entrant_age_breakdowns!$K79*$G$31</f>
        <v>1.5416493597892491</v>
      </c>
      <c r="D306" s="459">
        <f>D$296*Entrant_age_breakdowns!$K79*$G$31</f>
        <v>1.5279689668225931</v>
      </c>
      <c r="E306" s="459">
        <f>E$296*Entrant_age_breakdowns!$K79*$G$31</f>
        <v>1.4667256733603178</v>
      </c>
      <c r="F306" s="459">
        <f>F$296*Entrant_age_breakdowns!$K79*$G$31</f>
        <v>1.4399772099596739</v>
      </c>
      <c r="G306" s="459">
        <f>G$296*Entrant_age_breakdowns!$K79*$G$31</f>
        <v>1.4219243322797017</v>
      </c>
      <c r="H306" s="459">
        <f>H$296*Entrant_age_breakdowns!$K79*$G$31</f>
        <v>1.4290872798627621</v>
      </c>
      <c r="I306" s="459">
        <f>I$296*Entrant_age_breakdowns!$K79*$G$31</f>
        <v>1.4546226076896251</v>
      </c>
      <c r="J306" s="459">
        <f>J$296*Entrant_age_breakdowns!$K79*$G$31</f>
        <v>1.4464703837911148</v>
      </c>
      <c r="K306" s="459">
        <f>K$296*Entrant_age_breakdowns!$K79*$G$31</f>
        <v>1.4244403743827614</v>
      </c>
      <c r="L306" s="459">
        <f>L$296*Entrant_age_breakdowns!$K79*$G$31</f>
        <v>1.3900686297321525</v>
      </c>
      <c r="M306" s="459">
        <f>M$296*Entrant_age_breakdowns!$K79*$G$31</f>
        <v>1.3714926198354902</v>
      </c>
      <c r="N306" s="459">
        <f>N$296*Entrant_age_breakdowns!$K79*$G$31</f>
        <v>1.3702899404870692</v>
      </c>
    </row>
    <row r="307" spans="1:14">
      <c r="B307" s="338" t="str">
        <f t="shared" si="143"/>
        <v>40-44</v>
      </c>
      <c r="C307" s="459">
        <f>C$296*Entrant_age_breakdowns!$K80*$G$31</f>
        <v>1.3394268752183607</v>
      </c>
      <c r="D307" s="459">
        <f>D$296*Entrant_age_breakdowns!$K80*$G$31</f>
        <v>1.3275409778924006</v>
      </c>
      <c r="E307" s="459">
        <f>E$296*Entrant_age_breakdowns!$K80*$G$31</f>
        <v>1.2743311395660832</v>
      </c>
      <c r="F307" s="459">
        <f>F$296*Entrant_age_breakdowns!$K80*$G$31</f>
        <v>1.2510913473772065</v>
      </c>
      <c r="G307" s="459">
        <f>G$296*Entrant_age_breakdowns!$K80*$G$31</f>
        <v>1.2354065164615111</v>
      </c>
      <c r="H307" s="459">
        <f>H$296*Entrant_age_breakdowns!$K80*$G$31</f>
        <v>1.2416298800542822</v>
      </c>
      <c r="I307" s="459">
        <f>I$296*Entrant_age_breakdowns!$K80*$G$31</f>
        <v>1.2638156670762335</v>
      </c>
      <c r="J307" s="459">
        <f>J$296*Entrant_age_breakdowns!$K80*$G$31</f>
        <v>1.2567327933260346</v>
      </c>
      <c r="K307" s="459">
        <f>K$296*Entrant_age_breakdowns!$K80*$G$31</f>
        <v>1.237592522242021</v>
      </c>
      <c r="L307" s="459">
        <f>L$296*Entrant_age_breakdowns!$K80*$G$31</f>
        <v>1.2077294160558893</v>
      </c>
      <c r="M307" s="459">
        <f>M$296*Entrant_age_breakdowns!$K80*$G$31</f>
        <v>1.1915900736484089</v>
      </c>
      <c r="N307" s="459">
        <f>N$296*Entrant_age_breakdowns!$K80*$G$31</f>
        <v>1.1905451531343396</v>
      </c>
    </row>
    <row r="308" spans="1:14">
      <c r="B308" s="338" t="str">
        <f t="shared" si="143"/>
        <v>45-49</v>
      </c>
      <c r="C308" s="459">
        <f>C$296*Entrant_age_breakdowns!$K81*$G$31</f>
        <v>1.0658446333989819</v>
      </c>
      <c r="D308" s="459">
        <f>D$296*Entrant_age_breakdowns!$K81*$G$31</f>
        <v>1.0563864687821634</v>
      </c>
      <c r="E308" s="459">
        <f>E$296*Entrant_age_breakdowns!$K81*$G$31</f>
        <v>1.0140449108565865</v>
      </c>
      <c r="F308" s="459">
        <f>F$296*Entrant_age_breakdowns!$K81*$G$31</f>
        <v>0.99555192087399891</v>
      </c>
      <c r="G308" s="459">
        <f>G$296*Entrant_age_breakdowns!$K81*$G$31</f>
        <v>0.98307076705622209</v>
      </c>
      <c r="H308" s="459">
        <f>H$296*Entrant_age_breakdowns!$K81*$G$31</f>
        <v>0.98802298864425353</v>
      </c>
      <c r="I308" s="459">
        <f>I$296*Entrant_age_breakdowns!$K81*$G$31</f>
        <v>1.0056772574009742</v>
      </c>
      <c r="J308" s="459">
        <f>J$296*Entrant_age_breakdowns!$K81*$G$31</f>
        <v>1.0000410833661195</v>
      </c>
      <c r="K308" s="459">
        <f>K$296*Entrant_age_breakdowns!$K81*$G$31</f>
        <v>0.98481027413409516</v>
      </c>
      <c r="L308" s="459">
        <f>L$296*Entrant_age_breakdowns!$K81*$G$31</f>
        <v>0.96104680331384362</v>
      </c>
      <c r="M308" s="459">
        <f>M$296*Entrant_age_breakdowns!$K81*$G$31</f>
        <v>0.94820397343647733</v>
      </c>
      <c r="N308" s="459">
        <f>N$296*Entrant_age_breakdowns!$K81*$G$31</f>
        <v>0.9473724812939387</v>
      </c>
    </row>
    <row r="309" spans="1:14">
      <c r="B309" s="338" t="str">
        <f t="shared" si="143"/>
        <v>50-54</v>
      </c>
      <c r="C309" s="459">
        <f>C$296*Entrant_age_breakdowns!$K82*$G$31</f>
        <v>0.77970005827823685</v>
      </c>
      <c r="D309" s="459">
        <f>D$296*Entrant_age_breakdowns!$K82*$G$31</f>
        <v>0.77278110285841994</v>
      </c>
      <c r="E309" s="459">
        <f>E$296*Entrant_age_breakdowns!$K82*$G$31</f>
        <v>0.74180687439429305</v>
      </c>
      <c r="F309" s="459">
        <f>F$296*Entrant_age_breakdowns!$K82*$G$31</f>
        <v>0.72827865000273218</v>
      </c>
      <c r="G309" s="459">
        <f>G$296*Entrant_age_breakdowns!$K82*$G$31</f>
        <v>0.71914827953957539</v>
      </c>
      <c r="H309" s="459">
        <f>H$296*Entrant_age_breakdowns!$K82*$G$31</f>
        <v>0.72277099089899866</v>
      </c>
      <c r="I309" s="459">
        <f>I$296*Entrant_age_breakdowns!$K82*$G$31</f>
        <v>0.73568566340110431</v>
      </c>
      <c r="J309" s="459">
        <f>J$296*Entrant_age_breakdowns!$K82*$G$31</f>
        <v>0.73156261855410054</v>
      </c>
      <c r="K309" s="459">
        <f>K$296*Entrant_age_breakdowns!$K82*$G$31</f>
        <v>0.72042078561362477</v>
      </c>
      <c r="L309" s="459">
        <f>L$296*Entrant_age_breakdowns!$K82*$G$31</f>
        <v>0.70303703285750641</v>
      </c>
      <c r="M309" s="459">
        <f>M$296*Entrant_age_breakdowns!$K82*$G$31</f>
        <v>0.69364208457887544</v>
      </c>
      <c r="N309" s="459">
        <f>N$296*Entrant_age_breakdowns!$K82*$G$31</f>
        <v>0.6930338209992879</v>
      </c>
    </row>
    <row r="310" spans="1:14">
      <c r="B310" s="338" t="str">
        <f t="shared" si="143"/>
        <v>55-59</v>
      </c>
      <c r="C310" s="459">
        <f>C$296*Entrant_age_breakdowns!$K83*$G$31</f>
        <v>0.53083738555253379</v>
      </c>
      <c r="D310" s="459">
        <f>D$296*Entrant_age_breakdowns!$K83*$G$31</f>
        <v>0.52612680464797346</v>
      </c>
      <c r="E310" s="459">
        <f>E$296*Entrant_age_breakdowns!$K83*$G$31</f>
        <v>0.50503885129612613</v>
      </c>
      <c r="F310" s="459">
        <f>F$296*Entrant_age_breakdowns!$K83*$G$31</f>
        <v>0.4958285310057286</v>
      </c>
      <c r="G310" s="459">
        <f>G$296*Entrant_age_breakdowns!$K83*$G$31</f>
        <v>0.4896123688619281</v>
      </c>
      <c r="H310" s="459">
        <f>H$296*Entrant_age_breakdowns!$K83*$G$31</f>
        <v>0.49207879246447894</v>
      </c>
      <c r="I310" s="459">
        <f>I$296*Entrant_age_breakdowns!$K83*$G$31</f>
        <v>0.50087139279007564</v>
      </c>
      <c r="J310" s="459">
        <f>J$296*Entrant_age_breakdowns!$K83*$G$31</f>
        <v>0.49806433086432383</v>
      </c>
      <c r="K310" s="459">
        <f>K$296*Entrant_age_breakdowns!$K83*$G$31</f>
        <v>0.4904787196980942</v>
      </c>
      <c r="L310" s="459">
        <f>L$296*Entrant_age_breakdowns!$K83*$G$31</f>
        <v>0.47864346873693997</v>
      </c>
      <c r="M310" s="459">
        <f>M$296*Entrant_age_breakdowns!$K83*$G$31</f>
        <v>0.4722471760488996</v>
      </c>
      <c r="N310" s="459">
        <f>N$296*Entrant_age_breakdowns!$K83*$G$31</f>
        <v>0.47183305648473273</v>
      </c>
    </row>
    <row r="311" spans="1:14">
      <c r="B311" s="338" t="str">
        <f t="shared" si="143"/>
        <v>60-64</v>
      </c>
      <c r="C311" s="459">
        <f>C$296*Entrant_age_breakdowns!$K84*$G$31</f>
        <v>0.25986429641454578</v>
      </c>
      <c r="D311" s="459">
        <f>D$296*Entrant_age_breakdowns!$K84*$G$31</f>
        <v>0.25755829494256349</v>
      </c>
      <c r="E311" s="459">
        <f>E$296*Entrant_age_breakdowns!$K84*$G$31</f>
        <v>0.24723497124731064</v>
      </c>
      <c r="F311" s="459">
        <f>F$296*Entrant_age_breakdowns!$K84*$G$31</f>
        <v>0.24272618293066728</v>
      </c>
      <c r="G311" s="459">
        <f>G$296*Entrant_age_breakdowns!$K84*$G$31</f>
        <v>0.23968314442987282</v>
      </c>
      <c r="H311" s="459">
        <f>H$296*Entrant_age_breakdowns!$K84*$G$31</f>
        <v>0.24089054890359873</v>
      </c>
      <c r="I311" s="459">
        <f>I$296*Entrant_age_breakdowns!$K84*$G$31</f>
        <v>0.24519484803446576</v>
      </c>
      <c r="J311" s="459">
        <f>J$296*Entrant_age_breakdowns!$K84*$G$31</f>
        <v>0.24382068865500098</v>
      </c>
      <c r="K311" s="459">
        <f>K$296*Entrant_age_breakdowns!$K84*$G$31</f>
        <v>0.24010725481963766</v>
      </c>
      <c r="L311" s="459">
        <f>L$296*Entrant_age_breakdowns!$K84*$G$31</f>
        <v>0.23431346702771594</v>
      </c>
      <c r="M311" s="459">
        <f>M$296*Entrant_age_breakdowns!$K84*$G$31</f>
        <v>0.23118224804375342</v>
      </c>
      <c r="N311" s="459">
        <f>N$296*Entrant_age_breakdowns!$K84*$G$31</f>
        <v>0.23097952138564193</v>
      </c>
    </row>
    <row r="312" spans="1:14">
      <c r="B312" s="338" t="str">
        <f t="shared" si="143"/>
        <v>65 plus</v>
      </c>
      <c r="C312" s="459">
        <f>C$296*Entrant_age_breakdowns!$K85*$G$31</f>
        <v>6.5175810067121559E-2</v>
      </c>
      <c r="D312" s="459">
        <f>D$296*Entrant_age_breakdowns!$K85*$G$31</f>
        <v>6.4597448529864973E-2</v>
      </c>
      <c r="E312" s="459">
        <f>E$296*Entrant_age_breakdowns!$K85*$G$31</f>
        <v>6.2008285671763502E-2</v>
      </c>
      <c r="F312" s="459">
        <f>F$296*Entrant_age_breakdowns!$K85*$G$31</f>
        <v>6.0877449558403691E-2</v>
      </c>
      <c r="G312" s="459">
        <f>G$296*Entrant_age_breakdowns!$K85*$G$31</f>
        <v>6.0114233902805007E-2</v>
      </c>
      <c r="H312" s="459">
        <f>H$296*Entrant_age_breakdowns!$K85*$G$31</f>
        <v>6.0417059515016913E-2</v>
      </c>
      <c r="I312" s="459">
        <f>I$296*Entrant_age_breakdowns!$K85*$G$31</f>
        <v>6.1496608289112228E-2</v>
      </c>
      <c r="J312" s="459">
        <f>J$296*Entrant_age_breakdowns!$K85*$G$31</f>
        <v>6.1151959362908542E-2</v>
      </c>
      <c r="K312" s="459">
        <f>K$296*Entrant_age_breakdowns!$K85*$G$31</f>
        <v>6.02206037989092E-2</v>
      </c>
      <c r="L312" s="459">
        <f>L$296*Entrant_age_breakdowns!$K85*$G$31</f>
        <v>5.8767480696175947E-2</v>
      </c>
      <c r="M312" s="459">
        <f>M$296*Entrant_age_breakdowns!$K85*$G$31</f>
        <v>5.7982148749490404E-2</v>
      </c>
      <c r="N312" s="459">
        <f>N$296*Entrant_age_breakdowns!$K85*$G$31</f>
        <v>5.7931303464674747E-2</v>
      </c>
    </row>
    <row r="313" spans="1:14">
      <c r="B313" s="338" t="str">
        <f t="shared" si="143"/>
        <v>Total</v>
      </c>
      <c r="C313" s="459">
        <f t="shared" ref="C313:N313" si="145">SUM(C303:C312)</f>
        <v>16.289639123460624</v>
      </c>
      <c r="D313" s="459">
        <f t="shared" si="145"/>
        <v>16.145087015629557</v>
      </c>
      <c r="E313" s="459">
        <f t="shared" si="145"/>
        <v>15.497967654214555</v>
      </c>
      <c r="F313" s="459">
        <f t="shared" si="145"/>
        <v>15.215333465618553</v>
      </c>
      <c r="G313" s="459">
        <f t="shared" si="145"/>
        <v>15.02458006201261</v>
      </c>
      <c r="H313" s="459">
        <f t="shared" si="145"/>
        <v>15.100266423796111</v>
      </c>
      <c r="I313" s="459">
        <f t="shared" si="145"/>
        <v>15.370082171817911</v>
      </c>
      <c r="J313" s="459">
        <f t="shared" si="145"/>
        <v>15.283942749440735</v>
      </c>
      <c r="K313" s="459">
        <f t="shared" si="145"/>
        <v>15.051165496383932</v>
      </c>
      <c r="L313" s="459">
        <f t="shared" si="145"/>
        <v>14.687980889685369</v>
      </c>
      <c r="M313" s="459">
        <f t="shared" si="145"/>
        <v>14.491699876983603</v>
      </c>
      <c r="N313" s="459">
        <f t="shared" si="145"/>
        <v>14.478991920766052</v>
      </c>
    </row>
    <row r="314" spans="1:14">
      <c r="A314" s="309">
        <f>SUM(C314:N314)</f>
        <v>0</v>
      </c>
      <c r="C314" s="309">
        <f t="shared" ref="C314:N314" si="146">SUM(C303:C312)-C313</f>
        <v>0</v>
      </c>
      <c r="D314" s="309">
        <f t="shared" si="146"/>
        <v>0</v>
      </c>
      <c r="E314" s="309">
        <f t="shared" si="146"/>
        <v>0</v>
      </c>
      <c r="F314" s="309">
        <f t="shared" si="146"/>
        <v>0</v>
      </c>
      <c r="G314" s="309">
        <f t="shared" si="146"/>
        <v>0</v>
      </c>
      <c r="H314" s="309">
        <f t="shared" si="146"/>
        <v>0</v>
      </c>
      <c r="I314" s="309">
        <f t="shared" si="146"/>
        <v>0</v>
      </c>
      <c r="J314" s="309">
        <f t="shared" si="146"/>
        <v>0</v>
      </c>
      <c r="K314" s="309">
        <f t="shared" si="146"/>
        <v>0</v>
      </c>
      <c r="L314" s="309">
        <f t="shared" si="146"/>
        <v>0</v>
      </c>
      <c r="M314" s="309">
        <f t="shared" si="146"/>
        <v>0</v>
      </c>
      <c r="N314" s="309">
        <f t="shared" si="146"/>
        <v>0</v>
      </c>
    </row>
    <row r="316" spans="1:14">
      <c r="B316" s="341" t="s">
        <v>50</v>
      </c>
      <c r="H316" s="325"/>
    </row>
    <row r="317" spans="1:14">
      <c r="H317" s="325"/>
    </row>
    <row r="318" spans="1:14">
      <c r="B318" s="338" t="str">
        <f t="shared" ref="B318:B329" si="147">B302</f>
        <v>Age group</v>
      </c>
      <c r="C318" s="338" t="str">
        <f>C293</f>
        <v>2016/17</v>
      </c>
      <c r="D318" s="338" t="str">
        <f t="shared" ref="D318:N318" si="148">D302</f>
        <v>2017/18</v>
      </c>
      <c r="E318" s="338" t="str">
        <f t="shared" si="148"/>
        <v>2018/19</v>
      </c>
      <c r="F318" s="338" t="str">
        <f t="shared" si="148"/>
        <v>2019/20</v>
      </c>
      <c r="G318" s="338" t="str">
        <f t="shared" si="148"/>
        <v>2020/21</v>
      </c>
      <c r="H318" s="338" t="str">
        <f t="shared" si="148"/>
        <v>2021/22</v>
      </c>
      <c r="I318" s="338" t="str">
        <f t="shared" si="148"/>
        <v>2022/23</v>
      </c>
      <c r="J318" s="338" t="str">
        <f t="shared" si="148"/>
        <v>2023/24</v>
      </c>
      <c r="K318" s="338" t="str">
        <f t="shared" si="148"/>
        <v>2024/25</v>
      </c>
      <c r="L318" s="338" t="str">
        <f t="shared" si="148"/>
        <v>2025/26</v>
      </c>
      <c r="M318" s="338" t="str">
        <f t="shared" si="148"/>
        <v>2026/27</v>
      </c>
      <c r="N318" s="338" t="str">
        <f t="shared" si="148"/>
        <v>2027/28</v>
      </c>
    </row>
    <row r="319" spans="1:14">
      <c r="B319" s="338" t="str">
        <f t="shared" si="147"/>
        <v>20-24</v>
      </c>
      <c r="C319" s="459">
        <f>C$296*Entrant_age_breakdowns!$K76*$H$31</f>
        <v>6.2377116637220853</v>
      </c>
      <c r="D319" s="459">
        <f>D$296*Entrant_age_breakdowns!$K76*$H$31</f>
        <v>6.1823590336116441</v>
      </c>
      <c r="E319" s="459">
        <f>E$296*Entrant_age_breakdowns!$K76*$H$31</f>
        <v>5.9345607884862988</v>
      </c>
      <c r="F319" s="459">
        <f>F$296*Entrant_age_breakdowns!$K76*$H$31</f>
        <v>5.8263330640161586</v>
      </c>
      <c r="G319" s="459">
        <f>G$296*Entrant_age_breakdowns!$K76*$H$31</f>
        <v>5.7532887981764178</v>
      </c>
      <c r="H319" s="459">
        <f>H$296*Entrant_age_breakdowns!$K76*$H$31</f>
        <v>5.782271005707444</v>
      </c>
      <c r="I319" s="459">
        <f>I$296*Entrant_age_breakdowns!$K76*$H$31</f>
        <v>5.8855902275597893</v>
      </c>
      <c r="J319" s="459">
        <f>J$296*Entrant_age_breakdowns!$K76*$H$31</f>
        <v>5.85260528077269</v>
      </c>
      <c r="K319" s="459">
        <f>K$296*Entrant_age_breakdowns!$K76*$H$31</f>
        <v>5.7634690282482</v>
      </c>
      <c r="L319" s="459">
        <f>L$296*Entrant_age_breakdowns!$K76*$H$31</f>
        <v>5.6243965270025935</v>
      </c>
      <c r="M319" s="459">
        <f>M$296*Entrant_age_breakdowns!$K76*$H$31</f>
        <v>5.5492356009060995</v>
      </c>
      <c r="N319" s="459">
        <f>N$296*Entrant_age_breakdowns!$K76*$H$31</f>
        <v>5.5443694055214428</v>
      </c>
    </row>
    <row r="320" spans="1:14">
      <c r="B320" s="338" t="str">
        <f t="shared" si="147"/>
        <v>25-29</v>
      </c>
      <c r="C320" s="459">
        <f>C$296*Entrant_age_breakdowns!$K77*$H$31</f>
        <v>6.449658425902439</v>
      </c>
      <c r="D320" s="459">
        <f>D$296*Entrant_age_breakdowns!$K77*$H$31</f>
        <v>6.3924250081951142</v>
      </c>
      <c r="E320" s="459">
        <f>E$296*Entrant_age_breakdowns!$K77*$H$31</f>
        <v>6.1362070029783</v>
      </c>
      <c r="F320" s="459">
        <f>F$296*Entrant_age_breakdowns!$K77*$H$31</f>
        <v>6.0243018857371853</v>
      </c>
      <c r="G320" s="459">
        <f>G$296*Entrant_age_breakdowns!$K77*$H$31</f>
        <v>5.9487757008099358</v>
      </c>
      <c r="H320" s="459">
        <f>H$296*Entrant_age_breakdowns!$K77*$H$31</f>
        <v>5.9787426741297951</v>
      </c>
      <c r="I320" s="459">
        <f>I$296*Entrant_age_breakdowns!$K77*$H$31</f>
        <v>6.0855725062384556</v>
      </c>
      <c r="J320" s="459">
        <f>J$296*Entrant_age_breakdowns!$K77*$H$31</f>
        <v>6.0514667874360555</v>
      </c>
      <c r="K320" s="459">
        <f>K$296*Entrant_age_breakdowns!$K77*$H$31</f>
        <v>5.9593018376690594</v>
      </c>
      <c r="L320" s="459">
        <f>L$296*Entrant_age_breakdowns!$K77*$H$31</f>
        <v>5.8155038909497936</v>
      </c>
      <c r="M320" s="459">
        <f>M$296*Entrant_age_breakdowns!$K77*$H$31</f>
        <v>5.737789125274392</v>
      </c>
      <c r="N320" s="459">
        <f>N$296*Entrant_age_breakdowns!$K77*$H$31</f>
        <v>5.7327575849024202</v>
      </c>
    </row>
    <row r="321" spans="1:14">
      <c r="B321" s="338" t="str">
        <f t="shared" si="147"/>
        <v>30-34</v>
      </c>
      <c r="C321" s="459">
        <f>C$296*Entrant_age_breakdowns!$K78*$H$31</f>
        <v>3.2017070681347657</v>
      </c>
      <c r="D321" s="459">
        <f>D$296*Entrant_age_breakdowns!$K78*$H$31</f>
        <v>3.1732955421427653</v>
      </c>
      <c r="E321" s="459">
        <f>E$296*Entrant_age_breakdowns!$K78*$H$31</f>
        <v>3.0461050858247192</v>
      </c>
      <c r="F321" s="459">
        <f>F$296*Entrant_age_breakdowns!$K78*$H$31</f>
        <v>2.9905537091204257</v>
      </c>
      <c r="G321" s="459">
        <f>G$296*Entrant_age_breakdowns!$K78*$H$31</f>
        <v>2.9530613794274787</v>
      </c>
      <c r="H321" s="459">
        <f>H$296*Entrant_age_breakdowns!$K78*$H$31</f>
        <v>2.9679374339334772</v>
      </c>
      <c r="I321" s="459">
        <f>I$296*Entrant_age_breakdowns!$K78*$H$31</f>
        <v>3.0209693630626679</v>
      </c>
      <c r="J321" s="459">
        <f>J$296*Entrant_age_breakdowns!$K78*$H$31</f>
        <v>3.004038773294547</v>
      </c>
      <c r="K321" s="459">
        <f>K$296*Entrant_age_breakdowns!$K78*$H$31</f>
        <v>2.9582867114616005</v>
      </c>
      <c r="L321" s="459">
        <f>L$296*Entrant_age_breakdowns!$K78*$H$31</f>
        <v>2.88690325640213</v>
      </c>
      <c r="M321" s="459">
        <f>M$296*Entrant_age_breakdowns!$K78*$H$31</f>
        <v>2.8483244824375911</v>
      </c>
      <c r="N321" s="459">
        <f>N$296*Entrant_age_breakdowns!$K78*$H$31</f>
        <v>2.8458267504169545</v>
      </c>
    </row>
    <row r="322" spans="1:14">
      <c r="B322" s="338" t="str">
        <f t="shared" si="147"/>
        <v>35-39</v>
      </c>
      <c r="C322" s="459">
        <f>C$296*Entrant_age_breakdowns!$K79*$H$31</f>
        <v>2.2877616259450062</v>
      </c>
      <c r="D322" s="459">
        <f>D$296*Entrant_age_breakdowns!$K79*$H$31</f>
        <v>2.2674603311932335</v>
      </c>
      <c r="E322" s="459">
        <f>E$296*Entrant_age_breakdowns!$K79*$H$31</f>
        <v>2.1765771120359045</v>
      </c>
      <c r="F322" s="459">
        <f>F$296*Entrant_age_breakdowns!$K79*$H$31</f>
        <v>2.1368831908907273</v>
      </c>
      <c r="G322" s="459">
        <f>G$296*Entrant_age_breakdowns!$K79*$H$31</f>
        <v>2.1100932593593669</v>
      </c>
      <c r="H322" s="459">
        <f>H$296*Entrant_age_breakdowns!$K79*$H$31</f>
        <v>2.1207228597319321</v>
      </c>
      <c r="I322" s="459">
        <f>I$296*Entrant_age_breakdowns!$K79*$H$31</f>
        <v>2.1586165239022397</v>
      </c>
      <c r="J322" s="459">
        <f>J$296*Entrant_age_breakdowns!$K79*$H$31</f>
        <v>2.1465188670111335</v>
      </c>
      <c r="K322" s="459">
        <f>K$296*Entrant_age_breakdowns!$K79*$H$31</f>
        <v>2.1138269907270684</v>
      </c>
      <c r="L322" s="459">
        <f>L$296*Entrant_age_breakdowns!$K79*$H$31</f>
        <v>2.0628203477903155</v>
      </c>
      <c r="M322" s="459">
        <f>M$296*Entrant_age_breakdowns!$K79*$H$31</f>
        <v>2.0352541036668348</v>
      </c>
      <c r="N322" s="459">
        <f>N$296*Entrant_age_breakdowns!$K79*$H$31</f>
        <v>2.033469363418241</v>
      </c>
    </row>
    <row r="323" spans="1:14">
      <c r="B323" s="338" t="str">
        <f t="shared" si="147"/>
        <v>40-44</v>
      </c>
      <c r="C323" s="459">
        <f>C$296*Entrant_age_breakdowns!$K80*$H$31</f>
        <v>1.9876694959370651</v>
      </c>
      <c r="D323" s="459">
        <f>D$296*Entrant_age_breakdowns!$K80*$H$31</f>
        <v>1.9700311791436982</v>
      </c>
      <c r="E323" s="459">
        <f>E$296*Entrant_age_breakdowns!$K80*$H$31</f>
        <v>1.8910693675795385</v>
      </c>
      <c r="F323" s="459">
        <f>F$296*Entrant_age_breakdowns!$K80*$H$31</f>
        <v>1.8565822097657039</v>
      </c>
      <c r="G323" s="459">
        <f>G$296*Entrant_age_breakdowns!$K80*$H$31</f>
        <v>1.8333063889375039</v>
      </c>
      <c r="H323" s="459">
        <f>H$296*Entrant_age_breakdowns!$K80*$H$31</f>
        <v>1.8425416747185657</v>
      </c>
      <c r="I323" s="459">
        <f>I$296*Entrant_age_breakdowns!$K80*$H$31</f>
        <v>1.8754647203306676</v>
      </c>
      <c r="J323" s="459">
        <f>J$296*Entrant_age_breakdowns!$K80*$H$31</f>
        <v>1.8649539471355661</v>
      </c>
      <c r="K323" s="459">
        <f>K$296*Entrant_age_breakdowns!$K80*$H$31</f>
        <v>1.8365503562553565</v>
      </c>
      <c r="L323" s="459">
        <f>L$296*Entrant_age_breakdowns!$K80*$H$31</f>
        <v>1.7922343982002169</v>
      </c>
      <c r="M323" s="459">
        <f>M$296*Entrant_age_breakdowns!$K80*$H$31</f>
        <v>1.7682840958870707</v>
      </c>
      <c r="N323" s="459">
        <f>N$296*Entrant_age_breakdowns!$K80*$H$31</f>
        <v>1.7667334650389659</v>
      </c>
    </row>
    <row r="324" spans="1:14">
      <c r="B324" s="338" t="str">
        <f t="shared" si="147"/>
        <v>45-49</v>
      </c>
      <c r="C324" s="459">
        <f>C$296*Entrant_age_breakdowns!$K81*$H$31</f>
        <v>1.5816816165272205</v>
      </c>
      <c r="D324" s="459">
        <f>D$296*Entrant_age_breakdowns!$K81*$H$31</f>
        <v>1.5676459825973454</v>
      </c>
      <c r="E324" s="459">
        <f>E$296*Entrant_age_breakdowns!$K81*$H$31</f>
        <v>1.5048123746891862</v>
      </c>
      <c r="F324" s="459">
        <f>F$296*Entrant_age_breakdowns!$K81*$H$31</f>
        <v>1.4773693296397379</v>
      </c>
      <c r="G324" s="459">
        <f>G$296*Entrant_age_breakdowns!$K81*$H$31</f>
        <v>1.4588476699831412</v>
      </c>
      <c r="H324" s="459">
        <f>H$296*Entrant_age_breakdowns!$K81*$H$31</f>
        <v>1.4661966189774984</v>
      </c>
      <c r="I324" s="459">
        <f>I$296*Entrant_age_breakdowns!$K81*$H$31</f>
        <v>1.4923950267667163</v>
      </c>
      <c r="J324" s="459">
        <f>J$296*Entrant_age_breakdowns!$K81*$H$31</f>
        <v>1.4840311127598043</v>
      </c>
      <c r="K324" s="459">
        <f>K$296*Entrant_age_breakdowns!$K81*$H$31</f>
        <v>1.4614290465559319</v>
      </c>
      <c r="L324" s="459">
        <f>L$296*Entrant_age_breakdowns!$K81*$H$31</f>
        <v>1.426164765286897</v>
      </c>
      <c r="M324" s="459">
        <f>M$296*Entrant_age_breakdowns!$K81*$H$31</f>
        <v>1.4071063891552487</v>
      </c>
      <c r="N324" s="459">
        <f>N$296*Entrant_age_breakdowns!$K81*$H$31</f>
        <v>1.4058724796388624</v>
      </c>
    </row>
    <row r="325" spans="1:14">
      <c r="B325" s="338" t="str">
        <f t="shared" si="147"/>
        <v>50-54</v>
      </c>
      <c r="C325" s="459">
        <f>C$296*Entrant_age_breakdowns!$K82*$H$31</f>
        <v>1.1570516095306425</v>
      </c>
      <c r="D325" s="459">
        <f>D$296*Entrant_age_breakdowns!$K82*$H$31</f>
        <v>1.1467840862442544</v>
      </c>
      <c r="E325" s="459">
        <f>E$296*Entrant_age_breakdowns!$K82*$H$31</f>
        <v>1.1008192558997136</v>
      </c>
      <c r="F325" s="459">
        <f>F$296*Entrant_age_breakdowns!$K82*$H$31</f>
        <v>1.0807437747705824</v>
      </c>
      <c r="G325" s="459">
        <f>G$296*Entrant_age_breakdowns!$K82*$H$31</f>
        <v>1.0671945775788634</v>
      </c>
      <c r="H325" s="459">
        <f>H$296*Entrant_age_breakdowns!$K82*$H$31</f>
        <v>1.0725705730848043</v>
      </c>
      <c r="I325" s="459">
        <f>I$296*Entrant_age_breakdowns!$K82*$H$31</f>
        <v>1.0917355615267959</v>
      </c>
      <c r="J325" s="459">
        <f>J$296*Entrant_age_breakdowns!$K82*$H$31</f>
        <v>1.0856170860621057</v>
      </c>
      <c r="K325" s="459">
        <f>K$296*Entrant_age_breakdowns!$K82*$H$31</f>
        <v>1.0690829386037011</v>
      </c>
      <c r="L325" s="459">
        <f>L$296*Entrant_age_breakdowns!$K82*$H$31</f>
        <v>1.0432859684834657</v>
      </c>
      <c r="M325" s="459">
        <f>M$296*Entrant_age_breakdowns!$K82*$H$31</f>
        <v>1.0293441457122174</v>
      </c>
      <c r="N325" s="459">
        <f>N$296*Entrant_age_breakdowns!$K82*$H$31</f>
        <v>1.0284415007190457</v>
      </c>
    </row>
    <row r="326" spans="1:14">
      <c r="B326" s="338" t="str">
        <f t="shared" si="147"/>
        <v>55-59</v>
      </c>
      <c r="C326" s="459">
        <f>C$296*Entrant_age_breakdowns!$K83*$H$31</f>
        <v>0.7877468326844953</v>
      </c>
      <c r="D326" s="459">
        <f>D$296*Entrant_age_breakdowns!$K83*$H$31</f>
        <v>0.7807564712505336</v>
      </c>
      <c r="E326" s="459">
        <f>E$296*Entrant_age_breakdowns!$K83*$H$31</f>
        <v>0.74946257803043737</v>
      </c>
      <c r="F326" s="459">
        <f>F$296*Entrant_age_breakdowns!$K83*$H$31</f>
        <v>0.73579473768189352</v>
      </c>
      <c r="G326" s="459">
        <f>G$296*Entrant_age_breakdowns!$K83*$H$31</f>
        <v>0.72657013863611386</v>
      </c>
      <c r="H326" s="459">
        <f>H$296*Entrant_age_breakdowns!$K83*$H$31</f>
        <v>0.73023023763035744</v>
      </c>
      <c r="I326" s="459">
        <f>I$296*Entrant_age_breakdowns!$K83*$H$31</f>
        <v>0.74327819402163531</v>
      </c>
      <c r="J326" s="459">
        <f>J$296*Entrant_age_breakdowns!$K83*$H$31</f>
        <v>0.73911259792508566</v>
      </c>
      <c r="K326" s="459">
        <f>K$296*Entrant_age_breakdowns!$K83*$H$31</f>
        <v>0.72785577741318119</v>
      </c>
      <c r="L326" s="459">
        <f>L$296*Entrant_age_breakdowns!$K83*$H$31</f>
        <v>0.71029261831320345</v>
      </c>
      <c r="M326" s="459">
        <f>M$296*Entrant_age_breakdowns!$K83*$H$31</f>
        <v>0.7008007109173402</v>
      </c>
      <c r="N326" s="459">
        <f>N$296*Entrant_age_breakdowns!$K83*$H$31</f>
        <v>0.70018616984712989</v>
      </c>
    </row>
    <row r="327" spans="1:14">
      <c r="B327" s="338" t="str">
        <f t="shared" si="147"/>
        <v>60-64</v>
      </c>
      <c r="C327" s="459">
        <f>C$296*Entrant_age_breakdowns!$K84*$H$31</f>
        <v>0.38563085796089741</v>
      </c>
      <c r="D327" s="459">
        <f>D$296*Entrant_age_breakdowns!$K84*$H$31</f>
        <v>0.38220882061921879</v>
      </c>
      <c r="E327" s="459">
        <f>E$296*Entrant_age_breakdowns!$K84*$H$31</f>
        <v>0.36688931644517181</v>
      </c>
      <c r="F327" s="459">
        <f>F$296*Entrant_age_breakdowns!$K84*$H$31</f>
        <v>0.36019840918741769</v>
      </c>
      <c r="G327" s="459">
        <f>G$296*Entrant_age_breakdowns!$K84*$H$31</f>
        <v>0.3556826308982855</v>
      </c>
      <c r="H327" s="459">
        <f>H$296*Entrant_age_breakdowns!$K84*$H$31</f>
        <v>0.35747438309176877</v>
      </c>
      <c r="I327" s="459">
        <f>I$296*Entrant_age_breakdowns!$K84*$H$31</f>
        <v>0.36386183450259552</v>
      </c>
      <c r="J327" s="459">
        <f>J$296*Entrant_age_breakdowns!$K84*$H$31</f>
        <v>0.36182262300725154</v>
      </c>
      <c r="K327" s="459">
        <f>K$296*Entrant_age_breakdowns!$K84*$H$31</f>
        <v>0.35631199805541985</v>
      </c>
      <c r="L327" s="459">
        <f>L$296*Entrant_age_breakdowns!$K84*$H$31</f>
        <v>0.34771418993837883</v>
      </c>
      <c r="M327" s="459">
        <f>M$296*Entrant_age_breakdowns!$K84*$H$31</f>
        <v>0.34306755444474152</v>
      </c>
      <c r="N327" s="459">
        <f>N$296*Entrant_age_breakdowns!$K84*$H$31</f>
        <v>0.34276671413625076</v>
      </c>
    </row>
    <row r="328" spans="1:14">
      <c r="B328" s="338" t="str">
        <f t="shared" si="147"/>
        <v>65 plus</v>
      </c>
      <c r="C328" s="459">
        <f>C$296*Entrant_age_breakdowns!$K85*$H$31</f>
        <v>9.6718956398635647E-2</v>
      </c>
      <c r="D328" s="459">
        <f>D$296*Entrant_age_breakdowns!$K85*$H$31</f>
        <v>9.586068514359547E-2</v>
      </c>
      <c r="E328" s="459">
        <f>E$296*Entrant_age_breakdowns!$K85*$H$31</f>
        <v>9.2018444758339271E-2</v>
      </c>
      <c r="F328" s="459">
        <f>F$296*Entrant_age_breakdowns!$K85*$H$31</f>
        <v>9.0340317725788211E-2</v>
      </c>
      <c r="G328" s="459">
        <f>G$296*Entrant_age_breakdowns!$K85*$H$31</f>
        <v>8.9207728477713119E-2</v>
      </c>
      <c r="H328" s="459">
        <f>H$296*Entrant_age_breakdowns!$K85*$H$31</f>
        <v>8.965711264576183E-2</v>
      </c>
      <c r="I328" s="459">
        <f>I$296*Entrant_age_breakdowns!$K85*$H$31</f>
        <v>9.1259130797962704E-2</v>
      </c>
      <c r="J328" s="459">
        <f>J$296*Entrant_age_breakdowns!$K85*$H$31</f>
        <v>9.0747682080532091E-2</v>
      </c>
      <c r="K328" s="459">
        <f>K$296*Entrant_age_breakdowns!$K85*$H$31</f>
        <v>8.9365578227993694E-2</v>
      </c>
      <c r="L328" s="459">
        <f>L$296*Entrant_age_breakdowns!$K85*$H$31</f>
        <v>8.7209186924680895E-2</v>
      </c>
      <c r="M328" s="459">
        <f>M$296*Entrant_age_breakdowns!$K85*$H$31</f>
        <v>8.6043777760886675E-2</v>
      </c>
      <c r="N328" s="459">
        <f>N$296*Entrant_age_breakdowns!$K85*$H$31</f>
        <v>8.5968324876141602E-2</v>
      </c>
    </row>
    <row r="329" spans="1:14">
      <c r="B329" s="338" t="str">
        <f t="shared" si="147"/>
        <v>Total</v>
      </c>
      <c r="C329" s="459">
        <f t="shared" ref="C329:N329" si="149">SUM(C319:C328)</f>
        <v>24.173338152743256</v>
      </c>
      <c r="D329" s="459">
        <f t="shared" si="149"/>
        <v>23.958827140141402</v>
      </c>
      <c r="E329" s="459">
        <f t="shared" si="149"/>
        <v>22.998521326727612</v>
      </c>
      <c r="F329" s="459">
        <f t="shared" si="149"/>
        <v>22.57910062853562</v>
      </c>
      <c r="G329" s="459">
        <f t="shared" si="149"/>
        <v>22.296028272284818</v>
      </c>
      <c r="H329" s="459">
        <f t="shared" si="149"/>
        <v>22.408344573651402</v>
      </c>
      <c r="I329" s="459">
        <f t="shared" si="149"/>
        <v>22.808743088709527</v>
      </c>
      <c r="J329" s="459">
        <f t="shared" si="149"/>
        <v>22.680914757484771</v>
      </c>
      <c r="K329" s="459">
        <f t="shared" si="149"/>
        <v>22.335480263217512</v>
      </c>
      <c r="L329" s="459">
        <f t="shared" si="149"/>
        <v>21.796525149291682</v>
      </c>
      <c r="M329" s="459">
        <f t="shared" si="149"/>
        <v>21.505249986162422</v>
      </c>
      <c r="N329" s="459">
        <f t="shared" si="149"/>
        <v>21.486391758515449</v>
      </c>
    </row>
    <row r="330" spans="1:14">
      <c r="A330" s="309">
        <f>SUM(C330:N330)</f>
        <v>0</v>
      </c>
      <c r="C330" s="309">
        <f t="shared" ref="C330:N330" si="150">SUM(C319:C328)-C329</f>
        <v>0</v>
      </c>
      <c r="D330" s="309">
        <f t="shared" si="150"/>
        <v>0</v>
      </c>
      <c r="E330" s="309">
        <f t="shared" si="150"/>
        <v>0</v>
      </c>
      <c r="F330" s="309">
        <f t="shared" si="150"/>
        <v>0</v>
      </c>
      <c r="G330" s="309">
        <f t="shared" si="150"/>
        <v>0</v>
      </c>
      <c r="H330" s="309">
        <f t="shared" si="150"/>
        <v>0</v>
      </c>
      <c r="I330" s="309">
        <f t="shared" si="150"/>
        <v>0</v>
      </c>
      <c r="J330" s="309">
        <f t="shared" si="150"/>
        <v>0</v>
      </c>
      <c r="K330" s="309">
        <f t="shared" si="150"/>
        <v>0</v>
      </c>
      <c r="L330" s="309">
        <f t="shared" si="150"/>
        <v>0</v>
      </c>
      <c r="M330" s="309">
        <f t="shared" si="150"/>
        <v>0</v>
      </c>
      <c r="N330" s="309">
        <f t="shared" si="150"/>
        <v>0</v>
      </c>
    </row>
    <row r="331" spans="1:14">
      <c r="C331" s="329">
        <f>C294</f>
        <v>40.462977276203873</v>
      </c>
      <c r="D331" s="329">
        <f t="shared" ref="D331:N331" si="151">D294</f>
        <v>40.103914155770951</v>
      </c>
      <c r="E331" s="329">
        <f t="shared" si="151"/>
        <v>38.496488980942161</v>
      </c>
      <c r="F331" s="329">
        <f t="shared" si="151"/>
        <v>37.79443409415417</v>
      </c>
      <c r="G331" s="329">
        <f t="shared" si="151"/>
        <v>37.320608334297425</v>
      </c>
      <c r="H331" s="329">
        <f t="shared" si="151"/>
        <v>37.508610997447512</v>
      </c>
      <c r="I331" s="329">
        <f t="shared" si="151"/>
        <v>38.178825260527432</v>
      </c>
      <c r="J331" s="329">
        <f t="shared" si="151"/>
        <v>37.964857506925505</v>
      </c>
      <c r="K331" s="329">
        <f t="shared" si="151"/>
        <v>37.386645759601443</v>
      </c>
      <c r="L331" s="329">
        <f t="shared" si="151"/>
        <v>36.484506038977038</v>
      </c>
      <c r="M331" s="329">
        <f t="shared" si="151"/>
        <v>35.996949863146021</v>
      </c>
      <c r="N331" s="329">
        <f t="shared" si="151"/>
        <v>35.965383679281501</v>
      </c>
    </row>
    <row r="332" spans="1:14">
      <c r="C332" s="329">
        <f>C313+C329</f>
        <v>40.46297727620388</v>
      </c>
      <c r="D332" s="329">
        <f t="shared" ref="D332:N332" si="152">D313+D329</f>
        <v>40.103914155770958</v>
      </c>
      <c r="E332" s="329">
        <f t="shared" si="152"/>
        <v>38.496488980942168</v>
      </c>
      <c r="F332" s="329">
        <f t="shared" si="152"/>
        <v>37.79443409415417</v>
      </c>
      <c r="G332" s="329">
        <f t="shared" si="152"/>
        <v>37.320608334297432</v>
      </c>
      <c r="H332" s="329">
        <f t="shared" si="152"/>
        <v>37.508610997447512</v>
      </c>
      <c r="I332" s="329">
        <f t="shared" si="152"/>
        <v>38.178825260527439</v>
      </c>
      <c r="J332" s="329">
        <f t="shared" si="152"/>
        <v>37.964857506925505</v>
      </c>
      <c r="K332" s="329">
        <f t="shared" si="152"/>
        <v>37.386645759601443</v>
      </c>
      <c r="L332" s="329">
        <f t="shared" si="152"/>
        <v>36.484506038977052</v>
      </c>
      <c r="M332" s="329">
        <f t="shared" si="152"/>
        <v>35.996949863146028</v>
      </c>
      <c r="N332" s="329">
        <f t="shared" si="152"/>
        <v>35.965383679281501</v>
      </c>
    </row>
    <row r="333" spans="1:14">
      <c r="A333" s="309">
        <f>SUM(C333:L333)</f>
        <v>0</v>
      </c>
      <c r="C333" s="329">
        <f>C331-C332</f>
        <v>0</v>
      </c>
      <c r="D333" s="329">
        <f t="shared" ref="D333:K333" si="153">D331-D332</f>
        <v>0</v>
      </c>
      <c r="E333" s="329">
        <f t="shared" si="153"/>
        <v>0</v>
      </c>
      <c r="F333" s="329">
        <f t="shared" si="153"/>
        <v>0</v>
      </c>
      <c r="G333" s="329">
        <f t="shared" si="153"/>
        <v>0</v>
      </c>
      <c r="H333" s="329">
        <f t="shared" si="153"/>
        <v>0</v>
      </c>
      <c r="I333" s="329">
        <f t="shared" si="153"/>
        <v>0</v>
      </c>
      <c r="J333" s="329">
        <f t="shared" si="153"/>
        <v>0</v>
      </c>
      <c r="K333" s="329">
        <f t="shared" si="153"/>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6">
      <c r="B337" s="341" t="s">
        <v>49</v>
      </c>
      <c r="C337" s="329"/>
      <c r="D337" s="329"/>
      <c r="E337" s="329"/>
      <c r="F337" s="329"/>
      <c r="G337" s="329"/>
      <c r="H337" s="339"/>
      <c r="I337" s="329"/>
      <c r="J337" s="329"/>
      <c r="K337" s="329"/>
      <c r="L337" s="329"/>
    </row>
    <row r="338" spans="1:16">
      <c r="C338" s="329"/>
      <c r="D338" s="329"/>
      <c r="E338" s="329"/>
      <c r="F338" s="329"/>
      <c r="G338" s="329"/>
      <c r="H338" s="339"/>
      <c r="I338" s="329"/>
      <c r="J338" s="329"/>
      <c r="K338" s="329"/>
      <c r="L338" s="329"/>
    </row>
    <row r="339" spans="1:16">
      <c r="B339" s="338" t="str">
        <f>B318</f>
        <v>Age group</v>
      </c>
      <c r="C339" s="338" t="str">
        <f t="shared" ref="C339:N339" si="154">C318</f>
        <v>2016/17</v>
      </c>
      <c r="D339" s="338" t="str">
        <f t="shared" si="154"/>
        <v>2017/18</v>
      </c>
      <c r="E339" s="338" t="str">
        <f t="shared" si="154"/>
        <v>2018/19</v>
      </c>
      <c r="F339" s="338" t="str">
        <f t="shared" si="154"/>
        <v>2019/20</v>
      </c>
      <c r="G339" s="338" t="str">
        <f t="shared" si="154"/>
        <v>2020/21</v>
      </c>
      <c r="H339" s="338" t="str">
        <f t="shared" si="154"/>
        <v>2021/22</v>
      </c>
      <c r="I339" s="338" t="str">
        <f t="shared" si="154"/>
        <v>2022/23</v>
      </c>
      <c r="J339" s="338" t="str">
        <f t="shared" si="154"/>
        <v>2023/24</v>
      </c>
      <c r="K339" s="338" t="str">
        <f t="shared" si="154"/>
        <v>2024/25</v>
      </c>
      <c r="L339" s="338" t="str">
        <f t="shared" si="154"/>
        <v>2025/26</v>
      </c>
      <c r="M339" s="338" t="str">
        <f t="shared" si="154"/>
        <v>2026/27</v>
      </c>
      <c r="N339" s="338" t="str">
        <f t="shared" si="154"/>
        <v>2027/28</v>
      </c>
    </row>
    <row r="340" spans="1:16">
      <c r="B340" s="338" t="str">
        <f t="shared" ref="B340:B350" si="155">B319</f>
        <v>20-24</v>
      </c>
      <c r="C340" s="459">
        <f t="shared" ref="C340:N340" si="156">C303+C247</f>
        <v>8.1984494506050503</v>
      </c>
      <c r="D340" s="459">
        <f t="shared" si="156"/>
        <v>9.9089513359871724</v>
      </c>
      <c r="E340" s="459">
        <f t="shared" si="156"/>
        <v>10.940141957846071</v>
      </c>
      <c r="F340" s="459">
        <f t="shared" si="156"/>
        <v>11.589540110468972</v>
      </c>
      <c r="G340" s="459">
        <f t="shared" si="156"/>
        <v>11.995208930851751</v>
      </c>
      <c r="H340" s="459">
        <f t="shared" si="156"/>
        <v>12.298902380819053</v>
      </c>
      <c r="I340" s="459">
        <f t="shared" si="156"/>
        <v>12.581257365162701</v>
      </c>
      <c r="J340" s="459">
        <f t="shared" si="156"/>
        <v>12.756814143505856</v>
      </c>
      <c r="K340" s="459">
        <f t="shared" si="156"/>
        <v>12.819722248185691</v>
      </c>
      <c r="L340" s="459">
        <f t="shared" si="156"/>
        <v>12.770071666308382</v>
      </c>
      <c r="M340" s="459">
        <f t="shared" si="156"/>
        <v>12.684643837920298</v>
      </c>
      <c r="N340" s="459">
        <f t="shared" si="156"/>
        <v>12.621524100913554</v>
      </c>
      <c r="O340" s="327"/>
      <c r="P340" s="327"/>
    </row>
    <row r="341" spans="1:16">
      <c r="B341" s="338" t="str">
        <f t="shared" si="155"/>
        <v>25-29</v>
      </c>
      <c r="C341" s="459">
        <f t="shared" ref="C341:N341" si="157">C304+C248</f>
        <v>18.548583467355801</v>
      </c>
      <c r="D341" s="459">
        <f t="shared" si="157"/>
        <v>19.004638724052512</v>
      </c>
      <c r="E341" s="459">
        <f t="shared" si="157"/>
        <v>19.462495329223433</v>
      </c>
      <c r="F341" s="459">
        <f t="shared" si="157"/>
        <v>19.897711457478852</v>
      </c>
      <c r="G341" s="459">
        <f t="shared" si="157"/>
        <v>20.273184967145529</v>
      </c>
      <c r="H341" s="459">
        <f t="shared" si="157"/>
        <v>20.633644335643684</v>
      </c>
      <c r="I341" s="459">
        <f t="shared" si="157"/>
        <v>21.016996334148637</v>
      </c>
      <c r="J341" s="459">
        <f t="shared" si="157"/>
        <v>21.317904166460753</v>
      </c>
      <c r="K341" s="459">
        <f t="shared" si="157"/>
        <v>21.501812769162772</v>
      </c>
      <c r="L341" s="459">
        <f t="shared" si="157"/>
        <v>21.54735365425984</v>
      </c>
      <c r="M341" s="459">
        <f t="shared" si="157"/>
        <v>21.518621441200573</v>
      </c>
      <c r="N341" s="459">
        <f t="shared" si="157"/>
        <v>21.479491797897062</v>
      </c>
      <c r="O341" s="327"/>
      <c r="P341" s="327"/>
    </row>
    <row r="342" spans="1:16">
      <c r="B342" s="338" t="str">
        <f t="shared" si="155"/>
        <v>30-34</v>
      </c>
      <c r="C342" s="459">
        <f t="shared" ref="C342:N342" si="158">C305+C249</f>
        <v>18.456468346395127</v>
      </c>
      <c r="D342" s="459">
        <f t="shared" si="158"/>
        <v>19.296647249218402</v>
      </c>
      <c r="E342" s="459">
        <f t="shared" si="158"/>
        <v>19.919890858388257</v>
      </c>
      <c r="F342" s="459">
        <f t="shared" si="158"/>
        <v>20.430564151101777</v>
      </c>
      <c r="G342" s="459">
        <f t="shared" si="158"/>
        <v>20.865563131017421</v>
      </c>
      <c r="H342" s="459">
        <f t="shared" si="158"/>
        <v>21.268529423219533</v>
      </c>
      <c r="I342" s="459">
        <f t="shared" si="158"/>
        <v>21.670619024865196</v>
      </c>
      <c r="J342" s="459">
        <f t="shared" si="158"/>
        <v>22.029163987555922</v>
      </c>
      <c r="K342" s="459">
        <f t="shared" si="158"/>
        <v>22.320620218661034</v>
      </c>
      <c r="L342" s="459">
        <f t="shared" si="158"/>
        <v>22.523225951141296</v>
      </c>
      <c r="M342" s="459">
        <f t="shared" si="158"/>
        <v>22.656221537067509</v>
      </c>
      <c r="N342" s="459">
        <f t="shared" si="158"/>
        <v>22.748015524827863</v>
      </c>
      <c r="O342" s="327"/>
      <c r="P342" s="327"/>
    </row>
    <row r="343" spans="1:16">
      <c r="B343" s="338" t="str">
        <f t="shared" si="155"/>
        <v>35-39</v>
      </c>
      <c r="C343" s="459">
        <f t="shared" ref="C343:N343" si="159">C306+C250</f>
        <v>16.867592682642513</v>
      </c>
      <c r="D343" s="459">
        <f t="shared" si="159"/>
        <v>17.651112030083937</v>
      </c>
      <c r="E343" s="459">
        <f t="shared" si="159"/>
        <v>18.335590369859958</v>
      </c>
      <c r="F343" s="459">
        <f t="shared" si="159"/>
        <v>18.939522788471255</v>
      </c>
      <c r="G343" s="459">
        <f t="shared" si="159"/>
        <v>19.470574407210499</v>
      </c>
      <c r="H343" s="459">
        <f t="shared" si="159"/>
        <v>19.957941632297953</v>
      </c>
      <c r="I343" s="459">
        <f t="shared" si="159"/>
        <v>20.42488327233179</v>
      </c>
      <c r="J343" s="459">
        <f t="shared" si="159"/>
        <v>20.842642393742285</v>
      </c>
      <c r="K343" s="459">
        <f t="shared" si="159"/>
        <v>21.201439055040378</v>
      </c>
      <c r="L343" s="459">
        <f t="shared" si="159"/>
        <v>21.491051183330445</v>
      </c>
      <c r="M343" s="459">
        <f t="shared" si="159"/>
        <v>21.727860714843793</v>
      </c>
      <c r="N343" s="459">
        <f t="shared" si="159"/>
        <v>21.929350964353194</v>
      </c>
      <c r="O343" s="327"/>
      <c r="P343" s="327"/>
    </row>
    <row r="344" spans="1:16">
      <c r="B344" s="338" t="str">
        <f t="shared" si="155"/>
        <v>40-44</v>
      </c>
      <c r="C344" s="459">
        <f t="shared" ref="C344:N344" si="160">C307+C251</f>
        <v>13.89811787453664</v>
      </c>
      <c r="D344" s="459">
        <f t="shared" si="160"/>
        <v>14.862478458221528</v>
      </c>
      <c r="E344" s="459">
        <f t="shared" si="160"/>
        <v>15.676161672324724</v>
      </c>
      <c r="F344" s="459">
        <f t="shared" si="160"/>
        <v>16.388733776868385</v>
      </c>
      <c r="G344" s="459">
        <f t="shared" si="160"/>
        <v>17.018268676265091</v>
      </c>
      <c r="H344" s="459">
        <f t="shared" si="160"/>
        <v>17.594055604907588</v>
      </c>
      <c r="I344" s="459">
        <f t="shared" si="160"/>
        <v>18.137486379402258</v>
      </c>
      <c r="J344" s="459">
        <f t="shared" si="160"/>
        <v>18.623657721468572</v>
      </c>
      <c r="K344" s="459">
        <f t="shared" si="160"/>
        <v>19.045802437225444</v>
      </c>
      <c r="L344" s="459">
        <f t="shared" si="160"/>
        <v>19.398372054965186</v>
      </c>
      <c r="M344" s="459">
        <f t="shared" si="160"/>
        <v>19.699758141831822</v>
      </c>
      <c r="N344" s="459">
        <f t="shared" si="160"/>
        <v>19.96813293267482</v>
      </c>
      <c r="O344" s="327"/>
      <c r="P344" s="327"/>
    </row>
    <row r="345" spans="1:16">
      <c r="B345" s="338" t="str">
        <f t="shared" si="155"/>
        <v>45-49</v>
      </c>
      <c r="C345" s="459">
        <f t="shared" ref="C345:N345" si="161">C308+C252</f>
        <v>12.762808531116194</v>
      </c>
      <c r="D345" s="459">
        <f t="shared" si="161"/>
        <v>13.069484557029909</v>
      </c>
      <c r="E345" s="459">
        <f t="shared" si="161"/>
        <v>13.432404548243621</v>
      </c>
      <c r="F345" s="459">
        <f t="shared" si="161"/>
        <v>13.832915431844656</v>
      </c>
      <c r="G345" s="459">
        <f t="shared" si="161"/>
        <v>14.248547936615797</v>
      </c>
      <c r="H345" s="459">
        <f t="shared" si="161"/>
        <v>14.677442812639713</v>
      </c>
      <c r="I345" s="459">
        <f t="shared" si="161"/>
        <v>15.1189105432001</v>
      </c>
      <c r="J345" s="459">
        <f t="shared" si="161"/>
        <v>15.540405155607514</v>
      </c>
      <c r="K345" s="459">
        <f t="shared" si="161"/>
        <v>15.926937377212374</v>
      </c>
      <c r="L345" s="459">
        <f t="shared" si="161"/>
        <v>16.267227790221735</v>
      </c>
      <c r="M345" s="459">
        <f t="shared" si="161"/>
        <v>16.571358435938812</v>
      </c>
      <c r="N345" s="459">
        <f t="shared" si="161"/>
        <v>16.851280872469928</v>
      </c>
      <c r="O345" s="327"/>
      <c r="P345" s="327"/>
    </row>
    <row r="346" spans="1:16">
      <c r="B346" s="338" t="str">
        <f t="shared" si="155"/>
        <v>50-54</v>
      </c>
      <c r="C346" s="459">
        <f t="shared" ref="C346:N346" si="162">C309+C253</f>
        <v>18.355640854718388</v>
      </c>
      <c r="D346" s="459">
        <f t="shared" si="162"/>
        <v>16.209480944525176</v>
      </c>
      <c r="E346" s="459">
        <f t="shared" si="162"/>
        <v>14.695837015488568</v>
      </c>
      <c r="F346" s="459">
        <f t="shared" si="162"/>
        <v>13.662873833168502</v>
      </c>
      <c r="G346" s="459">
        <f t="shared" si="162"/>
        <v>12.985421185093964</v>
      </c>
      <c r="H346" s="459">
        <f t="shared" si="162"/>
        <v>12.578132651085284</v>
      </c>
      <c r="I346" s="459">
        <f t="shared" si="162"/>
        <v>12.37606836010715</v>
      </c>
      <c r="J346" s="459">
        <f t="shared" si="162"/>
        <v>12.306249498677282</v>
      </c>
      <c r="K346" s="459">
        <f t="shared" si="162"/>
        <v>12.320580603176444</v>
      </c>
      <c r="L346" s="459">
        <f t="shared" si="162"/>
        <v>12.382696208179494</v>
      </c>
      <c r="M346" s="459">
        <f t="shared" si="162"/>
        <v>12.478753038533998</v>
      </c>
      <c r="N346" s="459">
        <f t="shared" si="162"/>
        <v>12.601436872927257</v>
      </c>
      <c r="O346" s="327"/>
      <c r="P346" s="327"/>
    </row>
    <row r="347" spans="1:16">
      <c r="B347" s="338" t="str">
        <f t="shared" si="155"/>
        <v>55-59</v>
      </c>
      <c r="C347" s="459">
        <f t="shared" ref="C347:N347" si="163">C310+C254</f>
        <v>12.200892024432292</v>
      </c>
      <c r="D347" s="459">
        <f t="shared" si="163"/>
        <v>10.423333606144656</v>
      </c>
      <c r="E347" s="459">
        <f t="shared" si="163"/>
        <v>9.0381372459283558</v>
      </c>
      <c r="F347" s="459">
        <f t="shared" si="163"/>
        <v>7.9893204825378623</v>
      </c>
      <c r="G347" s="459">
        <f t="shared" si="163"/>
        <v>7.2126235976833373</v>
      </c>
      <c r="H347" s="459">
        <f t="shared" si="163"/>
        <v>6.657409126791312</v>
      </c>
      <c r="I347" s="459">
        <f t="shared" si="163"/>
        <v>6.2788935827075907</v>
      </c>
      <c r="J347" s="459">
        <f t="shared" si="163"/>
        <v>6.0231821341839398</v>
      </c>
      <c r="K347" s="459">
        <f t="shared" si="163"/>
        <v>5.8545712782434762</v>
      </c>
      <c r="L347" s="459">
        <f t="shared" si="163"/>
        <v>5.7454557251783411</v>
      </c>
      <c r="M347" s="459">
        <f t="shared" si="163"/>
        <v>5.6838922283904214</v>
      </c>
      <c r="N347" s="459">
        <f t="shared" si="163"/>
        <v>5.6613436563065562</v>
      </c>
      <c r="O347" s="327"/>
      <c r="P347" s="327"/>
    </row>
    <row r="348" spans="1:16">
      <c r="B348" s="338" t="str">
        <f t="shared" si="155"/>
        <v>60-64</v>
      </c>
      <c r="C348" s="459">
        <f t="shared" ref="C348:N348" si="164">C311+C255</f>
        <v>5.0127785689877546</v>
      </c>
      <c r="D348" s="459">
        <f t="shared" si="164"/>
        <v>4.1485054774013168</v>
      </c>
      <c r="E348" s="459">
        <f t="shared" si="164"/>
        <v>3.5066633101362386</v>
      </c>
      <c r="F348" s="459">
        <f t="shared" si="164"/>
        <v>3.0253090933240023</v>
      </c>
      <c r="G348" s="459">
        <f t="shared" si="164"/>
        <v>2.6634485022862346</v>
      </c>
      <c r="H348" s="459">
        <f t="shared" si="164"/>
        <v>2.3963312554587666</v>
      </c>
      <c r="I348" s="459">
        <f t="shared" si="164"/>
        <v>2.2047511026874749</v>
      </c>
      <c r="J348" s="459">
        <f t="shared" si="164"/>
        <v>2.0652615972162436</v>
      </c>
      <c r="K348" s="459">
        <f t="shared" si="164"/>
        <v>1.9633854350267888</v>
      </c>
      <c r="L348" s="459">
        <f t="shared" si="164"/>
        <v>1.8880879091139326</v>
      </c>
      <c r="M348" s="459">
        <f t="shared" si="164"/>
        <v>1.8354565869711403</v>
      </c>
      <c r="N348" s="459">
        <f t="shared" si="164"/>
        <v>1.8024285196842511</v>
      </c>
      <c r="O348" s="327"/>
      <c r="P348" s="327"/>
    </row>
    <row r="349" spans="1:16">
      <c r="B349" s="338" t="str">
        <f t="shared" si="155"/>
        <v>65 plus</v>
      </c>
      <c r="C349" s="459">
        <f t="shared" ref="C349:N349" si="165">C312+C256</f>
        <v>3.5603629790310669</v>
      </c>
      <c r="D349" s="459">
        <f t="shared" si="165"/>
        <v>2.51670599128928</v>
      </c>
      <c r="E349" s="459">
        <f t="shared" si="165"/>
        <v>1.8603645478411828</v>
      </c>
      <c r="F349" s="459">
        <f t="shared" si="165"/>
        <v>1.4375313053796457</v>
      </c>
      <c r="G349" s="459">
        <f t="shared" si="165"/>
        <v>1.1578020048295512</v>
      </c>
      <c r="H349" s="459">
        <f t="shared" si="165"/>
        <v>0.96888583379159265</v>
      </c>
      <c r="I349" s="459">
        <f t="shared" si="165"/>
        <v>0.83973228102602426</v>
      </c>
      <c r="J349" s="459">
        <f t="shared" si="165"/>
        <v>0.7493896234663735</v>
      </c>
      <c r="K349" s="459">
        <f t="shared" si="165"/>
        <v>0.68491589437037304</v>
      </c>
      <c r="L349" s="459">
        <f t="shared" si="165"/>
        <v>0.6378650130282657</v>
      </c>
      <c r="M349" s="459">
        <f t="shared" si="165"/>
        <v>0.60370161330434347</v>
      </c>
      <c r="N349" s="459">
        <f t="shared" si="165"/>
        <v>0.57963458131570256</v>
      </c>
      <c r="O349" s="327"/>
      <c r="P349" s="327"/>
    </row>
    <row r="350" spans="1:16">
      <c r="B350" s="338" t="str">
        <f t="shared" si="155"/>
        <v>Total</v>
      </c>
      <c r="C350" s="459">
        <f t="shared" ref="C350:N350" si="166">SUM(C340:C349)</f>
        <v>127.86169477982082</v>
      </c>
      <c r="D350" s="459">
        <f t="shared" si="166"/>
        <v>127.0913383739539</v>
      </c>
      <c r="E350" s="459">
        <f t="shared" si="166"/>
        <v>126.8676868552804</v>
      </c>
      <c r="F350" s="459">
        <f t="shared" si="166"/>
        <v>127.19402243064391</v>
      </c>
      <c r="G350" s="459">
        <f t="shared" si="166"/>
        <v>127.89064333899915</v>
      </c>
      <c r="H350" s="459">
        <f t="shared" si="166"/>
        <v>129.03127505665449</v>
      </c>
      <c r="I350" s="459">
        <f t="shared" si="166"/>
        <v>130.64959824563891</v>
      </c>
      <c r="J350" s="459">
        <f t="shared" si="166"/>
        <v>132.25467042188475</v>
      </c>
      <c r="K350" s="459">
        <f t="shared" si="166"/>
        <v>133.63978731630476</v>
      </c>
      <c r="L350" s="459">
        <f t="shared" si="166"/>
        <v>134.6514071557269</v>
      </c>
      <c r="M350" s="459">
        <f t="shared" si="166"/>
        <v>135.46026757600271</v>
      </c>
      <c r="N350" s="459">
        <f t="shared" si="166"/>
        <v>136.24263982337018</v>
      </c>
      <c r="O350" s="327"/>
      <c r="P350" s="327"/>
    </row>
    <row r="351" spans="1:16">
      <c r="A351" s="309">
        <f>SUM(C351:N351)</f>
        <v>0</v>
      </c>
      <c r="C351" s="309">
        <f t="shared" ref="C351:N351" si="167">SUM(C340:C349)-C350</f>
        <v>0</v>
      </c>
      <c r="D351" s="309">
        <f t="shared" si="167"/>
        <v>0</v>
      </c>
      <c r="E351" s="309">
        <f t="shared" si="167"/>
        <v>0</v>
      </c>
      <c r="F351" s="309">
        <f t="shared" si="167"/>
        <v>0</v>
      </c>
      <c r="G351" s="309">
        <f t="shared" si="167"/>
        <v>0</v>
      </c>
      <c r="H351" s="309">
        <f t="shared" si="167"/>
        <v>0</v>
      </c>
      <c r="I351" s="309">
        <f t="shared" si="167"/>
        <v>0</v>
      </c>
      <c r="J351" s="309">
        <f t="shared" si="167"/>
        <v>0</v>
      </c>
      <c r="K351" s="309">
        <f t="shared" si="167"/>
        <v>0</v>
      </c>
      <c r="L351" s="309">
        <f t="shared" si="167"/>
        <v>0</v>
      </c>
      <c r="M351" s="309">
        <f t="shared" si="167"/>
        <v>0</v>
      </c>
      <c r="N351" s="309">
        <f t="shared" si="167"/>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8">B339</f>
        <v>Age group</v>
      </c>
      <c r="C355" s="338" t="str">
        <f t="shared" ref="C355:N355" si="169">C339</f>
        <v>2016/17</v>
      </c>
      <c r="D355" s="338" t="str">
        <f t="shared" si="169"/>
        <v>2017/18</v>
      </c>
      <c r="E355" s="338" t="str">
        <f t="shared" si="169"/>
        <v>2018/19</v>
      </c>
      <c r="F355" s="338" t="str">
        <f t="shared" si="169"/>
        <v>2019/20</v>
      </c>
      <c r="G355" s="338" t="str">
        <f t="shared" si="169"/>
        <v>2020/21</v>
      </c>
      <c r="H355" s="338" t="str">
        <f t="shared" si="169"/>
        <v>2021/22</v>
      </c>
      <c r="I355" s="338" t="str">
        <f t="shared" si="169"/>
        <v>2022/23</v>
      </c>
      <c r="J355" s="338" t="str">
        <f t="shared" si="169"/>
        <v>2023/24</v>
      </c>
      <c r="K355" s="338" t="str">
        <f t="shared" si="169"/>
        <v>2024/25</v>
      </c>
      <c r="L355" s="338" t="str">
        <f t="shared" si="169"/>
        <v>2025/26</v>
      </c>
      <c r="M355" s="338" t="str">
        <f t="shared" si="169"/>
        <v>2026/27</v>
      </c>
      <c r="N355" s="338" t="str">
        <f t="shared" si="169"/>
        <v>2027/28</v>
      </c>
    </row>
    <row r="356" spans="1:14">
      <c r="B356" s="338" t="str">
        <f t="shared" si="168"/>
        <v>20-24</v>
      </c>
      <c r="C356" s="459">
        <f t="shared" ref="C356:N356" si="170">C319+C263</f>
        <v>10.487727450319568</v>
      </c>
      <c r="D356" s="459">
        <f t="shared" si="170"/>
        <v>13.683162585974436</v>
      </c>
      <c r="E356" s="459">
        <f t="shared" si="170"/>
        <v>15.72073372429303</v>
      </c>
      <c r="F356" s="459">
        <f t="shared" si="170"/>
        <v>17.069773163266035</v>
      </c>
      <c r="G356" s="459">
        <f t="shared" si="170"/>
        <v>17.961559444755011</v>
      </c>
      <c r="H356" s="459">
        <f t="shared" si="170"/>
        <v>18.628345574997347</v>
      </c>
      <c r="I356" s="459">
        <f t="shared" si="170"/>
        <v>19.208549021585679</v>
      </c>
      <c r="J356" s="459">
        <f t="shared" si="170"/>
        <v>19.59052452203353</v>
      </c>
      <c r="K356" s="459">
        <f t="shared" si="170"/>
        <v>19.774576451052365</v>
      </c>
      <c r="L356" s="459">
        <f t="shared" si="170"/>
        <v>19.767137553897186</v>
      </c>
      <c r="M356" s="459">
        <f t="shared" si="170"/>
        <v>19.686656342117111</v>
      </c>
      <c r="N356" s="459">
        <f t="shared" si="170"/>
        <v>19.624230130792107</v>
      </c>
    </row>
    <row r="357" spans="1:14">
      <c r="B357" s="338" t="str">
        <f t="shared" si="168"/>
        <v>25-29</v>
      </c>
      <c r="C357" s="459">
        <f t="shared" ref="C357:N357" si="171">C320+C264</f>
        <v>35.56627412777943</v>
      </c>
      <c r="D357" s="459">
        <f t="shared" si="171"/>
        <v>33.902468089706424</v>
      </c>
      <c r="E357" s="459">
        <f t="shared" si="171"/>
        <v>33.023158854931346</v>
      </c>
      <c r="F357" s="459">
        <f t="shared" si="171"/>
        <v>32.644773100081729</v>
      </c>
      <c r="G357" s="459">
        <f t="shared" si="171"/>
        <v>32.539620617799017</v>
      </c>
      <c r="H357" s="459">
        <f t="shared" si="171"/>
        <v>32.654444168013548</v>
      </c>
      <c r="I357" s="459">
        <f t="shared" si="171"/>
        <v>32.964075608749994</v>
      </c>
      <c r="J357" s="459">
        <f t="shared" si="171"/>
        <v>33.257514203763463</v>
      </c>
      <c r="K357" s="459">
        <f t="shared" si="171"/>
        <v>33.445528663619704</v>
      </c>
      <c r="L357" s="459">
        <f t="shared" si="171"/>
        <v>33.470319548131563</v>
      </c>
      <c r="M357" s="459">
        <f t="shared" si="171"/>
        <v>33.409123945618859</v>
      </c>
      <c r="N357" s="459">
        <f t="shared" si="171"/>
        <v>33.345514003765587</v>
      </c>
    </row>
    <row r="358" spans="1:14">
      <c r="B358" s="338" t="str">
        <f t="shared" si="168"/>
        <v>30-34</v>
      </c>
      <c r="C358" s="459">
        <f t="shared" ref="C358:N358" si="172">C321+C265</f>
        <v>34.126131959062334</v>
      </c>
      <c r="D358" s="459">
        <f t="shared" si="172"/>
        <v>34.404754402540028</v>
      </c>
      <c r="E358" s="459">
        <f t="shared" si="172"/>
        <v>34.177861102336138</v>
      </c>
      <c r="F358" s="459">
        <f t="shared" si="172"/>
        <v>33.797984246593394</v>
      </c>
      <c r="G358" s="459">
        <f t="shared" si="172"/>
        <v>33.416017595702563</v>
      </c>
      <c r="H358" s="459">
        <f t="shared" si="172"/>
        <v>33.134494913085774</v>
      </c>
      <c r="I358" s="459">
        <f t="shared" si="172"/>
        <v>33.003978273971924</v>
      </c>
      <c r="J358" s="459">
        <f t="shared" si="172"/>
        <v>32.948489959701142</v>
      </c>
      <c r="K358" s="459">
        <f t="shared" si="172"/>
        <v>32.915712739417202</v>
      </c>
      <c r="L358" s="459">
        <f t="shared" si="172"/>
        <v>32.854657848067852</v>
      </c>
      <c r="M358" s="459">
        <f t="shared" si="172"/>
        <v>32.776251992799295</v>
      </c>
      <c r="N358" s="459">
        <f t="shared" si="172"/>
        <v>32.705723282939104</v>
      </c>
    </row>
    <row r="359" spans="1:14">
      <c r="B359" s="338" t="str">
        <f t="shared" si="168"/>
        <v>35-39</v>
      </c>
      <c r="C359" s="459">
        <f t="shared" ref="C359:N359" si="173">C322+C266</f>
        <v>27.564369853213982</v>
      </c>
      <c r="D359" s="459">
        <f t="shared" si="173"/>
        <v>28.783156270881253</v>
      </c>
      <c r="E359" s="459">
        <f t="shared" si="173"/>
        <v>29.638749919561526</v>
      </c>
      <c r="F359" s="459">
        <f t="shared" si="173"/>
        <v>30.185898297076697</v>
      </c>
      <c r="G359" s="459">
        <f t="shared" si="173"/>
        <v>30.491274740878652</v>
      </c>
      <c r="H359" s="459">
        <f t="shared" si="173"/>
        <v>30.656083641369424</v>
      </c>
      <c r="I359" s="459">
        <f t="shared" si="173"/>
        <v>30.763343356345036</v>
      </c>
      <c r="J359" s="459">
        <f t="shared" si="173"/>
        <v>30.806068572787396</v>
      </c>
      <c r="K359" s="459">
        <f t="shared" si="173"/>
        <v>30.794571928386535</v>
      </c>
      <c r="L359" s="459">
        <f t="shared" si="173"/>
        <v>30.72910050723851</v>
      </c>
      <c r="M359" s="459">
        <f t="shared" si="173"/>
        <v>30.642227018775543</v>
      </c>
      <c r="N359" s="459">
        <f t="shared" si="173"/>
        <v>30.56222682365571</v>
      </c>
    </row>
    <row r="360" spans="1:14">
      <c r="B360" s="338" t="str">
        <f t="shared" si="168"/>
        <v>40-44</v>
      </c>
      <c r="C360" s="459">
        <f t="shared" ref="C360:N360" si="174">C323+C267</f>
        <v>19.276820567856507</v>
      </c>
      <c r="D360" s="459">
        <f t="shared" si="174"/>
        <v>21.316749897270856</v>
      </c>
      <c r="E360" s="459">
        <f t="shared" si="174"/>
        <v>22.971239981050562</v>
      </c>
      <c r="F360" s="459">
        <f t="shared" si="174"/>
        <v>24.318108174130852</v>
      </c>
      <c r="G360" s="459">
        <f t="shared" si="174"/>
        <v>25.391742966195366</v>
      </c>
      <c r="H360" s="459">
        <f t="shared" si="174"/>
        <v>26.2511919599599</v>
      </c>
      <c r="I360" s="459">
        <f t="shared" si="174"/>
        <v>26.949993318993517</v>
      </c>
      <c r="J360" s="459">
        <f t="shared" si="174"/>
        <v>27.475952313188991</v>
      </c>
      <c r="K360" s="459">
        <f t="shared" si="174"/>
        <v>27.844302903346318</v>
      </c>
      <c r="L360" s="459">
        <f t="shared" si="174"/>
        <v>28.070194571808958</v>
      </c>
      <c r="M360" s="459">
        <f t="shared" si="174"/>
        <v>28.201151474874838</v>
      </c>
      <c r="N360" s="459">
        <f t="shared" si="174"/>
        <v>28.280364148649348</v>
      </c>
    </row>
    <row r="361" spans="1:14">
      <c r="B361" s="338" t="str">
        <f t="shared" si="168"/>
        <v>45-49</v>
      </c>
      <c r="C361" s="459">
        <f t="shared" ref="C361:N361" si="175">C324+C268</f>
        <v>17.85714955632675</v>
      </c>
      <c r="D361" s="459">
        <f t="shared" si="175"/>
        <v>18.184499033978504</v>
      </c>
      <c r="E361" s="459">
        <f t="shared" si="175"/>
        <v>18.735248156947041</v>
      </c>
      <c r="F361" s="459">
        <f t="shared" si="175"/>
        <v>19.41448050602682</v>
      </c>
      <c r="G361" s="459">
        <f t="shared" si="175"/>
        <v>20.140429554648307</v>
      </c>
      <c r="H361" s="459">
        <f t="shared" si="175"/>
        <v>20.876427211789093</v>
      </c>
      <c r="I361" s="459">
        <f t="shared" si="175"/>
        <v>21.599399838086004</v>
      </c>
      <c r="J361" s="459">
        <f t="shared" si="175"/>
        <v>22.248835643813717</v>
      </c>
      <c r="K361" s="459">
        <f t="shared" si="175"/>
        <v>22.798482748701719</v>
      </c>
      <c r="L361" s="459">
        <f t="shared" si="175"/>
        <v>23.233470949409124</v>
      </c>
      <c r="M361" s="459">
        <f t="shared" si="175"/>
        <v>23.574547051856126</v>
      </c>
      <c r="N361" s="459">
        <f t="shared" si="175"/>
        <v>23.847238756042774</v>
      </c>
    </row>
    <row r="362" spans="1:14">
      <c r="B362" s="338" t="str">
        <f t="shared" si="168"/>
        <v>50-54</v>
      </c>
      <c r="C362" s="459">
        <f t="shared" ref="C362:N362" si="176">C325+C269</f>
        <v>18.774025026055639</v>
      </c>
      <c r="D362" s="459">
        <f t="shared" si="176"/>
        <v>17.769564734980055</v>
      </c>
      <c r="E362" s="459">
        <f t="shared" si="176"/>
        <v>17.063631221268309</v>
      </c>
      <c r="F362" s="459">
        <f t="shared" si="176"/>
        <v>16.637079042675929</v>
      </c>
      <c r="G362" s="459">
        <f t="shared" si="176"/>
        <v>16.439876203314746</v>
      </c>
      <c r="H362" s="459">
        <f t="shared" si="176"/>
        <v>16.43401056526341</v>
      </c>
      <c r="I362" s="459">
        <f t="shared" si="176"/>
        <v>16.580597831001992</v>
      </c>
      <c r="J362" s="459">
        <f t="shared" si="176"/>
        <v>16.808624663189658</v>
      </c>
      <c r="K362" s="459">
        <f t="shared" si="176"/>
        <v>17.07134045150827</v>
      </c>
      <c r="L362" s="459">
        <f t="shared" si="176"/>
        <v>17.331761887357093</v>
      </c>
      <c r="M362" s="459">
        <f t="shared" si="176"/>
        <v>17.581892887775588</v>
      </c>
      <c r="N362" s="459">
        <f t="shared" si="176"/>
        <v>17.820907882354618</v>
      </c>
    </row>
    <row r="363" spans="1:14">
      <c r="B363" s="338" t="str">
        <f t="shared" si="168"/>
        <v>55-59</v>
      </c>
      <c r="C363" s="459">
        <f t="shared" ref="C363:N363" si="177">C326+C270</f>
        <v>17.053114218048425</v>
      </c>
      <c r="D363" s="459">
        <f t="shared" si="177"/>
        <v>13.888772503968205</v>
      </c>
      <c r="E363" s="459">
        <f t="shared" si="177"/>
        <v>11.798774253745089</v>
      </c>
      <c r="F363" s="459">
        <f t="shared" si="177"/>
        <v>10.418959541933475</v>
      </c>
      <c r="G363" s="459">
        <f t="shared" si="177"/>
        <v>9.5137591021200336</v>
      </c>
      <c r="H363" s="459">
        <f t="shared" si="177"/>
        <v>8.9420830753220475</v>
      </c>
      <c r="I363" s="459">
        <f t="shared" si="177"/>
        <v>8.6096630886377117</v>
      </c>
      <c r="J363" s="459">
        <f t="shared" si="177"/>
        <v>8.427216942594761</v>
      </c>
      <c r="K363" s="459">
        <f t="shared" si="177"/>
        <v>8.3403501133318194</v>
      </c>
      <c r="L363" s="459">
        <f t="shared" si="177"/>
        <v>8.3100157238844545</v>
      </c>
      <c r="M363" s="459">
        <f t="shared" si="177"/>
        <v>8.3214824029690408</v>
      </c>
      <c r="N363" s="459">
        <f t="shared" si="177"/>
        <v>8.3654718363581608</v>
      </c>
    </row>
    <row r="364" spans="1:14">
      <c r="B364" s="338" t="str">
        <f t="shared" si="168"/>
        <v>60-64</v>
      </c>
      <c r="C364" s="459">
        <f t="shared" ref="C364:N364" si="178">C327+C271</f>
        <v>6.1947383451420972</v>
      </c>
      <c r="D364" s="459">
        <f t="shared" si="178"/>
        <v>5.1950919892122434</v>
      </c>
      <c r="E364" s="459">
        <f t="shared" si="178"/>
        <v>4.3556599455826044</v>
      </c>
      <c r="F364" s="459">
        <f t="shared" si="178"/>
        <v>3.7221945965660694</v>
      </c>
      <c r="G364" s="459">
        <f t="shared" si="178"/>
        <v>3.2674006716726725</v>
      </c>
      <c r="H364" s="459">
        <f t="shared" si="178"/>
        <v>2.9557461894609069</v>
      </c>
      <c r="I364" s="459">
        <f t="shared" si="178"/>
        <v>2.752934409826127</v>
      </c>
      <c r="J364" s="459">
        <f t="shared" si="178"/>
        <v>2.6193134602723585</v>
      </c>
      <c r="K364" s="459">
        <f t="shared" si="178"/>
        <v>2.5313182664274065</v>
      </c>
      <c r="L364" s="459">
        <f t="shared" si="178"/>
        <v>2.4722299525522349</v>
      </c>
      <c r="M364" s="459">
        <f t="shared" si="178"/>
        <v>2.4369002418169474</v>
      </c>
      <c r="N364" s="459">
        <f t="shared" si="178"/>
        <v>2.4216595878748763</v>
      </c>
    </row>
    <row r="365" spans="1:14">
      <c r="B365" s="338" t="str">
        <f t="shared" si="168"/>
        <v>65 plus</v>
      </c>
      <c r="C365" s="459">
        <f t="shared" ref="C365:N365" si="179">C328+C272</f>
        <v>3.4875989175476274</v>
      </c>
      <c r="D365" s="459">
        <f t="shared" si="179"/>
        <v>2.444224040177069</v>
      </c>
      <c r="E365" s="459">
        <f t="shared" si="179"/>
        <v>1.8226517408257963</v>
      </c>
      <c r="F365" s="459">
        <f t="shared" si="179"/>
        <v>1.4287346151074045</v>
      </c>
      <c r="G365" s="459">
        <f t="shared" si="179"/>
        <v>1.1689391981423134</v>
      </c>
      <c r="H365" s="459">
        <f t="shared" si="179"/>
        <v>0.99511793895985301</v>
      </c>
      <c r="I365" s="459">
        <f t="shared" si="179"/>
        <v>0.87938882362518167</v>
      </c>
      <c r="J365" s="459">
        <f t="shared" si="179"/>
        <v>0.80122466227872957</v>
      </c>
      <c r="K365" s="459">
        <f t="shared" si="179"/>
        <v>0.74772925414566893</v>
      </c>
      <c r="L365" s="459">
        <f t="shared" si="179"/>
        <v>0.71024990753174444</v>
      </c>
      <c r="M365" s="459">
        <f t="shared" si="179"/>
        <v>0.68459150158028181</v>
      </c>
      <c r="N365" s="459">
        <f t="shared" si="179"/>
        <v>0.66825710392808568</v>
      </c>
    </row>
    <row r="366" spans="1:14">
      <c r="B366" s="338" t="str">
        <f t="shared" si="168"/>
        <v>Total</v>
      </c>
      <c r="C366" s="459">
        <f t="shared" ref="C366:N366" si="180">SUM(C356:C365)</f>
        <v>190.38795002135234</v>
      </c>
      <c r="D366" s="459">
        <f t="shared" si="180"/>
        <v>189.57244354868908</v>
      </c>
      <c r="E366" s="459">
        <f t="shared" si="180"/>
        <v>189.30770890054143</v>
      </c>
      <c r="F366" s="459">
        <f t="shared" si="180"/>
        <v>189.63798528345839</v>
      </c>
      <c r="G366" s="459">
        <f t="shared" si="180"/>
        <v>190.33062009522868</v>
      </c>
      <c r="H366" s="459">
        <f t="shared" si="180"/>
        <v>191.52794523822129</v>
      </c>
      <c r="I366" s="459">
        <f t="shared" si="180"/>
        <v>193.31192357082321</v>
      </c>
      <c r="J366" s="459">
        <f t="shared" si="180"/>
        <v>194.98376494362375</v>
      </c>
      <c r="K366" s="459">
        <f t="shared" si="180"/>
        <v>196.26391351993701</v>
      </c>
      <c r="L366" s="459">
        <f t="shared" si="180"/>
        <v>196.94913844987872</v>
      </c>
      <c r="M366" s="459">
        <f t="shared" si="180"/>
        <v>197.31482486018362</v>
      </c>
      <c r="N366" s="459">
        <f t="shared" si="180"/>
        <v>197.64159355636036</v>
      </c>
    </row>
    <row r="367" spans="1:14">
      <c r="A367" s="309">
        <f>SUM(C367:N367)</f>
        <v>0</v>
      </c>
      <c r="C367" s="309">
        <f t="shared" ref="C367:N367" si="181">SUM(C356:C365)-C366</f>
        <v>0</v>
      </c>
      <c r="D367" s="309">
        <f t="shared" si="181"/>
        <v>0</v>
      </c>
      <c r="E367" s="309">
        <f t="shared" si="181"/>
        <v>0</v>
      </c>
      <c r="F367" s="309">
        <f t="shared" si="181"/>
        <v>0</v>
      </c>
      <c r="G367" s="309">
        <f t="shared" si="181"/>
        <v>0</v>
      </c>
      <c r="H367" s="309">
        <f t="shared" si="181"/>
        <v>0</v>
      </c>
      <c r="I367" s="309">
        <f t="shared" si="181"/>
        <v>0</v>
      </c>
      <c r="J367" s="309">
        <f t="shared" si="181"/>
        <v>0</v>
      </c>
      <c r="K367" s="309">
        <f t="shared" si="181"/>
        <v>0</v>
      </c>
      <c r="L367" s="309">
        <f t="shared" si="181"/>
        <v>0</v>
      </c>
      <c r="M367" s="309">
        <f t="shared" si="181"/>
        <v>0</v>
      </c>
      <c r="N367" s="309">
        <f t="shared" si="181"/>
        <v>0</v>
      </c>
    </row>
    <row r="368" spans="1:14">
      <c r="C368" s="329">
        <f>C350+C366</f>
        <v>318.24964480117319</v>
      </c>
      <c r="D368" s="329">
        <f t="shared" ref="D368:N368" si="182">D350+D366</f>
        <v>316.66378192264301</v>
      </c>
      <c r="E368" s="329">
        <f t="shared" si="182"/>
        <v>316.1753957558218</v>
      </c>
      <c r="F368" s="329">
        <f t="shared" si="182"/>
        <v>316.8320077141023</v>
      </c>
      <c r="G368" s="329">
        <f t="shared" si="182"/>
        <v>318.22126343422781</v>
      </c>
      <c r="H368" s="329">
        <f t="shared" si="182"/>
        <v>320.55922029487579</v>
      </c>
      <c r="I368" s="329">
        <f t="shared" si="182"/>
        <v>323.9615218164621</v>
      </c>
      <c r="J368" s="329">
        <f t="shared" si="182"/>
        <v>327.23843536550851</v>
      </c>
      <c r="K368" s="329">
        <f t="shared" si="182"/>
        <v>329.9037008362418</v>
      </c>
      <c r="L368" s="329">
        <f t="shared" si="182"/>
        <v>331.60054560560559</v>
      </c>
      <c r="M368" s="329">
        <f t="shared" si="182"/>
        <v>332.77509243618636</v>
      </c>
      <c r="N368" s="329">
        <f t="shared" si="182"/>
        <v>333.88423337973052</v>
      </c>
    </row>
    <row r="369" spans="1:14">
      <c r="C369" s="329">
        <f>C36</f>
        <v>318.24964480117319</v>
      </c>
      <c r="D369" s="329">
        <f t="shared" ref="D369:N369" si="183">D36</f>
        <v>316.66378192264295</v>
      </c>
      <c r="E369" s="329">
        <f t="shared" si="183"/>
        <v>316.17539575582185</v>
      </c>
      <c r="F369" s="329">
        <f t="shared" si="183"/>
        <v>316.8320077141023</v>
      </c>
      <c r="G369" s="329">
        <f t="shared" si="183"/>
        <v>318.22126343422786</v>
      </c>
      <c r="H369" s="329">
        <f t="shared" si="183"/>
        <v>320.55922029487579</v>
      </c>
      <c r="I369" s="329">
        <f t="shared" si="183"/>
        <v>323.9615218164621</v>
      </c>
      <c r="J369" s="329">
        <f t="shared" si="183"/>
        <v>327.23843536550851</v>
      </c>
      <c r="K369" s="329">
        <f t="shared" si="183"/>
        <v>329.9037008362418</v>
      </c>
      <c r="L369" s="329">
        <f t="shared" si="183"/>
        <v>331.60054560560565</v>
      </c>
      <c r="M369" s="329">
        <f t="shared" si="183"/>
        <v>332.77509243618636</v>
      </c>
      <c r="N369" s="329">
        <f t="shared" si="183"/>
        <v>333.88423337973057</v>
      </c>
    </row>
    <row r="370" spans="1:14">
      <c r="A370" s="309">
        <f>SUM(C370:L370)</f>
        <v>0</v>
      </c>
      <c r="C370" s="329">
        <f>C368-C369</f>
        <v>0</v>
      </c>
      <c r="D370" s="329">
        <f t="shared" ref="D370:N370" si="184">D368-D369</f>
        <v>0</v>
      </c>
      <c r="E370" s="329">
        <f t="shared" si="184"/>
        <v>0</v>
      </c>
      <c r="F370" s="329">
        <f t="shared" si="184"/>
        <v>0</v>
      </c>
      <c r="G370" s="329">
        <f t="shared" si="184"/>
        <v>0</v>
      </c>
      <c r="H370" s="329">
        <f t="shared" si="184"/>
        <v>0</v>
      </c>
      <c r="I370" s="329">
        <f t="shared" si="184"/>
        <v>0</v>
      </c>
      <c r="J370" s="329">
        <f t="shared" si="184"/>
        <v>0</v>
      </c>
      <c r="K370" s="329">
        <f t="shared" si="184"/>
        <v>0</v>
      </c>
      <c r="L370" s="329">
        <f t="shared" si="184"/>
        <v>0</v>
      </c>
      <c r="M370" s="329">
        <f t="shared" si="184"/>
        <v>0</v>
      </c>
      <c r="N370" s="329">
        <f t="shared" si="184"/>
        <v>0</v>
      </c>
    </row>
    <row r="371" spans="1:14">
      <c r="A371" s="309">
        <f>SUM(C371:L371)</f>
        <v>0</v>
      </c>
      <c r="C371" s="329">
        <f>IF(C294&gt;0,0,C294)</f>
        <v>0</v>
      </c>
      <c r="D371" s="329">
        <f t="shared" ref="D371:N371" si="185">IF(D294&gt;0,0,D294)</f>
        <v>0</v>
      </c>
      <c r="E371" s="329">
        <f t="shared" si="185"/>
        <v>0</v>
      </c>
      <c r="F371" s="329">
        <f t="shared" si="185"/>
        <v>0</v>
      </c>
      <c r="G371" s="329">
        <f t="shared" si="185"/>
        <v>0</v>
      </c>
      <c r="H371" s="329">
        <f t="shared" si="185"/>
        <v>0</v>
      </c>
      <c r="I371" s="329">
        <f t="shared" si="185"/>
        <v>0</v>
      </c>
      <c r="J371" s="329">
        <f t="shared" si="185"/>
        <v>0</v>
      </c>
      <c r="K371" s="329">
        <f t="shared" si="185"/>
        <v>0</v>
      </c>
      <c r="L371" s="329">
        <f t="shared" si="185"/>
        <v>0</v>
      </c>
      <c r="M371" s="329">
        <f t="shared" si="185"/>
        <v>0</v>
      </c>
      <c r="N371" s="329">
        <f t="shared" si="185"/>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0000"/>
  </sheetPr>
  <dimension ref="A1:Q371"/>
  <sheetViews>
    <sheetView showGridLines="0" workbookViewId="0"/>
  </sheetViews>
  <sheetFormatPr defaultColWidth="9.140625" defaultRowHeight="12.75"/>
  <cols>
    <col min="1" max="1" width="9.140625" style="309"/>
    <col min="2" max="2" width="28.7109375" style="309" customWidth="1"/>
    <col min="3" max="3" width="9.5703125" style="309" customWidth="1"/>
    <col min="4" max="4" width="9.85546875" style="309" customWidth="1"/>
    <col min="5" max="5" width="9" style="309" customWidth="1"/>
    <col min="6" max="6" width="9.28515625" style="309" customWidth="1"/>
    <col min="7" max="7" width="8.7109375" style="309" customWidth="1"/>
    <col min="8" max="8" width="9.28515625" style="309" customWidth="1"/>
    <col min="9" max="9" width="8.5703125" style="309" customWidth="1"/>
    <col min="10" max="10" width="9.28515625" style="309" customWidth="1"/>
    <col min="11" max="11" width="9.140625" style="309" customWidth="1"/>
    <col min="12" max="13" width="9.140625" style="309"/>
    <col min="14" max="14" width="8.855468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1692</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ht="13.5" customHeigh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Forecast_stock_figures!B21</f>
        <v>Computing</v>
      </c>
      <c r="C15" s="307">
        <f>Forecast_stock_figures!C45</f>
        <v>7632.3179395789621</v>
      </c>
      <c r="D15" s="307">
        <f>Forecast_stock_figures!D45</f>
        <v>7510.2346856737895</v>
      </c>
      <c r="E15" s="307">
        <f>Forecast_stock_figures!E45</f>
        <v>7534.6411432498553</v>
      </c>
      <c r="F15" s="307">
        <f>Forecast_stock_figures!F45</f>
        <v>7318.2295859772075</v>
      </c>
      <c r="G15" s="307">
        <f>Forecast_stock_figures!G45</f>
        <v>7103.8364078234217</v>
      </c>
      <c r="H15" s="307">
        <f>Forecast_stock_figures!H45</f>
        <v>7103.7888064980007</v>
      </c>
      <c r="I15" s="307">
        <f>Forecast_stock_figures!I45</f>
        <v>7160.731983145397</v>
      </c>
      <c r="J15" s="307">
        <f>Forecast_stock_figures!J45</f>
        <v>7223.7313653134643</v>
      </c>
      <c r="K15" s="307">
        <f>Forecast_stock_figures!K45</f>
        <v>7285.2061506055279</v>
      </c>
      <c r="L15" s="307">
        <f>Forecast_stock_figures!L45</f>
        <v>7313.0393557838233</v>
      </c>
      <c r="M15" s="307">
        <f>Forecast_stock_figures!M45</f>
        <v>7318.6843950857137</v>
      </c>
      <c r="N15" s="307">
        <f>Forecast_stock_figures!N45</f>
        <v>7311.6741857708776</v>
      </c>
    </row>
    <row r="17" spans="1:9" ht="15.75">
      <c r="B17" s="340" t="s">
        <v>149</v>
      </c>
    </row>
    <row r="19" spans="1:9">
      <c r="B19" s="1243" t="str">
        <f>Stock_ages_breakdowns!B73</f>
        <v>Age group</v>
      </c>
      <c r="C19" s="1244" t="str">
        <f>Stock_ages_breakdowns!M73</f>
        <v>Computing</v>
      </c>
      <c r="D19" s="1245"/>
      <c r="H19" s="325" t="s">
        <v>120</v>
      </c>
    </row>
    <row r="20" spans="1:9">
      <c r="B20" s="1243"/>
      <c r="C20" s="363" t="str">
        <f>Stock_ages_breakdowns!M74</f>
        <v>Male</v>
      </c>
      <c r="D20" s="363" t="str">
        <f>Stock_ages_breakdowns!N74</f>
        <v>Female</v>
      </c>
    </row>
    <row r="21" spans="1:9">
      <c r="B21" s="363" t="str">
        <f>Stock_ages_breakdowns!B75</f>
        <v>20-24</v>
      </c>
      <c r="C21" s="331">
        <f>Stock_ages_breakdowns!M20</f>
        <v>121.14408373249928</v>
      </c>
      <c r="D21" s="331">
        <f>Stock_ages_breakdowns!N20</f>
        <v>101.68122161593789</v>
      </c>
    </row>
    <row r="22" spans="1:9">
      <c r="B22" s="363" t="str">
        <f>Stock_ages_breakdowns!B76</f>
        <v>25-29</v>
      </c>
      <c r="C22" s="331">
        <f>Stock_ages_breakdowns!M21</f>
        <v>513.1694663298689</v>
      </c>
      <c r="D22" s="331">
        <f>Stock_ages_breakdowns!N21</f>
        <v>380.10100925032708</v>
      </c>
    </row>
    <row r="23" spans="1:9">
      <c r="B23" s="363" t="str">
        <f>Stock_ages_breakdowns!B77</f>
        <v>30-34</v>
      </c>
      <c r="C23" s="331">
        <f>Stock_ages_breakdowns!M22</f>
        <v>958.27483727735171</v>
      </c>
      <c r="D23" s="331">
        <f>Stock_ages_breakdowns!N22</f>
        <v>561.85458263406179</v>
      </c>
    </row>
    <row r="24" spans="1:9">
      <c r="B24" s="363" t="str">
        <f>Stock_ages_breakdowns!B78</f>
        <v>35-39</v>
      </c>
      <c r="C24" s="331">
        <f>Stock_ages_breakdowns!M23</f>
        <v>849.61634436288045</v>
      </c>
      <c r="D24" s="331">
        <f>Stock_ages_breakdowns!N23</f>
        <v>566.15858138841668</v>
      </c>
    </row>
    <row r="25" spans="1:9">
      <c r="B25" s="363" t="str">
        <f>Stock_ages_breakdowns!B79</f>
        <v>40-44</v>
      </c>
      <c r="C25" s="331">
        <f>Stock_ages_breakdowns!M24</f>
        <v>697.76208111931851</v>
      </c>
      <c r="D25" s="331">
        <f>Stock_ages_breakdowns!N24</f>
        <v>494.03414750598239</v>
      </c>
    </row>
    <row r="26" spans="1:9">
      <c r="B26" s="363" t="str">
        <f>Stock_ages_breakdowns!B80</f>
        <v>45-49</v>
      </c>
      <c r="C26" s="331">
        <f>Stock_ages_breakdowns!M25</f>
        <v>592.10739986449926</v>
      </c>
      <c r="D26" s="331">
        <f>Stock_ages_breakdowns!N25</f>
        <v>397.23911287497702</v>
      </c>
    </row>
    <row r="27" spans="1:9">
      <c r="B27" s="363" t="str">
        <f>Stock_ages_breakdowns!B81</f>
        <v>50-54</v>
      </c>
      <c r="C27" s="331">
        <f>Stock_ages_breakdowns!M26</f>
        <v>442.37817359292507</v>
      </c>
      <c r="D27" s="331">
        <f>Stock_ages_breakdowns!N26</f>
        <v>334.61343448011223</v>
      </c>
    </row>
    <row r="28" spans="1:9">
      <c r="B28" s="363" t="str">
        <f>Stock_ages_breakdowns!B82</f>
        <v>55-59</v>
      </c>
      <c r="C28" s="331">
        <f>Stock_ages_breakdowns!M27</f>
        <v>287.68986198164623</v>
      </c>
      <c r="D28" s="331">
        <f>Stock_ages_breakdowns!N27</f>
        <v>189.49278228077671</v>
      </c>
    </row>
    <row r="29" spans="1:9">
      <c r="B29" s="363" t="str">
        <f>Stock_ages_breakdowns!B83</f>
        <v>60-64</v>
      </c>
      <c r="C29" s="331">
        <f>Stock_ages_breakdowns!M28</f>
        <v>75.651515924286343</v>
      </c>
      <c r="D29" s="331">
        <f>Stock_ages_breakdowns!N28</f>
        <v>54.732501156734898</v>
      </c>
      <c r="F29" s="325"/>
    </row>
    <row r="30" spans="1:9">
      <c r="B30" s="363" t="str">
        <f>Stock_ages_breakdowns!B84</f>
        <v>65 plus</v>
      </c>
      <c r="C30" s="331">
        <f>Stock_ages_breakdowns!M29</f>
        <v>8.9135714341932726</v>
      </c>
      <c r="D30" s="331">
        <f>Stock_ages_breakdowns!N29</f>
        <v>5.7032307721668403</v>
      </c>
      <c r="G30" s="326" t="s">
        <v>49</v>
      </c>
      <c r="H30" s="326" t="s">
        <v>50</v>
      </c>
    </row>
    <row r="31" spans="1:9">
      <c r="A31" s="309">
        <f>I31</f>
        <v>0</v>
      </c>
      <c r="B31" s="363" t="str">
        <f>Stock_ages_breakdowns!B85</f>
        <v>Total</v>
      </c>
      <c r="C31" s="331">
        <f>Stock_ages_breakdowns!M30</f>
        <v>4546.7073356194687</v>
      </c>
      <c r="D31" s="331">
        <f>Stock_ages_breakdowns!N30</f>
        <v>3085.6106039594933</v>
      </c>
      <c r="E31" s="327">
        <f>SUM(C31:D31)</f>
        <v>7632.3179395789621</v>
      </c>
      <c r="G31" s="366">
        <f>C31/$E$31</f>
        <v>0.59571775856474452</v>
      </c>
      <c r="H31" s="366">
        <f>D31/$E$31</f>
        <v>0.40428224143525543</v>
      </c>
      <c r="I31" s="309">
        <f>(G31+H31)-1</f>
        <v>0</v>
      </c>
    </row>
    <row r="33" spans="2:15" ht="15.75">
      <c r="B33" s="340" t="s">
        <v>262</v>
      </c>
      <c r="H33" s="325"/>
    </row>
    <row r="34" spans="2:15">
      <c r="H34" s="325"/>
    </row>
    <row r="35" spans="2:15">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5">
      <c r="B36" s="326" t="str">
        <f>B15</f>
        <v>Computing</v>
      </c>
      <c r="C36" s="307">
        <f>Teacher_need_by_subject!C625</f>
        <v>7510.2346856737895</v>
      </c>
      <c r="D36" s="307">
        <f>Teacher_need_by_subject!D625</f>
        <v>7534.6411432498553</v>
      </c>
      <c r="E36" s="307">
        <f>Teacher_need_by_subject!E625</f>
        <v>7318.2295859772075</v>
      </c>
      <c r="F36" s="307">
        <f>Teacher_need_by_subject!F625</f>
        <v>7103.8364078234217</v>
      </c>
      <c r="G36" s="307">
        <f>Teacher_need_by_subject!G625</f>
        <v>7103.7888064980007</v>
      </c>
      <c r="H36" s="307">
        <f>Teacher_need_by_subject!H625</f>
        <v>7160.731983145397</v>
      </c>
      <c r="I36" s="307">
        <f>Teacher_need_by_subject!I625</f>
        <v>7223.7313653134643</v>
      </c>
      <c r="J36" s="307">
        <f>Teacher_need_by_subject!J625</f>
        <v>7285.2061506055279</v>
      </c>
      <c r="K36" s="307">
        <f>Teacher_need_by_subject!K625</f>
        <v>7313.0393557838233</v>
      </c>
      <c r="L36" s="307">
        <f>Teacher_need_by_subject!L625</f>
        <v>7318.6843950857137</v>
      </c>
      <c r="M36" s="307">
        <f>Teacher_need_by_subject!M625</f>
        <v>7311.6741857708776</v>
      </c>
      <c r="N36" s="307">
        <f>Teacher_need_by_subject!N625</f>
        <v>7309.9188689425937</v>
      </c>
    </row>
    <row r="37" spans="2:15">
      <c r="H37" s="325"/>
    </row>
    <row r="38" spans="2:15" ht="15.75">
      <c r="B38" s="340" t="s">
        <v>157</v>
      </c>
      <c r="H38" s="325"/>
    </row>
    <row r="39" spans="2:15">
      <c r="H39" s="325"/>
    </row>
    <row r="40" spans="2:15">
      <c r="B40" s="341" t="s">
        <v>49</v>
      </c>
      <c r="H40" s="325"/>
    </row>
    <row r="41" spans="2:15">
      <c r="H41" s="325"/>
    </row>
    <row r="42" spans="2:15">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5">
      <c r="B43" s="363" t="str">
        <f>B21</f>
        <v>20-24</v>
      </c>
      <c r="C43" s="307">
        <f>C21</f>
        <v>121.14408373249928</v>
      </c>
      <c r="D43" s="307">
        <f>C340</f>
        <v>192.19531606983466</v>
      </c>
      <c r="E43" s="307">
        <f t="shared" ref="E43:L43" si="2">D340</f>
        <v>261.60500740375483</v>
      </c>
      <c r="F43" s="307">
        <f t="shared" si="2"/>
        <v>272.74589214010848</v>
      </c>
      <c r="G43" s="307">
        <f t="shared" si="2"/>
        <v>276.8960375488781</v>
      </c>
      <c r="H43" s="307">
        <f t="shared" si="2"/>
        <v>309.04917354534768</v>
      </c>
      <c r="I43" s="307">
        <f t="shared" si="2"/>
        <v>340.12173235796905</v>
      </c>
      <c r="J43" s="307">
        <f t="shared" si="2"/>
        <v>363.59588065014248</v>
      </c>
      <c r="K43" s="307">
        <f t="shared" si="2"/>
        <v>380.73373279401358</v>
      </c>
      <c r="L43" s="307">
        <f t="shared" si="2"/>
        <v>388.49686083714596</v>
      </c>
      <c r="M43" s="307">
        <f>L340</f>
        <v>390.93608013371988</v>
      </c>
      <c r="N43" s="307">
        <f>M340</f>
        <v>390.75949665046977</v>
      </c>
      <c r="O43" s="327"/>
    </row>
    <row r="44" spans="2:15">
      <c r="B44" s="363" t="str">
        <f t="shared" ref="B44:C53" si="3">B22</f>
        <v>25-29</v>
      </c>
      <c r="C44" s="307">
        <f t="shared" si="3"/>
        <v>513.1694663298689</v>
      </c>
      <c r="D44" s="307">
        <f t="shared" ref="D44:L53" si="4">C341</f>
        <v>501.69870521457665</v>
      </c>
      <c r="E44" s="307">
        <f t="shared" si="4"/>
        <v>527.54051880626002</v>
      </c>
      <c r="F44" s="307">
        <f t="shared" si="4"/>
        <v>520.71002783485972</v>
      </c>
      <c r="G44" s="307">
        <f t="shared" si="4"/>
        <v>514.19855258996893</v>
      </c>
      <c r="H44" s="307">
        <f t="shared" si="4"/>
        <v>540.58082132698587</v>
      </c>
      <c r="I44" s="307">
        <f t="shared" si="4"/>
        <v>574.52318307386759</v>
      </c>
      <c r="J44" s="307">
        <f t="shared" si="4"/>
        <v>606.59339774225532</v>
      </c>
      <c r="K44" s="307">
        <f t="shared" si="4"/>
        <v>634.80561592807453</v>
      </c>
      <c r="L44" s="307">
        <f t="shared" si="4"/>
        <v>653.92690070211324</v>
      </c>
      <c r="M44" s="307">
        <f t="shared" ref="M44:M53" si="5">L341</f>
        <v>666.0133486121664</v>
      </c>
      <c r="N44" s="307">
        <f t="shared" ref="N44:N53" si="6">M341</f>
        <v>673.18633241698092</v>
      </c>
      <c r="O44" s="327"/>
    </row>
    <row r="45" spans="2:15">
      <c r="B45" s="363" t="str">
        <f t="shared" si="3"/>
        <v>30-34</v>
      </c>
      <c r="C45" s="307">
        <f t="shared" si="3"/>
        <v>958.27483727735171</v>
      </c>
      <c r="D45" s="307">
        <f t="shared" si="4"/>
        <v>861.3727694400884</v>
      </c>
      <c r="E45" s="307">
        <f t="shared" si="4"/>
        <v>798.0123092866553</v>
      </c>
      <c r="F45" s="307">
        <f t="shared" si="4"/>
        <v>737.09860538360419</v>
      </c>
      <c r="G45" s="307">
        <f t="shared" si="4"/>
        <v>688.88608816065914</v>
      </c>
      <c r="H45" s="307">
        <f t="shared" si="4"/>
        <v>666.98383951436631</v>
      </c>
      <c r="I45" s="307">
        <f t="shared" si="4"/>
        <v>660.25817703936923</v>
      </c>
      <c r="J45" s="307">
        <f t="shared" si="4"/>
        <v>662.66354752083362</v>
      </c>
      <c r="K45" s="307">
        <f t="shared" si="4"/>
        <v>670.91516265129712</v>
      </c>
      <c r="L45" s="307">
        <f t="shared" si="4"/>
        <v>680.20595099484217</v>
      </c>
      <c r="M45" s="307">
        <f t="shared" si="5"/>
        <v>689.15277342179922</v>
      </c>
      <c r="N45" s="307">
        <f t="shared" si="6"/>
        <v>697.07417759491727</v>
      </c>
      <c r="O45" s="327"/>
    </row>
    <row r="46" spans="2:15">
      <c r="B46" s="363" t="str">
        <f t="shared" si="3"/>
        <v>35-39</v>
      </c>
      <c r="C46" s="307">
        <f t="shared" si="3"/>
        <v>849.61634436288045</v>
      </c>
      <c r="D46" s="307">
        <f t="shared" si="4"/>
        <v>846.95618235666961</v>
      </c>
      <c r="E46" s="307">
        <f t="shared" si="4"/>
        <v>834.60587655178085</v>
      </c>
      <c r="F46" s="307">
        <f t="shared" si="4"/>
        <v>800.33133677209003</v>
      </c>
      <c r="G46" s="307">
        <f t="shared" si="4"/>
        <v>762.3724109913727</v>
      </c>
      <c r="H46" s="307">
        <f t="shared" si="4"/>
        <v>736.06675922457691</v>
      </c>
      <c r="I46" s="307">
        <f t="shared" si="4"/>
        <v>715.82177342320097</v>
      </c>
      <c r="J46" s="307">
        <f t="shared" si="4"/>
        <v>700.363342317209</v>
      </c>
      <c r="K46" s="307">
        <f t="shared" si="4"/>
        <v>689.73155015137479</v>
      </c>
      <c r="L46" s="307">
        <f t="shared" si="4"/>
        <v>681.91554536905483</v>
      </c>
      <c r="M46" s="307">
        <f t="shared" si="5"/>
        <v>676.7857787328486</v>
      </c>
      <c r="N46" s="307">
        <f t="shared" si="6"/>
        <v>673.96347760209051</v>
      </c>
      <c r="O46" s="327"/>
    </row>
    <row r="47" spans="2:15">
      <c r="B47" s="363" t="str">
        <f t="shared" si="3"/>
        <v>40-44</v>
      </c>
      <c r="C47" s="307">
        <f t="shared" si="3"/>
        <v>697.76208111931851</v>
      </c>
      <c r="D47" s="307">
        <f t="shared" si="4"/>
        <v>710.06470201179559</v>
      </c>
      <c r="E47" s="307">
        <f t="shared" si="4"/>
        <v>725.2756379320615</v>
      </c>
      <c r="F47" s="307">
        <f t="shared" si="4"/>
        <v>722.63850714098965</v>
      </c>
      <c r="G47" s="307">
        <f t="shared" si="4"/>
        <v>713.20966181612175</v>
      </c>
      <c r="H47" s="307">
        <f t="shared" si="4"/>
        <v>708.51049596600797</v>
      </c>
      <c r="I47" s="307">
        <f t="shared" si="4"/>
        <v>703.01263028309165</v>
      </c>
      <c r="J47" s="307">
        <f t="shared" si="4"/>
        <v>695.861464716314</v>
      </c>
      <c r="K47" s="307">
        <f t="shared" si="4"/>
        <v>688.01443415947551</v>
      </c>
      <c r="L47" s="307">
        <f t="shared" si="4"/>
        <v>678.94508917782412</v>
      </c>
      <c r="M47" s="307">
        <f t="shared" si="5"/>
        <v>669.84524018478874</v>
      </c>
      <c r="N47" s="307">
        <f t="shared" si="6"/>
        <v>661.55203566959051</v>
      </c>
      <c r="O47" s="327"/>
    </row>
    <row r="48" spans="2:15">
      <c r="B48" s="363" t="str">
        <f t="shared" si="3"/>
        <v>45-49</v>
      </c>
      <c r="C48" s="307">
        <f t="shared" si="3"/>
        <v>592.10739986449926</v>
      </c>
      <c r="D48" s="307">
        <f t="shared" si="4"/>
        <v>587.2345583961901</v>
      </c>
      <c r="E48" s="307">
        <f t="shared" si="4"/>
        <v>591.15555140238405</v>
      </c>
      <c r="F48" s="307">
        <f t="shared" si="4"/>
        <v>587.53753185848279</v>
      </c>
      <c r="G48" s="307">
        <f t="shared" si="4"/>
        <v>583.52823911304847</v>
      </c>
      <c r="H48" s="307">
        <f t="shared" si="4"/>
        <v>586.31126326948117</v>
      </c>
      <c r="I48" s="307">
        <f t="shared" si="4"/>
        <v>589.76774285258603</v>
      </c>
      <c r="J48" s="307">
        <f t="shared" si="4"/>
        <v>591.83145930377134</v>
      </c>
      <c r="K48" s="307">
        <f t="shared" si="4"/>
        <v>592.29260779853473</v>
      </c>
      <c r="L48" s="307">
        <f t="shared" si="4"/>
        <v>590.18263384809609</v>
      </c>
      <c r="M48" s="307">
        <f t="shared" si="5"/>
        <v>586.25442747700174</v>
      </c>
      <c r="N48" s="307">
        <f t="shared" si="6"/>
        <v>581.25672009410914</v>
      </c>
      <c r="O48" s="327"/>
    </row>
    <row r="49" spans="1:15">
      <c r="B49" s="363" t="str">
        <f t="shared" si="3"/>
        <v>50-54</v>
      </c>
      <c r="C49" s="307">
        <f t="shared" si="3"/>
        <v>442.37817359292507</v>
      </c>
      <c r="D49" s="307">
        <f t="shared" si="4"/>
        <v>440.41246279995852</v>
      </c>
      <c r="E49" s="307">
        <f t="shared" si="4"/>
        <v>441.97456601169858</v>
      </c>
      <c r="F49" s="307">
        <f t="shared" si="4"/>
        <v>437.01257794114127</v>
      </c>
      <c r="G49" s="307">
        <f t="shared" si="4"/>
        <v>432.18869599424517</v>
      </c>
      <c r="H49" s="307">
        <f t="shared" si="4"/>
        <v>433.47797309258169</v>
      </c>
      <c r="I49" s="307">
        <f t="shared" si="4"/>
        <v>436.56039758765581</v>
      </c>
      <c r="J49" s="307">
        <f t="shared" si="4"/>
        <v>439.76695284180823</v>
      </c>
      <c r="K49" s="307">
        <f t="shared" si="4"/>
        <v>442.60621136875454</v>
      </c>
      <c r="L49" s="307">
        <f t="shared" si="4"/>
        <v>443.96678712027767</v>
      </c>
      <c r="M49" s="307">
        <f t="shared" si="5"/>
        <v>444.02366664517893</v>
      </c>
      <c r="N49" s="307">
        <f t="shared" si="6"/>
        <v>443.02188853308604</v>
      </c>
      <c r="O49" s="327"/>
    </row>
    <row r="50" spans="1:15">
      <c r="B50" s="363" t="str">
        <f t="shared" si="3"/>
        <v>55-59</v>
      </c>
      <c r="C50" s="307">
        <f t="shared" si="3"/>
        <v>287.68986198164623</v>
      </c>
      <c r="D50" s="307">
        <f t="shared" si="4"/>
        <v>250.5750600595824</v>
      </c>
      <c r="E50" s="307">
        <f t="shared" si="4"/>
        <v>230.82204489196045</v>
      </c>
      <c r="F50" s="307">
        <f t="shared" si="4"/>
        <v>214.69973892426944</v>
      </c>
      <c r="G50" s="307">
        <f t="shared" si="4"/>
        <v>203.93478774925279</v>
      </c>
      <c r="H50" s="307">
        <f t="shared" si="4"/>
        <v>200.51810291153464</v>
      </c>
      <c r="I50" s="307">
        <f t="shared" si="4"/>
        <v>199.81507253959336</v>
      </c>
      <c r="J50" s="307">
        <f t="shared" si="4"/>
        <v>200.12610165496801</v>
      </c>
      <c r="K50" s="307">
        <f t="shared" si="4"/>
        <v>200.91700475671763</v>
      </c>
      <c r="L50" s="307">
        <f t="shared" si="4"/>
        <v>201.30400134172166</v>
      </c>
      <c r="M50" s="307">
        <f t="shared" si="5"/>
        <v>201.37139812468982</v>
      </c>
      <c r="N50" s="307">
        <f t="shared" si="6"/>
        <v>201.1861706579281</v>
      </c>
      <c r="O50" s="327"/>
    </row>
    <row r="51" spans="1:15">
      <c r="B51" s="363" t="str">
        <f t="shared" si="3"/>
        <v>60-64</v>
      </c>
      <c r="C51" s="307">
        <f t="shared" si="3"/>
        <v>75.651515924286343</v>
      </c>
      <c r="D51" s="307">
        <f t="shared" si="4"/>
        <v>78.098180404360335</v>
      </c>
      <c r="E51" s="307">
        <f t="shared" si="4"/>
        <v>76.070499832979195</v>
      </c>
      <c r="F51" s="307">
        <f t="shared" si="4"/>
        <v>70.44541478827459</v>
      </c>
      <c r="G51" s="307">
        <f t="shared" si="4"/>
        <v>65.560343752161884</v>
      </c>
      <c r="H51" s="307">
        <f t="shared" si="4"/>
        <v>63.708596532934195</v>
      </c>
      <c r="I51" s="307">
        <f t="shared" si="4"/>
        <v>62.956676744115057</v>
      </c>
      <c r="J51" s="307">
        <f t="shared" si="4"/>
        <v>62.640703502662682</v>
      </c>
      <c r="K51" s="307">
        <f t="shared" si="4"/>
        <v>62.588840415659483</v>
      </c>
      <c r="L51" s="307">
        <f t="shared" si="4"/>
        <v>62.412020101512944</v>
      </c>
      <c r="M51" s="307">
        <f t="shared" si="5"/>
        <v>62.194654466850466</v>
      </c>
      <c r="N51" s="307">
        <f t="shared" si="6"/>
        <v>61.983266725320568</v>
      </c>
      <c r="O51" s="327"/>
    </row>
    <row r="52" spans="1:15">
      <c r="B52" s="363" t="str">
        <f t="shared" si="3"/>
        <v>65 plus</v>
      </c>
      <c r="C52" s="307">
        <f t="shared" si="3"/>
        <v>8.9135714341932726</v>
      </c>
      <c r="D52" s="307">
        <f t="shared" si="4"/>
        <v>14.717214354792279</v>
      </c>
      <c r="E52" s="307">
        <f t="shared" si="4"/>
        <v>18.446626872053439</v>
      </c>
      <c r="F52" s="307">
        <f t="shared" si="4"/>
        <v>19.681418940092467</v>
      </c>
      <c r="G52" s="307">
        <f t="shared" si="4"/>
        <v>19.686664090179281</v>
      </c>
      <c r="H52" s="307">
        <f t="shared" si="4"/>
        <v>19.614555781810687</v>
      </c>
      <c r="I52" s="307">
        <f t="shared" si="4"/>
        <v>19.514411144112255</v>
      </c>
      <c r="J52" s="307">
        <f t="shared" si="4"/>
        <v>19.411934182053745</v>
      </c>
      <c r="K52" s="307">
        <f t="shared" si="4"/>
        <v>19.338058097037049</v>
      </c>
      <c r="L52" s="307">
        <f t="shared" si="4"/>
        <v>19.230376522618688</v>
      </c>
      <c r="M52" s="307">
        <f t="shared" si="5"/>
        <v>19.10807070122344</v>
      </c>
      <c r="N52" s="307">
        <f t="shared" si="6"/>
        <v>18.989554571589046</v>
      </c>
      <c r="O52" s="327"/>
    </row>
    <row r="53" spans="1:15">
      <c r="B53" s="363" t="str">
        <f t="shared" si="3"/>
        <v>Total</v>
      </c>
      <c r="C53" s="307">
        <f t="shared" si="3"/>
        <v>4546.7073356194687</v>
      </c>
      <c r="D53" s="307">
        <f t="shared" si="4"/>
        <v>4483.3251511078488</v>
      </c>
      <c r="E53" s="307">
        <f t="shared" si="4"/>
        <v>4505.5086389915878</v>
      </c>
      <c r="F53" s="307">
        <f t="shared" si="4"/>
        <v>4382.9010517239121</v>
      </c>
      <c r="G53" s="307">
        <f t="shared" si="4"/>
        <v>4260.461481805889</v>
      </c>
      <c r="H53" s="307">
        <f t="shared" si="4"/>
        <v>4264.8215811656273</v>
      </c>
      <c r="I53" s="307">
        <f t="shared" si="4"/>
        <v>4302.3517970455605</v>
      </c>
      <c r="J53" s="307">
        <f t="shared" si="4"/>
        <v>4342.8547844320174</v>
      </c>
      <c r="K53" s="307">
        <f t="shared" si="4"/>
        <v>4381.9432181209395</v>
      </c>
      <c r="L53" s="307">
        <f t="shared" si="4"/>
        <v>4400.5861660152068</v>
      </c>
      <c r="M53" s="307">
        <f t="shared" si="5"/>
        <v>4405.685438500268</v>
      </c>
      <c r="N53" s="307">
        <f t="shared" si="6"/>
        <v>4402.9731205160824</v>
      </c>
      <c r="O53" s="327"/>
    </row>
    <row r="54" spans="1:15">
      <c r="A54" s="309">
        <f>SUM(C54:N54)</f>
        <v>0</v>
      </c>
      <c r="C54" s="309">
        <f>SUM(C43:C52)-C53</f>
        <v>0</v>
      </c>
      <c r="D54" s="309">
        <f t="shared" ref="D54:N54" si="7">SUM(D43:D52)-D53</f>
        <v>0</v>
      </c>
      <c r="E54" s="309">
        <f t="shared" si="7"/>
        <v>0</v>
      </c>
      <c r="F54" s="309">
        <f t="shared" si="7"/>
        <v>0</v>
      </c>
      <c r="G54" s="309">
        <f t="shared" si="7"/>
        <v>0</v>
      </c>
      <c r="H54" s="309">
        <f t="shared" si="7"/>
        <v>0</v>
      </c>
      <c r="I54" s="309">
        <f t="shared" si="7"/>
        <v>0</v>
      </c>
      <c r="J54" s="309">
        <f t="shared" si="7"/>
        <v>0</v>
      </c>
      <c r="K54" s="309">
        <f t="shared" si="7"/>
        <v>0</v>
      </c>
      <c r="L54" s="309">
        <f t="shared" si="7"/>
        <v>0</v>
      </c>
      <c r="M54" s="309">
        <f t="shared" si="7"/>
        <v>0</v>
      </c>
      <c r="N54" s="309">
        <f t="shared" si="7"/>
        <v>0</v>
      </c>
    </row>
    <row r="56" spans="1:15">
      <c r="B56" s="341" t="s">
        <v>50</v>
      </c>
      <c r="H56" s="325"/>
    </row>
    <row r="57" spans="1:15">
      <c r="H57" s="325"/>
    </row>
    <row r="58" spans="1:15">
      <c r="B58" s="338" t="str">
        <f t="shared" ref="B58:B69" si="8">B42</f>
        <v>Age group</v>
      </c>
      <c r="C58" s="338" t="str">
        <f t="shared" ref="C58:N58" si="9">C42</f>
        <v>2016/17</v>
      </c>
      <c r="D58" s="338" t="str">
        <f t="shared" si="9"/>
        <v>2017/18</v>
      </c>
      <c r="E58" s="338" t="str">
        <f t="shared" si="9"/>
        <v>2018/19</v>
      </c>
      <c r="F58" s="338" t="str">
        <f t="shared" si="9"/>
        <v>2019/20</v>
      </c>
      <c r="G58" s="338" t="str">
        <f t="shared" si="9"/>
        <v>2020/21</v>
      </c>
      <c r="H58" s="338" t="str">
        <f t="shared" si="9"/>
        <v>2021/22</v>
      </c>
      <c r="I58" s="338" t="str">
        <f t="shared" si="9"/>
        <v>2022/23</v>
      </c>
      <c r="J58" s="338" t="str">
        <f t="shared" si="9"/>
        <v>2023/24</v>
      </c>
      <c r="K58" s="338" t="str">
        <f t="shared" si="9"/>
        <v>2024/25</v>
      </c>
      <c r="L58" s="338" t="str">
        <f t="shared" si="9"/>
        <v>2025/26</v>
      </c>
      <c r="M58" s="338" t="str">
        <f t="shared" si="9"/>
        <v>2026/27</v>
      </c>
      <c r="N58" s="338" t="str">
        <f t="shared" si="9"/>
        <v>2027/28</v>
      </c>
    </row>
    <row r="59" spans="1:15">
      <c r="B59" s="338" t="str">
        <f t="shared" si="8"/>
        <v>20-24</v>
      </c>
      <c r="C59" s="307">
        <f t="shared" ref="C59:C69" si="10">D21</f>
        <v>101.68122161593789</v>
      </c>
      <c r="D59" s="307">
        <f>C356</f>
        <v>145.2706809874843</v>
      </c>
      <c r="E59" s="307">
        <f t="shared" ref="E59:L59" si="11">D356</f>
        <v>189.82991748930672</v>
      </c>
      <c r="F59" s="307">
        <f t="shared" si="11"/>
        <v>196.28965860354401</v>
      </c>
      <c r="G59" s="307">
        <f t="shared" si="11"/>
        <v>198.4440765910789</v>
      </c>
      <c r="H59" s="307">
        <f t="shared" si="11"/>
        <v>219.84149525026695</v>
      </c>
      <c r="I59" s="307">
        <f t="shared" si="11"/>
        <v>240.94865015543365</v>
      </c>
      <c r="J59" s="307">
        <f t="shared" si="11"/>
        <v>257.19909294354642</v>
      </c>
      <c r="K59" s="307">
        <f t="shared" si="11"/>
        <v>269.28486348816074</v>
      </c>
      <c r="L59" s="307">
        <f t="shared" si="11"/>
        <v>275.04106581532454</v>
      </c>
      <c r="M59" s="307">
        <f>L356</f>
        <v>277.11475619494007</v>
      </c>
      <c r="N59" s="307">
        <f>M356</f>
        <v>277.31214841936122</v>
      </c>
    </row>
    <row r="60" spans="1:15">
      <c r="B60" s="338" t="str">
        <f t="shared" si="8"/>
        <v>25-29</v>
      </c>
      <c r="C60" s="307">
        <f t="shared" si="10"/>
        <v>380.10100925032708</v>
      </c>
      <c r="D60" s="307">
        <f t="shared" ref="D60:K69" si="12">C357</f>
        <v>367.11793633840517</v>
      </c>
      <c r="E60" s="307">
        <f t="shared" si="12"/>
        <v>380.1046073026771</v>
      </c>
      <c r="F60" s="307">
        <f t="shared" si="12"/>
        <v>371.77862114441109</v>
      </c>
      <c r="G60" s="307">
        <f t="shared" si="12"/>
        <v>364.51518142486054</v>
      </c>
      <c r="H60" s="307">
        <f t="shared" si="12"/>
        <v>380.2590393113905</v>
      </c>
      <c r="I60" s="307">
        <f t="shared" si="12"/>
        <v>401.69123790757499</v>
      </c>
      <c r="J60" s="307">
        <f t="shared" si="12"/>
        <v>422.33646553781176</v>
      </c>
      <c r="K60" s="307">
        <f t="shared" si="12"/>
        <v>440.76139977929654</v>
      </c>
      <c r="L60" s="307">
        <f t="shared" ref="L60:L69" si="13">K357</f>
        <v>453.32285300119707</v>
      </c>
      <c r="M60" s="307">
        <f t="shared" ref="M60:M69" si="14">L357</f>
        <v>461.32821177186167</v>
      </c>
      <c r="N60" s="307">
        <f t="shared" ref="N60:N69" si="15">M357</f>
        <v>466.13771658484421</v>
      </c>
    </row>
    <row r="61" spans="1:15">
      <c r="B61" s="338" t="str">
        <f t="shared" si="8"/>
        <v>30-34</v>
      </c>
      <c r="C61" s="307">
        <f t="shared" si="10"/>
        <v>561.85458263406179</v>
      </c>
      <c r="D61" s="307">
        <f t="shared" si="12"/>
        <v>514.45870687387207</v>
      </c>
      <c r="E61" s="307">
        <f t="shared" si="12"/>
        <v>484.9138375540889</v>
      </c>
      <c r="F61" s="307">
        <f t="shared" si="12"/>
        <v>453.1221175419318</v>
      </c>
      <c r="G61" s="307">
        <f t="shared" si="12"/>
        <v>427.3334322920681</v>
      </c>
      <c r="H61" s="307">
        <f t="shared" si="12"/>
        <v>417.51788603015734</v>
      </c>
      <c r="I61" s="307">
        <f t="shared" si="12"/>
        <v>416.38856653117375</v>
      </c>
      <c r="J61" s="307">
        <f t="shared" si="12"/>
        <v>420.20301923206705</v>
      </c>
      <c r="K61" s="307">
        <f t="shared" si="12"/>
        <v>427.0705022687477</v>
      </c>
      <c r="L61" s="307">
        <f t="shared" si="13"/>
        <v>433.9994330960497</v>
      </c>
      <c r="M61" s="307">
        <f t="shared" si="14"/>
        <v>440.29674480900701</v>
      </c>
      <c r="N61" s="307">
        <f t="shared" si="15"/>
        <v>445.671528071365</v>
      </c>
    </row>
    <row r="62" spans="1:15">
      <c r="B62" s="338" t="str">
        <f t="shared" si="8"/>
        <v>35-39</v>
      </c>
      <c r="C62" s="307">
        <f t="shared" si="10"/>
        <v>566.15858138841668</v>
      </c>
      <c r="D62" s="307">
        <f t="shared" si="12"/>
        <v>547.97511253586333</v>
      </c>
      <c r="E62" s="307">
        <f t="shared" si="12"/>
        <v>530.97555603353351</v>
      </c>
      <c r="F62" s="307">
        <f t="shared" si="12"/>
        <v>503.91523478352781</v>
      </c>
      <c r="G62" s="307">
        <f t="shared" si="12"/>
        <v>477.24092293421353</v>
      </c>
      <c r="H62" s="307">
        <f t="shared" si="12"/>
        <v>460.12173983488265</v>
      </c>
      <c r="I62" s="307">
        <f t="shared" si="12"/>
        <v>447.93533343927612</v>
      </c>
      <c r="J62" s="307">
        <f t="shared" si="12"/>
        <v>439.27873143645462</v>
      </c>
      <c r="K62" s="307">
        <f t="shared" si="12"/>
        <v>433.85597330852323</v>
      </c>
      <c r="L62" s="307">
        <f t="shared" si="13"/>
        <v>430.12859372554954</v>
      </c>
      <c r="M62" s="307">
        <f t="shared" si="14"/>
        <v>427.93876161849408</v>
      </c>
      <c r="N62" s="307">
        <f t="shared" si="15"/>
        <v>427.02437826084844</v>
      </c>
    </row>
    <row r="63" spans="1:15">
      <c r="B63" s="338" t="str">
        <f t="shared" si="8"/>
        <v>40-44</v>
      </c>
      <c r="C63" s="307">
        <f t="shared" si="10"/>
        <v>494.03414750598239</v>
      </c>
      <c r="D63" s="307">
        <f t="shared" si="12"/>
        <v>492.27942883397719</v>
      </c>
      <c r="E63" s="307">
        <f t="shared" si="12"/>
        <v>492.09599206970398</v>
      </c>
      <c r="F63" s="307">
        <f t="shared" si="12"/>
        <v>480.93240343572302</v>
      </c>
      <c r="G63" s="307">
        <f t="shared" si="12"/>
        <v>466.95469867653264</v>
      </c>
      <c r="H63" s="307">
        <f t="shared" si="12"/>
        <v>458.06638967306725</v>
      </c>
      <c r="I63" s="307">
        <f t="shared" si="12"/>
        <v>450.30223421812008</v>
      </c>
      <c r="J63" s="307">
        <f t="shared" si="12"/>
        <v>442.79371338634991</v>
      </c>
      <c r="K63" s="307">
        <f t="shared" si="12"/>
        <v>435.88216612754718</v>
      </c>
      <c r="L63" s="307">
        <f t="shared" si="13"/>
        <v>428.92032217492869</v>
      </c>
      <c r="M63" s="307">
        <f t="shared" si="14"/>
        <v>422.47426534992883</v>
      </c>
      <c r="N63" s="307">
        <f t="shared" si="15"/>
        <v>416.91666685509301</v>
      </c>
    </row>
    <row r="64" spans="1:15">
      <c r="B64" s="338" t="str">
        <f t="shared" si="8"/>
        <v>45-49</v>
      </c>
      <c r="C64" s="307">
        <f t="shared" si="10"/>
        <v>397.23911287497702</v>
      </c>
      <c r="D64" s="307">
        <f t="shared" si="12"/>
        <v>399.26236238042583</v>
      </c>
      <c r="E64" s="307">
        <f t="shared" si="12"/>
        <v>403.9715027060588</v>
      </c>
      <c r="F64" s="307">
        <f t="shared" si="12"/>
        <v>401.09702712068446</v>
      </c>
      <c r="G64" s="307">
        <f t="shared" si="12"/>
        <v>396.35562038961984</v>
      </c>
      <c r="H64" s="307">
        <f t="shared" si="12"/>
        <v>395.38065043796223</v>
      </c>
      <c r="I64" s="307">
        <f t="shared" si="12"/>
        <v>394.59362095276788</v>
      </c>
      <c r="J64" s="307">
        <f t="shared" si="12"/>
        <v>392.96934972622603</v>
      </c>
      <c r="K64" s="307">
        <f t="shared" si="12"/>
        <v>390.58721122107653</v>
      </c>
      <c r="L64" s="307">
        <f t="shared" si="13"/>
        <v>386.89560643317293</v>
      </c>
      <c r="M64" s="307">
        <f t="shared" si="14"/>
        <v>382.42924679474083</v>
      </c>
      <c r="N64" s="307">
        <f t="shared" si="15"/>
        <v>377.66975862796414</v>
      </c>
    </row>
    <row r="65" spans="1:15">
      <c r="B65" s="338" t="str">
        <f t="shared" si="8"/>
        <v>50-54</v>
      </c>
      <c r="C65" s="307">
        <f t="shared" si="10"/>
        <v>334.61343448011223</v>
      </c>
      <c r="D65" s="307">
        <f t="shared" si="12"/>
        <v>324.58148317230251</v>
      </c>
      <c r="E65" s="307">
        <f t="shared" si="12"/>
        <v>320.3550282731515</v>
      </c>
      <c r="F65" s="307">
        <f t="shared" si="12"/>
        <v>313.57528800380175</v>
      </c>
      <c r="G65" s="307">
        <f t="shared" si="12"/>
        <v>307.7633199456518</v>
      </c>
      <c r="H65" s="307">
        <f t="shared" si="12"/>
        <v>306.43950850731471</v>
      </c>
      <c r="I65" s="307">
        <f t="shared" si="12"/>
        <v>306.4496702867803</v>
      </c>
      <c r="J65" s="307">
        <f t="shared" si="12"/>
        <v>306.58598201202551</v>
      </c>
      <c r="K65" s="307">
        <f t="shared" si="12"/>
        <v>306.52167235468784</v>
      </c>
      <c r="L65" s="307">
        <f t="shared" si="13"/>
        <v>305.545311234042</v>
      </c>
      <c r="M65" s="307">
        <f t="shared" si="14"/>
        <v>303.82094338133413</v>
      </c>
      <c r="N65" s="307">
        <f t="shared" si="15"/>
        <v>301.55272142582663</v>
      </c>
    </row>
    <row r="66" spans="1:15">
      <c r="B66" s="338" t="str">
        <f t="shared" si="8"/>
        <v>55-59</v>
      </c>
      <c r="C66" s="307">
        <f t="shared" si="10"/>
        <v>189.49278228077671</v>
      </c>
      <c r="D66" s="307">
        <f t="shared" si="12"/>
        <v>174.84940678031404</v>
      </c>
      <c r="E66" s="307">
        <f t="shared" si="12"/>
        <v>166.22579105826406</v>
      </c>
      <c r="F66" s="307">
        <f t="shared" si="12"/>
        <v>157.23172943505512</v>
      </c>
      <c r="G66" s="307">
        <f t="shared" si="12"/>
        <v>150.45532108519282</v>
      </c>
      <c r="H66" s="307">
        <f t="shared" si="12"/>
        <v>147.98049472031903</v>
      </c>
      <c r="I66" s="307">
        <f t="shared" si="12"/>
        <v>147.05188175931843</v>
      </c>
      <c r="J66" s="307">
        <f t="shared" si="12"/>
        <v>146.67456936398577</v>
      </c>
      <c r="K66" s="307">
        <f t="shared" si="12"/>
        <v>146.55438181571498</v>
      </c>
      <c r="L66" s="307">
        <f t="shared" si="13"/>
        <v>146.12891349944715</v>
      </c>
      <c r="M66" s="307">
        <f t="shared" si="14"/>
        <v>145.47555405540808</v>
      </c>
      <c r="N66" s="307">
        <f t="shared" si="15"/>
        <v>144.65982824239387</v>
      </c>
    </row>
    <row r="67" spans="1:15">
      <c r="B67" s="338" t="str">
        <f t="shared" si="8"/>
        <v>60-64</v>
      </c>
      <c r="C67" s="307">
        <f t="shared" si="10"/>
        <v>54.732501156734898</v>
      </c>
      <c r="D67" s="307">
        <f t="shared" si="12"/>
        <v>51.645055533399805</v>
      </c>
      <c r="E67" s="307">
        <f t="shared" si="12"/>
        <v>49.399972594020518</v>
      </c>
      <c r="F67" s="307">
        <f t="shared" si="12"/>
        <v>45.839556925523041</v>
      </c>
      <c r="G67" s="307">
        <f t="shared" si="12"/>
        <v>43.014926731511309</v>
      </c>
      <c r="H67" s="307">
        <f t="shared" si="12"/>
        <v>42.161290701239722</v>
      </c>
      <c r="I67" s="307">
        <f t="shared" si="12"/>
        <v>41.860205090614294</v>
      </c>
      <c r="J67" s="307">
        <f t="shared" si="12"/>
        <v>41.704366937424211</v>
      </c>
      <c r="K67" s="307">
        <f t="shared" si="12"/>
        <v>41.632015078739556</v>
      </c>
      <c r="L67" s="307">
        <f t="shared" si="13"/>
        <v>41.416946202234413</v>
      </c>
      <c r="M67" s="307">
        <f t="shared" si="14"/>
        <v>41.147526233081464</v>
      </c>
      <c r="N67" s="307">
        <f t="shared" si="15"/>
        <v>40.870367379792576</v>
      </c>
    </row>
    <row r="68" spans="1:15">
      <c r="B68" s="338" t="str">
        <f t="shared" si="8"/>
        <v>65 plus</v>
      </c>
      <c r="C68" s="307">
        <f t="shared" si="10"/>
        <v>5.7032307721668403</v>
      </c>
      <c r="D68" s="307">
        <f t="shared" si="12"/>
        <v>9.4693611298971039</v>
      </c>
      <c r="E68" s="307">
        <f t="shared" si="12"/>
        <v>11.260299177462109</v>
      </c>
      <c r="F68" s="307">
        <f t="shared" si="12"/>
        <v>11.546897259092933</v>
      </c>
      <c r="G68" s="307">
        <f t="shared" si="12"/>
        <v>11.297425946804539</v>
      </c>
      <c r="H68" s="307">
        <f t="shared" si="12"/>
        <v>11.198730865773623</v>
      </c>
      <c r="I68" s="307">
        <f t="shared" si="12"/>
        <v>11.158785758777107</v>
      </c>
      <c r="J68" s="307">
        <f t="shared" si="12"/>
        <v>11.131290305554996</v>
      </c>
      <c r="K68" s="307">
        <f t="shared" si="12"/>
        <v>11.112747042095137</v>
      </c>
      <c r="L68" s="307">
        <f t="shared" si="13"/>
        <v>11.054144586670589</v>
      </c>
      <c r="M68" s="307">
        <f t="shared" si="14"/>
        <v>10.972946376650649</v>
      </c>
      <c r="N68" s="307">
        <f t="shared" si="15"/>
        <v>10.885951387307072</v>
      </c>
    </row>
    <row r="69" spans="1:15">
      <c r="B69" s="338" t="str">
        <f t="shared" si="8"/>
        <v>Total</v>
      </c>
      <c r="C69" s="307">
        <f t="shared" si="10"/>
        <v>3085.6106039594933</v>
      </c>
      <c r="D69" s="307">
        <f t="shared" si="12"/>
        <v>3026.9095345659416</v>
      </c>
      <c r="E69" s="307">
        <f t="shared" si="12"/>
        <v>3029.1325042582675</v>
      </c>
      <c r="F69" s="307">
        <f t="shared" si="12"/>
        <v>2935.3285342532949</v>
      </c>
      <c r="G69" s="307">
        <f t="shared" si="12"/>
        <v>2843.3749260175341</v>
      </c>
      <c r="H69" s="307">
        <f t="shared" si="12"/>
        <v>2838.9672253323743</v>
      </c>
      <c r="I69" s="307">
        <f t="shared" si="12"/>
        <v>2858.380186099836</v>
      </c>
      <c r="J69" s="307">
        <f t="shared" si="12"/>
        <v>2880.8765808814464</v>
      </c>
      <c r="K69" s="307">
        <f t="shared" si="12"/>
        <v>2903.2629324845893</v>
      </c>
      <c r="L69" s="307">
        <f t="shared" si="13"/>
        <v>2912.453189768617</v>
      </c>
      <c r="M69" s="307">
        <f t="shared" si="14"/>
        <v>2912.9989565854462</v>
      </c>
      <c r="N69" s="307">
        <f t="shared" si="15"/>
        <v>2908.7010652547965</v>
      </c>
    </row>
    <row r="70" spans="1:15">
      <c r="A70" s="309">
        <f>SUM(C70:N70)</f>
        <v>0</v>
      </c>
      <c r="C70" s="309">
        <f t="shared" ref="C70:N70" si="16">SUM(C59:C68)-C69</f>
        <v>0</v>
      </c>
      <c r="D70" s="309">
        <f t="shared" si="16"/>
        <v>0</v>
      </c>
      <c r="E70" s="309">
        <f t="shared" si="16"/>
        <v>0</v>
      </c>
      <c r="F70" s="309">
        <f t="shared" si="16"/>
        <v>0</v>
      </c>
      <c r="G70" s="309">
        <f t="shared" si="16"/>
        <v>0</v>
      </c>
      <c r="H70" s="309">
        <f t="shared" si="16"/>
        <v>0</v>
      </c>
      <c r="I70" s="309">
        <f t="shared" si="16"/>
        <v>0</v>
      </c>
      <c r="J70" s="309">
        <f t="shared" si="16"/>
        <v>0</v>
      </c>
      <c r="K70" s="309">
        <f t="shared" si="16"/>
        <v>0</v>
      </c>
      <c r="L70" s="309">
        <f t="shared" si="16"/>
        <v>0</v>
      </c>
      <c r="M70" s="309">
        <f t="shared" si="16"/>
        <v>0</v>
      </c>
      <c r="N70" s="309">
        <f t="shared" si="16"/>
        <v>0</v>
      </c>
    </row>
    <row r="72" spans="1:15" ht="15.75">
      <c r="B72" s="340" t="s">
        <v>150</v>
      </c>
      <c r="H72" s="325"/>
    </row>
    <row r="73" spans="1:15">
      <c r="H73" s="325"/>
    </row>
    <row r="74" spans="1:15">
      <c r="B74" s="341" t="s">
        <v>49</v>
      </c>
      <c r="C74" s="262" t="s">
        <v>453</v>
      </c>
      <c r="H74" s="325"/>
    </row>
    <row r="75" spans="1:15">
      <c r="H75" s="325"/>
    </row>
    <row r="76" spans="1:15">
      <c r="B76" s="338" t="str">
        <f t="shared" ref="B76:B87" si="17">B42</f>
        <v>Age group</v>
      </c>
      <c r="C76" s="338" t="str">
        <f t="shared" ref="C76:N76" si="18">C42</f>
        <v>2016/17</v>
      </c>
      <c r="D76" s="338" t="str">
        <f t="shared" si="18"/>
        <v>2017/18</v>
      </c>
      <c r="E76" s="338" t="str">
        <f t="shared" si="18"/>
        <v>2018/19</v>
      </c>
      <c r="F76" s="338" t="str">
        <f t="shared" si="18"/>
        <v>2019/20</v>
      </c>
      <c r="G76" s="338" t="str">
        <f t="shared" si="18"/>
        <v>2020/21</v>
      </c>
      <c r="H76" s="338" t="str">
        <f t="shared" si="18"/>
        <v>2021/22</v>
      </c>
      <c r="I76" s="338" t="str">
        <f t="shared" si="18"/>
        <v>2022/23</v>
      </c>
      <c r="J76" s="338" t="str">
        <f t="shared" si="18"/>
        <v>2023/24</v>
      </c>
      <c r="K76" s="338" t="str">
        <f t="shared" si="18"/>
        <v>2024/25</v>
      </c>
      <c r="L76" s="338" t="str">
        <f t="shared" si="18"/>
        <v>2025/26</v>
      </c>
      <c r="M76" s="338" t="str">
        <f t="shared" si="18"/>
        <v>2026/27</v>
      </c>
      <c r="N76" s="338" t="str">
        <f t="shared" si="18"/>
        <v>2027/28</v>
      </c>
    </row>
    <row r="77" spans="1:15">
      <c r="B77" s="338" t="str">
        <f t="shared" si="17"/>
        <v>20-24</v>
      </c>
      <c r="C77" s="459">
        <f>C43-(0.2*C43)</f>
        <v>96.915266985999423</v>
      </c>
      <c r="D77" s="459">
        <f>D43-(0.2*D43)</f>
        <v>153.75625285586773</v>
      </c>
      <c r="E77" s="459">
        <f t="shared" ref="E77:N77" si="19">E43-(0.2*E43)</f>
        <v>209.28400592300386</v>
      </c>
      <c r="F77" s="459">
        <f t="shared" si="19"/>
        <v>218.19671371208679</v>
      </c>
      <c r="G77" s="459">
        <f t="shared" si="19"/>
        <v>221.51683003910247</v>
      </c>
      <c r="H77" s="459">
        <f t="shared" si="19"/>
        <v>247.23933883627814</v>
      </c>
      <c r="I77" s="459">
        <f t="shared" si="19"/>
        <v>272.09738588637526</v>
      </c>
      <c r="J77" s="459">
        <f t="shared" si="19"/>
        <v>290.876704520114</v>
      </c>
      <c r="K77" s="459">
        <f t="shared" si="19"/>
        <v>304.58698623521087</v>
      </c>
      <c r="L77" s="459">
        <f t="shared" si="19"/>
        <v>310.79748866971676</v>
      </c>
      <c r="M77" s="459">
        <f t="shared" si="19"/>
        <v>312.74886410697593</v>
      </c>
      <c r="N77" s="459">
        <f t="shared" si="19"/>
        <v>312.60759732037582</v>
      </c>
      <c r="O77" s="327"/>
    </row>
    <row r="78" spans="1:15">
      <c r="B78" s="338" t="str">
        <f t="shared" si="17"/>
        <v>25-29</v>
      </c>
      <c r="C78" s="459">
        <f t="shared" ref="C78:C85" si="20">C44+(0.2*C43)-(0.2*C44)</f>
        <v>434.76438981039502</v>
      </c>
      <c r="D78" s="459">
        <f t="shared" ref="D78:N78" si="21">D44+(0.2*D43)-(0.2*D44)</f>
        <v>439.7980273856283</v>
      </c>
      <c r="E78" s="459">
        <f t="shared" si="21"/>
        <v>474.35341652575897</v>
      </c>
      <c r="F78" s="459">
        <f t="shared" si="21"/>
        <v>471.1172006959095</v>
      </c>
      <c r="G78" s="459">
        <f t="shared" si="21"/>
        <v>466.73804958175072</v>
      </c>
      <c r="H78" s="459">
        <f t="shared" si="21"/>
        <v>494.27449177065819</v>
      </c>
      <c r="I78" s="459">
        <f t="shared" si="21"/>
        <v>527.64289293068794</v>
      </c>
      <c r="J78" s="459">
        <f t="shared" si="21"/>
        <v>557.99389432383271</v>
      </c>
      <c r="K78" s="459">
        <f t="shared" si="21"/>
        <v>583.99123930126234</v>
      </c>
      <c r="L78" s="459">
        <f t="shared" si="21"/>
        <v>600.84089272911979</v>
      </c>
      <c r="M78" s="459">
        <f t="shared" si="21"/>
        <v>610.99789491647709</v>
      </c>
      <c r="N78" s="459">
        <f t="shared" si="21"/>
        <v>616.70096526367865</v>
      </c>
      <c r="O78" s="327"/>
    </row>
    <row r="79" spans="1:15">
      <c r="B79" s="338" t="str">
        <f t="shared" si="17"/>
        <v>30-34</v>
      </c>
      <c r="C79" s="459">
        <f t="shared" si="20"/>
        <v>869.25376308785508</v>
      </c>
      <c r="D79" s="459">
        <f t="shared" ref="D79:N79" si="22">D45+(0.2*D44)-(0.2*D45)</f>
        <v>789.43795659498596</v>
      </c>
      <c r="E79" s="459">
        <f t="shared" si="22"/>
        <v>743.91795119057633</v>
      </c>
      <c r="F79" s="459">
        <f t="shared" si="22"/>
        <v>693.82088987385532</v>
      </c>
      <c r="G79" s="459">
        <f t="shared" si="22"/>
        <v>653.9485810465211</v>
      </c>
      <c r="H79" s="459">
        <f t="shared" si="22"/>
        <v>641.70323587689018</v>
      </c>
      <c r="I79" s="459">
        <f t="shared" si="22"/>
        <v>643.11117824626888</v>
      </c>
      <c r="J79" s="459">
        <f t="shared" si="22"/>
        <v>651.44951756511796</v>
      </c>
      <c r="K79" s="459">
        <f t="shared" si="22"/>
        <v>663.69325330665265</v>
      </c>
      <c r="L79" s="459">
        <f t="shared" si="22"/>
        <v>674.95014093629629</v>
      </c>
      <c r="M79" s="459">
        <f t="shared" si="22"/>
        <v>684.52488845987261</v>
      </c>
      <c r="N79" s="459">
        <f t="shared" si="22"/>
        <v>692.29660855933002</v>
      </c>
      <c r="O79" s="327"/>
    </row>
    <row r="80" spans="1:15">
      <c r="B80" s="338" t="str">
        <f t="shared" si="17"/>
        <v>35-39</v>
      </c>
      <c r="C80" s="459">
        <f t="shared" si="20"/>
        <v>871.34804294577475</v>
      </c>
      <c r="D80" s="459">
        <f t="shared" ref="D80:N80" si="23">D46+(0.2*D45)-(0.2*D46)</f>
        <v>849.83949977335328</v>
      </c>
      <c r="E80" s="459">
        <f t="shared" si="23"/>
        <v>827.28716309875574</v>
      </c>
      <c r="F80" s="459">
        <f t="shared" si="23"/>
        <v>787.68479049439293</v>
      </c>
      <c r="G80" s="459">
        <f t="shared" si="23"/>
        <v>747.67514642522997</v>
      </c>
      <c r="H80" s="459">
        <f t="shared" si="23"/>
        <v>722.25017528253488</v>
      </c>
      <c r="I80" s="459">
        <f t="shared" si="23"/>
        <v>704.7090541464346</v>
      </c>
      <c r="J80" s="459">
        <f t="shared" si="23"/>
        <v>692.82338335793395</v>
      </c>
      <c r="K80" s="459">
        <f t="shared" si="23"/>
        <v>685.96827265135926</v>
      </c>
      <c r="L80" s="459">
        <f t="shared" si="23"/>
        <v>681.57362649421236</v>
      </c>
      <c r="M80" s="459">
        <f t="shared" si="23"/>
        <v>679.25917767063879</v>
      </c>
      <c r="N80" s="459">
        <f t="shared" si="23"/>
        <v>678.58561760065584</v>
      </c>
      <c r="O80" s="327"/>
    </row>
    <row r="81" spans="1:15">
      <c r="B81" s="338" t="str">
        <f t="shared" si="17"/>
        <v>40-44</v>
      </c>
      <c r="C81" s="459">
        <f t="shared" si="20"/>
        <v>728.13293376803085</v>
      </c>
      <c r="D81" s="459">
        <f t="shared" ref="D81:N81" si="24">D47+(0.2*D46)-(0.2*D47)</f>
        <v>737.44299808077039</v>
      </c>
      <c r="E81" s="459">
        <f t="shared" si="24"/>
        <v>747.14168565600539</v>
      </c>
      <c r="F81" s="459">
        <f t="shared" si="24"/>
        <v>738.17707306720979</v>
      </c>
      <c r="G81" s="459">
        <f t="shared" si="24"/>
        <v>723.04221165117201</v>
      </c>
      <c r="H81" s="459">
        <f t="shared" si="24"/>
        <v>714.02174861772187</v>
      </c>
      <c r="I81" s="459">
        <f t="shared" si="24"/>
        <v>705.57445891111354</v>
      </c>
      <c r="J81" s="459">
        <f t="shared" si="24"/>
        <v>696.76184023649296</v>
      </c>
      <c r="K81" s="459">
        <f t="shared" si="24"/>
        <v>688.35785735785532</v>
      </c>
      <c r="L81" s="459">
        <f t="shared" si="24"/>
        <v>679.53918041607017</v>
      </c>
      <c r="M81" s="459">
        <f t="shared" si="24"/>
        <v>671.23334789440082</v>
      </c>
      <c r="N81" s="459">
        <f t="shared" si="24"/>
        <v>664.03432405609044</v>
      </c>
      <c r="O81" s="327"/>
    </row>
    <row r="82" spans="1:15">
      <c r="B82" s="338" t="str">
        <f t="shared" si="17"/>
        <v>45-49</v>
      </c>
      <c r="C82" s="459">
        <f t="shared" si="20"/>
        <v>613.23833611546308</v>
      </c>
      <c r="D82" s="459">
        <f t="shared" ref="D82:N82" si="25">D48+(0.2*D47)-(0.2*D48)</f>
        <v>611.80058711931122</v>
      </c>
      <c r="E82" s="459">
        <f t="shared" si="25"/>
        <v>617.97956870831956</v>
      </c>
      <c r="F82" s="459">
        <f t="shared" si="25"/>
        <v>614.55772691498419</v>
      </c>
      <c r="G82" s="459">
        <f t="shared" si="25"/>
        <v>609.46452365366304</v>
      </c>
      <c r="H82" s="459">
        <f t="shared" si="25"/>
        <v>610.75110980878662</v>
      </c>
      <c r="I82" s="459">
        <f t="shared" si="25"/>
        <v>612.41672033868713</v>
      </c>
      <c r="J82" s="459">
        <f t="shared" si="25"/>
        <v>612.63746038627994</v>
      </c>
      <c r="K82" s="459">
        <f t="shared" si="25"/>
        <v>611.43697307072296</v>
      </c>
      <c r="L82" s="459">
        <f t="shared" si="25"/>
        <v>607.93512491404158</v>
      </c>
      <c r="M82" s="459">
        <f t="shared" si="25"/>
        <v>602.97259001855923</v>
      </c>
      <c r="N82" s="459">
        <f t="shared" si="25"/>
        <v>597.31578320920539</v>
      </c>
      <c r="O82" s="327"/>
    </row>
    <row r="83" spans="1:15">
      <c r="B83" s="338" t="str">
        <f t="shared" si="17"/>
        <v>50-54</v>
      </c>
      <c r="C83" s="459">
        <f t="shared" si="20"/>
        <v>472.32401884723987</v>
      </c>
      <c r="D83" s="459">
        <f t="shared" ref="D83:N83" si="26">D49+(0.2*D48)-(0.2*D49)</f>
        <v>469.77688191920481</v>
      </c>
      <c r="E83" s="459">
        <f t="shared" si="26"/>
        <v>471.81076308983575</v>
      </c>
      <c r="F83" s="459">
        <f t="shared" si="26"/>
        <v>467.11756872460961</v>
      </c>
      <c r="G83" s="459">
        <f t="shared" si="26"/>
        <v>462.45660461800583</v>
      </c>
      <c r="H83" s="459">
        <f t="shared" si="26"/>
        <v>464.04463112796157</v>
      </c>
      <c r="I83" s="459">
        <f t="shared" si="26"/>
        <v>467.20186664064181</v>
      </c>
      <c r="J83" s="459">
        <f t="shared" si="26"/>
        <v>470.17985413420081</v>
      </c>
      <c r="K83" s="459">
        <f t="shared" si="26"/>
        <v>472.54349065471058</v>
      </c>
      <c r="L83" s="459">
        <f t="shared" si="26"/>
        <v>473.20995646584129</v>
      </c>
      <c r="M83" s="459">
        <f t="shared" si="26"/>
        <v>472.46981881154352</v>
      </c>
      <c r="N83" s="459">
        <f t="shared" si="26"/>
        <v>470.66885484529064</v>
      </c>
      <c r="O83" s="327"/>
    </row>
    <row r="84" spans="1:15">
      <c r="B84" s="338" t="str">
        <f t="shared" si="17"/>
        <v>55-59</v>
      </c>
      <c r="C84" s="459">
        <f t="shared" si="20"/>
        <v>318.62752430390196</v>
      </c>
      <c r="D84" s="459">
        <f t="shared" ref="D84:N84" si="27">D50+(0.2*D49)-(0.2*D50)</f>
        <v>288.54254060765766</v>
      </c>
      <c r="E84" s="459">
        <f t="shared" si="27"/>
        <v>273.05254911590805</v>
      </c>
      <c r="F84" s="459">
        <f t="shared" si="27"/>
        <v>259.1623067276438</v>
      </c>
      <c r="G84" s="459">
        <f t="shared" si="27"/>
        <v>249.58556939825127</v>
      </c>
      <c r="H84" s="459">
        <f t="shared" si="27"/>
        <v>247.11007694774406</v>
      </c>
      <c r="I84" s="459">
        <f t="shared" si="27"/>
        <v>247.16413754920586</v>
      </c>
      <c r="J84" s="459">
        <f t="shared" si="27"/>
        <v>248.05427189233609</v>
      </c>
      <c r="K84" s="459">
        <f t="shared" si="27"/>
        <v>249.25484607912506</v>
      </c>
      <c r="L84" s="459">
        <f t="shared" si="27"/>
        <v>249.83655849743286</v>
      </c>
      <c r="M84" s="459">
        <f t="shared" si="27"/>
        <v>249.90185182878761</v>
      </c>
      <c r="N84" s="459">
        <f t="shared" si="27"/>
        <v>249.55331423295968</v>
      </c>
      <c r="O84" s="327"/>
    </row>
    <row r="85" spans="1:15">
      <c r="B85" s="338" t="str">
        <f t="shared" si="17"/>
        <v>60-64</v>
      </c>
      <c r="C85" s="459">
        <f t="shared" si="20"/>
        <v>118.05918513575833</v>
      </c>
      <c r="D85" s="459">
        <f t="shared" ref="D85:N85" si="28">D51+(0.2*D50)-(0.2*D51)</f>
        <v>112.59355633540476</v>
      </c>
      <c r="E85" s="459">
        <f t="shared" si="28"/>
        <v>107.02080884477544</v>
      </c>
      <c r="F85" s="459">
        <f t="shared" si="28"/>
        <v>99.296279615473551</v>
      </c>
      <c r="G85" s="459">
        <f t="shared" si="28"/>
        <v>93.235232551580083</v>
      </c>
      <c r="H85" s="459">
        <f t="shared" si="28"/>
        <v>91.070497808654281</v>
      </c>
      <c r="I85" s="459">
        <f t="shared" si="28"/>
        <v>90.328355903210721</v>
      </c>
      <c r="J85" s="459">
        <f t="shared" si="28"/>
        <v>90.137783133123747</v>
      </c>
      <c r="K85" s="459">
        <f t="shared" si="28"/>
        <v>90.254473283871107</v>
      </c>
      <c r="L85" s="459">
        <f t="shared" si="28"/>
        <v>90.190416349554681</v>
      </c>
      <c r="M85" s="459">
        <f t="shared" si="28"/>
        <v>90.030003198418342</v>
      </c>
      <c r="N85" s="459">
        <f t="shared" si="28"/>
        <v>89.823847511842089</v>
      </c>
      <c r="O85" s="327"/>
    </row>
    <row r="86" spans="1:15">
      <c r="B86" s="338" t="str">
        <f t="shared" si="17"/>
        <v>65 plus</v>
      </c>
      <c r="C86" s="459">
        <f>C52+(0.2*C51)</f>
        <v>24.043874619050541</v>
      </c>
      <c r="D86" s="459">
        <f t="shared" ref="D86:N86" si="29">D52+(0.2*D51)</f>
        <v>30.336850435664346</v>
      </c>
      <c r="E86" s="459">
        <f t="shared" si="29"/>
        <v>33.660726838649282</v>
      </c>
      <c r="F86" s="459">
        <f t="shared" si="29"/>
        <v>33.770501897747387</v>
      </c>
      <c r="G86" s="459">
        <f t="shared" si="29"/>
        <v>32.798732840611663</v>
      </c>
      <c r="H86" s="459">
        <f t="shared" si="29"/>
        <v>32.356275088397524</v>
      </c>
      <c r="I86" s="459">
        <f t="shared" si="29"/>
        <v>32.105746492935268</v>
      </c>
      <c r="J86" s="459">
        <f t="shared" si="29"/>
        <v>31.940074882586281</v>
      </c>
      <c r="K86" s="459">
        <f t="shared" si="29"/>
        <v>31.855826180168947</v>
      </c>
      <c r="L86" s="459">
        <f t="shared" si="29"/>
        <v>31.712780542921276</v>
      </c>
      <c r="M86" s="459">
        <f t="shared" si="29"/>
        <v>31.547001594593532</v>
      </c>
      <c r="N86" s="459">
        <f t="shared" si="29"/>
        <v>31.386207916653163</v>
      </c>
      <c r="O86" s="327"/>
    </row>
    <row r="87" spans="1:15">
      <c r="B87" s="338" t="str">
        <f t="shared" si="17"/>
        <v>Total</v>
      </c>
      <c r="C87" s="459">
        <f>SUM(C77:C86)</f>
        <v>4546.7073356194687</v>
      </c>
      <c r="D87" s="459">
        <f t="shared" ref="D87:N87" si="30">SUM(D77:D86)</f>
        <v>4483.3251511078488</v>
      </c>
      <c r="E87" s="459">
        <f t="shared" si="30"/>
        <v>4505.5086389915887</v>
      </c>
      <c r="F87" s="459">
        <f t="shared" si="30"/>
        <v>4382.901051723913</v>
      </c>
      <c r="G87" s="459">
        <f t="shared" si="30"/>
        <v>4260.4614818058881</v>
      </c>
      <c r="H87" s="459">
        <f t="shared" si="30"/>
        <v>4264.8215811656273</v>
      </c>
      <c r="I87" s="459">
        <f t="shared" si="30"/>
        <v>4302.3517970455614</v>
      </c>
      <c r="J87" s="459">
        <f t="shared" si="30"/>
        <v>4342.8547844320183</v>
      </c>
      <c r="K87" s="459">
        <f t="shared" si="30"/>
        <v>4381.9432181209395</v>
      </c>
      <c r="L87" s="459">
        <f t="shared" si="30"/>
        <v>4400.5861660152068</v>
      </c>
      <c r="M87" s="459">
        <f t="shared" si="30"/>
        <v>4405.685438500268</v>
      </c>
      <c r="N87" s="459">
        <f t="shared" si="30"/>
        <v>4402.9731205160824</v>
      </c>
      <c r="O87" s="327"/>
    </row>
    <row r="88" spans="1:15">
      <c r="A88" s="309">
        <f>SUM(C88:N88)</f>
        <v>0</v>
      </c>
      <c r="C88" s="309">
        <f t="shared" ref="C88:N88" si="31">SUM(C77:C86)-C87</f>
        <v>0</v>
      </c>
      <c r="D88" s="309">
        <f t="shared" si="31"/>
        <v>0</v>
      </c>
      <c r="E88" s="309">
        <f t="shared" si="31"/>
        <v>0</v>
      </c>
      <c r="F88" s="309">
        <f t="shared" si="31"/>
        <v>0</v>
      </c>
      <c r="G88" s="309">
        <f t="shared" si="31"/>
        <v>0</v>
      </c>
      <c r="H88" s="309">
        <f t="shared" si="31"/>
        <v>0</v>
      </c>
      <c r="I88" s="309">
        <f t="shared" si="31"/>
        <v>0</v>
      </c>
      <c r="J88" s="309">
        <f t="shared" si="31"/>
        <v>0</v>
      </c>
      <c r="K88" s="309">
        <f t="shared" si="31"/>
        <v>0</v>
      </c>
      <c r="L88" s="309">
        <f t="shared" si="31"/>
        <v>0</v>
      </c>
      <c r="M88" s="309">
        <f t="shared" si="31"/>
        <v>0</v>
      </c>
      <c r="N88" s="309">
        <f t="shared" si="31"/>
        <v>0</v>
      </c>
    </row>
    <row r="90" spans="1:15">
      <c r="B90" s="341" t="s">
        <v>50</v>
      </c>
      <c r="H90" s="325"/>
    </row>
    <row r="91" spans="1:15">
      <c r="H91" s="325"/>
    </row>
    <row r="92" spans="1:15">
      <c r="B92" s="338" t="str">
        <f t="shared" ref="B92:B103" si="32">B76</f>
        <v>Age group</v>
      </c>
      <c r="C92" s="338" t="str">
        <f t="shared" ref="C92:N92" si="33">C76</f>
        <v>2016/17</v>
      </c>
      <c r="D92" s="338" t="str">
        <f t="shared" si="33"/>
        <v>2017/18</v>
      </c>
      <c r="E92" s="338" t="str">
        <f t="shared" si="33"/>
        <v>2018/19</v>
      </c>
      <c r="F92" s="338" t="str">
        <f t="shared" si="33"/>
        <v>2019/20</v>
      </c>
      <c r="G92" s="338" t="str">
        <f t="shared" si="33"/>
        <v>2020/21</v>
      </c>
      <c r="H92" s="338" t="str">
        <f t="shared" si="33"/>
        <v>2021/22</v>
      </c>
      <c r="I92" s="338" t="str">
        <f t="shared" si="33"/>
        <v>2022/23</v>
      </c>
      <c r="J92" s="338" t="str">
        <f t="shared" si="33"/>
        <v>2023/24</v>
      </c>
      <c r="K92" s="338" t="str">
        <f t="shared" si="33"/>
        <v>2024/25</v>
      </c>
      <c r="L92" s="338" t="str">
        <f t="shared" si="33"/>
        <v>2025/26</v>
      </c>
      <c r="M92" s="338" t="str">
        <f t="shared" si="33"/>
        <v>2026/27</v>
      </c>
      <c r="N92" s="338" t="str">
        <f t="shared" si="33"/>
        <v>2027/28</v>
      </c>
    </row>
    <row r="93" spans="1:15">
      <c r="B93" s="338" t="str">
        <f t="shared" si="32"/>
        <v>20-24</v>
      </c>
      <c r="C93" s="459">
        <f>C59-(0.2*C59)</f>
        <v>81.344977292750315</v>
      </c>
      <c r="D93" s="459">
        <f t="shared" ref="D93:N93" si="34">D59-(0.2*D59)</f>
        <v>116.21654478998744</v>
      </c>
      <c r="E93" s="459">
        <f t="shared" si="34"/>
        <v>151.86393399144538</v>
      </c>
      <c r="F93" s="459">
        <f t="shared" si="34"/>
        <v>157.03172688283522</v>
      </c>
      <c r="G93" s="459">
        <f t="shared" si="34"/>
        <v>158.75526127286312</v>
      </c>
      <c r="H93" s="459">
        <f t="shared" si="34"/>
        <v>175.87319620021356</v>
      </c>
      <c r="I93" s="459">
        <f t="shared" si="34"/>
        <v>192.75892012434693</v>
      </c>
      <c r="J93" s="459">
        <f t="shared" si="34"/>
        <v>205.75927435483715</v>
      </c>
      <c r="K93" s="459">
        <f t="shared" si="34"/>
        <v>215.42789079052858</v>
      </c>
      <c r="L93" s="459">
        <f t="shared" si="34"/>
        <v>220.03285265225963</v>
      </c>
      <c r="M93" s="459">
        <f t="shared" si="34"/>
        <v>221.69180495595205</v>
      </c>
      <c r="N93" s="459">
        <f t="shared" si="34"/>
        <v>221.84971873548898</v>
      </c>
      <c r="O93" s="327"/>
    </row>
    <row r="94" spans="1:15">
      <c r="B94" s="338" t="str">
        <f t="shared" si="32"/>
        <v>25-29</v>
      </c>
      <c r="C94" s="459">
        <f t="shared" ref="C94:C101" si="35">C60+(0.2*C59)-(0.2*C60)</f>
        <v>324.41705172344928</v>
      </c>
      <c r="D94" s="459">
        <f t="shared" ref="D94:N94" si="36">D60+(0.2*D59)-(0.2*D60)</f>
        <v>322.74848526822097</v>
      </c>
      <c r="E94" s="459">
        <f t="shared" si="36"/>
        <v>342.04966934000299</v>
      </c>
      <c r="F94" s="459">
        <f t="shared" si="36"/>
        <v>336.68082863623772</v>
      </c>
      <c r="G94" s="459">
        <f t="shared" si="36"/>
        <v>331.30096045810421</v>
      </c>
      <c r="H94" s="459">
        <f t="shared" si="36"/>
        <v>348.1755304991658</v>
      </c>
      <c r="I94" s="459">
        <f t="shared" si="36"/>
        <v>369.54272035714672</v>
      </c>
      <c r="J94" s="459">
        <f t="shared" si="36"/>
        <v>389.30899101895869</v>
      </c>
      <c r="K94" s="459">
        <f t="shared" si="36"/>
        <v>406.46609252106941</v>
      </c>
      <c r="L94" s="459">
        <f t="shared" si="36"/>
        <v>417.66649556402257</v>
      </c>
      <c r="M94" s="459">
        <f t="shared" si="36"/>
        <v>424.48552065647738</v>
      </c>
      <c r="N94" s="459">
        <f t="shared" si="36"/>
        <v>428.37260295174758</v>
      </c>
      <c r="O94" s="327"/>
    </row>
    <row r="95" spans="1:15">
      <c r="B95" s="338" t="str">
        <f t="shared" si="32"/>
        <v>30-34</v>
      </c>
      <c r="C95" s="459">
        <f t="shared" si="35"/>
        <v>525.50386795731481</v>
      </c>
      <c r="D95" s="459">
        <f t="shared" ref="D95:N95" si="37">D61+(0.2*D60)-(0.2*D61)</f>
        <v>484.99055276677865</v>
      </c>
      <c r="E95" s="459">
        <f t="shared" si="37"/>
        <v>463.95199150380654</v>
      </c>
      <c r="F95" s="459">
        <f t="shared" si="37"/>
        <v>436.85341826242768</v>
      </c>
      <c r="G95" s="459">
        <f t="shared" si="37"/>
        <v>414.76978211862661</v>
      </c>
      <c r="H95" s="459">
        <f t="shared" si="37"/>
        <v>410.06611668640397</v>
      </c>
      <c r="I95" s="459">
        <f t="shared" si="37"/>
        <v>413.449100806454</v>
      </c>
      <c r="J95" s="459">
        <f t="shared" si="37"/>
        <v>420.62970849321596</v>
      </c>
      <c r="K95" s="459">
        <f t="shared" si="37"/>
        <v>429.8086817708575</v>
      </c>
      <c r="L95" s="459">
        <f t="shared" si="37"/>
        <v>437.86411707707919</v>
      </c>
      <c r="M95" s="459">
        <f t="shared" si="37"/>
        <v>444.50303820157791</v>
      </c>
      <c r="N95" s="459">
        <f t="shared" si="37"/>
        <v>449.76476577406083</v>
      </c>
      <c r="O95" s="327"/>
    </row>
    <row r="96" spans="1:15">
      <c r="B96" s="338" t="str">
        <f t="shared" si="32"/>
        <v>35-39</v>
      </c>
      <c r="C96" s="459">
        <f t="shared" si="35"/>
        <v>565.29778163754577</v>
      </c>
      <c r="D96" s="459">
        <f t="shared" ref="D96:N96" si="38">D62+(0.2*D61)-(0.2*D62)</f>
        <v>541.27183140346506</v>
      </c>
      <c r="E96" s="459">
        <f t="shared" si="38"/>
        <v>521.76321233764452</v>
      </c>
      <c r="F96" s="459">
        <f t="shared" si="38"/>
        <v>493.75661133520862</v>
      </c>
      <c r="G96" s="459">
        <f t="shared" si="38"/>
        <v>467.25942480578436</v>
      </c>
      <c r="H96" s="459">
        <f t="shared" si="38"/>
        <v>451.60096907393756</v>
      </c>
      <c r="I96" s="459">
        <f t="shared" si="38"/>
        <v>441.62598005765562</v>
      </c>
      <c r="J96" s="459">
        <f t="shared" si="38"/>
        <v>435.46358899557708</v>
      </c>
      <c r="K96" s="459">
        <f t="shared" si="38"/>
        <v>432.4988791005681</v>
      </c>
      <c r="L96" s="459">
        <f t="shared" si="38"/>
        <v>430.90276159964958</v>
      </c>
      <c r="M96" s="459">
        <f t="shared" si="38"/>
        <v>430.41035825659662</v>
      </c>
      <c r="N96" s="459">
        <f t="shared" si="38"/>
        <v>430.75380822295176</v>
      </c>
      <c r="O96" s="327"/>
    </row>
    <row r="97" spans="1:15">
      <c r="B97" s="338" t="str">
        <f t="shared" si="32"/>
        <v>40-44</v>
      </c>
      <c r="C97" s="459">
        <f t="shared" si="35"/>
        <v>508.45903428246925</v>
      </c>
      <c r="D97" s="459">
        <f t="shared" ref="D97:N97" si="39">D63+(0.2*D62)-(0.2*D63)</f>
        <v>503.41856557435443</v>
      </c>
      <c r="E97" s="459">
        <f t="shared" si="39"/>
        <v>499.87190486246988</v>
      </c>
      <c r="F97" s="459">
        <f t="shared" si="39"/>
        <v>485.528969705284</v>
      </c>
      <c r="G97" s="459">
        <f t="shared" si="39"/>
        <v>469.0119435280688</v>
      </c>
      <c r="H97" s="459">
        <f t="shared" si="39"/>
        <v>458.47745970543036</v>
      </c>
      <c r="I97" s="459">
        <f t="shared" si="39"/>
        <v>449.8288540623513</v>
      </c>
      <c r="J97" s="459">
        <f t="shared" si="39"/>
        <v>442.09071699637087</v>
      </c>
      <c r="K97" s="459">
        <f t="shared" si="39"/>
        <v>435.47692756374238</v>
      </c>
      <c r="L97" s="459">
        <f t="shared" si="39"/>
        <v>429.16197648505289</v>
      </c>
      <c r="M97" s="459">
        <f t="shared" si="39"/>
        <v>423.56716460364191</v>
      </c>
      <c r="N97" s="459">
        <f t="shared" si="39"/>
        <v>418.93820913624415</v>
      </c>
      <c r="O97" s="327"/>
    </row>
    <row r="98" spans="1:15">
      <c r="B98" s="338" t="str">
        <f t="shared" si="32"/>
        <v>45-49</v>
      </c>
      <c r="C98" s="459">
        <f t="shared" si="35"/>
        <v>416.59811980117809</v>
      </c>
      <c r="D98" s="459">
        <f t="shared" ref="D98:N98" si="40">D64+(0.2*D63)-(0.2*D64)</f>
        <v>417.86577567113613</v>
      </c>
      <c r="E98" s="459">
        <f t="shared" si="40"/>
        <v>421.59640057878784</v>
      </c>
      <c r="F98" s="459">
        <f t="shared" si="40"/>
        <v>417.06410238369222</v>
      </c>
      <c r="G98" s="459">
        <f t="shared" si="40"/>
        <v>410.4754360470024</v>
      </c>
      <c r="H98" s="459">
        <f t="shared" si="40"/>
        <v>407.91779828498323</v>
      </c>
      <c r="I98" s="459">
        <f t="shared" si="40"/>
        <v>405.73534360583835</v>
      </c>
      <c r="J98" s="459">
        <f t="shared" si="40"/>
        <v>402.93422245825082</v>
      </c>
      <c r="K98" s="459">
        <f t="shared" si="40"/>
        <v>399.64620220237066</v>
      </c>
      <c r="L98" s="459">
        <f t="shared" si="40"/>
        <v>395.30054958152408</v>
      </c>
      <c r="M98" s="459">
        <f t="shared" si="40"/>
        <v>390.43825050577846</v>
      </c>
      <c r="N98" s="459">
        <f t="shared" si="40"/>
        <v>385.51914027338989</v>
      </c>
      <c r="O98" s="327"/>
    </row>
    <row r="99" spans="1:15">
      <c r="B99" s="338" t="str">
        <f t="shared" si="32"/>
        <v>50-54</v>
      </c>
      <c r="C99" s="459">
        <f t="shared" si="35"/>
        <v>347.13857015908519</v>
      </c>
      <c r="D99" s="459">
        <f t="shared" ref="D99:N99" si="41">D65+(0.2*D64)-(0.2*D65)</f>
        <v>339.51765901392719</v>
      </c>
      <c r="E99" s="459">
        <f t="shared" si="41"/>
        <v>337.07832315973297</v>
      </c>
      <c r="F99" s="459">
        <f t="shared" si="41"/>
        <v>331.07963582717827</v>
      </c>
      <c r="G99" s="459">
        <f t="shared" si="41"/>
        <v>325.48178003444536</v>
      </c>
      <c r="H99" s="459">
        <f t="shared" si="41"/>
        <v>324.22773689344422</v>
      </c>
      <c r="I99" s="459">
        <f t="shared" si="41"/>
        <v>324.07846041997783</v>
      </c>
      <c r="J99" s="459">
        <f t="shared" si="41"/>
        <v>323.86265555486563</v>
      </c>
      <c r="K99" s="459">
        <f t="shared" si="41"/>
        <v>323.33478012796553</v>
      </c>
      <c r="L99" s="459">
        <f t="shared" si="41"/>
        <v>321.81537027386821</v>
      </c>
      <c r="M99" s="459">
        <f t="shared" si="41"/>
        <v>319.54260406401545</v>
      </c>
      <c r="N99" s="459">
        <f t="shared" si="41"/>
        <v>316.77612886625411</v>
      </c>
      <c r="O99" s="327"/>
    </row>
    <row r="100" spans="1:15">
      <c r="B100" s="338" t="str">
        <f t="shared" si="32"/>
        <v>55-59</v>
      </c>
      <c r="C100" s="459">
        <f t="shared" si="35"/>
        <v>218.5169127206438</v>
      </c>
      <c r="D100" s="459">
        <f t="shared" ref="D100:N100" si="42">D66+(0.2*D65)-(0.2*D66)</f>
        <v>204.79582205871174</v>
      </c>
      <c r="E100" s="459">
        <f t="shared" si="42"/>
        <v>197.05163850124157</v>
      </c>
      <c r="F100" s="459">
        <f t="shared" si="42"/>
        <v>188.50044114880444</v>
      </c>
      <c r="G100" s="459">
        <f t="shared" si="42"/>
        <v>181.91692085728462</v>
      </c>
      <c r="H100" s="459">
        <f t="shared" si="42"/>
        <v>179.67229747771816</v>
      </c>
      <c r="I100" s="459">
        <f t="shared" si="42"/>
        <v>178.93143946481081</v>
      </c>
      <c r="J100" s="459">
        <f t="shared" si="42"/>
        <v>178.65685189359371</v>
      </c>
      <c r="K100" s="459">
        <f t="shared" si="42"/>
        <v>178.54783992350954</v>
      </c>
      <c r="L100" s="459">
        <f t="shared" si="42"/>
        <v>178.01219304636612</v>
      </c>
      <c r="M100" s="459">
        <f t="shared" si="42"/>
        <v>177.1446319205933</v>
      </c>
      <c r="N100" s="459">
        <f t="shared" si="42"/>
        <v>176.03840687908041</v>
      </c>
      <c r="O100" s="327"/>
    </row>
    <row r="101" spans="1:15">
      <c r="B101" s="338" t="str">
        <f t="shared" si="32"/>
        <v>60-64</v>
      </c>
      <c r="C101" s="459">
        <f t="shared" si="35"/>
        <v>81.684557381543243</v>
      </c>
      <c r="D101" s="459">
        <f t="shared" ref="D101:N101" si="43">D67+(0.2*D66)-(0.2*D67)</f>
        <v>76.285925782782655</v>
      </c>
      <c r="E101" s="459">
        <f t="shared" si="43"/>
        <v>72.765136286869222</v>
      </c>
      <c r="F101" s="459">
        <f t="shared" si="43"/>
        <v>68.117991427429459</v>
      </c>
      <c r="G101" s="459">
        <f t="shared" si="43"/>
        <v>64.503005602247612</v>
      </c>
      <c r="H101" s="459">
        <f t="shared" si="43"/>
        <v>63.325131505055587</v>
      </c>
      <c r="I101" s="459">
        <f t="shared" si="43"/>
        <v>62.898540424355119</v>
      </c>
      <c r="J101" s="459">
        <f t="shared" si="43"/>
        <v>62.69840742273653</v>
      </c>
      <c r="K101" s="459">
        <f t="shared" si="43"/>
        <v>62.616488426134637</v>
      </c>
      <c r="L101" s="459">
        <f t="shared" si="43"/>
        <v>62.35933966167697</v>
      </c>
      <c r="M101" s="459">
        <f t="shared" si="43"/>
        <v>62.013131797546784</v>
      </c>
      <c r="N101" s="459">
        <f t="shared" si="43"/>
        <v>61.628259552312834</v>
      </c>
      <c r="O101" s="327"/>
    </row>
    <row r="102" spans="1:15">
      <c r="B102" s="338" t="str">
        <f t="shared" si="32"/>
        <v>65 plus</v>
      </c>
      <c r="C102" s="459">
        <f>C68+(0.2*C67)</f>
        <v>16.649731003513821</v>
      </c>
      <c r="D102" s="459">
        <f t="shared" ref="D102:N102" si="44">D68+(0.2*D67)</f>
        <v>19.798372236577066</v>
      </c>
      <c r="E102" s="459">
        <f t="shared" si="44"/>
        <v>21.140293696266212</v>
      </c>
      <c r="F102" s="459">
        <f t="shared" si="44"/>
        <v>20.714808644197539</v>
      </c>
      <c r="G102" s="459">
        <f t="shared" si="44"/>
        <v>19.900411293106799</v>
      </c>
      <c r="H102" s="459">
        <f t="shared" si="44"/>
        <v>19.630989006021565</v>
      </c>
      <c r="I102" s="459">
        <f t="shared" si="44"/>
        <v>19.530826776899964</v>
      </c>
      <c r="J102" s="459">
        <f t="shared" si="44"/>
        <v>19.472163693039839</v>
      </c>
      <c r="K102" s="459">
        <f t="shared" si="44"/>
        <v>19.439150057843051</v>
      </c>
      <c r="L102" s="459">
        <f t="shared" si="44"/>
        <v>19.337533827117472</v>
      </c>
      <c r="M102" s="459">
        <f t="shared" si="44"/>
        <v>19.202451623266942</v>
      </c>
      <c r="N102" s="459">
        <f t="shared" si="44"/>
        <v>19.060024863265589</v>
      </c>
      <c r="O102" s="327"/>
    </row>
    <row r="103" spans="1:15">
      <c r="B103" s="338" t="str">
        <f t="shared" si="32"/>
        <v>Total</v>
      </c>
      <c r="C103" s="459">
        <f>SUM(C93:C102)</f>
        <v>3085.6106039594933</v>
      </c>
      <c r="D103" s="459">
        <f t="shared" ref="D103:N103" si="45">SUM(D93:D102)</f>
        <v>3026.9095345659412</v>
      </c>
      <c r="E103" s="459">
        <f t="shared" si="45"/>
        <v>3029.1325042582671</v>
      </c>
      <c r="F103" s="459">
        <f t="shared" si="45"/>
        <v>2935.3285342532949</v>
      </c>
      <c r="G103" s="459">
        <f t="shared" si="45"/>
        <v>2843.3749260175337</v>
      </c>
      <c r="H103" s="459">
        <f t="shared" si="45"/>
        <v>2838.9672253323738</v>
      </c>
      <c r="I103" s="459">
        <f t="shared" si="45"/>
        <v>2858.3801860998369</v>
      </c>
      <c r="J103" s="459">
        <f t="shared" si="45"/>
        <v>2880.8765808814464</v>
      </c>
      <c r="K103" s="459">
        <f t="shared" si="45"/>
        <v>2903.2629324845893</v>
      </c>
      <c r="L103" s="459">
        <f t="shared" si="45"/>
        <v>2912.453189768617</v>
      </c>
      <c r="M103" s="459">
        <f t="shared" si="45"/>
        <v>2912.9989565854471</v>
      </c>
      <c r="N103" s="459">
        <f t="shared" si="45"/>
        <v>2908.701065254796</v>
      </c>
      <c r="O103" s="327"/>
    </row>
    <row r="104" spans="1:15">
      <c r="A104" s="309">
        <f>SUM(C104:N104)</f>
        <v>0</v>
      </c>
      <c r="C104" s="309">
        <f t="shared" ref="C104:N104" si="46">SUM(C93:C102)-C103</f>
        <v>0</v>
      </c>
      <c r="D104" s="309">
        <f t="shared" si="46"/>
        <v>0</v>
      </c>
      <c r="E104" s="309">
        <f t="shared" si="46"/>
        <v>0</v>
      </c>
      <c r="F104" s="309">
        <f t="shared" si="46"/>
        <v>0</v>
      </c>
      <c r="G104" s="309">
        <f t="shared" si="46"/>
        <v>0</v>
      </c>
      <c r="H104" s="309">
        <f t="shared" si="46"/>
        <v>0</v>
      </c>
      <c r="I104" s="309">
        <f t="shared" si="46"/>
        <v>0</v>
      </c>
      <c r="J104" s="309">
        <f t="shared" si="46"/>
        <v>0</v>
      </c>
      <c r="K104" s="309">
        <f t="shared" si="46"/>
        <v>0</v>
      </c>
      <c r="L104" s="309">
        <f t="shared" si="46"/>
        <v>0</v>
      </c>
      <c r="M104" s="309">
        <f t="shared" si="46"/>
        <v>0</v>
      </c>
      <c r="N104" s="309">
        <f t="shared" si="46"/>
        <v>0</v>
      </c>
    </row>
    <row r="106" spans="1:15" ht="15.75">
      <c r="B106" s="340" t="s">
        <v>151</v>
      </c>
      <c r="H106" s="325"/>
    </row>
    <row r="107" spans="1:15">
      <c r="H107" s="325"/>
    </row>
    <row r="108" spans="1:15">
      <c r="B108" s="341" t="s">
        <v>49</v>
      </c>
      <c r="H108" s="325"/>
    </row>
    <row r="109" spans="1:15">
      <c r="H109" s="325"/>
    </row>
    <row r="110" spans="1:15">
      <c r="B110" s="338" t="str">
        <f t="shared" ref="B110:B121" si="47">B76</f>
        <v>Age group</v>
      </c>
      <c r="C110" s="338" t="str">
        <f t="shared" ref="C110:N110" si="48">C76</f>
        <v>2016/17</v>
      </c>
      <c r="D110" s="338" t="str">
        <f t="shared" si="48"/>
        <v>2017/18</v>
      </c>
      <c r="E110" s="338" t="str">
        <f t="shared" si="48"/>
        <v>2018/19</v>
      </c>
      <c r="F110" s="338" t="str">
        <f t="shared" si="48"/>
        <v>2019/20</v>
      </c>
      <c r="G110" s="338" t="str">
        <f t="shared" si="48"/>
        <v>2020/21</v>
      </c>
      <c r="H110" s="338" t="str">
        <f t="shared" si="48"/>
        <v>2021/22</v>
      </c>
      <c r="I110" s="338" t="str">
        <f t="shared" si="48"/>
        <v>2022/23</v>
      </c>
      <c r="J110" s="338" t="str">
        <f t="shared" si="48"/>
        <v>2023/24</v>
      </c>
      <c r="K110" s="338" t="str">
        <f t="shared" si="48"/>
        <v>2024/25</v>
      </c>
      <c r="L110" s="338" t="str">
        <f t="shared" si="48"/>
        <v>2025/26</v>
      </c>
      <c r="M110" s="338" t="str">
        <f t="shared" si="48"/>
        <v>2026/27</v>
      </c>
      <c r="N110" s="338" t="str">
        <f t="shared" si="48"/>
        <v>2027/28</v>
      </c>
    </row>
    <row r="111" spans="1:15">
      <c r="B111" s="338" t="str">
        <f t="shared" si="47"/>
        <v>20-24</v>
      </c>
      <c r="C111" s="459">
        <f>C77*Group_1_rates!E74</f>
        <v>13.757169938401152</v>
      </c>
      <c r="D111" s="459">
        <f>D77*Group_1_rates!F74</f>
        <v>21.825775911400246</v>
      </c>
      <c r="E111" s="459">
        <f>E77*Group_1_rates!G74</f>
        <v>29.707967840485296</v>
      </c>
      <c r="F111" s="459">
        <f>F77*Group_1_rates!H74</f>
        <v>30.973131106077275</v>
      </c>
      <c r="G111" s="459">
        <f>G77*Group_1_rates!I74</f>
        <v>31.444423255874614</v>
      </c>
      <c r="H111" s="459">
        <f>H77*Group_1_rates!J74</f>
        <v>35.095746063620531</v>
      </c>
      <c r="I111" s="459">
        <f>I77*Group_1_rates!K74</f>
        <v>38.624358100095236</v>
      </c>
      <c r="J111" s="459">
        <f>J77*Group_1_rates!L74</f>
        <v>41.290091640395438</v>
      </c>
      <c r="K111" s="459">
        <f>K77*Group_1_rates!M74</f>
        <v>43.236272890509404</v>
      </c>
      <c r="L111" s="459">
        <f>L77*Group_1_rates!N74</f>
        <v>44.11785677353884</v>
      </c>
      <c r="M111" s="459">
        <f>M77*Group_1_rates!O74</f>
        <v>44.394855479097522</v>
      </c>
      <c r="N111" s="459">
        <f>N77*Group_1_rates!P74</f>
        <v>44.374802589079792</v>
      </c>
      <c r="O111" s="327"/>
    </row>
    <row r="112" spans="1:15">
      <c r="B112" s="338" t="str">
        <f t="shared" si="47"/>
        <v>25-29</v>
      </c>
      <c r="C112" s="459">
        <f>C78*Group_1_rates!E75</f>
        <v>45.80780162790014</v>
      </c>
      <c r="D112" s="459">
        <f>D78*Group_1_rates!F75</f>
        <v>46.338157556115853</v>
      </c>
      <c r="E112" s="459">
        <f>E78*Group_1_rates!G75</f>
        <v>49.978994864793137</v>
      </c>
      <c r="F112" s="459">
        <f>F78*Group_1_rates!H75</f>
        <v>49.638019531409775</v>
      </c>
      <c r="G112" s="459">
        <f>G78*Group_1_rates!I75</f>
        <v>49.176621840528355</v>
      </c>
      <c r="H112" s="459">
        <f>H78*Group_1_rates!J75</f>
        <v>52.077926342209636</v>
      </c>
      <c r="I112" s="459">
        <f>I78*Group_1_rates!K75</f>
        <v>55.593699797449254</v>
      </c>
      <c r="J112" s="459">
        <f>J78*Group_1_rates!L75</f>
        <v>58.791552895840375</v>
      </c>
      <c r="K112" s="459">
        <f>K78*Group_1_rates!M75</f>
        <v>61.530694484914719</v>
      </c>
      <c r="L112" s="459">
        <f>L78*Group_1_rates!N75</f>
        <v>63.306013714851581</v>
      </c>
      <c r="M112" s="459">
        <f>M78*Group_1_rates!O75</f>
        <v>64.376179423536968</v>
      </c>
      <c r="N112" s="459">
        <f>N78*Group_1_rates!P75</f>
        <v>64.977068367657949</v>
      </c>
      <c r="O112" s="327"/>
    </row>
    <row r="113" spans="1:15">
      <c r="B113" s="338" t="str">
        <f t="shared" si="47"/>
        <v>30-34</v>
      </c>
      <c r="C113" s="459">
        <f>C79*Group_1_rates!E76</f>
        <v>63.645760605310514</v>
      </c>
      <c r="D113" s="459">
        <f>D79*Group_1_rates!F76</f>
        <v>57.801739068355133</v>
      </c>
      <c r="E113" s="459">
        <f>E79*Group_1_rates!G76</f>
        <v>54.46881663563547</v>
      </c>
      <c r="F113" s="459">
        <f>F79*Group_1_rates!H76</f>
        <v>50.800767434137413</v>
      </c>
      <c r="G113" s="459">
        <f>G79*Group_1_rates!I76</f>
        <v>47.881362848080947</v>
      </c>
      <c r="H113" s="459">
        <f>H79*Group_1_rates!J76</f>
        <v>46.984772760938633</v>
      </c>
      <c r="I113" s="459">
        <f>I79*Group_1_rates!K76</f>
        <v>47.087860681627326</v>
      </c>
      <c r="J113" s="459">
        <f>J79*Group_1_rates!L76</f>
        <v>47.698384294718295</v>
      </c>
      <c r="K113" s="459">
        <f>K79*Group_1_rates!M76</f>
        <v>48.594856541386775</v>
      </c>
      <c r="L113" s="459">
        <f>L79*Group_1_rates!N76</f>
        <v>49.419072904502791</v>
      </c>
      <c r="M113" s="459">
        <f>M79*Group_1_rates!O76</f>
        <v>50.120124904067431</v>
      </c>
      <c r="N113" s="459">
        <f>N79*Group_1_rates!P76</f>
        <v>50.689161309713171</v>
      </c>
      <c r="O113" s="327"/>
    </row>
    <row r="114" spans="1:15">
      <c r="B114" s="338" t="str">
        <f t="shared" si="47"/>
        <v>35-39</v>
      </c>
      <c r="C114" s="459">
        <f>C80*Group_1_rates!E77</f>
        <v>63.666385530153889</v>
      </c>
      <c r="D114" s="459">
        <f>D80*Group_1_rates!F77</f>
        <v>62.094830727347542</v>
      </c>
      <c r="E114" s="459">
        <f>E80*Group_1_rates!G77</f>
        <v>60.447009546184795</v>
      </c>
      <c r="F114" s="459">
        <f>F80*Group_1_rates!H77</f>
        <v>57.553401254354299</v>
      </c>
      <c r="G114" s="459">
        <f>G80*Group_1_rates!I77</f>
        <v>54.630035046265988</v>
      </c>
      <c r="H114" s="459">
        <f>H80*Group_1_rates!J77</f>
        <v>52.772320407473138</v>
      </c>
      <c r="I114" s="459">
        <f>I80*Group_1_rates!K77</f>
        <v>51.490651400555322</v>
      </c>
      <c r="J114" s="459">
        <f>J80*Group_1_rates!L77</f>
        <v>50.622206575515115</v>
      </c>
      <c r="K114" s="459">
        <f>K80*Group_1_rates!M77</f>
        <v>50.121327363551558</v>
      </c>
      <c r="L114" s="459">
        <f>L80*Group_1_rates!N77</f>
        <v>49.80022577989088</v>
      </c>
      <c r="M114" s="459">
        <f>M80*Group_1_rates!O77</f>
        <v>49.631117015276807</v>
      </c>
      <c r="N114" s="459">
        <f>N80*Group_1_rates!P77</f>
        <v>49.581902312334137</v>
      </c>
      <c r="O114" s="327"/>
    </row>
    <row r="115" spans="1:15">
      <c r="B115" s="338" t="str">
        <f t="shared" si="47"/>
        <v>40-44</v>
      </c>
      <c r="C115" s="459">
        <f>C81*Group_1_rates!E78</f>
        <v>51.88865298012265</v>
      </c>
      <c r="D115" s="459">
        <f>D81*Group_1_rates!F78</f>
        <v>52.552112458389111</v>
      </c>
      <c r="E115" s="459">
        <f>E81*Group_1_rates!G78</f>
        <v>53.243266244483785</v>
      </c>
      <c r="F115" s="459">
        <f>F81*Group_1_rates!H78</f>
        <v>52.604424557548846</v>
      </c>
      <c r="G115" s="459">
        <f>G81*Group_1_rates!I78</f>
        <v>51.525874837437954</v>
      </c>
      <c r="H115" s="459">
        <f>H81*Group_1_rates!J78</f>
        <v>50.883053102070832</v>
      </c>
      <c r="I115" s="459">
        <f>I81*Group_1_rates!K78</f>
        <v>50.281077193715063</v>
      </c>
      <c r="J115" s="459">
        <f>J81*Group_1_rates!L78</f>
        <v>49.653066989744239</v>
      </c>
      <c r="K115" s="459">
        <f>K81*Group_1_rates!M78</f>
        <v>49.054177238962218</v>
      </c>
      <c r="L115" s="459">
        <f>L81*Group_1_rates!N78</f>
        <v>48.425735307063725</v>
      </c>
      <c r="M115" s="459">
        <f>M81*Group_1_rates!O78</f>
        <v>47.833840006850288</v>
      </c>
      <c r="N115" s="459">
        <f>N81*Group_1_rates!P78</f>
        <v>47.320818781716795</v>
      </c>
      <c r="O115" s="327"/>
    </row>
    <row r="116" spans="1:15">
      <c r="B116" s="338" t="str">
        <f t="shared" si="47"/>
        <v>45-49</v>
      </c>
      <c r="C116" s="459">
        <f>C82*Group_1_rates!E79</f>
        <v>52.38605056038628</v>
      </c>
      <c r="D116" s="459">
        <f>D82*Group_1_rates!F79</f>
        <v>52.263230463908535</v>
      </c>
      <c r="E116" s="459">
        <f>E82*Group_1_rates!G79</f>
        <v>52.791071635717692</v>
      </c>
      <c r="F116" s="459">
        <f>F82*Group_1_rates!H79</f>
        <v>52.498759875936322</v>
      </c>
      <c r="G116" s="459">
        <f>G82*Group_1_rates!I79</f>
        <v>52.063671611148429</v>
      </c>
      <c r="H116" s="459">
        <f>H82*Group_1_rates!J79</f>
        <v>52.173578581086957</v>
      </c>
      <c r="I116" s="459">
        <f>I82*Group_1_rates!K79</f>
        <v>52.315863810653646</v>
      </c>
      <c r="J116" s="459">
        <f>J82*Group_1_rates!L79</f>
        <v>52.334720588863483</v>
      </c>
      <c r="K116" s="459">
        <f>K82*Group_1_rates!M79</f>
        <v>52.232168635558935</v>
      </c>
      <c r="L116" s="459">
        <f>L82*Group_1_rates!N79</f>
        <v>51.933022310570919</v>
      </c>
      <c r="M116" s="459">
        <f>M82*Group_1_rates!O79</f>
        <v>51.509096426241548</v>
      </c>
      <c r="N116" s="459">
        <f>N82*Group_1_rates!P79</f>
        <v>51.025862176076615</v>
      </c>
      <c r="O116" s="327"/>
    </row>
    <row r="117" spans="1:15">
      <c r="B117" s="338" t="str">
        <f t="shared" si="47"/>
        <v>50-54</v>
      </c>
      <c r="C117" s="459">
        <f>C83*Group_1_rates!E80</f>
        <v>38.096832579288019</v>
      </c>
      <c r="D117" s="459">
        <f>D83*Group_1_rates!F80</f>
        <v>37.89138495174474</v>
      </c>
      <c r="E117" s="459">
        <f>E83*Group_1_rates!G80</f>
        <v>38.055434263979173</v>
      </c>
      <c r="F117" s="459">
        <f>F83*Group_1_rates!H80</f>
        <v>37.676889381949991</v>
      </c>
      <c r="G117" s="459">
        <f>G83*Group_1_rates!I80</f>
        <v>37.300944136436684</v>
      </c>
      <c r="H117" s="459">
        <f>H83*Group_1_rates!J80</f>
        <v>37.429031588412784</v>
      </c>
      <c r="I117" s="459">
        <f>I83*Group_1_rates!K80</f>
        <v>37.683688705011512</v>
      </c>
      <c r="J117" s="459">
        <f>J83*Group_1_rates!L80</f>
        <v>37.923887988635123</v>
      </c>
      <c r="K117" s="459">
        <f>K83*Group_1_rates!M80</f>
        <v>38.11453479296221</v>
      </c>
      <c r="L117" s="459">
        <f>L83*Group_1_rates!N80</f>
        <v>38.168290764315167</v>
      </c>
      <c r="M117" s="459">
        <f>M83*Group_1_rates!O80</f>
        <v>38.108592550427531</v>
      </c>
      <c r="N117" s="459">
        <f>N83*Group_1_rates!P80</f>
        <v>37.963329934160164</v>
      </c>
      <c r="O117" s="327"/>
    </row>
    <row r="118" spans="1:15">
      <c r="B118" s="338" t="str">
        <f t="shared" si="47"/>
        <v>55-59</v>
      </c>
      <c r="C118" s="459">
        <f>C84*Group_1_rates!E81</f>
        <v>14.687914643552714</v>
      </c>
      <c r="D118" s="459">
        <f>D84*Group_1_rates!F81</f>
        <v>13.301073774897414</v>
      </c>
      <c r="E118" s="459">
        <f>E84*Group_1_rates!G81</f>
        <v>12.587024750547668</v>
      </c>
      <c r="F118" s="459">
        <f>F84*Group_1_rates!H81</f>
        <v>11.946720071839204</v>
      </c>
      <c r="G118" s="459">
        <f>G84*Group_1_rates!I81</f>
        <v>11.505256953531569</v>
      </c>
      <c r="H118" s="459">
        <f>H84*Group_1_rates!J81</f>
        <v>11.391143077483845</v>
      </c>
      <c r="I118" s="459">
        <f>I84*Group_1_rates!K81</f>
        <v>11.393635133063739</v>
      </c>
      <c r="J118" s="459">
        <f>J84*Group_1_rates!L81</f>
        <v>11.434668051615754</v>
      </c>
      <c r="K118" s="459">
        <f>K84*Group_1_rates!M81</f>
        <v>11.490011453656534</v>
      </c>
      <c r="L118" s="459">
        <f>L84*Group_1_rates!N81</f>
        <v>11.516826909621505</v>
      </c>
      <c r="M118" s="459">
        <f>M84*Group_1_rates!O81</f>
        <v>11.519836765345135</v>
      </c>
      <c r="N118" s="459">
        <f>N84*Group_1_rates!P81</f>
        <v>11.503770072837092</v>
      </c>
      <c r="O118" s="327"/>
    </row>
    <row r="119" spans="1:15">
      <c r="B119" s="338" t="str">
        <f t="shared" si="47"/>
        <v>60-64</v>
      </c>
      <c r="C119" s="459">
        <f>C85*Group_1_rates!E82</f>
        <v>2.066369831498057</v>
      </c>
      <c r="D119" s="459">
        <f>D85*Group_1_rates!F82</f>
        <v>1.970705860497153</v>
      </c>
      <c r="E119" s="459">
        <f>E85*Group_1_rates!G82</f>
        <v>1.8731670092849311</v>
      </c>
      <c r="F119" s="459">
        <f>F85*Group_1_rates!H82</f>
        <v>1.7379658883928997</v>
      </c>
      <c r="G119" s="459">
        <f>G85*Group_1_rates!I82</f>
        <v>1.6318804128264086</v>
      </c>
      <c r="H119" s="459">
        <f>H85*Group_1_rates!J82</f>
        <v>1.5939914289169073</v>
      </c>
      <c r="I119" s="459">
        <f>I85*Group_1_rates!K82</f>
        <v>1.5810018454098247</v>
      </c>
      <c r="J119" s="459">
        <f>J85*Group_1_rates!L82</f>
        <v>1.5776662826379835</v>
      </c>
      <c r="K119" s="459">
        <f>K85*Group_1_rates!M82</f>
        <v>1.5797086904935014</v>
      </c>
      <c r="L119" s="459">
        <f>L85*Group_1_rates!N82</f>
        <v>1.5785875128704514</v>
      </c>
      <c r="M119" s="459">
        <f>M85*Group_1_rates!O82</f>
        <v>1.5757798287779134</v>
      </c>
      <c r="N119" s="459">
        <f>N85*Group_1_rates!P82</f>
        <v>1.5721715208699512</v>
      </c>
      <c r="O119" s="327"/>
    </row>
    <row r="120" spans="1:15">
      <c r="B120" s="338" t="str">
        <f t="shared" si="47"/>
        <v>65 plus</v>
      </c>
      <c r="C120" s="459">
        <f>C86*Group_1_rates!E83</f>
        <v>0.44388144715565997</v>
      </c>
      <c r="D120" s="459">
        <f>D86*Group_1_rates!F83</f>
        <v>0.56005803086571138</v>
      </c>
      <c r="E120" s="459">
        <f>E86*Group_1_rates!G83</f>
        <v>0.62142114689005234</v>
      </c>
      <c r="F120" s="459">
        <f>F86*Group_1_rates!H83</f>
        <v>0.62344773839687451</v>
      </c>
      <c r="G120" s="459">
        <f>G86*Group_1_rates!I83</f>
        <v>0.60550760760611055</v>
      </c>
      <c r="H120" s="459">
        <f>H86*Group_1_rates!J83</f>
        <v>0.59733925743502614</v>
      </c>
      <c r="I120" s="459">
        <f>I86*Group_1_rates!K83</f>
        <v>0.59271417111805003</v>
      </c>
      <c r="J120" s="459">
        <f>J86*Group_1_rates!L83</f>
        <v>0.58965565599436642</v>
      </c>
      <c r="K120" s="459">
        <f>K86*Group_1_rates!M83</f>
        <v>0.58810031449710365</v>
      </c>
      <c r="L120" s="459">
        <f>L86*Group_1_rates!N83</f>
        <v>0.58545950449967954</v>
      </c>
      <c r="M120" s="459">
        <f>M86*Group_1_rates!O83</f>
        <v>0.58239900777618736</v>
      </c>
      <c r="N120" s="459">
        <f>N86*Group_1_rates!P83</f>
        <v>0.57943054567977048</v>
      </c>
      <c r="O120" s="327"/>
    </row>
    <row r="121" spans="1:15">
      <c r="B121" s="338" t="str">
        <f t="shared" si="47"/>
        <v>Total</v>
      </c>
      <c r="C121" s="459">
        <f>SUM(C111:C120)</f>
        <v>346.44681974376908</v>
      </c>
      <c r="D121" s="459">
        <f t="shared" ref="D121:N121" si="49">SUM(D111:D120)</f>
        <v>346.59906880352145</v>
      </c>
      <c r="E121" s="459">
        <f t="shared" si="49"/>
        <v>353.77417393800198</v>
      </c>
      <c r="F121" s="459">
        <f t="shared" si="49"/>
        <v>346.05352684004288</v>
      </c>
      <c r="G121" s="459">
        <f t="shared" si="49"/>
        <v>337.76557854973703</v>
      </c>
      <c r="H121" s="459">
        <f t="shared" si="49"/>
        <v>340.99890260964827</v>
      </c>
      <c r="I121" s="459">
        <f t="shared" si="49"/>
        <v>346.64455083869899</v>
      </c>
      <c r="J121" s="459">
        <f t="shared" si="49"/>
        <v>351.91590096396015</v>
      </c>
      <c r="K121" s="459">
        <f t="shared" si="49"/>
        <v>356.54185240649292</v>
      </c>
      <c r="L121" s="459">
        <f t="shared" si="49"/>
        <v>358.85109148172552</v>
      </c>
      <c r="M121" s="459">
        <f t="shared" si="49"/>
        <v>359.65182140739734</v>
      </c>
      <c r="N121" s="459">
        <f t="shared" si="49"/>
        <v>359.58831761012544</v>
      </c>
      <c r="O121" s="327"/>
    </row>
    <row r="122" spans="1:15">
      <c r="A122" s="309">
        <f>SUM(C122:N122)</f>
        <v>0</v>
      </c>
      <c r="C122" s="309">
        <f t="shared" ref="C122:N122" si="50">SUM(C111:C120)-C121</f>
        <v>0</v>
      </c>
      <c r="D122" s="309">
        <f t="shared" si="50"/>
        <v>0</v>
      </c>
      <c r="E122" s="309">
        <f t="shared" si="50"/>
        <v>0</v>
      </c>
      <c r="F122" s="309">
        <f t="shared" si="50"/>
        <v>0</v>
      </c>
      <c r="G122" s="309">
        <f t="shared" si="50"/>
        <v>0</v>
      </c>
      <c r="H122" s="309">
        <f t="shared" si="50"/>
        <v>0</v>
      </c>
      <c r="I122" s="309">
        <f t="shared" si="50"/>
        <v>0</v>
      </c>
      <c r="J122" s="309">
        <f t="shared" si="50"/>
        <v>0</v>
      </c>
      <c r="K122" s="309">
        <f t="shared" si="50"/>
        <v>0</v>
      </c>
      <c r="L122" s="309">
        <f t="shared" si="50"/>
        <v>0</v>
      </c>
      <c r="M122" s="309">
        <f t="shared" si="50"/>
        <v>0</v>
      </c>
      <c r="N122" s="309">
        <f t="shared" si="50"/>
        <v>0</v>
      </c>
    </row>
    <row r="124" spans="1:15">
      <c r="B124" s="341" t="s">
        <v>50</v>
      </c>
      <c r="C124" s="329"/>
      <c r="D124" s="329"/>
      <c r="E124" s="329"/>
      <c r="F124" s="329"/>
      <c r="G124" s="329"/>
      <c r="H124" s="339"/>
      <c r="I124" s="329"/>
      <c r="J124" s="329"/>
      <c r="K124" s="329"/>
      <c r="L124" s="329"/>
    </row>
    <row r="125" spans="1:15">
      <c r="C125" s="329"/>
      <c r="D125" s="329"/>
      <c r="E125" s="329"/>
      <c r="F125" s="329"/>
      <c r="G125" s="329"/>
      <c r="H125" s="339"/>
      <c r="I125" s="329"/>
      <c r="J125" s="329"/>
      <c r="K125" s="329"/>
      <c r="L125" s="329"/>
    </row>
    <row r="126" spans="1:15">
      <c r="B126" s="338" t="str">
        <f t="shared" ref="B126:B137" si="51">B110</f>
        <v>Age group</v>
      </c>
      <c r="C126" s="338" t="str">
        <f t="shared" ref="C126:N126" si="52">C110</f>
        <v>2016/17</v>
      </c>
      <c r="D126" s="338" t="str">
        <f t="shared" si="52"/>
        <v>2017/18</v>
      </c>
      <c r="E126" s="338" t="str">
        <f t="shared" si="52"/>
        <v>2018/19</v>
      </c>
      <c r="F126" s="338" t="str">
        <f t="shared" si="52"/>
        <v>2019/20</v>
      </c>
      <c r="G126" s="338" t="str">
        <f t="shared" si="52"/>
        <v>2020/21</v>
      </c>
      <c r="H126" s="338" t="str">
        <f t="shared" si="52"/>
        <v>2021/22</v>
      </c>
      <c r="I126" s="338" t="str">
        <f t="shared" si="52"/>
        <v>2022/23</v>
      </c>
      <c r="J126" s="338" t="str">
        <f t="shared" si="52"/>
        <v>2023/24</v>
      </c>
      <c r="K126" s="338" t="str">
        <f t="shared" si="52"/>
        <v>2024/25</v>
      </c>
      <c r="L126" s="338" t="str">
        <f t="shared" si="52"/>
        <v>2025/26</v>
      </c>
      <c r="M126" s="338" t="str">
        <f t="shared" si="52"/>
        <v>2026/27</v>
      </c>
      <c r="N126" s="338" t="str">
        <f t="shared" si="52"/>
        <v>2027/28</v>
      </c>
    </row>
    <row r="127" spans="1:15">
      <c r="B127" s="338" t="str">
        <f t="shared" si="51"/>
        <v>20-24</v>
      </c>
      <c r="C127" s="459">
        <f>C93*Group_1_rates!E89</f>
        <v>10.072109317223834</v>
      </c>
      <c r="D127" s="459">
        <f>D93*Group_1_rates!F89</f>
        <v>14.389895756958012</v>
      </c>
      <c r="E127" s="459">
        <f>E93*Group_1_rates!G89</f>
        <v>18.803744194318234</v>
      </c>
      <c r="F127" s="459">
        <f>F93*Group_1_rates!H89</f>
        <v>19.443618672905</v>
      </c>
      <c r="G127" s="459">
        <f>G93*Group_1_rates!I89</f>
        <v>19.657026155039766</v>
      </c>
      <c r="H127" s="459">
        <f>H93*Group_1_rates!J89</f>
        <v>21.776563434556145</v>
      </c>
      <c r="I127" s="459">
        <f>I93*Group_1_rates!K89</f>
        <v>23.867348421221706</v>
      </c>
      <c r="J127" s="459">
        <f>J93*Group_1_rates!L89</f>
        <v>25.477048163356866</v>
      </c>
      <c r="K127" s="459">
        <f>K93*Group_1_rates!M89</f>
        <v>26.674213187278635</v>
      </c>
      <c r="L127" s="459">
        <f>L93*Group_1_rates!N89</f>
        <v>27.244398106085363</v>
      </c>
      <c r="M127" s="459">
        <f>M93*Group_1_rates!O89</f>
        <v>27.449809054750528</v>
      </c>
      <c r="N127" s="459">
        <f>N93*Group_1_rates!P89</f>
        <v>27.469361888903617</v>
      </c>
    </row>
    <row r="128" spans="1:15">
      <c r="B128" s="338" t="str">
        <f t="shared" si="51"/>
        <v>25-29</v>
      </c>
      <c r="C128" s="459">
        <f>C94*Group_1_rates!E90</f>
        <v>33.811247384768883</v>
      </c>
      <c r="D128" s="459">
        <f>D94*Group_1_rates!F90</f>
        <v>33.637346805573237</v>
      </c>
      <c r="E128" s="459">
        <f>E94*Group_1_rates!G90</f>
        <v>35.648946091132032</v>
      </c>
      <c r="F128" s="459">
        <f>F94*Group_1_rates!H90</f>
        <v>35.089397201084267</v>
      </c>
      <c r="G128" s="459">
        <f>G94*Group_1_rates!I90</f>
        <v>34.528699010585399</v>
      </c>
      <c r="H128" s="459">
        <f>H94*Group_1_rates!J90</f>
        <v>36.287392825040968</v>
      </c>
      <c r="I128" s="459">
        <f>I94*Group_1_rates!K90</f>
        <v>38.514314432174537</v>
      </c>
      <c r="J128" s="459">
        <f>J94*Group_1_rates!L90</f>
        <v>40.574385762181372</v>
      </c>
      <c r="K128" s="459">
        <f>K94*Group_1_rates!M90</f>
        <v>42.362525442915441</v>
      </c>
      <c r="L128" s="459">
        <f>L94*Group_1_rates!N90</f>
        <v>43.52984878822847</v>
      </c>
      <c r="M128" s="459">
        <f>M94*Group_1_rates!O90</f>
        <v>44.2405381404037</v>
      </c>
      <c r="N128" s="459">
        <f>N94*Group_1_rates!P90</f>
        <v>44.645655875097781</v>
      </c>
    </row>
    <row r="129" spans="1:14">
      <c r="B129" s="338" t="str">
        <f t="shared" si="51"/>
        <v>30-34</v>
      </c>
      <c r="C129" s="459">
        <f>C95*Group_1_rates!E91</f>
        <v>48.927901533541906</v>
      </c>
      <c r="D129" s="459">
        <f>D95*Group_1_rates!F91</f>
        <v>45.155842720454523</v>
      </c>
      <c r="E129" s="459">
        <f>E95*Group_1_rates!G91</f>
        <v>43.19701288751083</v>
      </c>
      <c r="F129" s="459">
        <f>F95*Group_1_rates!H91</f>
        <v>40.673955676899865</v>
      </c>
      <c r="G129" s="459">
        <f>G95*Group_1_rates!I91</f>
        <v>38.617822429115222</v>
      </c>
      <c r="H129" s="459">
        <f>H95*Group_1_rates!J91</f>
        <v>38.179879926409974</v>
      </c>
      <c r="I129" s="459">
        <f>I95*Group_1_rates!K91</f>
        <v>38.494858224398044</v>
      </c>
      <c r="J129" s="459">
        <f>J95*Group_1_rates!L91</f>
        <v>39.163420507706341</v>
      </c>
      <c r="K129" s="459">
        <f>K95*Group_1_rates!M91</f>
        <v>40.018043904586719</v>
      </c>
      <c r="L129" s="459">
        <f>L95*Group_1_rates!N91</f>
        <v>40.768058451586484</v>
      </c>
      <c r="M129" s="459">
        <f>M95*Group_1_rates!O91</f>
        <v>41.386186117004179</v>
      </c>
      <c r="N129" s="459">
        <f>N95*Group_1_rates!P91</f>
        <v>41.87608791271024</v>
      </c>
    </row>
    <row r="130" spans="1:14">
      <c r="B130" s="338" t="str">
        <f t="shared" si="51"/>
        <v>35-39</v>
      </c>
      <c r="C130" s="459">
        <f>C96*Group_1_rates!E92</f>
        <v>44.122848993242002</v>
      </c>
      <c r="D130" s="459">
        <f>D96*Group_1_rates!F92</f>
        <v>42.247565897266234</v>
      </c>
      <c r="E130" s="459">
        <f>E96*Group_1_rates!G92</f>
        <v>40.724871343938254</v>
      </c>
      <c r="F130" s="459">
        <f>F96*Group_1_rates!H92</f>
        <v>38.53888889896065</v>
      </c>
      <c r="G130" s="459">
        <f>G96*Group_1_rates!I92</f>
        <v>36.470719877322473</v>
      </c>
      <c r="H130" s="459">
        <f>H96*Group_1_rates!J92</f>
        <v>35.24853981547566</v>
      </c>
      <c r="I130" s="459">
        <f>I96*Group_1_rates!K92</f>
        <v>34.46996797533911</v>
      </c>
      <c r="J130" s="459">
        <f>J96*Group_1_rates!L92</f>
        <v>33.988978558607712</v>
      </c>
      <c r="K130" s="459">
        <f>K96*Group_1_rates!M92</f>
        <v>33.757575833786611</v>
      </c>
      <c r="L130" s="459">
        <f>L96*Group_1_rates!N92</f>
        <v>33.632995030967095</v>
      </c>
      <c r="M130" s="459">
        <f>M96*Group_1_rates!O92</f>
        <v>33.594561767906413</v>
      </c>
      <c r="N130" s="459">
        <f>N96*Group_1_rates!P92</f>
        <v>33.621368862316594</v>
      </c>
    </row>
    <row r="131" spans="1:14">
      <c r="B131" s="338" t="str">
        <f t="shared" si="51"/>
        <v>40-44</v>
      </c>
      <c r="C131" s="459">
        <f>C97*Group_1_rates!E93</f>
        <v>39.331920732925511</v>
      </c>
      <c r="D131" s="459">
        <f>D97*Group_1_rates!F93</f>
        <v>38.942014560908852</v>
      </c>
      <c r="E131" s="459">
        <f>E97*Group_1_rates!G93</f>
        <v>38.66766211836984</v>
      </c>
      <c r="F131" s="459">
        <f>F97*Group_1_rates!H93</f>
        <v>37.558162334427507</v>
      </c>
      <c r="G131" s="459">
        <f>G97*Group_1_rates!I93</f>
        <v>36.280485431188573</v>
      </c>
      <c r="H131" s="459">
        <f>H97*Group_1_rates!J93</f>
        <v>35.465588940542055</v>
      </c>
      <c r="I131" s="459">
        <f>I97*Group_1_rates!K93</f>
        <v>34.796574824028312</v>
      </c>
      <c r="J131" s="459">
        <f>J97*Group_1_rates!L93</f>
        <v>34.197990133465858</v>
      </c>
      <c r="K131" s="459">
        <f>K97*Group_1_rates!M93</f>
        <v>33.686379513594588</v>
      </c>
      <c r="L131" s="459">
        <f>L97*Group_1_rates!N93</f>
        <v>33.197885576989002</v>
      </c>
      <c r="M131" s="459">
        <f>M97*Group_1_rates!O93</f>
        <v>32.765098110156352</v>
      </c>
      <c r="N131" s="459">
        <f>N97*Group_1_rates!P93</f>
        <v>32.40702460325749</v>
      </c>
    </row>
    <row r="132" spans="1:14">
      <c r="B132" s="338" t="str">
        <f t="shared" si="51"/>
        <v>45-49</v>
      </c>
      <c r="C132" s="459">
        <f>C98*Group_1_rates!E94</f>
        <v>35.456667102365849</v>
      </c>
      <c r="D132" s="459">
        <f>D98*Group_1_rates!F94</f>
        <v>35.564557296884523</v>
      </c>
      <c r="E132" s="459">
        <f>E98*Group_1_rates!G94</f>
        <v>35.88207079285884</v>
      </c>
      <c r="F132" s="459">
        <f>F98*Group_1_rates!H94</f>
        <v>35.496326881223204</v>
      </c>
      <c r="G132" s="459">
        <f>G98*Group_1_rates!I94</f>
        <v>34.935565471498009</v>
      </c>
      <c r="H132" s="459">
        <f>H98*Group_1_rates!J94</f>
        <v>34.717884914659116</v>
      </c>
      <c r="I132" s="459">
        <f>I98*Group_1_rates!K94</f>
        <v>34.532136191017806</v>
      </c>
      <c r="J132" s="459">
        <f>J98*Group_1_rates!L94</f>
        <v>34.293732762575047</v>
      </c>
      <c r="K132" s="459">
        <f>K98*Group_1_rates!M94</f>
        <v>34.013889349709387</v>
      </c>
      <c r="L132" s="459">
        <f>L98*Group_1_rates!N94</f>
        <v>33.644030843402597</v>
      </c>
      <c r="M132" s="459">
        <f>M98*Group_1_rates!O94</f>
        <v>33.230200555922821</v>
      </c>
      <c r="N132" s="459">
        <f>N98*Group_1_rates!P94</f>
        <v>32.81153507074761</v>
      </c>
    </row>
    <row r="133" spans="1:14">
      <c r="B133" s="338" t="str">
        <f t="shared" si="51"/>
        <v>50-54</v>
      </c>
      <c r="C133" s="459">
        <f>C99*Group_1_rates!E95</f>
        <v>27.771213790879081</v>
      </c>
      <c r="D133" s="459">
        <f>D99*Group_1_rates!F95</f>
        <v>27.161538085305697</v>
      </c>
      <c r="E133" s="459">
        <f>E99*Group_1_rates!G95</f>
        <v>26.966390316264825</v>
      </c>
      <c r="F133" s="459">
        <f>F99*Group_1_rates!H95</f>
        <v>26.486493114692927</v>
      </c>
      <c r="G133" s="459">
        <f>G99*Group_1_rates!I95</f>
        <v>26.038662584310625</v>
      </c>
      <c r="H133" s="459">
        <f>H99*Group_1_rates!J95</f>
        <v>25.938338669985093</v>
      </c>
      <c r="I133" s="459">
        <f>I99*Group_1_rates!K95</f>
        <v>25.926396496988634</v>
      </c>
      <c r="J133" s="459">
        <f>J99*Group_1_rates!L95</f>
        <v>25.909132028095428</v>
      </c>
      <c r="K133" s="459">
        <f>K99*Group_1_rates!M95</f>
        <v>25.866901799029623</v>
      </c>
      <c r="L133" s="459">
        <f>L99*Group_1_rates!N95</f>
        <v>25.745348449671852</v>
      </c>
      <c r="M133" s="459">
        <f>M99*Group_1_rates!O95</f>
        <v>25.563526313682807</v>
      </c>
      <c r="N133" s="459">
        <f>N99*Group_1_rates!P95</f>
        <v>25.34220727636297</v>
      </c>
    </row>
    <row r="134" spans="1:14">
      <c r="B134" s="338" t="str">
        <f t="shared" si="51"/>
        <v>55-59</v>
      </c>
      <c r="C134" s="459">
        <f>C100*Group_1_rates!E96</f>
        <v>10.159915293880543</v>
      </c>
      <c r="D134" s="459">
        <f>D100*Group_1_rates!F96</f>
        <v>9.5219549770829897</v>
      </c>
      <c r="E134" s="459">
        <f>E100*Group_1_rates!G96</f>
        <v>9.1618901748461674</v>
      </c>
      <c r="F134" s="459">
        <f>F100*Group_1_rates!H96</f>
        <v>8.7643033716997909</v>
      </c>
      <c r="G134" s="459">
        <f>G100*Group_1_rates!I96</f>
        <v>8.4582034562992092</v>
      </c>
      <c r="H134" s="459">
        <f>H100*Group_1_rates!J96</f>
        <v>8.3538399856683867</v>
      </c>
      <c r="I134" s="459">
        <f>I100*Group_1_rates!K96</f>
        <v>8.3193938891982508</v>
      </c>
      <c r="J134" s="459">
        <f>J100*Group_1_rates!L96</f>
        <v>8.3066269759667595</v>
      </c>
      <c r="K134" s="459">
        <f>K100*Group_1_rates!M96</f>
        <v>8.30155847866701</v>
      </c>
      <c r="L134" s="459">
        <f>L100*Group_1_rates!N96</f>
        <v>8.2766536471303951</v>
      </c>
      <c r="M134" s="459">
        <f>M100*Group_1_rates!O96</f>
        <v>8.236316505989361</v>
      </c>
      <c r="N134" s="459">
        <f>N100*Group_1_rates!P96</f>
        <v>8.1848827172825409</v>
      </c>
    </row>
    <row r="135" spans="1:14">
      <c r="B135" s="338" t="str">
        <f t="shared" si="51"/>
        <v>60-64</v>
      </c>
      <c r="C135" s="459">
        <f>C101*Group_1_rates!E97</f>
        <v>1.7112444731272403</v>
      </c>
      <c r="D135" s="459">
        <f>D101*Group_1_rates!F97</f>
        <v>1.5981462476857131</v>
      </c>
      <c r="E135" s="459">
        <f>E101*Group_1_rates!G97</f>
        <v>1.5243877337259173</v>
      </c>
      <c r="F135" s="459">
        <f>F101*Group_1_rates!H97</f>
        <v>1.4270327230426516</v>
      </c>
      <c r="G135" s="459">
        <f>G101*Group_1_rates!I97</f>
        <v>1.351300850188389</v>
      </c>
      <c r="H135" s="459">
        <f>H101*Group_1_rates!J97</f>
        <v>1.326625065640219</v>
      </c>
      <c r="I135" s="459">
        <f>I101*Group_1_rates!K97</f>
        <v>1.3176882279742663</v>
      </c>
      <c r="J135" s="459">
        <f>J101*Group_1_rates!L97</f>
        <v>1.3134955567535544</v>
      </c>
      <c r="K135" s="459">
        <f>K101*Group_1_rates!M97</f>
        <v>1.3117794009136652</v>
      </c>
      <c r="L135" s="459">
        <f>L101*Group_1_rates!N97</f>
        <v>1.3063922822702445</v>
      </c>
      <c r="M135" s="459">
        <f>M101*Group_1_rates!O97</f>
        <v>1.2991394267362579</v>
      </c>
      <c r="N135" s="459">
        <f>N101*Group_1_rates!P97</f>
        <v>1.2910765746669206</v>
      </c>
    </row>
    <row r="136" spans="1:14">
      <c r="B136" s="338" t="str">
        <f t="shared" si="51"/>
        <v>65 plus</v>
      </c>
      <c r="C136" s="459">
        <f>C102*Group_1_rates!E98</f>
        <v>0.53523011528713704</v>
      </c>
      <c r="D136" s="459">
        <f>D102*Group_1_rates!F98</f>
        <v>0.63644782323777072</v>
      </c>
      <c r="E136" s="459">
        <f>E102*Group_1_rates!G98</f>
        <v>0.67958586417213329</v>
      </c>
      <c r="F136" s="459">
        <f>F102*Group_1_rates!H98</f>
        <v>0.665908020762915</v>
      </c>
      <c r="G136" s="459">
        <f>G102*Group_1_rates!I98</f>
        <v>0.63972801893454645</v>
      </c>
      <c r="H136" s="459">
        <f>H102*Group_1_rates!J98</f>
        <v>0.63106704286549642</v>
      </c>
      <c r="I136" s="459">
        <f>I102*Group_1_rates!K98</f>
        <v>0.62784718054887056</v>
      </c>
      <c r="J136" s="459">
        <f>J102*Group_1_rates!L98</f>
        <v>0.6259613693528262</v>
      </c>
      <c r="K136" s="459">
        <f>K102*Group_1_rates!M98</f>
        <v>0.62490009744586894</v>
      </c>
      <c r="L136" s="459">
        <f>L102*Group_1_rates!N98</f>
        <v>0.62163349410706314</v>
      </c>
      <c r="M136" s="459">
        <f>M102*Group_1_rates!O98</f>
        <v>0.61729107779265535</v>
      </c>
      <c r="N136" s="459">
        <f>N102*Group_1_rates!P98</f>
        <v>0.6127125599079275</v>
      </c>
    </row>
    <row r="137" spans="1:14">
      <c r="B137" s="338" t="str">
        <f t="shared" si="51"/>
        <v>Total</v>
      </c>
      <c r="C137" s="459">
        <f>SUM(C127:C136)</f>
        <v>251.90029873724197</v>
      </c>
      <c r="D137" s="459">
        <f t="shared" ref="D137:N137" si="53">SUM(D127:D136)</f>
        <v>248.85531017135756</v>
      </c>
      <c r="E137" s="459">
        <f t="shared" si="53"/>
        <v>251.2565615171371</v>
      </c>
      <c r="F137" s="459">
        <f t="shared" si="53"/>
        <v>244.14408689569876</v>
      </c>
      <c r="G137" s="459">
        <f t="shared" si="53"/>
        <v>236.97821328448219</v>
      </c>
      <c r="H137" s="459">
        <f t="shared" si="53"/>
        <v>237.92572062084315</v>
      </c>
      <c r="I137" s="459">
        <f t="shared" si="53"/>
        <v>240.86652586288952</v>
      </c>
      <c r="J137" s="459">
        <f t="shared" si="53"/>
        <v>243.85077181806176</v>
      </c>
      <c r="K137" s="459">
        <f t="shared" si="53"/>
        <v>246.61776700792757</v>
      </c>
      <c r="L137" s="459">
        <f t="shared" si="53"/>
        <v>247.96724467043859</v>
      </c>
      <c r="M137" s="459">
        <f t="shared" si="53"/>
        <v>248.38266707034504</v>
      </c>
      <c r="N137" s="459">
        <f t="shared" si="53"/>
        <v>248.26191334125366</v>
      </c>
    </row>
    <row r="138" spans="1:14">
      <c r="A138" s="309">
        <f>SUM(C138:N138)</f>
        <v>0</v>
      </c>
      <c r="C138" s="309">
        <f t="shared" ref="C138:N138" si="54">SUM(C127:C136)-C137</f>
        <v>0</v>
      </c>
      <c r="D138" s="309">
        <f t="shared" si="54"/>
        <v>0</v>
      </c>
      <c r="E138" s="309">
        <f t="shared" si="54"/>
        <v>0</v>
      </c>
      <c r="F138" s="309">
        <f t="shared" si="54"/>
        <v>0</v>
      </c>
      <c r="G138" s="309">
        <f t="shared" si="54"/>
        <v>0</v>
      </c>
      <c r="H138" s="309">
        <f t="shared" si="54"/>
        <v>0</v>
      </c>
      <c r="I138" s="309">
        <f t="shared" si="54"/>
        <v>0</v>
      </c>
      <c r="J138" s="309">
        <f t="shared" si="54"/>
        <v>0</v>
      </c>
      <c r="K138" s="309">
        <f t="shared" si="54"/>
        <v>0</v>
      </c>
      <c r="L138" s="309">
        <f t="shared" si="54"/>
        <v>0</v>
      </c>
      <c r="M138" s="309">
        <f t="shared" si="54"/>
        <v>0</v>
      </c>
      <c r="N138" s="309">
        <f t="shared" si="54"/>
        <v>0</v>
      </c>
    </row>
    <row r="140" spans="1:14" ht="15.75">
      <c r="B140" s="340" t="s">
        <v>152</v>
      </c>
      <c r="H140" s="325"/>
    </row>
    <row r="141" spans="1:14">
      <c r="H141" s="325"/>
    </row>
    <row r="142" spans="1:14">
      <c r="B142" s="341" t="s">
        <v>49</v>
      </c>
      <c r="H142" s="325"/>
    </row>
    <row r="143" spans="1:14">
      <c r="H143" s="325"/>
    </row>
    <row r="144" spans="1:14">
      <c r="B144" s="338" t="str">
        <f t="shared" ref="B144:B155" si="55">B110</f>
        <v>Age group</v>
      </c>
      <c r="C144" s="338" t="str">
        <f t="shared" ref="C144:N144" si="56">C110</f>
        <v>2016/17</v>
      </c>
      <c r="D144" s="338" t="str">
        <f t="shared" si="56"/>
        <v>2017/18</v>
      </c>
      <c r="E144" s="338" t="str">
        <f t="shared" si="56"/>
        <v>2018/19</v>
      </c>
      <c r="F144" s="338" t="str">
        <f t="shared" si="56"/>
        <v>2019/20</v>
      </c>
      <c r="G144" s="338" t="str">
        <f t="shared" si="56"/>
        <v>2020/21</v>
      </c>
      <c r="H144" s="338" t="str">
        <f t="shared" si="56"/>
        <v>2021/22</v>
      </c>
      <c r="I144" s="338" t="str">
        <f t="shared" si="56"/>
        <v>2022/23</v>
      </c>
      <c r="J144" s="338" t="str">
        <f t="shared" si="56"/>
        <v>2023/24</v>
      </c>
      <c r="K144" s="338" t="str">
        <f t="shared" si="56"/>
        <v>2024/25</v>
      </c>
      <c r="L144" s="338" t="str">
        <f t="shared" si="56"/>
        <v>2025/26</v>
      </c>
      <c r="M144" s="338" t="str">
        <f t="shared" si="56"/>
        <v>2026/27</v>
      </c>
      <c r="N144" s="338" t="str">
        <f t="shared" si="56"/>
        <v>2027/28</v>
      </c>
    </row>
    <row r="145" spans="1:14">
      <c r="B145" s="338" t="str">
        <f t="shared" si="55"/>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5"/>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5"/>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5"/>
        <v>35-39</v>
      </c>
      <c r="C148" s="459">
        <f>C80*Calc_SEC_retirement_rates!$G127</f>
        <v>0.3482662595983827</v>
      </c>
      <c r="D148" s="459">
        <f>D80*Calc_SEC_retirement_rates!$G127</f>
        <v>0.33966958007323489</v>
      </c>
      <c r="E148" s="459">
        <f>E80*Calc_SEC_retirement_rates!$G127</f>
        <v>0.33065571012488143</v>
      </c>
      <c r="F148" s="459">
        <f>F80*Calc_SEC_retirement_rates!$G127</f>
        <v>0.3148271668811099</v>
      </c>
      <c r="G148" s="459">
        <f>G80*Calc_SEC_retirement_rates!$G127</f>
        <v>0.29883584263285295</v>
      </c>
      <c r="H148" s="459">
        <f>H80*Calc_SEC_retirement_rates!$G127</f>
        <v>0.28867381877574044</v>
      </c>
      <c r="I148" s="459">
        <f>I80*Calc_SEC_retirement_rates!$G127</f>
        <v>0.28166286523462836</v>
      </c>
      <c r="J148" s="459">
        <f>J80*Calc_SEC_retirement_rates!$G127</f>
        <v>0.27691232021207363</v>
      </c>
      <c r="K148" s="459">
        <f>K80*Calc_SEC_retirement_rates!$G127</f>
        <v>0.27417242335428016</v>
      </c>
      <c r="L148" s="459">
        <f>L80*Calc_SEC_retirement_rates!$G127</f>
        <v>0.27241594155369708</v>
      </c>
      <c r="M148" s="459">
        <f>M80*Calc_SEC_retirement_rates!$G127</f>
        <v>0.27149088704609431</v>
      </c>
      <c r="N148" s="459">
        <f>N80*Calc_SEC_retirement_rates!$G127</f>
        <v>0.27122167401682673</v>
      </c>
    </row>
    <row r="149" spans="1:14">
      <c r="B149" s="338" t="str">
        <f t="shared" si="55"/>
        <v>40-44</v>
      </c>
      <c r="C149" s="459">
        <f>C81*Calc_SEC_retirement_rates!$G128</f>
        <v>0.37172069880933889</v>
      </c>
      <c r="D149" s="459">
        <f>D81*Calc_SEC_retirement_rates!$G128</f>
        <v>0.37647359962153309</v>
      </c>
      <c r="E149" s="459">
        <f>E81*Calc_SEC_retirement_rates!$G128</f>
        <v>0.381424897325296</v>
      </c>
      <c r="F149" s="459">
        <f>F81*Calc_SEC_retirement_rates!$G128</f>
        <v>0.37684835381033982</v>
      </c>
      <c r="G149" s="459">
        <f>G81*Calc_SEC_retirement_rates!$G128</f>
        <v>0.36912182339117822</v>
      </c>
      <c r="H149" s="459">
        <f>H81*Calc_SEC_retirement_rates!$G128</f>
        <v>0.36451676754646334</v>
      </c>
      <c r="I149" s="459">
        <f>I81*Calc_SEC_retirement_rates!$G128</f>
        <v>0.36020432364073862</v>
      </c>
      <c r="J149" s="459">
        <f>J81*Calc_SEC_retirement_rates!$G128</f>
        <v>0.35570537486346243</v>
      </c>
      <c r="K149" s="459">
        <f>K81*Calc_SEC_retirement_rates!$G128</f>
        <v>0.3514150396189587</v>
      </c>
      <c r="L149" s="459">
        <f>L81*Calc_SEC_retirement_rates!$G128</f>
        <v>0.34691299802277603</v>
      </c>
      <c r="M149" s="459">
        <f>M81*Calc_SEC_retirement_rates!$G128</f>
        <v>0.34267276972658989</v>
      </c>
      <c r="N149" s="459">
        <f>N81*Calc_SEC_retirement_rates!$G128</f>
        <v>0.3389975806947278</v>
      </c>
    </row>
    <row r="150" spans="1:14">
      <c r="B150" s="338" t="str">
        <f t="shared" si="55"/>
        <v>45-49</v>
      </c>
      <c r="C150" s="459">
        <f>C82*Calc_SEC_retirement_rates!$G129</f>
        <v>0.7692183508219288</v>
      </c>
      <c r="D150" s="459">
        <f>D82*Calc_SEC_retirement_rates!$G129</f>
        <v>0.76741490370099141</v>
      </c>
      <c r="E150" s="459">
        <f>E82*Calc_SEC_retirement_rates!$G129</f>
        <v>0.77516553791242004</v>
      </c>
      <c r="F150" s="459">
        <f>F82*Calc_SEC_retirement_rates!$G129</f>
        <v>0.77087333479003173</v>
      </c>
      <c r="G150" s="459">
        <f>G82*Calc_SEC_retirement_rates!$G129</f>
        <v>0.76448465165927482</v>
      </c>
      <c r="H150" s="459">
        <f>H82*Calc_SEC_retirement_rates!$G129</f>
        <v>0.76609848696954497</v>
      </c>
      <c r="I150" s="459">
        <f>I82*Calc_SEC_retirement_rates!$G129</f>
        <v>0.76818775326205624</v>
      </c>
      <c r="J150" s="459">
        <f>J82*Calc_SEC_retirement_rates!$G129</f>
        <v>0.76846463956444444</v>
      </c>
      <c r="K150" s="459">
        <f>K82*Calc_SEC_retirement_rates!$G129</f>
        <v>0.76695880273287109</v>
      </c>
      <c r="L150" s="459">
        <f>L82*Calc_SEC_retirement_rates!$G129</f>
        <v>0.76256624325758737</v>
      </c>
      <c r="M150" s="459">
        <f>M82*Calc_SEC_retirement_rates!$G129</f>
        <v>0.75634146459749962</v>
      </c>
      <c r="N150" s="459">
        <f>N82*Calc_SEC_retirement_rates!$G129</f>
        <v>0.74924582274253559</v>
      </c>
    </row>
    <row r="151" spans="1:14">
      <c r="B151" s="338" t="str">
        <f t="shared" si="55"/>
        <v>50-54</v>
      </c>
      <c r="C151" s="459">
        <f>C83*Calc_SEC_retirement_rates!$G130</f>
        <v>13.287577627825783</v>
      </c>
      <c r="D151" s="459">
        <f>D83*Calc_SEC_retirement_rates!$G130</f>
        <v>13.215920717930388</v>
      </c>
      <c r="E151" s="459">
        <f>E83*Calc_SEC_retirement_rates!$G130</f>
        <v>13.273138544807983</v>
      </c>
      <c r="F151" s="459">
        <f>F83*Calc_SEC_retirement_rates!$G130</f>
        <v>13.141108027701069</v>
      </c>
      <c r="G151" s="459">
        <f>G83*Calc_SEC_retirement_rates!$G130</f>
        <v>13.009984223033753</v>
      </c>
      <c r="H151" s="459">
        <f>H83*Calc_SEC_retirement_rates!$G130</f>
        <v>13.054659117140519</v>
      </c>
      <c r="I151" s="459">
        <f>I83*Calc_SEC_retirement_rates!$G130</f>
        <v>13.143479524932728</v>
      </c>
      <c r="J151" s="459">
        <f>J83*Calc_SEC_retirement_rates!$G130</f>
        <v>13.227257267364577</v>
      </c>
      <c r="K151" s="459">
        <f>K83*Calc_SEC_retirement_rates!$G130</f>
        <v>13.293751882283567</v>
      </c>
      <c r="L151" s="459">
        <f>L83*Calc_SEC_retirement_rates!$G130</f>
        <v>13.312501121890955</v>
      </c>
      <c r="M151" s="459">
        <f>M83*Calc_SEC_retirement_rates!$G130</f>
        <v>13.29167932129576</v>
      </c>
      <c r="N151" s="459">
        <f>N83*Calc_SEC_retirement_rates!$G130</f>
        <v>13.24101399928883</v>
      </c>
    </row>
    <row r="152" spans="1:14">
      <c r="B152" s="338" t="str">
        <f t="shared" si="55"/>
        <v>55-59</v>
      </c>
      <c r="C152" s="459">
        <f>C84*Calc_SEC_retirement_rates!$G131</f>
        <v>66.677124608818815</v>
      </c>
      <c r="D152" s="459">
        <f>D84*Calc_SEC_retirement_rates!$G131</f>
        <v>60.381434331743158</v>
      </c>
      <c r="E152" s="459">
        <f>E84*Calc_SEC_retirement_rates!$G131</f>
        <v>57.139943832322786</v>
      </c>
      <c r="F152" s="459">
        <f>F84*Calc_SEC_retirement_rates!$G131</f>
        <v>54.233222498086654</v>
      </c>
      <c r="G152" s="459">
        <f>G84*Calc_SEC_retirement_rates!$G131</f>
        <v>52.229160514889017</v>
      </c>
      <c r="H152" s="459">
        <f>H84*Calc_SEC_retirement_rates!$G131</f>
        <v>51.71113019421518</v>
      </c>
      <c r="I152" s="459">
        <f>I84*Calc_SEC_retirement_rates!$G131</f>
        <v>51.722443107209664</v>
      </c>
      <c r="J152" s="459">
        <f>J84*Calc_SEC_retirement_rates!$G131</f>
        <v>51.908715773531092</v>
      </c>
      <c r="K152" s="459">
        <f>K84*Calc_SEC_retirement_rates!$G131</f>
        <v>52.159952181401202</v>
      </c>
      <c r="L152" s="459">
        <f>L84*Calc_SEC_retirement_rates!$G131</f>
        <v>52.281683383018965</v>
      </c>
      <c r="M152" s="459">
        <f>M84*Calc_SEC_retirement_rates!$G131</f>
        <v>52.295346896867549</v>
      </c>
      <c r="N152" s="459">
        <f>N84*Calc_SEC_retirement_rates!$G131</f>
        <v>52.222410684722512</v>
      </c>
    </row>
    <row r="153" spans="1:14">
      <c r="B153" s="338" t="str">
        <f t="shared" si="55"/>
        <v>60-64</v>
      </c>
      <c r="C153" s="459">
        <f>C85*Calc_SEC_retirement_rates!$G132</f>
        <v>44.29303317210092</v>
      </c>
      <c r="D153" s="459">
        <f>D85*Calc_SEC_retirement_rates!$G132</f>
        <v>42.242457628300002</v>
      </c>
      <c r="E153" s="459">
        <f>E85*Calc_SEC_retirement_rates!$G132</f>
        <v>40.151693668017309</v>
      </c>
      <c r="F153" s="459">
        <f>F85*Calc_SEC_retirement_rates!$G132</f>
        <v>37.253631742561055</v>
      </c>
      <c r="G153" s="459">
        <f>G85*Calc_SEC_retirement_rates!$G132</f>
        <v>34.97966925205268</v>
      </c>
      <c r="H153" s="459">
        <f>H85*Calc_SEC_retirement_rates!$G132</f>
        <v>34.167511623936285</v>
      </c>
      <c r="I153" s="459">
        <f>I85*Calc_SEC_retirement_rates!$G132</f>
        <v>33.889077413176501</v>
      </c>
      <c r="J153" s="459">
        <f>J85*Calc_SEC_retirement_rates!$G132</f>
        <v>33.817578986201468</v>
      </c>
      <c r="K153" s="459">
        <f>K85*Calc_SEC_retirement_rates!$G132</f>
        <v>33.861358389828276</v>
      </c>
      <c r="L153" s="459">
        <f>L85*Calc_SEC_retirement_rates!$G132</f>
        <v>33.837325732705338</v>
      </c>
      <c r="M153" s="459">
        <f>M85*Calc_SEC_retirement_rates!$G132</f>
        <v>33.777142486341639</v>
      </c>
      <c r="N153" s="459">
        <f>N85*Calc_SEC_retirement_rates!$G132</f>
        <v>33.69979771512677</v>
      </c>
    </row>
    <row r="154" spans="1:14">
      <c r="B154" s="338" t="str">
        <f t="shared" si="55"/>
        <v>65 plus</v>
      </c>
      <c r="C154" s="459">
        <f>C86*Calc_SEC_retirement_rates!$G133</f>
        <v>10.346126319043901</v>
      </c>
      <c r="D154" s="459">
        <f>D86*Calc_SEC_retirement_rates!$G133</f>
        <v>13.054006132632194</v>
      </c>
      <c r="E154" s="459">
        <f>E86*Calc_SEC_retirement_rates!$G133</f>
        <v>14.48427665595808</v>
      </c>
      <c r="F154" s="459">
        <f>F86*Calc_SEC_retirement_rates!$G133</f>
        <v>14.531513078793592</v>
      </c>
      <c r="G154" s="459">
        <f>G86*Calc_SEC_retirement_rates!$G133</f>
        <v>14.113358951084978</v>
      </c>
      <c r="H154" s="459">
        <f>H86*Calc_SEC_retirement_rates!$G133</f>
        <v>13.922968514111867</v>
      </c>
      <c r="I154" s="459">
        <f>I86*Calc_SEC_retirement_rates!$G133</f>
        <v>13.815165569026991</v>
      </c>
      <c r="J154" s="459">
        <f>J86*Calc_SEC_retirement_rates!$G133</f>
        <v>13.743876750760073</v>
      </c>
      <c r="K154" s="459">
        <f>K86*Calc_SEC_retirement_rates!$G133</f>
        <v>13.707624369177005</v>
      </c>
      <c r="L154" s="459">
        <f>L86*Calc_SEC_retirement_rates!$G133</f>
        <v>13.646071551430239</v>
      </c>
      <c r="M154" s="459">
        <f>M86*Calc_SEC_retirement_rates!$G133</f>
        <v>13.574736545420928</v>
      </c>
      <c r="N154" s="459">
        <f>N86*Calc_SEC_retirement_rates!$G133</f>
        <v>13.505546711018921</v>
      </c>
    </row>
    <row r="155" spans="1:14">
      <c r="B155" s="338" t="str">
        <f t="shared" si="55"/>
        <v>Total</v>
      </c>
      <c r="C155" s="459">
        <f>SUM(C145:C154)</f>
        <v>136.09306703701907</v>
      </c>
      <c r="D155" s="459">
        <f t="shared" ref="D155:N155" si="57">SUM(D145:D154)</f>
        <v>130.37737689400149</v>
      </c>
      <c r="E155" s="459">
        <f t="shared" si="57"/>
        <v>126.53629884646877</v>
      </c>
      <c r="F155" s="459">
        <f t="shared" si="57"/>
        <v>120.62202420262385</v>
      </c>
      <c r="G155" s="459">
        <f t="shared" si="57"/>
        <v>115.76461525874372</v>
      </c>
      <c r="H155" s="459">
        <f t="shared" si="57"/>
        <v>114.27555852269562</v>
      </c>
      <c r="I155" s="459">
        <f t="shared" si="57"/>
        <v>113.98022055648329</v>
      </c>
      <c r="J155" s="459">
        <f t="shared" si="57"/>
        <v>114.09851111249719</v>
      </c>
      <c r="K155" s="459">
        <f t="shared" si="57"/>
        <v>114.41523308839618</v>
      </c>
      <c r="L155" s="459">
        <f t="shared" si="57"/>
        <v>114.45947697187955</v>
      </c>
      <c r="M155" s="459">
        <f t="shared" si="57"/>
        <v>114.30941037129605</v>
      </c>
      <c r="N155" s="459">
        <f t="shared" si="57"/>
        <v>114.02823418761113</v>
      </c>
    </row>
    <row r="156" spans="1:14">
      <c r="A156" s="309">
        <f>SUM(C156:N156)</f>
        <v>0</v>
      </c>
      <c r="C156" s="309">
        <f t="shared" ref="C156:N156" si="58">SUM(C145:C154)-C155</f>
        <v>0</v>
      </c>
      <c r="D156" s="309">
        <f t="shared" si="58"/>
        <v>0</v>
      </c>
      <c r="E156" s="309">
        <f t="shared" si="58"/>
        <v>0</v>
      </c>
      <c r="F156" s="309">
        <f t="shared" si="58"/>
        <v>0</v>
      </c>
      <c r="G156" s="309">
        <f t="shared" si="58"/>
        <v>0</v>
      </c>
      <c r="H156" s="309">
        <f t="shared" si="58"/>
        <v>0</v>
      </c>
      <c r="I156" s="309">
        <f t="shared" si="58"/>
        <v>0</v>
      </c>
      <c r="J156" s="309">
        <f t="shared" si="58"/>
        <v>0</v>
      </c>
      <c r="K156" s="309">
        <f t="shared" si="58"/>
        <v>0</v>
      </c>
      <c r="L156" s="309">
        <f t="shared" si="58"/>
        <v>0</v>
      </c>
      <c r="M156" s="309">
        <f t="shared" si="58"/>
        <v>0</v>
      </c>
      <c r="N156" s="309">
        <f t="shared" si="58"/>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59">B144</f>
        <v>Age group</v>
      </c>
      <c r="C160" s="338" t="str">
        <f t="shared" ref="C160:N160" si="60">C144</f>
        <v>2016/17</v>
      </c>
      <c r="D160" s="338" t="str">
        <f t="shared" si="60"/>
        <v>2017/18</v>
      </c>
      <c r="E160" s="338" t="str">
        <f t="shared" si="60"/>
        <v>2018/19</v>
      </c>
      <c r="F160" s="338" t="str">
        <f t="shared" si="60"/>
        <v>2019/20</v>
      </c>
      <c r="G160" s="338" t="str">
        <f t="shared" si="60"/>
        <v>2020/21</v>
      </c>
      <c r="H160" s="338" t="str">
        <f t="shared" si="60"/>
        <v>2021/22</v>
      </c>
      <c r="I160" s="338" t="str">
        <f t="shared" si="60"/>
        <v>2022/23</v>
      </c>
      <c r="J160" s="338" t="str">
        <f t="shared" si="60"/>
        <v>2023/24</v>
      </c>
      <c r="K160" s="338" t="str">
        <f t="shared" si="60"/>
        <v>2024/25</v>
      </c>
      <c r="L160" s="338" t="str">
        <f t="shared" si="60"/>
        <v>2025/26</v>
      </c>
      <c r="M160" s="338" t="str">
        <f t="shared" si="60"/>
        <v>2026/27</v>
      </c>
      <c r="N160" s="338" t="str">
        <f t="shared" si="60"/>
        <v>2027/28</v>
      </c>
    </row>
    <row r="161" spans="1:14">
      <c r="B161" s="338" t="str">
        <f t="shared" si="59"/>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59"/>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59"/>
        <v>30-34</v>
      </c>
      <c r="C163" s="459">
        <f>C95*Calc_SEC_retirement_rates!$G142</f>
        <v>6.3463047867722874E-2</v>
      </c>
      <c r="D163" s="459">
        <f>D95*Calc_SEC_retirement_rates!$G142</f>
        <v>5.8570413164173968E-2</v>
      </c>
      <c r="E163" s="459">
        <f>E95*Calc_SEC_retirement_rates!$G142</f>
        <v>5.6029668363017773E-2</v>
      </c>
      <c r="F163" s="459">
        <f>F95*Calc_SEC_retirement_rates!$G142</f>
        <v>5.275707960463339E-2</v>
      </c>
      <c r="G163" s="459">
        <f>G95*Calc_SEC_retirement_rates!$G142</f>
        <v>5.0090125195458114E-2</v>
      </c>
      <c r="H163" s="459">
        <f>H95*Calc_SEC_retirement_rates!$G142</f>
        <v>4.952208190847103E-2</v>
      </c>
      <c r="I163" s="459">
        <f>I95*Calc_SEC_retirement_rates!$G142</f>
        <v>4.9930631676108367E-2</v>
      </c>
      <c r="J163" s="459">
        <f>J95*Calc_SEC_retirement_rates!$G142</f>
        <v>5.0797805596474885E-2</v>
      </c>
      <c r="K163" s="459">
        <f>K95*Calc_SEC_retirement_rates!$G142</f>
        <v>5.190631431737136E-2</v>
      </c>
      <c r="L163" s="459">
        <f>L95*Calc_SEC_retirement_rates!$G142</f>
        <v>5.2879137749520896E-2</v>
      </c>
      <c r="M163" s="459">
        <f>M95*Calc_SEC_retirement_rates!$G142</f>
        <v>5.3680894301288695E-2</v>
      </c>
      <c r="N163" s="459">
        <f>N95*Calc_SEC_retirement_rates!$G142</f>
        <v>5.4316332571414855E-2</v>
      </c>
    </row>
    <row r="164" spans="1:14">
      <c r="B164" s="338" t="str">
        <f t="shared" si="59"/>
        <v>35-39</v>
      </c>
      <c r="C164" s="459">
        <f>C96*Calc_SEC_retirement_rates!$G143</f>
        <v>0.19309986051830569</v>
      </c>
      <c r="D164" s="459">
        <f>D96*Calc_SEC_retirement_rates!$G143</f>
        <v>0.18489284504836809</v>
      </c>
      <c r="E164" s="459">
        <f>E96*Calc_SEC_retirement_rates!$G143</f>
        <v>0.17822890306437128</v>
      </c>
      <c r="F164" s="459">
        <f>F96*Calc_SEC_retirement_rates!$G143</f>
        <v>0.1686621385681509</v>
      </c>
      <c r="G164" s="459">
        <f>G96*Calc_SEC_retirement_rates!$G143</f>
        <v>0.15961097440448188</v>
      </c>
      <c r="H164" s="459">
        <f>H96*Calc_SEC_retirement_rates!$G143</f>
        <v>0.15426220829223422</v>
      </c>
      <c r="I164" s="459">
        <f>I96*Calc_SEC_retirement_rates!$G143</f>
        <v>0.15085485547698704</v>
      </c>
      <c r="J164" s="459">
        <f>J96*Calc_SEC_retirement_rates!$G143</f>
        <v>0.14874984658928264</v>
      </c>
      <c r="K164" s="459">
        <f>K96*Calc_SEC_retirement_rates!$G143</f>
        <v>0.14773713243083483</v>
      </c>
      <c r="L164" s="459">
        <f>L96*Calc_SEC_retirement_rates!$G143</f>
        <v>0.14719191524299205</v>
      </c>
      <c r="M164" s="459">
        <f>M96*Calc_SEC_retirement_rates!$G143</f>
        <v>0.14702371536683678</v>
      </c>
      <c r="N164" s="459">
        <f>N96*Calc_SEC_retirement_rates!$G143</f>
        <v>0.1471410343140403</v>
      </c>
    </row>
    <row r="165" spans="1:14">
      <c r="B165" s="338" t="str">
        <f t="shared" si="59"/>
        <v>40-44</v>
      </c>
      <c r="C165" s="459">
        <f>C97*Calc_SEC_retirement_rates!$G144</f>
        <v>0.27945410870089721</v>
      </c>
      <c r="D165" s="459">
        <f>D97*Calc_SEC_retirement_rates!$G144</f>
        <v>0.27668381730023645</v>
      </c>
      <c r="E165" s="459">
        <f>E97*Calc_SEC_retirement_rates!$G144</f>
        <v>0.27473453753278604</v>
      </c>
      <c r="F165" s="459">
        <f>F97*Calc_SEC_retirement_rates!$G144</f>
        <v>0.26685151866546974</v>
      </c>
      <c r="G165" s="459">
        <f>G97*Calc_SEC_retirement_rates!$G144</f>
        <v>0.25777359789402204</v>
      </c>
      <c r="H165" s="459">
        <f>H97*Calc_SEC_retirement_rates!$G144</f>
        <v>0.25198374150680325</v>
      </c>
      <c r="I165" s="459">
        <f>I97*Calc_SEC_retirement_rates!$G144</f>
        <v>0.24723038239911646</v>
      </c>
      <c r="J165" s="459">
        <f>J97*Calc_SEC_retirement_rates!$G144</f>
        <v>0.2429774258166249</v>
      </c>
      <c r="K165" s="459">
        <f>K97*Calc_SEC_retirement_rates!$G144</f>
        <v>0.23934242180172163</v>
      </c>
      <c r="L165" s="459">
        <f>L97*Calc_SEC_retirement_rates!$G144</f>
        <v>0.23587166229859802</v>
      </c>
      <c r="M165" s="459">
        <f>M97*Calc_SEC_retirement_rates!$G144</f>
        <v>0.23279669841310963</v>
      </c>
      <c r="N165" s="459">
        <f>N97*Calc_SEC_retirement_rates!$G144</f>
        <v>0.23025257875520391</v>
      </c>
    </row>
    <row r="166" spans="1:14">
      <c r="B166" s="338" t="str">
        <f t="shared" si="59"/>
        <v>45-49</v>
      </c>
      <c r="C166" s="459">
        <f>C98*Calc_SEC_retirement_rates!$G145</f>
        <v>0.46419176611877677</v>
      </c>
      <c r="D166" s="459">
        <f>D98*Calc_SEC_retirement_rates!$G145</f>
        <v>0.46560424348998403</v>
      </c>
      <c r="E166" s="459">
        <f>E98*Calc_SEC_retirement_rates!$G145</f>
        <v>0.46976106821457958</v>
      </c>
      <c r="F166" s="459">
        <f>F98*Calc_SEC_retirement_rates!$G145</f>
        <v>0.46471098420372892</v>
      </c>
      <c r="G166" s="459">
        <f>G98*Calc_SEC_retirement_rates!$G145</f>
        <v>0.45736960526362469</v>
      </c>
      <c r="H166" s="459">
        <f>H98*Calc_SEC_retirement_rates!$G145</f>
        <v>0.45451977389518172</v>
      </c>
      <c r="I166" s="459">
        <f>I98*Calc_SEC_retirement_rates!$G145</f>
        <v>0.45208798785526888</v>
      </c>
      <c r="J166" s="459">
        <f>J98*Calc_SEC_retirement_rates!$G145</f>
        <v>0.44896685669598313</v>
      </c>
      <c r="K166" s="459">
        <f>K98*Calc_SEC_retirement_rates!$G145</f>
        <v>0.44530320134789914</v>
      </c>
      <c r="L166" s="459">
        <f>L98*Calc_SEC_retirement_rates!$G145</f>
        <v>0.44046108596347977</v>
      </c>
      <c r="M166" s="459">
        <f>M98*Calc_SEC_retirement_rates!$G145</f>
        <v>0.43504330060130569</v>
      </c>
      <c r="N166" s="459">
        <f>N98*Calc_SEC_retirement_rates!$G145</f>
        <v>0.42956221377452131</v>
      </c>
    </row>
    <row r="167" spans="1:14">
      <c r="B167" s="338" t="str">
        <f t="shared" si="59"/>
        <v>50-54</v>
      </c>
      <c r="C167" s="459">
        <f>C99*Calc_SEC_retirement_rates!$G146</f>
        <v>8.3130181455820527</v>
      </c>
      <c r="D167" s="459">
        <f>D99*Calc_SEC_retirement_rates!$G146</f>
        <v>8.130518192878629</v>
      </c>
      <c r="E167" s="459">
        <f>E99*Calc_SEC_retirement_rates!$G146</f>
        <v>8.0721027790864017</v>
      </c>
      <c r="F167" s="459">
        <f>F99*Calc_SEC_retirement_rates!$G146</f>
        <v>7.9284506443715879</v>
      </c>
      <c r="G167" s="459">
        <f>G99*Calc_SEC_retirement_rates!$G146</f>
        <v>7.7943973273921054</v>
      </c>
      <c r="H167" s="459">
        <f>H99*Calc_SEC_retirement_rates!$G146</f>
        <v>7.7643664282566167</v>
      </c>
      <c r="I167" s="459">
        <f>I99*Calc_SEC_retirement_rates!$G146</f>
        <v>7.760791665498143</v>
      </c>
      <c r="J167" s="459">
        <f>J99*Calc_SEC_retirement_rates!$G146</f>
        <v>7.7556237299421467</v>
      </c>
      <c r="K167" s="459">
        <f>K99*Calc_SEC_retirement_rates!$G146</f>
        <v>7.7429825590102732</v>
      </c>
      <c r="L167" s="459">
        <f>L99*Calc_SEC_retirement_rates!$G146</f>
        <v>7.7065968537805176</v>
      </c>
      <c r="M167" s="459">
        <f>M99*Calc_SEC_retirement_rates!$G146</f>
        <v>7.6521703268333301</v>
      </c>
      <c r="N167" s="459">
        <f>N99*Calc_SEC_retirement_rates!$G146</f>
        <v>7.5859208216061997</v>
      </c>
    </row>
    <row r="168" spans="1:14">
      <c r="B168" s="338" t="str">
        <f t="shared" si="59"/>
        <v>55-59</v>
      </c>
      <c r="C168" s="459">
        <f>C100*Calc_SEC_retirement_rates!$G147</f>
        <v>42.507819605891555</v>
      </c>
      <c r="D168" s="459">
        <f>D100*Calc_SEC_retirement_rates!$G147</f>
        <v>39.83867313392426</v>
      </c>
      <c r="E168" s="459">
        <f>E100*Calc_SEC_retirement_rates!$G147</f>
        <v>38.332206867504439</v>
      </c>
      <c r="F168" s="459">
        <f>F100*Calc_SEC_retirement_rates!$G147</f>
        <v>36.668753224735511</v>
      </c>
      <c r="G168" s="459">
        <f>G100*Calc_SEC_retirement_rates!$G147</f>
        <v>35.388069320504187</v>
      </c>
      <c r="H168" s="459">
        <f>H100*Calc_SEC_retirement_rates!$G147</f>
        <v>34.951425563671698</v>
      </c>
      <c r="I168" s="459">
        <f>I100*Calc_SEC_retirement_rates!$G147</f>
        <v>34.807307388221794</v>
      </c>
      <c r="J168" s="459">
        <f>J100*Calc_SEC_retirement_rates!$G147</f>
        <v>34.753892214091827</v>
      </c>
      <c r="K168" s="459">
        <f>K100*Calc_SEC_retirement_rates!$G147</f>
        <v>34.732686252953506</v>
      </c>
      <c r="L168" s="459">
        <f>L100*Calc_SEC_retirement_rates!$G147</f>
        <v>34.628487541089129</v>
      </c>
      <c r="M168" s="459">
        <f>M100*Calc_SEC_retirement_rates!$G147</f>
        <v>34.459721968794128</v>
      </c>
      <c r="N168" s="459">
        <f>N100*Calc_SEC_retirement_rates!$G147</f>
        <v>34.244529405789798</v>
      </c>
    </row>
    <row r="169" spans="1:14">
      <c r="B169" s="338" t="str">
        <f t="shared" si="59"/>
        <v>60-64</v>
      </c>
      <c r="C169" s="459">
        <f>C101*Calc_SEC_retirement_rates!$G148</f>
        <v>32.708031162212265</v>
      </c>
      <c r="D169" s="459">
        <f>D101*Calc_SEC_retirement_rates!$G148</f>
        <v>30.546317660591903</v>
      </c>
      <c r="E169" s="459">
        <f>E101*Calc_SEC_retirement_rates!$G148</f>
        <v>29.136527410887417</v>
      </c>
      <c r="F169" s="459">
        <f>F101*Calc_SEC_retirement_rates!$G148</f>
        <v>27.275723315838054</v>
      </c>
      <c r="G169" s="459">
        <f>G101*Calc_SEC_retirement_rates!$G148</f>
        <v>25.828215086483066</v>
      </c>
      <c r="H169" s="459">
        <f>H101*Calc_SEC_retirement_rates!$G148</f>
        <v>25.35657217243547</v>
      </c>
      <c r="I169" s="459">
        <f>I101*Calc_SEC_retirement_rates!$G148</f>
        <v>25.185757090511238</v>
      </c>
      <c r="J169" s="459">
        <f>J101*Calc_SEC_retirement_rates!$G148</f>
        <v>25.105620077306256</v>
      </c>
      <c r="K169" s="459">
        <f>K101*Calc_SEC_retirement_rates!$G148</f>
        <v>25.072818172276442</v>
      </c>
      <c r="L169" s="459">
        <f>L101*Calc_SEC_retirement_rates!$G148</f>
        <v>24.96985097662991</v>
      </c>
      <c r="M169" s="459">
        <f>M101*Calc_SEC_retirement_rates!$G148</f>
        <v>24.831222844562298</v>
      </c>
      <c r="N169" s="459">
        <f>N101*Calc_SEC_retirement_rates!$G148</f>
        <v>24.677112768017682</v>
      </c>
    </row>
    <row r="170" spans="1:14">
      <c r="B170" s="338" t="str">
        <f t="shared" si="59"/>
        <v>65 plus</v>
      </c>
      <c r="C170" s="459">
        <f>C102*Calc_SEC_retirement_rates!$G149</f>
        <v>7.5494292774905327</v>
      </c>
      <c r="D170" s="459">
        <f>D102*Calc_SEC_retirement_rates!$G149</f>
        <v>8.9771066558328592</v>
      </c>
      <c r="E170" s="459">
        <f>E102*Calc_SEC_retirement_rates!$G149</f>
        <v>9.5855694083981735</v>
      </c>
      <c r="F170" s="459">
        <f>F102*Calc_SEC_retirement_rates!$G149</f>
        <v>9.3926432098581536</v>
      </c>
      <c r="G170" s="459">
        <f>G102*Calc_SEC_retirement_rates!$G149</f>
        <v>9.0233738682371012</v>
      </c>
      <c r="H170" s="459">
        <f>H102*Calc_SEC_retirement_rates!$G149</f>
        <v>8.9012106632159238</v>
      </c>
      <c r="I170" s="459">
        <f>I102*Calc_SEC_retirement_rates!$G149</f>
        <v>8.8557944540970048</v>
      </c>
      <c r="J170" s="459">
        <f>J102*Calc_SEC_retirement_rates!$G149</f>
        <v>8.8291950572233819</v>
      </c>
      <c r="K170" s="459">
        <f>K102*Calc_SEC_retirement_rates!$G149</f>
        <v>8.8142258001189635</v>
      </c>
      <c r="L170" s="459">
        <f>L102*Calc_SEC_retirement_rates!$G149</f>
        <v>8.7681503081397825</v>
      </c>
      <c r="M170" s="459">
        <f>M102*Calc_SEC_retirement_rates!$G149</f>
        <v>8.706900457051983</v>
      </c>
      <c r="N170" s="459">
        <f>N102*Calc_SEC_retirement_rates!$G149</f>
        <v>8.6423203895646825</v>
      </c>
    </row>
    <row r="171" spans="1:14">
      <c r="B171" s="338" t="str">
        <f t="shared" si="59"/>
        <v>Total</v>
      </c>
      <c r="C171" s="459">
        <f>SUM(C161:C170)</f>
        <v>92.078506974382108</v>
      </c>
      <c r="D171" s="459">
        <f t="shared" ref="D171:N171" si="61">SUM(D161:D170)</f>
        <v>88.47836696223041</v>
      </c>
      <c r="E171" s="459">
        <f t="shared" si="61"/>
        <v>86.105160643051178</v>
      </c>
      <c r="F171" s="459">
        <f t="shared" si="61"/>
        <v>82.218552115845284</v>
      </c>
      <c r="G171" s="459">
        <f t="shared" si="61"/>
        <v>78.958899905374054</v>
      </c>
      <c r="H171" s="459">
        <f t="shared" si="61"/>
        <v>77.883862633182389</v>
      </c>
      <c r="I171" s="459">
        <f t="shared" si="61"/>
        <v>77.509754455735674</v>
      </c>
      <c r="J171" s="459">
        <f t="shared" si="61"/>
        <v>77.335823013261987</v>
      </c>
      <c r="K171" s="459">
        <f t="shared" si="61"/>
        <v>77.247001854257007</v>
      </c>
      <c r="L171" s="459">
        <f t="shared" si="61"/>
        <v>76.949489480893931</v>
      </c>
      <c r="M171" s="459">
        <f t="shared" si="61"/>
        <v>76.518560205924288</v>
      </c>
      <c r="N171" s="459">
        <f t="shared" si="61"/>
        <v>76.011155544393546</v>
      </c>
    </row>
    <row r="172" spans="1:14">
      <c r="A172" s="309">
        <f>SUM(C172:N172)</f>
        <v>0</v>
      </c>
      <c r="C172" s="309">
        <f t="shared" ref="C172:N172" si="62">SUM(C161:C170)-C171</f>
        <v>0</v>
      </c>
      <c r="D172" s="309">
        <f t="shared" si="62"/>
        <v>0</v>
      </c>
      <c r="E172" s="309">
        <f t="shared" si="62"/>
        <v>0</v>
      </c>
      <c r="F172" s="309">
        <f t="shared" si="62"/>
        <v>0</v>
      </c>
      <c r="G172" s="309">
        <f t="shared" si="62"/>
        <v>0</v>
      </c>
      <c r="H172" s="309">
        <f t="shared" si="62"/>
        <v>0</v>
      </c>
      <c r="I172" s="309">
        <f t="shared" si="62"/>
        <v>0</v>
      </c>
      <c r="J172" s="309">
        <f t="shared" si="62"/>
        <v>0</v>
      </c>
      <c r="K172" s="309">
        <f t="shared" si="62"/>
        <v>0</v>
      </c>
      <c r="L172" s="309">
        <f t="shared" si="62"/>
        <v>0</v>
      </c>
      <c r="M172" s="309">
        <f t="shared" si="62"/>
        <v>0</v>
      </c>
      <c r="N172" s="309">
        <f t="shared" si="62"/>
        <v>0</v>
      </c>
    </row>
    <row r="174" spans="1:14" ht="15.75">
      <c r="B174" s="340" t="s">
        <v>516</v>
      </c>
      <c r="H174" s="325"/>
    </row>
    <row r="175" spans="1:14">
      <c r="H175" s="325"/>
    </row>
    <row r="176" spans="1:14">
      <c r="B176" s="341" t="s">
        <v>49</v>
      </c>
      <c r="H176" s="325"/>
    </row>
    <row r="177" spans="1:14">
      <c r="H177" s="325"/>
    </row>
    <row r="178" spans="1:14">
      <c r="B178" s="338" t="str">
        <f t="shared" ref="B178:B189" si="63">B144</f>
        <v>Age group</v>
      </c>
      <c r="C178" s="338" t="str">
        <f t="shared" ref="C178:N178" si="64">C144</f>
        <v>2016/17</v>
      </c>
      <c r="D178" s="338" t="str">
        <f t="shared" si="64"/>
        <v>2017/18</v>
      </c>
      <c r="E178" s="338" t="str">
        <f t="shared" si="64"/>
        <v>2018/19</v>
      </c>
      <c r="F178" s="338" t="str">
        <f t="shared" si="64"/>
        <v>2019/20</v>
      </c>
      <c r="G178" s="338" t="str">
        <f t="shared" si="64"/>
        <v>2020/21</v>
      </c>
      <c r="H178" s="338" t="str">
        <f t="shared" si="64"/>
        <v>2021/22</v>
      </c>
      <c r="I178" s="338" t="str">
        <f t="shared" si="64"/>
        <v>2022/23</v>
      </c>
      <c r="J178" s="338" t="str">
        <f t="shared" si="64"/>
        <v>2023/24</v>
      </c>
      <c r="K178" s="338" t="str">
        <f t="shared" si="64"/>
        <v>2024/25</v>
      </c>
      <c r="L178" s="338" t="str">
        <f t="shared" si="64"/>
        <v>2025/26</v>
      </c>
      <c r="M178" s="338" t="str">
        <f t="shared" si="64"/>
        <v>2026/27</v>
      </c>
      <c r="N178" s="338" t="str">
        <f t="shared" si="64"/>
        <v>2027/28</v>
      </c>
    </row>
    <row r="179" spans="1:14">
      <c r="B179" s="338" t="str">
        <f t="shared" si="63"/>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3"/>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3"/>
        <v>30-34</v>
      </c>
      <c r="C181" s="459">
        <f>C79*Calc_SEC_death_rates!$G126</f>
        <v>0.20210898249266482</v>
      </c>
      <c r="D181" s="459">
        <f>D79*Calc_SEC_death_rates!$G126</f>
        <v>0.1835511204250895</v>
      </c>
      <c r="E181" s="459">
        <f>E79*Calc_SEC_death_rates!$G126</f>
        <v>0.1729673273303497</v>
      </c>
      <c r="F181" s="459">
        <f>F79*Calc_SEC_death_rates!$G126</f>
        <v>0.16131932933649828</v>
      </c>
      <c r="G181" s="459">
        <f>G79*Calc_SEC_death_rates!$G126</f>
        <v>0.15204867431154978</v>
      </c>
      <c r="H181" s="459">
        <f>H79*Calc_SEC_death_rates!$G126</f>
        <v>0.14920152615113919</v>
      </c>
      <c r="I181" s="459">
        <f>I79*Calc_SEC_death_rates!$G126</f>
        <v>0.14952888487164975</v>
      </c>
      <c r="J181" s="459">
        <f>J79*Calc_SEC_death_rates!$G126</f>
        <v>0.15146762054007484</v>
      </c>
      <c r="K181" s="459">
        <f>K79*Calc_SEC_death_rates!$G126</f>
        <v>0.15431439449459905</v>
      </c>
      <c r="L181" s="459">
        <f>L79*Calc_SEC_death_rates!$G126</f>
        <v>0.1569317177682765</v>
      </c>
      <c r="M181" s="459">
        <f>M79*Calc_SEC_death_rates!$G126</f>
        <v>0.15915792898735703</v>
      </c>
      <c r="N181" s="459">
        <f>N79*Calc_SEC_death_rates!$G126</f>
        <v>0.16096492080979036</v>
      </c>
    </row>
    <row r="182" spans="1:14">
      <c r="B182" s="338" t="str">
        <f t="shared" si="63"/>
        <v>35-39</v>
      </c>
      <c r="C182" s="459">
        <f>C80*Calc_SEC_death_rates!$G127</f>
        <v>0.36802256678244016</v>
      </c>
      <c r="D182" s="459">
        <f>D80*Calc_SEC_death_rates!$G127</f>
        <v>0.35893821830636502</v>
      </c>
      <c r="E182" s="459">
        <f>E80*Calc_SEC_death_rates!$G127</f>
        <v>0.34941301319788964</v>
      </c>
      <c r="F182" s="459">
        <f>F80*Calc_SEC_death_rates!$G127</f>
        <v>0.33268655477002673</v>
      </c>
      <c r="G182" s="459">
        <f>G80*Calc_SEC_death_rates!$G127</f>
        <v>0.31578808116284895</v>
      </c>
      <c r="H182" s="459">
        <f>H80*Calc_SEC_death_rates!$G127</f>
        <v>0.30504959013615091</v>
      </c>
      <c r="I182" s="459">
        <f>I80*Calc_SEC_death_rates!$G127</f>
        <v>0.29764092206486553</v>
      </c>
      <c r="J182" s="459">
        <f>J80*Calc_SEC_death_rates!$G127</f>
        <v>0.29262089005018721</v>
      </c>
      <c r="K182" s="459">
        <f>K80*Calc_SEC_death_rates!$G127</f>
        <v>0.28972556543422501</v>
      </c>
      <c r="L182" s="459">
        <f>L80*Calc_SEC_death_rates!$G127</f>
        <v>0.28786944264615277</v>
      </c>
      <c r="M182" s="459">
        <f>M80*Calc_SEC_death_rates!$G127</f>
        <v>0.28689191202146858</v>
      </c>
      <c r="N182" s="459">
        <f>N80*Calc_SEC_death_rates!$G127</f>
        <v>0.28660742718461824</v>
      </c>
    </row>
    <row r="183" spans="1:14">
      <c r="B183" s="338" t="str">
        <f t="shared" si="63"/>
        <v>40-44</v>
      </c>
      <c r="C183" s="459">
        <f>C81*Calc_SEC_death_rates!$G128</f>
        <v>0.55296427270306669</v>
      </c>
      <c r="D183" s="459">
        <f>D81*Calc_SEC_death_rates!$G128</f>
        <v>0.5600345928366055</v>
      </c>
      <c r="E183" s="459">
        <f>E81*Calc_SEC_death_rates!$G128</f>
        <v>0.56740004421573875</v>
      </c>
      <c r="F183" s="459">
        <f>F81*Calc_SEC_death_rates!$G128</f>
        <v>0.56059206966832276</v>
      </c>
      <c r="G183" s="459">
        <f>G81*Calc_SEC_death_rates!$G128</f>
        <v>0.54909823763950361</v>
      </c>
      <c r="H183" s="459">
        <f>H81*Calc_SEC_death_rates!$G128</f>
        <v>0.54224784872092502</v>
      </c>
      <c r="I183" s="459">
        <f>I81*Calc_SEC_death_rates!$G128</f>
        <v>0.53583274346706089</v>
      </c>
      <c r="J183" s="459">
        <f>J81*Calc_SEC_death_rates!$G128</f>
        <v>0.52914019729859785</v>
      </c>
      <c r="K183" s="459">
        <f>K81*Calc_SEC_death_rates!$G128</f>
        <v>0.52275798044672916</v>
      </c>
      <c r="L183" s="459">
        <f>L81*Calc_SEC_death_rates!$G128</f>
        <v>0.516060833462754</v>
      </c>
      <c r="M183" s="459">
        <f>M81*Calc_SEC_death_rates!$G128</f>
        <v>0.50975315470446625</v>
      </c>
      <c r="N183" s="459">
        <f>N81*Calc_SEC_death_rates!$G128</f>
        <v>0.50428601704826526</v>
      </c>
    </row>
    <row r="184" spans="1:14">
      <c r="B184" s="338" t="str">
        <f t="shared" si="63"/>
        <v>45-49</v>
      </c>
      <c r="C184" s="459">
        <f>C82*Calc_SEC_death_rates!$G129</f>
        <v>0.49681545355243323</v>
      </c>
      <c r="D184" s="459">
        <f>D82*Calc_SEC_death_rates!$G129</f>
        <v>0.49565066022893939</v>
      </c>
      <c r="E184" s="459">
        <f>E82*Calc_SEC_death_rates!$G129</f>
        <v>0.50065656635033573</v>
      </c>
      <c r="F184" s="459">
        <f>F82*Calc_SEC_death_rates!$G129</f>
        <v>0.49788435890272359</v>
      </c>
      <c r="G184" s="459">
        <f>G82*Calc_SEC_death_rates!$G129</f>
        <v>0.49375809682925859</v>
      </c>
      <c r="H184" s="459">
        <f>H82*Calc_SEC_death_rates!$G129</f>
        <v>0.49480042547466091</v>
      </c>
      <c r="I184" s="459">
        <f>I82*Calc_SEC_death_rates!$G129</f>
        <v>0.49614982097412691</v>
      </c>
      <c r="J184" s="459">
        <f>J82*Calc_SEC_death_rates!$G129</f>
        <v>0.49632865367326423</v>
      </c>
      <c r="K184" s="459">
        <f>K82*Calc_SEC_death_rates!$G129</f>
        <v>0.49535607806107995</v>
      </c>
      <c r="L184" s="459">
        <f>L82*Calc_SEC_death_rates!$G129</f>
        <v>0.49251905340398833</v>
      </c>
      <c r="M184" s="459">
        <f>M82*Calc_SEC_death_rates!$G129</f>
        <v>0.48849865239565243</v>
      </c>
      <c r="N184" s="459">
        <f>N82*Calc_SEC_death_rates!$G129</f>
        <v>0.48391578652583428</v>
      </c>
    </row>
    <row r="185" spans="1:14">
      <c r="B185" s="338" t="str">
        <f t="shared" si="63"/>
        <v>50-54</v>
      </c>
      <c r="C185" s="459">
        <f>C83*Calc_SEC_death_rates!$G130</f>
        <v>0.75278251109095506</v>
      </c>
      <c r="D185" s="459">
        <f>D83*Calc_SEC_death_rates!$G130</f>
        <v>0.74872292475558622</v>
      </c>
      <c r="E185" s="459">
        <f>E83*Calc_SEC_death_rates!$G130</f>
        <v>0.75196449222578376</v>
      </c>
      <c r="F185" s="459">
        <f>F83*Calc_SEC_death_rates!$G130</f>
        <v>0.74448455367022304</v>
      </c>
      <c r="G185" s="459">
        <f>G83*Calc_SEC_death_rates!$G130</f>
        <v>0.73705598318838017</v>
      </c>
      <c r="H185" s="459">
        <f>H83*Calc_SEC_death_rates!$G130</f>
        <v>0.7395869545896675</v>
      </c>
      <c r="I185" s="459">
        <f>I83*Calc_SEC_death_rates!$G130</f>
        <v>0.74461890634842332</v>
      </c>
      <c r="J185" s="459">
        <f>J83*Calc_SEC_death_rates!$G130</f>
        <v>0.7493651754644215</v>
      </c>
      <c r="K185" s="459">
        <f>K83*Calc_SEC_death_rates!$G130</f>
        <v>0.75313230176800905</v>
      </c>
      <c r="L185" s="459">
        <f>L83*Calc_SEC_death_rates!$G130</f>
        <v>0.75419450438070645</v>
      </c>
      <c r="M185" s="459">
        <f>M83*Calc_SEC_death_rates!$G130</f>
        <v>0.75301488475578227</v>
      </c>
      <c r="N185" s="459">
        <f>N83*Calc_SEC_death_rates!$G130</f>
        <v>0.75014453702244233</v>
      </c>
    </row>
    <row r="186" spans="1:14">
      <c r="B186" s="338" t="str">
        <f t="shared" si="63"/>
        <v>55-59</v>
      </c>
      <c r="C186" s="459">
        <f>C84*Calc_SEC_death_rates!$G131</f>
        <v>0.45749462005248559</v>
      </c>
      <c r="D186" s="459">
        <f>D84*Calc_SEC_death_rates!$G131</f>
        <v>0.41429772984198737</v>
      </c>
      <c r="E186" s="459">
        <f>E84*Calc_SEC_death_rates!$G131</f>
        <v>0.39205675179837318</v>
      </c>
      <c r="F186" s="459">
        <f>F84*Calc_SEC_death_rates!$G131</f>
        <v>0.37211273981215554</v>
      </c>
      <c r="G186" s="459">
        <f>G84*Calc_SEC_death_rates!$G131</f>
        <v>0.35836218321656754</v>
      </c>
      <c r="H186" s="459">
        <f>H84*Calc_SEC_death_rates!$G131</f>
        <v>0.35480779951866892</v>
      </c>
      <c r="I186" s="459">
        <f>I84*Calc_SEC_death_rates!$G131</f>
        <v>0.3548854212946897</v>
      </c>
      <c r="J186" s="459">
        <f>J84*Calc_SEC_death_rates!$G131</f>
        <v>0.35616350194386054</v>
      </c>
      <c r="K186" s="459">
        <f>K84*Calc_SEC_death_rates!$G131</f>
        <v>0.35788732110427296</v>
      </c>
      <c r="L186" s="459">
        <f>L84*Calc_SEC_death_rates!$G131</f>
        <v>0.35872256062846331</v>
      </c>
      <c r="M186" s="459">
        <f>M84*Calc_SEC_death_rates!$G131</f>
        <v>0.35881631068312464</v>
      </c>
      <c r="N186" s="459">
        <f>N84*Calc_SEC_death_rates!$G131</f>
        <v>0.35831587031682027</v>
      </c>
    </row>
    <row r="187" spans="1:14">
      <c r="B187" s="338" t="str">
        <f t="shared" si="63"/>
        <v>60-64</v>
      </c>
      <c r="C187" s="459">
        <f>C85*Calc_SEC_death_rates!$G132</f>
        <v>0.34255395323819149</v>
      </c>
      <c r="D187" s="459">
        <f>D85*Calc_SEC_death_rates!$G132</f>
        <v>0.3266951892602708</v>
      </c>
      <c r="E187" s="459">
        <f>E85*Calc_SEC_death_rates!$G132</f>
        <v>0.31052561565938469</v>
      </c>
      <c r="F187" s="459">
        <f>F85*Calc_SEC_death_rates!$G132</f>
        <v>0.28811255206455672</v>
      </c>
      <c r="G187" s="459">
        <f>G85*Calc_SEC_death_rates!$G132</f>
        <v>0.27052615563032806</v>
      </c>
      <c r="H187" s="459">
        <f>H85*Calc_SEC_death_rates!$G132</f>
        <v>0.26424508192099672</v>
      </c>
      <c r="I187" s="459">
        <f>I85*Calc_SEC_death_rates!$G132</f>
        <v>0.26209172432089911</v>
      </c>
      <c r="J187" s="459">
        <f>J85*Calc_SEC_death_rates!$G132</f>
        <v>0.26153876899008111</v>
      </c>
      <c r="K187" s="459">
        <f>K85*Calc_SEC_death_rates!$G132</f>
        <v>0.26187735062942163</v>
      </c>
      <c r="L187" s="459">
        <f>L85*Calc_SEC_death_rates!$G132</f>
        <v>0.26169148659811242</v>
      </c>
      <c r="M187" s="459">
        <f>M85*Calc_SEC_death_rates!$G132</f>
        <v>0.26122604073712363</v>
      </c>
      <c r="N187" s="459">
        <f>N85*Calc_SEC_death_rates!$G132</f>
        <v>0.26062787088411282</v>
      </c>
    </row>
    <row r="188" spans="1:14">
      <c r="B188" s="338" t="str">
        <f t="shared" si="63"/>
        <v>65 plus</v>
      </c>
      <c r="C188" s="459">
        <f>C86*Calc_SEC_death_rates!$G133</f>
        <v>0.22733116372618695</v>
      </c>
      <c r="D188" s="459">
        <f>D86*Calc_SEC_death_rates!$G133</f>
        <v>0.28683028931878496</v>
      </c>
      <c r="E188" s="459">
        <f>E86*Calc_SEC_death_rates!$G133</f>
        <v>0.31825703325022608</v>
      </c>
      <c r="F188" s="459">
        <f>F86*Calc_SEC_death_rates!$G133</f>
        <v>0.31929493967455547</v>
      </c>
      <c r="G188" s="459">
        <f>G86*Calc_SEC_death_rates!$G133</f>
        <v>0.31010701160007081</v>
      </c>
      <c r="H188" s="459">
        <f>H86*Calc_SEC_death_rates!$G133</f>
        <v>0.30592364110325343</v>
      </c>
      <c r="I188" s="459">
        <f>I86*Calc_SEC_death_rates!$G133</f>
        <v>0.30355493148155221</v>
      </c>
      <c r="J188" s="459">
        <f>J86*Calc_SEC_death_rates!$G133</f>
        <v>0.30198853169891543</v>
      </c>
      <c r="K188" s="459">
        <f>K86*Calc_SEC_death_rates!$G133</f>
        <v>0.30119197307987411</v>
      </c>
      <c r="L188" s="459">
        <f>L86*Calc_SEC_death_rates!$G133</f>
        <v>0.29983949841858548</v>
      </c>
      <c r="M188" s="459">
        <f>M86*Calc_SEC_death_rates!$G133</f>
        <v>0.29827208377174691</v>
      </c>
      <c r="N188" s="459">
        <f>N86*Calc_SEC_death_rates!$G133</f>
        <v>0.29675180409531593</v>
      </c>
    </row>
    <row r="189" spans="1:14">
      <c r="B189" s="338" t="str">
        <f t="shared" si="63"/>
        <v>Total</v>
      </c>
      <c r="C189" s="459">
        <f>SUM(C179:C188)</f>
        <v>3.4000735236384236</v>
      </c>
      <c r="D189" s="459">
        <f t="shared" ref="D189:N189" si="65">SUM(D179:D188)</f>
        <v>3.3747207249736291</v>
      </c>
      <c r="E189" s="459">
        <f t="shared" si="65"/>
        <v>3.3632408440280814</v>
      </c>
      <c r="F189" s="459">
        <f t="shared" si="65"/>
        <v>3.2764870978990617</v>
      </c>
      <c r="G189" s="459">
        <f t="shared" si="65"/>
        <v>3.1867444235785074</v>
      </c>
      <c r="H189" s="459">
        <f t="shared" si="65"/>
        <v>3.1558628676154625</v>
      </c>
      <c r="I189" s="459">
        <f t="shared" si="65"/>
        <v>3.1443033548232675</v>
      </c>
      <c r="J189" s="459">
        <f t="shared" si="65"/>
        <v>3.1386133396594031</v>
      </c>
      <c r="K189" s="459">
        <f t="shared" si="65"/>
        <v>3.1362429650182109</v>
      </c>
      <c r="L189" s="459">
        <f t="shared" si="65"/>
        <v>3.1278290973070395</v>
      </c>
      <c r="M189" s="459">
        <f t="shared" si="65"/>
        <v>3.1156309680567214</v>
      </c>
      <c r="N189" s="459">
        <f t="shared" si="65"/>
        <v>3.1016142338871995</v>
      </c>
    </row>
    <row r="190" spans="1:14">
      <c r="A190" s="309">
        <f>SUM(C190:N190)</f>
        <v>0</v>
      </c>
      <c r="C190" s="309">
        <f t="shared" ref="C190:N190" si="66">SUM(C179:C188)-C189</f>
        <v>0</v>
      </c>
      <c r="D190" s="309">
        <f t="shared" si="66"/>
        <v>0</v>
      </c>
      <c r="E190" s="309">
        <f t="shared" si="66"/>
        <v>0</v>
      </c>
      <c r="F190" s="309">
        <f t="shared" si="66"/>
        <v>0</v>
      </c>
      <c r="G190" s="309">
        <f t="shared" si="66"/>
        <v>0</v>
      </c>
      <c r="H190" s="309">
        <f t="shared" si="66"/>
        <v>0</v>
      </c>
      <c r="I190" s="309">
        <f t="shared" si="66"/>
        <v>0</v>
      </c>
      <c r="J190" s="309">
        <f t="shared" si="66"/>
        <v>0</v>
      </c>
      <c r="K190" s="309">
        <f t="shared" si="66"/>
        <v>0</v>
      </c>
      <c r="L190" s="309">
        <f t="shared" si="66"/>
        <v>0</v>
      </c>
      <c r="M190" s="309">
        <f t="shared" si="66"/>
        <v>0</v>
      </c>
      <c r="N190" s="309">
        <f t="shared" si="66"/>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7">B178</f>
        <v>Age group</v>
      </c>
      <c r="C194" s="338" t="str">
        <f t="shared" ref="C194:N194" si="68">C178</f>
        <v>2016/17</v>
      </c>
      <c r="D194" s="338" t="str">
        <f t="shared" si="68"/>
        <v>2017/18</v>
      </c>
      <c r="E194" s="338" t="str">
        <f t="shared" si="68"/>
        <v>2018/19</v>
      </c>
      <c r="F194" s="338" t="str">
        <f t="shared" si="68"/>
        <v>2019/20</v>
      </c>
      <c r="G194" s="338" t="str">
        <f t="shared" si="68"/>
        <v>2020/21</v>
      </c>
      <c r="H194" s="338" t="str">
        <f t="shared" si="68"/>
        <v>2021/22</v>
      </c>
      <c r="I194" s="338" t="str">
        <f t="shared" si="68"/>
        <v>2022/23</v>
      </c>
      <c r="J194" s="338" t="str">
        <f t="shared" si="68"/>
        <v>2023/24</v>
      </c>
      <c r="K194" s="338" t="str">
        <f t="shared" si="68"/>
        <v>2024/25</v>
      </c>
      <c r="L194" s="338" t="str">
        <f t="shared" si="68"/>
        <v>2025/26</v>
      </c>
      <c r="M194" s="338" t="str">
        <f t="shared" si="68"/>
        <v>2026/27</v>
      </c>
      <c r="N194" s="338" t="str">
        <f t="shared" si="68"/>
        <v>2027/28</v>
      </c>
    </row>
    <row r="195" spans="1:14">
      <c r="B195" s="338" t="str">
        <f t="shared" si="67"/>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7"/>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7"/>
        <v>30-34</v>
      </c>
      <c r="C197" s="459">
        <f>C95*Calc_SEC_death_rates!$G142</f>
        <v>3.5565092716722917E-2</v>
      </c>
      <c r="D197" s="459">
        <f>D95*Calc_SEC_death_rates!$G142</f>
        <v>3.2823229337840466E-2</v>
      </c>
      <c r="E197" s="459">
        <f>E95*Calc_SEC_death_rates!$G142</f>
        <v>3.139937990957168E-2</v>
      </c>
      <c r="F197" s="459">
        <f>F95*Calc_SEC_death_rates!$G142</f>
        <v>2.9565400506971304E-2</v>
      </c>
      <c r="G197" s="459">
        <f>G95*Calc_SEC_death_rates!$G142</f>
        <v>2.8070822417509068E-2</v>
      </c>
      <c r="H197" s="459">
        <f>H95*Calc_SEC_death_rates!$G142</f>
        <v>2.7752487372981801E-2</v>
      </c>
      <c r="I197" s="459">
        <f>I95*Calc_SEC_death_rates!$G142</f>
        <v>2.7981441242258653E-2</v>
      </c>
      <c r="J197" s="459">
        <f>J95*Calc_SEC_death_rates!$G142</f>
        <v>2.8467410982376432E-2</v>
      </c>
      <c r="K197" s="459">
        <f>K95*Calc_SEC_death_rates!$G142</f>
        <v>2.9088626268445762E-2</v>
      </c>
      <c r="L197" s="459">
        <f>L95*Calc_SEC_death_rates!$G142</f>
        <v>2.9633802662014399E-2</v>
      </c>
      <c r="M197" s="459">
        <f>M95*Calc_SEC_death_rates!$G142</f>
        <v>3.0083112095738655E-2</v>
      </c>
      <c r="N197" s="459">
        <f>N95*Calc_SEC_death_rates!$G142</f>
        <v>3.043921571433408E-2</v>
      </c>
    </row>
    <row r="198" spans="1:14">
      <c r="B198" s="338" t="str">
        <f t="shared" si="67"/>
        <v>35-39</v>
      </c>
      <c r="C198" s="459">
        <f>C96*Calc_SEC_death_rates!$G143</f>
        <v>0.14637756763786439</v>
      </c>
      <c r="D198" s="459">
        <f>D96*Calc_SEC_death_rates!$G143</f>
        <v>0.14015631528257383</v>
      </c>
      <c r="E198" s="459">
        <f>E96*Calc_SEC_death_rates!$G143</f>
        <v>0.13510477554619568</v>
      </c>
      <c r="F198" s="459">
        <f>F96*Calc_SEC_death_rates!$G143</f>
        <v>0.12785277798720074</v>
      </c>
      <c r="G198" s="459">
        <f>G96*Calc_SEC_death_rates!$G143</f>
        <v>0.12099162650313078</v>
      </c>
      <c r="H198" s="459">
        <f>H96*Calc_SEC_death_rates!$G143</f>
        <v>0.1169370437019152</v>
      </c>
      <c r="I198" s="459">
        <f>I96*Calc_SEC_death_rates!$G143</f>
        <v>0.11435413133811974</v>
      </c>
      <c r="J198" s="459">
        <f>J96*Calc_SEC_death_rates!$G143</f>
        <v>0.1127584487725746</v>
      </c>
      <c r="K198" s="459">
        <f>K96*Calc_SEC_death_rates!$G143</f>
        <v>0.11199077014852939</v>
      </c>
      <c r="L198" s="459">
        <f>L96*Calc_SEC_death_rates!$G143</f>
        <v>0.11157747328970945</v>
      </c>
      <c r="M198" s="459">
        <f>M96*Calc_SEC_death_rates!$G143</f>
        <v>0.1114499709254793</v>
      </c>
      <c r="N198" s="459">
        <f>N96*Calc_SEC_death_rates!$G143</f>
        <v>0.1115389034709684</v>
      </c>
    </row>
    <row r="199" spans="1:14">
      <c r="B199" s="338" t="str">
        <f t="shared" si="67"/>
        <v>40-44</v>
      </c>
      <c r="C199" s="459">
        <f>C97*Calc_SEC_death_rates!$G144</f>
        <v>0.14790270766901314</v>
      </c>
      <c r="D199" s="459">
        <f>D97*Calc_SEC_death_rates!$G144</f>
        <v>0.14643651487945408</v>
      </c>
      <c r="E199" s="459">
        <f>E97*Calc_SEC_death_rates!$G144</f>
        <v>0.14540484725806688</v>
      </c>
      <c r="F199" s="459">
        <f>F97*Calc_SEC_death_rates!$G144</f>
        <v>0.14123271380652438</v>
      </c>
      <c r="G199" s="459">
        <f>G97*Calc_SEC_death_rates!$G144</f>
        <v>0.13642817159262213</v>
      </c>
      <c r="H199" s="459">
        <f>H97*Calc_SEC_death_rates!$G144</f>
        <v>0.13336385652255484</v>
      </c>
      <c r="I199" s="459">
        <f>I97*Calc_SEC_death_rates!$G144</f>
        <v>0.13084811364864166</v>
      </c>
      <c r="J199" s="459">
        <f>J97*Calc_SEC_death_rates!$G144</f>
        <v>0.12859721171317393</v>
      </c>
      <c r="K199" s="459">
        <f>K97*Calc_SEC_death_rates!$G144</f>
        <v>0.12667336475779653</v>
      </c>
      <c r="L199" s="459">
        <f>L97*Calc_SEC_death_rates!$G144</f>
        <v>0.12483644516278221</v>
      </c>
      <c r="M199" s="459">
        <f>M97*Calc_SEC_death_rates!$G144</f>
        <v>0.12320900269374005</v>
      </c>
      <c r="N199" s="459">
        <f>N97*Calc_SEC_death_rates!$G144</f>
        <v>0.12186251261067257</v>
      </c>
    </row>
    <row r="200" spans="1:14">
      <c r="B200" s="338" t="str">
        <f t="shared" si="67"/>
        <v>45-49</v>
      </c>
      <c r="C200" s="459">
        <f>C98*Calc_SEC_death_rates!$G145</f>
        <v>0.17834688299620438</v>
      </c>
      <c r="D200" s="459">
        <f>D98*Calc_SEC_death_rates!$G145</f>
        <v>0.17888957021050761</v>
      </c>
      <c r="E200" s="459">
        <f>E98*Calc_SEC_death_rates!$G145</f>
        <v>0.18048666172936809</v>
      </c>
      <c r="F200" s="459">
        <f>F98*Calc_SEC_death_rates!$G145</f>
        <v>0.17854637151324709</v>
      </c>
      <c r="G200" s="459">
        <f>G98*Calc_SEC_death_rates!$G145</f>
        <v>0.17572574403463184</v>
      </c>
      <c r="H200" s="459">
        <f>H98*Calc_SEC_death_rates!$G145</f>
        <v>0.17463081177015788</v>
      </c>
      <c r="I200" s="459">
        <f>I98*Calc_SEC_death_rates!$G145</f>
        <v>0.17369649648930222</v>
      </c>
      <c r="J200" s="459">
        <f>J98*Calc_SEC_death_rates!$G145</f>
        <v>0.17249732826980713</v>
      </c>
      <c r="K200" s="459">
        <f>K98*Calc_SEC_death_rates!$G145</f>
        <v>0.17108971710693274</v>
      </c>
      <c r="L200" s="459">
        <f>L98*Calc_SEC_death_rates!$G145</f>
        <v>0.16922933041127949</v>
      </c>
      <c r="M200" s="459">
        <f>M98*Calc_SEC_death_rates!$G145</f>
        <v>0.16714776584548544</v>
      </c>
      <c r="N200" s="459">
        <f>N98*Calc_SEC_death_rates!$G145</f>
        <v>0.16504188025608352</v>
      </c>
    </row>
    <row r="201" spans="1:14">
      <c r="B201" s="338" t="str">
        <f t="shared" si="67"/>
        <v>50-54</v>
      </c>
      <c r="C201" s="459">
        <f>C99*Calc_SEC_death_rates!$G146</f>
        <v>0.1989285309517578</v>
      </c>
      <c r="D201" s="459">
        <f>D99*Calc_SEC_death_rates!$G146</f>
        <v>0.19456135084288831</v>
      </c>
      <c r="E201" s="459">
        <f>E99*Calc_SEC_death_rates!$G146</f>
        <v>0.19316348399752328</v>
      </c>
      <c r="F201" s="459">
        <f>F99*Calc_SEC_death_rates!$G146</f>
        <v>0.18972592285830109</v>
      </c>
      <c r="G201" s="459">
        <f>G99*Calc_SEC_death_rates!$G146</f>
        <v>0.18651805912590794</v>
      </c>
      <c r="H201" s="459">
        <f>H99*Calc_SEC_death_rates!$G146</f>
        <v>0.18579942691031989</v>
      </c>
      <c r="I201" s="459">
        <f>I99*Calc_SEC_death_rates!$G146</f>
        <v>0.18571388369465613</v>
      </c>
      <c r="J201" s="459">
        <f>J99*Calc_SEC_death_rates!$G146</f>
        <v>0.18559021623595418</v>
      </c>
      <c r="K201" s="459">
        <f>K99*Calc_SEC_death_rates!$G146</f>
        <v>0.1852877160466187</v>
      </c>
      <c r="L201" s="459">
        <f>L99*Calc_SEC_death_rates!$G146</f>
        <v>0.18441701484493234</v>
      </c>
      <c r="M201" s="459">
        <f>M99*Calc_SEC_death_rates!$G146</f>
        <v>0.1831146011053251</v>
      </c>
      <c r="N201" s="459">
        <f>N99*Calc_SEC_death_rates!$G146</f>
        <v>0.18152926633035918</v>
      </c>
    </row>
    <row r="202" spans="1:14">
      <c r="B202" s="338" t="str">
        <f t="shared" si="67"/>
        <v>55-59</v>
      </c>
      <c r="C202" s="459">
        <f>C100*Calc_SEC_death_rates!$G147</f>
        <v>0.34479145321430393</v>
      </c>
      <c r="D202" s="459">
        <f>D100*Calc_SEC_death_rates!$G147</f>
        <v>0.32314134508257836</v>
      </c>
      <c r="E202" s="459">
        <f>E100*Calc_SEC_death_rates!$G147</f>
        <v>0.31092202407216302</v>
      </c>
      <c r="F202" s="459">
        <f>F100*Calc_SEC_death_rates!$G147</f>
        <v>0.2974293395693467</v>
      </c>
      <c r="G202" s="459">
        <f>G100*Calc_SEC_death_rates!$G147</f>
        <v>0.28704139522070526</v>
      </c>
      <c r="H202" s="459">
        <f>H100*Calc_SEC_death_rates!$G147</f>
        <v>0.283499669560555</v>
      </c>
      <c r="I202" s="459">
        <f>I100*Calc_SEC_death_rates!$G147</f>
        <v>0.28233069134410754</v>
      </c>
      <c r="J202" s="459">
        <f>J100*Calc_SEC_death_rates!$G147</f>
        <v>0.28189742763680098</v>
      </c>
      <c r="K202" s="459">
        <f>K100*Calc_SEC_death_rates!$G147</f>
        <v>0.28172542083368857</v>
      </c>
      <c r="L202" s="459">
        <f>L100*Calc_SEC_death_rates!$G147</f>
        <v>0.28088023927368688</v>
      </c>
      <c r="M202" s="459">
        <f>M100*Calc_SEC_death_rates!$G147</f>
        <v>0.27951133991673016</v>
      </c>
      <c r="N202" s="459">
        <f>N100*Calc_SEC_death_rates!$G147</f>
        <v>0.27776585973903384</v>
      </c>
    </row>
    <row r="203" spans="1:14">
      <c r="B203" s="338" t="str">
        <f t="shared" si="67"/>
        <v>60-64</v>
      </c>
      <c r="C203" s="459">
        <f>C101*Calc_SEC_death_rates!$G148</f>
        <v>0.19495516108043012</v>
      </c>
      <c r="D203" s="459">
        <f>D101*Calc_SEC_death_rates!$G148</f>
        <v>0.18207033772227502</v>
      </c>
      <c r="E203" s="459">
        <f>E101*Calc_SEC_death_rates!$G148</f>
        <v>0.17366732856963948</v>
      </c>
      <c r="F203" s="459">
        <f>F101*Calc_SEC_death_rates!$G148</f>
        <v>0.16257606598980598</v>
      </c>
      <c r="G203" s="459">
        <f>G101*Calc_SEC_death_rates!$G148</f>
        <v>0.15394824004028276</v>
      </c>
      <c r="H203" s="459">
        <f>H101*Calc_SEC_death_rates!$G148</f>
        <v>0.15113702771678397</v>
      </c>
      <c r="I203" s="459">
        <f>I101*Calc_SEC_death_rates!$G148</f>
        <v>0.15011888994975206</v>
      </c>
      <c r="J203" s="459">
        <f>J101*Calc_SEC_death_rates!$G148</f>
        <v>0.14964123587634115</v>
      </c>
      <c r="K203" s="459">
        <f>K101*Calc_SEC_death_rates!$G148</f>
        <v>0.14944572118311128</v>
      </c>
      <c r="L203" s="459">
        <f>L101*Calc_SEC_death_rates!$G148</f>
        <v>0.14883198854620278</v>
      </c>
      <c r="M203" s="459">
        <f>M101*Calc_SEC_death_rates!$G148</f>
        <v>0.14800570005199515</v>
      </c>
      <c r="N203" s="459">
        <f>N101*Calc_SEC_death_rates!$G148</f>
        <v>0.14708713192883696</v>
      </c>
    </row>
    <row r="204" spans="1:14">
      <c r="B204" s="338" t="str">
        <f t="shared" si="67"/>
        <v>65 plus</v>
      </c>
      <c r="C204" s="459">
        <f>C102*Calc_SEC_death_rates!$G149</f>
        <v>0.24308497266147408</v>
      </c>
      <c r="D204" s="459">
        <f>D102*Calc_SEC_death_rates!$G149</f>
        <v>0.28905492664442062</v>
      </c>
      <c r="E204" s="459">
        <f>E102*Calc_SEC_death_rates!$G149</f>
        <v>0.30864689129979789</v>
      </c>
      <c r="F204" s="459">
        <f>F102*Calc_SEC_death_rates!$G149</f>
        <v>0.30243483764991302</v>
      </c>
      <c r="G204" s="459">
        <f>G102*Calc_SEC_death_rates!$G149</f>
        <v>0.29054469012838913</v>
      </c>
      <c r="H204" s="459">
        <f>H102*Calc_SEC_death_rates!$G149</f>
        <v>0.28661114253673825</v>
      </c>
      <c r="I204" s="459">
        <f>I102*Calc_SEC_death_rates!$G149</f>
        <v>0.28514878060893306</v>
      </c>
      <c r="J204" s="459">
        <f>J102*Calc_SEC_death_rates!$G149</f>
        <v>0.2842923034602412</v>
      </c>
      <c r="K204" s="459">
        <f>K102*Calc_SEC_death_rates!$G149</f>
        <v>0.28381030656746414</v>
      </c>
      <c r="L204" s="459">
        <f>L102*Calc_SEC_death_rates!$G149</f>
        <v>0.28232671631230172</v>
      </c>
      <c r="M204" s="459">
        <f>M102*Calc_SEC_death_rates!$G149</f>
        <v>0.28035452506049541</v>
      </c>
      <c r="N204" s="459">
        <f>N102*Calc_SEC_death_rates!$G149</f>
        <v>0.27827510377411641</v>
      </c>
    </row>
    <row r="205" spans="1:14">
      <c r="B205" s="338" t="str">
        <f t="shared" si="67"/>
        <v>Total</v>
      </c>
      <c r="C205" s="459">
        <f>SUM(C195:C204)</f>
        <v>1.4899523689277707</v>
      </c>
      <c r="D205" s="459">
        <f t="shared" ref="D205:N205" si="69">SUM(D195:D204)</f>
        <v>1.4871335900025384</v>
      </c>
      <c r="E205" s="459">
        <f t="shared" si="69"/>
        <v>1.478795392382326</v>
      </c>
      <c r="F205" s="459">
        <f t="shared" si="69"/>
        <v>1.4293634298813103</v>
      </c>
      <c r="G205" s="459">
        <f t="shared" si="69"/>
        <v>1.3792687490631788</v>
      </c>
      <c r="H205" s="459">
        <f t="shared" si="69"/>
        <v>1.3597314660920068</v>
      </c>
      <c r="I205" s="459">
        <f t="shared" si="69"/>
        <v>1.3501924283157709</v>
      </c>
      <c r="J205" s="459">
        <f t="shared" si="69"/>
        <v>1.3437415829472696</v>
      </c>
      <c r="K205" s="459">
        <f t="shared" si="69"/>
        <v>1.3391116429125871</v>
      </c>
      <c r="L205" s="459">
        <f t="shared" si="69"/>
        <v>1.3317330105029093</v>
      </c>
      <c r="M205" s="459">
        <f t="shared" si="69"/>
        <v>1.3228760176949894</v>
      </c>
      <c r="N205" s="459">
        <f t="shared" si="69"/>
        <v>1.3135398738244051</v>
      </c>
    </row>
    <row r="206" spans="1:14">
      <c r="A206" s="309">
        <f>SUM(C206:N206)</f>
        <v>0</v>
      </c>
      <c r="C206" s="309">
        <f t="shared" ref="C206:N206" si="70">SUM(C195:C204)-C205</f>
        <v>0</v>
      </c>
      <c r="D206" s="309">
        <f t="shared" si="70"/>
        <v>0</v>
      </c>
      <c r="E206" s="309">
        <f t="shared" si="70"/>
        <v>0</v>
      </c>
      <c r="F206" s="309">
        <f t="shared" si="70"/>
        <v>0</v>
      </c>
      <c r="G206" s="309">
        <f t="shared" si="70"/>
        <v>0</v>
      </c>
      <c r="H206" s="309">
        <f t="shared" si="70"/>
        <v>0</v>
      </c>
      <c r="I206" s="309">
        <f t="shared" si="70"/>
        <v>0</v>
      </c>
      <c r="J206" s="309">
        <f t="shared" si="70"/>
        <v>0</v>
      </c>
      <c r="K206" s="309">
        <f t="shared" si="70"/>
        <v>0</v>
      </c>
      <c r="L206" s="309">
        <f t="shared" si="70"/>
        <v>0</v>
      </c>
      <c r="M206" s="309">
        <f t="shared" si="70"/>
        <v>0</v>
      </c>
      <c r="N206" s="309">
        <f t="shared" si="70"/>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1">B178</f>
        <v>Age group</v>
      </c>
      <c r="C212" s="338" t="str">
        <f t="shared" ref="C212:N212" si="72">C178</f>
        <v>2016/17</v>
      </c>
      <c r="D212" s="338" t="str">
        <f t="shared" si="72"/>
        <v>2017/18</v>
      </c>
      <c r="E212" s="338" t="str">
        <f t="shared" si="72"/>
        <v>2018/19</v>
      </c>
      <c r="F212" s="338" t="str">
        <f t="shared" si="72"/>
        <v>2019/20</v>
      </c>
      <c r="G212" s="338" t="str">
        <f t="shared" si="72"/>
        <v>2020/21</v>
      </c>
      <c r="H212" s="338" t="str">
        <f t="shared" si="72"/>
        <v>2021/22</v>
      </c>
      <c r="I212" s="338" t="str">
        <f t="shared" si="72"/>
        <v>2022/23</v>
      </c>
      <c r="J212" s="338" t="str">
        <f t="shared" si="72"/>
        <v>2023/24</v>
      </c>
      <c r="K212" s="338" t="str">
        <f t="shared" si="72"/>
        <v>2024/25</v>
      </c>
      <c r="L212" s="338" t="str">
        <f t="shared" si="72"/>
        <v>2025/26</v>
      </c>
      <c r="M212" s="338" t="str">
        <f t="shared" si="72"/>
        <v>2026/27</v>
      </c>
      <c r="N212" s="338" t="str">
        <f t="shared" si="72"/>
        <v>2027/28</v>
      </c>
    </row>
    <row r="213" spans="1:14">
      <c r="B213" s="338" t="str">
        <f t="shared" si="71"/>
        <v>20-24</v>
      </c>
      <c r="C213" s="459">
        <f t="shared" ref="C213:C222" si="73">C111+C145+C179</f>
        <v>13.757169938401152</v>
      </c>
      <c r="D213" s="459">
        <f t="shared" ref="D213:N213" si="74">D111+D145+D179</f>
        <v>21.825775911400246</v>
      </c>
      <c r="E213" s="459">
        <f t="shared" si="74"/>
        <v>29.707967840485296</v>
      </c>
      <c r="F213" s="459">
        <f t="shared" si="74"/>
        <v>30.973131106077275</v>
      </c>
      <c r="G213" s="459">
        <f t="shared" si="74"/>
        <v>31.444423255874614</v>
      </c>
      <c r="H213" s="459">
        <f t="shared" si="74"/>
        <v>35.095746063620531</v>
      </c>
      <c r="I213" s="459">
        <f t="shared" si="74"/>
        <v>38.624358100095236</v>
      </c>
      <c r="J213" s="459">
        <f t="shared" si="74"/>
        <v>41.290091640395438</v>
      </c>
      <c r="K213" s="459">
        <f t="shared" si="74"/>
        <v>43.236272890509404</v>
      </c>
      <c r="L213" s="459">
        <f t="shared" si="74"/>
        <v>44.11785677353884</v>
      </c>
      <c r="M213" s="459">
        <f t="shared" si="74"/>
        <v>44.394855479097522</v>
      </c>
      <c r="N213" s="459">
        <f t="shared" si="74"/>
        <v>44.374802589079792</v>
      </c>
    </row>
    <row r="214" spans="1:14">
      <c r="B214" s="338" t="str">
        <f t="shared" si="71"/>
        <v>25-29</v>
      </c>
      <c r="C214" s="459">
        <f t="shared" si="73"/>
        <v>45.80780162790014</v>
      </c>
      <c r="D214" s="459">
        <f t="shared" ref="D214:N214" si="75">D112+D146+D180</f>
        <v>46.338157556115853</v>
      </c>
      <c r="E214" s="459">
        <f t="shared" si="75"/>
        <v>49.978994864793137</v>
      </c>
      <c r="F214" s="459">
        <f t="shared" si="75"/>
        <v>49.638019531409775</v>
      </c>
      <c r="G214" s="459">
        <f t="shared" si="75"/>
        <v>49.176621840528355</v>
      </c>
      <c r="H214" s="459">
        <f t="shared" si="75"/>
        <v>52.077926342209636</v>
      </c>
      <c r="I214" s="459">
        <f t="shared" si="75"/>
        <v>55.593699797449254</v>
      </c>
      <c r="J214" s="459">
        <f t="shared" si="75"/>
        <v>58.791552895840375</v>
      </c>
      <c r="K214" s="459">
        <f t="shared" si="75"/>
        <v>61.530694484914719</v>
      </c>
      <c r="L214" s="459">
        <f t="shared" si="75"/>
        <v>63.306013714851581</v>
      </c>
      <c r="M214" s="459">
        <f t="shared" si="75"/>
        <v>64.376179423536968</v>
      </c>
      <c r="N214" s="459">
        <f t="shared" si="75"/>
        <v>64.977068367657949</v>
      </c>
    </row>
    <row r="215" spans="1:14">
      <c r="B215" s="338" t="str">
        <f t="shared" si="71"/>
        <v>30-34</v>
      </c>
      <c r="C215" s="459">
        <f t="shared" si="73"/>
        <v>63.847869587803181</v>
      </c>
      <c r="D215" s="459">
        <f t="shared" ref="D215:N215" si="76">D113+D147+D181</f>
        <v>57.985290188780219</v>
      </c>
      <c r="E215" s="459">
        <f t="shared" si="76"/>
        <v>54.641783962965818</v>
      </c>
      <c r="F215" s="459">
        <f t="shared" si="76"/>
        <v>50.962086763473913</v>
      </c>
      <c r="G215" s="459">
        <f t="shared" si="76"/>
        <v>48.033411522392498</v>
      </c>
      <c r="H215" s="459">
        <f t="shared" si="76"/>
        <v>47.133974287089771</v>
      </c>
      <c r="I215" s="459">
        <f t="shared" si="76"/>
        <v>47.237389566498976</v>
      </c>
      <c r="J215" s="459">
        <f t="shared" si="76"/>
        <v>47.84985191525837</v>
      </c>
      <c r="K215" s="459">
        <f t="shared" si="76"/>
        <v>48.749170935881374</v>
      </c>
      <c r="L215" s="459">
        <f t="shared" si="76"/>
        <v>49.576004622271064</v>
      </c>
      <c r="M215" s="459">
        <f t="shared" si="76"/>
        <v>50.279282833054786</v>
      </c>
      <c r="N215" s="459">
        <f t="shared" si="76"/>
        <v>50.85012623052296</v>
      </c>
    </row>
    <row r="216" spans="1:14">
      <c r="B216" s="338" t="str">
        <f t="shared" si="71"/>
        <v>35-39</v>
      </c>
      <c r="C216" s="459">
        <f t="shared" si="73"/>
        <v>64.382674356534721</v>
      </c>
      <c r="D216" s="459">
        <f t="shared" ref="D216:N216" si="77">D114+D148+D182</f>
        <v>62.79343852572714</v>
      </c>
      <c r="E216" s="459">
        <f t="shared" si="77"/>
        <v>61.127078269507564</v>
      </c>
      <c r="F216" s="459">
        <f t="shared" si="77"/>
        <v>58.200914976005436</v>
      </c>
      <c r="G216" s="459">
        <f t="shared" si="77"/>
        <v>55.244658970061693</v>
      </c>
      <c r="H216" s="459">
        <f t="shared" si="77"/>
        <v>53.36604381638503</v>
      </c>
      <c r="I216" s="459">
        <f t="shared" si="77"/>
        <v>52.069955187854816</v>
      </c>
      <c r="J216" s="459">
        <f t="shared" si="77"/>
        <v>51.191739785777379</v>
      </c>
      <c r="K216" s="459">
        <f t="shared" si="77"/>
        <v>50.685225352340062</v>
      </c>
      <c r="L216" s="459">
        <f t="shared" si="77"/>
        <v>50.360511164090731</v>
      </c>
      <c r="M216" s="459">
        <f t="shared" si="77"/>
        <v>50.189499814344366</v>
      </c>
      <c r="N216" s="459">
        <f t="shared" si="77"/>
        <v>50.139731413535586</v>
      </c>
    </row>
    <row r="217" spans="1:14">
      <c r="B217" s="338" t="str">
        <f t="shared" si="71"/>
        <v>40-44</v>
      </c>
      <c r="C217" s="459">
        <f t="shared" si="73"/>
        <v>52.813337951635056</v>
      </c>
      <c r="D217" s="459">
        <f t="shared" ref="D217:N217" si="78">D115+D149+D183</f>
        <v>53.488620650847253</v>
      </c>
      <c r="E217" s="459">
        <f t="shared" si="78"/>
        <v>54.192091186024818</v>
      </c>
      <c r="F217" s="459">
        <f t="shared" si="78"/>
        <v>53.541864981027508</v>
      </c>
      <c r="G217" s="459">
        <f t="shared" si="78"/>
        <v>52.444094898468634</v>
      </c>
      <c r="H217" s="459">
        <f t="shared" si="78"/>
        <v>51.78981771833822</v>
      </c>
      <c r="I217" s="459">
        <f t="shared" si="78"/>
        <v>51.177114260822862</v>
      </c>
      <c r="J217" s="459">
        <f t="shared" si="78"/>
        <v>50.537912561906296</v>
      </c>
      <c r="K217" s="459">
        <f t="shared" si="78"/>
        <v>49.928350259027901</v>
      </c>
      <c r="L217" s="459">
        <f t="shared" si="78"/>
        <v>49.288709138549251</v>
      </c>
      <c r="M217" s="459">
        <f t="shared" si="78"/>
        <v>48.686265931281348</v>
      </c>
      <c r="N217" s="459">
        <f t="shared" si="78"/>
        <v>48.164102379459791</v>
      </c>
    </row>
    <row r="218" spans="1:14">
      <c r="B218" s="338" t="str">
        <f t="shared" si="71"/>
        <v>45-49</v>
      </c>
      <c r="C218" s="459">
        <f t="shared" si="73"/>
        <v>53.652084364760647</v>
      </c>
      <c r="D218" s="459">
        <f t="shared" ref="D218:N218" si="79">D116+D150+D184</f>
        <v>53.526296027838463</v>
      </c>
      <c r="E218" s="459">
        <f t="shared" si="79"/>
        <v>54.066893739980451</v>
      </c>
      <c r="F218" s="459">
        <f t="shared" si="79"/>
        <v>53.767517569629078</v>
      </c>
      <c r="G218" s="459">
        <f t="shared" si="79"/>
        <v>53.321914359636963</v>
      </c>
      <c r="H218" s="459">
        <f t="shared" si="79"/>
        <v>53.434477493531162</v>
      </c>
      <c r="I218" s="459">
        <f t="shared" si="79"/>
        <v>53.580201384889826</v>
      </c>
      <c r="J218" s="459">
        <f t="shared" si="79"/>
        <v>53.599513882101192</v>
      </c>
      <c r="K218" s="459">
        <f t="shared" si="79"/>
        <v>53.494483516352886</v>
      </c>
      <c r="L218" s="459">
        <f t="shared" si="79"/>
        <v>53.188107607232496</v>
      </c>
      <c r="M218" s="459">
        <f t="shared" si="79"/>
        <v>52.753936543234701</v>
      </c>
      <c r="N218" s="459">
        <f t="shared" si="79"/>
        <v>52.259023785344986</v>
      </c>
    </row>
    <row r="219" spans="1:14">
      <c r="B219" s="338" t="str">
        <f t="shared" si="71"/>
        <v>50-54</v>
      </c>
      <c r="C219" s="459">
        <f t="shared" si="73"/>
        <v>52.137192718204759</v>
      </c>
      <c r="D219" s="459">
        <f t="shared" ref="D219:N219" si="80">D117+D151+D185</f>
        <v>51.856028594430711</v>
      </c>
      <c r="E219" s="459">
        <f t="shared" si="80"/>
        <v>52.080537301012939</v>
      </c>
      <c r="F219" s="459">
        <f t="shared" si="80"/>
        <v>51.562481963321282</v>
      </c>
      <c r="G219" s="459">
        <f t="shared" si="80"/>
        <v>51.047984342658815</v>
      </c>
      <c r="H219" s="459">
        <f t="shared" si="80"/>
        <v>51.223277660142969</v>
      </c>
      <c r="I219" s="459">
        <f t="shared" si="80"/>
        <v>51.571787136292663</v>
      </c>
      <c r="J219" s="459">
        <f t="shared" si="80"/>
        <v>51.90051043146412</v>
      </c>
      <c r="K219" s="459">
        <f t="shared" si="80"/>
        <v>52.161418977013788</v>
      </c>
      <c r="L219" s="459">
        <f t="shared" si="80"/>
        <v>52.234986390586826</v>
      </c>
      <c r="M219" s="459">
        <f t="shared" si="80"/>
        <v>52.153286756479076</v>
      </c>
      <c r="N219" s="459">
        <f t="shared" si="80"/>
        <v>51.954488470471439</v>
      </c>
    </row>
    <row r="220" spans="1:14">
      <c r="B220" s="338" t="str">
        <f t="shared" si="71"/>
        <v>55-59</v>
      </c>
      <c r="C220" s="459">
        <f t="shared" si="73"/>
        <v>81.822533872424017</v>
      </c>
      <c r="D220" s="459">
        <f t="shared" ref="D220:N220" si="81">D118+D152+D186</f>
        <v>74.096805836482559</v>
      </c>
      <c r="E220" s="459">
        <f t="shared" si="81"/>
        <v>70.119025334668834</v>
      </c>
      <c r="F220" s="459">
        <f t="shared" si="81"/>
        <v>66.552055309738009</v>
      </c>
      <c r="G220" s="459">
        <f t="shared" si="81"/>
        <v>64.092779651637159</v>
      </c>
      <c r="H220" s="459">
        <f t="shared" si="81"/>
        <v>63.457081071217694</v>
      </c>
      <c r="I220" s="459">
        <f t="shared" si="81"/>
        <v>63.470963661568092</v>
      </c>
      <c r="J220" s="459">
        <f t="shared" si="81"/>
        <v>63.699547327090706</v>
      </c>
      <c r="K220" s="459">
        <f t="shared" si="81"/>
        <v>64.007850956162017</v>
      </c>
      <c r="L220" s="459">
        <f t="shared" si="81"/>
        <v>64.157232853268937</v>
      </c>
      <c r="M220" s="459">
        <f t="shared" si="81"/>
        <v>64.173999972895814</v>
      </c>
      <c r="N220" s="459">
        <f t="shared" si="81"/>
        <v>64.084496627876419</v>
      </c>
    </row>
    <row r="221" spans="1:14">
      <c r="B221" s="338" t="str">
        <f t="shared" si="71"/>
        <v>60-64</v>
      </c>
      <c r="C221" s="459">
        <f t="shared" si="73"/>
        <v>46.701956956837172</v>
      </c>
      <c r="D221" s="459">
        <f t="shared" ref="D221:N221" si="82">D119+D153+D187</f>
        <v>44.539858678057428</v>
      </c>
      <c r="E221" s="459">
        <f t="shared" si="82"/>
        <v>42.33538629296163</v>
      </c>
      <c r="F221" s="459">
        <f t="shared" si="82"/>
        <v>39.279710183018508</v>
      </c>
      <c r="G221" s="459">
        <f t="shared" si="82"/>
        <v>36.882075820509421</v>
      </c>
      <c r="H221" s="459">
        <f t="shared" si="82"/>
        <v>36.02574813477419</v>
      </c>
      <c r="I221" s="459">
        <f t="shared" si="82"/>
        <v>35.73217098290722</v>
      </c>
      <c r="J221" s="459">
        <f t="shared" si="82"/>
        <v>35.656784037829532</v>
      </c>
      <c r="K221" s="459">
        <f t="shared" si="82"/>
        <v>35.702944430951199</v>
      </c>
      <c r="L221" s="459">
        <f t="shared" si="82"/>
        <v>35.677604732173897</v>
      </c>
      <c r="M221" s="459">
        <f t="shared" si="82"/>
        <v>35.61414835585667</v>
      </c>
      <c r="N221" s="459">
        <f t="shared" si="82"/>
        <v>35.532597106880836</v>
      </c>
    </row>
    <row r="222" spans="1:14">
      <c r="B222" s="338" t="str">
        <f t="shared" si="71"/>
        <v>65 plus</v>
      </c>
      <c r="C222" s="459">
        <f t="shared" si="73"/>
        <v>11.017338929925748</v>
      </c>
      <c r="D222" s="459">
        <f t="shared" ref="D222:N222" si="83">D120+D154+D188</f>
        <v>13.90089445281669</v>
      </c>
      <c r="E222" s="459">
        <f t="shared" si="83"/>
        <v>15.423954836098359</v>
      </c>
      <c r="F222" s="459">
        <f t="shared" si="83"/>
        <v>15.474255756865023</v>
      </c>
      <c r="G222" s="459">
        <f t="shared" si="83"/>
        <v>15.028973570291159</v>
      </c>
      <c r="H222" s="459">
        <f t="shared" si="83"/>
        <v>14.826231412650147</v>
      </c>
      <c r="I222" s="459">
        <f t="shared" si="83"/>
        <v>14.711434671626593</v>
      </c>
      <c r="J222" s="459">
        <f t="shared" si="83"/>
        <v>14.635520938453356</v>
      </c>
      <c r="K222" s="459">
        <f t="shared" si="83"/>
        <v>14.596916656753981</v>
      </c>
      <c r="L222" s="459">
        <f t="shared" si="83"/>
        <v>14.531370554348504</v>
      </c>
      <c r="M222" s="459">
        <f t="shared" si="83"/>
        <v>14.455407636968863</v>
      </c>
      <c r="N222" s="459">
        <f t="shared" si="83"/>
        <v>14.381729060794006</v>
      </c>
    </row>
    <row r="223" spans="1:14">
      <c r="B223" s="338" t="str">
        <f t="shared" si="71"/>
        <v>Total</v>
      </c>
      <c r="C223" s="459">
        <f>SUM(C213:C222)</f>
        <v>485.93996030442662</v>
      </c>
      <c r="D223" s="459">
        <f t="shared" ref="D223:N223" si="84">SUM(D213:D222)</f>
        <v>480.35116642249665</v>
      </c>
      <c r="E223" s="459">
        <f t="shared" si="84"/>
        <v>483.67371362849883</v>
      </c>
      <c r="F223" s="459">
        <f t="shared" si="84"/>
        <v>469.95203814056578</v>
      </c>
      <c r="G223" s="459">
        <f t="shared" si="84"/>
        <v>456.71693823205931</v>
      </c>
      <c r="H223" s="459">
        <f t="shared" si="84"/>
        <v>458.43032399995934</v>
      </c>
      <c r="I223" s="459">
        <f t="shared" si="84"/>
        <v>463.76907475000553</v>
      </c>
      <c r="J223" s="459">
        <f t="shared" si="84"/>
        <v>469.15302541611675</v>
      </c>
      <c r="K223" s="459">
        <f t="shared" si="84"/>
        <v>474.09332845990741</v>
      </c>
      <c r="L223" s="459">
        <f t="shared" si="84"/>
        <v>476.43839755091204</v>
      </c>
      <c r="M223" s="459">
        <f t="shared" si="84"/>
        <v>477.07686274675012</v>
      </c>
      <c r="N223" s="459">
        <f t="shared" si="84"/>
        <v>476.71816603162375</v>
      </c>
    </row>
    <row r="224" spans="1:14">
      <c r="A224" s="309">
        <f>SUM(C224:N224)</f>
        <v>0</v>
      </c>
      <c r="C224" s="309">
        <f t="shared" ref="C224:N224" si="85">SUM(C213:C222)-C223</f>
        <v>0</v>
      </c>
      <c r="D224" s="309">
        <f t="shared" si="85"/>
        <v>0</v>
      </c>
      <c r="E224" s="309">
        <f t="shared" si="85"/>
        <v>0</v>
      </c>
      <c r="F224" s="309">
        <f t="shared" si="85"/>
        <v>0</v>
      </c>
      <c r="G224" s="309">
        <f t="shared" si="85"/>
        <v>0</v>
      </c>
      <c r="H224" s="309">
        <f t="shared" si="85"/>
        <v>0</v>
      </c>
      <c r="I224" s="309">
        <f t="shared" si="85"/>
        <v>0</v>
      </c>
      <c r="J224" s="309">
        <f t="shared" si="85"/>
        <v>0</v>
      </c>
      <c r="K224" s="309">
        <f t="shared" si="85"/>
        <v>0</v>
      </c>
      <c r="L224" s="309">
        <f t="shared" si="85"/>
        <v>0</v>
      </c>
      <c r="M224" s="309">
        <f t="shared" si="85"/>
        <v>0</v>
      </c>
      <c r="N224" s="309">
        <f t="shared" si="85"/>
        <v>0</v>
      </c>
    </row>
    <row r="226" spans="1:15">
      <c r="B226" s="341" t="s">
        <v>50</v>
      </c>
      <c r="C226" s="329"/>
      <c r="D226" s="329"/>
      <c r="E226" s="329"/>
      <c r="F226" s="329"/>
      <c r="G226" s="329"/>
      <c r="H226" s="339"/>
      <c r="I226" s="329"/>
      <c r="J226" s="329"/>
      <c r="K226" s="329"/>
      <c r="L226" s="329"/>
    </row>
    <row r="227" spans="1:15">
      <c r="C227" s="329"/>
      <c r="D227" s="329"/>
      <c r="E227" s="329"/>
      <c r="F227" s="329"/>
      <c r="G227" s="329"/>
      <c r="H227" s="339"/>
      <c r="I227" s="329"/>
      <c r="J227" s="329"/>
      <c r="K227" s="329"/>
      <c r="L227" s="329"/>
    </row>
    <row r="228" spans="1:15">
      <c r="B228" s="338" t="str">
        <f t="shared" ref="B228:B239" si="86">B212</f>
        <v>Age group</v>
      </c>
      <c r="C228" s="338" t="str">
        <f t="shared" ref="C228:N228" si="87">C212</f>
        <v>2016/17</v>
      </c>
      <c r="D228" s="338" t="str">
        <f t="shared" si="87"/>
        <v>2017/18</v>
      </c>
      <c r="E228" s="338" t="str">
        <f t="shared" si="87"/>
        <v>2018/19</v>
      </c>
      <c r="F228" s="338" t="str">
        <f t="shared" si="87"/>
        <v>2019/20</v>
      </c>
      <c r="G228" s="338" t="str">
        <f t="shared" si="87"/>
        <v>2020/21</v>
      </c>
      <c r="H228" s="338" t="str">
        <f t="shared" si="87"/>
        <v>2021/22</v>
      </c>
      <c r="I228" s="338" t="str">
        <f t="shared" si="87"/>
        <v>2022/23</v>
      </c>
      <c r="J228" s="338" t="str">
        <f t="shared" si="87"/>
        <v>2023/24</v>
      </c>
      <c r="K228" s="338" t="str">
        <f t="shared" si="87"/>
        <v>2024/25</v>
      </c>
      <c r="L228" s="338" t="str">
        <f t="shared" si="87"/>
        <v>2025/26</v>
      </c>
      <c r="M228" s="338" t="str">
        <f t="shared" si="87"/>
        <v>2026/27</v>
      </c>
      <c r="N228" s="338" t="str">
        <f t="shared" si="87"/>
        <v>2027/28</v>
      </c>
    </row>
    <row r="229" spans="1:15">
      <c r="B229" s="338" t="str">
        <f t="shared" si="86"/>
        <v>20-24</v>
      </c>
      <c r="C229" s="459">
        <f t="shared" ref="C229:C238" si="88">C195+C161+C127</f>
        <v>10.072109317223834</v>
      </c>
      <c r="D229" s="459">
        <f t="shared" ref="D229:N229" si="89">D195+D161+D127</f>
        <v>14.389895756958012</v>
      </c>
      <c r="E229" s="459">
        <f t="shared" si="89"/>
        <v>18.803744194318234</v>
      </c>
      <c r="F229" s="459">
        <f t="shared" si="89"/>
        <v>19.443618672905</v>
      </c>
      <c r="G229" s="459">
        <f t="shared" si="89"/>
        <v>19.657026155039766</v>
      </c>
      <c r="H229" s="459">
        <f t="shared" si="89"/>
        <v>21.776563434556145</v>
      </c>
      <c r="I229" s="459">
        <f t="shared" si="89"/>
        <v>23.867348421221706</v>
      </c>
      <c r="J229" s="459">
        <f t="shared" si="89"/>
        <v>25.477048163356866</v>
      </c>
      <c r="K229" s="459">
        <f t="shared" si="89"/>
        <v>26.674213187278635</v>
      </c>
      <c r="L229" s="459">
        <f t="shared" si="89"/>
        <v>27.244398106085363</v>
      </c>
      <c r="M229" s="459">
        <f t="shared" si="89"/>
        <v>27.449809054750528</v>
      </c>
      <c r="N229" s="459">
        <f t="shared" si="89"/>
        <v>27.469361888903617</v>
      </c>
      <c r="O229" s="327"/>
    </row>
    <row r="230" spans="1:15">
      <c r="B230" s="338" t="str">
        <f t="shared" si="86"/>
        <v>25-29</v>
      </c>
      <c r="C230" s="459">
        <f t="shared" si="88"/>
        <v>33.811247384768883</v>
      </c>
      <c r="D230" s="459">
        <f t="shared" ref="D230:N230" si="90">D196+D162+D128</f>
        <v>33.637346805573237</v>
      </c>
      <c r="E230" s="459">
        <f t="shared" si="90"/>
        <v>35.648946091132032</v>
      </c>
      <c r="F230" s="459">
        <f t="shared" si="90"/>
        <v>35.089397201084267</v>
      </c>
      <c r="G230" s="459">
        <f t="shared" si="90"/>
        <v>34.528699010585399</v>
      </c>
      <c r="H230" s="459">
        <f t="shared" si="90"/>
        <v>36.287392825040968</v>
      </c>
      <c r="I230" s="459">
        <f t="shared" si="90"/>
        <v>38.514314432174537</v>
      </c>
      <c r="J230" s="459">
        <f t="shared" si="90"/>
        <v>40.574385762181372</v>
      </c>
      <c r="K230" s="459">
        <f t="shared" si="90"/>
        <v>42.362525442915441</v>
      </c>
      <c r="L230" s="459">
        <f t="shared" si="90"/>
        <v>43.52984878822847</v>
      </c>
      <c r="M230" s="459">
        <f t="shared" si="90"/>
        <v>44.2405381404037</v>
      </c>
      <c r="N230" s="459">
        <f t="shared" si="90"/>
        <v>44.645655875097781</v>
      </c>
      <c r="O230" s="327"/>
    </row>
    <row r="231" spans="1:15">
      <c r="B231" s="338" t="str">
        <f t="shared" si="86"/>
        <v>30-34</v>
      </c>
      <c r="C231" s="459">
        <f t="shared" si="88"/>
        <v>49.02692967412635</v>
      </c>
      <c r="D231" s="459">
        <f t="shared" ref="D231:N231" si="91">D197+D163+D129</f>
        <v>45.247236362956535</v>
      </c>
      <c r="E231" s="459">
        <f t="shared" si="91"/>
        <v>43.28444193578342</v>
      </c>
      <c r="F231" s="459">
        <f t="shared" si="91"/>
        <v>40.756278157011472</v>
      </c>
      <c r="G231" s="459">
        <f t="shared" si="91"/>
        <v>38.695983376728186</v>
      </c>
      <c r="H231" s="459">
        <f t="shared" si="91"/>
        <v>38.257154495691424</v>
      </c>
      <c r="I231" s="459">
        <f t="shared" si="91"/>
        <v>38.57277029731641</v>
      </c>
      <c r="J231" s="459">
        <f t="shared" si="91"/>
        <v>39.242685724285195</v>
      </c>
      <c r="K231" s="459">
        <f t="shared" si="91"/>
        <v>40.099038845172537</v>
      </c>
      <c r="L231" s="459">
        <f t="shared" si="91"/>
        <v>40.850571391998017</v>
      </c>
      <c r="M231" s="459">
        <f t="shared" si="91"/>
        <v>41.469950123401205</v>
      </c>
      <c r="N231" s="459">
        <f t="shared" si="91"/>
        <v>41.960843460995989</v>
      </c>
      <c r="O231" s="327"/>
    </row>
    <row r="232" spans="1:15">
      <c r="B232" s="338" t="str">
        <f t="shared" si="86"/>
        <v>35-39</v>
      </c>
      <c r="C232" s="459">
        <f t="shared" si="88"/>
        <v>44.462326421398174</v>
      </c>
      <c r="D232" s="459">
        <f t="shared" ref="D232:N232" si="92">D198+D164+D130</f>
        <v>42.572615057597176</v>
      </c>
      <c r="E232" s="459">
        <f t="shared" si="92"/>
        <v>41.038205022548823</v>
      </c>
      <c r="F232" s="459">
        <f t="shared" si="92"/>
        <v>38.835403815516003</v>
      </c>
      <c r="G232" s="459">
        <f t="shared" si="92"/>
        <v>36.751322478230087</v>
      </c>
      <c r="H232" s="459">
        <f t="shared" si="92"/>
        <v>35.519739067469807</v>
      </c>
      <c r="I232" s="459">
        <f t="shared" si="92"/>
        <v>34.735176962154213</v>
      </c>
      <c r="J232" s="459">
        <f t="shared" si="92"/>
        <v>34.250486853969569</v>
      </c>
      <c r="K232" s="459">
        <f t="shared" si="92"/>
        <v>34.017303736365974</v>
      </c>
      <c r="L232" s="459">
        <f t="shared" si="92"/>
        <v>33.891764419499793</v>
      </c>
      <c r="M232" s="459">
        <f t="shared" si="92"/>
        <v>33.853035454198732</v>
      </c>
      <c r="N232" s="459">
        <f t="shared" si="92"/>
        <v>33.880048800101605</v>
      </c>
      <c r="O232" s="327"/>
    </row>
    <row r="233" spans="1:15">
      <c r="B233" s="338" t="str">
        <f t="shared" si="86"/>
        <v>40-44</v>
      </c>
      <c r="C233" s="459">
        <f t="shared" si="88"/>
        <v>39.759277549295419</v>
      </c>
      <c r="D233" s="459">
        <f t="shared" ref="D233:N233" si="93">D199+D165+D131</f>
        <v>39.365134893088545</v>
      </c>
      <c r="E233" s="459">
        <f t="shared" si="93"/>
        <v>39.087801503160691</v>
      </c>
      <c r="F233" s="459">
        <f t="shared" si="93"/>
        <v>37.9662465668995</v>
      </c>
      <c r="G233" s="459">
        <f t="shared" si="93"/>
        <v>36.674687200675216</v>
      </c>
      <c r="H233" s="459">
        <f t="shared" si="93"/>
        <v>35.85093653857141</v>
      </c>
      <c r="I233" s="459">
        <f t="shared" si="93"/>
        <v>35.174653320076068</v>
      </c>
      <c r="J233" s="459">
        <f t="shared" si="93"/>
        <v>34.569564770995655</v>
      </c>
      <c r="K233" s="459">
        <f t="shared" si="93"/>
        <v>34.052395300154103</v>
      </c>
      <c r="L233" s="459">
        <f t="shared" si="93"/>
        <v>33.558593684450379</v>
      </c>
      <c r="M233" s="459">
        <f t="shared" si="93"/>
        <v>33.121103811263204</v>
      </c>
      <c r="N233" s="459">
        <f t="shared" si="93"/>
        <v>32.759139694623364</v>
      </c>
      <c r="O233" s="327"/>
    </row>
    <row r="234" spans="1:15">
      <c r="B234" s="338" t="str">
        <f t="shared" si="86"/>
        <v>45-49</v>
      </c>
      <c r="C234" s="459">
        <f t="shared" si="88"/>
        <v>36.099205751480831</v>
      </c>
      <c r="D234" s="459">
        <f t="shared" ref="D234:N234" si="94">D200+D166+D132</f>
        <v>36.209051110585015</v>
      </c>
      <c r="E234" s="459">
        <f t="shared" si="94"/>
        <v>36.53231852280279</v>
      </c>
      <c r="F234" s="459">
        <f t="shared" si="94"/>
        <v>36.139584236940181</v>
      </c>
      <c r="G234" s="459">
        <f t="shared" si="94"/>
        <v>35.568660820796268</v>
      </c>
      <c r="H234" s="459">
        <f t="shared" si="94"/>
        <v>35.347035500324459</v>
      </c>
      <c r="I234" s="459">
        <f t="shared" si="94"/>
        <v>35.157920675362377</v>
      </c>
      <c r="J234" s="459">
        <f t="shared" si="94"/>
        <v>34.915196947540835</v>
      </c>
      <c r="K234" s="459">
        <f t="shared" si="94"/>
        <v>34.630282268164223</v>
      </c>
      <c r="L234" s="459">
        <f t="shared" si="94"/>
        <v>34.253721259777357</v>
      </c>
      <c r="M234" s="459">
        <f t="shared" si="94"/>
        <v>33.832391622369613</v>
      </c>
      <c r="N234" s="459">
        <f t="shared" si="94"/>
        <v>33.406139164778217</v>
      </c>
      <c r="O234" s="327"/>
    </row>
    <row r="235" spans="1:15">
      <c r="B235" s="338" t="str">
        <f t="shared" si="86"/>
        <v>50-54</v>
      </c>
      <c r="C235" s="459">
        <f t="shared" si="88"/>
        <v>36.283160467412891</v>
      </c>
      <c r="D235" s="459">
        <f t="shared" ref="D235:N235" si="95">D201+D167+D133</f>
        <v>35.486617629027215</v>
      </c>
      <c r="E235" s="459">
        <f t="shared" si="95"/>
        <v>35.231656579348751</v>
      </c>
      <c r="F235" s="459">
        <f t="shared" si="95"/>
        <v>34.604669681922815</v>
      </c>
      <c r="G235" s="459">
        <f t="shared" si="95"/>
        <v>34.019577970828635</v>
      </c>
      <c r="H235" s="459">
        <f t="shared" si="95"/>
        <v>33.88850452515203</v>
      </c>
      <c r="I235" s="459">
        <f t="shared" si="95"/>
        <v>33.87290204618143</v>
      </c>
      <c r="J235" s="459">
        <f t="shared" si="95"/>
        <v>33.85034597427353</v>
      </c>
      <c r="K235" s="459">
        <f t="shared" si="95"/>
        <v>33.795172074086516</v>
      </c>
      <c r="L235" s="459">
        <f t="shared" si="95"/>
        <v>33.636362318297301</v>
      </c>
      <c r="M235" s="459">
        <f t="shared" si="95"/>
        <v>33.398811241621459</v>
      </c>
      <c r="N235" s="459">
        <f t="shared" si="95"/>
        <v>33.10965736429953</v>
      </c>
      <c r="O235" s="327"/>
    </row>
    <row r="236" spans="1:15">
      <c r="B236" s="338" t="str">
        <f t="shared" si="86"/>
        <v>55-59</v>
      </c>
      <c r="C236" s="459">
        <f t="shared" si="88"/>
        <v>53.012526352986406</v>
      </c>
      <c r="D236" s="459">
        <f t="shared" ref="D236:N236" si="96">D202+D168+D134</f>
        <v>49.683769456089827</v>
      </c>
      <c r="E236" s="459">
        <f t="shared" si="96"/>
        <v>47.805019066422773</v>
      </c>
      <c r="F236" s="459">
        <f t="shared" si="96"/>
        <v>45.730485936004648</v>
      </c>
      <c r="G236" s="459">
        <f t="shared" si="96"/>
        <v>44.1333141720241</v>
      </c>
      <c r="H236" s="459">
        <f t="shared" si="96"/>
        <v>43.58876521890064</v>
      </c>
      <c r="I236" s="459">
        <f t="shared" si="96"/>
        <v>43.409031968764154</v>
      </c>
      <c r="J236" s="459">
        <f t="shared" si="96"/>
        <v>43.342416617695385</v>
      </c>
      <c r="K236" s="459">
        <f t="shared" si="96"/>
        <v>43.315970152454206</v>
      </c>
      <c r="L236" s="459">
        <f t="shared" si="96"/>
        <v>43.186021427493209</v>
      </c>
      <c r="M236" s="459">
        <f t="shared" si="96"/>
        <v>42.975549814700216</v>
      </c>
      <c r="N236" s="459">
        <f t="shared" si="96"/>
        <v>42.707177982811373</v>
      </c>
      <c r="O236" s="327"/>
    </row>
    <row r="237" spans="1:15">
      <c r="B237" s="338" t="str">
        <f t="shared" si="86"/>
        <v>60-64</v>
      </c>
      <c r="C237" s="459">
        <f t="shared" si="88"/>
        <v>34.614230796419932</v>
      </c>
      <c r="D237" s="459">
        <f t="shared" ref="D237:N237" si="97">D203+D169+D135</f>
        <v>32.326534245999895</v>
      </c>
      <c r="E237" s="459">
        <f t="shared" si="97"/>
        <v>30.834582473182973</v>
      </c>
      <c r="F237" s="459">
        <f t="shared" si="97"/>
        <v>28.865332104870511</v>
      </c>
      <c r="G237" s="459">
        <f t="shared" si="97"/>
        <v>27.333464176711736</v>
      </c>
      <c r="H237" s="459">
        <f t="shared" si="97"/>
        <v>26.834334265792474</v>
      </c>
      <c r="I237" s="459">
        <f t="shared" si="97"/>
        <v>26.653564208435256</v>
      </c>
      <c r="J237" s="459">
        <f t="shared" si="97"/>
        <v>26.568756869936152</v>
      </c>
      <c r="K237" s="459">
        <f t="shared" si="97"/>
        <v>26.534043294373216</v>
      </c>
      <c r="L237" s="459">
        <f t="shared" si="97"/>
        <v>26.425075247446358</v>
      </c>
      <c r="M237" s="459">
        <f t="shared" si="97"/>
        <v>26.278367971350551</v>
      </c>
      <c r="N237" s="459">
        <f t="shared" si="97"/>
        <v>26.115276474613442</v>
      </c>
      <c r="O237" s="327"/>
    </row>
    <row r="238" spans="1:15">
      <c r="B238" s="338" t="str">
        <f t="shared" si="86"/>
        <v>65 plus</v>
      </c>
      <c r="C238" s="459">
        <f t="shared" si="88"/>
        <v>8.327744365439143</v>
      </c>
      <c r="D238" s="459">
        <f t="shared" ref="D238:N238" si="98">D204+D170+D136</f>
        <v>9.9026094057150491</v>
      </c>
      <c r="E238" s="459">
        <f t="shared" si="98"/>
        <v>10.573802163870106</v>
      </c>
      <c r="F238" s="459">
        <f t="shared" si="98"/>
        <v>10.360986068270982</v>
      </c>
      <c r="G238" s="459">
        <f t="shared" si="98"/>
        <v>9.9536465773000362</v>
      </c>
      <c r="H238" s="459">
        <f t="shared" si="98"/>
        <v>9.8188888486181582</v>
      </c>
      <c r="I238" s="459">
        <f t="shared" si="98"/>
        <v>9.7687904152548093</v>
      </c>
      <c r="J238" s="459">
        <f t="shared" si="98"/>
        <v>9.7394487300364485</v>
      </c>
      <c r="K238" s="459">
        <f t="shared" si="98"/>
        <v>9.7229362041322958</v>
      </c>
      <c r="L238" s="459">
        <f t="shared" si="98"/>
        <v>9.6721105185591476</v>
      </c>
      <c r="M238" s="459">
        <f t="shared" si="98"/>
        <v>9.6045460599051342</v>
      </c>
      <c r="N238" s="459">
        <f t="shared" si="98"/>
        <v>9.5333080532467278</v>
      </c>
      <c r="O238" s="327"/>
    </row>
    <row r="239" spans="1:15">
      <c r="B239" s="338" t="str">
        <f t="shared" si="86"/>
        <v>Total</v>
      </c>
      <c r="C239" s="459">
        <f>SUM(C229:C238)</f>
        <v>345.46875808055182</v>
      </c>
      <c r="D239" s="459">
        <f t="shared" ref="D239:N239" si="99">SUM(D229:D238)</f>
        <v>338.82081072359051</v>
      </c>
      <c r="E239" s="459">
        <f t="shared" si="99"/>
        <v>338.84051755257059</v>
      </c>
      <c r="F239" s="459">
        <f t="shared" si="99"/>
        <v>327.79200244142538</v>
      </c>
      <c r="G239" s="459">
        <f t="shared" si="99"/>
        <v>317.31638193891945</v>
      </c>
      <c r="H239" s="459">
        <f t="shared" si="99"/>
        <v>317.16931472011748</v>
      </c>
      <c r="I239" s="459">
        <f t="shared" si="99"/>
        <v>319.72647274694089</v>
      </c>
      <c r="J239" s="459">
        <f t="shared" si="99"/>
        <v>322.53033641427101</v>
      </c>
      <c r="K239" s="459">
        <f t="shared" si="99"/>
        <v>325.20388050509706</v>
      </c>
      <c r="L239" s="459">
        <f t="shared" si="99"/>
        <v>326.24846716183532</v>
      </c>
      <c r="M239" s="459">
        <f t="shared" si="99"/>
        <v>326.22410329396439</v>
      </c>
      <c r="N239" s="459">
        <f t="shared" si="99"/>
        <v>325.58660875947169</v>
      </c>
      <c r="O239" s="327"/>
    </row>
    <row r="240" spans="1:15">
      <c r="A240" s="309">
        <f>SUM(C240:N240)</f>
        <v>0</v>
      </c>
      <c r="C240" s="309">
        <f t="shared" ref="C240:N240" si="100">SUM(C229:C238)-C239</f>
        <v>0</v>
      </c>
      <c r="D240" s="309">
        <f t="shared" si="100"/>
        <v>0</v>
      </c>
      <c r="E240" s="309">
        <f t="shared" si="100"/>
        <v>0</v>
      </c>
      <c r="F240" s="309">
        <f t="shared" si="100"/>
        <v>0</v>
      </c>
      <c r="G240" s="309">
        <f t="shared" si="100"/>
        <v>0</v>
      </c>
      <c r="H240" s="309">
        <f t="shared" si="100"/>
        <v>0</v>
      </c>
      <c r="I240" s="309">
        <f t="shared" si="100"/>
        <v>0</v>
      </c>
      <c r="J240" s="309">
        <f t="shared" si="100"/>
        <v>0</v>
      </c>
      <c r="K240" s="309">
        <f t="shared" si="100"/>
        <v>0</v>
      </c>
      <c r="L240" s="309">
        <f t="shared" si="100"/>
        <v>0</v>
      </c>
      <c r="M240" s="309">
        <f t="shared" si="100"/>
        <v>0</v>
      </c>
      <c r="N240" s="309">
        <f t="shared" si="100"/>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1">B212</f>
        <v>Age group</v>
      </c>
      <c r="C246" s="338" t="str">
        <f t="shared" ref="C246:N246" si="102">C212</f>
        <v>2016/17</v>
      </c>
      <c r="D246" s="338" t="str">
        <f t="shared" si="102"/>
        <v>2017/18</v>
      </c>
      <c r="E246" s="338" t="str">
        <f t="shared" si="102"/>
        <v>2018/19</v>
      </c>
      <c r="F246" s="338" t="str">
        <f t="shared" si="102"/>
        <v>2019/20</v>
      </c>
      <c r="G246" s="338" t="str">
        <f t="shared" si="102"/>
        <v>2020/21</v>
      </c>
      <c r="H246" s="338" t="str">
        <f t="shared" si="102"/>
        <v>2021/22</v>
      </c>
      <c r="I246" s="338" t="str">
        <f t="shared" si="102"/>
        <v>2022/23</v>
      </c>
      <c r="J246" s="338" t="str">
        <f t="shared" si="102"/>
        <v>2023/24</v>
      </c>
      <c r="K246" s="338" t="str">
        <f t="shared" si="102"/>
        <v>2024/25</v>
      </c>
      <c r="L246" s="338" t="str">
        <f t="shared" si="102"/>
        <v>2025/26</v>
      </c>
      <c r="M246" s="338" t="str">
        <f t="shared" si="102"/>
        <v>2026/27</v>
      </c>
      <c r="N246" s="338" t="str">
        <f t="shared" si="102"/>
        <v>2027/28</v>
      </c>
    </row>
    <row r="247" spans="2:14">
      <c r="B247" s="338" t="str">
        <f t="shared" si="101"/>
        <v>20-24</v>
      </c>
      <c r="C247" s="459">
        <f t="shared" ref="C247:C256" si="103">C77-C213</f>
        <v>83.158097047598275</v>
      </c>
      <c r="D247" s="459">
        <f t="shared" ref="D247:N247" si="104">D77-D213</f>
        <v>131.93047694446747</v>
      </c>
      <c r="E247" s="459">
        <f t="shared" si="104"/>
        <v>179.57603808251855</v>
      </c>
      <c r="F247" s="459">
        <f t="shared" si="104"/>
        <v>187.22358260600953</v>
      </c>
      <c r="G247" s="459">
        <f t="shared" si="104"/>
        <v>190.07240678322785</v>
      </c>
      <c r="H247" s="459">
        <f t="shared" si="104"/>
        <v>212.1435927726576</v>
      </c>
      <c r="I247" s="459">
        <f t="shared" si="104"/>
        <v>233.47302778628003</v>
      </c>
      <c r="J247" s="459">
        <f t="shared" si="104"/>
        <v>249.58661287971856</v>
      </c>
      <c r="K247" s="459">
        <f t="shared" si="104"/>
        <v>261.35071334470149</v>
      </c>
      <c r="L247" s="459">
        <f t="shared" si="104"/>
        <v>266.67963189617791</v>
      </c>
      <c r="M247" s="459">
        <f t="shared" si="104"/>
        <v>268.35400862787839</v>
      </c>
      <c r="N247" s="459">
        <f t="shared" si="104"/>
        <v>268.23279473129605</v>
      </c>
    </row>
    <row r="248" spans="2:14">
      <c r="B248" s="338" t="str">
        <f t="shared" si="101"/>
        <v>25-29</v>
      </c>
      <c r="C248" s="459">
        <f t="shared" si="103"/>
        <v>388.9565881824949</v>
      </c>
      <c r="D248" s="459">
        <f t="shared" ref="D248:N248" si="105">D78-D214</f>
        <v>393.45986982951246</v>
      </c>
      <c r="E248" s="459">
        <f t="shared" si="105"/>
        <v>424.37442166096582</v>
      </c>
      <c r="F248" s="459">
        <f t="shared" si="105"/>
        <v>421.47918116449972</v>
      </c>
      <c r="G248" s="459">
        <f t="shared" si="105"/>
        <v>417.56142774122236</v>
      </c>
      <c r="H248" s="459">
        <f t="shared" si="105"/>
        <v>442.19656542844854</v>
      </c>
      <c r="I248" s="459">
        <f t="shared" si="105"/>
        <v>472.0491931332387</v>
      </c>
      <c r="J248" s="459">
        <f t="shared" si="105"/>
        <v>499.20234142799234</v>
      </c>
      <c r="K248" s="459">
        <f t="shared" si="105"/>
        <v>522.46054481634758</v>
      </c>
      <c r="L248" s="459">
        <f t="shared" si="105"/>
        <v>537.5348790142682</v>
      </c>
      <c r="M248" s="459">
        <f t="shared" si="105"/>
        <v>546.6217154929401</v>
      </c>
      <c r="N248" s="459">
        <f t="shared" si="105"/>
        <v>551.72389689602073</v>
      </c>
    </row>
    <row r="249" spans="2:14">
      <c r="B249" s="338" t="str">
        <f t="shared" si="101"/>
        <v>30-34</v>
      </c>
      <c r="C249" s="459">
        <f t="shared" si="103"/>
        <v>805.40589350005189</v>
      </c>
      <c r="D249" s="459">
        <f t="shared" ref="D249:N249" si="106">D79-D215</f>
        <v>731.45266640620571</v>
      </c>
      <c r="E249" s="459">
        <f t="shared" si="106"/>
        <v>689.27616722761047</v>
      </c>
      <c r="F249" s="459">
        <f t="shared" si="106"/>
        <v>642.85880311038136</v>
      </c>
      <c r="G249" s="459">
        <f t="shared" si="106"/>
        <v>605.9151695241286</v>
      </c>
      <c r="H249" s="459">
        <f t="shared" si="106"/>
        <v>594.56926158980036</v>
      </c>
      <c r="I249" s="459">
        <f t="shared" si="106"/>
        <v>595.87378867976986</v>
      </c>
      <c r="J249" s="459">
        <f t="shared" si="106"/>
        <v>603.59966564985962</v>
      </c>
      <c r="K249" s="459">
        <f t="shared" si="106"/>
        <v>614.9440823707713</v>
      </c>
      <c r="L249" s="459">
        <f t="shared" si="106"/>
        <v>625.37413631402524</v>
      </c>
      <c r="M249" s="459">
        <f t="shared" si="106"/>
        <v>634.24560562681779</v>
      </c>
      <c r="N249" s="459">
        <f t="shared" si="106"/>
        <v>641.44648232880706</v>
      </c>
    </row>
    <row r="250" spans="2:14">
      <c r="B250" s="338" t="str">
        <f t="shared" si="101"/>
        <v>35-39</v>
      </c>
      <c r="C250" s="459">
        <f t="shared" si="103"/>
        <v>806.96536858924003</v>
      </c>
      <c r="D250" s="459">
        <f t="shared" ref="D250:N250" si="107">D80-D216</f>
        <v>787.04606124762608</v>
      </c>
      <c r="E250" s="459">
        <f t="shared" si="107"/>
        <v>766.16008482924815</v>
      </c>
      <c r="F250" s="459">
        <f t="shared" si="107"/>
        <v>729.48387551838755</v>
      </c>
      <c r="G250" s="459">
        <f t="shared" si="107"/>
        <v>692.4304874551683</v>
      </c>
      <c r="H250" s="459">
        <f t="shared" si="107"/>
        <v>668.88413146614982</v>
      </c>
      <c r="I250" s="459">
        <f t="shared" si="107"/>
        <v>652.63909895857978</v>
      </c>
      <c r="J250" s="459">
        <f t="shared" si="107"/>
        <v>641.63164357215658</v>
      </c>
      <c r="K250" s="459">
        <f t="shared" si="107"/>
        <v>635.28304729901924</v>
      </c>
      <c r="L250" s="459">
        <f t="shared" si="107"/>
        <v>631.21311533012158</v>
      </c>
      <c r="M250" s="459">
        <f t="shared" si="107"/>
        <v>629.06967785629445</v>
      </c>
      <c r="N250" s="459">
        <f t="shared" si="107"/>
        <v>628.44588618712021</v>
      </c>
    </row>
    <row r="251" spans="2:14">
      <c r="B251" s="338" t="str">
        <f t="shared" si="101"/>
        <v>40-44</v>
      </c>
      <c r="C251" s="459">
        <f t="shared" si="103"/>
        <v>675.3195958163958</v>
      </c>
      <c r="D251" s="459">
        <f t="shared" ref="D251:N251" si="108">D81-D217</f>
        <v>683.95437742992317</v>
      </c>
      <c r="E251" s="459">
        <f t="shared" si="108"/>
        <v>692.94959446998052</v>
      </c>
      <c r="F251" s="459">
        <f t="shared" si="108"/>
        <v>684.63520808618227</v>
      </c>
      <c r="G251" s="459">
        <f t="shared" si="108"/>
        <v>670.59811675270339</v>
      </c>
      <c r="H251" s="459">
        <f t="shared" si="108"/>
        <v>662.23193089938366</v>
      </c>
      <c r="I251" s="459">
        <f t="shared" si="108"/>
        <v>654.39734465029073</v>
      </c>
      <c r="J251" s="459">
        <f t="shared" si="108"/>
        <v>646.22392767458666</v>
      </c>
      <c r="K251" s="459">
        <f t="shared" si="108"/>
        <v>638.42950709882746</v>
      </c>
      <c r="L251" s="459">
        <f t="shared" si="108"/>
        <v>630.25047127752089</v>
      </c>
      <c r="M251" s="459">
        <f t="shared" si="108"/>
        <v>622.54708196311947</v>
      </c>
      <c r="N251" s="459">
        <f t="shared" si="108"/>
        <v>615.87022167663065</v>
      </c>
    </row>
    <row r="252" spans="2:14">
      <c r="B252" s="338" t="str">
        <f t="shared" si="101"/>
        <v>45-49</v>
      </c>
      <c r="C252" s="459">
        <f t="shared" si="103"/>
        <v>559.58625175070244</v>
      </c>
      <c r="D252" s="459">
        <f t="shared" ref="D252:N252" si="109">D82-D218</f>
        <v>558.27429109147272</v>
      </c>
      <c r="E252" s="459">
        <f t="shared" si="109"/>
        <v>563.91267496833916</v>
      </c>
      <c r="F252" s="459">
        <f t="shared" si="109"/>
        <v>560.79020934535515</v>
      </c>
      <c r="G252" s="459">
        <f t="shared" si="109"/>
        <v>556.1426092940261</v>
      </c>
      <c r="H252" s="459">
        <f t="shared" si="109"/>
        <v>557.31663231525545</v>
      </c>
      <c r="I252" s="459">
        <f t="shared" si="109"/>
        <v>558.83651895379728</v>
      </c>
      <c r="J252" s="459">
        <f t="shared" si="109"/>
        <v>559.03794650417876</v>
      </c>
      <c r="K252" s="459">
        <f t="shared" si="109"/>
        <v>557.94248955437001</v>
      </c>
      <c r="L252" s="459">
        <f t="shared" si="109"/>
        <v>554.74701730680908</v>
      </c>
      <c r="M252" s="459">
        <f t="shared" si="109"/>
        <v>550.21865347532457</v>
      </c>
      <c r="N252" s="459">
        <f t="shared" si="109"/>
        <v>545.0567594238604</v>
      </c>
    </row>
    <row r="253" spans="2:14">
      <c r="B253" s="338" t="str">
        <f t="shared" si="101"/>
        <v>50-54</v>
      </c>
      <c r="C253" s="459">
        <f t="shared" si="103"/>
        <v>420.18682612903513</v>
      </c>
      <c r="D253" s="459">
        <f t="shared" ref="D253:N253" si="110">D83-D219</f>
        <v>417.9208533247741</v>
      </c>
      <c r="E253" s="459">
        <f t="shared" si="110"/>
        <v>419.73022578882279</v>
      </c>
      <c r="F253" s="459">
        <f t="shared" si="110"/>
        <v>415.55508676128835</v>
      </c>
      <c r="G253" s="459">
        <f t="shared" si="110"/>
        <v>411.408620275347</v>
      </c>
      <c r="H253" s="459">
        <f t="shared" si="110"/>
        <v>412.8213534678186</v>
      </c>
      <c r="I253" s="459">
        <f t="shared" si="110"/>
        <v>415.63007950434917</v>
      </c>
      <c r="J253" s="459">
        <f t="shared" si="110"/>
        <v>418.2793437027367</v>
      </c>
      <c r="K253" s="459">
        <f t="shared" si="110"/>
        <v>420.38207167769679</v>
      </c>
      <c r="L253" s="459">
        <f t="shared" si="110"/>
        <v>420.97497007525448</v>
      </c>
      <c r="M253" s="459">
        <f t="shared" si="110"/>
        <v>420.31653205506444</v>
      </c>
      <c r="N253" s="459">
        <f t="shared" si="110"/>
        <v>418.71436637481918</v>
      </c>
    </row>
    <row r="254" spans="2:14">
      <c r="B254" s="338" t="str">
        <f t="shared" si="101"/>
        <v>55-59</v>
      </c>
      <c r="C254" s="459">
        <f t="shared" si="103"/>
        <v>236.80499043147796</v>
      </c>
      <c r="D254" s="459">
        <f t="shared" ref="D254:N254" si="111">D84-D220</f>
        <v>214.4457347711751</v>
      </c>
      <c r="E254" s="459">
        <f t="shared" si="111"/>
        <v>202.93352378123922</v>
      </c>
      <c r="F254" s="459">
        <f t="shared" si="111"/>
        <v>192.61025141790577</v>
      </c>
      <c r="G254" s="459">
        <f t="shared" si="111"/>
        <v>185.49278974661411</v>
      </c>
      <c r="H254" s="459">
        <f t="shared" si="111"/>
        <v>183.65299587652638</v>
      </c>
      <c r="I254" s="459">
        <f t="shared" si="111"/>
        <v>183.69317388763778</v>
      </c>
      <c r="J254" s="459">
        <f t="shared" si="111"/>
        <v>184.35472456524539</v>
      </c>
      <c r="K254" s="459">
        <f t="shared" si="111"/>
        <v>185.24699512296303</v>
      </c>
      <c r="L254" s="459">
        <f t="shared" si="111"/>
        <v>185.67932564416392</v>
      </c>
      <c r="M254" s="459">
        <f t="shared" si="111"/>
        <v>185.7278518558918</v>
      </c>
      <c r="N254" s="459">
        <f t="shared" si="111"/>
        <v>185.46881760508325</v>
      </c>
    </row>
    <row r="255" spans="2:14">
      <c r="B255" s="338" t="str">
        <f t="shared" si="101"/>
        <v>60-64</v>
      </c>
      <c r="C255" s="459">
        <f t="shared" si="103"/>
        <v>71.357228178921162</v>
      </c>
      <c r="D255" s="459">
        <f t="shared" ref="D255:N255" si="112">D85-D221</f>
        <v>68.053697657347328</v>
      </c>
      <c r="E255" s="459">
        <f t="shared" si="112"/>
        <v>64.685422551813815</v>
      </c>
      <c r="F255" s="459">
        <f t="shared" si="112"/>
        <v>60.016569432455043</v>
      </c>
      <c r="G255" s="459">
        <f t="shared" si="112"/>
        <v>56.353156731070662</v>
      </c>
      <c r="H255" s="459">
        <f t="shared" si="112"/>
        <v>55.044749673880091</v>
      </c>
      <c r="I255" s="459">
        <f t="shared" si="112"/>
        <v>54.5961849203035</v>
      </c>
      <c r="J255" s="459">
        <f t="shared" si="112"/>
        <v>54.480999095294216</v>
      </c>
      <c r="K255" s="459">
        <f t="shared" si="112"/>
        <v>54.551528852919908</v>
      </c>
      <c r="L255" s="459">
        <f t="shared" si="112"/>
        <v>54.512811617380784</v>
      </c>
      <c r="M255" s="459">
        <f t="shared" si="112"/>
        <v>54.415854842561671</v>
      </c>
      <c r="N255" s="459">
        <f t="shared" si="112"/>
        <v>54.291250404961254</v>
      </c>
    </row>
    <row r="256" spans="2:14">
      <c r="B256" s="338" t="str">
        <f t="shared" si="101"/>
        <v>65 plus</v>
      </c>
      <c r="C256" s="459">
        <f t="shared" si="103"/>
        <v>13.026535689124794</v>
      </c>
      <c r="D256" s="459">
        <f t="shared" ref="D256:N256" si="113">D86-D222</f>
        <v>16.435955982847656</v>
      </c>
      <c r="E256" s="459">
        <f t="shared" si="113"/>
        <v>18.236772002550921</v>
      </c>
      <c r="F256" s="459">
        <f t="shared" si="113"/>
        <v>18.296246140882364</v>
      </c>
      <c r="G256" s="459">
        <f t="shared" si="113"/>
        <v>17.769759270320506</v>
      </c>
      <c r="H256" s="459">
        <f t="shared" si="113"/>
        <v>17.530043675747379</v>
      </c>
      <c r="I256" s="459">
        <f t="shared" si="113"/>
        <v>17.394311821308676</v>
      </c>
      <c r="J256" s="459">
        <f t="shared" si="113"/>
        <v>17.304553944132927</v>
      </c>
      <c r="K256" s="459">
        <f t="shared" si="113"/>
        <v>17.258909523414964</v>
      </c>
      <c r="L256" s="459">
        <f t="shared" si="113"/>
        <v>17.181409988572774</v>
      </c>
      <c r="M256" s="459">
        <f t="shared" si="113"/>
        <v>17.091593957624667</v>
      </c>
      <c r="N256" s="459">
        <f t="shared" si="113"/>
        <v>17.004478855859155</v>
      </c>
    </row>
    <row r="257" spans="1:14">
      <c r="B257" s="338" t="str">
        <f t="shared" si="101"/>
        <v>Total</v>
      </c>
      <c r="C257" s="459">
        <f>SUM(C247:C256)</f>
        <v>4060.7673753150425</v>
      </c>
      <c r="D257" s="459">
        <f t="shared" ref="D257:N257" si="114">SUM(D247:D256)</f>
        <v>4002.9739846853518</v>
      </c>
      <c r="E257" s="459">
        <f t="shared" si="114"/>
        <v>4021.8349253630895</v>
      </c>
      <c r="F257" s="459">
        <f t="shared" si="114"/>
        <v>3912.9490135833466</v>
      </c>
      <c r="G257" s="459">
        <f t="shared" si="114"/>
        <v>3803.7445435738291</v>
      </c>
      <c r="H257" s="459">
        <f t="shared" si="114"/>
        <v>3806.3912571656679</v>
      </c>
      <c r="I257" s="459">
        <f t="shared" si="114"/>
        <v>3838.5827222955554</v>
      </c>
      <c r="J257" s="459">
        <f t="shared" si="114"/>
        <v>3873.7017590159012</v>
      </c>
      <c r="K257" s="459">
        <f t="shared" si="114"/>
        <v>3907.8498896610322</v>
      </c>
      <c r="L257" s="459">
        <f t="shared" si="114"/>
        <v>3924.1477684642946</v>
      </c>
      <c r="M257" s="459">
        <f t="shared" si="114"/>
        <v>3928.6085757535175</v>
      </c>
      <c r="N257" s="459">
        <f t="shared" si="114"/>
        <v>3926.2549544844583</v>
      </c>
    </row>
    <row r="258" spans="1:14">
      <c r="A258" s="309">
        <f>SUM(C258:N258)</f>
        <v>0</v>
      </c>
      <c r="C258" s="309">
        <f t="shared" ref="C258:N258" si="115">SUM(C247:C256)-C257</f>
        <v>0</v>
      </c>
      <c r="D258" s="309">
        <f t="shared" si="115"/>
        <v>0</v>
      </c>
      <c r="E258" s="309">
        <f t="shared" si="115"/>
        <v>0</v>
      </c>
      <c r="F258" s="309">
        <f t="shared" si="115"/>
        <v>0</v>
      </c>
      <c r="G258" s="309">
        <f t="shared" si="115"/>
        <v>0</v>
      </c>
      <c r="H258" s="309">
        <f t="shared" si="115"/>
        <v>0</v>
      </c>
      <c r="I258" s="309">
        <f t="shared" si="115"/>
        <v>0</v>
      </c>
      <c r="J258" s="309">
        <f t="shared" si="115"/>
        <v>0</v>
      </c>
      <c r="K258" s="309">
        <f t="shared" si="115"/>
        <v>0</v>
      </c>
      <c r="L258" s="309">
        <f t="shared" si="115"/>
        <v>0</v>
      </c>
      <c r="M258" s="309">
        <f t="shared" si="115"/>
        <v>0</v>
      </c>
      <c r="N258" s="309">
        <f t="shared" si="115"/>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6">B246</f>
        <v>Age group</v>
      </c>
      <c r="C262" s="338" t="str">
        <f t="shared" ref="C262:N262" si="117">C246</f>
        <v>2016/17</v>
      </c>
      <c r="D262" s="338" t="str">
        <f t="shared" si="117"/>
        <v>2017/18</v>
      </c>
      <c r="E262" s="338" t="str">
        <f t="shared" si="117"/>
        <v>2018/19</v>
      </c>
      <c r="F262" s="338" t="str">
        <f t="shared" si="117"/>
        <v>2019/20</v>
      </c>
      <c r="G262" s="338" t="str">
        <f t="shared" si="117"/>
        <v>2020/21</v>
      </c>
      <c r="H262" s="338" t="str">
        <f t="shared" si="117"/>
        <v>2021/22</v>
      </c>
      <c r="I262" s="338" t="str">
        <f t="shared" si="117"/>
        <v>2022/23</v>
      </c>
      <c r="J262" s="338" t="str">
        <f t="shared" si="117"/>
        <v>2023/24</v>
      </c>
      <c r="K262" s="338" t="str">
        <f t="shared" si="117"/>
        <v>2024/25</v>
      </c>
      <c r="L262" s="338" t="str">
        <f t="shared" si="117"/>
        <v>2025/26</v>
      </c>
      <c r="M262" s="338" t="str">
        <f t="shared" si="117"/>
        <v>2026/27</v>
      </c>
      <c r="N262" s="338" t="str">
        <f t="shared" si="117"/>
        <v>2027/28</v>
      </c>
    </row>
    <row r="263" spans="1:14">
      <c r="B263" s="338" t="str">
        <f t="shared" si="116"/>
        <v>20-24</v>
      </c>
      <c r="C263" s="459">
        <f t="shared" ref="C263:C272" si="118">C93-C229</f>
        <v>71.272867975526481</v>
      </c>
      <c r="D263" s="459">
        <f t="shared" ref="D263:N263" si="119">D93-D229</f>
        <v>101.82664903302943</v>
      </c>
      <c r="E263" s="459">
        <f t="shared" si="119"/>
        <v>133.06018979712715</v>
      </c>
      <c r="F263" s="459">
        <f t="shared" si="119"/>
        <v>137.58810820993023</v>
      </c>
      <c r="G263" s="459">
        <f t="shared" si="119"/>
        <v>139.09823511782335</v>
      </c>
      <c r="H263" s="459">
        <f t="shared" si="119"/>
        <v>154.0966327656574</v>
      </c>
      <c r="I263" s="459">
        <f t="shared" si="119"/>
        <v>168.89157170312524</v>
      </c>
      <c r="J263" s="459">
        <f t="shared" si="119"/>
        <v>180.28222619148028</v>
      </c>
      <c r="K263" s="459">
        <f t="shared" si="119"/>
        <v>188.75367760324994</v>
      </c>
      <c r="L263" s="459">
        <f t="shared" si="119"/>
        <v>192.78845454617428</v>
      </c>
      <c r="M263" s="459">
        <f t="shared" si="119"/>
        <v>194.24199590120153</v>
      </c>
      <c r="N263" s="459">
        <f t="shared" si="119"/>
        <v>194.38035684658536</v>
      </c>
    </row>
    <row r="264" spans="1:14">
      <c r="B264" s="338" t="str">
        <f t="shared" si="116"/>
        <v>25-29</v>
      </c>
      <c r="C264" s="459">
        <f t="shared" si="118"/>
        <v>290.6058043386804</v>
      </c>
      <c r="D264" s="459">
        <f t="shared" ref="D264:N264" si="120">D94-D230</f>
        <v>289.11113846264772</v>
      </c>
      <c r="E264" s="459">
        <f t="shared" si="120"/>
        <v>306.40072324887097</v>
      </c>
      <c r="F264" s="459">
        <f t="shared" si="120"/>
        <v>301.59143143515348</v>
      </c>
      <c r="G264" s="459">
        <f t="shared" si="120"/>
        <v>296.77226144751882</v>
      </c>
      <c r="H264" s="459">
        <f t="shared" si="120"/>
        <v>311.88813767412483</v>
      </c>
      <c r="I264" s="459">
        <f t="shared" si="120"/>
        <v>331.02840592497216</v>
      </c>
      <c r="J264" s="459">
        <f t="shared" si="120"/>
        <v>348.73460525677734</v>
      </c>
      <c r="K264" s="459">
        <f t="shared" si="120"/>
        <v>364.10356707815396</v>
      </c>
      <c r="L264" s="459">
        <f t="shared" si="120"/>
        <v>374.13664677579408</v>
      </c>
      <c r="M264" s="459">
        <f t="shared" si="120"/>
        <v>380.24498251607366</v>
      </c>
      <c r="N264" s="459">
        <f t="shared" si="120"/>
        <v>383.72694707664982</v>
      </c>
    </row>
    <row r="265" spans="1:14">
      <c r="B265" s="338" t="str">
        <f t="shared" si="116"/>
        <v>30-34</v>
      </c>
      <c r="C265" s="459">
        <f t="shared" si="118"/>
        <v>476.47693828318847</v>
      </c>
      <c r="D265" s="459">
        <f t="shared" ref="D265:N265" si="121">D95-D231</f>
        <v>439.74331640382212</v>
      </c>
      <c r="E265" s="459">
        <f t="shared" si="121"/>
        <v>420.66754956802311</v>
      </c>
      <c r="F265" s="459">
        <f t="shared" si="121"/>
        <v>396.0971401054162</v>
      </c>
      <c r="G265" s="459">
        <f t="shared" si="121"/>
        <v>376.07379874189843</v>
      </c>
      <c r="H265" s="459">
        <f t="shared" si="121"/>
        <v>371.80896219071258</v>
      </c>
      <c r="I265" s="459">
        <f t="shared" si="121"/>
        <v>374.87633050913757</v>
      </c>
      <c r="J265" s="459">
        <f t="shared" si="121"/>
        <v>381.38702276893076</v>
      </c>
      <c r="K265" s="459">
        <f t="shared" si="121"/>
        <v>389.70964292568499</v>
      </c>
      <c r="L265" s="459">
        <f t="shared" si="121"/>
        <v>397.01354568508117</v>
      </c>
      <c r="M265" s="459">
        <f t="shared" si="121"/>
        <v>403.03308807817672</v>
      </c>
      <c r="N265" s="459">
        <f t="shared" si="121"/>
        <v>407.80392231306485</v>
      </c>
    </row>
    <row r="266" spans="1:14">
      <c r="B266" s="338" t="str">
        <f t="shared" si="116"/>
        <v>35-39</v>
      </c>
      <c r="C266" s="459">
        <f t="shared" si="118"/>
        <v>520.83545521614758</v>
      </c>
      <c r="D266" s="459">
        <f t="shared" ref="D266:N266" si="122">D96-D232</f>
        <v>498.69921634586785</v>
      </c>
      <c r="E266" s="459">
        <f t="shared" si="122"/>
        <v>480.7250073150957</v>
      </c>
      <c r="F266" s="459">
        <f t="shared" si="122"/>
        <v>454.92120751969264</v>
      </c>
      <c r="G266" s="459">
        <f t="shared" si="122"/>
        <v>430.5081023275543</v>
      </c>
      <c r="H266" s="459">
        <f t="shared" si="122"/>
        <v>416.08123000646776</v>
      </c>
      <c r="I266" s="459">
        <f t="shared" si="122"/>
        <v>406.89080309550138</v>
      </c>
      <c r="J266" s="459">
        <f t="shared" si="122"/>
        <v>401.21310214160752</v>
      </c>
      <c r="K266" s="459">
        <f t="shared" si="122"/>
        <v>398.48157536420211</v>
      </c>
      <c r="L266" s="459">
        <f t="shared" si="122"/>
        <v>397.01099718014979</v>
      </c>
      <c r="M266" s="459">
        <f t="shared" si="122"/>
        <v>396.55732280239789</v>
      </c>
      <c r="N266" s="459">
        <f t="shared" si="122"/>
        <v>396.87375942285018</v>
      </c>
    </row>
    <row r="267" spans="1:14">
      <c r="B267" s="338" t="str">
        <f t="shared" si="116"/>
        <v>40-44</v>
      </c>
      <c r="C267" s="459">
        <f t="shared" si="118"/>
        <v>468.69975673317384</v>
      </c>
      <c r="D267" s="459">
        <f t="shared" ref="D267:N267" si="123">D97-D233</f>
        <v>464.05343068126587</v>
      </c>
      <c r="E267" s="459">
        <f t="shared" si="123"/>
        <v>460.7841033593092</v>
      </c>
      <c r="F267" s="459">
        <f t="shared" si="123"/>
        <v>447.56272313838451</v>
      </c>
      <c r="G267" s="459">
        <f t="shared" si="123"/>
        <v>432.33725632739356</v>
      </c>
      <c r="H267" s="459">
        <f t="shared" si="123"/>
        <v>422.62652316685893</v>
      </c>
      <c r="I267" s="459">
        <f t="shared" si="123"/>
        <v>414.65420074227524</v>
      </c>
      <c r="J267" s="459">
        <f t="shared" si="123"/>
        <v>407.5211522253752</v>
      </c>
      <c r="K267" s="459">
        <f t="shared" si="123"/>
        <v>401.42453226358828</v>
      </c>
      <c r="L267" s="459">
        <f t="shared" si="123"/>
        <v>395.6033828006025</v>
      </c>
      <c r="M267" s="459">
        <f t="shared" si="123"/>
        <v>390.44606079237872</v>
      </c>
      <c r="N267" s="459">
        <f t="shared" si="123"/>
        <v>386.17906944162081</v>
      </c>
    </row>
    <row r="268" spans="1:14">
      <c r="B268" s="338" t="str">
        <f t="shared" si="116"/>
        <v>45-49</v>
      </c>
      <c r="C268" s="459">
        <f t="shared" si="118"/>
        <v>380.49891404969725</v>
      </c>
      <c r="D268" s="459">
        <f t="shared" ref="D268:N268" si="124">D98-D234</f>
        <v>381.65672456055114</v>
      </c>
      <c r="E268" s="459">
        <f t="shared" si="124"/>
        <v>385.06408205598507</v>
      </c>
      <c r="F268" s="459">
        <f t="shared" si="124"/>
        <v>380.92451814675201</v>
      </c>
      <c r="G268" s="459">
        <f t="shared" si="124"/>
        <v>374.90677522620615</v>
      </c>
      <c r="H268" s="459">
        <f t="shared" si="124"/>
        <v>372.57076278465877</v>
      </c>
      <c r="I268" s="459">
        <f t="shared" si="124"/>
        <v>370.57742293047596</v>
      </c>
      <c r="J268" s="459">
        <f t="shared" si="124"/>
        <v>368.01902551070998</v>
      </c>
      <c r="K268" s="459">
        <f t="shared" si="124"/>
        <v>365.01591993420641</v>
      </c>
      <c r="L268" s="459">
        <f t="shared" si="124"/>
        <v>361.04682832174672</v>
      </c>
      <c r="M268" s="459">
        <f t="shared" si="124"/>
        <v>356.60585888340881</v>
      </c>
      <c r="N268" s="459">
        <f t="shared" si="124"/>
        <v>352.11300110861168</v>
      </c>
    </row>
    <row r="269" spans="1:14">
      <c r="B269" s="338" t="str">
        <f t="shared" si="116"/>
        <v>50-54</v>
      </c>
      <c r="C269" s="459">
        <f t="shared" si="118"/>
        <v>310.85540969167232</v>
      </c>
      <c r="D269" s="459">
        <f t="shared" ref="D269:N269" si="125">D99-D235</f>
        <v>304.03104138489999</v>
      </c>
      <c r="E269" s="459">
        <f t="shared" si="125"/>
        <v>301.84666658038424</v>
      </c>
      <c r="F269" s="459">
        <f t="shared" si="125"/>
        <v>296.47496614525545</v>
      </c>
      <c r="G269" s="459">
        <f t="shared" si="125"/>
        <v>291.4622020636167</v>
      </c>
      <c r="H269" s="459">
        <f t="shared" si="125"/>
        <v>290.33923236829219</v>
      </c>
      <c r="I269" s="459">
        <f t="shared" si="125"/>
        <v>290.20555837379641</v>
      </c>
      <c r="J269" s="459">
        <f t="shared" si="125"/>
        <v>290.0123095805921</v>
      </c>
      <c r="K269" s="459">
        <f t="shared" si="125"/>
        <v>289.53960805387902</v>
      </c>
      <c r="L269" s="459">
        <f t="shared" si="125"/>
        <v>288.17900795557091</v>
      </c>
      <c r="M269" s="459">
        <f t="shared" si="125"/>
        <v>286.143792822394</v>
      </c>
      <c r="N269" s="459">
        <f t="shared" si="125"/>
        <v>283.66647150195456</v>
      </c>
    </row>
    <row r="270" spans="1:14">
      <c r="B270" s="338" t="str">
        <f t="shared" si="116"/>
        <v>55-59</v>
      </c>
      <c r="C270" s="459">
        <f t="shared" si="118"/>
        <v>165.50438636765739</v>
      </c>
      <c r="D270" s="459">
        <f t="shared" ref="D270:N270" si="126">D100-D236</f>
        <v>155.1120526026219</v>
      </c>
      <c r="E270" s="459">
        <f t="shared" si="126"/>
        <v>149.2466194348188</v>
      </c>
      <c r="F270" s="459">
        <f t="shared" si="126"/>
        <v>142.7699552127998</v>
      </c>
      <c r="G270" s="459">
        <f t="shared" si="126"/>
        <v>137.78360668526051</v>
      </c>
      <c r="H270" s="459">
        <f t="shared" si="126"/>
        <v>136.08353225881751</v>
      </c>
      <c r="I270" s="459">
        <f t="shared" si="126"/>
        <v>135.52240749604664</v>
      </c>
      <c r="J270" s="459">
        <f t="shared" si="126"/>
        <v>135.31443527589832</v>
      </c>
      <c r="K270" s="459">
        <f t="shared" si="126"/>
        <v>135.23186977105533</v>
      </c>
      <c r="L270" s="459">
        <f t="shared" si="126"/>
        <v>134.82617161887291</v>
      </c>
      <c r="M270" s="459">
        <f t="shared" si="126"/>
        <v>134.1690821058931</v>
      </c>
      <c r="N270" s="459">
        <f t="shared" si="126"/>
        <v>133.33122889626904</v>
      </c>
    </row>
    <row r="271" spans="1:14">
      <c r="B271" s="338" t="str">
        <f t="shared" si="116"/>
        <v>60-64</v>
      </c>
      <c r="C271" s="459">
        <f t="shared" si="118"/>
        <v>47.070326585123311</v>
      </c>
      <c r="D271" s="459">
        <f t="shared" ref="D271:N271" si="127">D101-D237</f>
        <v>43.959391536782761</v>
      </c>
      <c r="E271" s="459">
        <f t="shared" si="127"/>
        <v>41.930553813686245</v>
      </c>
      <c r="F271" s="459">
        <f t="shared" si="127"/>
        <v>39.252659322558948</v>
      </c>
      <c r="G271" s="459">
        <f t="shared" si="127"/>
        <v>37.169541425535876</v>
      </c>
      <c r="H271" s="459">
        <f t="shared" si="127"/>
        <v>36.490797239263117</v>
      </c>
      <c r="I271" s="459">
        <f t="shared" si="127"/>
        <v>36.244976215919863</v>
      </c>
      <c r="J271" s="459">
        <f t="shared" si="127"/>
        <v>36.129650552800378</v>
      </c>
      <c r="K271" s="459">
        <f t="shared" si="127"/>
        <v>36.082445131761418</v>
      </c>
      <c r="L271" s="459">
        <f t="shared" si="127"/>
        <v>35.934264414230611</v>
      </c>
      <c r="M271" s="459">
        <f t="shared" si="127"/>
        <v>35.734763826196229</v>
      </c>
      <c r="N271" s="459">
        <f t="shared" si="127"/>
        <v>35.512983077699388</v>
      </c>
    </row>
    <row r="272" spans="1:14">
      <c r="B272" s="338" t="str">
        <f t="shared" si="116"/>
        <v>65 plus</v>
      </c>
      <c r="C272" s="459">
        <f t="shared" si="118"/>
        <v>8.3219866380746783</v>
      </c>
      <c r="D272" s="459">
        <f t="shared" ref="D272:N272" si="128">D102-D238</f>
        <v>9.8957628308620169</v>
      </c>
      <c r="E272" s="459">
        <f t="shared" si="128"/>
        <v>10.566491532396107</v>
      </c>
      <c r="F272" s="459">
        <f t="shared" si="128"/>
        <v>10.353822575926557</v>
      </c>
      <c r="G272" s="459">
        <f t="shared" si="128"/>
        <v>9.9467647158067631</v>
      </c>
      <c r="H272" s="459">
        <f t="shared" si="128"/>
        <v>9.8121001574034068</v>
      </c>
      <c r="I272" s="459">
        <f t="shared" si="128"/>
        <v>9.7620363616451549</v>
      </c>
      <c r="J272" s="459">
        <f t="shared" si="128"/>
        <v>9.7327149630033905</v>
      </c>
      <c r="K272" s="459">
        <f t="shared" si="128"/>
        <v>9.7162138537107552</v>
      </c>
      <c r="L272" s="459">
        <f t="shared" si="128"/>
        <v>9.6654233085583243</v>
      </c>
      <c r="M272" s="459">
        <f t="shared" si="128"/>
        <v>9.5979055633618078</v>
      </c>
      <c r="N272" s="459">
        <f t="shared" si="128"/>
        <v>9.5267168100188613</v>
      </c>
    </row>
    <row r="273" spans="1:14">
      <c r="B273" s="338" t="str">
        <f t="shared" si="116"/>
        <v>Total</v>
      </c>
      <c r="C273" s="459">
        <f>SUM(C263:C272)</f>
        <v>2740.1418458789417</v>
      </c>
      <c r="D273" s="459">
        <f t="shared" ref="D273:N273" si="129">SUM(D263:D272)</f>
        <v>2688.0887238423511</v>
      </c>
      <c r="E273" s="459">
        <f t="shared" si="129"/>
        <v>2690.2919867056971</v>
      </c>
      <c r="F273" s="459">
        <f t="shared" si="129"/>
        <v>2607.5365318118702</v>
      </c>
      <c r="G273" s="459">
        <f t="shared" si="129"/>
        <v>2526.0585440786144</v>
      </c>
      <c r="H273" s="459">
        <f t="shared" si="129"/>
        <v>2521.7979106122566</v>
      </c>
      <c r="I273" s="459">
        <f t="shared" si="129"/>
        <v>2538.6537133528955</v>
      </c>
      <c r="J273" s="459">
        <f t="shared" si="129"/>
        <v>2558.346244467175</v>
      </c>
      <c r="K273" s="459">
        <f t="shared" si="129"/>
        <v>2578.0590519794919</v>
      </c>
      <c r="L273" s="459">
        <f t="shared" si="129"/>
        <v>2586.2047226067816</v>
      </c>
      <c r="M273" s="459">
        <f t="shared" si="129"/>
        <v>2586.7748532914829</v>
      </c>
      <c r="N273" s="459">
        <f t="shared" si="129"/>
        <v>2583.1144564953247</v>
      </c>
    </row>
    <row r="274" spans="1:14">
      <c r="A274" s="309">
        <f>SUM(C274:N274)</f>
        <v>0</v>
      </c>
      <c r="C274" s="309">
        <f t="shared" ref="C274:N274" si="130">SUM(C263:C272)-C273</f>
        <v>0</v>
      </c>
      <c r="D274" s="309">
        <f t="shared" si="130"/>
        <v>0</v>
      </c>
      <c r="E274" s="309">
        <f t="shared" si="130"/>
        <v>0</v>
      </c>
      <c r="F274" s="309">
        <f t="shared" si="130"/>
        <v>0</v>
      </c>
      <c r="G274" s="309">
        <f t="shared" si="130"/>
        <v>0</v>
      </c>
      <c r="H274" s="309">
        <f t="shared" si="130"/>
        <v>0</v>
      </c>
      <c r="I274" s="309">
        <f t="shared" si="130"/>
        <v>0</v>
      </c>
      <c r="J274" s="309">
        <f t="shared" si="130"/>
        <v>0</v>
      </c>
      <c r="K274" s="309">
        <f t="shared" si="130"/>
        <v>0</v>
      </c>
      <c r="L274" s="309">
        <f t="shared" si="130"/>
        <v>0</v>
      </c>
      <c r="M274" s="309">
        <f t="shared" si="130"/>
        <v>0</v>
      </c>
      <c r="N274" s="309">
        <f t="shared" si="130"/>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1">D262</f>
        <v>2017/18</v>
      </c>
      <c r="E278" s="326" t="str">
        <f t="shared" si="131"/>
        <v>2018/19</v>
      </c>
      <c r="F278" s="326" t="str">
        <f t="shared" si="131"/>
        <v>2019/20</v>
      </c>
      <c r="G278" s="326" t="str">
        <f t="shared" si="131"/>
        <v>2020/21</v>
      </c>
      <c r="H278" s="326" t="str">
        <f t="shared" si="131"/>
        <v>2021/22</v>
      </c>
      <c r="I278" s="326" t="str">
        <f t="shared" si="131"/>
        <v>2022/23</v>
      </c>
      <c r="J278" s="326" t="str">
        <f t="shared" si="131"/>
        <v>2023/24</v>
      </c>
      <c r="K278" s="326" t="str">
        <f t="shared" si="131"/>
        <v>2024/25</v>
      </c>
      <c r="L278" s="326" t="str">
        <f t="shared" si="131"/>
        <v>2025/26</v>
      </c>
      <c r="M278" s="326" t="str">
        <f t="shared" si="131"/>
        <v>2026/27</v>
      </c>
      <c r="N278" s="326" t="str">
        <f t="shared" si="131"/>
        <v>2027/28</v>
      </c>
    </row>
    <row r="279" spans="1:14">
      <c r="B279" s="326" t="s">
        <v>190</v>
      </c>
      <c r="C279" s="459">
        <f>C223+C239</f>
        <v>831.40871838497844</v>
      </c>
      <c r="D279" s="459">
        <f t="shared" ref="D279:N279" si="132">D223+D239</f>
        <v>819.1719771460871</v>
      </c>
      <c r="E279" s="459">
        <f t="shared" si="132"/>
        <v>822.51423118106936</v>
      </c>
      <c r="F279" s="459">
        <f t="shared" si="132"/>
        <v>797.74404058199116</v>
      </c>
      <c r="G279" s="459">
        <f t="shared" si="132"/>
        <v>774.03332017097875</v>
      </c>
      <c r="H279" s="459">
        <f t="shared" si="132"/>
        <v>775.59963872007688</v>
      </c>
      <c r="I279" s="459">
        <f t="shared" si="132"/>
        <v>783.49554749694641</v>
      </c>
      <c r="J279" s="459">
        <f t="shared" si="132"/>
        <v>791.68336183038775</v>
      </c>
      <c r="K279" s="459">
        <f t="shared" si="132"/>
        <v>799.29720896500453</v>
      </c>
      <c r="L279" s="459">
        <f t="shared" si="132"/>
        <v>802.68686471274737</v>
      </c>
      <c r="M279" s="459">
        <f t="shared" si="132"/>
        <v>803.30096604071446</v>
      </c>
      <c r="N279" s="459">
        <f t="shared" si="132"/>
        <v>802.3047747910955</v>
      </c>
    </row>
    <row r="280" spans="1:14">
      <c r="B280" s="326" t="s">
        <v>191</v>
      </c>
      <c r="C280" s="459">
        <f>C155+C171</f>
        <v>228.17157401140116</v>
      </c>
      <c r="D280" s="459">
        <f t="shared" ref="D280:N280" si="133">D155+D171</f>
        <v>218.8557438562319</v>
      </c>
      <c r="E280" s="459">
        <f t="shared" si="133"/>
        <v>212.64145948951995</v>
      </c>
      <c r="F280" s="459">
        <f t="shared" si="133"/>
        <v>202.84057631846912</v>
      </c>
      <c r="G280" s="459">
        <f t="shared" si="133"/>
        <v>194.72351516411777</v>
      </c>
      <c r="H280" s="459">
        <f t="shared" si="133"/>
        <v>192.15942115587802</v>
      </c>
      <c r="I280" s="459">
        <f t="shared" si="133"/>
        <v>191.48997501221896</v>
      </c>
      <c r="J280" s="459">
        <f t="shared" si="133"/>
        <v>191.43433412575916</v>
      </c>
      <c r="K280" s="459">
        <f t="shared" si="133"/>
        <v>191.66223494265319</v>
      </c>
      <c r="L280" s="459">
        <f t="shared" si="133"/>
        <v>191.40896645277348</v>
      </c>
      <c r="M280" s="459">
        <f t="shared" si="133"/>
        <v>190.82797057722036</v>
      </c>
      <c r="N280" s="459">
        <f t="shared" si="133"/>
        <v>190.03938973200468</v>
      </c>
    </row>
    <row r="281" spans="1:14">
      <c r="B281" s="326" t="s">
        <v>521</v>
      </c>
      <c r="C281" s="459">
        <f>C189+C205</f>
        <v>4.8900258925661948</v>
      </c>
      <c r="D281" s="459">
        <f t="shared" ref="D281:N281" si="134">D189+D205</f>
        <v>4.861854314976167</v>
      </c>
      <c r="E281" s="459">
        <f t="shared" si="134"/>
        <v>4.8420362364104079</v>
      </c>
      <c r="F281" s="459">
        <f t="shared" si="134"/>
        <v>4.7058505277803722</v>
      </c>
      <c r="G281" s="459">
        <f t="shared" si="134"/>
        <v>4.5660131726416857</v>
      </c>
      <c r="H281" s="459">
        <f t="shared" si="134"/>
        <v>4.5155943337074689</v>
      </c>
      <c r="I281" s="459">
        <f t="shared" si="134"/>
        <v>4.4944957831390386</v>
      </c>
      <c r="J281" s="459">
        <f t="shared" si="134"/>
        <v>4.4823549226066728</v>
      </c>
      <c r="K281" s="459">
        <f t="shared" si="134"/>
        <v>4.4753546079307984</v>
      </c>
      <c r="L281" s="459">
        <f t="shared" si="134"/>
        <v>4.4595621078099486</v>
      </c>
      <c r="M281" s="459">
        <f t="shared" si="134"/>
        <v>4.4385069857517108</v>
      </c>
      <c r="N281" s="459">
        <f t="shared" si="134"/>
        <v>4.4151541077116043</v>
      </c>
    </row>
    <row r="282" spans="1:14">
      <c r="B282" s="326" t="s">
        <v>192</v>
      </c>
      <c r="C282" s="459">
        <f>C121+C137</f>
        <v>598.34711848101108</v>
      </c>
      <c r="D282" s="459">
        <f t="shared" ref="D282:N282" si="135">D121+D137</f>
        <v>595.45437897487898</v>
      </c>
      <c r="E282" s="459">
        <f t="shared" si="135"/>
        <v>605.03073545513905</v>
      </c>
      <c r="F282" s="459">
        <f t="shared" si="135"/>
        <v>590.1976137357417</v>
      </c>
      <c r="G282" s="459">
        <f t="shared" si="135"/>
        <v>574.74379183421922</v>
      </c>
      <c r="H282" s="459">
        <f t="shared" si="135"/>
        <v>578.92462323049142</v>
      </c>
      <c r="I282" s="459">
        <f t="shared" si="135"/>
        <v>587.51107670158854</v>
      </c>
      <c r="J282" s="459">
        <f t="shared" si="135"/>
        <v>595.76667278202194</v>
      </c>
      <c r="K282" s="459">
        <f t="shared" si="135"/>
        <v>603.15961941442049</v>
      </c>
      <c r="L282" s="459">
        <f t="shared" si="135"/>
        <v>606.81833615216408</v>
      </c>
      <c r="M282" s="459">
        <f t="shared" si="135"/>
        <v>608.03448847774234</v>
      </c>
      <c r="N282" s="459">
        <f t="shared" si="135"/>
        <v>607.8502309513791</v>
      </c>
    </row>
    <row r="283" spans="1:14" ht="15.75">
      <c r="A283" s="309">
        <f>SUM(C283:N283)</f>
        <v>0</v>
      </c>
      <c r="B283" s="340"/>
      <c r="C283" s="309">
        <f>C279-C280-C281-C282</f>
        <v>0</v>
      </c>
      <c r="D283" s="309">
        <f t="shared" ref="D283:N283" si="136">D279-D280-D281-D282</f>
        <v>0</v>
      </c>
      <c r="E283" s="309">
        <f t="shared" si="136"/>
        <v>0</v>
      </c>
      <c r="F283" s="309">
        <f t="shared" si="136"/>
        <v>0</v>
      </c>
      <c r="G283" s="309">
        <f t="shared" si="136"/>
        <v>0</v>
      </c>
      <c r="H283" s="309">
        <f t="shared" si="136"/>
        <v>0</v>
      </c>
      <c r="I283" s="309">
        <f t="shared" si="136"/>
        <v>0</v>
      </c>
      <c r="J283" s="309">
        <f t="shared" si="136"/>
        <v>0</v>
      </c>
      <c r="K283" s="309">
        <f t="shared" si="136"/>
        <v>0</v>
      </c>
      <c r="L283" s="309">
        <f t="shared" si="136"/>
        <v>0</v>
      </c>
      <c r="M283" s="309">
        <f t="shared" si="136"/>
        <v>0</v>
      </c>
      <c r="N283" s="309">
        <f t="shared" si="136"/>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7">D278</f>
        <v>2017/18</v>
      </c>
      <c r="E289" s="326" t="str">
        <f t="shared" si="137"/>
        <v>2018/19</v>
      </c>
      <c r="F289" s="326" t="str">
        <f t="shared" si="137"/>
        <v>2019/20</v>
      </c>
      <c r="G289" s="326" t="str">
        <f t="shared" si="137"/>
        <v>2020/21</v>
      </c>
      <c r="H289" s="326" t="str">
        <f t="shared" si="137"/>
        <v>2021/22</v>
      </c>
      <c r="I289" s="326" t="str">
        <f t="shared" si="137"/>
        <v>2022/23</v>
      </c>
      <c r="J289" s="326" t="str">
        <f t="shared" si="137"/>
        <v>2023/24</v>
      </c>
      <c r="K289" s="326" t="str">
        <f t="shared" si="137"/>
        <v>2024/25</v>
      </c>
      <c r="L289" s="326" t="str">
        <f t="shared" si="137"/>
        <v>2025/26</v>
      </c>
      <c r="M289" s="326" t="str">
        <f t="shared" si="137"/>
        <v>2026/27</v>
      </c>
      <c r="N289" s="326" t="str">
        <f t="shared" si="137"/>
        <v>2027/28</v>
      </c>
    </row>
    <row r="290" spans="2:14" ht="15.75">
      <c r="B290" s="340"/>
      <c r="C290" s="459">
        <f>C53+C69-C15</f>
        <v>0</v>
      </c>
      <c r="D290" s="459">
        <f>D53+D69-D15</f>
        <v>0</v>
      </c>
      <c r="E290" s="459">
        <f>E53+E69-E15</f>
        <v>0</v>
      </c>
      <c r="F290" s="459">
        <f t="shared" ref="F290:N290" si="138">F53+F69-F15</f>
        <v>0</v>
      </c>
      <c r="G290" s="459">
        <f t="shared" si="138"/>
        <v>0</v>
      </c>
      <c r="H290" s="459">
        <f t="shared" si="138"/>
        <v>0</v>
      </c>
      <c r="I290" s="459">
        <f t="shared" si="138"/>
        <v>0</v>
      </c>
      <c r="J290" s="459">
        <f t="shared" si="138"/>
        <v>0</v>
      </c>
      <c r="K290" s="459">
        <f t="shared" si="138"/>
        <v>0</v>
      </c>
      <c r="L290" s="459">
        <f t="shared" si="138"/>
        <v>0</v>
      </c>
      <c r="M290" s="459">
        <f t="shared" si="138"/>
        <v>0</v>
      </c>
      <c r="N290" s="459">
        <f t="shared" si="138"/>
        <v>0</v>
      </c>
    </row>
    <row r="291" spans="2:14" ht="15.75">
      <c r="B291" s="340"/>
      <c r="H291" s="327"/>
    </row>
    <row r="292" spans="2:14" ht="15.75">
      <c r="B292" s="340" t="s">
        <v>263</v>
      </c>
      <c r="H292" s="327"/>
    </row>
    <row r="293" spans="2:14" ht="15.75">
      <c r="B293" s="340"/>
      <c r="C293" s="365" t="str">
        <f t="shared" ref="C293:N293" si="139">C262</f>
        <v>2016/17</v>
      </c>
      <c r="D293" s="365" t="str">
        <f t="shared" si="139"/>
        <v>2017/18</v>
      </c>
      <c r="E293" s="365" t="str">
        <f t="shared" si="139"/>
        <v>2018/19</v>
      </c>
      <c r="F293" s="365" t="str">
        <f t="shared" si="139"/>
        <v>2019/20</v>
      </c>
      <c r="G293" s="365" t="str">
        <f t="shared" si="139"/>
        <v>2020/21</v>
      </c>
      <c r="H293" s="365" t="str">
        <f t="shared" si="139"/>
        <v>2021/22</v>
      </c>
      <c r="I293" s="365" t="str">
        <f t="shared" si="139"/>
        <v>2022/23</v>
      </c>
      <c r="J293" s="365" t="str">
        <f t="shared" si="139"/>
        <v>2023/24</v>
      </c>
      <c r="K293" s="365" t="str">
        <f t="shared" si="139"/>
        <v>2024/25</v>
      </c>
      <c r="L293" s="365" t="str">
        <f t="shared" si="139"/>
        <v>2025/26</v>
      </c>
      <c r="M293" s="365" t="str">
        <f t="shared" si="139"/>
        <v>2026/27</v>
      </c>
      <c r="N293" s="365" t="str">
        <f t="shared" si="139"/>
        <v>2027/28</v>
      </c>
    </row>
    <row r="294" spans="2:14">
      <c r="B294" s="363" t="s">
        <v>266</v>
      </c>
      <c r="C294" s="459">
        <f>C36-C15+C279-C290</f>
        <v>709.32546447980587</v>
      </c>
      <c r="D294" s="459">
        <f t="shared" ref="D294:N294" si="140">D36-D15+D279-D290</f>
        <v>843.57843472215291</v>
      </c>
      <c r="E294" s="459">
        <f t="shared" si="140"/>
        <v>606.10267390842159</v>
      </c>
      <c r="F294" s="459">
        <f t="shared" si="140"/>
        <v>583.35086242820535</v>
      </c>
      <c r="G294" s="459">
        <f t="shared" si="140"/>
        <v>773.9857188455577</v>
      </c>
      <c r="H294" s="459">
        <f t="shared" si="140"/>
        <v>832.54281536747317</v>
      </c>
      <c r="I294" s="459">
        <f t="shared" si="140"/>
        <v>846.49492966501373</v>
      </c>
      <c r="J294" s="459">
        <f t="shared" si="140"/>
        <v>853.1581471224514</v>
      </c>
      <c r="K294" s="459">
        <f t="shared" si="140"/>
        <v>827.13041414329996</v>
      </c>
      <c r="L294" s="459">
        <f t="shared" si="140"/>
        <v>808.33190401463776</v>
      </c>
      <c r="M294" s="459">
        <f t="shared" si="140"/>
        <v>796.29075672587828</v>
      </c>
      <c r="N294" s="459">
        <f t="shared" si="140"/>
        <v>800.54945796281163</v>
      </c>
    </row>
    <row r="295" spans="2:14" ht="12.75" customHeight="1">
      <c r="B295" s="1243" t="s">
        <v>264</v>
      </c>
      <c r="C295" s="1243"/>
      <c r="D295" s="1243"/>
      <c r="E295" s="1243"/>
      <c r="F295" s="1243"/>
      <c r="G295" s="1243"/>
      <c r="H295" s="1243"/>
      <c r="I295" s="1243"/>
      <c r="J295" s="1243"/>
      <c r="K295" s="1243"/>
      <c r="L295" s="1243"/>
      <c r="M295" s="1243"/>
      <c r="N295" s="1243"/>
    </row>
    <row r="296" spans="2:14">
      <c r="B296" s="326" t="s">
        <v>103</v>
      </c>
      <c r="C296" s="282">
        <f>IF(C294&lt;0,0,C294)</f>
        <v>709.32546447980587</v>
      </c>
      <c r="D296" s="282">
        <f t="shared" ref="D296:N296" si="141">IF(D294&lt;0,0,D294)</f>
        <v>843.57843472215291</v>
      </c>
      <c r="E296" s="282">
        <f t="shared" si="141"/>
        <v>606.10267390842159</v>
      </c>
      <c r="F296" s="282">
        <f t="shared" si="141"/>
        <v>583.35086242820535</v>
      </c>
      <c r="G296" s="282">
        <f t="shared" si="141"/>
        <v>773.9857188455577</v>
      </c>
      <c r="H296" s="282">
        <f t="shared" si="141"/>
        <v>832.54281536747317</v>
      </c>
      <c r="I296" s="282">
        <f t="shared" si="141"/>
        <v>846.49492966501373</v>
      </c>
      <c r="J296" s="282">
        <f t="shared" si="141"/>
        <v>853.1581471224514</v>
      </c>
      <c r="K296" s="282">
        <f t="shared" si="141"/>
        <v>827.13041414329996</v>
      </c>
      <c r="L296" s="282">
        <f t="shared" si="141"/>
        <v>808.33190401463776</v>
      </c>
      <c r="M296" s="282">
        <f t="shared" si="141"/>
        <v>796.29075672587828</v>
      </c>
      <c r="N296" s="282">
        <f t="shared" si="141"/>
        <v>800.54945796281163</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2">B262</f>
        <v>Age group</v>
      </c>
      <c r="C302" s="338" t="str">
        <f>C293</f>
        <v>2016/17</v>
      </c>
      <c r="D302" s="338" t="str">
        <f t="shared" ref="D302:N302" si="143">D293</f>
        <v>2017/18</v>
      </c>
      <c r="E302" s="338" t="str">
        <f t="shared" si="143"/>
        <v>2018/19</v>
      </c>
      <c r="F302" s="338" t="str">
        <f t="shared" si="143"/>
        <v>2019/20</v>
      </c>
      <c r="G302" s="338" t="str">
        <f t="shared" si="143"/>
        <v>2020/21</v>
      </c>
      <c r="H302" s="338" t="str">
        <f t="shared" si="143"/>
        <v>2021/22</v>
      </c>
      <c r="I302" s="338" t="str">
        <f t="shared" si="143"/>
        <v>2022/23</v>
      </c>
      <c r="J302" s="338" t="str">
        <f t="shared" si="143"/>
        <v>2023/24</v>
      </c>
      <c r="K302" s="338" t="str">
        <f t="shared" si="143"/>
        <v>2024/25</v>
      </c>
      <c r="L302" s="338" t="str">
        <f t="shared" si="143"/>
        <v>2025/26</v>
      </c>
      <c r="M302" s="338" t="str">
        <f t="shared" si="143"/>
        <v>2026/27</v>
      </c>
      <c r="N302" s="338" t="str">
        <f t="shared" si="143"/>
        <v>2027/28</v>
      </c>
    </row>
    <row r="303" spans="2:14">
      <c r="B303" s="338" t="str">
        <f t="shared" si="142"/>
        <v>20-24</v>
      </c>
      <c r="C303" s="459">
        <f>C$296*Entrant_age_breakdowns!$K76*$G$31</f>
        <v>109.03721902223639</v>
      </c>
      <c r="D303" s="459">
        <f>D$296*Entrant_age_breakdowns!$K76*$G$31</f>
        <v>129.67453045928735</v>
      </c>
      <c r="E303" s="459">
        <f>E$296*Entrant_age_breakdowns!$K76*$G$31</f>
        <v>93.169854057589902</v>
      </c>
      <c r="F303" s="459">
        <f>F$296*Entrant_age_breakdowns!$K76*$G$31</f>
        <v>89.672454942868569</v>
      </c>
      <c r="G303" s="459">
        <f>G$296*Entrant_age_breakdowns!$K76*$G$31</f>
        <v>118.97676676211981</v>
      </c>
      <c r="H303" s="459">
        <f>H$296*Entrant_age_breakdowns!$K76*$G$31</f>
        <v>127.97813958531147</v>
      </c>
      <c r="I303" s="459">
        <f>I$296*Entrant_age_breakdowns!$K76*$G$31</f>
        <v>130.12285286386248</v>
      </c>
      <c r="J303" s="459">
        <f>J$296*Entrant_age_breakdowns!$K76*$G$31</f>
        <v>131.14711991429502</v>
      </c>
      <c r="K303" s="459">
        <f>K$296*Entrant_age_breakdowns!$K76*$G$31</f>
        <v>127.14614749244448</v>
      </c>
      <c r="L303" s="459">
        <f>L$296*Entrant_age_breakdowns!$K76*$G$31</f>
        <v>124.25644823754199</v>
      </c>
      <c r="M303" s="459">
        <f>M$296*Entrant_age_breakdowns!$K76*$G$31</f>
        <v>122.40548802259137</v>
      </c>
      <c r="N303" s="459">
        <f>N$296*Entrant_age_breakdowns!$K76*$G$31</f>
        <v>123.06013382733818</v>
      </c>
    </row>
    <row r="304" spans="2:14">
      <c r="B304" s="338" t="str">
        <f t="shared" si="142"/>
        <v>25-29</v>
      </c>
      <c r="C304" s="459">
        <f>C$296*Entrant_age_breakdowns!$K77*$G$31</f>
        <v>112.74211703208175</v>
      </c>
      <c r="D304" s="459">
        <f>D$296*Entrant_age_breakdowns!$K77*$G$31</f>
        <v>134.0806489767476</v>
      </c>
      <c r="E304" s="459">
        <f>E$296*Entrant_age_breakdowns!$K77*$G$31</f>
        <v>96.335606173893922</v>
      </c>
      <c r="F304" s="459">
        <f>F$296*Entrant_age_breakdowns!$K77*$G$31</f>
        <v>92.719371425469163</v>
      </c>
      <c r="G304" s="459">
        <f>G$296*Entrant_age_breakdowns!$K77*$G$31</f>
        <v>123.01939358576357</v>
      </c>
      <c r="H304" s="459">
        <f>H$296*Entrant_age_breakdowns!$K77*$G$31</f>
        <v>132.32661764541899</v>
      </c>
      <c r="I304" s="459">
        <f>I$296*Entrant_age_breakdowns!$K77*$G$31</f>
        <v>134.54420460901667</v>
      </c>
      <c r="J304" s="459">
        <f>J$296*Entrant_age_breakdowns!$K77*$G$31</f>
        <v>135.60327450008222</v>
      </c>
      <c r="K304" s="459">
        <f>K$296*Entrant_age_breakdowns!$K77*$G$31</f>
        <v>131.46635588576564</v>
      </c>
      <c r="L304" s="459">
        <f>L$296*Entrant_age_breakdowns!$K77*$G$31</f>
        <v>128.47846959789823</v>
      </c>
      <c r="M304" s="459">
        <f>M$296*Entrant_age_breakdowns!$K77*$G$31</f>
        <v>126.56461692404078</v>
      </c>
      <c r="N304" s="459">
        <f>N$296*Entrant_age_breakdowns!$K77*$G$31</f>
        <v>127.24150647235427</v>
      </c>
    </row>
    <row r="305" spans="1:14">
      <c r="B305" s="338" t="str">
        <f t="shared" si="142"/>
        <v>30-34</v>
      </c>
      <c r="C305" s="459">
        <f>C$296*Entrant_age_breakdowns!$K78*$G$31</f>
        <v>55.966875940036537</v>
      </c>
      <c r="D305" s="459">
        <f>D$296*Entrant_age_breakdowns!$K78*$G$31</f>
        <v>66.55964288044963</v>
      </c>
      <c r="E305" s="459">
        <f>E$296*Entrant_age_breakdowns!$K78*$G$31</f>
        <v>47.822438155993744</v>
      </c>
      <c r="F305" s="459">
        <f>F$296*Entrant_age_breakdowns!$K78*$G$31</f>
        <v>46.027285050277747</v>
      </c>
      <c r="G305" s="459">
        <f>G$296*Entrant_age_breakdowns!$K78*$G$31</f>
        <v>61.06866999023768</v>
      </c>
      <c r="H305" s="459">
        <f>H$296*Entrant_age_breakdowns!$K78*$G$31</f>
        <v>65.688915449568839</v>
      </c>
      <c r="I305" s="459">
        <f>I$296*Entrant_age_breakdowns!$K78*$G$31</f>
        <v>66.789758841063772</v>
      </c>
      <c r="J305" s="459">
        <f>J$296*Entrant_age_breakdowns!$K78*$G$31</f>
        <v>67.315497001437564</v>
      </c>
      <c r="K305" s="459">
        <f>K$296*Entrant_age_breakdowns!$K78*$G$31</f>
        <v>65.261868624070829</v>
      </c>
      <c r="L305" s="459">
        <f>L$296*Entrant_age_breakdowns!$K78*$G$31</f>
        <v>63.778637107773967</v>
      </c>
      <c r="M305" s="459">
        <f>M$296*Entrant_age_breakdowns!$K78*$G$31</f>
        <v>62.828571968099439</v>
      </c>
      <c r="N305" s="459">
        <f>N$296*Entrant_age_breakdowns!$K78*$G$31</f>
        <v>63.164590080698744</v>
      </c>
    </row>
    <row r="306" spans="1:14">
      <c r="B306" s="338" t="str">
        <f t="shared" si="142"/>
        <v>35-39</v>
      </c>
      <c r="C306" s="459">
        <f>C$296*Entrant_age_breakdowns!$K79*$G$31</f>
        <v>39.990813767429593</v>
      </c>
      <c r="D306" s="459">
        <f>D$296*Entrant_age_breakdowns!$K79*$G$31</f>
        <v>47.559815304154789</v>
      </c>
      <c r="E306" s="459">
        <f>E$296*Entrant_age_breakdowns!$K79*$G$31</f>
        <v>34.171251942841891</v>
      </c>
      <c r="F306" s="459">
        <f>F$296*Entrant_age_breakdowns!$K79*$G$31</f>
        <v>32.888535472985204</v>
      </c>
      <c r="G306" s="459">
        <f>G$296*Entrant_age_breakdowns!$K79*$G$31</f>
        <v>43.636271769408637</v>
      </c>
      <c r="H306" s="459">
        <f>H$296*Entrant_age_breakdowns!$K79*$G$31</f>
        <v>46.937641957051163</v>
      </c>
      <c r="I306" s="459">
        <f>I$296*Entrant_age_breakdowns!$K79*$G$31</f>
        <v>47.724243358629238</v>
      </c>
      <c r="J306" s="459">
        <f>J$296*Entrant_age_breakdowns!$K79*$G$31</f>
        <v>48.099906579218242</v>
      </c>
      <c r="K306" s="459">
        <f>K$296*Entrant_age_breakdowns!$K79*$G$31</f>
        <v>46.632498070035552</v>
      </c>
      <c r="L306" s="459">
        <f>L$296*Entrant_age_breakdowns!$K79*$G$31</f>
        <v>45.572663402726967</v>
      </c>
      <c r="M306" s="459">
        <f>M$296*Entrant_age_breakdowns!$K79*$G$31</f>
        <v>44.893799745796066</v>
      </c>
      <c r="N306" s="459">
        <f>N$296*Entrant_age_breakdowns!$K79*$G$31</f>
        <v>45.133899582310775</v>
      </c>
    </row>
    <row r="307" spans="1:14">
      <c r="B307" s="338" t="str">
        <f t="shared" si="142"/>
        <v>40-44</v>
      </c>
      <c r="C307" s="459">
        <f>C$296*Entrant_age_breakdowns!$K80*$G$31</f>
        <v>34.745106195399828</v>
      </c>
      <c r="D307" s="459">
        <f>D$296*Entrant_age_breakdowns!$K80*$G$31</f>
        <v>41.321260502138387</v>
      </c>
      <c r="E307" s="459">
        <f>E$296*Entrant_age_breakdowns!$K80*$G$31</f>
        <v>29.688912671009067</v>
      </c>
      <c r="F307" s="459">
        <f>F$296*Entrant_age_breakdowns!$K80*$G$31</f>
        <v>28.574453729939517</v>
      </c>
      <c r="G307" s="459">
        <f>G$296*Entrant_age_breakdowns!$K80*$G$31</f>
        <v>37.912379213304533</v>
      </c>
      <c r="H307" s="459">
        <f>H$296*Entrant_age_breakdowns!$K80*$G$31</f>
        <v>40.780699383707997</v>
      </c>
      <c r="I307" s="459">
        <f>I$296*Entrant_age_breakdowns!$K80*$G$31</f>
        <v>41.464120066023298</v>
      </c>
      <c r="J307" s="459">
        <f>J$296*Entrant_age_breakdowns!$K80*$G$31</f>
        <v>41.790506484888851</v>
      </c>
      <c r="K307" s="459">
        <f>K$296*Entrant_age_breakdowns!$K80*$G$31</f>
        <v>40.515582078996651</v>
      </c>
      <c r="L307" s="459">
        <f>L$296*Entrant_age_breakdowns!$K80*$G$31</f>
        <v>39.594768907267834</v>
      </c>
      <c r="M307" s="459">
        <f>M$296*Entrant_age_breakdowns!$K80*$G$31</f>
        <v>39.004953706471092</v>
      </c>
      <c r="N307" s="459">
        <f>N$296*Entrant_age_breakdowns!$K80*$G$31</f>
        <v>39.2135589718132</v>
      </c>
    </row>
    <row r="308" spans="1:14">
      <c r="B308" s="338" t="str">
        <f t="shared" si="142"/>
        <v>45-49</v>
      </c>
      <c r="C308" s="459">
        <f>C$296*Entrant_age_breakdowns!$K81*$G$31</f>
        <v>27.648306645487697</v>
      </c>
      <c r="D308" s="459">
        <f>D$296*Entrant_age_breakdowns!$K81*$G$31</f>
        <v>32.881260310911372</v>
      </c>
      <c r="E308" s="459">
        <f>E$296*Entrant_age_breakdowns!$K81*$G$31</f>
        <v>23.624856890143636</v>
      </c>
      <c r="F308" s="459">
        <f>F$296*Entrant_age_breakdowns!$K81*$G$31</f>
        <v>22.738029767693341</v>
      </c>
      <c r="G308" s="459">
        <f>G$296*Entrant_age_breakdowns!$K81*$G$31</f>
        <v>30.168653975455069</v>
      </c>
      <c r="H308" s="459">
        <f>H$296*Entrant_age_breakdowns!$K81*$G$31</f>
        <v>32.451110537330592</v>
      </c>
      <c r="I308" s="459">
        <f>I$296*Entrant_age_breakdowns!$K81*$G$31</f>
        <v>32.994940349974065</v>
      </c>
      <c r="J308" s="459">
        <f>J$296*Entrant_age_breakdowns!$K81*$G$31</f>
        <v>33.254661294355934</v>
      </c>
      <c r="K308" s="459">
        <f>K$296*Entrant_age_breakdowns!$K81*$G$31</f>
        <v>32.240144293726047</v>
      </c>
      <c r="L308" s="459">
        <f>L$296*Entrant_age_breakdowns!$K81*$G$31</f>
        <v>31.507410170192614</v>
      </c>
      <c r="M308" s="459">
        <f>M$296*Entrant_age_breakdowns!$K81*$G$31</f>
        <v>31.03806661878458</v>
      </c>
      <c r="N308" s="459">
        <f>N$296*Entrant_age_breakdowns!$K81*$G$31</f>
        <v>31.204063588591101</v>
      </c>
    </row>
    <row r="309" spans="1:14">
      <c r="B309" s="338" t="str">
        <f t="shared" si="142"/>
        <v>50-54</v>
      </c>
      <c r="C309" s="459">
        <f>C$296*Entrant_age_breakdowns!$K82*$G$31</f>
        <v>20.225636670923368</v>
      </c>
      <c r="D309" s="459">
        <f>D$296*Entrant_age_breakdowns!$K82*$G$31</f>
        <v>24.053712686924484</v>
      </c>
      <c r="E309" s="459">
        <f>E$296*Entrant_age_breakdowns!$K82*$G$31</f>
        <v>17.282352152318481</v>
      </c>
      <c r="F309" s="459">
        <f>F$296*Entrant_age_breakdowns!$K82*$G$31</f>
        <v>16.633609232956818</v>
      </c>
      <c r="G309" s="459">
        <f>G$296*Entrant_age_breakdowns!$K82*$G$31</f>
        <v>22.06935281723467</v>
      </c>
      <c r="H309" s="459">
        <f>H$296*Entrant_age_breakdowns!$K82*$G$31</f>
        <v>23.739044119837228</v>
      </c>
      <c r="I309" s="459">
        <f>I$296*Entrant_age_breakdowns!$K82*$G$31</f>
        <v>24.136873337459072</v>
      </c>
      <c r="J309" s="459">
        <f>J$296*Entrant_age_breakdowns!$K82*$G$31</f>
        <v>24.326867666017854</v>
      </c>
      <c r="K309" s="459">
        <f>K$296*Entrant_age_breakdowns!$K82*$G$31</f>
        <v>23.584715442580915</v>
      </c>
      <c r="L309" s="459">
        <f>L$296*Entrant_age_breakdowns!$K82*$G$31</f>
        <v>23.048696569924445</v>
      </c>
      <c r="M309" s="459">
        <f>M$296*Entrant_age_breakdowns!$K82*$G$31</f>
        <v>22.705356478021603</v>
      </c>
      <c r="N309" s="459">
        <f>N$296*Entrant_age_breakdowns!$K82*$G$31</f>
        <v>22.826788667082223</v>
      </c>
    </row>
    <row r="310" spans="1:14">
      <c r="B310" s="338" t="str">
        <f t="shared" si="142"/>
        <v>55-59</v>
      </c>
      <c r="C310" s="459">
        <f>C$296*Entrant_age_breakdowns!$K83*$G$31</f>
        <v>13.770069628104443</v>
      </c>
      <c r="D310" s="459">
        <f>D$296*Entrant_age_breakdowns!$K83*$G$31</f>
        <v>16.376310120785337</v>
      </c>
      <c r="E310" s="459">
        <f>E$296*Entrant_age_breakdowns!$K83*$G$31</f>
        <v>11.766215143030236</v>
      </c>
      <c r="F310" s="459">
        <f>F$296*Entrant_age_breakdowns!$K83*$G$31</f>
        <v>11.324536331347023</v>
      </c>
      <c r="G310" s="459">
        <f>G$296*Entrant_age_breakdowns!$K83*$G$31</f>
        <v>15.025313164920533</v>
      </c>
      <c r="H310" s="459">
        <f>H$296*Entrant_age_breakdowns!$K83*$G$31</f>
        <v>16.162076663066969</v>
      </c>
      <c r="I310" s="459">
        <f>I$296*Entrant_age_breakdowns!$K83*$G$31</f>
        <v>16.432927767330227</v>
      </c>
      <c r="J310" s="459">
        <f>J$296*Entrant_age_breakdowns!$K83*$G$31</f>
        <v>16.562280191472233</v>
      </c>
      <c r="K310" s="459">
        <f>K$296*Entrant_age_breakdowns!$K83*$G$31</f>
        <v>16.057006218758641</v>
      </c>
      <c r="L310" s="459">
        <f>L$296*Entrant_age_breakdowns!$K83*$G$31</f>
        <v>15.692072480525882</v>
      </c>
      <c r="M310" s="459">
        <f>M$296*Entrant_age_breakdowns!$K83*$G$31</f>
        <v>15.458318802036308</v>
      </c>
      <c r="N310" s="459">
        <f>N$296*Entrant_age_breakdowns!$K83*$G$31</f>
        <v>15.540992575211607</v>
      </c>
    </row>
    <row r="311" spans="1:14">
      <c r="B311" s="338" t="str">
        <f t="shared" si="142"/>
        <v>60-64</v>
      </c>
      <c r="C311" s="459">
        <f>C$296*Entrant_age_breakdowns!$K84*$G$31</f>
        <v>6.7409522254391776</v>
      </c>
      <c r="D311" s="459">
        <f>D$296*Entrant_age_breakdowns!$K84*$G$31</f>
        <v>8.0168021756318701</v>
      </c>
      <c r="E311" s="459">
        <f>E$296*Entrant_age_breakdowns!$K84*$G$31</f>
        <v>5.7599922364607687</v>
      </c>
      <c r="F311" s="459">
        <f>F$296*Entrant_age_breakdowns!$K84*$G$31</f>
        <v>5.5437743197068405</v>
      </c>
      <c r="G311" s="459">
        <f>G$296*Entrant_age_breakdowns!$K84*$G$31</f>
        <v>7.3554398018635361</v>
      </c>
      <c r="H311" s="459">
        <f>H$296*Entrant_age_breakdowns!$K84*$G$31</f>
        <v>7.9119270702349658</v>
      </c>
      <c r="I311" s="459">
        <f>I$296*Entrant_age_breakdowns!$K84*$G$31</f>
        <v>8.0445185823591796</v>
      </c>
      <c r="J311" s="459">
        <f>J$296*Entrant_age_breakdowns!$K84*$G$31</f>
        <v>8.1078413203652655</v>
      </c>
      <c r="K311" s="459">
        <f>K$296*Entrant_age_breakdowns!$K84*$G$31</f>
        <v>7.8604912485930383</v>
      </c>
      <c r="L311" s="459">
        <f>L$296*Entrant_age_breakdowns!$K84*$G$31</f>
        <v>7.6818428494696853</v>
      </c>
      <c r="M311" s="459">
        <f>M$296*Entrant_age_breakdowns!$K84*$G$31</f>
        <v>7.5674118827588961</v>
      </c>
      <c r="N311" s="459">
        <f>N$296*Entrant_age_breakdowns!$K84*$G$31</f>
        <v>7.6078837155326422</v>
      </c>
    </row>
    <row r="312" spans="1:14">
      <c r="B312" s="338" t="str">
        <f t="shared" si="142"/>
        <v>65 plus</v>
      </c>
      <c r="C312" s="459">
        <f>C$296*Entrant_age_breakdowns!$K85*$G$31</f>
        <v>1.6906786656674857</v>
      </c>
      <c r="D312" s="459">
        <f>D$296*Entrant_age_breakdowns!$K85*$G$31</f>
        <v>2.0106708892057825</v>
      </c>
      <c r="E312" s="459">
        <f>E$296*Entrant_age_breakdowns!$K85*$G$31</f>
        <v>1.4446469375415452</v>
      </c>
      <c r="F312" s="459">
        <f>F$296*Entrant_age_breakdowns!$K85*$G$31</f>
        <v>1.3904179492969178</v>
      </c>
      <c r="G312" s="459">
        <f>G$296*Entrant_age_breakdowns!$K85*$G$31</f>
        <v>1.8447965114901799</v>
      </c>
      <c r="H312" s="459">
        <f>H$296*Entrant_age_breakdowns!$K85*$G$31</f>
        <v>1.9843674683648753</v>
      </c>
      <c r="I312" s="459">
        <f>I$296*Entrant_age_breakdowns!$K85*$G$31</f>
        <v>2.0176223607450678</v>
      </c>
      <c r="J312" s="459">
        <f>J$296*Entrant_age_breakdowns!$K85*$G$31</f>
        <v>2.033504152904122</v>
      </c>
      <c r="K312" s="459">
        <f>K$296*Entrant_age_breakdowns!$K85*$G$31</f>
        <v>1.9714669992037224</v>
      </c>
      <c r="L312" s="459">
        <f>L$296*Entrant_age_breakdowns!$K85*$G$31</f>
        <v>1.9266607126506641</v>
      </c>
      <c r="M312" s="459">
        <f>M$296*Entrant_age_breakdowns!$K85*$G$31</f>
        <v>1.8979606139643788</v>
      </c>
      <c r="N312" s="459">
        <f>N$296*Entrant_age_breakdowns!$K85*$G$31</f>
        <v>1.9081112368945949</v>
      </c>
    </row>
    <row r="313" spans="1:14">
      <c r="B313" s="338" t="str">
        <f t="shared" si="142"/>
        <v>Total</v>
      </c>
      <c r="C313" s="459">
        <f t="shared" ref="C313:N313" si="144">SUM(C303:C312)</f>
        <v>422.5577757928063</v>
      </c>
      <c r="D313" s="459">
        <f t="shared" si="144"/>
        <v>502.53465430623658</v>
      </c>
      <c r="E313" s="459">
        <f t="shared" si="144"/>
        <v>361.06612636082326</v>
      </c>
      <c r="F313" s="459">
        <f t="shared" si="144"/>
        <v>347.51246822254109</v>
      </c>
      <c r="G313" s="459">
        <f t="shared" si="144"/>
        <v>461.07703759179822</v>
      </c>
      <c r="H313" s="459">
        <f t="shared" si="144"/>
        <v>495.96053987989302</v>
      </c>
      <c r="I313" s="459">
        <f t="shared" si="144"/>
        <v>504.27206213646298</v>
      </c>
      <c r="J313" s="459">
        <f t="shared" si="144"/>
        <v>508.24145910503722</v>
      </c>
      <c r="K313" s="459">
        <f t="shared" si="144"/>
        <v>492.73627635417552</v>
      </c>
      <c r="L313" s="459">
        <f t="shared" si="144"/>
        <v>481.53767003597233</v>
      </c>
      <c r="M313" s="459">
        <f t="shared" si="144"/>
        <v>474.36454476256449</v>
      </c>
      <c r="N313" s="459">
        <f t="shared" si="144"/>
        <v>476.90152871782732</v>
      </c>
    </row>
    <row r="314" spans="1:14">
      <c r="A314" s="309">
        <f>SUM(C314:N314)</f>
        <v>0</v>
      </c>
      <c r="C314" s="309">
        <f t="shared" ref="C314:N314" si="145">SUM(C303:C312)-C313</f>
        <v>0</v>
      </c>
      <c r="D314" s="309">
        <f t="shared" si="145"/>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4">
      <c r="B316" s="341" t="s">
        <v>50</v>
      </c>
      <c r="H316" s="325"/>
    </row>
    <row r="317" spans="1:14">
      <c r="H317" s="325"/>
    </row>
    <row r="318" spans="1:14">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4">
      <c r="B319" s="338" t="str">
        <f t="shared" si="146"/>
        <v>20-24</v>
      </c>
      <c r="C319" s="459">
        <f>C$296*Entrant_age_breakdowns!$K76*$H$31</f>
        <v>73.997813011957817</v>
      </c>
      <c r="D319" s="459">
        <f>D$296*Entrant_age_breakdowns!$K76*$H$31</f>
        <v>88.003268456277297</v>
      </c>
      <c r="E319" s="459">
        <f>E$296*Entrant_age_breakdowns!$K76*$H$31</f>
        <v>63.229468806416847</v>
      </c>
      <c r="F319" s="459">
        <f>F$296*Entrant_age_breakdowns!$K76*$H$31</f>
        <v>60.855968381148685</v>
      </c>
      <c r="G319" s="459">
        <f>G$296*Entrant_age_breakdowns!$K76*$H$31</f>
        <v>80.743260132443595</v>
      </c>
      <c r="H319" s="459">
        <f>H$296*Entrant_age_breakdowns!$K76*$H$31</f>
        <v>86.852017389776236</v>
      </c>
      <c r="I319" s="459">
        <f>I$296*Entrant_age_breakdowns!$K76*$H$31</f>
        <v>88.307521240421167</v>
      </c>
      <c r="J319" s="459">
        <f>J$296*Entrant_age_breakdowns!$K76*$H$31</f>
        <v>89.002637296680447</v>
      </c>
      <c r="K319" s="459">
        <f>K$296*Entrant_age_breakdowns!$K76*$H$31</f>
        <v>86.287388212074603</v>
      </c>
      <c r="L319" s="459">
        <f>L$296*Entrant_age_breakdowns!$K76*$H$31</f>
        <v>84.326301648765778</v>
      </c>
      <c r="M319" s="459">
        <f>M$296*Entrant_age_breakdowns!$K76*$H$31</f>
        <v>83.070152518159688</v>
      </c>
      <c r="N319" s="459">
        <f>N$296*Entrant_age_breakdowns!$K76*$H$31</f>
        <v>83.514426118340523</v>
      </c>
    </row>
    <row r="320" spans="1:14">
      <c r="B320" s="338" t="str">
        <f t="shared" si="146"/>
        <v>25-29</v>
      </c>
      <c r="C320" s="459">
        <f>C$296*Entrant_age_breakdowns!$K77*$H$31</f>
        <v>76.512131999724758</v>
      </c>
      <c r="D320" s="459">
        <f>D$296*Entrant_age_breakdowns!$K77*$H$31</f>
        <v>90.993468840029351</v>
      </c>
      <c r="E320" s="459">
        <f>E$296*Entrant_age_breakdowns!$K77*$H$31</f>
        <v>65.377897895540087</v>
      </c>
      <c r="F320" s="459">
        <f>F$296*Entrant_age_breakdowns!$K77*$H$31</f>
        <v>62.923749989707041</v>
      </c>
      <c r="G320" s="459">
        <f>G$296*Entrant_age_breakdowns!$K77*$H$31</f>
        <v>83.486777863871694</v>
      </c>
      <c r="H320" s="459">
        <f>H$296*Entrant_age_breakdowns!$K77*$H$31</f>
        <v>89.803100233450152</v>
      </c>
      <c r="I320" s="459">
        <f>I$296*Entrant_age_breakdowns!$K77*$H$31</f>
        <v>91.308059612839614</v>
      </c>
      <c r="J320" s="459">
        <f>J$296*Entrant_age_breakdowns!$K77*$H$31</f>
        <v>92.026794522519225</v>
      </c>
      <c r="K320" s="459">
        <f>K$296*Entrant_age_breakdowns!$K77*$H$31</f>
        <v>89.219285923043131</v>
      </c>
      <c r="L320" s="459">
        <f>L$296*Entrant_age_breakdowns!$K77*$H$31</f>
        <v>87.191564996067569</v>
      </c>
      <c r="M320" s="459">
        <f>M$296*Entrant_age_breakdowns!$K77*$H$31</f>
        <v>85.892734068770565</v>
      </c>
      <c r="N320" s="459">
        <f>N$296*Entrant_age_breakdowns!$K77*$H$31</f>
        <v>86.35210332520434</v>
      </c>
    </row>
    <row r="321" spans="1:14">
      <c r="B321" s="338" t="str">
        <f t="shared" si="146"/>
        <v>30-34</v>
      </c>
      <c r="C321" s="459">
        <f>C$296*Entrant_age_breakdowns!$K78*$H$31</f>
        <v>37.981768590683586</v>
      </c>
      <c r="D321" s="459">
        <f>D$296*Entrant_age_breakdowns!$K78*$H$31</f>
        <v>45.170521150266794</v>
      </c>
      <c r="E321" s="459">
        <f>E$296*Entrant_age_breakdowns!$K78*$H$31</f>
        <v>32.454567973908702</v>
      </c>
      <c r="F321" s="459">
        <f>F$296*Entrant_age_breakdowns!$K78*$H$31</f>
        <v>31.236292186651898</v>
      </c>
      <c r="G321" s="459">
        <f>G$296*Entrant_age_breakdowns!$K78*$H$31</f>
        <v>41.444087288258892</v>
      </c>
      <c r="H321" s="459">
        <f>H$296*Entrant_age_breakdowns!$K78*$H$31</f>
        <v>44.579604340461152</v>
      </c>
      <c r="I321" s="459">
        <f>I$296*Entrant_age_breakdowns!$K78*$H$31</f>
        <v>45.326688722929475</v>
      </c>
      <c r="J321" s="459">
        <f>J$296*Entrant_age_breakdowns!$K78*$H$31</f>
        <v>45.683479499816926</v>
      </c>
      <c r="K321" s="459">
        <f>K$296*Entrant_age_breakdowns!$K78*$H$31</f>
        <v>44.289790170364718</v>
      </c>
      <c r="L321" s="459">
        <f>L$296*Entrant_age_breakdowns!$K78*$H$31</f>
        <v>43.28319912392584</v>
      </c>
      <c r="M321" s="459">
        <f>M$296*Entrant_age_breakdowns!$K78*$H$31</f>
        <v>42.638439993188307</v>
      </c>
      <c r="N321" s="459">
        <f>N$296*Entrant_age_breakdowns!$K78*$H$31</f>
        <v>42.866477774119637</v>
      </c>
    </row>
    <row r="322" spans="1:14">
      <c r="B322" s="338" t="str">
        <f t="shared" si="146"/>
        <v>35-39</v>
      </c>
      <c r="C322" s="459">
        <f>C$296*Entrant_age_breakdowns!$K79*$H$31</f>
        <v>27.139657319715713</v>
      </c>
      <c r="D322" s="459">
        <f>D$296*Entrant_age_breakdowns!$K79*$H$31</f>
        <v>32.276339687665612</v>
      </c>
      <c r="E322" s="459">
        <f>E$296*Entrant_age_breakdowns!$K79*$H$31</f>
        <v>23.190227468432113</v>
      </c>
      <c r="F322" s="459">
        <f>F$296*Entrant_age_breakdowns!$K79*$H$31</f>
        <v>22.319715414520896</v>
      </c>
      <c r="G322" s="459">
        <f>G$296*Entrant_age_breakdowns!$K79*$H$31</f>
        <v>29.613637507328331</v>
      </c>
      <c r="H322" s="459">
        <f>H$296*Entrant_age_breakdowns!$K79*$H$31</f>
        <v>31.854103432808365</v>
      </c>
      <c r="I322" s="459">
        <f>I$296*Entrant_age_breakdowns!$K79*$H$31</f>
        <v>32.387928340953245</v>
      </c>
      <c r="J322" s="459">
        <f>J$296*Entrant_age_breakdowns!$K79*$H$31</f>
        <v>32.64287116691569</v>
      </c>
      <c r="K322" s="459">
        <f>K$296*Entrant_age_breakdowns!$K79*$H$31</f>
        <v>31.647018361347417</v>
      </c>
      <c r="L322" s="459">
        <f>L$296*Entrant_age_breakdowns!$K79*$H$31</f>
        <v>30.927764438344319</v>
      </c>
      <c r="M322" s="459">
        <f>M$296*Entrant_age_breakdowns!$K79*$H$31</f>
        <v>30.467055458450563</v>
      </c>
      <c r="N322" s="459">
        <f>N$296*Entrant_age_breakdowns!$K79*$H$31</f>
        <v>30.629998561419779</v>
      </c>
    </row>
    <row r="323" spans="1:14">
      <c r="B323" s="338" t="str">
        <f t="shared" si="146"/>
        <v>40-44</v>
      </c>
      <c r="C323" s="459">
        <f>C$296*Entrant_age_breakdowns!$K80*$H$31</f>
        <v>23.579672100803368</v>
      </c>
      <c r="D323" s="459">
        <f>D$296*Entrant_age_breakdowns!$K80*$H$31</f>
        <v>28.042561388438099</v>
      </c>
      <c r="E323" s="459">
        <f>E$296*Entrant_age_breakdowns!$K80*$H$31</f>
        <v>20.148300076413804</v>
      </c>
      <c r="F323" s="459">
        <f>F$296*Entrant_age_breakdowns!$K80*$H$31</f>
        <v>19.391975538148102</v>
      </c>
      <c r="G323" s="459">
        <f>G$296*Entrant_age_breakdowns!$K80*$H$31</f>
        <v>25.729133345673667</v>
      </c>
      <c r="H323" s="459">
        <f>H$296*Entrant_age_breakdowns!$K80*$H$31</f>
        <v>27.675711051261128</v>
      </c>
      <c r="I323" s="459">
        <f>I$296*Entrant_age_breakdowns!$K80*$H$31</f>
        <v>28.139512644074671</v>
      </c>
      <c r="J323" s="459">
        <f>J$296*Entrant_age_breakdowns!$K80*$H$31</f>
        <v>28.361013902171969</v>
      </c>
      <c r="K323" s="459">
        <f>K$296*Entrant_age_breakdowns!$K80*$H$31</f>
        <v>27.495789911340424</v>
      </c>
      <c r="L323" s="459">
        <f>L$296*Entrant_age_breakdowns!$K80*$H$31</f>
        <v>26.87088254932635</v>
      </c>
      <c r="M323" s="459">
        <f>M$296*Entrant_age_breakdowns!$K80*$H$31</f>
        <v>26.470606062714314</v>
      </c>
      <c r="N323" s="459">
        <f>N$296*Entrant_age_breakdowns!$K80*$H$31</f>
        <v>26.612175460361435</v>
      </c>
    </row>
    <row r="324" spans="1:14">
      <c r="B324" s="338" t="str">
        <f t="shared" si="146"/>
        <v>45-49</v>
      </c>
      <c r="C324" s="459">
        <f>C$296*Entrant_age_breakdowns!$K81*$H$31</f>
        <v>18.763448330728593</v>
      </c>
      <c r="D324" s="459">
        <f>D$296*Entrant_age_breakdowns!$K81*$H$31</f>
        <v>22.314778145507631</v>
      </c>
      <c r="E324" s="459">
        <f>E$296*Entrant_age_breakdowns!$K81*$H$31</f>
        <v>16.032945064699398</v>
      </c>
      <c r="F324" s="459">
        <f>F$296*Entrant_age_breakdowns!$K81*$H$31</f>
        <v>15.431102242867828</v>
      </c>
      <c r="G324" s="459">
        <f>G$296*Entrant_age_breakdowns!$K81*$H$31</f>
        <v>20.473875211756059</v>
      </c>
      <c r="H324" s="459">
        <f>H$296*Entrant_age_breakdowns!$K81*$H$31</f>
        <v>22.022858168109135</v>
      </c>
      <c r="I324" s="459">
        <f>I$296*Entrant_age_breakdowns!$K81*$H$31</f>
        <v>22.391926795750056</v>
      </c>
      <c r="J324" s="459">
        <f>J$296*Entrant_age_breakdowns!$K81*$H$31</f>
        <v>22.568185710366539</v>
      </c>
      <c r="K324" s="459">
        <f>K$296*Entrant_age_breakdowns!$K81*$H$31</f>
        <v>21.879686498966503</v>
      </c>
      <c r="L324" s="459">
        <f>L$296*Entrant_age_breakdowns!$K81*$H$31</f>
        <v>21.3824184729941</v>
      </c>
      <c r="M324" s="459">
        <f>M$296*Entrant_age_breakdowns!$K81*$H$31</f>
        <v>21.063899744555354</v>
      </c>
      <c r="N324" s="459">
        <f>N$296*Entrant_age_breakdowns!$K81*$H$31</f>
        <v>21.176553137978654</v>
      </c>
    </row>
    <row r="325" spans="1:14">
      <c r="B325" s="338" t="str">
        <f t="shared" si="146"/>
        <v>50-54</v>
      </c>
      <c r="C325" s="459">
        <f>C$296*Entrant_age_breakdowns!$K82*$H$31</f>
        <v>13.726073480630188</v>
      </c>
      <c r="D325" s="459">
        <f>D$296*Entrant_age_breakdowns!$K82*$H$31</f>
        <v>16.323986888251515</v>
      </c>
      <c r="E325" s="459">
        <f>E$296*Entrant_age_breakdowns!$K82*$H$31</f>
        <v>11.728621423417517</v>
      </c>
      <c r="F325" s="459">
        <f>F$296*Entrant_age_breakdowns!$K82*$H$31</f>
        <v>11.288353800396372</v>
      </c>
      <c r="G325" s="459">
        <f>G$296*Entrant_age_breakdowns!$K82*$H$31</f>
        <v>14.977306443698041</v>
      </c>
      <c r="H325" s="459">
        <f>H$296*Entrant_age_breakdowns!$K82*$H$31</f>
        <v>16.110437918488127</v>
      </c>
      <c r="I325" s="459">
        <f>I$296*Entrant_age_breakdowns!$K82*$H$31</f>
        <v>16.380423638229118</v>
      </c>
      <c r="J325" s="459">
        <f>J$296*Entrant_age_breakdowns!$K82*$H$31</f>
        <v>16.509362774095727</v>
      </c>
      <c r="K325" s="459">
        <f>K$296*Entrant_age_breakdowns!$K82*$H$31</f>
        <v>16.005703180162982</v>
      </c>
      <c r="L325" s="459">
        <f>L$296*Entrant_age_breakdowns!$K82*$H$31</f>
        <v>15.64193542576322</v>
      </c>
      <c r="M325" s="459">
        <f>M$296*Entrant_age_breakdowns!$K82*$H$31</f>
        <v>15.408928603432638</v>
      </c>
      <c r="N325" s="459">
        <f>N$296*Entrant_age_breakdowns!$K82*$H$31</f>
        <v>15.491338229249564</v>
      </c>
    </row>
    <row r="326" spans="1:14">
      <c r="B326" s="338" t="str">
        <f t="shared" si="146"/>
        <v>55-59</v>
      </c>
      <c r="C326" s="459">
        <f>C$296*Entrant_age_breakdowns!$K83*$H$31</f>
        <v>9.3450204126566412</v>
      </c>
      <c r="D326" s="459">
        <f>D$296*Entrant_age_breakdowns!$K83*$H$31</f>
        <v>11.113738455642164</v>
      </c>
      <c r="E326" s="459">
        <f>E$296*Entrant_age_breakdowns!$K83*$H$31</f>
        <v>7.9851100002363218</v>
      </c>
      <c r="F326" s="459">
        <f>F$296*Entrant_age_breakdowns!$K83*$H$31</f>
        <v>7.6853658723930307</v>
      </c>
      <c r="G326" s="459">
        <f>G$296*Entrant_age_breakdowns!$K83*$H$31</f>
        <v>10.196888035058523</v>
      </c>
      <c r="H326" s="459">
        <f>H$296*Entrant_age_breakdowns!$K83*$H$31</f>
        <v>10.968349500500928</v>
      </c>
      <c r="I326" s="459">
        <f>I$296*Entrant_age_breakdowns!$K83*$H$31</f>
        <v>11.15216186793913</v>
      </c>
      <c r="J326" s="459">
        <f>J$296*Entrant_age_breakdowns!$K83*$H$31</f>
        <v>11.239946539816643</v>
      </c>
      <c r="K326" s="459">
        <f>K$296*Entrant_age_breakdowns!$K83*$H$31</f>
        <v>10.897043728391816</v>
      </c>
      <c r="L326" s="459">
        <f>L$296*Entrant_age_breakdowns!$K83*$H$31</f>
        <v>10.649382436535175</v>
      </c>
      <c r="M326" s="459">
        <f>M$296*Entrant_age_breakdowns!$K83*$H$31</f>
        <v>10.490746136500768</v>
      </c>
      <c r="N326" s="459">
        <f>N$296*Entrant_age_breakdowns!$K83*$H$31</f>
        <v>10.546852468478763</v>
      </c>
    </row>
    <row r="327" spans="1:14">
      <c r="B327" s="338" t="str">
        <f t="shared" si="146"/>
        <v>60-64</v>
      </c>
      <c r="C327" s="459">
        <f>C$296*Entrant_age_breakdowns!$K84*$H$31</f>
        <v>4.5747289482764941</v>
      </c>
      <c r="D327" s="459">
        <f>D$296*Entrant_age_breakdowns!$K84*$H$31</f>
        <v>5.4405810572377575</v>
      </c>
      <c r="E327" s="459">
        <f>E$296*Entrant_age_breakdowns!$K84*$H$31</f>
        <v>3.9090031118367996</v>
      </c>
      <c r="F327" s="459">
        <f>F$296*Entrant_age_breakdowns!$K84*$H$31</f>
        <v>3.7622674089523618</v>
      </c>
      <c r="G327" s="459">
        <f>G$296*Entrant_age_breakdowns!$K84*$H$31</f>
        <v>4.9917492757038451</v>
      </c>
      <c r="H327" s="459">
        <f>H$296*Entrant_age_breakdowns!$K84*$H$31</f>
        <v>5.3694078513511796</v>
      </c>
      <c r="I327" s="459">
        <f>I$296*Entrant_age_breakdowns!$K84*$H$31</f>
        <v>5.459390721504346</v>
      </c>
      <c r="J327" s="459">
        <f>J$296*Entrant_age_breakdowns!$K84*$H$31</f>
        <v>5.5023645259391785</v>
      </c>
      <c r="K327" s="459">
        <f>K$296*Entrant_age_breakdowns!$K84*$H$31</f>
        <v>5.3345010704729958</v>
      </c>
      <c r="L327" s="459">
        <f>L$296*Entrant_age_breakdowns!$K84*$H$31</f>
        <v>5.2132618188508539</v>
      </c>
      <c r="M327" s="459">
        <f>M$296*Entrant_age_breakdowns!$K84*$H$31</f>
        <v>5.1356035535963471</v>
      </c>
      <c r="N327" s="459">
        <f>N$296*Entrant_age_breakdowns!$K84*$H$31</f>
        <v>5.1630696531603153</v>
      </c>
    </row>
    <row r="328" spans="1:14">
      <c r="B328" s="338" t="str">
        <f t="shared" si="146"/>
        <v>65 plus</v>
      </c>
      <c r="C328" s="459">
        <f>C$296*Entrant_age_breakdowns!$K85*$H$31</f>
        <v>1.1473744918224253</v>
      </c>
      <c r="D328" s="459">
        <f>D$296*Entrant_age_breakdowns!$K85*$H$31</f>
        <v>1.3645363466000915</v>
      </c>
      <c r="E328" s="459">
        <f>E$296*Entrant_age_breakdowns!$K85*$H$31</f>
        <v>0.98040572669682702</v>
      </c>
      <c r="F328" s="459">
        <f>F$296*Entrant_age_breakdowns!$K85*$H$31</f>
        <v>0.94360337087798285</v>
      </c>
      <c r="G328" s="459">
        <f>G$296*Entrant_age_breakdowns!$K85*$H$31</f>
        <v>1.2519661499668588</v>
      </c>
      <c r="H328" s="459">
        <f>H$296*Entrant_age_breakdowns!$K85*$H$31</f>
        <v>1.3466856013736992</v>
      </c>
      <c r="I328" s="459">
        <f>I$296*Entrant_age_breakdowns!$K85*$H$31</f>
        <v>1.3692539439098421</v>
      </c>
      <c r="J328" s="459">
        <f>J$296*Entrant_age_breakdowns!$K85*$H$31</f>
        <v>1.3800320790917455</v>
      </c>
      <c r="K328" s="459">
        <f>K$296*Entrant_age_breakdowns!$K85*$H$31</f>
        <v>1.3379307329598336</v>
      </c>
      <c r="L328" s="459">
        <f>L$296*Entrant_age_breakdowns!$K85*$H$31</f>
        <v>1.307523068092324</v>
      </c>
      <c r="M328" s="459">
        <f>M$296*Entrant_age_breakdowns!$K85*$H$31</f>
        <v>1.2880458239452646</v>
      </c>
      <c r="N328" s="459">
        <f>N$296*Entrant_age_breakdowns!$K85*$H$31</f>
        <v>1.2949345166712949</v>
      </c>
    </row>
    <row r="329" spans="1:14">
      <c r="B329" s="338" t="str">
        <f t="shared" si="146"/>
        <v>Total</v>
      </c>
      <c r="C329" s="459">
        <f t="shared" ref="C329:N329" si="148">SUM(C319:C328)</f>
        <v>286.76768868699963</v>
      </c>
      <c r="D329" s="459">
        <f t="shared" si="148"/>
        <v>341.04378041591639</v>
      </c>
      <c r="E329" s="459">
        <f t="shared" si="148"/>
        <v>245.03654754759842</v>
      </c>
      <c r="F329" s="459">
        <f t="shared" si="148"/>
        <v>235.8383942056642</v>
      </c>
      <c r="G329" s="459">
        <f t="shared" si="148"/>
        <v>312.90868125375948</v>
      </c>
      <c r="H329" s="459">
        <f t="shared" si="148"/>
        <v>336.58227548758003</v>
      </c>
      <c r="I329" s="459">
        <f t="shared" si="148"/>
        <v>342.22286752855064</v>
      </c>
      <c r="J329" s="459">
        <f t="shared" si="148"/>
        <v>344.91668801741412</v>
      </c>
      <c r="K329" s="459">
        <f t="shared" si="148"/>
        <v>334.39413778912439</v>
      </c>
      <c r="L329" s="459">
        <f t="shared" si="148"/>
        <v>326.7942339786656</v>
      </c>
      <c r="M329" s="459">
        <f t="shared" si="148"/>
        <v>321.92621196331379</v>
      </c>
      <c r="N329" s="459">
        <f t="shared" si="148"/>
        <v>323.64792924498431</v>
      </c>
    </row>
    <row r="330" spans="1:14">
      <c r="A330" s="309">
        <f>SUM(C330:N330)</f>
        <v>0</v>
      </c>
      <c r="C330" s="309">
        <f t="shared" ref="C330:N330" si="149">SUM(C319:C328)-C329</f>
        <v>0</v>
      </c>
      <c r="D330" s="309">
        <f t="shared" si="149"/>
        <v>0</v>
      </c>
      <c r="E330" s="309">
        <f t="shared" si="149"/>
        <v>0</v>
      </c>
      <c r="F330" s="309">
        <f t="shared" si="149"/>
        <v>0</v>
      </c>
      <c r="G330" s="309">
        <f t="shared" si="149"/>
        <v>0</v>
      </c>
      <c r="H330" s="309">
        <f t="shared" si="149"/>
        <v>0</v>
      </c>
      <c r="I330" s="309">
        <f t="shared" si="149"/>
        <v>0</v>
      </c>
      <c r="J330" s="309">
        <f t="shared" si="149"/>
        <v>0</v>
      </c>
      <c r="K330" s="309">
        <f t="shared" si="149"/>
        <v>0</v>
      </c>
      <c r="L330" s="309">
        <f t="shared" si="149"/>
        <v>0</v>
      </c>
      <c r="M330" s="309">
        <f t="shared" si="149"/>
        <v>0</v>
      </c>
      <c r="N330" s="309">
        <f t="shared" si="149"/>
        <v>0</v>
      </c>
    </row>
    <row r="331" spans="1:14">
      <c r="C331" s="329">
        <f>C294</f>
        <v>709.32546447980587</v>
      </c>
      <c r="D331" s="329">
        <f t="shared" ref="D331:N331" si="150">D294</f>
        <v>843.57843472215291</v>
      </c>
      <c r="E331" s="329">
        <f t="shared" si="150"/>
        <v>606.10267390842159</v>
      </c>
      <c r="F331" s="329">
        <f t="shared" si="150"/>
        <v>583.35086242820535</v>
      </c>
      <c r="G331" s="329">
        <f t="shared" si="150"/>
        <v>773.9857188455577</v>
      </c>
      <c r="H331" s="329">
        <f t="shared" si="150"/>
        <v>832.54281536747317</v>
      </c>
      <c r="I331" s="329">
        <f t="shared" si="150"/>
        <v>846.49492966501373</v>
      </c>
      <c r="J331" s="329">
        <f t="shared" si="150"/>
        <v>853.1581471224514</v>
      </c>
      <c r="K331" s="329">
        <f t="shared" si="150"/>
        <v>827.13041414329996</v>
      </c>
      <c r="L331" s="329">
        <f t="shared" si="150"/>
        <v>808.33190401463776</v>
      </c>
      <c r="M331" s="329">
        <f t="shared" si="150"/>
        <v>796.29075672587828</v>
      </c>
      <c r="N331" s="329">
        <f t="shared" si="150"/>
        <v>800.54945796281163</v>
      </c>
    </row>
    <row r="332" spans="1:14">
      <c r="C332" s="329">
        <f>C313+C329</f>
        <v>709.32546447980599</v>
      </c>
      <c r="D332" s="329">
        <f t="shared" ref="D332:N332" si="151">D313+D329</f>
        <v>843.57843472215291</v>
      </c>
      <c r="E332" s="329">
        <f t="shared" si="151"/>
        <v>606.10267390842171</v>
      </c>
      <c r="F332" s="329">
        <f t="shared" si="151"/>
        <v>583.35086242820535</v>
      </c>
      <c r="G332" s="329">
        <f t="shared" si="151"/>
        <v>773.9857188455577</v>
      </c>
      <c r="H332" s="329">
        <f t="shared" si="151"/>
        <v>832.54281536747305</v>
      </c>
      <c r="I332" s="329">
        <f t="shared" si="151"/>
        <v>846.49492966501361</v>
      </c>
      <c r="J332" s="329">
        <f t="shared" si="151"/>
        <v>853.15814712245128</v>
      </c>
      <c r="K332" s="329">
        <f t="shared" si="151"/>
        <v>827.13041414329996</v>
      </c>
      <c r="L332" s="329">
        <f t="shared" si="151"/>
        <v>808.33190401463798</v>
      </c>
      <c r="M332" s="329">
        <f t="shared" si="151"/>
        <v>796.29075672587828</v>
      </c>
      <c r="N332" s="329">
        <f t="shared" si="151"/>
        <v>800.54945796281163</v>
      </c>
    </row>
    <row r="333" spans="1:14">
      <c r="A333" s="309">
        <f>SUM(C333:L333)</f>
        <v>0</v>
      </c>
      <c r="C333" s="329">
        <f>C331-C332</f>
        <v>0</v>
      </c>
      <c r="D333" s="329">
        <f t="shared" ref="D333:K333" si="152">D331-D332</f>
        <v>0</v>
      </c>
      <c r="E333" s="329">
        <f t="shared" si="152"/>
        <v>0</v>
      </c>
      <c r="F333" s="329">
        <f t="shared" si="152"/>
        <v>0</v>
      </c>
      <c r="G333" s="329">
        <f t="shared" si="152"/>
        <v>0</v>
      </c>
      <c r="H333" s="329">
        <f t="shared" si="152"/>
        <v>0</v>
      </c>
      <c r="I333" s="329">
        <f t="shared" si="152"/>
        <v>0</v>
      </c>
      <c r="J333" s="329">
        <f t="shared" si="152"/>
        <v>0</v>
      </c>
      <c r="K333" s="329">
        <f t="shared" si="152"/>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3">C318</f>
        <v>2016/17</v>
      </c>
      <c r="D339" s="338" t="str">
        <f t="shared" si="153"/>
        <v>2017/18</v>
      </c>
      <c r="E339" s="338" t="str">
        <f t="shared" si="153"/>
        <v>2018/19</v>
      </c>
      <c r="F339" s="338" t="str">
        <f t="shared" si="153"/>
        <v>2019/20</v>
      </c>
      <c r="G339" s="338" t="str">
        <f t="shared" si="153"/>
        <v>2020/21</v>
      </c>
      <c r="H339" s="338" t="str">
        <f t="shared" si="153"/>
        <v>2021/22</v>
      </c>
      <c r="I339" s="338" t="str">
        <f t="shared" si="153"/>
        <v>2022/23</v>
      </c>
      <c r="J339" s="338" t="str">
        <f t="shared" si="153"/>
        <v>2023/24</v>
      </c>
      <c r="K339" s="338" t="str">
        <f t="shared" si="153"/>
        <v>2024/25</v>
      </c>
      <c r="L339" s="338" t="str">
        <f t="shared" si="153"/>
        <v>2025/26</v>
      </c>
      <c r="M339" s="338" t="str">
        <f t="shared" si="153"/>
        <v>2026/27</v>
      </c>
      <c r="N339" s="338" t="str">
        <f t="shared" si="153"/>
        <v>2027/28</v>
      </c>
    </row>
    <row r="340" spans="1:14">
      <c r="B340" s="338" t="str">
        <f t="shared" ref="B340:B350" si="154">B319</f>
        <v>20-24</v>
      </c>
      <c r="C340" s="459">
        <f t="shared" ref="C340:N340" si="155">C303+C247</f>
        <v>192.19531606983466</v>
      </c>
      <c r="D340" s="459">
        <f t="shared" si="155"/>
        <v>261.60500740375483</v>
      </c>
      <c r="E340" s="459">
        <f t="shared" si="155"/>
        <v>272.74589214010848</v>
      </c>
      <c r="F340" s="459">
        <f t="shared" si="155"/>
        <v>276.8960375488781</v>
      </c>
      <c r="G340" s="459">
        <f t="shared" si="155"/>
        <v>309.04917354534768</v>
      </c>
      <c r="H340" s="459">
        <f t="shared" si="155"/>
        <v>340.12173235796905</v>
      </c>
      <c r="I340" s="459">
        <f t="shared" si="155"/>
        <v>363.59588065014248</v>
      </c>
      <c r="J340" s="459">
        <f t="shared" si="155"/>
        <v>380.73373279401358</v>
      </c>
      <c r="K340" s="459">
        <f t="shared" si="155"/>
        <v>388.49686083714596</v>
      </c>
      <c r="L340" s="459">
        <f t="shared" si="155"/>
        <v>390.93608013371988</v>
      </c>
      <c r="M340" s="459">
        <f t="shared" si="155"/>
        <v>390.75949665046977</v>
      </c>
      <c r="N340" s="459">
        <f t="shared" si="155"/>
        <v>391.29292855863423</v>
      </c>
    </row>
    <row r="341" spans="1:14">
      <c r="B341" s="338" t="str">
        <f t="shared" si="154"/>
        <v>25-29</v>
      </c>
      <c r="C341" s="459">
        <f t="shared" ref="C341:N341" si="156">C304+C248</f>
        <v>501.69870521457665</v>
      </c>
      <c r="D341" s="459">
        <f t="shared" si="156"/>
        <v>527.54051880626002</v>
      </c>
      <c r="E341" s="459">
        <f t="shared" si="156"/>
        <v>520.71002783485972</v>
      </c>
      <c r="F341" s="459">
        <f t="shared" si="156"/>
        <v>514.19855258996893</v>
      </c>
      <c r="G341" s="459">
        <f t="shared" si="156"/>
        <v>540.58082132698587</v>
      </c>
      <c r="H341" s="459">
        <f t="shared" si="156"/>
        <v>574.52318307386759</v>
      </c>
      <c r="I341" s="459">
        <f t="shared" si="156"/>
        <v>606.59339774225532</v>
      </c>
      <c r="J341" s="459">
        <f t="shared" si="156"/>
        <v>634.80561592807453</v>
      </c>
      <c r="K341" s="459">
        <f t="shared" si="156"/>
        <v>653.92690070211324</v>
      </c>
      <c r="L341" s="459">
        <f t="shared" si="156"/>
        <v>666.0133486121664</v>
      </c>
      <c r="M341" s="459">
        <f t="shared" si="156"/>
        <v>673.18633241698092</v>
      </c>
      <c r="N341" s="459">
        <f t="shared" si="156"/>
        <v>678.96540336837506</v>
      </c>
    </row>
    <row r="342" spans="1:14">
      <c r="B342" s="338" t="str">
        <f t="shared" si="154"/>
        <v>30-34</v>
      </c>
      <c r="C342" s="459">
        <f t="shared" ref="C342:N342" si="157">C305+C249</f>
        <v>861.3727694400884</v>
      </c>
      <c r="D342" s="459">
        <f t="shared" si="157"/>
        <v>798.0123092866553</v>
      </c>
      <c r="E342" s="459">
        <f t="shared" si="157"/>
        <v>737.09860538360419</v>
      </c>
      <c r="F342" s="459">
        <f t="shared" si="157"/>
        <v>688.88608816065914</v>
      </c>
      <c r="G342" s="459">
        <f t="shared" si="157"/>
        <v>666.98383951436631</v>
      </c>
      <c r="H342" s="459">
        <f t="shared" si="157"/>
        <v>660.25817703936923</v>
      </c>
      <c r="I342" s="459">
        <f t="shared" si="157"/>
        <v>662.66354752083362</v>
      </c>
      <c r="J342" s="459">
        <f t="shared" si="157"/>
        <v>670.91516265129712</v>
      </c>
      <c r="K342" s="459">
        <f t="shared" si="157"/>
        <v>680.20595099484217</v>
      </c>
      <c r="L342" s="459">
        <f t="shared" si="157"/>
        <v>689.15277342179922</v>
      </c>
      <c r="M342" s="459">
        <f t="shared" si="157"/>
        <v>697.07417759491727</v>
      </c>
      <c r="N342" s="459">
        <f t="shared" si="157"/>
        <v>704.61107240950582</v>
      </c>
    </row>
    <row r="343" spans="1:14">
      <c r="B343" s="338" t="str">
        <f t="shared" si="154"/>
        <v>35-39</v>
      </c>
      <c r="C343" s="459">
        <f t="shared" ref="C343:N343" si="158">C306+C250</f>
        <v>846.95618235666961</v>
      </c>
      <c r="D343" s="459">
        <f t="shared" si="158"/>
        <v>834.60587655178085</v>
      </c>
      <c r="E343" s="459">
        <f t="shared" si="158"/>
        <v>800.33133677209003</v>
      </c>
      <c r="F343" s="459">
        <f t="shared" si="158"/>
        <v>762.3724109913727</v>
      </c>
      <c r="G343" s="459">
        <f t="shared" si="158"/>
        <v>736.06675922457691</v>
      </c>
      <c r="H343" s="459">
        <f t="shared" si="158"/>
        <v>715.82177342320097</v>
      </c>
      <c r="I343" s="459">
        <f t="shared" si="158"/>
        <v>700.363342317209</v>
      </c>
      <c r="J343" s="459">
        <f t="shared" si="158"/>
        <v>689.73155015137479</v>
      </c>
      <c r="K343" s="459">
        <f t="shared" si="158"/>
        <v>681.91554536905483</v>
      </c>
      <c r="L343" s="459">
        <f t="shared" si="158"/>
        <v>676.7857787328486</v>
      </c>
      <c r="M343" s="459">
        <f t="shared" si="158"/>
        <v>673.96347760209051</v>
      </c>
      <c r="N343" s="459">
        <f t="shared" si="158"/>
        <v>673.57978576943094</v>
      </c>
    </row>
    <row r="344" spans="1:14">
      <c r="B344" s="338" t="str">
        <f t="shared" si="154"/>
        <v>40-44</v>
      </c>
      <c r="C344" s="459">
        <f t="shared" ref="C344:N344" si="159">C307+C251</f>
        <v>710.06470201179559</v>
      </c>
      <c r="D344" s="459">
        <f t="shared" si="159"/>
        <v>725.2756379320615</v>
      </c>
      <c r="E344" s="459">
        <f t="shared" si="159"/>
        <v>722.63850714098965</v>
      </c>
      <c r="F344" s="459">
        <f t="shared" si="159"/>
        <v>713.20966181612175</v>
      </c>
      <c r="G344" s="459">
        <f t="shared" si="159"/>
        <v>708.51049596600797</v>
      </c>
      <c r="H344" s="459">
        <f t="shared" si="159"/>
        <v>703.01263028309165</v>
      </c>
      <c r="I344" s="459">
        <f t="shared" si="159"/>
        <v>695.861464716314</v>
      </c>
      <c r="J344" s="459">
        <f t="shared" si="159"/>
        <v>688.01443415947551</v>
      </c>
      <c r="K344" s="459">
        <f t="shared" si="159"/>
        <v>678.94508917782412</v>
      </c>
      <c r="L344" s="459">
        <f t="shared" si="159"/>
        <v>669.84524018478874</v>
      </c>
      <c r="M344" s="459">
        <f t="shared" si="159"/>
        <v>661.55203566959051</v>
      </c>
      <c r="N344" s="459">
        <f t="shared" si="159"/>
        <v>655.08378064844385</v>
      </c>
    </row>
    <row r="345" spans="1:14">
      <c r="B345" s="338" t="str">
        <f t="shared" si="154"/>
        <v>45-49</v>
      </c>
      <c r="C345" s="459">
        <f t="shared" ref="C345:N345" si="160">C308+C252</f>
        <v>587.2345583961901</v>
      </c>
      <c r="D345" s="459">
        <f t="shared" si="160"/>
        <v>591.15555140238405</v>
      </c>
      <c r="E345" s="459">
        <f t="shared" si="160"/>
        <v>587.53753185848279</v>
      </c>
      <c r="F345" s="459">
        <f t="shared" si="160"/>
        <v>583.52823911304847</v>
      </c>
      <c r="G345" s="459">
        <f t="shared" si="160"/>
        <v>586.31126326948117</v>
      </c>
      <c r="H345" s="459">
        <f t="shared" si="160"/>
        <v>589.76774285258603</v>
      </c>
      <c r="I345" s="459">
        <f t="shared" si="160"/>
        <v>591.83145930377134</v>
      </c>
      <c r="J345" s="459">
        <f t="shared" si="160"/>
        <v>592.29260779853473</v>
      </c>
      <c r="K345" s="459">
        <f t="shared" si="160"/>
        <v>590.18263384809609</v>
      </c>
      <c r="L345" s="459">
        <f t="shared" si="160"/>
        <v>586.25442747700174</v>
      </c>
      <c r="M345" s="459">
        <f t="shared" si="160"/>
        <v>581.25672009410914</v>
      </c>
      <c r="N345" s="459">
        <f t="shared" si="160"/>
        <v>576.26082301245151</v>
      </c>
    </row>
    <row r="346" spans="1:14">
      <c r="B346" s="338" t="str">
        <f t="shared" si="154"/>
        <v>50-54</v>
      </c>
      <c r="C346" s="459">
        <f t="shared" ref="C346:N346" si="161">C309+C253</f>
        <v>440.41246279995852</v>
      </c>
      <c r="D346" s="459">
        <f t="shared" si="161"/>
        <v>441.97456601169858</v>
      </c>
      <c r="E346" s="459">
        <f t="shared" si="161"/>
        <v>437.01257794114127</v>
      </c>
      <c r="F346" s="459">
        <f t="shared" si="161"/>
        <v>432.18869599424517</v>
      </c>
      <c r="G346" s="459">
        <f t="shared" si="161"/>
        <v>433.47797309258169</v>
      </c>
      <c r="H346" s="459">
        <f t="shared" si="161"/>
        <v>436.56039758765581</v>
      </c>
      <c r="I346" s="459">
        <f t="shared" si="161"/>
        <v>439.76695284180823</v>
      </c>
      <c r="J346" s="459">
        <f t="shared" si="161"/>
        <v>442.60621136875454</v>
      </c>
      <c r="K346" s="459">
        <f t="shared" si="161"/>
        <v>443.96678712027767</v>
      </c>
      <c r="L346" s="459">
        <f t="shared" si="161"/>
        <v>444.02366664517893</v>
      </c>
      <c r="M346" s="459">
        <f t="shared" si="161"/>
        <v>443.02188853308604</v>
      </c>
      <c r="N346" s="459">
        <f t="shared" si="161"/>
        <v>441.54115504190139</v>
      </c>
    </row>
    <row r="347" spans="1:14">
      <c r="B347" s="338" t="str">
        <f t="shared" si="154"/>
        <v>55-59</v>
      </c>
      <c r="C347" s="459">
        <f t="shared" ref="C347:N347" si="162">C310+C254</f>
        <v>250.5750600595824</v>
      </c>
      <c r="D347" s="459">
        <f t="shared" si="162"/>
        <v>230.82204489196045</v>
      </c>
      <c r="E347" s="459">
        <f t="shared" si="162"/>
        <v>214.69973892426944</v>
      </c>
      <c r="F347" s="459">
        <f t="shared" si="162"/>
        <v>203.93478774925279</v>
      </c>
      <c r="G347" s="459">
        <f t="shared" si="162"/>
        <v>200.51810291153464</v>
      </c>
      <c r="H347" s="459">
        <f t="shared" si="162"/>
        <v>199.81507253959336</v>
      </c>
      <c r="I347" s="459">
        <f t="shared" si="162"/>
        <v>200.12610165496801</v>
      </c>
      <c r="J347" s="459">
        <f t="shared" si="162"/>
        <v>200.91700475671763</v>
      </c>
      <c r="K347" s="459">
        <f t="shared" si="162"/>
        <v>201.30400134172166</v>
      </c>
      <c r="L347" s="459">
        <f t="shared" si="162"/>
        <v>201.37139812468982</v>
      </c>
      <c r="M347" s="459">
        <f t="shared" si="162"/>
        <v>201.1861706579281</v>
      </c>
      <c r="N347" s="459">
        <f t="shared" si="162"/>
        <v>201.00981018029486</v>
      </c>
    </row>
    <row r="348" spans="1:14">
      <c r="B348" s="338" t="str">
        <f t="shared" si="154"/>
        <v>60-64</v>
      </c>
      <c r="C348" s="459">
        <f t="shared" ref="C348:N348" si="163">C311+C255</f>
        <v>78.098180404360335</v>
      </c>
      <c r="D348" s="459">
        <f t="shared" si="163"/>
        <v>76.070499832979195</v>
      </c>
      <c r="E348" s="459">
        <f t="shared" si="163"/>
        <v>70.44541478827459</v>
      </c>
      <c r="F348" s="459">
        <f t="shared" si="163"/>
        <v>65.560343752161884</v>
      </c>
      <c r="G348" s="459">
        <f t="shared" si="163"/>
        <v>63.708596532934195</v>
      </c>
      <c r="H348" s="459">
        <f t="shared" si="163"/>
        <v>62.956676744115057</v>
      </c>
      <c r="I348" s="459">
        <f t="shared" si="163"/>
        <v>62.640703502662682</v>
      </c>
      <c r="J348" s="459">
        <f t="shared" si="163"/>
        <v>62.588840415659483</v>
      </c>
      <c r="K348" s="459">
        <f t="shared" si="163"/>
        <v>62.412020101512944</v>
      </c>
      <c r="L348" s="459">
        <f t="shared" si="163"/>
        <v>62.194654466850466</v>
      </c>
      <c r="M348" s="459">
        <f t="shared" si="163"/>
        <v>61.983266725320568</v>
      </c>
      <c r="N348" s="459">
        <f t="shared" si="163"/>
        <v>61.899134120493898</v>
      </c>
    </row>
    <row r="349" spans="1:14">
      <c r="B349" s="338" t="str">
        <f t="shared" si="154"/>
        <v>65 plus</v>
      </c>
      <c r="C349" s="459">
        <f t="shared" ref="C349:N349" si="164">C312+C256</f>
        <v>14.717214354792279</v>
      </c>
      <c r="D349" s="459">
        <f t="shared" si="164"/>
        <v>18.446626872053439</v>
      </c>
      <c r="E349" s="459">
        <f t="shared" si="164"/>
        <v>19.681418940092467</v>
      </c>
      <c r="F349" s="459">
        <f t="shared" si="164"/>
        <v>19.686664090179281</v>
      </c>
      <c r="G349" s="459">
        <f t="shared" si="164"/>
        <v>19.614555781810687</v>
      </c>
      <c r="H349" s="459">
        <f t="shared" si="164"/>
        <v>19.514411144112255</v>
      </c>
      <c r="I349" s="459">
        <f t="shared" si="164"/>
        <v>19.411934182053745</v>
      </c>
      <c r="J349" s="459">
        <f t="shared" si="164"/>
        <v>19.338058097037049</v>
      </c>
      <c r="K349" s="459">
        <f t="shared" si="164"/>
        <v>19.230376522618688</v>
      </c>
      <c r="L349" s="459">
        <f t="shared" si="164"/>
        <v>19.10807070122344</v>
      </c>
      <c r="M349" s="459">
        <f t="shared" si="164"/>
        <v>18.989554571589046</v>
      </c>
      <c r="N349" s="459">
        <f t="shared" si="164"/>
        <v>18.912590092753749</v>
      </c>
    </row>
    <row r="350" spans="1:14">
      <c r="B350" s="338" t="str">
        <f t="shared" si="154"/>
        <v>Total</v>
      </c>
      <c r="C350" s="459">
        <f t="shared" ref="C350:N350" si="165">SUM(C340:C349)</f>
        <v>4483.3251511078488</v>
      </c>
      <c r="D350" s="459">
        <f t="shared" si="165"/>
        <v>4505.5086389915878</v>
      </c>
      <c r="E350" s="459">
        <f t="shared" si="165"/>
        <v>4382.9010517239121</v>
      </c>
      <c r="F350" s="459">
        <f t="shared" si="165"/>
        <v>4260.461481805889</v>
      </c>
      <c r="G350" s="459">
        <f t="shared" si="165"/>
        <v>4264.8215811656273</v>
      </c>
      <c r="H350" s="459">
        <f t="shared" si="165"/>
        <v>4302.3517970455605</v>
      </c>
      <c r="I350" s="459">
        <f t="shared" si="165"/>
        <v>4342.8547844320174</v>
      </c>
      <c r="J350" s="459">
        <f t="shared" si="165"/>
        <v>4381.9432181209395</v>
      </c>
      <c r="K350" s="459">
        <f t="shared" si="165"/>
        <v>4400.5861660152068</v>
      </c>
      <c r="L350" s="459">
        <f t="shared" si="165"/>
        <v>4405.685438500268</v>
      </c>
      <c r="M350" s="459">
        <f t="shared" si="165"/>
        <v>4402.9731205160824</v>
      </c>
      <c r="N350" s="459">
        <f t="shared" si="165"/>
        <v>4403.156483202285</v>
      </c>
    </row>
    <row r="351" spans="1:14">
      <c r="A351" s="309">
        <f>SUM(C351:N351)</f>
        <v>0</v>
      </c>
      <c r="C351" s="309">
        <f t="shared" ref="C351:N351" si="166">SUM(C340:C349)-C350</f>
        <v>0</v>
      </c>
      <c r="D351" s="309">
        <f t="shared" si="166"/>
        <v>0</v>
      </c>
      <c r="E351" s="309">
        <f t="shared" si="166"/>
        <v>0</v>
      </c>
      <c r="F351" s="309">
        <f t="shared" si="166"/>
        <v>0</v>
      </c>
      <c r="G351" s="309">
        <f t="shared" si="166"/>
        <v>0</v>
      </c>
      <c r="H351" s="309">
        <f t="shared" si="166"/>
        <v>0</v>
      </c>
      <c r="I351" s="309">
        <f t="shared" si="166"/>
        <v>0</v>
      </c>
      <c r="J351" s="309">
        <f t="shared" si="166"/>
        <v>0</v>
      </c>
      <c r="K351" s="309">
        <f t="shared" si="166"/>
        <v>0</v>
      </c>
      <c r="L351" s="309">
        <f t="shared" si="166"/>
        <v>0</v>
      </c>
      <c r="M351" s="309">
        <f t="shared" si="166"/>
        <v>0</v>
      </c>
      <c r="N351" s="309">
        <f t="shared" si="166"/>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7">B339</f>
        <v>Age group</v>
      </c>
      <c r="C355" s="338" t="str">
        <f t="shared" ref="C355:N355" si="168">C339</f>
        <v>2016/17</v>
      </c>
      <c r="D355" s="338" t="str">
        <f t="shared" si="168"/>
        <v>2017/18</v>
      </c>
      <c r="E355" s="338" t="str">
        <f t="shared" si="168"/>
        <v>2018/19</v>
      </c>
      <c r="F355" s="338" t="str">
        <f t="shared" si="168"/>
        <v>2019/20</v>
      </c>
      <c r="G355" s="338" t="str">
        <f t="shared" si="168"/>
        <v>2020/21</v>
      </c>
      <c r="H355" s="338" t="str">
        <f t="shared" si="168"/>
        <v>2021/22</v>
      </c>
      <c r="I355" s="338" t="str">
        <f t="shared" si="168"/>
        <v>2022/23</v>
      </c>
      <c r="J355" s="338" t="str">
        <f t="shared" si="168"/>
        <v>2023/24</v>
      </c>
      <c r="K355" s="338" t="str">
        <f t="shared" si="168"/>
        <v>2024/25</v>
      </c>
      <c r="L355" s="338" t="str">
        <f t="shared" si="168"/>
        <v>2025/26</v>
      </c>
      <c r="M355" s="338" t="str">
        <f t="shared" si="168"/>
        <v>2026/27</v>
      </c>
      <c r="N355" s="338" t="str">
        <f t="shared" si="168"/>
        <v>2027/28</v>
      </c>
    </row>
    <row r="356" spans="1:14">
      <c r="B356" s="338" t="str">
        <f t="shared" si="167"/>
        <v>20-24</v>
      </c>
      <c r="C356" s="459">
        <f t="shared" ref="C356:N356" si="169">C319+C263</f>
        <v>145.2706809874843</v>
      </c>
      <c r="D356" s="459">
        <f t="shared" si="169"/>
        <v>189.82991748930672</v>
      </c>
      <c r="E356" s="459">
        <f t="shared" si="169"/>
        <v>196.28965860354401</v>
      </c>
      <c r="F356" s="459">
        <f t="shared" si="169"/>
        <v>198.4440765910789</v>
      </c>
      <c r="G356" s="459">
        <f t="shared" si="169"/>
        <v>219.84149525026695</v>
      </c>
      <c r="H356" s="459">
        <f t="shared" si="169"/>
        <v>240.94865015543365</v>
      </c>
      <c r="I356" s="459">
        <f t="shared" si="169"/>
        <v>257.19909294354642</v>
      </c>
      <c r="J356" s="459">
        <f t="shared" si="169"/>
        <v>269.28486348816074</v>
      </c>
      <c r="K356" s="459">
        <f t="shared" si="169"/>
        <v>275.04106581532454</v>
      </c>
      <c r="L356" s="459">
        <f t="shared" si="169"/>
        <v>277.11475619494007</v>
      </c>
      <c r="M356" s="459">
        <f t="shared" si="169"/>
        <v>277.31214841936122</v>
      </c>
      <c r="N356" s="459">
        <f t="shared" si="169"/>
        <v>277.89478296492587</v>
      </c>
    </row>
    <row r="357" spans="1:14">
      <c r="B357" s="338" t="str">
        <f t="shared" si="167"/>
        <v>25-29</v>
      </c>
      <c r="C357" s="459">
        <f t="shared" ref="C357:N357" si="170">C320+C264</f>
        <v>367.11793633840517</v>
      </c>
      <c r="D357" s="459">
        <f t="shared" si="170"/>
        <v>380.1046073026771</v>
      </c>
      <c r="E357" s="459">
        <f t="shared" si="170"/>
        <v>371.77862114441109</v>
      </c>
      <c r="F357" s="459">
        <f t="shared" si="170"/>
        <v>364.51518142486054</v>
      </c>
      <c r="G357" s="459">
        <f t="shared" si="170"/>
        <v>380.2590393113905</v>
      </c>
      <c r="H357" s="459">
        <f t="shared" si="170"/>
        <v>401.69123790757499</v>
      </c>
      <c r="I357" s="459">
        <f t="shared" si="170"/>
        <v>422.33646553781176</v>
      </c>
      <c r="J357" s="459">
        <f t="shared" si="170"/>
        <v>440.76139977929654</v>
      </c>
      <c r="K357" s="459">
        <f t="shared" si="170"/>
        <v>453.32285300119707</v>
      </c>
      <c r="L357" s="459">
        <f t="shared" si="170"/>
        <v>461.32821177186167</v>
      </c>
      <c r="M357" s="459">
        <f t="shared" si="170"/>
        <v>466.13771658484421</v>
      </c>
      <c r="N357" s="459">
        <f t="shared" si="170"/>
        <v>470.07905040185415</v>
      </c>
    </row>
    <row r="358" spans="1:14">
      <c r="B358" s="338" t="str">
        <f t="shared" si="167"/>
        <v>30-34</v>
      </c>
      <c r="C358" s="459">
        <f t="shared" ref="C358:N358" si="171">C321+C265</f>
        <v>514.45870687387207</v>
      </c>
      <c r="D358" s="459">
        <f t="shared" si="171"/>
        <v>484.9138375540889</v>
      </c>
      <c r="E358" s="459">
        <f t="shared" si="171"/>
        <v>453.1221175419318</v>
      </c>
      <c r="F358" s="459">
        <f t="shared" si="171"/>
        <v>427.3334322920681</v>
      </c>
      <c r="G358" s="459">
        <f t="shared" si="171"/>
        <v>417.51788603015734</v>
      </c>
      <c r="H358" s="459">
        <f t="shared" si="171"/>
        <v>416.38856653117375</v>
      </c>
      <c r="I358" s="459">
        <f t="shared" si="171"/>
        <v>420.20301923206705</v>
      </c>
      <c r="J358" s="459">
        <f t="shared" si="171"/>
        <v>427.0705022687477</v>
      </c>
      <c r="K358" s="459">
        <f t="shared" si="171"/>
        <v>433.9994330960497</v>
      </c>
      <c r="L358" s="459">
        <f t="shared" si="171"/>
        <v>440.29674480900701</v>
      </c>
      <c r="M358" s="459">
        <f t="shared" si="171"/>
        <v>445.671528071365</v>
      </c>
      <c r="N358" s="459">
        <f t="shared" si="171"/>
        <v>450.67040008718448</v>
      </c>
    </row>
    <row r="359" spans="1:14">
      <c r="B359" s="338" t="str">
        <f t="shared" si="167"/>
        <v>35-39</v>
      </c>
      <c r="C359" s="459">
        <f t="shared" ref="C359:N359" si="172">C322+C266</f>
        <v>547.97511253586333</v>
      </c>
      <c r="D359" s="459">
        <f t="shared" si="172"/>
        <v>530.97555603353351</v>
      </c>
      <c r="E359" s="459">
        <f t="shared" si="172"/>
        <v>503.91523478352781</v>
      </c>
      <c r="F359" s="459">
        <f t="shared" si="172"/>
        <v>477.24092293421353</v>
      </c>
      <c r="G359" s="459">
        <f t="shared" si="172"/>
        <v>460.12173983488265</v>
      </c>
      <c r="H359" s="459">
        <f t="shared" si="172"/>
        <v>447.93533343927612</v>
      </c>
      <c r="I359" s="459">
        <f t="shared" si="172"/>
        <v>439.27873143645462</v>
      </c>
      <c r="J359" s="459">
        <f t="shared" si="172"/>
        <v>433.85597330852323</v>
      </c>
      <c r="K359" s="459">
        <f t="shared" si="172"/>
        <v>430.12859372554954</v>
      </c>
      <c r="L359" s="459">
        <f t="shared" si="172"/>
        <v>427.93876161849408</v>
      </c>
      <c r="M359" s="459">
        <f t="shared" si="172"/>
        <v>427.02437826084844</v>
      </c>
      <c r="N359" s="459">
        <f t="shared" si="172"/>
        <v>427.50375798426995</v>
      </c>
    </row>
    <row r="360" spans="1:14">
      <c r="B360" s="338" t="str">
        <f t="shared" si="167"/>
        <v>40-44</v>
      </c>
      <c r="C360" s="459">
        <f t="shared" ref="C360:N360" si="173">C323+C267</f>
        <v>492.27942883397719</v>
      </c>
      <c r="D360" s="459">
        <f t="shared" si="173"/>
        <v>492.09599206970398</v>
      </c>
      <c r="E360" s="459">
        <f t="shared" si="173"/>
        <v>480.93240343572302</v>
      </c>
      <c r="F360" s="459">
        <f t="shared" si="173"/>
        <v>466.95469867653264</v>
      </c>
      <c r="G360" s="459">
        <f t="shared" si="173"/>
        <v>458.06638967306725</v>
      </c>
      <c r="H360" s="459">
        <f t="shared" si="173"/>
        <v>450.30223421812008</v>
      </c>
      <c r="I360" s="459">
        <f t="shared" si="173"/>
        <v>442.79371338634991</v>
      </c>
      <c r="J360" s="459">
        <f t="shared" si="173"/>
        <v>435.88216612754718</v>
      </c>
      <c r="K360" s="459">
        <f t="shared" si="173"/>
        <v>428.92032217492869</v>
      </c>
      <c r="L360" s="459">
        <f t="shared" si="173"/>
        <v>422.47426534992883</v>
      </c>
      <c r="M360" s="459">
        <f t="shared" si="173"/>
        <v>416.91666685509301</v>
      </c>
      <c r="N360" s="459">
        <f t="shared" si="173"/>
        <v>412.79124490198222</v>
      </c>
    </row>
    <row r="361" spans="1:14">
      <c r="B361" s="338" t="str">
        <f t="shared" si="167"/>
        <v>45-49</v>
      </c>
      <c r="C361" s="459">
        <f t="shared" ref="C361:N361" si="174">C324+C268</f>
        <v>399.26236238042583</v>
      </c>
      <c r="D361" s="459">
        <f t="shared" si="174"/>
        <v>403.9715027060588</v>
      </c>
      <c r="E361" s="459">
        <f t="shared" si="174"/>
        <v>401.09702712068446</v>
      </c>
      <c r="F361" s="459">
        <f t="shared" si="174"/>
        <v>396.35562038961984</v>
      </c>
      <c r="G361" s="459">
        <f t="shared" si="174"/>
        <v>395.38065043796223</v>
      </c>
      <c r="H361" s="459">
        <f t="shared" si="174"/>
        <v>394.59362095276788</v>
      </c>
      <c r="I361" s="459">
        <f t="shared" si="174"/>
        <v>392.96934972622603</v>
      </c>
      <c r="J361" s="459">
        <f t="shared" si="174"/>
        <v>390.58721122107653</v>
      </c>
      <c r="K361" s="459">
        <f t="shared" si="174"/>
        <v>386.89560643317293</v>
      </c>
      <c r="L361" s="459">
        <f t="shared" si="174"/>
        <v>382.42924679474083</v>
      </c>
      <c r="M361" s="459">
        <f t="shared" si="174"/>
        <v>377.66975862796414</v>
      </c>
      <c r="N361" s="459">
        <f t="shared" si="174"/>
        <v>373.28955424659034</v>
      </c>
    </row>
    <row r="362" spans="1:14">
      <c r="B362" s="338" t="str">
        <f t="shared" si="167"/>
        <v>50-54</v>
      </c>
      <c r="C362" s="459">
        <f t="shared" ref="C362:N362" si="175">C325+C269</f>
        <v>324.58148317230251</v>
      </c>
      <c r="D362" s="459">
        <f t="shared" si="175"/>
        <v>320.3550282731515</v>
      </c>
      <c r="E362" s="459">
        <f t="shared" si="175"/>
        <v>313.57528800380175</v>
      </c>
      <c r="F362" s="459">
        <f t="shared" si="175"/>
        <v>307.7633199456518</v>
      </c>
      <c r="G362" s="459">
        <f t="shared" si="175"/>
        <v>306.43950850731471</v>
      </c>
      <c r="H362" s="459">
        <f t="shared" si="175"/>
        <v>306.4496702867803</v>
      </c>
      <c r="I362" s="459">
        <f t="shared" si="175"/>
        <v>306.58598201202551</v>
      </c>
      <c r="J362" s="459">
        <f t="shared" si="175"/>
        <v>306.52167235468784</v>
      </c>
      <c r="K362" s="459">
        <f t="shared" si="175"/>
        <v>305.545311234042</v>
      </c>
      <c r="L362" s="459">
        <f t="shared" si="175"/>
        <v>303.82094338133413</v>
      </c>
      <c r="M362" s="459">
        <f t="shared" si="175"/>
        <v>301.55272142582663</v>
      </c>
      <c r="N362" s="459">
        <f t="shared" si="175"/>
        <v>299.15780973120411</v>
      </c>
    </row>
    <row r="363" spans="1:14">
      <c r="B363" s="338" t="str">
        <f t="shared" si="167"/>
        <v>55-59</v>
      </c>
      <c r="C363" s="459">
        <f t="shared" ref="C363:N363" si="176">C326+C270</f>
        <v>174.84940678031404</v>
      </c>
      <c r="D363" s="459">
        <f t="shared" si="176"/>
        <v>166.22579105826406</v>
      </c>
      <c r="E363" s="459">
        <f t="shared" si="176"/>
        <v>157.23172943505512</v>
      </c>
      <c r="F363" s="459">
        <f t="shared" si="176"/>
        <v>150.45532108519282</v>
      </c>
      <c r="G363" s="459">
        <f t="shared" si="176"/>
        <v>147.98049472031903</v>
      </c>
      <c r="H363" s="459">
        <f t="shared" si="176"/>
        <v>147.05188175931843</v>
      </c>
      <c r="I363" s="459">
        <f t="shared" si="176"/>
        <v>146.67456936398577</v>
      </c>
      <c r="J363" s="459">
        <f t="shared" si="176"/>
        <v>146.55438181571498</v>
      </c>
      <c r="K363" s="459">
        <f t="shared" si="176"/>
        <v>146.12891349944715</v>
      </c>
      <c r="L363" s="459">
        <f t="shared" si="176"/>
        <v>145.47555405540808</v>
      </c>
      <c r="M363" s="459">
        <f t="shared" si="176"/>
        <v>144.65982824239387</v>
      </c>
      <c r="N363" s="459">
        <f t="shared" si="176"/>
        <v>143.8780813647478</v>
      </c>
    </row>
    <row r="364" spans="1:14">
      <c r="B364" s="338" t="str">
        <f t="shared" si="167"/>
        <v>60-64</v>
      </c>
      <c r="C364" s="459">
        <f t="shared" ref="C364:N364" si="177">C327+C271</f>
        <v>51.645055533399805</v>
      </c>
      <c r="D364" s="459">
        <f t="shared" si="177"/>
        <v>49.399972594020518</v>
      </c>
      <c r="E364" s="459">
        <f t="shared" si="177"/>
        <v>45.839556925523041</v>
      </c>
      <c r="F364" s="459">
        <f t="shared" si="177"/>
        <v>43.014926731511309</v>
      </c>
      <c r="G364" s="459">
        <f t="shared" si="177"/>
        <v>42.161290701239722</v>
      </c>
      <c r="H364" s="459">
        <f t="shared" si="177"/>
        <v>41.860205090614294</v>
      </c>
      <c r="I364" s="459">
        <f t="shared" si="177"/>
        <v>41.704366937424211</v>
      </c>
      <c r="J364" s="459">
        <f t="shared" si="177"/>
        <v>41.632015078739556</v>
      </c>
      <c r="K364" s="459">
        <f t="shared" si="177"/>
        <v>41.416946202234413</v>
      </c>
      <c r="L364" s="459">
        <f t="shared" si="177"/>
        <v>41.147526233081464</v>
      </c>
      <c r="M364" s="459">
        <f t="shared" si="177"/>
        <v>40.870367379792576</v>
      </c>
      <c r="N364" s="459">
        <f t="shared" si="177"/>
        <v>40.676052730859702</v>
      </c>
    </row>
    <row r="365" spans="1:14">
      <c r="B365" s="338" t="str">
        <f t="shared" si="167"/>
        <v>65 plus</v>
      </c>
      <c r="C365" s="459">
        <f t="shared" ref="C365:N365" si="178">C328+C272</f>
        <v>9.4693611298971039</v>
      </c>
      <c r="D365" s="459">
        <f t="shared" si="178"/>
        <v>11.260299177462109</v>
      </c>
      <c r="E365" s="459">
        <f t="shared" si="178"/>
        <v>11.546897259092933</v>
      </c>
      <c r="F365" s="459">
        <f t="shared" si="178"/>
        <v>11.297425946804539</v>
      </c>
      <c r="G365" s="459">
        <f t="shared" si="178"/>
        <v>11.198730865773623</v>
      </c>
      <c r="H365" s="459">
        <f t="shared" si="178"/>
        <v>11.158785758777107</v>
      </c>
      <c r="I365" s="459">
        <f t="shared" si="178"/>
        <v>11.131290305554996</v>
      </c>
      <c r="J365" s="459">
        <f t="shared" si="178"/>
        <v>11.112747042095137</v>
      </c>
      <c r="K365" s="459">
        <f t="shared" si="178"/>
        <v>11.054144586670589</v>
      </c>
      <c r="L365" s="459">
        <f t="shared" si="178"/>
        <v>10.972946376650649</v>
      </c>
      <c r="M365" s="459">
        <f t="shared" si="178"/>
        <v>10.885951387307072</v>
      </c>
      <c r="N365" s="459">
        <f t="shared" si="178"/>
        <v>10.821651326690157</v>
      </c>
    </row>
    <row r="366" spans="1:14">
      <c r="B366" s="338" t="str">
        <f t="shared" si="167"/>
        <v>Total</v>
      </c>
      <c r="C366" s="459">
        <f t="shared" ref="C366:N366" si="179">SUM(C356:C365)</f>
        <v>3026.9095345659416</v>
      </c>
      <c r="D366" s="459">
        <f t="shared" si="179"/>
        <v>3029.1325042582675</v>
      </c>
      <c r="E366" s="459">
        <f t="shared" si="179"/>
        <v>2935.3285342532949</v>
      </c>
      <c r="F366" s="459">
        <f t="shared" si="179"/>
        <v>2843.3749260175341</v>
      </c>
      <c r="G366" s="459">
        <f t="shared" si="179"/>
        <v>2838.9672253323743</v>
      </c>
      <c r="H366" s="459">
        <f t="shared" si="179"/>
        <v>2858.380186099836</v>
      </c>
      <c r="I366" s="459">
        <f t="shared" si="179"/>
        <v>2880.8765808814464</v>
      </c>
      <c r="J366" s="459">
        <f t="shared" si="179"/>
        <v>2903.2629324845893</v>
      </c>
      <c r="K366" s="459">
        <f t="shared" si="179"/>
        <v>2912.453189768617</v>
      </c>
      <c r="L366" s="459">
        <f t="shared" si="179"/>
        <v>2912.9989565854462</v>
      </c>
      <c r="M366" s="459">
        <f t="shared" si="179"/>
        <v>2908.7010652547965</v>
      </c>
      <c r="N366" s="459">
        <f t="shared" si="179"/>
        <v>2906.7623857403087</v>
      </c>
    </row>
    <row r="367" spans="1:14">
      <c r="A367" s="309">
        <f>SUM(C367:N367)</f>
        <v>0</v>
      </c>
      <c r="C367" s="309">
        <f t="shared" ref="C367:N367" si="180">SUM(C356:C365)-C366</f>
        <v>0</v>
      </c>
      <c r="D367" s="309">
        <f t="shared" si="180"/>
        <v>0</v>
      </c>
      <c r="E367" s="309">
        <f t="shared" si="180"/>
        <v>0</v>
      </c>
      <c r="F367" s="309">
        <f t="shared" si="180"/>
        <v>0</v>
      </c>
      <c r="G367" s="309">
        <f t="shared" si="180"/>
        <v>0</v>
      </c>
      <c r="H367" s="309">
        <f t="shared" si="180"/>
        <v>0</v>
      </c>
      <c r="I367" s="309">
        <f t="shared" si="180"/>
        <v>0</v>
      </c>
      <c r="J367" s="309">
        <f t="shared" si="180"/>
        <v>0</v>
      </c>
      <c r="K367" s="309">
        <f t="shared" si="180"/>
        <v>0</v>
      </c>
      <c r="L367" s="309">
        <f t="shared" si="180"/>
        <v>0</v>
      </c>
      <c r="M367" s="309">
        <f t="shared" si="180"/>
        <v>0</v>
      </c>
      <c r="N367" s="309">
        <f t="shared" si="180"/>
        <v>0</v>
      </c>
    </row>
    <row r="368" spans="1:14">
      <c r="C368" s="329">
        <f>C350+C366</f>
        <v>7510.2346856737904</v>
      </c>
      <c r="D368" s="329">
        <f t="shared" ref="D368:N368" si="181">D350+D366</f>
        <v>7534.6411432498553</v>
      </c>
      <c r="E368" s="329">
        <f t="shared" si="181"/>
        <v>7318.2295859772075</v>
      </c>
      <c r="F368" s="329">
        <f t="shared" si="181"/>
        <v>7103.8364078234226</v>
      </c>
      <c r="G368" s="329">
        <f t="shared" si="181"/>
        <v>7103.7888064980016</v>
      </c>
      <c r="H368" s="329">
        <f t="shared" si="181"/>
        <v>7160.731983145397</v>
      </c>
      <c r="I368" s="329">
        <f t="shared" si="181"/>
        <v>7223.7313653134643</v>
      </c>
      <c r="J368" s="329">
        <f t="shared" si="181"/>
        <v>7285.2061506055288</v>
      </c>
      <c r="K368" s="329">
        <f t="shared" si="181"/>
        <v>7313.0393557838233</v>
      </c>
      <c r="L368" s="329">
        <f t="shared" si="181"/>
        <v>7318.6843950857146</v>
      </c>
      <c r="M368" s="329">
        <f t="shared" si="181"/>
        <v>7311.6741857708785</v>
      </c>
      <c r="N368" s="329">
        <f t="shared" si="181"/>
        <v>7309.9188689425937</v>
      </c>
    </row>
    <row r="369" spans="1:14">
      <c r="C369" s="329">
        <f>C36</f>
        <v>7510.2346856737895</v>
      </c>
      <c r="D369" s="329">
        <f t="shared" ref="D369:N369" si="182">D36</f>
        <v>7534.6411432498553</v>
      </c>
      <c r="E369" s="329">
        <f t="shared" si="182"/>
        <v>7318.2295859772075</v>
      </c>
      <c r="F369" s="329">
        <f t="shared" si="182"/>
        <v>7103.8364078234217</v>
      </c>
      <c r="G369" s="329">
        <f t="shared" si="182"/>
        <v>7103.7888064980007</v>
      </c>
      <c r="H369" s="329">
        <f t="shared" si="182"/>
        <v>7160.731983145397</v>
      </c>
      <c r="I369" s="329">
        <f t="shared" si="182"/>
        <v>7223.7313653134643</v>
      </c>
      <c r="J369" s="329">
        <f t="shared" si="182"/>
        <v>7285.2061506055279</v>
      </c>
      <c r="K369" s="329">
        <f t="shared" si="182"/>
        <v>7313.0393557838233</v>
      </c>
      <c r="L369" s="329">
        <f t="shared" si="182"/>
        <v>7318.6843950857137</v>
      </c>
      <c r="M369" s="329">
        <f t="shared" si="182"/>
        <v>7311.6741857708776</v>
      </c>
      <c r="N369" s="329">
        <f t="shared" si="182"/>
        <v>7309.9188689425937</v>
      </c>
    </row>
    <row r="370" spans="1:14">
      <c r="A370" s="309">
        <f>SUM(C370:L370)</f>
        <v>0</v>
      </c>
      <c r="C370" s="329">
        <f>C368-C369</f>
        <v>0</v>
      </c>
      <c r="D370" s="329">
        <f t="shared" ref="D370:N370" si="183">D368-D369</f>
        <v>0</v>
      </c>
      <c r="E370" s="329">
        <f t="shared" si="183"/>
        <v>0</v>
      </c>
      <c r="F370" s="329">
        <f t="shared" si="183"/>
        <v>0</v>
      </c>
      <c r="G370" s="329">
        <f t="shared" si="183"/>
        <v>0</v>
      </c>
      <c r="H370" s="329">
        <f t="shared" si="183"/>
        <v>0</v>
      </c>
      <c r="I370" s="329">
        <f t="shared" si="183"/>
        <v>0</v>
      </c>
      <c r="J370" s="329">
        <f t="shared" si="183"/>
        <v>0</v>
      </c>
      <c r="K370" s="329">
        <f t="shared" si="183"/>
        <v>0</v>
      </c>
      <c r="L370" s="329">
        <f t="shared" si="183"/>
        <v>0</v>
      </c>
      <c r="M370" s="329">
        <f t="shared" si="183"/>
        <v>0</v>
      </c>
      <c r="N370" s="329">
        <f t="shared" si="183"/>
        <v>0</v>
      </c>
    </row>
    <row r="371" spans="1:14">
      <c r="A371" s="309">
        <f>SUM(C371:L371)</f>
        <v>0</v>
      </c>
      <c r="C371" s="329">
        <f>IF(C294&gt;0,0,C294)</f>
        <v>0</v>
      </c>
      <c r="D371" s="329">
        <f t="shared" ref="D371:N371" si="184">IF(D294&gt;0,0,D294)</f>
        <v>0</v>
      </c>
      <c r="E371" s="329">
        <f t="shared" si="184"/>
        <v>0</v>
      </c>
      <c r="F371" s="329">
        <f t="shared" si="184"/>
        <v>0</v>
      </c>
      <c r="G371" s="329">
        <f t="shared" si="184"/>
        <v>0</v>
      </c>
      <c r="H371" s="329">
        <f t="shared" si="184"/>
        <v>0</v>
      </c>
      <c r="I371" s="329">
        <f t="shared" si="184"/>
        <v>0</v>
      </c>
      <c r="J371" s="329">
        <f t="shared" si="184"/>
        <v>0</v>
      </c>
      <c r="K371" s="329">
        <f t="shared" si="184"/>
        <v>0</v>
      </c>
      <c r="L371" s="329">
        <f t="shared" si="184"/>
        <v>0</v>
      </c>
      <c r="M371" s="329">
        <f t="shared" si="184"/>
        <v>0</v>
      </c>
      <c r="N371" s="329">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sheetPr>
  <dimension ref="A1:Q371"/>
  <sheetViews>
    <sheetView showGridLines="0" workbookViewId="0"/>
  </sheetViews>
  <sheetFormatPr defaultColWidth="9.140625" defaultRowHeight="12.75"/>
  <cols>
    <col min="1" max="1" width="9.140625" style="309"/>
    <col min="2" max="2" width="32.7109375" style="309" customWidth="1"/>
    <col min="3" max="15" width="10.7109375" style="309" customWidth="1"/>
    <col min="16"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1693</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ht="13.5" customHeigh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Forecast_stock_figures!B22</f>
        <v>Design &amp; Technology</v>
      </c>
      <c r="C15" s="307">
        <f>Forecast_stock_figures!C46</f>
        <v>10452.379425491614</v>
      </c>
      <c r="D15" s="307">
        <f>Forecast_stock_figures!D46</f>
        <v>10441.074820779617</v>
      </c>
      <c r="E15" s="307">
        <f>Forecast_stock_figures!E46</f>
        <v>10527.780594865922</v>
      </c>
      <c r="F15" s="307">
        <f>Forecast_stock_figures!F46</f>
        <v>10281.479861267137</v>
      </c>
      <c r="G15" s="307">
        <f>Forecast_stock_figures!G46</f>
        <v>10046.130655005754</v>
      </c>
      <c r="H15" s="307">
        <f>Forecast_stock_figures!H46</f>
        <v>10046.550813318294</v>
      </c>
      <c r="I15" s="307">
        <f>Forecast_stock_figures!I46</f>
        <v>10118.934302150517</v>
      </c>
      <c r="J15" s="307">
        <f>Forecast_stock_figures!J46</f>
        <v>10174.289952080673</v>
      </c>
      <c r="K15" s="307">
        <f>Forecast_stock_figures!K46</f>
        <v>10255.565969553618</v>
      </c>
      <c r="L15" s="307">
        <f>Forecast_stock_figures!L46</f>
        <v>10267.945214707341</v>
      </c>
      <c r="M15" s="307">
        <f>Forecast_stock_figures!M46</f>
        <v>10218.290568571876</v>
      </c>
      <c r="N15" s="307">
        <f>Forecast_stock_figures!N46</f>
        <v>10146.573350413757</v>
      </c>
    </row>
    <row r="17" spans="1:9" ht="15.75">
      <c r="B17" s="340" t="s">
        <v>149</v>
      </c>
    </row>
    <row r="19" spans="1:9">
      <c r="B19" s="1243" t="str">
        <f>Stock_ages_breakdowns!B73</f>
        <v>Age group</v>
      </c>
      <c r="C19" s="1244" t="str">
        <f>Stock_ages_breakdowns!O73</f>
        <v>Design &amp; Technology</v>
      </c>
      <c r="D19" s="1245"/>
      <c r="H19" s="325" t="s">
        <v>120</v>
      </c>
    </row>
    <row r="20" spans="1:9">
      <c r="B20" s="1243"/>
      <c r="C20" s="363" t="str">
        <f>Stock_ages_breakdowns!O74</f>
        <v>Male</v>
      </c>
      <c r="D20" s="363" t="str">
        <f>Stock_ages_breakdowns!N74</f>
        <v>Female</v>
      </c>
    </row>
    <row r="21" spans="1:9">
      <c r="B21" s="363" t="str">
        <f>Stock_ages_breakdowns!B75</f>
        <v>20-24</v>
      </c>
      <c r="C21" s="331">
        <f>Stock_ages_breakdowns!O20</f>
        <v>77.198316567433054</v>
      </c>
      <c r="D21" s="331">
        <f>Stock_ages_breakdowns!P20</f>
        <v>175.18375941079947</v>
      </c>
    </row>
    <row r="22" spans="1:9">
      <c r="B22" s="363" t="str">
        <f>Stock_ages_breakdowns!B76</f>
        <v>25-29</v>
      </c>
      <c r="C22" s="331">
        <f>Stock_ages_breakdowns!O21</f>
        <v>335.37644667749333</v>
      </c>
      <c r="D22" s="331">
        <f>Stock_ages_breakdowns!P21</f>
        <v>827.10122836466951</v>
      </c>
    </row>
    <row r="23" spans="1:9">
      <c r="B23" s="363" t="str">
        <f>Stock_ages_breakdowns!B77</f>
        <v>30-34</v>
      </c>
      <c r="C23" s="331">
        <f>Stock_ages_breakdowns!O22</f>
        <v>632.34139871307934</v>
      </c>
      <c r="D23" s="331">
        <f>Stock_ages_breakdowns!P22</f>
        <v>1029.456681363944</v>
      </c>
    </row>
    <row r="24" spans="1:9">
      <c r="B24" s="363" t="str">
        <f>Stock_ages_breakdowns!B78</f>
        <v>35-39</v>
      </c>
      <c r="C24" s="331">
        <f>Stock_ages_breakdowns!O23</f>
        <v>637.37078431356895</v>
      </c>
      <c r="D24" s="331">
        <f>Stock_ages_breakdowns!P23</f>
        <v>864.02742783620329</v>
      </c>
    </row>
    <row r="25" spans="1:9">
      <c r="B25" s="363" t="str">
        <f>Stock_ages_breakdowns!B79</f>
        <v>40-44</v>
      </c>
      <c r="C25" s="331">
        <f>Stock_ages_breakdowns!O24</f>
        <v>700.44078105284098</v>
      </c>
      <c r="D25" s="331">
        <f>Stock_ages_breakdowns!P24</f>
        <v>828.29627043571111</v>
      </c>
    </row>
    <row r="26" spans="1:9">
      <c r="B26" s="363" t="str">
        <f>Stock_ages_breakdowns!B80</f>
        <v>45-49</v>
      </c>
      <c r="C26" s="331">
        <f>Stock_ages_breakdowns!O25</f>
        <v>737.58717253076429</v>
      </c>
      <c r="D26" s="331">
        <f>Stock_ages_breakdowns!P25</f>
        <v>799.55420749257576</v>
      </c>
    </row>
    <row r="27" spans="1:9">
      <c r="B27" s="363" t="str">
        <f>Stock_ages_breakdowns!B81</f>
        <v>50-54</v>
      </c>
      <c r="C27" s="331">
        <f>Stock_ages_breakdowns!O26</f>
        <v>741.14427430671253</v>
      </c>
      <c r="D27" s="331">
        <f>Stock_ages_breakdowns!P26</f>
        <v>674.47313739021433</v>
      </c>
    </row>
    <row r="28" spans="1:9">
      <c r="B28" s="363" t="str">
        <f>Stock_ages_breakdowns!B82</f>
        <v>55-59</v>
      </c>
      <c r="C28" s="331">
        <f>Stock_ages_breakdowns!O27</f>
        <v>572.55226286901222</v>
      </c>
      <c r="D28" s="331">
        <f>Stock_ages_breakdowns!P27</f>
        <v>508.02499539654355</v>
      </c>
    </row>
    <row r="29" spans="1:9">
      <c r="B29" s="363" t="str">
        <f>Stock_ages_breakdowns!B83</f>
        <v>60-64</v>
      </c>
      <c r="C29" s="331">
        <f>Stock_ages_breakdowns!O28</f>
        <v>148.6015798757947</v>
      </c>
      <c r="D29" s="331">
        <f>Stock_ages_breakdowns!P28</f>
        <v>123.98811705246406</v>
      </c>
      <c r="F29" s="325"/>
    </row>
    <row r="30" spans="1:9">
      <c r="B30" s="363" t="str">
        <f>Stock_ages_breakdowns!B84</f>
        <v>65 plus</v>
      </c>
      <c r="C30" s="331">
        <f>Stock_ages_breakdowns!O29</f>
        <v>24.535394748337943</v>
      </c>
      <c r="D30" s="331">
        <f>Stock_ages_breakdowns!P29</f>
        <v>15.125189093452027</v>
      </c>
      <c r="G30" s="326" t="s">
        <v>49</v>
      </c>
      <c r="H30" s="326" t="s">
        <v>50</v>
      </c>
    </row>
    <row r="31" spans="1:9">
      <c r="A31" s="309">
        <f>I31</f>
        <v>0</v>
      </c>
      <c r="B31" s="363" t="str">
        <f>Stock_ages_breakdowns!B85</f>
        <v>Total</v>
      </c>
      <c r="C31" s="331">
        <f>Stock_ages_breakdowns!O30</f>
        <v>4607.1484116550373</v>
      </c>
      <c r="D31" s="331">
        <f>Stock_ages_breakdowns!P30</f>
        <v>5845.2310138365765</v>
      </c>
      <c r="E31" s="327">
        <f>SUM(C31:D31)</f>
        <v>10452.379425491614</v>
      </c>
      <c r="G31" s="366">
        <f>C31/$E$31</f>
        <v>0.4407750832713716</v>
      </c>
      <c r="H31" s="366">
        <f>D31/$E$31</f>
        <v>0.5592249167286284</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6" t="str">
        <f>B15</f>
        <v>Design &amp; Technology</v>
      </c>
      <c r="C36" s="307">
        <f>Teacher_need_by_subject!C626</f>
        <v>10441.074820779617</v>
      </c>
      <c r="D36" s="307">
        <f>Teacher_need_by_subject!D626</f>
        <v>10527.780594865922</v>
      </c>
      <c r="E36" s="307">
        <f>Teacher_need_by_subject!E626</f>
        <v>10281.479861267137</v>
      </c>
      <c r="F36" s="307">
        <f>Teacher_need_by_subject!F626</f>
        <v>10046.130655005754</v>
      </c>
      <c r="G36" s="307">
        <f>Teacher_need_by_subject!G626</f>
        <v>10046.550813318294</v>
      </c>
      <c r="H36" s="307">
        <f>Teacher_need_by_subject!H626</f>
        <v>10118.934302150517</v>
      </c>
      <c r="I36" s="307">
        <f>Teacher_need_by_subject!I626</f>
        <v>10174.289952080673</v>
      </c>
      <c r="J36" s="307">
        <f>Teacher_need_by_subject!J626</f>
        <v>10255.565969553618</v>
      </c>
      <c r="K36" s="307">
        <f>Teacher_need_by_subject!K626</f>
        <v>10267.945214707341</v>
      </c>
      <c r="L36" s="307">
        <f>Teacher_need_by_subject!L626</f>
        <v>10218.290568571876</v>
      </c>
      <c r="M36" s="307">
        <f>Teacher_need_by_subject!M626</f>
        <v>10146.573350413757</v>
      </c>
      <c r="N36" s="307">
        <f>Teacher_need_by_subject!N626</f>
        <v>10130.573798685271</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77.198316567433054</v>
      </c>
      <c r="D43" s="307">
        <f t="shared" ref="D43:K53" si="2">C340</f>
        <v>196.65292080469931</v>
      </c>
      <c r="E43" s="307">
        <f t="shared" ref="E43:L43" si="3">D340</f>
        <v>289.41740279973737</v>
      </c>
      <c r="F43" s="307">
        <f t="shared" si="3"/>
        <v>315.38987000154583</v>
      </c>
      <c r="G43" s="307">
        <f t="shared" si="3"/>
        <v>329.32556754445773</v>
      </c>
      <c r="H43" s="307">
        <f t="shared" si="3"/>
        <v>360.94764488184546</v>
      </c>
      <c r="I43" s="307">
        <f t="shared" si="3"/>
        <v>389.83251550762475</v>
      </c>
      <c r="J43" s="307">
        <f t="shared" si="3"/>
        <v>407.83918314764901</v>
      </c>
      <c r="K43" s="307">
        <f t="shared" si="3"/>
        <v>423.03551688390246</v>
      </c>
      <c r="L43" s="307">
        <f t="shared" si="3"/>
        <v>425.96444995698829</v>
      </c>
      <c r="M43" s="307">
        <f>L340</f>
        <v>420.28002861336535</v>
      </c>
      <c r="N43" s="307">
        <f>M340</f>
        <v>412.42330030910415</v>
      </c>
    </row>
    <row r="44" spans="2:14">
      <c r="B44" s="363" t="str">
        <f t="shared" ref="B44:C53" si="4">B22</f>
        <v>25-29</v>
      </c>
      <c r="C44" s="307">
        <f t="shared" si="4"/>
        <v>335.37644667749333</v>
      </c>
      <c r="D44" s="307">
        <f t="shared" si="2"/>
        <v>406.23659647672332</v>
      </c>
      <c r="E44" s="307">
        <f t="shared" si="2"/>
        <v>487.87369916640546</v>
      </c>
      <c r="F44" s="307">
        <f t="shared" si="2"/>
        <v>523.13219660331697</v>
      </c>
      <c r="G44" s="307">
        <f t="shared" si="2"/>
        <v>548.97880744018585</v>
      </c>
      <c r="H44" s="307">
        <f t="shared" si="2"/>
        <v>592.88749287280166</v>
      </c>
      <c r="I44" s="307">
        <f t="shared" si="2"/>
        <v>637.39748636872389</v>
      </c>
      <c r="J44" s="307">
        <f t="shared" si="2"/>
        <v>672.61675683095712</v>
      </c>
      <c r="K44" s="307">
        <f t="shared" si="2"/>
        <v>704.1517669001197</v>
      </c>
      <c r="L44" s="307">
        <f t="shared" ref="L44:L53" si="5">K341</f>
        <v>721.86083586045402</v>
      </c>
      <c r="M44" s="307">
        <f t="shared" ref="M44:M53" si="6">L341</f>
        <v>727.332955880094</v>
      </c>
      <c r="N44" s="307">
        <f t="shared" ref="N44:N53" si="7">M341</f>
        <v>726.36740325648134</v>
      </c>
    </row>
    <row r="45" spans="2:14">
      <c r="B45" s="363" t="str">
        <f t="shared" si="4"/>
        <v>30-34</v>
      </c>
      <c r="C45" s="307">
        <f t="shared" si="4"/>
        <v>632.34139871307934</v>
      </c>
      <c r="D45" s="307">
        <f t="shared" si="2"/>
        <v>609.81263222730638</v>
      </c>
      <c r="E45" s="307">
        <f t="shared" si="2"/>
        <v>610.10088479067008</v>
      </c>
      <c r="F45" s="307">
        <f t="shared" si="2"/>
        <v>605.00653191695824</v>
      </c>
      <c r="G45" s="307">
        <f t="shared" si="2"/>
        <v>605.44466413659097</v>
      </c>
      <c r="H45" s="307">
        <f t="shared" si="2"/>
        <v>621.75048495295709</v>
      </c>
      <c r="I45" s="307">
        <f t="shared" si="2"/>
        <v>645.46582147880406</v>
      </c>
      <c r="J45" s="307">
        <f t="shared" si="2"/>
        <v>670.26902578335432</v>
      </c>
      <c r="K45" s="307">
        <f t="shared" si="2"/>
        <v>696.68466311278485</v>
      </c>
      <c r="L45" s="307">
        <f t="shared" si="5"/>
        <v>718.35065066046036</v>
      </c>
      <c r="M45" s="307">
        <f t="shared" si="6"/>
        <v>733.93051539470969</v>
      </c>
      <c r="N45" s="307">
        <f t="shared" si="7"/>
        <v>744.68868775313626</v>
      </c>
    </row>
    <row r="46" spans="2:14">
      <c r="B46" s="363" t="str">
        <f t="shared" si="4"/>
        <v>35-39</v>
      </c>
      <c r="C46" s="307">
        <f t="shared" si="4"/>
        <v>637.37078431356895</v>
      </c>
      <c r="D46" s="307">
        <f t="shared" si="2"/>
        <v>648.25517466880285</v>
      </c>
      <c r="E46" s="307">
        <f t="shared" si="2"/>
        <v>654.97813151641606</v>
      </c>
      <c r="F46" s="307">
        <f t="shared" si="2"/>
        <v>645.3402058139751</v>
      </c>
      <c r="G46" s="307">
        <f t="shared" si="2"/>
        <v>635.47973056581088</v>
      </c>
      <c r="H46" s="307">
        <f t="shared" si="2"/>
        <v>636.12356463807032</v>
      </c>
      <c r="I46" s="307">
        <f t="shared" si="2"/>
        <v>641.98699072740249</v>
      </c>
      <c r="J46" s="307">
        <f t="shared" si="2"/>
        <v>649.87799932146277</v>
      </c>
      <c r="K46" s="307">
        <f t="shared" si="2"/>
        <v>661.30676042788809</v>
      </c>
      <c r="L46" s="307">
        <f t="shared" si="5"/>
        <v>671.92546952164184</v>
      </c>
      <c r="M46" s="307">
        <f t="shared" si="6"/>
        <v>681.09559265675466</v>
      </c>
      <c r="N46" s="307">
        <f t="shared" si="7"/>
        <v>689.49479432854832</v>
      </c>
    </row>
    <row r="47" spans="2:14">
      <c r="B47" s="363" t="str">
        <f t="shared" si="4"/>
        <v>40-44</v>
      </c>
      <c r="C47" s="307">
        <f t="shared" si="4"/>
        <v>700.44078105284098</v>
      </c>
      <c r="D47" s="307">
        <f t="shared" si="2"/>
        <v>684.43942836387077</v>
      </c>
      <c r="E47" s="307">
        <f t="shared" si="2"/>
        <v>676.98477416266417</v>
      </c>
      <c r="F47" s="307">
        <f t="shared" si="2"/>
        <v>659.89200404770713</v>
      </c>
      <c r="G47" s="307">
        <f t="shared" si="2"/>
        <v>643.93043843265605</v>
      </c>
      <c r="H47" s="307">
        <f t="shared" si="2"/>
        <v>637.13916440865069</v>
      </c>
      <c r="I47" s="307">
        <f t="shared" si="2"/>
        <v>634.22890529081235</v>
      </c>
      <c r="J47" s="307">
        <f t="shared" si="2"/>
        <v>632.33026783987748</v>
      </c>
      <c r="K47" s="307">
        <f t="shared" si="2"/>
        <v>633.13671596411359</v>
      </c>
      <c r="L47" s="307">
        <f t="shared" si="5"/>
        <v>633.34169033164835</v>
      </c>
      <c r="M47" s="307">
        <f t="shared" si="6"/>
        <v>632.99125751586939</v>
      </c>
      <c r="N47" s="307">
        <f t="shared" si="7"/>
        <v>633.22325324101234</v>
      </c>
    </row>
    <row r="48" spans="2:14">
      <c r="B48" s="363" t="str">
        <f t="shared" si="4"/>
        <v>45-49</v>
      </c>
      <c r="C48" s="307">
        <f t="shared" si="4"/>
        <v>737.58717253076429</v>
      </c>
      <c r="D48" s="307">
        <f t="shared" si="2"/>
        <v>708.4220747660811</v>
      </c>
      <c r="E48" s="307">
        <f t="shared" si="2"/>
        <v>685.91026790405624</v>
      </c>
      <c r="F48" s="307">
        <f t="shared" si="2"/>
        <v>657.76429084663289</v>
      </c>
      <c r="G48" s="307">
        <f t="shared" si="2"/>
        <v>632.71456121322854</v>
      </c>
      <c r="H48" s="307">
        <f t="shared" si="2"/>
        <v>616.81547609768734</v>
      </c>
      <c r="I48" s="307">
        <f t="shared" si="2"/>
        <v>605.45665133140494</v>
      </c>
      <c r="J48" s="307">
        <f t="shared" si="2"/>
        <v>595.89470522290048</v>
      </c>
      <c r="K48" s="307">
        <f t="shared" si="2"/>
        <v>589.0971857257739</v>
      </c>
      <c r="L48" s="307">
        <f t="shared" si="5"/>
        <v>582.23238218201698</v>
      </c>
      <c r="M48" s="307">
        <f t="shared" si="6"/>
        <v>575.24095714139389</v>
      </c>
      <c r="N48" s="307">
        <f t="shared" si="7"/>
        <v>569.06030067637971</v>
      </c>
    </row>
    <row r="49" spans="1:14">
      <c r="B49" s="363" t="str">
        <f t="shared" si="4"/>
        <v>50-54</v>
      </c>
      <c r="C49" s="307">
        <f t="shared" si="4"/>
        <v>741.14427430671253</v>
      </c>
      <c r="D49" s="307">
        <f t="shared" si="2"/>
        <v>685.49608232042704</v>
      </c>
      <c r="E49" s="307">
        <f t="shared" si="2"/>
        <v>642.07551461780645</v>
      </c>
      <c r="F49" s="307">
        <f t="shared" si="2"/>
        <v>599.68936437559842</v>
      </c>
      <c r="G49" s="307">
        <f t="shared" si="2"/>
        <v>563.63749214400161</v>
      </c>
      <c r="H49" s="307">
        <f t="shared" si="2"/>
        <v>537.52122915936206</v>
      </c>
      <c r="I49" s="307">
        <f t="shared" si="2"/>
        <v>517.26432090928438</v>
      </c>
      <c r="J49" s="307">
        <f t="shared" si="2"/>
        <v>500.33345052735211</v>
      </c>
      <c r="K49" s="307">
        <f t="shared" si="2"/>
        <v>487.00893931555919</v>
      </c>
      <c r="L49" s="307">
        <f t="shared" si="5"/>
        <v>474.84151196741095</v>
      </c>
      <c r="M49" s="307">
        <f t="shared" si="6"/>
        <v>463.51094316479197</v>
      </c>
      <c r="N49" s="307">
        <f t="shared" si="7"/>
        <v>453.49009042189869</v>
      </c>
    </row>
    <row r="50" spans="1:14">
      <c r="B50" s="363" t="str">
        <f t="shared" si="4"/>
        <v>55-59</v>
      </c>
      <c r="C50" s="307">
        <f t="shared" si="4"/>
        <v>572.55226286901222</v>
      </c>
      <c r="D50" s="307">
        <f t="shared" si="2"/>
        <v>466.81868281254646</v>
      </c>
      <c r="E50" s="307">
        <f t="shared" si="2"/>
        <v>396.90114183129157</v>
      </c>
      <c r="F50" s="307">
        <f t="shared" si="2"/>
        <v>343.9796906410694</v>
      </c>
      <c r="G50" s="307">
        <f t="shared" si="2"/>
        <v>305.7736667795366</v>
      </c>
      <c r="H50" s="307">
        <f t="shared" si="2"/>
        <v>280.54036431599201</v>
      </c>
      <c r="I50" s="307">
        <f t="shared" si="2"/>
        <v>262.52521076723156</v>
      </c>
      <c r="J50" s="307">
        <f t="shared" si="2"/>
        <v>248.52643822413347</v>
      </c>
      <c r="K50" s="307">
        <f t="shared" si="2"/>
        <v>238.02407765726292</v>
      </c>
      <c r="L50" s="307">
        <f t="shared" si="5"/>
        <v>228.83086671960544</v>
      </c>
      <c r="M50" s="307">
        <f t="shared" si="6"/>
        <v>220.60135305444584</v>
      </c>
      <c r="N50" s="307">
        <f t="shared" si="7"/>
        <v>213.56788077553674</v>
      </c>
    </row>
    <row r="51" spans="1:14">
      <c r="B51" s="363" t="str">
        <f t="shared" si="4"/>
        <v>60-64</v>
      </c>
      <c r="C51" s="307">
        <f t="shared" si="4"/>
        <v>148.6015798757947</v>
      </c>
      <c r="D51" s="307">
        <f t="shared" si="2"/>
        <v>149.2829000350481</v>
      </c>
      <c r="E51" s="307">
        <f t="shared" si="2"/>
        <v>137.34793084580076</v>
      </c>
      <c r="F51" s="307">
        <f t="shared" si="2"/>
        <v>120.69608960425987</v>
      </c>
      <c r="G51" s="307">
        <f t="shared" si="2"/>
        <v>106.01883847769972</v>
      </c>
      <c r="H51" s="307">
        <f t="shared" si="2"/>
        <v>95.688775789965817</v>
      </c>
      <c r="I51" s="307">
        <f t="shared" si="2"/>
        <v>88.06610897115047</v>
      </c>
      <c r="J51" s="307">
        <f t="shared" si="2"/>
        <v>82.064930254206928</v>
      </c>
      <c r="K51" s="307">
        <f t="shared" si="2"/>
        <v>77.634222187221752</v>
      </c>
      <c r="L51" s="307">
        <f t="shared" si="5"/>
        <v>73.746515220976477</v>
      </c>
      <c r="M51" s="307">
        <f t="shared" si="6"/>
        <v>70.286247249809207</v>
      </c>
      <c r="N51" s="307">
        <f t="shared" si="7"/>
        <v>67.393289607976271</v>
      </c>
    </row>
    <row r="52" spans="1:14">
      <c r="B52" s="363" t="str">
        <f t="shared" si="4"/>
        <v>65 plus</v>
      </c>
      <c r="C52" s="307">
        <f t="shared" si="4"/>
        <v>24.535394748337943</v>
      </c>
      <c r="D52" s="307">
        <f t="shared" si="2"/>
        <v>31.350491268000845</v>
      </c>
      <c r="E52" s="307">
        <f t="shared" si="2"/>
        <v>35.203625836913858</v>
      </c>
      <c r="F52" s="307">
        <f t="shared" si="2"/>
        <v>35.368654629273585</v>
      </c>
      <c r="G52" s="307">
        <f t="shared" si="2"/>
        <v>33.596684227224138</v>
      </c>
      <c r="H52" s="307">
        <f t="shared" si="2"/>
        <v>31.40336989900868</v>
      </c>
      <c r="I52" s="307">
        <f t="shared" si="2"/>
        <v>29.212873960881382</v>
      </c>
      <c r="J52" s="307">
        <f t="shared" si="2"/>
        <v>27.176448741777218</v>
      </c>
      <c r="K52" s="307">
        <f t="shared" si="2"/>
        <v>25.47376350072949</v>
      </c>
      <c r="L52" s="307">
        <f t="shared" si="5"/>
        <v>23.960053351573123</v>
      </c>
      <c r="M52" s="307">
        <f t="shared" si="6"/>
        <v>22.608311653784291</v>
      </c>
      <c r="N52" s="307">
        <f t="shared" si="7"/>
        <v>21.451082109781847</v>
      </c>
    </row>
    <row r="53" spans="1:14">
      <c r="B53" s="363" t="str">
        <f t="shared" si="4"/>
        <v>Total</v>
      </c>
      <c r="C53" s="307">
        <f t="shared" si="4"/>
        <v>4607.1484116550373</v>
      </c>
      <c r="D53" s="307">
        <f t="shared" si="2"/>
        <v>4586.7669837435069</v>
      </c>
      <c r="E53" s="307">
        <f t="shared" si="2"/>
        <v>4616.7933734717608</v>
      </c>
      <c r="F53" s="307">
        <f t="shared" si="2"/>
        <v>4506.2588984803378</v>
      </c>
      <c r="G53" s="307">
        <f t="shared" si="2"/>
        <v>4404.9004509613906</v>
      </c>
      <c r="H53" s="307">
        <f t="shared" si="2"/>
        <v>4410.8175670163409</v>
      </c>
      <c r="I53" s="307">
        <f t="shared" si="2"/>
        <v>4451.4368853133201</v>
      </c>
      <c r="J53" s="307">
        <f t="shared" si="2"/>
        <v>4486.9292058936708</v>
      </c>
      <c r="K53" s="307">
        <f t="shared" si="2"/>
        <v>4535.5536116753565</v>
      </c>
      <c r="L53" s="307">
        <f t="shared" si="5"/>
        <v>4555.0544257727752</v>
      </c>
      <c r="M53" s="307">
        <f t="shared" si="6"/>
        <v>4547.8781623250179</v>
      </c>
      <c r="N53" s="307">
        <f t="shared" si="7"/>
        <v>4531.1600824798552</v>
      </c>
    </row>
    <row r="54" spans="1:14">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4">
      <c r="B56" s="341" t="s">
        <v>50</v>
      </c>
      <c r="H56" s="325"/>
    </row>
    <row r="57" spans="1:14">
      <c r="H57" s="325"/>
    </row>
    <row r="58" spans="1:14">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4">
      <c r="B59" s="338" t="str">
        <f t="shared" si="9"/>
        <v>20-24</v>
      </c>
      <c r="C59" s="307">
        <f t="shared" ref="C59:C69" si="11">D21</f>
        <v>175.18375941079947</v>
      </c>
      <c r="D59" s="307">
        <f>C356</f>
        <v>304.64213255330026</v>
      </c>
      <c r="E59" s="307">
        <f t="shared" ref="E59:L59" si="12">D356</f>
        <v>406.63315440298072</v>
      </c>
      <c r="F59" s="307">
        <f t="shared" si="12"/>
        <v>428.4315572611294</v>
      </c>
      <c r="G59" s="307">
        <f t="shared" si="12"/>
        <v>438.16872690939994</v>
      </c>
      <c r="H59" s="307">
        <f t="shared" si="12"/>
        <v>472.62903245578354</v>
      </c>
      <c r="I59" s="307">
        <f t="shared" si="12"/>
        <v>505.25504477234279</v>
      </c>
      <c r="J59" s="307">
        <f t="shared" si="12"/>
        <v>525.24701095589705</v>
      </c>
      <c r="K59" s="307">
        <f t="shared" si="12"/>
        <v>542.5006371659689</v>
      </c>
      <c r="L59" s="307">
        <f t="shared" si="12"/>
        <v>544.77890779126892</v>
      </c>
      <c r="M59" s="307">
        <f>L356</f>
        <v>536.54274038894255</v>
      </c>
      <c r="N59" s="307">
        <f>M356</f>
        <v>525.84108294699342</v>
      </c>
    </row>
    <row r="60" spans="1:14">
      <c r="B60" s="338" t="str">
        <f t="shared" si="9"/>
        <v>25-29</v>
      </c>
      <c r="C60" s="307">
        <f t="shared" si="11"/>
        <v>827.10122836466951</v>
      </c>
      <c r="D60" s="307">
        <f t="shared" ref="D60:L69" si="13">C357</f>
        <v>818.53563977645058</v>
      </c>
      <c r="E60" s="307">
        <f t="shared" si="13"/>
        <v>845.79080542949737</v>
      </c>
      <c r="F60" s="307">
        <f t="shared" si="13"/>
        <v>831.42630435715296</v>
      </c>
      <c r="G60" s="307">
        <f t="shared" si="13"/>
        <v>818.93782980258516</v>
      </c>
      <c r="H60" s="307">
        <f t="shared" si="13"/>
        <v>840.08155135844595</v>
      </c>
      <c r="I60" s="307">
        <f t="shared" si="13"/>
        <v>870.01876699257605</v>
      </c>
      <c r="J60" s="307">
        <f t="shared" si="13"/>
        <v>894.30155493472091</v>
      </c>
      <c r="K60" s="307">
        <f t="shared" si="13"/>
        <v>918.66908136737402</v>
      </c>
      <c r="L60" s="307">
        <f t="shared" si="13"/>
        <v>929.13647963982555</v>
      </c>
      <c r="M60" s="307">
        <f t="shared" ref="M60:M69" si="14">L357</f>
        <v>926.95900954245019</v>
      </c>
      <c r="N60" s="307">
        <f t="shared" ref="N60:N69" si="15">M357</f>
        <v>918.89090044755221</v>
      </c>
    </row>
    <row r="61" spans="1:14">
      <c r="B61" s="338" t="str">
        <f t="shared" si="9"/>
        <v>30-34</v>
      </c>
      <c r="C61" s="307">
        <f t="shared" si="11"/>
        <v>1029.456681363944</v>
      </c>
      <c r="D61" s="307">
        <f t="shared" si="13"/>
        <v>995.18991379622867</v>
      </c>
      <c r="E61" s="307">
        <f t="shared" si="13"/>
        <v>973.54271738752993</v>
      </c>
      <c r="F61" s="307">
        <f t="shared" si="13"/>
        <v>936.55051603425511</v>
      </c>
      <c r="G61" s="307">
        <f t="shared" si="13"/>
        <v>903.92353892349502</v>
      </c>
      <c r="H61" s="307">
        <f t="shared" si="13"/>
        <v>891.93402600860077</v>
      </c>
      <c r="I61" s="307">
        <f t="shared" si="13"/>
        <v>891.16552782684369</v>
      </c>
      <c r="J61" s="307">
        <f t="shared" si="13"/>
        <v>894.38566960613548</v>
      </c>
      <c r="K61" s="307">
        <f t="shared" si="13"/>
        <v>902.70736822550646</v>
      </c>
      <c r="L61" s="307">
        <f t="shared" si="13"/>
        <v>908.0869449876335</v>
      </c>
      <c r="M61" s="307">
        <f t="shared" si="14"/>
        <v>908.86598471569243</v>
      </c>
      <c r="N61" s="307">
        <f t="shared" si="15"/>
        <v>906.56028046584208</v>
      </c>
    </row>
    <row r="62" spans="1:14">
      <c r="B62" s="338" t="str">
        <f t="shared" si="9"/>
        <v>35-39</v>
      </c>
      <c r="C62" s="307">
        <f t="shared" si="11"/>
        <v>864.02742783620329</v>
      </c>
      <c r="D62" s="307">
        <f t="shared" si="13"/>
        <v>891.08898034543347</v>
      </c>
      <c r="E62" s="307">
        <f t="shared" si="13"/>
        <v>908.2329210493906</v>
      </c>
      <c r="F62" s="307">
        <f t="shared" si="13"/>
        <v>898.17546042483002</v>
      </c>
      <c r="G62" s="307">
        <f t="shared" si="13"/>
        <v>881.8369532989575</v>
      </c>
      <c r="H62" s="307">
        <f t="shared" si="13"/>
        <v>873.90280316655571</v>
      </c>
      <c r="I62" s="307">
        <f t="shared" si="13"/>
        <v>868.80826138729435</v>
      </c>
      <c r="J62" s="307">
        <f t="shared" si="13"/>
        <v>863.7138166906102</v>
      </c>
      <c r="K62" s="307">
        <f t="shared" si="13"/>
        <v>861.65455108391336</v>
      </c>
      <c r="L62" s="307">
        <f t="shared" si="13"/>
        <v>857.99135644620708</v>
      </c>
      <c r="M62" s="307">
        <f t="shared" si="14"/>
        <v>852.66857579366513</v>
      </c>
      <c r="N62" s="307">
        <f t="shared" si="15"/>
        <v>847.12503305971347</v>
      </c>
    </row>
    <row r="63" spans="1:14">
      <c r="B63" s="338" t="str">
        <f t="shared" si="9"/>
        <v>40-44</v>
      </c>
      <c r="C63" s="307">
        <f t="shared" si="11"/>
        <v>828.29627043571111</v>
      </c>
      <c r="D63" s="307">
        <f t="shared" si="13"/>
        <v>828.38284992909553</v>
      </c>
      <c r="E63" s="307">
        <f t="shared" si="13"/>
        <v>836.51307335570687</v>
      </c>
      <c r="F63" s="307">
        <f t="shared" si="13"/>
        <v>829.44238869765502</v>
      </c>
      <c r="G63" s="307">
        <f t="shared" si="13"/>
        <v>820.51207464344066</v>
      </c>
      <c r="H63" s="307">
        <f t="shared" si="13"/>
        <v>819.66901410036974</v>
      </c>
      <c r="I63" s="307">
        <f t="shared" si="13"/>
        <v>820.14449515907165</v>
      </c>
      <c r="J63" s="307">
        <f t="shared" si="13"/>
        <v>818.5089106955005</v>
      </c>
      <c r="K63" s="307">
        <f t="shared" si="13"/>
        <v>817.31395685210987</v>
      </c>
      <c r="L63" s="307">
        <f t="shared" si="13"/>
        <v>812.85522237037799</v>
      </c>
      <c r="M63" s="307">
        <f t="shared" si="14"/>
        <v>805.7441814565658</v>
      </c>
      <c r="N63" s="307">
        <f t="shared" si="15"/>
        <v>797.97282857493713</v>
      </c>
    </row>
    <row r="64" spans="1:14">
      <c r="B64" s="338" t="str">
        <f t="shared" si="9"/>
        <v>45-49</v>
      </c>
      <c r="C64" s="307">
        <f t="shared" si="11"/>
        <v>799.55420749257576</v>
      </c>
      <c r="D64" s="307">
        <f t="shared" si="13"/>
        <v>785.64830255276786</v>
      </c>
      <c r="E64" s="307">
        <f t="shared" si="13"/>
        <v>777.88378486542808</v>
      </c>
      <c r="F64" s="307">
        <f t="shared" si="13"/>
        <v>760.7473950800827</v>
      </c>
      <c r="G64" s="307">
        <f t="shared" si="13"/>
        <v>745.37464172121292</v>
      </c>
      <c r="H64" s="307">
        <f t="shared" si="13"/>
        <v>739.40752251626031</v>
      </c>
      <c r="I64" s="307">
        <f t="shared" si="13"/>
        <v>736.90468677990862</v>
      </c>
      <c r="J64" s="307">
        <f t="shared" si="13"/>
        <v>734.31943293945403</v>
      </c>
      <c r="K64" s="307">
        <f t="shared" si="13"/>
        <v>732.87662441076282</v>
      </c>
      <c r="L64" s="307">
        <f t="shared" si="13"/>
        <v>729.05283432667693</v>
      </c>
      <c r="M64" s="307">
        <f t="shared" si="14"/>
        <v>722.92143313790245</v>
      </c>
      <c r="N64" s="307">
        <f t="shared" si="15"/>
        <v>715.88275680953529</v>
      </c>
    </row>
    <row r="65" spans="1:14">
      <c r="B65" s="338" t="str">
        <f t="shared" si="9"/>
        <v>50-54</v>
      </c>
      <c r="C65" s="307">
        <f t="shared" si="11"/>
        <v>674.47313739021433</v>
      </c>
      <c r="D65" s="307">
        <f t="shared" si="13"/>
        <v>654.17334376457325</v>
      </c>
      <c r="E65" s="307">
        <f t="shared" si="13"/>
        <v>639.07829369153205</v>
      </c>
      <c r="F65" s="307">
        <f t="shared" si="13"/>
        <v>617.52866550062674</v>
      </c>
      <c r="G65" s="307">
        <f t="shared" si="13"/>
        <v>598.10685973068621</v>
      </c>
      <c r="H65" s="307">
        <f t="shared" si="13"/>
        <v>586.6910241312961</v>
      </c>
      <c r="I65" s="307">
        <f t="shared" si="13"/>
        <v>579.01766470169105</v>
      </c>
      <c r="J65" s="307">
        <f t="shared" si="13"/>
        <v>572.51583944082665</v>
      </c>
      <c r="K65" s="307">
        <f t="shared" si="13"/>
        <v>567.99515423545211</v>
      </c>
      <c r="L65" s="307">
        <f t="shared" si="13"/>
        <v>562.66853121798977</v>
      </c>
      <c r="M65" s="307">
        <f t="shared" si="14"/>
        <v>556.3783164349278</v>
      </c>
      <c r="N65" s="307">
        <f t="shared" si="15"/>
        <v>549.9283029508822</v>
      </c>
    </row>
    <row r="66" spans="1:14">
      <c r="B66" s="338" t="str">
        <f t="shared" si="9"/>
        <v>55-59</v>
      </c>
      <c r="C66" s="307">
        <f t="shared" si="11"/>
        <v>508.02499539654355</v>
      </c>
      <c r="D66" s="307">
        <f t="shared" si="13"/>
        <v>427.76908285395012</v>
      </c>
      <c r="E66" s="307">
        <f t="shared" si="13"/>
        <v>377.90183851213982</v>
      </c>
      <c r="F66" s="307">
        <f t="shared" si="13"/>
        <v>339.35331036778882</v>
      </c>
      <c r="G66" s="307">
        <f t="shared" si="13"/>
        <v>312.31642336754106</v>
      </c>
      <c r="H66" s="307">
        <f t="shared" si="13"/>
        <v>296.69841914564631</v>
      </c>
      <c r="I66" s="307">
        <f t="shared" si="13"/>
        <v>286.65562909466598</v>
      </c>
      <c r="J66" s="307">
        <f t="shared" si="13"/>
        <v>279.08034605578388</v>
      </c>
      <c r="K66" s="307">
        <f t="shared" si="13"/>
        <v>273.95001807702567</v>
      </c>
      <c r="L66" s="307">
        <f t="shared" si="13"/>
        <v>268.93539496120121</v>
      </c>
      <c r="M66" s="307">
        <f t="shared" si="14"/>
        <v>263.89074765293316</v>
      </c>
      <c r="N66" s="307">
        <f t="shared" si="15"/>
        <v>259.31982540089933</v>
      </c>
    </row>
    <row r="67" spans="1:14">
      <c r="B67" s="338" t="str">
        <f t="shared" si="9"/>
        <v>60-64</v>
      </c>
      <c r="C67" s="307">
        <f t="shared" si="11"/>
        <v>123.98811705246406</v>
      </c>
      <c r="D67" s="307">
        <f t="shared" si="13"/>
        <v>126.24534468869184</v>
      </c>
      <c r="E67" s="307">
        <f t="shared" si="13"/>
        <v>118.67264306917004</v>
      </c>
      <c r="F67" s="307">
        <f t="shared" si="13"/>
        <v>106.3294201709043</v>
      </c>
      <c r="G67" s="307">
        <f t="shared" si="13"/>
        <v>95.887023247464086</v>
      </c>
      <c r="H67" s="307">
        <f t="shared" si="13"/>
        <v>89.69715319892174</v>
      </c>
      <c r="I67" s="307">
        <f t="shared" si="13"/>
        <v>85.563784616359371</v>
      </c>
      <c r="J67" s="307">
        <f t="shared" si="13"/>
        <v>82.312994986214889</v>
      </c>
      <c r="K67" s="307">
        <f t="shared" si="13"/>
        <v>80.137964344513904</v>
      </c>
      <c r="L67" s="307">
        <f t="shared" si="13"/>
        <v>77.931762424566486</v>
      </c>
      <c r="M67" s="307">
        <f t="shared" si="14"/>
        <v>75.734971774666263</v>
      </c>
      <c r="N67" s="307">
        <f t="shared" si="15"/>
        <v>73.850358887441089</v>
      </c>
    </row>
    <row r="68" spans="1:14">
      <c r="B68" s="338" t="str">
        <f t="shared" si="9"/>
        <v>65 plus</v>
      </c>
      <c r="C68" s="307">
        <f t="shared" si="11"/>
        <v>15.125189093452027</v>
      </c>
      <c r="D68" s="307">
        <f t="shared" si="13"/>
        <v>22.632246775619532</v>
      </c>
      <c r="E68" s="307">
        <f t="shared" si="13"/>
        <v>26.737989630785378</v>
      </c>
      <c r="F68" s="307">
        <f t="shared" si="13"/>
        <v>27.235944892374398</v>
      </c>
      <c r="G68" s="307">
        <f t="shared" si="13"/>
        <v>26.166132399579958</v>
      </c>
      <c r="H68" s="307">
        <f t="shared" si="13"/>
        <v>25.022700220072764</v>
      </c>
      <c r="I68" s="307">
        <f t="shared" si="13"/>
        <v>23.963555506444088</v>
      </c>
      <c r="J68" s="307">
        <f t="shared" si="13"/>
        <v>22.975169881859294</v>
      </c>
      <c r="K68" s="307">
        <f t="shared" si="13"/>
        <v>22.207002115635031</v>
      </c>
      <c r="L68" s="307">
        <f t="shared" si="13"/>
        <v>21.453354768817761</v>
      </c>
      <c r="M68" s="307">
        <f t="shared" si="14"/>
        <v>20.706445349112393</v>
      </c>
      <c r="N68" s="307">
        <f t="shared" si="15"/>
        <v>20.041898390105807</v>
      </c>
    </row>
    <row r="69" spans="1:14">
      <c r="B69" s="338" t="str">
        <f t="shared" si="9"/>
        <v>Total</v>
      </c>
      <c r="C69" s="307">
        <f t="shared" si="11"/>
        <v>5845.2310138365765</v>
      </c>
      <c r="D69" s="307">
        <f t="shared" si="13"/>
        <v>5854.3078370361118</v>
      </c>
      <c r="E69" s="307">
        <f t="shared" si="13"/>
        <v>5910.9872213941617</v>
      </c>
      <c r="F69" s="307">
        <f t="shared" si="13"/>
        <v>5775.2209627867996</v>
      </c>
      <c r="G69" s="307">
        <f t="shared" si="13"/>
        <v>5641.2302040443619</v>
      </c>
      <c r="H69" s="307">
        <f t="shared" si="13"/>
        <v>5635.7332463019529</v>
      </c>
      <c r="I69" s="307">
        <f t="shared" si="13"/>
        <v>5667.4974168371982</v>
      </c>
      <c r="J69" s="307">
        <f t="shared" si="13"/>
        <v>5687.3607461870024</v>
      </c>
      <c r="K69" s="307">
        <f t="shared" si="13"/>
        <v>5720.0123578782623</v>
      </c>
      <c r="L69" s="307">
        <f t="shared" si="13"/>
        <v>5712.8907889345664</v>
      </c>
      <c r="M69" s="307">
        <f t="shared" si="14"/>
        <v>5670.4124062468582</v>
      </c>
      <c r="N69" s="307">
        <f t="shared" si="15"/>
        <v>5615.4132679339018</v>
      </c>
    </row>
    <row r="70" spans="1:14">
      <c r="A70" s="309">
        <f>SUM(C70:N70)</f>
        <v>0</v>
      </c>
      <c r="C70" s="309">
        <f>SUM(C59:C68)-C69</f>
        <v>0</v>
      </c>
      <c r="D70" s="309">
        <f t="shared" ref="D70:N70" si="16">SUM(D59:D68)-D69</f>
        <v>0</v>
      </c>
      <c r="E70" s="309">
        <f t="shared" si="16"/>
        <v>0</v>
      </c>
      <c r="F70" s="309">
        <f t="shared" si="16"/>
        <v>0</v>
      </c>
      <c r="G70" s="309">
        <f t="shared" si="16"/>
        <v>0</v>
      </c>
      <c r="H70" s="309">
        <f t="shared" si="16"/>
        <v>0</v>
      </c>
      <c r="I70" s="309">
        <f t="shared" si="16"/>
        <v>0</v>
      </c>
      <c r="J70" s="309">
        <f t="shared" si="16"/>
        <v>0</v>
      </c>
      <c r="K70" s="309">
        <f t="shared" si="16"/>
        <v>0</v>
      </c>
      <c r="L70" s="309">
        <f t="shared" si="16"/>
        <v>0</v>
      </c>
      <c r="M70" s="309">
        <f t="shared" si="16"/>
        <v>0</v>
      </c>
      <c r="N70" s="309">
        <f t="shared" si="16"/>
        <v>0</v>
      </c>
    </row>
    <row r="72" spans="1:14" ht="15.75">
      <c r="B72" s="340" t="s">
        <v>150</v>
      </c>
      <c r="H72" s="325"/>
    </row>
    <row r="73" spans="1:14">
      <c r="H73" s="325"/>
    </row>
    <row r="74" spans="1:14">
      <c r="B74" s="341" t="s">
        <v>49</v>
      </c>
      <c r="C74" s="262" t="s">
        <v>453</v>
      </c>
      <c r="H74" s="325"/>
    </row>
    <row r="75" spans="1:14">
      <c r="H75" s="325"/>
    </row>
    <row r="76" spans="1:14">
      <c r="B76" s="338" t="str">
        <f t="shared" ref="B76:B87" si="17">B42</f>
        <v>Age group</v>
      </c>
      <c r="C76" s="338" t="str">
        <f t="shared" ref="C76:N76" si="18">C42</f>
        <v>2016/17</v>
      </c>
      <c r="D76" s="338" t="str">
        <f t="shared" si="18"/>
        <v>2017/18</v>
      </c>
      <c r="E76" s="338" t="str">
        <f t="shared" si="18"/>
        <v>2018/19</v>
      </c>
      <c r="F76" s="338" t="str">
        <f t="shared" si="18"/>
        <v>2019/20</v>
      </c>
      <c r="G76" s="338" t="str">
        <f t="shared" si="18"/>
        <v>2020/21</v>
      </c>
      <c r="H76" s="338" t="str">
        <f t="shared" si="18"/>
        <v>2021/22</v>
      </c>
      <c r="I76" s="338" t="str">
        <f t="shared" si="18"/>
        <v>2022/23</v>
      </c>
      <c r="J76" s="338" t="str">
        <f t="shared" si="18"/>
        <v>2023/24</v>
      </c>
      <c r="K76" s="338" t="str">
        <f t="shared" si="18"/>
        <v>2024/25</v>
      </c>
      <c r="L76" s="338" t="str">
        <f t="shared" si="18"/>
        <v>2025/26</v>
      </c>
      <c r="M76" s="338" t="str">
        <f t="shared" si="18"/>
        <v>2026/27</v>
      </c>
      <c r="N76" s="338" t="str">
        <f t="shared" si="18"/>
        <v>2027/28</v>
      </c>
    </row>
    <row r="77" spans="1:14">
      <c r="B77" s="338" t="str">
        <f t="shared" si="17"/>
        <v>20-24</v>
      </c>
      <c r="C77" s="459">
        <f>C43-(0.2*C43)</f>
        <v>61.758653253946441</v>
      </c>
      <c r="D77" s="459">
        <f>D43-(0.2*D43)</f>
        <v>157.32233664375946</v>
      </c>
      <c r="E77" s="459">
        <f t="shared" ref="E77:N77" si="19">E43-(0.2*E43)</f>
        <v>231.53392223978989</v>
      </c>
      <c r="F77" s="459">
        <f t="shared" si="19"/>
        <v>252.31189600123668</v>
      </c>
      <c r="G77" s="459">
        <f t="shared" si="19"/>
        <v>263.46045403556616</v>
      </c>
      <c r="H77" s="459">
        <f t="shared" si="19"/>
        <v>288.75811590547636</v>
      </c>
      <c r="I77" s="459">
        <f t="shared" si="19"/>
        <v>311.8660124060998</v>
      </c>
      <c r="J77" s="459">
        <f t="shared" si="19"/>
        <v>326.27134651811923</v>
      </c>
      <c r="K77" s="459">
        <f t="shared" si="19"/>
        <v>338.42841350712195</v>
      </c>
      <c r="L77" s="459">
        <f t="shared" si="19"/>
        <v>340.77155996559065</v>
      </c>
      <c r="M77" s="459">
        <f t="shared" si="19"/>
        <v>336.22402289069225</v>
      </c>
      <c r="N77" s="459">
        <f t="shared" si="19"/>
        <v>329.93864024728333</v>
      </c>
    </row>
    <row r="78" spans="1:14">
      <c r="B78" s="338" t="str">
        <f t="shared" si="17"/>
        <v>25-29</v>
      </c>
      <c r="C78" s="459">
        <f t="shared" ref="C78:C85" si="20">C44+(0.2*C43)-(0.2*C44)</f>
        <v>283.74082065548129</v>
      </c>
      <c r="D78" s="459">
        <f t="shared" ref="D78:N78" si="21">D44+(0.2*D43)-(0.2*D44)</f>
        <v>364.31986134231852</v>
      </c>
      <c r="E78" s="459">
        <f t="shared" si="21"/>
        <v>448.18243989307177</v>
      </c>
      <c r="F78" s="459">
        <f t="shared" si="21"/>
        <v>481.58373128296273</v>
      </c>
      <c r="G78" s="459">
        <f t="shared" si="21"/>
        <v>505.04815946104026</v>
      </c>
      <c r="H78" s="459">
        <f t="shared" si="21"/>
        <v>546.4995232746104</v>
      </c>
      <c r="I78" s="459">
        <f t="shared" si="21"/>
        <v>587.88449219650408</v>
      </c>
      <c r="J78" s="459">
        <f t="shared" si="21"/>
        <v>619.6612420942954</v>
      </c>
      <c r="K78" s="459">
        <f t="shared" si="21"/>
        <v>647.92851689687632</v>
      </c>
      <c r="L78" s="459">
        <f t="shared" si="21"/>
        <v>662.68155867976088</v>
      </c>
      <c r="M78" s="459">
        <f t="shared" si="21"/>
        <v>665.92237042674822</v>
      </c>
      <c r="N78" s="459">
        <f t="shared" si="21"/>
        <v>663.57858266700589</v>
      </c>
    </row>
    <row r="79" spans="1:14">
      <c r="B79" s="338" t="str">
        <f t="shared" si="17"/>
        <v>30-34</v>
      </c>
      <c r="C79" s="459">
        <f t="shared" si="20"/>
        <v>572.94840830596206</v>
      </c>
      <c r="D79" s="459">
        <f t="shared" ref="D79:N79" si="22">D45+(0.2*D44)-(0.2*D45)</f>
        <v>569.09742507718977</v>
      </c>
      <c r="E79" s="459">
        <f t="shared" si="22"/>
        <v>585.65544766581718</v>
      </c>
      <c r="F79" s="459">
        <f t="shared" si="22"/>
        <v>588.63166485422994</v>
      </c>
      <c r="G79" s="459">
        <f t="shared" si="22"/>
        <v>594.15149279730997</v>
      </c>
      <c r="H79" s="459">
        <f t="shared" si="22"/>
        <v>615.97788653692601</v>
      </c>
      <c r="I79" s="459">
        <f t="shared" si="22"/>
        <v>643.85215445678796</v>
      </c>
      <c r="J79" s="459">
        <f t="shared" si="22"/>
        <v>670.73857199287477</v>
      </c>
      <c r="K79" s="459">
        <f t="shared" si="22"/>
        <v>698.17808387025184</v>
      </c>
      <c r="L79" s="459">
        <f t="shared" si="22"/>
        <v>719.05268770045905</v>
      </c>
      <c r="M79" s="459">
        <f t="shared" si="22"/>
        <v>732.61100349178651</v>
      </c>
      <c r="N79" s="459">
        <f t="shared" si="22"/>
        <v>741.02443085380526</v>
      </c>
    </row>
    <row r="80" spans="1:14">
      <c r="B80" s="338" t="str">
        <f t="shared" si="17"/>
        <v>35-39</v>
      </c>
      <c r="C80" s="459">
        <f t="shared" si="20"/>
        <v>636.36490719347103</v>
      </c>
      <c r="D80" s="459">
        <f t="shared" ref="D80:N80" si="23">D46+(0.2*D45)-(0.2*D46)</f>
        <v>640.5666661805036</v>
      </c>
      <c r="E80" s="459">
        <f t="shared" si="23"/>
        <v>646.00268217126688</v>
      </c>
      <c r="F80" s="459">
        <f t="shared" si="23"/>
        <v>637.2734710345718</v>
      </c>
      <c r="G80" s="459">
        <f t="shared" si="23"/>
        <v>629.4727172799669</v>
      </c>
      <c r="H80" s="459">
        <f t="shared" si="23"/>
        <v>633.24894870104765</v>
      </c>
      <c r="I80" s="459">
        <f t="shared" si="23"/>
        <v>642.68275687768278</v>
      </c>
      <c r="J80" s="459">
        <f t="shared" si="23"/>
        <v>653.95620461384112</v>
      </c>
      <c r="K80" s="459">
        <f t="shared" si="23"/>
        <v>668.38234096486747</v>
      </c>
      <c r="L80" s="459">
        <f t="shared" si="23"/>
        <v>681.21050574940546</v>
      </c>
      <c r="M80" s="459">
        <f t="shared" si="23"/>
        <v>691.66257720434578</v>
      </c>
      <c r="N80" s="459">
        <f t="shared" si="23"/>
        <v>700.53357301346591</v>
      </c>
    </row>
    <row r="81" spans="1:14">
      <c r="B81" s="338" t="str">
        <f t="shared" si="17"/>
        <v>40-44</v>
      </c>
      <c r="C81" s="459">
        <f t="shared" si="20"/>
        <v>687.82678170498662</v>
      </c>
      <c r="D81" s="459">
        <f t="shared" ref="D81:N81" si="24">D47+(0.2*D46)-(0.2*D47)</f>
        <v>677.20257762485721</v>
      </c>
      <c r="E81" s="459">
        <f t="shared" si="24"/>
        <v>672.5834456334145</v>
      </c>
      <c r="F81" s="459">
        <f t="shared" si="24"/>
        <v>656.9816444009607</v>
      </c>
      <c r="G81" s="459">
        <f t="shared" si="24"/>
        <v>642.24029685928701</v>
      </c>
      <c r="H81" s="459">
        <f t="shared" si="24"/>
        <v>636.93604445453457</v>
      </c>
      <c r="I81" s="459">
        <f t="shared" si="24"/>
        <v>635.78052237813029</v>
      </c>
      <c r="J81" s="459">
        <f t="shared" si="24"/>
        <v>635.83981413619449</v>
      </c>
      <c r="K81" s="459">
        <f t="shared" si="24"/>
        <v>638.77072485686847</v>
      </c>
      <c r="L81" s="459">
        <f t="shared" si="24"/>
        <v>641.05844616964714</v>
      </c>
      <c r="M81" s="459">
        <f t="shared" si="24"/>
        <v>642.61212454404642</v>
      </c>
      <c r="N81" s="459">
        <f t="shared" si="24"/>
        <v>644.47756145851952</v>
      </c>
    </row>
    <row r="82" spans="1:14">
      <c r="B82" s="338" t="str">
        <f t="shared" si="17"/>
        <v>45-49</v>
      </c>
      <c r="C82" s="459">
        <f t="shared" si="20"/>
        <v>730.15789423517958</v>
      </c>
      <c r="D82" s="459">
        <f t="shared" ref="D82:N82" si="25">D48+(0.2*D47)-(0.2*D48)</f>
        <v>703.62554548563901</v>
      </c>
      <c r="E82" s="459">
        <f t="shared" si="25"/>
        <v>684.12516915577783</v>
      </c>
      <c r="F82" s="459">
        <f t="shared" si="25"/>
        <v>658.18983348684776</v>
      </c>
      <c r="G82" s="459">
        <f t="shared" si="25"/>
        <v>634.95773665711408</v>
      </c>
      <c r="H82" s="459">
        <f t="shared" si="25"/>
        <v>620.88021375988001</v>
      </c>
      <c r="I82" s="459">
        <f t="shared" si="25"/>
        <v>611.21110212328642</v>
      </c>
      <c r="J82" s="459">
        <f t="shared" si="25"/>
        <v>603.18181774629579</v>
      </c>
      <c r="K82" s="459">
        <f t="shared" si="25"/>
        <v>597.90509177344188</v>
      </c>
      <c r="L82" s="459">
        <f t="shared" si="25"/>
        <v>592.45424381194334</v>
      </c>
      <c r="M82" s="459">
        <f t="shared" si="25"/>
        <v>586.79101721628899</v>
      </c>
      <c r="N82" s="459">
        <f t="shared" si="25"/>
        <v>581.89289118930628</v>
      </c>
    </row>
    <row r="83" spans="1:14">
      <c r="B83" s="338" t="str">
        <f t="shared" si="17"/>
        <v>50-54</v>
      </c>
      <c r="C83" s="459">
        <f t="shared" si="20"/>
        <v>740.43285395152293</v>
      </c>
      <c r="D83" s="459">
        <f t="shared" ref="D83:N83" si="26">D49+(0.2*D48)-(0.2*D49)</f>
        <v>690.08128080955782</v>
      </c>
      <c r="E83" s="459">
        <f t="shared" si="26"/>
        <v>650.84246527505638</v>
      </c>
      <c r="F83" s="459">
        <f t="shared" si="26"/>
        <v>611.30434966980533</v>
      </c>
      <c r="G83" s="459">
        <f t="shared" si="26"/>
        <v>577.45290595784695</v>
      </c>
      <c r="H83" s="459">
        <f t="shared" si="26"/>
        <v>553.3800785470271</v>
      </c>
      <c r="I83" s="459">
        <f t="shared" si="26"/>
        <v>534.90278699370856</v>
      </c>
      <c r="J83" s="459">
        <f t="shared" si="26"/>
        <v>519.44570146646174</v>
      </c>
      <c r="K83" s="459">
        <f t="shared" si="26"/>
        <v>507.42658859760218</v>
      </c>
      <c r="L83" s="459">
        <f t="shared" si="26"/>
        <v>496.31968601033213</v>
      </c>
      <c r="M83" s="459">
        <f t="shared" si="26"/>
        <v>485.8569459601124</v>
      </c>
      <c r="N83" s="459">
        <f t="shared" si="26"/>
        <v>476.6041324727949</v>
      </c>
    </row>
    <row r="84" spans="1:14">
      <c r="B84" s="338" t="str">
        <f t="shared" si="17"/>
        <v>55-59</v>
      </c>
      <c r="C84" s="459">
        <f t="shared" si="20"/>
        <v>606.27066515655224</v>
      </c>
      <c r="D84" s="459">
        <f t="shared" ref="D84:N84" si="27">D50+(0.2*D49)-(0.2*D50)</f>
        <v>510.55416271412253</v>
      </c>
      <c r="E84" s="459">
        <f t="shared" si="27"/>
        <v>445.93601638859451</v>
      </c>
      <c r="F84" s="459">
        <f t="shared" si="27"/>
        <v>395.1216253879752</v>
      </c>
      <c r="G84" s="459">
        <f t="shared" si="27"/>
        <v>357.34643185242965</v>
      </c>
      <c r="H84" s="459">
        <f t="shared" si="27"/>
        <v>331.93653728466603</v>
      </c>
      <c r="I84" s="459">
        <f t="shared" si="27"/>
        <v>313.4730327956421</v>
      </c>
      <c r="J84" s="459">
        <f t="shared" si="27"/>
        <v>298.88784068477725</v>
      </c>
      <c r="K84" s="459">
        <f t="shared" si="27"/>
        <v>287.8210499889222</v>
      </c>
      <c r="L84" s="459">
        <f t="shared" si="27"/>
        <v>278.03299576916652</v>
      </c>
      <c r="M84" s="459">
        <f t="shared" si="27"/>
        <v>269.18327107651504</v>
      </c>
      <c r="N84" s="459">
        <f t="shared" si="27"/>
        <v>261.55232270480917</v>
      </c>
    </row>
    <row r="85" spans="1:14">
      <c r="B85" s="338" t="str">
        <f t="shared" si="17"/>
        <v>60-64</v>
      </c>
      <c r="C85" s="459">
        <f t="shared" si="20"/>
        <v>233.39171647443823</v>
      </c>
      <c r="D85" s="459">
        <f t="shared" ref="D85:N85" si="28">D51+(0.2*D50)-(0.2*D51)</f>
        <v>212.79005659054778</v>
      </c>
      <c r="E85" s="459">
        <f t="shared" si="28"/>
        <v>189.25857304289895</v>
      </c>
      <c r="F85" s="459">
        <f t="shared" si="28"/>
        <v>165.35280981162174</v>
      </c>
      <c r="G85" s="459">
        <f t="shared" si="28"/>
        <v>145.9698041380671</v>
      </c>
      <c r="H85" s="459">
        <f t="shared" si="28"/>
        <v>132.65909349517105</v>
      </c>
      <c r="I85" s="459">
        <f t="shared" si="28"/>
        <v>122.95792933036668</v>
      </c>
      <c r="J85" s="459">
        <f t="shared" si="28"/>
        <v>115.35723184819226</v>
      </c>
      <c r="K85" s="459">
        <f t="shared" si="28"/>
        <v>109.71219328122999</v>
      </c>
      <c r="L85" s="459">
        <f t="shared" si="28"/>
        <v>104.76338552070226</v>
      </c>
      <c r="M85" s="459">
        <f t="shared" si="28"/>
        <v>100.34926841073654</v>
      </c>
      <c r="N85" s="459">
        <f t="shared" si="28"/>
        <v>96.628207841488361</v>
      </c>
    </row>
    <row r="86" spans="1:14">
      <c r="B86" s="338" t="str">
        <f t="shared" si="17"/>
        <v>65 plus</v>
      </c>
      <c r="C86" s="459">
        <f>C52+(0.2*C51)</f>
        <v>54.255710723496883</v>
      </c>
      <c r="D86" s="459">
        <f t="shared" ref="D86:N86" si="29">D52+(0.2*D51)</f>
        <v>61.207071275010463</v>
      </c>
      <c r="E86" s="459">
        <f t="shared" si="29"/>
        <v>62.67321200607401</v>
      </c>
      <c r="F86" s="459">
        <f t="shared" si="29"/>
        <v>59.507872550125562</v>
      </c>
      <c r="G86" s="459">
        <f t="shared" si="29"/>
        <v>54.800451922764083</v>
      </c>
      <c r="H86" s="459">
        <f t="shared" si="29"/>
        <v>50.54112505700185</v>
      </c>
      <c r="I86" s="459">
        <f t="shared" si="29"/>
        <v>46.826095755111481</v>
      </c>
      <c r="J86" s="459">
        <f t="shared" si="29"/>
        <v>43.589434792618604</v>
      </c>
      <c r="K86" s="459">
        <f t="shared" si="29"/>
        <v>41.000607938173843</v>
      </c>
      <c r="L86" s="459">
        <f t="shared" si="29"/>
        <v>38.709356395768417</v>
      </c>
      <c r="M86" s="459">
        <f t="shared" si="29"/>
        <v>36.665561103746136</v>
      </c>
      <c r="N86" s="459">
        <f t="shared" si="29"/>
        <v>34.929740031377101</v>
      </c>
    </row>
    <row r="87" spans="1:14">
      <c r="B87" s="338" t="str">
        <f t="shared" si="17"/>
        <v>Total</v>
      </c>
      <c r="C87" s="459">
        <f>SUM(C77:C86)</f>
        <v>4607.1484116550373</v>
      </c>
      <c r="D87" s="459">
        <f t="shared" ref="D87:N87" si="30">SUM(D77:D86)</f>
        <v>4586.766983743506</v>
      </c>
      <c r="E87" s="459">
        <f t="shared" si="30"/>
        <v>4616.7933734717626</v>
      </c>
      <c r="F87" s="459">
        <f t="shared" si="30"/>
        <v>4506.2588984803378</v>
      </c>
      <c r="G87" s="459">
        <f t="shared" si="30"/>
        <v>4404.9004509613924</v>
      </c>
      <c r="H87" s="459">
        <f t="shared" si="30"/>
        <v>4410.8175670163409</v>
      </c>
      <c r="I87" s="459">
        <f t="shared" si="30"/>
        <v>4451.4368853133192</v>
      </c>
      <c r="J87" s="459">
        <f t="shared" si="30"/>
        <v>4486.9292058936708</v>
      </c>
      <c r="K87" s="459">
        <f t="shared" si="30"/>
        <v>4535.5536116753556</v>
      </c>
      <c r="L87" s="459">
        <f t="shared" si="30"/>
        <v>4555.0544257727761</v>
      </c>
      <c r="M87" s="459">
        <f t="shared" si="30"/>
        <v>4547.8781623250179</v>
      </c>
      <c r="N87" s="459">
        <f t="shared" si="30"/>
        <v>4531.1600824798561</v>
      </c>
    </row>
    <row r="88" spans="1:14">
      <c r="A88" s="309">
        <f>SUM(C88:N88)</f>
        <v>0</v>
      </c>
      <c r="C88" s="309">
        <f>SUM(C77:C86)-C87</f>
        <v>0</v>
      </c>
      <c r="D88" s="309">
        <f t="shared" ref="D88:N88" si="31">SUM(D77:D86)-D87</f>
        <v>0</v>
      </c>
      <c r="E88" s="309">
        <f t="shared" si="31"/>
        <v>0</v>
      </c>
      <c r="F88" s="309">
        <f t="shared" si="31"/>
        <v>0</v>
      </c>
      <c r="G88" s="309">
        <f t="shared" si="31"/>
        <v>0</v>
      </c>
      <c r="H88" s="309">
        <f t="shared" si="31"/>
        <v>0</v>
      </c>
      <c r="I88" s="309">
        <f t="shared" si="31"/>
        <v>0</v>
      </c>
      <c r="J88" s="309">
        <f t="shared" si="31"/>
        <v>0</v>
      </c>
      <c r="K88" s="309">
        <f t="shared" si="31"/>
        <v>0</v>
      </c>
      <c r="L88" s="309">
        <f t="shared" si="31"/>
        <v>0</v>
      </c>
      <c r="M88" s="309">
        <f t="shared" si="31"/>
        <v>0</v>
      </c>
      <c r="N88" s="309">
        <f t="shared" si="31"/>
        <v>0</v>
      </c>
    </row>
    <row r="90" spans="1:14">
      <c r="B90" s="341" t="s">
        <v>50</v>
      </c>
      <c r="H90" s="325"/>
    </row>
    <row r="91" spans="1:14">
      <c r="H91" s="325"/>
    </row>
    <row r="92" spans="1:14">
      <c r="B92" s="338" t="str">
        <f t="shared" ref="B92:B103" si="32">B76</f>
        <v>Age group</v>
      </c>
      <c r="C92" s="338" t="str">
        <f t="shared" ref="C92:N92" si="33">C76</f>
        <v>2016/17</v>
      </c>
      <c r="D92" s="338" t="str">
        <f t="shared" si="33"/>
        <v>2017/18</v>
      </c>
      <c r="E92" s="338" t="str">
        <f t="shared" si="33"/>
        <v>2018/19</v>
      </c>
      <c r="F92" s="338" t="str">
        <f t="shared" si="33"/>
        <v>2019/20</v>
      </c>
      <c r="G92" s="338" t="str">
        <f t="shared" si="33"/>
        <v>2020/21</v>
      </c>
      <c r="H92" s="338" t="str">
        <f t="shared" si="33"/>
        <v>2021/22</v>
      </c>
      <c r="I92" s="338" t="str">
        <f t="shared" si="33"/>
        <v>2022/23</v>
      </c>
      <c r="J92" s="338" t="str">
        <f t="shared" si="33"/>
        <v>2023/24</v>
      </c>
      <c r="K92" s="338" t="str">
        <f t="shared" si="33"/>
        <v>2024/25</v>
      </c>
      <c r="L92" s="338" t="str">
        <f t="shared" si="33"/>
        <v>2025/26</v>
      </c>
      <c r="M92" s="338" t="str">
        <f t="shared" si="33"/>
        <v>2026/27</v>
      </c>
      <c r="N92" s="338" t="str">
        <f t="shared" si="33"/>
        <v>2027/28</v>
      </c>
    </row>
    <row r="93" spans="1:14">
      <c r="B93" s="338" t="str">
        <f t="shared" si="32"/>
        <v>20-24</v>
      </c>
      <c r="C93" s="459">
        <f>C59-(0.2*C59)</f>
        <v>140.14700752863956</v>
      </c>
      <c r="D93" s="459">
        <f t="shared" ref="D93:N93" si="34">D59-(0.2*D59)</f>
        <v>243.71370604264021</v>
      </c>
      <c r="E93" s="459">
        <f t="shared" si="34"/>
        <v>325.30652352238457</v>
      </c>
      <c r="F93" s="459">
        <f t="shared" si="34"/>
        <v>342.74524580890352</v>
      </c>
      <c r="G93" s="459">
        <f t="shared" si="34"/>
        <v>350.53498152751996</v>
      </c>
      <c r="H93" s="459">
        <f t="shared" si="34"/>
        <v>378.10322596462686</v>
      </c>
      <c r="I93" s="459">
        <f t="shared" si="34"/>
        <v>404.20403581787423</v>
      </c>
      <c r="J93" s="459">
        <f t="shared" si="34"/>
        <v>420.19760876471764</v>
      </c>
      <c r="K93" s="459">
        <f t="shared" si="34"/>
        <v>434.00050973277513</v>
      </c>
      <c r="L93" s="459">
        <f t="shared" si="34"/>
        <v>435.82312623301516</v>
      </c>
      <c r="M93" s="459">
        <f t="shared" si="34"/>
        <v>429.23419231115406</v>
      </c>
      <c r="N93" s="459">
        <f t="shared" si="34"/>
        <v>420.67286635759473</v>
      </c>
    </row>
    <row r="94" spans="1:14">
      <c r="B94" s="338" t="str">
        <f t="shared" si="32"/>
        <v>25-29</v>
      </c>
      <c r="C94" s="459">
        <f t="shared" ref="C94:C101" si="35">C60+(0.2*C59)-(0.2*C60)</f>
        <v>696.71773457389554</v>
      </c>
      <c r="D94" s="459">
        <f t="shared" ref="D94:N94" si="36">D60+(0.2*D59)-(0.2*D60)</f>
        <v>715.75693833182049</v>
      </c>
      <c r="E94" s="459">
        <f t="shared" si="36"/>
        <v>757.95927522419413</v>
      </c>
      <c r="F94" s="459">
        <f t="shared" si="36"/>
        <v>750.82735493794826</v>
      </c>
      <c r="G94" s="459">
        <f t="shared" si="36"/>
        <v>742.78400922394803</v>
      </c>
      <c r="H94" s="459">
        <f t="shared" si="36"/>
        <v>766.5910475779134</v>
      </c>
      <c r="I94" s="459">
        <f t="shared" si="36"/>
        <v>797.06602254852942</v>
      </c>
      <c r="J94" s="459">
        <f t="shared" si="36"/>
        <v>820.49064613895609</v>
      </c>
      <c r="K94" s="459">
        <f t="shared" si="36"/>
        <v>843.43539252709297</v>
      </c>
      <c r="L94" s="459">
        <f t="shared" si="36"/>
        <v>852.2649652701142</v>
      </c>
      <c r="M94" s="459">
        <f t="shared" si="36"/>
        <v>848.87575571174864</v>
      </c>
      <c r="N94" s="459">
        <f t="shared" si="36"/>
        <v>840.28093694744052</v>
      </c>
    </row>
    <row r="95" spans="1:14">
      <c r="B95" s="338" t="str">
        <f t="shared" si="32"/>
        <v>30-34</v>
      </c>
      <c r="C95" s="459">
        <f t="shared" si="35"/>
        <v>988.98559076408924</v>
      </c>
      <c r="D95" s="459">
        <f t="shared" ref="D95:N95" si="37">D61+(0.2*D60)-(0.2*D61)</f>
        <v>959.85905899227305</v>
      </c>
      <c r="E95" s="459">
        <f t="shared" si="37"/>
        <v>947.99233499592333</v>
      </c>
      <c r="F95" s="459">
        <f t="shared" si="37"/>
        <v>915.52567369883457</v>
      </c>
      <c r="G95" s="459">
        <f t="shared" si="37"/>
        <v>886.92639709931302</v>
      </c>
      <c r="H95" s="459">
        <f t="shared" si="37"/>
        <v>881.56353107856989</v>
      </c>
      <c r="I95" s="459">
        <f t="shared" si="37"/>
        <v>886.93617565999011</v>
      </c>
      <c r="J95" s="459">
        <f t="shared" si="37"/>
        <v>894.36884667185245</v>
      </c>
      <c r="K95" s="459">
        <f t="shared" si="37"/>
        <v>905.89971085388004</v>
      </c>
      <c r="L95" s="459">
        <f t="shared" si="37"/>
        <v>912.29685191807187</v>
      </c>
      <c r="M95" s="459">
        <f t="shared" si="37"/>
        <v>912.48458968104399</v>
      </c>
      <c r="N95" s="459">
        <f t="shared" si="37"/>
        <v>909.02640446218402</v>
      </c>
    </row>
    <row r="96" spans="1:14">
      <c r="B96" s="338" t="str">
        <f t="shared" si="32"/>
        <v>35-39</v>
      </c>
      <c r="C96" s="459">
        <f t="shared" si="35"/>
        <v>897.11327854175136</v>
      </c>
      <c r="D96" s="459">
        <f t="shared" ref="D96:N96" si="38">D62+(0.2*D61)-(0.2*D62)</f>
        <v>911.90916703559242</v>
      </c>
      <c r="E96" s="459">
        <f t="shared" si="38"/>
        <v>921.29488031701851</v>
      </c>
      <c r="F96" s="459">
        <f t="shared" si="38"/>
        <v>905.85047154671508</v>
      </c>
      <c r="G96" s="459">
        <f t="shared" si="38"/>
        <v>886.25427042386514</v>
      </c>
      <c r="H96" s="459">
        <f t="shared" si="38"/>
        <v>877.50904773496472</v>
      </c>
      <c r="I96" s="459">
        <f t="shared" si="38"/>
        <v>873.27971467520422</v>
      </c>
      <c r="J96" s="459">
        <f t="shared" si="38"/>
        <v>869.84818727371533</v>
      </c>
      <c r="K96" s="459">
        <f t="shared" si="38"/>
        <v>869.86511451223191</v>
      </c>
      <c r="L96" s="459">
        <f t="shared" si="38"/>
        <v>868.01047415449239</v>
      </c>
      <c r="M96" s="459">
        <f t="shared" si="38"/>
        <v>863.90805757807061</v>
      </c>
      <c r="N96" s="459">
        <f t="shared" si="38"/>
        <v>859.01208254093922</v>
      </c>
    </row>
    <row r="97" spans="1:14">
      <c r="B97" s="338" t="str">
        <f t="shared" si="32"/>
        <v>40-44</v>
      </c>
      <c r="C97" s="459">
        <f t="shared" si="35"/>
        <v>835.44250191580954</v>
      </c>
      <c r="D97" s="459">
        <f t="shared" ref="D97:N97" si="39">D63+(0.2*D62)-(0.2*D63)</f>
        <v>840.92407601236312</v>
      </c>
      <c r="E97" s="459">
        <f t="shared" si="39"/>
        <v>850.85704289444357</v>
      </c>
      <c r="F97" s="459">
        <f t="shared" si="39"/>
        <v>843.18900304309</v>
      </c>
      <c r="G97" s="459">
        <f t="shared" si="39"/>
        <v>832.77705037454393</v>
      </c>
      <c r="H97" s="459">
        <f t="shared" si="39"/>
        <v>830.51577191360695</v>
      </c>
      <c r="I97" s="459">
        <f t="shared" si="39"/>
        <v>829.87724840471617</v>
      </c>
      <c r="J97" s="459">
        <f t="shared" si="39"/>
        <v>827.54989189452237</v>
      </c>
      <c r="K97" s="459">
        <f t="shared" si="39"/>
        <v>826.18207569847061</v>
      </c>
      <c r="L97" s="459">
        <f t="shared" si="39"/>
        <v>821.88244918554381</v>
      </c>
      <c r="M97" s="459">
        <f t="shared" si="39"/>
        <v>815.12906032398564</v>
      </c>
      <c r="N97" s="459">
        <f t="shared" si="39"/>
        <v>807.80326947189235</v>
      </c>
    </row>
    <row r="98" spans="1:14">
      <c r="B98" s="338" t="str">
        <f t="shared" si="32"/>
        <v>45-49</v>
      </c>
      <c r="C98" s="459">
        <f t="shared" si="35"/>
        <v>805.3026200812028</v>
      </c>
      <c r="D98" s="459">
        <f t="shared" ref="D98:N98" si="40">D64+(0.2*D63)-(0.2*D64)</f>
        <v>794.19521202803344</v>
      </c>
      <c r="E98" s="459">
        <f t="shared" si="40"/>
        <v>789.60964256348393</v>
      </c>
      <c r="F98" s="459">
        <f t="shared" si="40"/>
        <v>774.48639380359714</v>
      </c>
      <c r="G98" s="459">
        <f t="shared" si="40"/>
        <v>760.40212830565849</v>
      </c>
      <c r="H98" s="459">
        <f t="shared" si="40"/>
        <v>755.45982083308218</v>
      </c>
      <c r="I98" s="459">
        <f t="shared" si="40"/>
        <v>753.55264845574129</v>
      </c>
      <c r="J98" s="459">
        <f t="shared" si="40"/>
        <v>751.1573284906633</v>
      </c>
      <c r="K98" s="459">
        <f t="shared" si="40"/>
        <v>749.76409089903223</v>
      </c>
      <c r="L98" s="459">
        <f t="shared" si="40"/>
        <v>745.81331193541712</v>
      </c>
      <c r="M98" s="459">
        <f t="shared" si="40"/>
        <v>739.48598280163515</v>
      </c>
      <c r="N98" s="459">
        <f t="shared" si="40"/>
        <v>732.30077116261566</v>
      </c>
    </row>
    <row r="99" spans="1:14">
      <c r="B99" s="338" t="str">
        <f t="shared" si="32"/>
        <v>50-54</v>
      </c>
      <c r="C99" s="459">
        <f t="shared" si="35"/>
        <v>699.4893514106866</v>
      </c>
      <c r="D99" s="459">
        <f t="shared" ref="D99:N99" si="41">D65+(0.2*D64)-(0.2*D65)</f>
        <v>680.4683355222121</v>
      </c>
      <c r="E99" s="459">
        <f t="shared" si="41"/>
        <v>666.83939192631124</v>
      </c>
      <c r="F99" s="459">
        <f t="shared" si="41"/>
        <v>646.172411416518</v>
      </c>
      <c r="G99" s="459">
        <f t="shared" si="41"/>
        <v>627.56041612879153</v>
      </c>
      <c r="H99" s="459">
        <f t="shared" si="41"/>
        <v>617.23432380828899</v>
      </c>
      <c r="I99" s="459">
        <f t="shared" si="41"/>
        <v>610.59506911733456</v>
      </c>
      <c r="J99" s="459">
        <f t="shared" si="41"/>
        <v>604.87655814055211</v>
      </c>
      <c r="K99" s="459">
        <f t="shared" si="41"/>
        <v>600.9714482705142</v>
      </c>
      <c r="L99" s="459">
        <f t="shared" si="41"/>
        <v>595.94539183972722</v>
      </c>
      <c r="M99" s="459">
        <f t="shared" si="41"/>
        <v>589.68693977552266</v>
      </c>
      <c r="N99" s="459">
        <f t="shared" si="41"/>
        <v>583.11919372261286</v>
      </c>
    </row>
    <row r="100" spans="1:14">
      <c r="B100" s="338" t="str">
        <f t="shared" si="32"/>
        <v>55-59</v>
      </c>
      <c r="C100" s="459">
        <f t="shared" si="35"/>
        <v>541.31462379527761</v>
      </c>
      <c r="D100" s="459">
        <f t="shared" ref="D100:N100" si="42">D66+(0.2*D65)-(0.2*D66)</f>
        <v>473.04993503607471</v>
      </c>
      <c r="E100" s="459">
        <f t="shared" si="42"/>
        <v>430.13712954801827</v>
      </c>
      <c r="F100" s="459">
        <f t="shared" si="42"/>
        <v>394.9883813943564</v>
      </c>
      <c r="G100" s="459">
        <f t="shared" si="42"/>
        <v>369.47451064017008</v>
      </c>
      <c r="H100" s="459">
        <f t="shared" si="42"/>
        <v>354.69694014277627</v>
      </c>
      <c r="I100" s="459">
        <f t="shared" si="42"/>
        <v>345.128036216071</v>
      </c>
      <c r="J100" s="459">
        <f t="shared" si="42"/>
        <v>337.76744473279246</v>
      </c>
      <c r="K100" s="459">
        <f t="shared" si="42"/>
        <v>332.75904530871094</v>
      </c>
      <c r="L100" s="459">
        <f t="shared" si="42"/>
        <v>327.68202221255893</v>
      </c>
      <c r="M100" s="459">
        <f t="shared" si="42"/>
        <v>322.38826140933207</v>
      </c>
      <c r="N100" s="459">
        <f t="shared" si="42"/>
        <v>317.44152091089592</v>
      </c>
    </row>
    <row r="101" spans="1:14">
      <c r="B101" s="338" t="str">
        <f t="shared" si="32"/>
        <v>60-64</v>
      </c>
      <c r="C101" s="459">
        <f t="shared" si="35"/>
        <v>200.79549272127997</v>
      </c>
      <c r="D101" s="459">
        <f t="shared" ref="D101:N101" si="43">D67+(0.2*D66)-(0.2*D67)</f>
        <v>186.55009232174351</v>
      </c>
      <c r="E101" s="459">
        <f t="shared" si="43"/>
        <v>170.51848215776397</v>
      </c>
      <c r="F101" s="459">
        <f t="shared" si="43"/>
        <v>152.93419821028121</v>
      </c>
      <c r="G101" s="459">
        <f t="shared" si="43"/>
        <v>139.17290327147947</v>
      </c>
      <c r="H101" s="459">
        <f t="shared" si="43"/>
        <v>131.09740638826665</v>
      </c>
      <c r="I101" s="459">
        <f t="shared" si="43"/>
        <v>125.78215351202068</v>
      </c>
      <c r="J101" s="459">
        <f t="shared" si="43"/>
        <v>121.66646520012868</v>
      </c>
      <c r="K101" s="459">
        <f t="shared" si="43"/>
        <v>118.90037509101626</v>
      </c>
      <c r="L101" s="459">
        <f t="shared" si="43"/>
        <v>116.13248893189342</v>
      </c>
      <c r="M101" s="459">
        <f t="shared" si="43"/>
        <v>113.36612695031964</v>
      </c>
      <c r="N101" s="459">
        <f t="shared" si="43"/>
        <v>110.94425219013274</v>
      </c>
    </row>
    <row r="102" spans="1:14">
      <c r="B102" s="338" t="str">
        <f t="shared" si="32"/>
        <v>65 plus</v>
      </c>
      <c r="C102" s="459">
        <f>C68+(0.2*C67)</f>
        <v>39.92281250394484</v>
      </c>
      <c r="D102" s="459">
        <f t="shared" ref="D102:N102" si="44">D68+(0.2*D67)</f>
        <v>47.881315713357907</v>
      </c>
      <c r="E102" s="459">
        <f t="shared" si="44"/>
        <v>50.472518244619387</v>
      </c>
      <c r="F102" s="459">
        <f t="shared" si="44"/>
        <v>48.501828926555262</v>
      </c>
      <c r="G102" s="459">
        <f t="shared" si="44"/>
        <v>45.343537049072779</v>
      </c>
      <c r="H102" s="459">
        <f t="shared" si="44"/>
        <v>42.962130859857112</v>
      </c>
      <c r="I102" s="459">
        <f t="shared" si="44"/>
        <v>41.076312429715962</v>
      </c>
      <c r="J102" s="459">
        <f t="shared" si="44"/>
        <v>39.437768879102272</v>
      </c>
      <c r="K102" s="459">
        <f t="shared" si="44"/>
        <v>38.234594984537814</v>
      </c>
      <c r="L102" s="459">
        <f t="shared" si="44"/>
        <v>37.039707253731059</v>
      </c>
      <c r="M102" s="459">
        <f t="shared" si="44"/>
        <v>35.853439704045648</v>
      </c>
      <c r="N102" s="459">
        <f t="shared" si="44"/>
        <v>34.811970167594026</v>
      </c>
    </row>
    <row r="103" spans="1:14">
      <c r="B103" s="338" t="str">
        <f t="shared" si="32"/>
        <v>Total</v>
      </c>
      <c r="C103" s="459">
        <f>SUM(C93:C102)</f>
        <v>5845.2310138365774</v>
      </c>
      <c r="D103" s="459">
        <f t="shared" ref="D103:N103" si="45">SUM(D93:D102)</f>
        <v>5854.3078370361118</v>
      </c>
      <c r="E103" s="459">
        <f t="shared" si="45"/>
        <v>5910.9872213941608</v>
      </c>
      <c r="F103" s="459">
        <f t="shared" si="45"/>
        <v>5775.2209627867996</v>
      </c>
      <c r="G103" s="459">
        <f t="shared" si="45"/>
        <v>5641.2302040443619</v>
      </c>
      <c r="H103" s="459">
        <f t="shared" si="45"/>
        <v>5635.733246301952</v>
      </c>
      <c r="I103" s="459">
        <f t="shared" si="45"/>
        <v>5667.4974168371991</v>
      </c>
      <c r="J103" s="459">
        <f t="shared" si="45"/>
        <v>5687.3607461870024</v>
      </c>
      <c r="K103" s="459">
        <f t="shared" si="45"/>
        <v>5720.0123578782614</v>
      </c>
      <c r="L103" s="459">
        <f t="shared" si="45"/>
        <v>5712.8907889345646</v>
      </c>
      <c r="M103" s="459">
        <f t="shared" si="45"/>
        <v>5670.4124062468582</v>
      </c>
      <c r="N103" s="459">
        <f t="shared" si="45"/>
        <v>5615.4132679339027</v>
      </c>
    </row>
    <row r="104" spans="1:14">
      <c r="A104" s="309">
        <f>SUM(C104:N104)</f>
        <v>0</v>
      </c>
      <c r="C104" s="309">
        <f>SUM(C93:C102)-C103</f>
        <v>0</v>
      </c>
      <c r="D104" s="309">
        <f t="shared" ref="D104:N104" si="46">SUM(D93:D102)-D103</f>
        <v>0</v>
      </c>
      <c r="E104" s="309">
        <f t="shared" si="46"/>
        <v>0</v>
      </c>
      <c r="F104" s="309">
        <f t="shared" si="46"/>
        <v>0</v>
      </c>
      <c r="G104" s="309">
        <f t="shared" si="46"/>
        <v>0</v>
      </c>
      <c r="H104" s="309">
        <f t="shared" si="46"/>
        <v>0</v>
      </c>
      <c r="I104" s="309">
        <f t="shared" si="46"/>
        <v>0</v>
      </c>
      <c r="J104" s="309">
        <f t="shared" si="46"/>
        <v>0</v>
      </c>
      <c r="K104" s="309">
        <f t="shared" si="46"/>
        <v>0</v>
      </c>
      <c r="L104" s="309">
        <f t="shared" si="46"/>
        <v>0</v>
      </c>
      <c r="M104" s="309">
        <f t="shared" si="46"/>
        <v>0</v>
      </c>
      <c r="N104" s="309">
        <f t="shared" si="46"/>
        <v>0</v>
      </c>
    </row>
    <row r="106" spans="1:14" ht="15.75">
      <c r="B106" s="340" t="s">
        <v>151</v>
      </c>
      <c r="H106" s="325"/>
    </row>
    <row r="107" spans="1:14">
      <c r="H107" s="325"/>
    </row>
    <row r="108" spans="1:14">
      <c r="B108" s="341" t="s">
        <v>49</v>
      </c>
      <c r="H108" s="325"/>
    </row>
    <row r="109" spans="1:14">
      <c r="H109" s="325"/>
    </row>
    <row r="110" spans="1:14">
      <c r="B110" s="338" t="str">
        <f t="shared" ref="B110:B121" si="47">B76</f>
        <v>Age group</v>
      </c>
      <c r="C110" s="338" t="str">
        <f t="shared" ref="C110:N110" si="48">C76</f>
        <v>2016/17</v>
      </c>
      <c r="D110" s="338" t="str">
        <f t="shared" si="48"/>
        <v>2017/18</v>
      </c>
      <c r="E110" s="338" t="str">
        <f t="shared" si="48"/>
        <v>2018/19</v>
      </c>
      <c r="F110" s="338" t="str">
        <f t="shared" si="48"/>
        <v>2019/20</v>
      </c>
      <c r="G110" s="338" t="str">
        <f t="shared" si="48"/>
        <v>2020/21</v>
      </c>
      <c r="H110" s="338" t="str">
        <f t="shared" si="48"/>
        <v>2021/22</v>
      </c>
      <c r="I110" s="338" t="str">
        <f t="shared" si="48"/>
        <v>2022/23</v>
      </c>
      <c r="J110" s="338" t="str">
        <f t="shared" si="48"/>
        <v>2023/24</v>
      </c>
      <c r="K110" s="338" t="str">
        <f t="shared" si="48"/>
        <v>2024/25</v>
      </c>
      <c r="L110" s="338" t="str">
        <f t="shared" si="48"/>
        <v>2025/26</v>
      </c>
      <c r="M110" s="338" t="str">
        <f t="shared" si="48"/>
        <v>2026/27</v>
      </c>
      <c r="N110" s="338" t="str">
        <f t="shared" si="48"/>
        <v>2027/28</v>
      </c>
    </row>
    <row r="111" spans="1:14">
      <c r="B111" s="338" t="str">
        <f t="shared" si="47"/>
        <v>20-24</v>
      </c>
      <c r="C111" s="459">
        <f>C77*Group_3_rates!E74</f>
        <v>6.7174223098938866</v>
      </c>
      <c r="D111" s="459">
        <f>D77*Group_3_rates!F74</f>
        <v>17.111781399603231</v>
      </c>
      <c r="E111" s="459">
        <f>E77*Group_3_rates!G74</f>
        <v>25.183695770623284</v>
      </c>
      <c r="F111" s="459">
        <f>F77*Group_3_rates!H74</f>
        <v>27.443693635628762</v>
      </c>
      <c r="G111" s="459">
        <f>G77*Group_3_rates!I74</f>
        <v>28.656310305798232</v>
      </c>
      <c r="H111" s="459">
        <f>H77*Group_3_rates!J74</f>
        <v>31.407909786673049</v>
      </c>
      <c r="I111" s="459">
        <f>I77*Group_3_rates!K74</f>
        <v>33.921330842824197</v>
      </c>
      <c r="J111" s="459">
        <f>J77*Group_3_rates!L74</f>
        <v>35.488183545192207</v>
      </c>
      <c r="K111" s="459">
        <f>K77*Group_3_rates!M74</f>
        <v>36.810494649985976</v>
      </c>
      <c r="L111" s="459">
        <f>L77*Group_3_rates!N74</f>
        <v>37.065356170860554</v>
      </c>
      <c r="M111" s="459">
        <f>M77*Group_3_rates!O74</f>
        <v>36.570725452856031</v>
      </c>
      <c r="N111" s="459">
        <f>N77*Group_3_rates!P74</f>
        <v>35.887071140942147</v>
      </c>
    </row>
    <row r="112" spans="1:14">
      <c r="B112" s="338" t="str">
        <f t="shared" si="47"/>
        <v>25-29</v>
      </c>
      <c r="C112" s="459">
        <f>C78*Group_3_rates!E75</f>
        <v>23.927636794627919</v>
      </c>
      <c r="D112" s="459">
        <f>D78*Group_3_rates!F75</f>
        <v>30.722802940831635</v>
      </c>
      <c r="E112" s="459">
        <f>E78*Group_3_rates!G75</f>
        <v>37.794867212682867</v>
      </c>
      <c r="F112" s="459">
        <f>F78*Group_3_rates!H75</f>
        <v>40.611571439457663</v>
      </c>
      <c r="G112" s="459">
        <f>G78*Group_3_rates!I75</f>
        <v>42.590307927713553</v>
      </c>
      <c r="H112" s="459">
        <f>H78*Group_3_rates!J75</f>
        <v>46.085868332740276</v>
      </c>
      <c r="I112" s="459">
        <f>I78*Group_3_rates!K75</f>
        <v>49.575829709578592</v>
      </c>
      <c r="J112" s="459">
        <f>J78*Group_3_rates!L75</f>
        <v>52.255537649774091</v>
      </c>
      <c r="K112" s="459">
        <f>K78*Group_3_rates!M75</f>
        <v>54.6392943580531</v>
      </c>
      <c r="L112" s="459">
        <f>L78*Group_3_rates!N75</f>
        <v>55.883406589001538</v>
      </c>
      <c r="M112" s="459">
        <f>M78*Group_3_rates!O75</f>
        <v>56.156701655331915</v>
      </c>
      <c r="N112" s="459">
        <f>N78*Group_3_rates!P75</f>
        <v>55.95905190543251</v>
      </c>
    </row>
    <row r="113" spans="1:14">
      <c r="B113" s="338" t="str">
        <f t="shared" si="47"/>
        <v>30-34</v>
      </c>
      <c r="C113" s="459">
        <f>C79*Group_3_rates!E76</f>
        <v>35.689336305704551</v>
      </c>
      <c r="D113" s="459">
        <f>D79*Group_3_rates!F76</f>
        <v>35.449456006594112</v>
      </c>
      <c r="E113" s="459">
        <f>E79*Group_3_rates!G76</f>
        <v>36.480866214138317</v>
      </c>
      <c r="F113" s="459">
        <f>F79*Group_3_rates!H76</f>
        <v>36.666256756491237</v>
      </c>
      <c r="G113" s="459">
        <f>G79*Group_3_rates!I76</f>
        <v>37.010090499554899</v>
      </c>
      <c r="H113" s="459">
        <f>H79*Group_3_rates!J76</f>
        <v>38.369671039829136</v>
      </c>
      <c r="I113" s="459">
        <f>I79*Group_3_rates!K76</f>
        <v>40.105977673455421</v>
      </c>
      <c r="J113" s="459">
        <f>J79*Group_3_rates!L76</f>
        <v>41.78075045158063</v>
      </c>
      <c r="K113" s="459">
        <f>K79*Group_3_rates!M76</f>
        <v>43.489975843010861</v>
      </c>
      <c r="L113" s="459">
        <f>L79*Group_3_rates!N76</f>
        <v>44.790268758645901</v>
      </c>
      <c r="M113" s="459">
        <f>M79*Group_3_rates!O76</f>
        <v>45.63482524052241</v>
      </c>
      <c r="N113" s="459">
        <f>N79*Group_3_rates!P76</f>
        <v>46.158903210290248</v>
      </c>
    </row>
    <row r="114" spans="1:14">
      <c r="B114" s="338" t="str">
        <f t="shared" si="47"/>
        <v>35-39</v>
      </c>
      <c r="C114" s="459">
        <f>C80*Group_3_rates!E77</f>
        <v>39.524534103663676</v>
      </c>
      <c r="D114" s="459">
        <f>D80*Group_3_rates!F77</f>
        <v>39.785504758237899</v>
      </c>
      <c r="E114" s="459">
        <f>E80*Group_3_rates!G77</f>
        <v>40.123134940207791</v>
      </c>
      <c r="F114" s="459">
        <f>F80*Group_3_rates!H77</f>
        <v>39.58096487493502</v>
      </c>
      <c r="G114" s="459">
        <f>G80*Group_3_rates!I77</f>
        <v>39.09646116594211</v>
      </c>
      <c r="H114" s="459">
        <f>H80*Group_3_rates!J77</f>
        <v>39.33100236376535</v>
      </c>
      <c r="I114" s="459">
        <f>I80*Group_3_rates!K77</f>
        <v>39.916934851226472</v>
      </c>
      <c r="J114" s="459">
        <f>J80*Group_3_rates!L77</f>
        <v>40.617127090736929</v>
      </c>
      <c r="K114" s="459">
        <f>K80*Group_3_rates!M77</f>
        <v>41.513132372839785</v>
      </c>
      <c r="L114" s="459">
        <f>L80*Group_3_rates!N77</f>
        <v>42.309887867654872</v>
      </c>
      <c r="M114" s="459">
        <f>M80*Group_3_rates!O77</f>
        <v>42.959064542868866</v>
      </c>
      <c r="N114" s="459">
        <f>N80*Group_3_rates!P77</f>
        <v>43.510040834030733</v>
      </c>
    </row>
    <row r="115" spans="1:14">
      <c r="B115" s="338" t="str">
        <f t="shared" si="47"/>
        <v>40-44</v>
      </c>
      <c r="C115" s="459">
        <f>C81*Group_3_rates!E78</f>
        <v>47.638934492501477</v>
      </c>
      <c r="D115" s="459">
        <f>D81*Group_3_rates!F78</f>
        <v>46.903101321025268</v>
      </c>
      <c r="E115" s="459">
        <f>E81*Group_3_rates!G78</f>
        <v>46.583179892832121</v>
      </c>
      <c r="F115" s="459">
        <f>F81*Group_3_rates!H78</f>
        <v>45.502597969232816</v>
      </c>
      <c r="G115" s="459">
        <f>G81*Group_3_rates!I78</f>
        <v>44.481611132796722</v>
      </c>
      <c r="H115" s="459">
        <f>H81*Group_3_rates!J78</f>
        <v>44.114238213389122</v>
      </c>
      <c r="I115" s="459">
        <f>I81*Group_3_rates!K78</f>
        <v>44.034206667705469</v>
      </c>
      <c r="J115" s="459">
        <f>J81*Group_3_rates!L78</f>
        <v>44.038313219316279</v>
      </c>
      <c r="K115" s="459">
        <f>K81*Group_3_rates!M78</f>
        <v>44.241308315668086</v>
      </c>
      <c r="L115" s="459">
        <f>L81*Group_3_rates!N78</f>
        <v>44.399756065385553</v>
      </c>
      <c r="M115" s="459">
        <f>M81*Group_3_rates!O78</f>
        <v>44.507363946132728</v>
      </c>
      <c r="N115" s="459">
        <f>N81*Group_3_rates!P78</f>
        <v>44.636564246749394</v>
      </c>
    </row>
    <row r="116" spans="1:14">
      <c r="B116" s="338" t="str">
        <f t="shared" si="47"/>
        <v>45-49</v>
      </c>
      <c r="C116" s="459">
        <f>C82*Group_3_rates!E79</f>
        <v>56.136541864109205</v>
      </c>
      <c r="D116" s="459">
        <f>D82*Group_3_rates!F79</f>
        <v>54.096662109207877</v>
      </c>
      <c r="E116" s="459">
        <f>E82*Group_3_rates!G79</f>
        <v>52.597419683905073</v>
      </c>
      <c r="F116" s="459">
        <f>F82*Group_3_rates!H79</f>
        <v>50.603439932356054</v>
      </c>
      <c r="G116" s="459">
        <f>G82*Group_3_rates!I79</f>
        <v>48.817292598238048</v>
      </c>
      <c r="H116" s="459">
        <f>H82*Group_3_rates!J79</f>
        <v>47.734974020704463</v>
      </c>
      <c r="I116" s="459">
        <f>I82*Group_3_rates!K79</f>
        <v>46.991586193959215</v>
      </c>
      <c r="J116" s="459">
        <f>J82*Group_3_rates!L79</f>
        <v>46.374272785275316</v>
      </c>
      <c r="K116" s="459">
        <f>K82*Group_3_rates!M79</f>
        <v>45.968583617467544</v>
      </c>
      <c r="L116" s="459">
        <f>L82*Group_3_rates!N79</f>
        <v>45.549507473524628</v>
      </c>
      <c r="M116" s="459">
        <f>M82*Group_3_rates!O79</f>
        <v>45.11410307759477</v>
      </c>
      <c r="N116" s="459">
        <f>N82*Group_3_rates!P79</f>
        <v>44.737521712193775</v>
      </c>
    </row>
    <row r="117" spans="1:14">
      <c r="B117" s="338" t="str">
        <f t="shared" si="47"/>
        <v>50-54</v>
      </c>
      <c r="C117" s="459">
        <f>C83*Group_3_rates!E80</f>
        <v>59.194548007111578</v>
      </c>
      <c r="D117" s="459">
        <f>D83*Group_3_rates!F80</f>
        <v>55.169147732557057</v>
      </c>
      <c r="E117" s="459">
        <f>E83*Group_3_rates!G80</f>
        <v>52.032166522845216</v>
      </c>
      <c r="F117" s="459">
        <f>F83*Group_3_rates!H80</f>
        <v>48.871257508860552</v>
      </c>
      <c r="G117" s="459">
        <f>G83*Group_3_rates!I80</f>
        <v>46.164974421577732</v>
      </c>
      <c r="H117" s="459">
        <f>H83*Group_3_rates!J80</f>
        <v>44.240451312923263</v>
      </c>
      <c r="I117" s="459">
        <f>I83*Group_3_rates!K80</f>
        <v>42.763268181384475</v>
      </c>
      <c r="J117" s="459">
        <f>J83*Group_3_rates!L80</f>
        <v>41.527538045411141</v>
      </c>
      <c r="K117" s="459">
        <f>K83*Group_3_rates!M80</f>
        <v>40.566659621497791</v>
      </c>
      <c r="L117" s="459">
        <f>L83*Group_3_rates!N80</f>
        <v>39.678708641333003</v>
      </c>
      <c r="M117" s="459">
        <f>M83*Group_3_rates!O80</f>
        <v>38.842255795023711</v>
      </c>
      <c r="N117" s="459">
        <f>N83*Group_3_rates!P80</f>
        <v>38.102531579312824</v>
      </c>
    </row>
    <row r="118" spans="1:14">
      <c r="B118" s="338" t="str">
        <f t="shared" si="47"/>
        <v>55-59</v>
      </c>
      <c r="C118" s="459">
        <f>C84*Group_3_rates!E81</f>
        <v>29.594961640438019</v>
      </c>
      <c r="D118" s="459">
        <f>D84*Group_3_rates!F81</f>
        <v>24.922582815364684</v>
      </c>
      <c r="E118" s="459">
        <f>E84*Group_3_rates!G81</f>
        <v>21.768263017809584</v>
      </c>
      <c r="F118" s="459">
        <f>F84*Group_3_rates!H81</f>
        <v>19.287770328859803</v>
      </c>
      <c r="G118" s="459">
        <f>G84*Group_3_rates!I81</f>
        <v>17.443783034247897</v>
      </c>
      <c r="H118" s="459">
        <f>H84*Group_3_rates!J81</f>
        <v>16.203404935422423</v>
      </c>
      <c r="I118" s="459">
        <f>I84*Group_3_rates!K81</f>
        <v>15.302113254157227</v>
      </c>
      <c r="J118" s="459">
        <f>J84*Group_3_rates!L81</f>
        <v>14.590140490428006</v>
      </c>
      <c r="K118" s="459">
        <f>K84*Group_3_rates!M81</f>
        <v>14.049917674201174</v>
      </c>
      <c r="L118" s="459">
        <f>L84*Group_3_rates!N81</f>
        <v>13.572116081915004</v>
      </c>
      <c r="M118" s="459">
        <f>M84*Group_3_rates!O81</f>
        <v>13.140118827454691</v>
      </c>
      <c r="N118" s="459">
        <f>N84*Group_3_rates!P81</f>
        <v>12.767615855894157</v>
      </c>
    </row>
    <row r="119" spans="1:14">
      <c r="B119" s="338" t="str">
        <f t="shared" si="47"/>
        <v>60-64</v>
      </c>
      <c r="C119" s="459">
        <f>C85*Group_3_rates!E82</f>
        <v>4.6233172299043499</v>
      </c>
      <c r="D119" s="459">
        <f>D85*Group_3_rates!F82</f>
        <v>4.215213589618334</v>
      </c>
      <c r="E119" s="459">
        <f>E85*Group_3_rates!G82</f>
        <v>3.749072310165638</v>
      </c>
      <c r="F119" s="459">
        <f>F85*Group_3_rates!H82</f>
        <v>3.2755168270888309</v>
      </c>
      <c r="G119" s="459">
        <f>G85*Group_3_rates!I82</f>
        <v>2.8915538250955972</v>
      </c>
      <c r="H119" s="459">
        <f>H85*Group_3_rates!J82</f>
        <v>2.6278784951088427</v>
      </c>
      <c r="I119" s="459">
        <f>I85*Group_3_rates!K82</f>
        <v>2.4357056103518855</v>
      </c>
      <c r="J119" s="459">
        <f>J85*Group_3_rates!L82</f>
        <v>2.285141416560216</v>
      </c>
      <c r="K119" s="459">
        <f>K85*Group_3_rates!M82</f>
        <v>2.1733173789964422</v>
      </c>
      <c r="L119" s="459">
        <f>L85*Group_3_rates!N82</f>
        <v>2.0752851586059724</v>
      </c>
      <c r="M119" s="459">
        <f>M85*Group_3_rates!O82</f>
        <v>1.9878447644154817</v>
      </c>
      <c r="N119" s="459">
        <f>N85*Group_3_rates!P82</f>
        <v>1.9141333075429026</v>
      </c>
    </row>
    <row r="120" spans="1:14">
      <c r="B120" s="338" t="str">
        <f t="shared" si="47"/>
        <v>65 plus</v>
      </c>
      <c r="C120" s="459">
        <f>C86*Group_3_rates!E83</f>
        <v>1.2416641941508095</v>
      </c>
      <c r="D120" s="459">
        <f>D86*Group_3_rates!F83</f>
        <v>1.4007489316346526</v>
      </c>
      <c r="E120" s="459">
        <f>E86*Group_3_rates!G83</f>
        <v>1.434302163636815</v>
      </c>
      <c r="F120" s="459">
        <f>F86*Group_3_rates!H83</f>
        <v>1.3618620718497236</v>
      </c>
      <c r="G120" s="459">
        <f>G86*Group_3_rates!I83</f>
        <v>1.2541308199343313</v>
      </c>
      <c r="H120" s="459">
        <f>H86*Group_3_rates!J83</f>
        <v>1.1566543775492322</v>
      </c>
      <c r="I120" s="459">
        <f>I86*Group_3_rates!K83</f>
        <v>1.0716344081696652</v>
      </c>
      <c r="J120" s="459">
        <f>J86*Group_3_rates!L83</f>
        <v>0.9975620944511272</v>
      </c>
      <c r="K120" s="459">
        <f>K86*Group_3_rates!M83</f>
        <v>0.93831573001952051</v>
      </c>
      <c r="L120" s="459">
        <f>L86*Group_3_rates!N83</f>
        <v>0.88587949866137994</v>
      </c>
      <c r="M120" s="459">
        <f>M86*Group_3_rates!O83</f>
        <v>0.83910640509320289</v>
      </c>
      <c r="N120" s="459">
        <f>N86*Group_3_rates!P83</f>
        <v>0.79938142786459054</v>
      </c>
    </row>
    <row r="121" spans="1:14">
      <c r="B121" s="338" t="str">
        <f t="shared" si="47"/>
        <v>Total</v>
      </c>
      <c r="C121" s="459">
        <f>SUM(C111:C120)</f>
        <v>304.28889694210551</v>
      </c>
      <c r="D121" s="459">
        <f t="shared" ref="D121:N121" si="49">SUM(D111:D120)</f>
        <v>309.77700160467475</v>
      </c>
      <c r="E121" s="459">
        <f t="shared" si="49"/>
        <v>317.74696772884664</v>
      </c>
      <c r="F121" s="459">
        <f t="shared" si="49"/>
        <v>313.20493134476044</v>
      </c>
      <c r="G121" s="459">
        <f t="shared" si="49"/>
        <v>308.40651573089912</v>
      </c>
      <c r="H121" s="459">
        <f t="shared" si="49"/>
        <v>311.27205287810517</v>
      </c>
      <c r="I121" s="459">
        <f t="shared" si="49"/>
        <v>316.11858739281257</v>
      </c>
      <c r="J121" s="459">
        <f t="shared" si="49"/>
        <v>319.95456678872597</v>
      </c>
      <c r="K121" s="459">
        <f t="shared" si="49"/>
        <v>324.39099956174033</v>
      </c>
      <c r="L121" s="459">
        <f t="shared" si="49"/>
        <v>326.21017230558846</v>
      </c>
      <c r="M121" s="459">
        <f t="shared" si="49"/>
        <v>325.75210970729381</v>
      </c>
      <c r="N121" s="459">
        <f t="shared" si="49"/>
        <v>324.47281522025332</v>
      </c>
    </row>
    <row r="122" spans="1:14">
      <c r="A122" s="309">
        <f>SUM(C122:N122)</f>
        <v>0</v>
      </c>
      <c r="C122" s="309">
        <f>SUM(C111:C120)-C121</f>
        <v>0</v>
      </c>
      <c r="D122" s="309">
        <f t="shared" ref="D122:N122" si="50">SUM(D111:D120)-D121</f>
        <v>0</v>
      </c>
      <c r="E122" s="309">
        <f t="shared" si="50"/>
        <v>0</v>
      </c>
      <c r="F122" s="309">
        <f t="shared" si="50"/>
        <v>0</v>
      </c>
      <c r="G122" s="309">
        <f t="shared" si="50"/>
        <v>0</v>
      </c>
      <c r="H122" s="309">
        <f t="shared" si="50"/>
        <v>0</v>
      </c>
      <c r="I122" s="309">
        <f t="shared" si="50"/>
        <v>0</v>
      </c>
      <c r="J122" s="309">
        <f t="shared" si="50"/>
        <v>0</v>
      </c>
      <c r="K122" s="309">
        <f t="shared" si="50"/>
        <v>0</v>
      </c>
      <c r="L122" s="309">
        <f t="shared" si="50"/>
        <v>0</v>
      </c>
      <c r="M122" s="309">
        <f t="shared" si="50"/>
        <v>0</v>
      </c>
      <c r="N122" s="309">
        <f t="shared" si="50"/>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1">B110</f>
        <v>Age group</v>
      </c>
      <c r="C126" s="338" t="str">
        <f t="shared" ref="C126:N126" si="52">C110</f>
        <v>2016/17</v>
      </c>
      <c r="D126" s="338" t="str">
        <f t="shared" si="52"/>
        <v>2017/18</v>
      </c>
      <c r="E126" s="338" t="str">
        <f t="shared" si="52"/>
        <v>2018/19</v>
      </c>
      <c r="F126" s="338" t="str">
        <f t="shared" si="52"/>
        <v>2019/20</v>
      </c>
      <c r="G126" s="338" t="str">
        <f t="shared" si="52"/>
        <v>2020/21</v>
      </c>
      <c r="H126" s="338" t="str">
        <f t="shared" si="52"/>
        <v>2021/22</v>
      </c>
      <c r="I126" s="338" t="str">
        <f t="shared" si="52"/>
        <v>2022/23</v>
      </c>
      <c r="J126" s="338" t="str">
        <f t="shared" si="52"/>
        <v>2023/24</v>
      </c>
      <c r="K126" s="338" t="str">
        <f t="shared" si="52"/>
        <v>2024/25</v>
      </c>
      <c r="L126" s="338" t="str">
        <f t="shared" si="52"/>
        <v>2025/26</v>
      </c>
      <c r="M126" s="338" t="str">
        <f t="shared" si="52"/>
        <v>2026/27</v>
      </c>
      <c r="N126" s="338" t="str">
        <f t="shared" si="52"/>
        <v>2027/28</v>
      </c>
    </row>
    <row r="127" spans="1:14">
      <c r="B127" s="338" t="str">
        <f t="shared" si="51"/>
        <v>20-24</v>
      </c>
      <c r="C127" s="459">
        <f>C93*Group_3_rates!E89</f>
        <v>15.171985199362506</v>
      </c>
      <c r="D127" s="459">
        <f>D93*Group_3_rates!F89</f>
        <v>26.383872236480677</v>
      </c>
      <c r="E127" s="459">
        <f>E93*Group_3_rates!G89</f>
        <v>35.216918628313145</v>
      </c>
      <c r="F127" s="459">
        <f>F93*Group_3_rates!H89</f>
        <v>37.104793661055396</v>
      </c>
      <c r="G127" s="459">
        <f>G93*Group_3_rates!I89</f>
        <v>37.948092116826153</v>
      </c>
      <c r="H127" s="459">
        <f>H93*Group_3_rates!J89</f>
        <v>40.932565377781934</v>
      </c>
      <c r="I127" s="459">
        <f>I93*Group_3_rates!K89</f>
        <v>43.758177624293296</v>
      </c>
      <c r="J127" s="459">
        <f>J93*Group_3_rates!L89</f>
        <v>45.489604190678207</v>
      </c>
      <c r="K127" s="459">
        <f>K93*Group_3_rates!M89</f>
        <v>46.983873764381663</v>
      </c>
      <c r="L127" s="459">
        <f>L93*Group_3_rates!N89</f>
        <v>47.181185937173538</v>
      </c>
      <c r="M127" s="459">
        <f>M93*Group_3_rates!O89</f>
        <v>46.467883457835008</v>
      </c>
      <c r="N127" s="459">
        <f>N93*Group_3_rates!P89</f>
        <v>45.541054459165338</v>
      </c>
    </row>
    <row r="128" spans="1:14">
      <c r="B128" s="338" t="str">
        <f t="shared" si="51"/>
        <v>25-29</v>
      </c>
      <c r="C128" s="459">
        <f>C94*Group_3_rates!E90</f>
        <v>63.953985802495872</v>
      </c>
      <c r="D128" s="459">
        <f>D94*Group_3_rates!F90</f>
        <v>65.701656209608231</v>
      </c>
      <c r="E128" s="459">
        <f>E94*Group_3_rates!G90</f>
        <v>69.575545907704822</v>
      </c>
      <c r="F128" s="459">
        <f>F94*Group_3_rates!H90</f>
        <v>68.920883759611158</v>
      </c>
      <c r="G128" s="459">
        <f>G94*Group_3_rates!I90</f>
        <v>68.18255890856895</v>
      </c>
      <c r="H128" s="459">
        <f>H94*Group_3_rates!J90</f>
        <v>70.367884352911418</v>
      </c>
      <c r="I128" s="459">
        <f>I94*Group_3_rates!K90</f>
        <v>73.165281375960035</v>
      </c>
      <c r="J128" s="459">
        <f>J94*Group_3_rates!L90</f>
        <v>75.315503725972661</v>
      </c>
      <c r="K128" s="459">
        <f>K94*Group_3_rates!M90</f>
        <v>77.421676587563766</v>
      </c>
      <c r="L128" s="459">
        <f>L94*Group_3_rates!N90</f>
        <v>78.232171773529771</v>
      </c>
      <c r="M128" s="459">
        <f>M94*Group_3_rates!O90</f>
        <v>77.92106521025282</v>
      </c>
      <c r="N128" s="459">
        <f>N94*Group_3_rates!P90</f>
        <v>77.132118855149969</v>
      </c>
    </row>
    <row r="129" spans="1:14">
      <c r="B129" s="338" t="str">
        <f t="shared" si="51"/>
        <v>30-34</v>
      </c>
      <c r="C129" s="459">
        <f>C95*Group_3_rates!E91</f>
        <v>85.82925823371194</v>
      </c>
      <c r="D129" s="459">
        <f>D95*Group_3_rates!F91</f>
        <v>83.301507940642253</v>
      </c>
      <c r="E129" s="459">
        <f>E95*Group_3_rates!G91</f>
        <v>82.271652573908355</v>
      </c>
      <c r="F129" s="459">
        <f>F95*Group_3_rates!H91</f>
        <v>79.454028654533175</v>
      </c>
      <c r="G129" s="459">
        <f>G95*Group_3_rates!I91</f>
        <v>76.97203627822239</v>
      </c>
      <c r="H129" s="459">
        <f>H95*Group_3_rates!J91</f>
        <v>76.506619171172787</v>
      </c>
      <c r="I129" s="459">
        <f>I95*Group_3_rates!K91</f>
        <v>76.972884912031958</v>
      </c>
      <c r="J129" s="459">
        <f>J95*Group_3_rates!L91</f>
        <v>77.617930346061485</v>
      </c>
      <c r="K129" s="459">
        <f>K95*Group_3_rates!M91</f>
        <v>78.618638069995527</v>
      </c>
      <c r="L129" s="459">
        <f>L95*Group_3_rates!N91</f>
        <v>79.173814887012455</v>
      </c>
      <c r="M129" s="459">
        <f>M95*Group_3_rates!O91</f>
        <v>79.190107736057811</v>
      </c>
      <c r="N129" s="459">
        <f>N95*Group_3_rates!P91</f>
        <v>78.88998862922611</v>
      </c>
    </row>
    <row r="130" spans="1:14">
      <c r="B130" s="338" t="str">
        <f t="shared" si="51"/>
        <v>35-39</v>
      </c>
      <c r="C130" s="459">
        <f>C96*Group_3_rates!E92</f>
        <v>71.380798203375861</v>
      </c>
      <c r="D130" s="459">
        <f>D96*Group_3_rates!F92</f>
        <v>72.558065730321033</v>
      </c>
      <c r="E130" s="459">
        <f>E96*Group_3_rates!G92</f>
        <v>73.304860724622344</v>
      </c>
      <c r="F130" s="459">
        <f>F96*Group_3_rates!H92</f>
        <v>72.075992250403047</v>
      </c>
      <c r="G130" s="459">
        <f>G96*Group_3_rates!I92</f>
        <v>70.516777253411092</v>
      </c>
      <c r="H130" s="459">
        <f>H96*Group_3_rates!J92</f>
        <v>69.820944306857584</v>
      </c>
      <c r="I130" s="459">
        <f>I96*Group_3_rates!K92</f>
        <v>69.484428086560015</v>
      </c>
      <c r="J130" s="459">
        <f>J96*Group_3_rates!L92</f>
        <v>69.211391034457534</v>
      </c>
      <c r="K130" s="459">
        <f>K96*Group_3_rates!M92</f>
        <v>69.212737887553558</v>
      </c>
      <c r="L130" s="459">
        <f>L96*Group_3_rates!N92</f>
        <v>69.065169333746354</v>
      </c>
      <c r="M130" s="459">
        <f>M96*Group_3_rates!O92</f>
        <v>68.738751503588119</v>
      </c>
      <c r="N130" s="459">
        <f>N96*Group_3_rates!P92</f>
        <v>68.349192442883634</v>
      </c>
    </row>
    <row r="131" spans="1:14">
      <c r="B131" s="338" t="str">
        <f t="shared" si="51"/>
        <v>40-44</v>
      </c>
      <c r="C131" s="459">
        <f>C97*Group_3_rates!E93</f>
        <v>63.609045265193124</v>
      </c>
      <c r="D131" s="459">
        <f>D97*Group_3_rates!F93</f>
        <v>64.026402167711979</v>
      </c>
      <c r="E131" s="459">
        <f>E97*Group_3_rates!G93</f>
        <v>64.782679875119769</v>
      </c>
      <c r="F131" s="459">
        <f>F97*Group_3_rates!H93</f>
        <v>64.198849518295034</v>
      </c>
      <c r="G131" s="459">
        <f>G97*Group_3_rates!I93</f>
        <v>63.406102719953033</v>
      </c>
      <c r="H131" s="459">
        <f>H97*Group_3_rates!J93</f>
        <v>63.233933164718408</v>
      </c>
      <c r="I131" s="459">
        <f>I97*Group_3_rates!K93</f>
        <v>63.185317166984532</v>
      </c>
      <c r="J131" s="459">
        <f>J97*Group_3_rates!L93</f>
        <v>63.008116551423704</v>
      </c>
      <c r="K131" s="459">
        <f>K97*Group_3_rates!M93</f>
        <v>62.903973558782553</v>
      </c>
      <c r="L131" s="459">
        <f>L97*Group_3_rates!N93</f>
        <v>62.576607956892516</v>
      </c>
      <c r="M131" s="459">
        <f>M97*Group_3_rates!O93</f>
        <v>62.062417432944777</v>
      </c>
      <c r="N131" s="459">
        <f>N97*Group_3_rates!P93</f>
        <v>61.504645281246056</v>
      </c>
    </row>
    <row r="132" spans="1:14">
      <c r="B132" s="338" t="str">
        <f t="shared" si="51"/>
        <v>45-49</v>
      </c>
      <c r="C132" s="459">
        <f>C98*Group_3_rates!E94</f>
        <v>63.970020960429132</v>
      </c>
      <c r="D132" s="459">
        <f>D98*Group_3_rates!F94</f>
        <v>63.087692866295228</v>
      </c>
      <c r="E132" s="459">
        <f>E98*Group_3_rates!G94</f>
        <v>62.723433558740567</v>
      </c>
      <c r="F132" s="459">
        <f>F98*Group_3_rates!H94</f>
        <v>61.52210313209649</v>
      </c>
      <c r="G132" s="459">
        <f>G98*Group_3_rates!I94</f>
        <v>60.403305382469732</v>
      </c>
      <c r="H132" s="459">
        <f>H98*Group_3_rates!J94</f>
        <v>60.010708233609449</v>
      </c>
      <c r="I132" s="459">
        <f>I98*Group_3_rates!K94</f>
        <v>59.859210083831485</v>
      </c>
      <c r="J132" s="459">
        <f>J98*Group_3_rates!L94</f>
        <v>59.668935441042514</v>
      </c>
      <c r="K132" s="459">
        <f>K98*Group_3_rates!M94</f>
        <v>59.558262216198777</v>
      </c>
      <c r="L132" s="459">
        <f>L98*Group_3_rates!N94</f>
        <v>59.244428128477821</v>
      </c>
      <c r="M132" s="459">
        <f>M98*Group_3_rates!O94</f>
        <v>58.741810395443807</v>
      </c>
      <c r="N132" s="459">
        <f>N98*Group_3_rates!P94</f>
        <v>58.171045905559438</v>
      </c>
    </row>
    <row r="133" spans="1:14">
      <c r="B133" s="338" t="str">
        <f t="shared" si="51"/>
        <v>50-54</v>
      </c>
      <c r="C133" s="459">
        <f>C99*Group_3_rates!E95</f>
        <v>61.491293602263902</v>
      </c>
      <c r="D133" s="459">
        <f>D99*Group_3_rates!F95</f>
        <v>59.819178265193102</v>
      </c>
      <c r="E133" s="459">
        <f>E99*Group_3_rates!G95</f>
        <v>58.62107371870632</v>
      </c>
      <c r="F133" s="459">
        <f>F99*Group_3_rates!H95</f>
        <v>56.804263550206954</v>
      </c>
      <c r="G133" s="459">
        <f>G99*Group_3_rates!I95</f>
        <v>55.168104737419554</v>
      </c>
      <c r="H133" s="459">
        <f>H99*Group_3_rates!J95</f>
        <v>54.260349996959889</v>
      </c>
      <c r="I133" s="459">
        <f>I99*Group_3_rates!K95</f>
        <v>53.676700855370619</v>
      </c>
      <c r="J133" s="459">
        <f>J99*Group_3_rates!L95</f>
        <v>53.173993220533951</v>
      </c>
      <c r="K133" s="459">
        <f>K99*Group_3_rates!M95</f>
        <v>52.830699563406334</v>
      </c>
      <c r="L133" s="459">
        <f>L99*Group_3_rates!N95</f>
        <v>52.388864800627204</v>
      </c>
      <c r="M133" s="459">
        <f>M99*Group_3_rates!O95</f>
        <v>51.838691574116211</v>
      </c>
      <c r="N133" s="459">
        <f>N99*Group_3_rates!P95</f>
        <v>51.261328673551525</v>
      </c>
    </row>
    <row r="134" spans="1:14">
      <c r="B134" s="338" t="str">
        <f t="shared" si="51"/>
        <v>55-59</v>
      </c>
      <c r="C134" s="459">
        <f>C100*Group_3_rates!E96</f>
        <v>30.079927564670179</v>
      </c>
      <c r="D134" s="459">
        <f>D100*Group_3_rates!F96</f>
        <v>26.286575597371101</v>
      </c>
      <c r="E134" s="459">
        <f>E100*Group_3_rates!G96</f>
        <v>23.901984411514466</v>
      </c>
      <c r="F134" s="459">
        <f>F100*Group_3_rates!H96</f>
        <v>21.948828609001289</v>
      </c>
      <c r="G134" s="459">
        <f>G100*Group_3_rates!I96</f>
        <v>20.531066460254078</v>
      </c>
      <c r="H134" s="459">
        <f>H100*Group_3_rates!J96</f>
        <v>19.709902149142607</v>
      </c>
      <c r="I134" s="459">
        <f>I100*Group_3_rates!K96</f>
        <v>19.178174528391246</v>
      </c>
      <c r="J134" s="459">
        <f>J100*Group_3_rates!L96</f>
        <v>18.769159052145991</v>
      </c>
      <c r="K134" s="459">
        <f>K100*Group_3_rates!M96</f>
        <v>18.490850864506328</v>
      </c>
      <c r="L134" s="459">
        <f>L100*Group_3_rates!N96</f>
        <v>18.208729376810911</v>
      </c>
      <c r="M134" s="459">
        <f>M100*Group_3_rates!O96</f>
        <v>17.914564145527642</v>
      </c>
      <c r="N134" s="459">
        <f>N100*Group_3_rates!P96</f>
        <v>17.639682238900164</v>
      </c>
    </row>
    <row r="135" spans="1:14">
      <c r="B135" s="338" t="str">
        <f t="shared" si="51"/>
        <v>60-64</v>
      </c>
      <c r="C135" s="459">
        <f>C101*Group_3_rates!E97</f>
        <v>4.7760935820040293</v>
      </c>
      <c r="D135" s="459">
        <f>D101*Group_3_rates!F97</f>
        <v>4.4372544751135923</v>
      </c>
      <c r="E135" s="459">
        <f>E101*Group_3_rates!G97</f>
        <v>4.055928831914736</v>
      </c>
      <c r="F135" s="459">
        <f>F101*Group_3_rates!H97</f>
        <v>3.6376715066754413</v>
      </c>
      <c r="G135" s="459">
        <f>G101*Group_3_rates!I97</f>
        <v>3.3103472647488195</v>
      </c>
      <c r="H135" s="459">
        <f>H101*Group_3_rates!J97</f>
        <v>3.1182646222915826</v>
      </c>
      <c r="I135" s="459">
        <f>I101*Group_3_rates!K97</f>
        <v>2.9918367587727297</v>
      </c>
      <c r="J135" s="459">
        <f>J101*Group_3_rates!L97</f>
        <v>2.8939415706609042</v>
      </c>
      <c r="K135" s="459">
        <f>K101*Group_3_rates!M97</f>
        <v>2.8281477371523267</v>
      </c>
      <c r="L135" s="459">
        <f>L101*Group_3_rates!N97</f>
        <v>2.7623111830487228</v>
      </c>
      <c r="M135" s="459">
        <f>M101*Group_3_rates!O97</f>
        <v>2.6965108828197017</v>
      </c>
      <c r="N135" s="459">
        <f>N101*Group_3_rates!P97</f>
        <v>2.6389045075879514</v>
      </c>
    </row>
    <row r="136" spans="1:14">
      <c r="B136" s="338" t="str">
        <f t="shared" si="51"/>
        <v>65 plus</v>
      </c>
      <c r="C136" s="459">
        <f>C102*Group_3_rates!E98</f>
        <v>1.3914658873013819</v>
      </c>
      <c r="D136" s="459">
        <f>D102*Group_3_rates!F98</f>
        <v>1.6688507967133279</v>
      </c>
      <c r="E136" s="459">
        <f>E102*Group_3_rates!G98</f>
        <v>1.7591643218183808</v>
      </c>
      <c r="F136" s="459">
        <f>F102*Group_3_rates!H98</f>
        <v>1.6904781048770143</v>
      </c>
      <c r="G136" s="459">
        <f>G102*Group_3_rates!I98</f>
        <v>1.580399301956412</v>
      </c>
      <c r="H136" s="459">
        <f>H102*Group_3_rates!J98</f>
        <v>1.497397998484254</v>
      </c>
      <c r="I136" s="459">
        <f>I102*Group_3_rates!K98</f>
        <v>1.4316698633503286</v>
      </c>
      <c r="J136" s="459">
        <f>J102*Group_3_rates!L98</f>
        <v>1.3745602232088345</v>
      </c>
      <c r="K136" s="459">
        <f>K102*Group_3_rates!M98</f>
        <v>1.3326249154042411</v>
      </c>
      <c r="L136" s="459">
        <f>L102*Group_3_rates!N98</f>
        <v>1.2909784127584603</v>
      </c>
      <c r="M136" s="459">
        <f>M102*Group_3_rates!O98</f>
        <v>1.249632357080726</v>
      </c>
      <c r="N136" s="459">
        <f>N102*Group_3_rates!P98</f>
        <v>1.2133330775023441</v>
      </c>
    </row>
    <row r="137" spans="1:14">
      <c r="B137" s="338" t="str">
        <f t="shared" si="51"/>
        <v>Total</v>
      </c>
      <c r="C137" s="459">
        <f>SUM(C127:C136)</f>
        <v>461.6538743008079</v>
      </c>
      <c r="D137" s="459">
        <f t="shared" ref="D137:N137" si="53">SUM(D127:D136)</f>
        <v>467.27105628545053</v>
      </c>
      <c r="E137" s="459">
        <f t="shared" si="53"/>
        <v>476.21324255236294</v>
      </c>
      <c r="F137" s="459">
        <f t="shared" si="53"/>
        <v>467.35789274675494</v>
      </c>
      <c r="G137" s="459">
        <f t="shared" si="53"/>
        <v>458.01879042383018</v>
      </c>
      <c r="H137" s="459">
        <f t="shared" si="53"/>
        <v>459.45856937392995</v>
      </c>
      <c r="I137" s="459">
        <f t="shared" si="53"/>
        <v>463.70368125554626</v>
      </c>
      <c r="J137" s="459">
        <f t="shared" si="53"/>
        <v>466.52313535618572</v>
      </c>
      <c r="K137" s="459">
        <f t="shared" si="53"/>
        <v>470.18148516494512</v>
      </c>
      <c r="L137" s="459">
        <f t="shared" si="53"/>
        <v>470.12426179007781</v>
      </c>
      <c r="M137" s="459">
        <f t="shared" si="53"/>
        <v>466.82143469566665</v>
      </c>
      <c r="N137" s="459">
        <f t="shared" si="53"/>
        <v>462.34129407077245</v>
      </c>
    </row>
    <row r="138" spans="1:14">
      <c r="A138" s="309">
        <f>SUM(C138:N138)</f>
        <v>0</v>
      </c>
      <c r="C138" s="309">
        <f>SUM(C127:C136)-C137</f>
        <v>0</v>
      </c>
      <c r="D138" s="309">
        <f t="shared" ref="D138:N138" si="54">SUM(D127:D136)-D137</f>
        <v>0</v>
      </c>
      <c r="E138" s="309">
        <f t="shared" si="54"/>
        <v>0</v>
      </c>
      <c r="F138" s="309">
        <f t="shared" si="54"/>
        <v>0</v>
      </c>
      <c r="G138" s="309">
        <f t="shared" si="54"/>
        <v>0</v>
      </c>
      <c r="H138" s="309">
        <f t="shared" si="54"/>
        <v>0</v>
      </c>
      <c r="I138" s="309">
        <f t="shared" si="54"/>
        <v>0</v>
      </c>
      <c r="J138" s="309">
        <f t="shared" si="54"/>
        <v>0</v>
      </c>
      <c r="K138" s="309">
        <f t="shared" si="54"/>
        <v>0</v>
      </c>
      <c r="L138" s="309">
        <f t="shared" si="54"/>
        <v>0</v>
      </c>
      <c r="M138" s="309">
        <f t="shared" si="54"/>
        <v>0</v>
      </c>
      <c r="N138" s="309">
        <f t="shared" si="54"/>
        <v>0</v>
      </c>
    </row>
    <row r="140" spans="1:14" ht="15.75">
      <c r="B140" s="340" t="s">
        <v>152</v>
      </c>
      <c r="H140" s="325"/>
    </row>
    <row r="141" spans="1:14">
      <c r="H141" s="325"/>
    </row>
    <row r="142" spans="1:14">
      <c r="B142" s="341" t="s">
        <v>49</v>
      </c>
      <c r="H142" s="325"/>
    </row>
    <row r="143" spans="1:14">
      <c r="H143" s="325"/>
    </row>
    <row r="144" spans="1:14">
      <c r="B144" s="338" t="str">
        <f t="shared" ref="B144:B155" si="55">B110</f>
        <v>Age group</v>
      </c>
      <c r="C144" s="338" t="str">
        <f t="shared" ref="C144:N144" si="56">C110</f>
        <v>2016/17</v>
      </c>
      <c r="D144" s="338" t="str">
        <f t="shared" si="56"/>
        <v>2017/18</v>
      </c>
      <c r="E144" s="338" t="str">
        <f t="shared" si="56"/>
        <v>2018/19</v>
      </c>
      <c r="F144" s="338" t="str">
        <f t="shared" si="56"/>
        <v>2019/20</v>
      </c>
      <c r="G144" s="338" t="str">
        <f t="shared" si="56"/>
        <v>2020/21</v>
      </c>
      <c r="H144" s="338" t="str">
        <f t="shared" si="56"/>
        <v>2021/22</v>
      </c>
      <c r="I144" s="338" t="str">
        <f t="shared" si="56"/>
        <v>2022/23</v>
      </c>
      <c r="J144" s="338" t="str">
        <f t="shared" si="56"/>
        <v>2023/24</v>
      </c>
      <c r="K144" s="338" t="str">
        <f t="shared" si="56"/>
        <v>2024/25</v>
      </c>
      <c r="L144" s="338" t="str">
        <f t="shared" si="56"/>
        <v>2025/26</v>
      </c>
      <c r="M144" s="338" t="str">
        <f t="shared" si="56"/>
        <v>2026/27</v>
      </c>
      <c r="N144" s="338" t="str">
        <f t="shared" si="56"/>
        <v>2027/28</v>
      </c>
    </row>
    <row r="145" spans="1:14">
      <c r="B145" s="338" t="str">
        <f t="shared" si="55"/>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5"/>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5"/>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5"/>
        <v>35-39</v>
      </c>
      <c r="C148" s="459">
        <f>C80*Calc_SEC_retirement_rates!$G127</f>
        <v>0.25434661586969798</v>
      </c>
      <c r="D148" s="459">
        <f>D80*Calc_SEC_retirement_rates!$G127</f>
        <v>0.25602600322586927</v>
      </c>
      <c r="E148" s="459">
        <f>E80*Calc_SEC_retirement_rates!$G127</f>
        <v>0.25819870674147005</v>
      </c>
      <c r="F148" s="459">
        <f>F80*Calc_SEC_retirement_rates!$G127</f>
        <v>0.25470975679037622</v>
      </c>
      <c r="G148" s="459">
        <f>G80*Calc_SEC_retirement_rates!$G127</f>
        <v>0.25159189894452649</v>
      </c>
      <c r="H148" s="459">
        <f>H80*Calc_SEC_retirement_rates!$G127</f>
        <v>0.25310120857463897</v>
      </c>
      <c r="I148" s="459">
        <f>I80*Calc_SEC_retirement_rates!$G127</f>
        <v>0.25687177662037425</v>
      </c>
      <c r="J148" s="459">
        <f>J80*Calc_SEC_retirement_rates!$G127</f>
        <v>0.26137762420634753</v>
      </c>
      <c r="K148" s="459">
        <f>K80*Calc_SEC_retirement_rates!$G127</f>
        <v>0.26714355963031777</v>
      </c>
      <c r="L148" s="459">
        <f>L80*Calc_SEC_retirement_rates!$G127</f>
        <v>0.27227080700660039</v>
      </c>
      <c r="M148" s="459">
        <f>M80*Calc_SEC_retirement_rates!$G127</f>
        <v>0.27644836138356438</v>
      </c>
      <c r="N148" s="459">
        <f>N80*Calc_SEC_retirement_rates!$G127</f>
        <v>0.27999398078830945</v>
      </c>
    </row>
    <row r="149" spans="1:14">
      <c r="B149" s="338" t="str">
        <f t="shared" si="55"/>
        <v>40-44</v>
      </c>
      <c r="C149" s="459">
        <f>C81*Calc_SEC_retirement_rates!$G128</f>
        <v>0.35114391905340014</v>
      </c>
      <c r="D149" s="459">
        <f>D81*Calc_SEC_retirement_rates!$G128</f>
        <v>0.34572013394245654</v>
      </c>
      <c r="E149" s="459">
        <f>E81*Calc_SEC_retirement_rates!$G128</f>
        <v>0.34336201100621444</v>
      </c>
      <c r="F149" s="459">
        <f>F81*Calc_SEC_retirement_rates!$G128</f>
        <v>0.33539710214431184</v>
      </c>
      <c r="G149" s="459">
        <f>G81*Calc_SEC_retirement_rates!$G128</f>
        <v>0.32787146533342698</v>
      </c>
      <c r="H149" s="459">
        <f>H81*Calc_SEC_retirement_rates!$G128</f>
        <v>0.32516358011203988</v>
      </c>
      <c r="I149" s="459">
        <f>I81*Calc_SEC_retirement_rates!$G128</f>
        <v>0.3245736720694139</v>
      </c>
      <c r="J149" s="459">
        <f>J81*Calc_SEC_retirement_rates!$G128</f>
        <v>0.32460394123142966</v>
      </c>
      <c r="K149" s="459">
        <f>K81*Calc_SEC_retirement_rates!$G128</f>
        <v>0.32610020672185153</v>
      </c>
      <c r="L149" s="459">
        <f>L81*Calc_SEC_retirement_rates!$G128</f>
        <v>0.32726811621423829</v>
      </c>
      <c r="M149" s="459">
        <f>M81*Calc_SEC_retirement_rates!$G128</f>
        <v>0.32806128787874184</v>
      </c>
      <c r="N149" s="459">
        <f>N81*Calc_SEC_retirement_rates!$G128</f>
        <v>0.32901361606124047</v>
      </c>
    </row>
    <row r="150" spans="1:14">
      <c r="B150" s="338" t="str">
        <f t="shared" si="55"/>
        <v>45-49</v>
      </c>
      <c r="C150" s="459">
        <f>C82*Calc_SEC_retirement_rates!$G129</f>
        <v>0.9158769407681765</v>
      </c>
      <c r="D150" s="459">
        <f>D82*Calc_SEC_retirement_rates!$G129</f>
        <v>0.88259596606944024</v>
      </c>
      <c r="E150" s="459">
        <f>E82*Calc_SEC_retirement_rates!$G129</f>
        <v>0.85813557858636136</v>
      </c>
      <c r="F150" s="459">
        <f>F82*Calc_SEC_retirement_rates!$G129</f>
        <v>0.82560347001395917</v>
      </c>
      <c r="G150" s="459">
        <f>G82*Calc_SEC_retirement_rates!$G129</f>
        <v>0.79646218161587312</v>
      </c>
      <c r="H150" s="459">
        <f>H82*Calc_SEC_retirement_rates!$G129</f>
        <v>0.77880397548469371</v>
      </c>
      <c r="I150" s="459">
        <f>I82*Calc_SEC_retirement_rates!$G129</f>
        <v>0.76667548046246925</v>
      </c>
      <c r="J150" s="459">
        <f>J82*Calc_SEC_retirement_rates!$G129</f>
        <v>0.75660391036808738</v>
      </c>
      <c r="K150" s="459">
        <f>K82*Calc_SEC_retirement_rates!$G129</f>
        <v>0.74998502467302586</v>
      </c>
      <c r="L150" s="459">
        <f>L82*Calc_SEC_retirement_rates!$G129</f>
        <v>0.74314772825401088</v>
      </c>
      <c r="M150" s="459">
        <f>M82*Calc_SEC_retirement_rates!$G129</f>
        <v>0.73604403371032878</v>
      </c>
      <c r="N150" s="459">
        <f>N82*Calc_SEC_retirement_rates!$G129</f>
        <v>0.72990004661314212</v>
      </c>
    </row>
    <row r="151" spans="1:14">
      <c r="B151" s="338" t="str">
        <f t="shared" si="55"/>
        <v>50-54</v>
      </c>
      <c r="C151" s="459">
        <f>C83*Calc_SEC_retirement_rates!$G130</f>
        <v>20.830105250809744</v>
      </c>
      <c r="D151" s="459">
        <f>D83*Calc_SEC_retirement_rates!$G130</f>
        <v>19.413597916628639</v>
      </c>
      <c r="E151" s="459">
        <f>E83*Calc_SEC_retirement_rates!$G130</f>
        <v>18.309718404612433</v>
      </c>
      <c r="F151" s="459">
        <f>F83*Calc_SEC_retirement_rates!$G130</f>
        <v>17.197418882676331</v>
      </c>
      <c r="G151" s="459">
        <f>G83*Calc_SEC_retirement_rates!$G130</f>
        <v>16.245098720694269</v>
      </c>
      <c r="H151" s="459">
        <f>H83*Calc_SEC_retirement_rates!$G130</f>
        <v>15.567873870424748</v>
      </c>
      <c r="I151" s="459">
        <f>I83*Calc_SEC_retirement_rates!$G130</f>
        <v>15.048064510600309</v>
      </c>
      <c r="J151" s="459">
        <f>J83*Calc_SEC_retirement_rates!$G130</f>
        <v>14.613220599116609</v>
      </c>
      <c r="K151" s="459">
        <f>K83*Calc_SEC_retirement_rates!$G130</f>
        <v>14.275094886915166</v>
      </c>
      <c r="L151" s="459">
        <f>L83*Calc_SEC_retirement_rates!$G130</f>
        <v>13.962631780141038</v>
      </c>
      <c r="M151" s="459">
        <f>M83*Calc_SEC_retirement_rates!$G130</f>
        <v>13.668290469791501</v>
      </c>
      <c r="N151" s="459">
        <f>N83*Calc_SEC_retirement_rates!$G130</f>
        <v>13.40798721909383</v>
      </c>
    </row>
    <row r="152" spans="1:14">
      <c r="B152" s="338" t="str">
        <f t="shared" si="55"/>
        <v>55-59</v>
      </c>
      <c r="C152" s="459">
        <f>C84*Calc_SEC_retirement_rates!$G131</f>
        <v>126.87034736132449</v>
      </c>
      <c r="D152" s="459">
        <f>D84*Calc_SEC_retirement_rates!$G131</f>
        <v>106.84037294396359</v>
      </c>
      <c r="E152" s="459">
        <f>E84*Calc_SEC_retirement_rates!$G131</f>
        <v>93.318150706726186</v>
      </c>
      <c r="F152" s="459">
        <f>F84*Calc_SEC_retirement_rates!$G131</f>
        <v>82.684551214430087</v>
      </c>
      <c r="G152" s="459">
        <f>G84*Calc_SEC_retirement_rates!$G131</f>
        <v>74.779580380556112</v>
      </c>
      <c r="H152" s="459">
        <f>H84*Calc_SEC_retirement_rates!$G131</f>
        <v>69.462215817990057</v>
      </c>
      <c r="I152" s="459">
        <f>I84*Calc_SEC_retirement_rates!$G131</f>
        <v>65.598477453830597</v>
      </c>
      <c r="J152" s="459">
        <f>J84*Calc_SEC_retirement_rates!$G131</f>
        <v>62.546328478489279</v>
      </c>
      <c r="K152" s="459">
        <f>K84*Calc_SEC_retirement_rates!$G131</f>
        <v>60.230452648680412</v>
      </c>
      <c r="L152" s="459">
        <f>L84*Calc_SEC_retirement_rates!$G131</f>
        <v>58.182169744325776</v>
      </c>
      <c r="M152" s="459">
        <f>M84*Calc_SEC_retirement_rates!$G131</f>
        <v>56.330245001242815</v>
      </c>
      <c r="N152" s="459">
        <f>N84*Calc_SEC_retirement_rates!$G131</f>
        <v>54.733365709112356</v>
      </c>
    </row>
    <row r="153" spans="1:14">
      <c r="B153" s="338" t="str">
        <f t="shared" si="55"/>
        <v>60-64</v>
      </c>
      <c r="C153" s="459">
        <f>C85*Calc_SEC_retirement_rates!$G132</f>
        <v>87.563089885877559</v>
      </c>
      <c r="D153" s="459">
        <f>D85*Calc_SEC_retirement_rates!$G132</f>
        <v>79.833831009592842</v>
      </c>
      <c r="E153" s="459">
        <f>E85*Calc_SEC_retirement_rates!$G132</f>
        <v>71.005371113260168</v>
      </c>
      <c r="F153" s="459">
        <f>F85*Calc_SEC_retirement_rates!$G132</f>
        <v>62.036490271081291</v>
      </c>
      <c r="G153" s="459">
        <f>G85*Calc_SEC_retirement_rates!$G132</f>
        <v>54.764441829559907</v>
      </c>
      <c r="H153" s="459">
        <f>H85*Calc_SEC_retirement_rates!$G132</f>
        <v>49.770575851473808</v>
      </c>
      <c r="I153" s="459">
        <f>I85*Calc_SEC_retirement_rates!$G132</f>
        <v>46.130926927372187</v>
      </c>
      <c r="J153" s="459">
        <f>J85*Calc_SEC_retirement_rates!$G132</f>
        <v>43.279323764755688</v>
      </c>
      <c r="K153" s="459">
        <f>K85*Calc_SEC_retirement_rates!$G132</f>
        <v>41.161437890677121</v>
      </c>
      <c r="L153" s="459">
        <f>L85*Calc_SEC_retirement_rates!$G132</f>
        <v>39.304761461415424</v>
      </c>
      <c r="M153" s="459">
        <f>M85*Calc_SEC_retirement_rates!$G132</f>
        <v>37.648688404902082</v>
      </c>
      <c r="N153" s="459">
        <f>N85*Calc_SEC_retirement_rates!$G132</f>
        <v>36.252633883268885</v>
      </c>
    </row>
    <row r="154" spans="1:14">
      <c r="B154" s="338" t="str">
        <f t="shared" si="55"/>
        <v>65 plus</v>
      </c>
      <c r="C154" s="459">
        <f>C86*Calc_SEC_retirement_rates!$G133</f>
        <v>23.346338540213612</v>
      </c>
      <c r="D154" s="459">
        <f>D86*Calc_SEC_retirement_rates!$G133</f>
        <v>26.337522594142861</v>
      </c>
      <c r="E154" s="459">
        <f>E86*Calc_SEC_retirement_rates!$G133</f>
        <v>26.96840582096938</v>
      </c>
      <c r="F154" s="459">
        <f>F86*Calc_SEC_retirement_rates!$G133</f>
        <v>25.606354056319578</v>
      </c>
      <c r="G154" s="459">
        <f>G86*Calc_SEC_retirement_rates!$G133</f>
        <v>23.580741744692993</v>
      </c>
      <c r="H154" s="459">
        <f>H86*Calc_SEC_retirement_rates!$G133</f>
        <v>21.74794505591149</v>
      </c>
      <c r="I154" s="459">
        <f>I86*Calc_SEC_retirement_rates!$G133</f>
        <v>20.149360674430259</v>
      </c>
      <c r="J154" s="459">
        <f>J86*Calc_SEC_retirement_rates!$G133</f>
        <v>18.75661912588895</v>
      </c>
      <c r="K154" s="459">
        <f>K86*Calc_SEC_retirement_rates!$G133</f>
        <v>17.642641862299467</v>
      </c>
      <c r="L154" s="459">
        <f>L86*Calc_SEC_retirement_rates!$G133</f>
        <v>16.656711838040888</v>
      </c>
      <c r="M154" s="459">
        <f>M86*Calc_SEC_retirement_rates!$G133</f>
        <v>15.777262722764943</v>
      </c>
      <c r="N154" s="459">
        <f>N86*Calc_SEC_retirement_rates!$G133</f>
        <v>15.030335517124014</v>
      </c>
    </row>
    <row r="155" spans="1:14">
      <c r="B155" s="338" t="str">
        <f t="shared" si="55"/>
        <v>Total</v>
      </c>
      <c r="C155" s="459">
        <f>SUM(C145:C154)</f>
        <v>260.13124851391666</v>
      </c>
      <c r="D155" s="459">
        <f t="shared" ref="D155:N155" si="57">SUM(D145:D154)</f>
        <v>233.90966656756569</v>
      </c>
      <c r="E155" s="459">
        <f t="shared" si="57"/>
        <v>211.06134234190222</v>
      </c>
      <c r="F155" s="459">
        <f t="shared" si="57"/>
        <v>188.94052475345595</v>
      </c>
      <c r="G155" s="459">
        <f t="shared" si="57"/>
        <v>170.74578822139711</v>
      </c>
      <c r="H155" s="459">
        <f t="shared" si="57"/>
        <v>157.90567935997149</v>
      </c>
      <c r="I155" s="459">
        <f t="shared" si="57"/>
        <v>148.27495049538561</v>
      </c>
      <c r="J155" s="459">
        <f t="shared" si="57"/>
        <v>140.5380774440564</v>
      </c>
      <c r="K155" s="459">
        <f t="shared" si="57"/>
        <v>134.65285607959737</v>
      </c>
      <c r="L155" s="459">
        <f t="shared" si="57"/>
        <v>129.44896147539797</v>
      </c>
      <c r="M155" s="459">
        <f t="shared" si="57"/>
        <v>124.76504028167399</v>
      </c>
      <c r="N155" s="459">
        <f t="shared" si="57"/>
        <v>120.76322997206178</v>
      </c>
    </row>
    <row r="156" spans="1:14">
      <c r="A156" s="309">
        <f>SUM(C156:N156)</f>
        <v>0</v>
      </c>
      <c r="C156" s="309">
        <f>SUM(C145:C154)-C155</f>
        <v>0</v>
      </c>
      <c r="D156" s="309">
        <f t="shared" ref="D156:N156" si="58">SUM(D145:D154)-D155</f>
        <v>0</v>
      </c>
      <c r="E156" s="309">
        <f t="shared" si="58"/>
        <v>0</v>
      </c>
      <c r="F156" s="309">
        <f t="shared" si="58"/>
        <v>0</v>
      </c>
      <c r="G156" s="309">
        <f t="shared" si="58"/>
        <v>0</v>
      </c>
      <c r="H156" s="309">
        <f t="shared" si="58"/>
        <v>0</v>
      </c>
      <c r="I156" s="309">
        <f t="shared" si="58"/>
        <v>0</v>
      </c>
      <c r="J156" s="309">
        <f t="shared" si="58"/>
        <v>0</v>
      </c>
      <c r="K156" s="309">
        <f t="shared" si="58"/>
        <v>0</v>
      </c>
      <c r="L156" s="309">
        <f t="shared" si="58"/>
        <v>0</v>
      </c>
      <c r="M156" s="309">
        <f t="shared" si="58"/>
        <v>0</v>
      </c>
      <c r="N156" s="309">
        <f t="shared" si="58"/>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59">B144</f>
        <v>Age group</v>
      </c>
      <c r="C160" s="338" t="str">
        <f t="shared" ref="C160:N160" si="60">C144</f>
        <v>2016/17</v>
      </c>
      <c r="D160" s="338" t="str">
        <f t="shared" si="60"/>
        <v>2017/18</v>
      </c>
      <c r="E160" s="338" t="str">
        <f t="shared" si="60"/>
        <v>2018/19</v>
      </c>
      <c r="F160" s="338" t="str">
        <f t="shared" si="60"/>
        <v>2019/20</v>
      </c>
      <c r="G160" s="338" t="str">
        <f t="shared" si="60"/>
        <v>2020/21</v>
      </c>
      <c r="H160" s="338" t="str">
        <f t="shared" si="60"/>
        <v>2021/22</v>
      </c>
      <c r="I160" s="338" t="str">
        <f t="shared" si="60"/>
        <v>2022/23</v>
      </c>
      <c r="J160" s="338" t="str">
        <f t="shared" si="60"/>
        <v>2023/24</v>
      </c>
      <c r="K160" s="338" t="str">
        <f t="shared" si="60"/>
        <v>2024/25</v>
      </c>
      <c r="L160" s="338" t="str">
        <f t="shared" si="60"/>
        <v>2025/26</v>
      </c>
      <c r="M160" s="338" t="str">
        <f t="shared" si="60"/>
        <v>2026/27</v>
      </c>
      <c r="N160" s="338" t="str">
        <f t="shared" si="60"/>
        <v>2027/28</v>
      </c>
    </row>
    <row r="161" spans="1:14">
      <c r="B161" s="338" t="str">
        <f t="shared" si="59"/>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59"/>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59"/>
        <v>30-34</v>
      </c>
      <c r="C163" s="459">
        <f>C95*Calc_SEC_retirement_rates!$G142</f>
        <v>0.11943592371854383</v>
      </c>
      <c r="D163" s="459">
        <f>D95*Calc_SEC_retirement_rates!$G142</f>
        <v>0.11591842633600188</v>
      </c>
      <c r="E163" s="459">
        <f>E95*Calc_SEC_retirement_rates!$G142</f>
        <v>0.11448532846758702</v>
      </c>
      <c r="F163" s="459">
        <f>F95*Calc_SEC_retirement_rates!$G142</f>
        <v>0.11056445669929463</v>
      </c>
      <c r="G163" s="459">
        <f>G95*Calc_SEC_retirement_rates!$G142</f>
        <v>0.10711063386279913</v>
      </c>
      <c r="H163" s="459">
        <f>H95*Calc_SEC_retirement_rates!$G142</f>
        <v>0.10646298149764043</v>
      </c>
      <c r="I163" s="459">
        <f>I95*Calc_SEC_retirement_rates!$G142</f>
        <v>0.1071118147813464</v>
      </c>
      <c r="J163" s="459">
        <f>J95*Calc_SEC_retirement_rates!$G142</f>
        <v>0.10800942940413576</v>
      </c>
      <c r="K163" s="459">
        <f>K95*Calc_SEC_retirement_rates!$G142</f>
        <v>0.10940196679569625</v>
      </c>
      <c r="L163" s="459">
        <f>L95*Calc_SEC_retirement_rates!$G142</f>
        <v>0.11017452451473164</v>
      </c>
      <c r="M163" s="459">
        <f>M95*Calc_SEC_retirement_rates!$G142</f>
        <v>0.11019719687047357</v>
      </c>
      <c r="N163" s="459">
        <f>N95*Calc_SEC_retirement_rates!$G142</f>
        <v>0.10977956536010419</v>
      </c>
    </row>
    <row r="164" spans="1:14">
      <c r="B164" s="338" t="str">
        <f t="shared" si="59"/>
        <v>35-39</v>
      </c>
      <c r="C164" s="459">
        <f>C96*Calc_SEC_retirement_rates!$G143</f>
        <v>0.30644459359758153</v>
      </c>
      <c r="D164" s="459">
        <f>D96*Calc_SEC_retirement_rates!$G143</f>
        <v>0.31149871568546372</v>
      </c>
      <c r="E164" s="459">
        <f>E96*Calc_SEC_retirement_rates!$G143</f>
        <v>0.31470477802000552</v>
      </c>
      <c r="F164" s="459">
        <f>F96*Calc_SEC_retirement_rates!$G143</f>
        <v>0.30942912813032408</v>
      </c>
      <c r="G164" s="459">
        <f>G96*Calc_SEC_retirement_rates!$G143</f>
        <v>0.30273526902380238</v>
      </c>
      <c r="H164" s="459">
        <f>H96*Calc_SEC_retirement_rates!$G143</f>
        <v>0.2997479916342885</v>
      </c>
      <c r="I164" s="459">
        <f>I96*Calc_SEC_retirement_rates!$G143</f>
        <v>0.29830329531589955</v>
      </c>
      <c r="J164" s="459">
        <f>J96*Calc_SEC_retirement_rates!$G143</f>
        <v>0.29713112113776508</v>
      </c>
      <c r="K164" s="459">
        <f>K96*Calc_SEC_retirement_rates!$G143</f>
        <v>0.29713690330692027</v>
      </c>
      <c r="L164" s="459">
        <f>L96*Calc_SEC_retirement_rates!$G143</f>
        <v>0.29650337739186416</v>
      </c>
      <c r="M164" s="459">
        <f>M96*Calc_SEC_retirement_rates!$G143</f>
        <v>0.29510203442816058</v>
      </c>
      <c r="N164" s="459">
        <f>N96*Calc_SEC_retirement_rates!$G143</f>
        <v>0.29342962012284962</v>
      </c>
    </row>
    <row r="165" spans="1:14">
      <c r="B165" s="338" t="str">
        <f t="shared" si="59"/>
        <v>40-44</v>
      </c>
      <c r="C165" s="459">
        <f>C97*Calc_SEC_retirement_rates!$G144</f>
        <v>0.45916745303423889</v>
      </c>
      <c r="D165" s="459">
        <f>D97*Calc_SEC_retirement_rates!$G144</f>
        <v>0.46218018031440616</v>
      </c>
      <c r="E165" s="459">
        <f>E97*Calc_SEC_retirement_rates!$G144</f>
        <v>0.46763943704824412</v>
      </c>
      <c r="F165" s="459">
        <f>F97*Calc_SEC_retirement_rates!$G144</f>
        <v>0.46342500658745595</v>
      </c>
      <c r="G165" s="459">
        <f>G97*Calc_SEC_retirement_rates!$G144</f>
        <v>0.45770249453310619</v>
      </c>
      <c r="H165" s="459">
        <f>H97*Calc_SEC_retirement_rates!$G144</f>
        <v>0.45645967355005995</v>
      </c>
      <c r="I165" s="459">
        <f>I97*Calc_SEC_retirement_rates!$G144</f>
        <v>0.45610873472110702</v>
      </c>
      <c r="J165" s="459">
        <f>J97*Calc_SEC_retirement_rates!$G144</f>
        <v>0.45482959658935318</v>
      </c>
      <c r="K165" s="459">
        <f>K97*Calc_SEC_retirement_rates!$G144</f>
        <v>0.45407783129429119</v>
      </c>
      <c r="L165" s="459">
        <f>L97*Calc_SEC_retirement_rates!$G144</f>
        <v>0.45171471408345765</v>
      </c>
      <c r="M165" s="459">
        <f>M97*Calc_SEC_retirement_rates!$G144</f>
        <v>0.44800298484320411</v>
      </c>
      <c r="N165" s="459">
        <f>N97*Calc_SEC_retirement_rates!$G144</f>
        <v>0.4439766578137514</v>
      </c>
    </row>
    <row r="166" spans="1:14">
      <c r="B166" s="338" t="str">
        <f t="shared" si="59"/>
        <v>45-49</v>
      </c>
      <c r="C166" s="459">
        <f>C98*Calc_SEC_retirement_rates!$G145</f>
        <v>0.89730324672126549</v>
      </c>
      <c r="D166" s="459">
        <f>D98*Calc_SEC_retirement_rates!$G145</f>
        <v>0.88492688898911043</v>
      </c>
      <c r="E166" s="459">
        <f>E98*Calc_SEC_retirement_rates!$G145</f>
        <v>0.87981744781010207</v>
      </c>
      <c r="F166" s="459">
        <f>F98*Calc_SEC_retirement_rates!$G145</f>
        <v>0.86296646549012479</v>
      </c>
      <c r="G166" s="459">
        <f>G98*Calc_SEC_retirement_rates!$G145</f>
        <v>0.84727316356381255</v>
      </c>
      <c r="H166" s="459">
        <f>H98*Calc_SEC_retirement_rates!$G145</f>
        <v>0.84176622936187195</v>
      </c>
      <c r="I166" s="459">
        <f>I98*Calc_SEC_retirement_rates!$G145</f>
        <v>0.83964117484997614</v>
      </c>
      <c r="J166" s="459">
        <f>J98*Calc_SEC_retirement_rates!$G145</f>
        <v>0.83697220503911918</v>
      </c>
      <c r="K166" s="459">
        <f>K98*Calc_SEC_retirement_rates!$G145</f>
        <v>0.83541979904508601</v>
      </c>
      <c r="L166" s="459">
        <f>L98*Calc_SEC_retirement_rates!$G145</f>
        <v>0.83101766908458441</v>
      </c>
      <c r="M166" s="459">
        <f>M98*Calc_SEC_retirement_rates!$G145</f>
        <v>0.82396748343605875</v>
      </c>
      <c r="N166" s="459">
        <f>N98*Calc_SEC_retirement_rates!$G145</f>
        <v>0.81596140774314529</v>
      </c>
    </row>
    <row r="167" spans="1:14">
      <c r="B167" s="338" t="str">
        <f t="shared" si="59"/>
        <v>50-54</v>
      </c>
      <c r="C167" s="459">
        <f>C99*Calc_SEC_retirement_rates!$G146</f>
        <v>16.75085447362892</v>
      </c>
      <c r="D167" s="459">
        <f>D99*Calc_SEC_retirement_rates!$G146</f>
        <v>16.295353230549448</v>
      </c>
      <c r="E167" s="459">
        <f>E99*Calc_SEC_retirement_rates!$G146</f>
        <v>15.968977353141426</v>
      </c>
      <c r="F167" s="459">
        <f>F99*Calc_SEC_retirement_rates!$G146</f>
        <v>15.474059764716815</v>
      </c>
      <c r="G167" s="459">
        <f>G99*Calc_SEC_retirement_rates!$G146</f>
        <v>15.028353444956805</v>
      </c>
      <c r="H167" s="459">
        <f>H99*Calc_SEC_retirement_rates!$G146</f>
        <v>14.781071811014618</v>
      </c>
      <c r="I167" s="459">
        <f>I99*Calc_SEC_retirement_rates!$G146</f>
        <v>14.622079842205876</v>
      </c>
      <c r="J167" s="459">
        <f>J99*Calc_SEC_retirement_rates!$G146</f>
        <v>14.485137163972462</v>
      </c>
      <c r="K167" s="459">
        <f>K99*Calc_SEC_retirement_rates!$G146</f>
        <v>14.39162047639943</v>
      </c>
      <c r="L167" s="459">
        <f>L99*Calc_SEC_retirement_rates!$G146</f>
        <v>14.271260188314173</v>
      </c>
      <c r="M167" s="459">
        <f>M99*Calc_SEC_retirement_rates!$G146</f>
        <v>14.121387399620177</v>
      </c>
      <c r="N167" s="459">
        <f>N99*Calc_SEC_retirement_rates!$G146</f>
        <v>13.964107866872224</v>
      </c>
    </row>
    <row r="168" spans="1:14">
      <c r="B168" s="338" t="str">
        <f t="shared" si="59"/>
        <v>55-59</v>
      </c>
      <c r="C168" s="459">
        <f>C100*Calc_SEC_retirement_rates!$G147</f>
        <v>105.30125147675534</v>
      </c>
      <c r="D168" s="459">
        <f>D100*Calc_SEC_retirement_rates!$G147</f>
        <v>92.021807615408903</v>
      </c>
      <c r="E168" s="459">
        <f>E100*Calc_SEC_retirement_rates!$G147</f>
        <v>83.67403365247992</v>
      </c>
      <c r="F168" s="459">
        <f>F100*Calc_SEC_retirement_rates!$G147</f>
        <v>76.836591976746305</v>
      </c>
      <c r="G168" s="459">
        <f>G100*Calc_SEC_retirement_rates!$G147</f>
        <v>71.873410857427274</v>
      </c>
      <c r="H168" s="459">
        <f>H100*Calc_SEC_retirement_rates!$G147</f>
        <v>68.998748694688345</v>
      </c>
      <c r="I168" s="459">
        <f>I100*Calc_SEC_retirement_rates!$G147</f>
        <v>67.137321874776717</v>
      </c>
      <c r="J168" s="459">
        <f>J100*Calc_SEC_retirement_rates!$G147</f>
        <v>65.705475291057766</v>
      </c>
      <c r="K168" s="459">
        <f>K100*Calc_SEC_retirement_rates!$G147</f>
        <v>64.731197663836852</v>
      </c>
      <c r="L168" s="459">
        <f>L100*Calc_SEC_retirement_rates!$G147</f>
        <v>63.743570760183516</v>
      </c>
      <c r="M168" s="459">
        <f>M100*Calc_SEC_retirement_rates!$G147</f>
        <v>62.713782143556003</v>
      </c>
      <c r="N168" s="459">
        <f>N100*Calc_SEC_retirement_rates!$G147</f>
        <v>61.751498949424018</v>
      </c>
    </row>
    <row r="169" spans="1:14">
      <c r="B169" s="338" t="str">
        <f t="shared" si="59"/>
        <v>60-64</v>
      </c>
      <c r="C169" s="459">
        <f>C101*Calc_SEC_retirement_rates!$G148</f>
        <v>80.402287086926862</v>
      </c>
      <c r="D169" s="459">
        <f>D101*Calc_SEC_retirement_rates!$G148</f>
        <v>74.698161177180438</v>
      </c>
      <c r="E169" s="459">
        <f>E101*Calc_SEC_retirement_rates!$G148</f>
        <v>68.278803325063805</v>
      </c>
      <c r="F169" s="459">
        <f>F101*Calc_SEC_retirement_rates!$G148</f>
        <v>61.237725724153513</v>
      </c>
      <c r="G169" s="459">
        <f>G101*Calc_SEC_retirement_rates!$G148</f>
        <v>55.727444734463987</v>
      </c>
      <c r="H169" s="459">
        <f>H101*Calc_SEC_retirement_rates!$G148</f>
        <v>52.49386408992769</v>
      </c>
      <c r="I169" s="459">
        <f>I101*Calc_SEC_retirement_rates!$G148</f>
        <v>50.365536995012519</v>
      </c>
      <c r="J169" s="459">
        <f>J101*Calc_SEC_retirement_rates!$G148</f>
        <v>48.717538084636672</v>
      </c>
      <c r="K169" s="459">
        <f>K101*Calc_SEC_retirement_rates!$G148</f>
        <v>47.609943645901566</v>
      </c>
      <c r="L169" s="459">
        <f>L101*Calc_SEC_retirement_rates!$G148</f>
        <v>46.501630035004752</v>
      </c>
      <c r="M169" s="459">
        <f>M101*Calc_SEC_retirement_rates!$G148</f>
        <v>45.393926733429183</v>
      </c>
      <c r="N169" s="459">
        <f>N101*Calc_SEC_retirement_rates!$G148</f>
        <v>44.424162586245757</v>
      </c>
    </row>
    <row r="170" spans="1:14">
      <c r="B170" s="338" t="str">
        <f t="shared" si="59"/>
        <v>65 plus</v>
      </c>
      <c r="C170" s="459">
        <f>C102*Calc_SEC_retirement_rates!$G149</f>
        <v>18.102061198072143</v>
      </c>
      <c r="D170" s="459">
        <f>D102*Calc_SEC_retirement_rates!$G149</f>
        <v>21.710657464370104</v>
      </c>
      <c r="E170" s="459">
        <f>E102*Calc_SEC_retirement_rates!$G149</f>
        <v>22.885577362432393</v>
      </c>
      <c r="F170" s="459">
        <f>F102*Calc_SEC_retirement_rates!$G149</f>
        <v>21.992014599677166</v>
      </c>
      <c r="G170" s="459">
        <f>G102*Calc_SEC_retirement_rates!$G149</f>
        <v>20.559961363399967</v>
      </c>
      <c r="H170" s="459">
        <f>H102*Calc_SEC_retirement_rates!$G149</f>
        <v>19.480168686709412</v>
      </c>
      <c r="I170" s="459">
        <f>I102*Calc_SEC_retirement_rates!$G149</f>
        <v>18.625088633732325</v>
      </c>
      <c r="J170" s="459">
        <f>J102*Calc_SEC_retirement_rates!$G149</f>
        <v>17.882129564253326</v>
      </c>
      <c r="K170" s="459">
        <f>K102*Calc_SEC_retirement_rates!$G149</f>
        <v>17.33657863471457</v>
      </c>
      <c r="L170" s="459">
        <f>L102*Calc_SEC_retirement_rates!$G149</f>
        <v>16.794784871418155</v>
      </c>
      <c r="M170" s="459">
        <f>M102*Calc_SEC_retirement_rates!$G149</f>
        <v>16.256899726688669</v>
      </c>
      <c r="N170" s="459">
        <f>N102*Calc_SEC_retirement_rates!$G149</f>
        <v>15.784669838503508</v>
      </c>
    </row>
    <row r="171" spans="1:14">
      <c r="B171" s="338" t="str">
        <f t="shared" si="59"/>
        <v>Total</v>
      </c>
      <c r="C171" s="459">
        <f>SUM(C161:C170)</f>
        <v>222.33880545245489</v>
      </c>
      <c r="D171" s="459">
        <f t="shared" ref="D171:N171" si="61">SUM(D161:D170)</f>
        <v>206.50050369883388</v>
      </c>
      <c r="E171" s="459">
        <f t="shared" si="61"/>
        <v>192.58403868446351</v>
      </c>
      <c r="F171" s="459">
        <f t="shared" si="61"/>
        <v>177.28677712220099</v>
      </c>
      <c r="G171" s="459">
        <f t="shared" si="61"/>
        <v>164.90399196123155</v>
      </c>
      <c r="H171" s="459">
        <f t="shared" si="61"/>
        <v>157.45829015838393</v>
      </c>
      <c r="I171" s="459">
        <f t="shared" si="61"/>
        <v>152.45119236539577</v>
      </c>
      <c r="J171" s="459">
        <f t="shared" si="61"/>
        <v>148.48722245609059</v>
      </c>
      <c r="K171" s="459">
        <f t="shared" si="61"/>
        <v>145.76537692129438</v>
      </c>
      <c r="L171" s="459">
        <f t="shared" si="61"/>
        <v>143.00065613999524</v>
      </c>
      <c r="M171" s="459">
        <f t="shared" si="61"/>
        <v>140.16326570287194</v>
      </c>
      <c r="N171" s="459">
        <f t="shared" si="61"/>
        <v>137.58758649208536</v>
      </c>
    </row>
    <row r="172" spans="1:14">
      <c r="A172" s="309">
        <f>SUM(C172:N172)</f>
        <v>0</v>
      </c>
      <c r="C172" s="309">
        <f>SUM(C161:C170)-C171</f>
        <v>0</v>
      </c>
      <c r="D172" s="309">
        <f t="shared" ref="D172:N172" si="62">SUM(D161:D170)-D171</f>
        <v>0</v>
      </c>
      <c r="E172" s="309">
        <f t="shared" si="62"/>
        <v>0</v>
      </c>
      <c r="F172" s="309">
        <f t="shared" si="62"/>
        <v>0</v>
      </c>
      <c r="G172" s="309">
        <f t="shared" si="62"/>
        <v>0</v>
      </c>
      <c r="H172" s="309">
        <f t="shared" si="62"/>
        <v>0</v>
      </c>
      <c r="I172" s="309">
        <f t="shared" si="62"/>
        <v>0</v>
      </c>
      <c r="J172" s="309">
        <f t="shared" si="62"/>
        <v>0</v>
      </c>
      <c r="K172" s="309">
        <f t="shared" si="62"/>
        <v>0</v>
      </c>
      <c r="L172" s="309">
        <f t="shared" si="62"/>
        <v>0</v>
      </c>
      <c r="M172" s="309">
        <f t="shared" si="62"/>
        <v>0</v>
      </c>
      <c r="N172" s="309">
        <f t="shared" si="62"/>
        <v>0</v>
      </c>
    </row>
    <row r="174" spans="1:14" ht="15.75">
      <c r="B174" s="340" t="s">
        <v>516</v>
      </c>
      <c r="H174" s="325"/>
    </row>
    <row r="175" spans="1:14">
      <c r="H175" s="325"/>
    </row>
    <row r="176" spans="1:14">
      <c r="B176" s="341" t="s">
        <v>49</v>
      </c>
      <c r="H176" s="325"/>
    </row>
    <row r="177" spans="1:14">
      <c r="H177" s="325"/>
    </row>
    <row r="178" spans="1:14">
      <c r="B178" s="338" t="str">
        <f t="shared" ref="B178:B189" si="63">B144</f>
        <v>Age group</v>
      </c>
      <c r="C178" s="338" t="str">
        <f t="shared" ref="C178:N178" si="64">C144</f>
        <v>2016/17</v>
      </c>
      <c r="D178" s="338" t="str">
        <f t="shared" si="64"/>
        <v>2017/18</v>
      </c>
      <c r="E178" s="338" t="str">
        <f t="shared" si="64"/>
        <v>2018/19</v>
      </c>
      <c r="F178" s="338" t="str">
        <f t="shared" si="64"/>
        <v>2019/20</v>
      </c>
      <c r="G178" s="338" t="str">
        <f t="shared" si="64"/>
        <v>2020/21</v>
      </c>
      <c r="H178" s="338" t="str">
        <f t="shared" si="64"/>
        <v>2021/22</v>
      </c>
      <c r="I178" s="338" t="str">
        <f t="shared" si="64"/>
        <v>2022/23</v>
      </c>
      <c r="J178" s="338" t="str">
        <f t="shared" si="64"/>
        <v>2023/24</v>
      </c>
      <c r="K178" s="338" t="str">
        <f t="shared" si="64"/>
        <v>2024/25</v>
      </c>
      <c r="L178" s="338" t="str">
        <f t="shared" si="64"/>
        <v>2025/26</v>
      </c>
      <c r="M178" s="338" t="str">
        <f t="shared" si="64"/>
        <v>2026/27</v>
      </c>
      <c r="N178" s="338" t="str">
        <f t="shared" si="64"/>
        <v>2027/28</v>
      </c>
    </row>
    <row r="179" spans="1:14">
      <c r="B179" s="338" t="str">
        <f t="shared" si="63"/>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3"/>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3"/>
        <v>30-34</v>
      </c>
      <c r="C181" s="459">
        <f>C79*Calc_SEC_death_rates!$G126</f>
        <v>0.13321543689630966</v>
      </c>
      <c r="D181" s="459">
        <f>D79*Calc_SEC_death_rates!$G126</f>
        <v>0.13232005014618659</v>
      </c>
      <c r="E181" s="459">
        <f>E79*Calc_SEC_death_rates!$G126</f>
        <v>0.13616993293023133</v>
      </c>
      <c r="F181" s="459">
        <f>F79*Calc_SEC_death_rates!$G126</f>
        <v>0.13686192904594613</v>
      </c>
      <c r="G181" s="459">
        <f>G79*Calc_SEC_death_rates!$G126</f>
        <v>0.13814533655763467</v>
      </c>
      <c r="H181" s="459">
        <f>H79*Calc_SEC_death_rates!$G126</f>
        <v>0.14322016098465556</v>
      </c>
      <c r="I181" s="459">
        <f>I79*Calc_SEC_death_rates!$G126</f>
        <v>0.14970116821895135</v>
      </c>
      <c r="J181" s="459">
        <f>J79*Calc_SEC_death_rates!$G126</f>
        <v>0.15595249173555972</v>
      </c>
      <c r="K181" s="459">
        <f>K79*Calc_SEC_death_rates!$G126</f>
        <v>0.16233241444757859</v>
      </c>
      <c r="L181" s="459">
        <f>L79*Calc_SEC_death_rates!$G126</f>
        <v>0.1671859395276124</v>
      </c>
      <c r="M181" s="459">
        <f>M79*Calc_SEC_death_rates!$G126</f>
        <v>0.17033836465967647</v>
      </c>
      <c r="N181" s="459">
        <f>N79*Calc_SEC_death_rates!$G126</f>
        <v>0.17229455894449971</v>
      </c>
    </row>
    <row r="182" spans="1:14">
      <c r="B182" s="338" t="str">
        <f t="shared" si="63"/>
        <v>35-39</v>
      </c>
      <c r="C182" s="459">
        <f>C80*Calc_SEC_death_rates!$G127</f>
        <v>0.26877508758022756</v>
      </c>
      <c r="D182" s="459">
        <f>D80*Calc_SEC_death_rates!$G127</f>
        <v>0.27054974254150022</v>
      </c>
      <c r="E182" s="459">
        <f>E80*Calc_SEC_death_rates!$G127</f>
        <v>0.2728456983012994</v>
      </c>
      <c r="F182" s="459">
        <f>F80*Calc_SEC_death_rates!$G127</f>
        <v>0.26915882861183327</v>
      </c>
      <c r="G182" s="459">
        <f>G80*Calc_SEC_death_rates!$G127</f>
        <v>0.26586410219011331</v>
      </c>
      <c r="H182" s="459">
        <f>H80*Calc_SEC_death_rates!$G127</f>
        <v>0.26745903132503435</v>
      </c>
      <c r="I182" s="459">
        <f>I80*Calc_SEC_death_rates!$G127</f>
        <v>0.27144349462624412</v>
      </c>
      <c r="J182" s="459">
        <f>J80*Calc_SEC_death_rates!$G127</f>
        <v>0.27620494810736118</v>
      </c>
      <c r="K182" s="459">
        <f>K80*Calc_SEC_death_rates!$G127</f>
        <v>0.28229797117849759</v>
      </c>
      <c r="L182" s="459">
        <f>L80*Calc_SEC_death_rates!$G127</f>
        <v>0.28771607496530738</v>
      </c>
      <c r="M182" s="459">
        <f>M80*Calc_SEC_death_rates!$G127</f>
        <v>0.29213061195334761</v>
      </c>
      <c r="N182" s="459">
        <f>N80*Calc_SEC_death_rates!$G127</f>
        <v>0.29587736581825741</v>
      </c>
    </row>
    <row r="183" spans="1:14">
      <c r="B183" s="338" t="str">
        <f t="shared" si="63"/>
        <v>40-44</v>
      </c>
      <c r="C183" s="459">
        <f>C81*Calc_SEC_death_rates!$G128</f>
        <v>0.52235466691904797</v>
      </c>
      <c r="D183" s="459">
        <f>D81*Calc_SEC_death_rates!$G128</f>
        <v>0.51428635272837397</v>
      </c>
      <c r="E183" s="459">
        <f>E81*Calc_SEC_death_rates!$G128</f>
        <v>0.51077845623899287</v>
      </c>
      <c r="F183" s="459">
        <f>F81*Calc_SEC_death_rates!$G128</f>
        <v>0.49893001720916308</v>
      </c>
      <c r="G183" s="459">
        <f>G81*Calc_SEC_death_rates!$G128</f>
        <v>0.48773503049174916</v>
      </c>
      <c r="H183" s="459">
        <f>H81*Calc_SEC_death_rates!$G128</f>
        <v>0.48370683462640207</v>
      </c>
      <c r="I183" s="459">
        <f>I81*Calc_SEC_death_rates!$G128</f>
        <v>0.48282929922738549</v>
      </c>
      <c r="J183" s="459">
        <f>J81*Calc_SEC_death_rates!$G128</f>
        <v>0.48287432702705607</v>
      </c>
      <c r="K183" s="459">
        <f>K81*Calc_SEC_death_rates!$G128</f>
        <v>0.48510014162745901</v>
      </c>
      <c r="L183" s="459">
        <f>L81*Calc_SEC_death_rates!$G128</f>
        <v>0.4868375004162197</v>
      </c>
      <c r="M183" s="459">
        <f>M81*Calc_SEC_death_rates!$G128</f>
        <v>0.48801740671144556</v>
      </c>
      <c r="N183" s="459">
        <f>N81*Calc_SEC_death_rates!$G128</f>
        <v>0.48943407105781295</v>
      </c>
    </row>
    <row r="184" spans="1:14">
      <c r="B184" s="338" t="str">
        <f t="shared" si="63"/>
        <v>45-49</v>
      </c>
      <c r="C184" s="459">
        <f>C82*Calc_SEC_death_rates!$G129</f>
        <v>0.59153791279128298</v>
      </c>
      <c r="D184" s="459">
        <f>D82*Calc_SEC_death_rates!$G129</f>
        <v>0.57004271247273597</v>
      </c>
      <c r="E184" s="459">
        <f>E82*Calc_SEC_death_rates!$G129</f>
        <v>0.55424446937506544</v>
      </c>
      <c r="F184" s="459">
        <f>F82*Calc_SEC_death_rates!$G129</f>
        <v>0.53323293960832874</v>
      </c>
      <c r="G184" s="459">
        <f>G82*Calc_SEC_death_rates!$G129</f>
        <v>0.51441144061896193</v>
      </c>
      <c r="H184" s="459">
        <f>H82*Calc_SEC_death_rates!$G129</f>
        <v>0.50300652590442063</v>
      </c>
      <c r="I184" s="459">
        <f>I82*Calc_SEC_death_rates!$G129</f>
        <v>0.4951730885599574</v>
      </c>
      <c r="J184" s="459">
        <f>J82*Calc_SEC_death_rates!$G129</f>
        <v>0.48866815838105709</v>
      </c>
      <c r="K184" s="459">
        <f>K82*Calc_SEC_death_rates!$G129</f>
        <v>0.48439321525848344</v>
      </c>
      <c r="L184" s="459">
        <f>L82*Calc_SEC_death_rates!$G129</f>
        <v>0.47997720708881908</v>
      </c>
      <c r="M184" s="459">
        <f>M82*Calc_SEC_death_rates!$G129</f>
        <v>0.47538914022477935</v>
      </c>
      <c r="N184" s="459">
        <f>N82*Calc_SEC_death_rates!$G129</f>
        <v>0.47142092010490377</v>
      </c>
    </row>
    <row r="185" spans="1:14">
      <c r="B185" s="338" t="str">
        <f t="shared" si="63"/>
        <v>50-54</v>
      </c>
      <c r="C185" s="459">
        <f>C83*Calc_SEC_death_rates!$G130</f>
        <v>1.1800901094384966</v>
      </c>
      <c r="D185" s="459">
        <f>D83*Calc_SEC_death_rates!$G130</f>
        <v>1.0998405727757266</v>
      </c>
      <c r="E185" s="459">
        <f>E83*Calc_SEC_death_rates!$G130</f>
        <v>1.0373023724902779</v>
      </c>
      <c r="F185" s="459">
        <f>F83*Calc_SEC_death_rates!$G130</f>
        <v>0.97428715251106357</v>
      </c>
      <c r="G185" s="459">
        <f>G83*Calc_SEC_death_rates!$G130</f>
        <v>0.9203352597749378</v>
      </c>
      <c r="H185" s="459">
        <f>H83*Calc_SEC_death_rates!$G130</f>
        <v>0.88196837021551211</v>
      </c>
      <c r="I185" s="459">
        <f>I83*Calc_SEC_death_rates!$G130</f>
        <v>0.85251955673443136</v>
      </c>
      <c r="J185" s="459">
        <f>J83*Calc_SEC_death_rates!$G130</f>
        <v>0.82788429959517551</v>
      </c>
      <c r="K185" s="459">
        <f>K83*Calc_SEC_death_rates!$G130</f>
        <v>0.80872842861366612</v>
      </c>
      <c r="L185" s="459">
        <f>L83*Calc_SEC_death_rates!$G130</f>
        <v>0.79102642387443245</v>
      </c>
      <c r="M185" s="459">
        <f>M83*Calc_SEC_death_rates!$G130</f>
        <v>0.77435107514429791</v>
      </c>
      <c r="N185" s="459">
        <f>N83*Calc_SEC_death_rates!$G130</f>
        <v>0.75960408813178304</v>
      </c>
    </row>
    <row r="186" spans="1:14">
      <c r="B186" s="338" t="str">
        <f t="shared" si="63"/>
        <v>55-59</v>
      </c>
      <c r="C186" s="459">
        <f>C84*Calc_SEC_death_rates!$G131</f>
        <v>0.8705009656988002</v>
      </c>
      <c r="D186" s="459">
        <f>D84*Calc_SEC_death_rates!$G131</f>
        <v>0.73306844158363249</v>
      </c>
      <c r="E186" s="459">
        <f>E84*Calc_SEC_death_rates!$G131</f>
        <v>0.64028783712619353</v>
      </c>
      <c r="F186" s="459">
        <f>F84*Calc_SEC_death_rates!$G131</f>
        <v>0.56732706402658561</v>
      </c>
      <c r="G186" s="459">
        <f>G84*Calc_SEC_death_rates!$G131</f>
        <v>0.51308834798436997</v>
      </c>
      <c r="H186" s="459">
        <f>H84*Calc_SEC_death_rates!$G131</f>
        <v>0.47660408603540816</v>
      </c>
      <c r="I186" s="459">
        <f>I84*Calc_SEC_death_rates!$G131</f>
        <v>0.45009365198079465</v>
      </c>
      <c r="J186" s="459">
        <f>J84*Calc_SEC_death_rates!$G131</f>
        <v>0.429151811071946</v>
      </c>
      <c r="K186" s="459">
        <f>K84*Calc_SEC_death_rates!$G131</f>
        <v>0.4132617927326277</v>
      </c>
      <c r="L186" s="459">
        <f>L84*Calc_SEC_death_rates!$G131</f>
        <v>0.39920782123062643</v>
      </c>
      <c r="M186" s="459">
        <f>M84*Calc_SEC_death_rates!$G131</f>
        <v>0.38650113041765038</v>
      </c>
      <c r="N186" s="459">
        <f>N84*Calc_SEC_death_rates!$G131</f>
        <v>0.37554439391605443</v>
      </c>
    </row>
    <row r="187" spans="1:14">
      <c r="B187" s="338" t="str">
        <f t="shared" si="63"/>
        <v>60-64</v>
      </c>
      <c r="C187" s="459">
        <f>C85*Calc_SEC_death_rates!$G132</f>
        <v>0.67719639975009904</v>
      </c>
      <c r="D187" s="459">
        <f>D85*Calc_SEC_death_rates!$G132</f>
        <v>0.6174197713718822</v>
      </c>
      <c r="E187" s="459">
        <f>E85*Calc_SEC_death_rates!$G132</f>
        <v>0.54914212990300948</v>
      </c>
      <c r="F187" s="459">
        <f>F85*Calc_SEC_death_rates!$G132</f>
        <v>0.47977849935928252</v>
      </c>
      <c r="G187" s="459">
        <f>G85*Calc_SEC_death_rates!$G132</f>
        <v>0.42353785013339385</v>
      </c>
      <c r="H187" s="459">
        <f>H85*Calc_SEC_death_rates!$G132</f>
        <v>0.38491623381535378</v>
      </c>
      <c r="I187" s="459">
        <f>I85*Calc_SEC_death_rates!$G132</f>
        <v>0.35676787643134306</v>
      </c>
      <c r="J187" s="459">
        <f>J85*Calc_SEC_death_rates!$G132</f>
        <v>0.33471411613397667</v>
      </c>
      <c r="K187" s="459">
        <f>K85*Calc_SEC_death_rates!$G132</f>
        <v>0.31833478677411914</v>
      </c>
      <c r="L187" s="459">
        <f>L85*Calc_SEC_death_rates!$G132</f>
        <v>0.30397560192767759</v>
      </c>
      <c r="M187" s="459">
        <f>M85*Calc_SEC_death_rates!$G132</f>
        <v>0.29116784567951837</v>
      </c>
      <c r="N187" s="459">
        <f>N85*Calc_SEC_death_rates!$G132</f>
        <v>0.28037102367224326</v>
      </c>
    </row>
    <row r="188" spans="1:14">
      <c r="B188" s="338" t="str">
        <f t="shared" si="63"/>
        <v>65 plus</v>
      </c>
      <c r="C188" s="459">
        <f>C86*Calc_SEC_death_rates!$G133</f>
        <v>0.51297946162934027</v>
      </c>
      <c r="D188" s="459">
        <f>D86*Calc_SEC_death_rates!$G133</f>
        <v>0.578703514374309</v>
      </c>
      <c r="E188" s="459">
        <f>E86*Calc_SEC_death_rates!$G133</f>
        <v>0.5925656511496753</v>
      </c>
      <c r="F188" s="459">
        <f>F86*Calc_SEC_death_rates!$G133</f>
        <v>0.56263784984850584</v>
      </c>
      <c r="G188" s="459">
        <f>G86*Calc_SEC_death_rates!$G133</f>
        <v>0.51812990650235147</v>
      </c>
      <c r="H188" s="459">
        <f>H86*Calc_SEC_death_rates!$G133</f>
        <v>0.47785862126129669</v>
      </c>
      <c r="I188" s="459">
        <f>I86*Calc_SEC_death_rates!$G133</f>
        <v>0.44273358638832033</v>
      </c>
      <c r="J188" s="459">
        <f>J86*Calc_SEC_death_rates!$G133</f>
        <v>0.41213145113148286</v>
      </c>
      <c r="K188" s="459">
        <f>K86*Calc_SEC_death_rates!$G133</f>
        <v>0.38765448846090594</v>
      </c>
      <c r="L188" s="459">
        <f>L86*Calc_SEC_death_rates!$G133</f>
        <v>0.36599105493460793</v>
      </c>
      <c r="M188" s="459">
        <f>M86*Calc_SEC_death_rates!$G133</f>
        <v>0.34666728247634537</v>
      </c>
      <c r="N188" s="459">
        <f>N86*Calc_SEC_death_rates!$G133</f>
        <v>0.33025535924624189</v>
      </c>
    </row>
    <row r="189" spans="1:14">
      <c r="B189" s="338" t="str">
        <f t="shared" si="63"/>
        <v>Total</v>
      </c>
      <c r="C189" s="459">
        <f>SUM(C179:C188)</f>
        <v>4.7566500407036045</v>
      </c>
      <c r="D189" s="459">
        <f t="shared" ref="D189:N189" si="65">SUM(D179:D188)</f>
        <v>4.5162311579943477</v>
      </c>
      <c r="E189" s="459">
        <f t="shared" si="65"/>
        <v>4.2933365475147447</v>
      </c>
      <c r="F189" s="459">
        <f t="shared" si="65"/>
        <v>4.0222142802207088</v>
      </c>
      <c r="G189" s="459">
        <f t="shared" si="65"/>
        <v>3.7812472742535124</v>
      </c>
      <c r="H189" s="459">
        <f t="shared" si="65"/>
        <v>3.618739864168083</v>
      </c>
      <c r="I189" s="459">
        <f t="shared" si="65"/>
        <v>3.5012617221674276</v>
      </c>
      <c r="J189" s="459">
        <f t="shared" si="65"/>
        <v>3.407581603183615</v>
      </c>
      <c r="K189" s="459">
        <f t="shared" si="65"/>
        <v>3.3421032390933378</v>
      </c>
      <c r="L189" s="459">
        <f t="shared" si="65"/>
        <v>3.2819176239653034</v>
      </c>
      <c r="M189" s="459">
        <f t="shared" si="65"/>
        <v>3.2245628572670615</v>
      </c>
      <c r="N189" s="459">
        <f t="shared" si="65"/>
        <v>3.1748017808917965</v>
      </c>
    </row>
    <row r="190" spans="1:14">
      <c r="A190" s="309">
        <f>SUM(C190:N190)</f>
        <v>0</v>
      </c>
      <c r="C190" s="309">
        <f>SUM(C179:C188)-C189</f>
        <v>0</v>
      </c>
      <c r="D190" s="309">
        <f t="shared" ref="D190:N190" si="66">SUM(D179:D188)-D189</f>
        <v>0</v>
      </c>
      <c r="E190" s="309">
        <f t="shared" si="66"/>
        <v>0</v>
      </c>
      <c r="F190" s="309">
        <f t="shared" si="66"/>
        <v>0</v>
      </c>
      <c r="G190" s="309">
        <f t="shared" si="66"/>
        <v>0</v>
      </c>
      <c r="H190" s="309">
        <f t="shared" si="66"/>
        <v>0</v>
      </c>
      <c r="I190" s="309">
        <f t="shared" si="66"/>
        <v>0</v>
      </c>
      <c r="J190" s="309">
        <f t="shared" si="66"/>
        <v>0</v>
      </c>
      <c r="K190" s="309">
        <f t="shared" si="66"/>
        <v>0</v>
      </c>
      <c r="L190" s="309">
        <f t="shared" si="66"/>
        <v>0</v>
      </c>
      <c r="M190" s="309">
        <f t="shared" si="66"/>
        <v>0</v>
      </c>
      <c r="N190" s="309">
        <f t="shared" si="66"/>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7">B178</f>
        <v>Age group</v>
      </c>
      <c r="C194" s="338" t="str">
        <f t="shared" ref="C194:N194" si="68">C178</f>
        <v>2016/17</v>
      </c>
      <c r="D194" s="338" t="str">
        <f t="shared" si="68"/>
        <v>2017/18</v>
      </c>
      <c r="E194" s="338" t="str">
        <f t="shared" si="68"/>
        <v>2018/19</v>
      </c>
      <c r="F194" s="338" t="str">
        <f t="shared" si="68"/>
        <v>2019/20</v>
      </c>
      <c r="G194" s="338" t="str">
        <f t="shared" si="68"/>
        <v>2020/21</v>
      </c>
      <c r="H194" s="338" t="str">
        <f t="shared" si="68"/>
        <v>2021/22</v>
      </c>
      <c r="I194" s="338" t="str">
        <f t="shared" si="68"/>
        <v>2022/23</v>
      </c>
      <c r="J194" s="338" t="str">
        <f t="shared" si="68"/>
        <v>2023/24</v>
      </c>
      <c r="K194" s="338" t="str">
        <f t="shared" si="68"/>
        <v>2024/25</v>
      </c>
      <c r="L194" s="338" t="str">
        <f t="shared" si="68"/>
        <v>2025/26</v>
      </c>
      <c r="M194" s="338" t="str">
        <f t="shared" si="68"/>
        <v>2026/27</v>
      </c>
      <c r="N194" s="338" t="str">
        <f t="shared" si="68"/>
        <v>2027/28</v>
      </c>
    </row>
    <row r="195" spans="1:14">
      <c r="B195" s="338" t="str">
        <f t="shared" si="67"/>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7"/>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7"/>
        <v>30-34</v>
      </c>
      <c r="C197" s="459">
        <f>C95*Calc_SEC_death_rates!$G142</f>
        <v>6.6932645743884134E-2</v>
      </c>
      <c r="D197" s="459">
        <f>D95*Calc_SEC_death_rates!$G142</f>
        <v>6.4961418002006957E-2</v>
      </c>
      <c r="E197" s="459">
        <f>E95*Calc_SEC_death_rates!$G142</f>
        <v>6.4158300908284227E-2</v>
      </c>
      <c r="F197" s="459">
        <f>F95*Calc_SEC_death_rates!$G142</f>
        <v>6.1961019613815817E-2</v>
      </c>
      <c r="G197" s="459">
        <f>G95*Calc_SEC_death_rates!$G142</f>
        <v>6.0025475489570081E-2</v>
      </c>
      <c r="H197" s="459">
        <f>H95*Calc_SEC_death_rates!$G142</f>
        <v>5.966252701500132E-2</v>
      </c>
      <c r="I197" s="459">
        <f>I95*Calc_SEC_death_rates!$G142</f>
        <v>6.0026137283780027E-2</v>
      </c>
      <c r="J197" s="459">
        <f>J95*Calc_SEC_death_rates!$G142</f>
        <v>6.0529166185731426E-2</v>
      </c>
      <c r="K197" s="459">
        <f>K95*Calc_SEC_death_rates!$G142</f>
        <v>6.1309552932135095E-2</v>
      </c>
      <c r="L197" s="459">
        <f>L95*Calc_SEC_death_rates!$G142</f>
        <v>6.1742499155641138E-2</v>
      </c>
      <c r="M197" s="459">
        <f>M95*Calc_SEC_death_rates!$G142</f>
        <v>6.1755204886947142E-2</v>
      </c>
      <c r="N197" s="459">
        <f>N95*Calc_SEC_death_rates!$G142</f>
        <v>6.1521161551703139E-2</v>
      </c>
    </row>
    <row r="198" spans="1:14">
      <c r="B198" s="338" t="str">
        <f t="shared" si="67"/>
        <v>35-39</v>
      </c>
      <c r="C198" s="459">
        <f>C96*Calc_SEC_death_rates!$G143</f>
        <v>0.23229749677802328</v>
      </c>
      <c r="D198" s="459">
        <f>D96*Calc_SEC_death_rates!$G143</f>
        <v>0.23612872739508975</v>
      </c>
      <c r="E198" s="459">
        <f>E96*Calc_SEC_death_rates!$G143</f>
        <v>0.23855905336718497</v>
      </c>
      <c r="F198" s="459">
        <f>F96*Calc_SEC_death_rates!$G143</f>
        <v>0.23455989564388185</v>
      </c>
      <c r="G198" s="459">
        <f>G96*Calc_SEC_death_rates!$G143</f>
        <v>0.22948567750880286</v>
      </c>
      <c r="H198" s="459">
        <f>H96*Calc_SEC_death_rates!$G143</f>
        <v>0.22722119944567562</v>
      </c>
      <c r="I198" s="459">
        <f>I96*Calc_SEC_death_rates!$G143</f>
        <v>0.2261260607309529</v>
      </c>
      <c r="J198" s="459">
        <f>J96*Calc_SEC_death_rates!$G143</f>
        <v>0.22523750491023559</v>
      </c>
      <c r="K198" s="459">
        <f>K96*Calc_SEC_death_rates!$G143</f>
        <v>0.22524188803021478</v>
      </c>
      <c r="L198" s="459">
        <f>L96*Calc_SEC_death_rates!$G143</f>
        <v>0.22476164955550765</v>
      </c>
      <c r="M198" s="459">
        <f>M96*Calc_SEC_death_rates!$G143</f>
        <v>0.22369937445130622</v>
      </c>
      <c r="N198" s="459">
        <f>N96*Calc_SEC_death_rates!$G143</f>
        <v>0.22243161621762805</v>
      </c>
    </row>
    <row r="199" spans="1:14">
      <c r="B199" s="338" t="str">
        <f t="shared" si="67"/>
        <v>40-44</v>
      </c>
      <c r="C199" s="459">
        <f>C97*Calc_SEC_death_rates!$G144</f>
        <v>0.24301703736957911</v>
      </c>
      <c r="D199" s="459">
        <f>D97*Calc_SEC_death_rates!$G144</f>
        <v>0.24461154075432612</v>
      </c>
      <c r="E199" s="459">
        <f>E97*Calc_SEC_death_rates!$G144</f>
        <v>0.24750088404059406</v>
      </c>
      <c r="F199" s="459">
        <f>F97*Calc_SEC_death_rates!$G144</f>
        <v>0.24527037227846252</v>
      </c>
      <c r="G199" s="459">
        <f>G97*Calc_SEC_death_rates!$G144</f>
        <v>0.24224169958711633</v>
      </c>
      <c r="H199" s="459">
        <f>H97*Calc_SEC_death_rates!$G144</f>
        <v>0.24158392937434359</v>
      </c>
      <c r="I199" s="459">
        <f>I97*Calc_SEC_death_rates!$G144</f>
        <v>0.24139819296391962</v>
      </c>
      <c r="J199" s="459">
        <f>J97*Calc_SEC_death_rates!$G144</f>
        <v>0.24072120168957925</v>
      </c>
      <c r="K199" s="459">
        <f>K97*Calc_SEC_death_rates!$G144</f>
        <v>0.24032332554745292</v>
      </c>
      <c r="L199" s="459">
        <f>L97*Calc_SEC_death_rates!$G144</f>
        <v>0.23907263205918644</v>
      </c>
      <c r="M199" s="459">
        <f>M97*Calc_SEC_death_rates!$G144</f>
        <v>0.23710817783333957</v>
      </c>
      <c r="N199" s="459">
        <f>N97*Calc_SEC_death_rates!$G144</f>
        <v>0.23497722090311116</v>
      </c>
    </row>
    <row r="200" spans="1:14">
      <c r="B200" s="338" t="str">
        <f t="shared" si="67"/>
        <v>45-49</v>
      </c>
      <c r="C200" s="459">
        <f>C98*Calc_SEC_death_rates!$G145</f>
        <v>0.34475242525987265</v>
      </c>
      <c r="D200" s="459">
        <f>D98*Calc_SEC_death_rates!$G145</f>
        <v>0.33999731113358922</v>
      </c>
      <c r="E200" s="459">
        <f>E98*Calc_SEC_death_rates!$G145</f>
        <v>0.33803421532999967</v>
      </c>
      <c r="F200" s="459">
        <f>F98*Calc_SEC_death_rates!$G145</f>
        <v>0.33155990796061152</v>
      </c>
      <c r="G200" s="459">
        <f>G98*Calc_SEC_death_rates!$G145</f>
        <v>0.3255303923880325</v>
      </c>
      <c r="H200" s="459">
        <f>H98*Calc_SEC_death_rates!$G145</f>
        <v>0.32341457599173307</v>
      </c>
      <c r="I200" s="459">
        <f>I98*Calc_SEC_death_rates!$G145</f>
        <v>0.32259810987566528</v>
      </c>
      <c r="J200" s="459">
        <f>J98*Calc_SEC_death_rates!$G145</f>
        <v>0.32157266633848824</v>
      </c>
      <c r="K200" s="459">
        <f>K98*Calc_SEC_death_rates!$G145</f>
        <v>0.32097621721898878</v>
      </c>
      <c r="L200" s="459">
        <f>L98*Calc_SEC_death_rates!$G145</f>
        <v>0.31928487709987352</v>
      </c>
      <c r="M200" s="459">
        <f>M98*Calc_SEC_death_rates!$G145</f>
        <v>0.31657612884810593</v>
      </c>
      <c r="N200" s="459">
        <f>N98*Calc_SEC_death_rates!$G145</f>
        <v>0.31350011856726562</v>
      </c>
    </row>
    <row r="201" spans="1:14">
      <c r="B201" s="338" t="str">
        <f t="shared" si="67"/>
        <v>50-54</v>
      </c>
      <c r="C201" s="459">
        <f>C99*Calc_SEC_death_rates!$G146</f>
        <v>0.40084393108134725</v>
      </c>
      <c r="D201" s="459">
        <f>D99*Calc_SEC_death_rates!$G146</f>
        <v>0.38994389555325759</v>
      </c>
      <c r="E201" s="459">
        <f>E99*Calc_SEC_death_rates!$G146</f>
        <v>0.38213379906437001</v>
      </c>
      <c r="F201" s="459">
        <f>F99*Calc_SEC_death_rates!$G146</f>
        <v>0.37029053984331112</v>
      </c>
      <c r="G201" s="459">
        <f>G99*Calc_SEC_death_rates!$G146</f>
        <v>0.35962489448165708</v>
      </c>
      <c r="H201" s="459">
        <f>H99*Calc_SEC_death_rates!$G146</f>
        <v>0.35370750427391257</v>
      </c>
      <c r="I201" s="459">
        <f>I99*Calc_SEC_death_rates!$G146</f>
        <v>0.34990286458296477</v>
      </c>
      <c r="J201" s="459">
        <f>J99*Calc_SEC_death_rates!$G146</f>
        <v>0.34662585912856791</v>
      </c>
      <c r="K201" s="459">
        <f>K99*Calc_SEC_death_rates!$G146</f>
        <v>0.34438802721811257</v>
      </c>
      <c r="L201" s="459">
        <f>L99*Calc_SEC_death_rates!$G146</f>
        <v>0.34150783438388244</v>
      </c>
      <c r="M201" s="459">
        <f>M99*Calc_SEC_death_rates!$G146</f>
        <v>0.33792141448650925</v>
      </c>
      <c r="N201" s="459">
        <f>N99*Calc_SEC_death_rates!$G146</f>
        <v>0.33415775297989303</v>
      </c>
    </row>
    <row r="202" spans="1:14">
      <c r="B202" s="338" t="str">
        <f t="shared" si="67"/>
        <v>55-59</v>
      </c>
      <c r="C202" s="459">
        <f>C100*Calc_SEC_death_rates!$G147</f>
        <v>0.8541245318760885</v>
      </c>
      <c r="D202" s="459">
        <f>D100*Calc_SEC_death_rates!$G147</f>
        <v>0.74641167364713312</v>
      </c>
      <c r="E202" s="459">
        <f>E100*Calc_SEC_death_rates!$G147</f>
        <v>0.67870081144652539</v>
      </c>
      <c r="F202" s="459">
        <f>F100*Calc_SEC_death_rates!$G147</f>
        <v>0.62324062850838458</v>
      </c>
      <c r="G202" s="459">
        <f>G100*Calc_SEC_death_rates!$G147</f>
        <v>0.58298303716256494</v>
      </c>
      <c r="H202" s="459">
        <f>H100*Calc_SEC_death_rates!$G147</f>
        <v>0.55966594036060247</v>
      </c>
      <c r="I202" s="459">
        <f>I100*Calc_SEC_death_rates!$G147</f>
        <v>0.54456744638373289</v>
      </c>
      <c r="J202" s="459">
        <f>J100*Calc_SEC_death_rates!$G147</f>
        <v>0.53295338410160231</v>
      </c>
      <c r="K202" s="459">
        <f>K100*Calc_SEC_death_rates!$G147</f>
        <v>0.52505077695688951</v>
      </c>
      <c r="L202" s="459">
        <f>L100*Calc_SEC_death_rates!$G147</f>
        <v>0.51703989052466759</v>
      </c>
      <c r="M202" s="459">
        <f>M100*Calc_SEC_death_rates!$G147</f>
        <v>0.5086870199958452</v>
      </c>
      <c r="N202" s="459">
        <f>N100*Calc_SEC_death_rates!$G147</f>
        <v>0.50088170266871312</v>
      </c>
    </row>
    <row r="203" spans="1:14">
      <c r="B203" s="338" t="str">
        <f t="shared" si="67"/>
        <v>60-64</v>
      </c>
      <c r="C203" s="459">
        <f>C101*Calc_SEC_death_rates!$G148</f>
        <v>0.4792352297981185</v>
      </c>
      <c r="D203" s="459">
        <f>D101*Calc_SEC_death_rates!$G148</f>
        <v>0.44523597193870856</v>
      </c>
      <c r="E203" s="459">
        <f>E101*Calc_SEC_death_rates!$G148</f>
        <v>0.40697359723673715</v>
      </c>
      <c r="F203" s="459">
        <f>F101*Calc_SEC_death_rates!$G148</f>
        <v>0.36500548209530509</v>
      </c>
      <c r="G203" s="459">
        <f>G101*Calc_SEC_death_rates!$G148</f>
        <v>0.33216163060770931</v>
      </c>
      <c r="H203" s="459">
        <f>H101*Calc_SEC_death_rates!$G148</f>
        <v>0.31288797783736333</v>
      </c>
      <c r="I203" s="459">
        <f>I101*Calc_SEC_death_rates!$G148</f>
        <v>0.30020215307575554</v>
      </c>
      <c r="J203" s="459">
        <f>J101*Calc_SEC_death_rates!$G148</f>
        <v>0.29037930891129604</v>
      </c>
      <c r="K203" s="459">
        <f>K101*Calc_SEC_death_rates!$G148</f>
        <v>0.28377752810876156</v>
      </c>
      <c r="L203" s="459">
        <f>L101*Calc_SEC_death_rates!$G148</f>
        <v>0.2771714607038348</v>
      </c>
      <c r="M203" s="459">
        <f>M101*Calc_SEC_death_rates!$G148</f>
        <v>0.27056903102786334</v>
      </c>
      <c r="N203" s="459">
        <f>N101*Calc_SEC_death_rates!$G148</f>
        <v>0.26478878321696497</v>
      </c>
    </row>
    <row r="204" spans="1:14">
      <c r="B204" s="338" t="str">
        <f t="shared" si="67"/>
        <v>65 plus</v>
      </c>
      <c r="C204" s="459">
        <f>C102*Calc_SEC_death_rates!$G149</f>
        <v>0.58287042499620467</v>
      </c>
      <c r="D204" s="459">
        <f>D102*Calc_SEC_death_rates!$G149</f>
        <v>0.69906404606300421</v>
      </c>
      <c r="E204" s="459">
        <f>E102*Calc_SEC_death_rates!$G149</f>
        <v>0.73689543182768158</v>
      </c>
      <c r="F204" s="459">
        <f>F102*Calc_SEC_death_rates!$G149</f>
        <v>0.70812349798053553</v>
      </c>
      <c r="G204" s="459">
        <f>G102*Calc_SEC_death_rates!$G149</f>
        <v>0.6620126452266526</v>
      </c>
      <c r="H204" s="459">
        <f>H102*Calc_SEC_death_rates!$G149</f>
        <v>0.62724427219532941</v>
      </c>
      <c r="I204" s="459">
        <f>I102*Calc_SEC_death_rates!$G149</f>
        <v>0.59971144770473428</v>
      </c>
      <c r="J204" s="459">
        <f>J102*Calc_SEC_death_rates!$G149</f>
        <v>0.57578882011864874</v>
      </c>
      <c r="K204" s="459">
        <f>K102*Calc_SEC_death_rates!$G149</f>
        <v>0.55822256074752286</v>
      </c>
      <c r="L204" s="459">
        <f>L102*Calc_SEC_death_rates!$G149</f>
        <v>0.54077727881982129</v>
      </c>
      <c r="M204" s="459">
        <f>M102*Calc_SEC_death_rates!$G149</f>
        <v>0.52345785096698605</v>
      </c>
      <c r="N204" s="459">
        <f>N102*Calc_SEC_death_rates!$G149</f>
        <v>0.50825246454106299</v>
      </c>
    </row>
    <row r="205" spans="1:14">
      <c r="B205" s="338" t="str">
        <f t="shared" si="67"/>
        <v>Total</v>
      </c>
      <c r="C205" s="459">
        <f>SUM(C195:C204)</f>
        <v>3.204073722903118</v>
      </c>
      <c r="D205" s="459">
        <f t="shared" ref="D205:N205" si="69">SUM(D195:D204)</f>
        <v>3.1663545844871148</v>
      </c>
      <c r="E205" s="459">
        <f t="shared" si="69"/>
        <v>3.0929560932213769</v>
      </c>
      <c r="F205" s="459">
        <f t="shared" si="69"/>
        <v>2.9400113439243079</v>
      </c>
      <c r="G205" s="459">
        <f t="shared" si="69"/>
        <v>2.7940654524521058</v>
      </c>
      <c r="H205" s="459">
        <f t="shared" si="69"/>
        <v>2.7053879264939615</v>
      </c>
      <c r="I205" s="459">
        <f t="shared" si="69"/>
        <v>2.6445324126015053</v>
      </c>
      <c r="J205" s="459">
        <f t="shared" si="69"/>
        <v>2.5938079113841495</v>
      </c>
      <c r="K205" s="459">
        <f t="shared" si="69"/>
        <v>2.559289876760078</v>
      </c>
      <c r="L205" s="459">
        <f t="shared" si="69"/>
        <v>2.5213581223024151</v>
      </c>
      <c r="M205" s="459">
        <f t="shared" si="69"/>
        <v>2.4797742024969027</v>
      </c>
      <c r="N205" s="459">
        <f t="shared" si="69"/>
        <v>2.4405108206463422</v>
      </c>
    </row>
    <row r="206" spans="1:14">
      <c r="A206" s="309">
        <f>SUM(C206:N206)</f>
        <v>0</v>
      </c>
      <c r="C206" s="309">
        <f>SUM(C195:C204)-C205</f>
        <v>0</v>
      </c>
      <c r="D206" s="309">
        <f t="shared" ref="D206:N206" si="70">SUM(D195:D204)-D205</f>
        <v>0</v>
      </c>
      <c r="E206" s="309">
        <f t="shared" si="70"/>
        <v>0</v>
      </c>
      <c r="F206" s="309">
        <f t="shared" si="70"/>
        <v>0</v>
      </c>
      <c r="G206" s="309">
        <f t="shared" si="70"/>
        <v>0</v>
      </c>
      <c r="H206" s="309">
        <f t="shared" si="70"/>
        <v>0</v>
      </c>
      <c r="I206" s="309">
        <f t="shared" si="70"/>
        <v>0</v>
      </c>
      <c r="J206" s="309">
        <f t="shared" si="70"/>
        <v>0</v>
      </c>
      <c r="K206" s="309">
        <f t="shared" si="70"/>
        <v>0</v>
      </c>
      <c r="L206" s="309">
        <f t="shared" si="70"/>
        <v>0</v>
      </c>
      <c r="M206" s="309">
        <f t="shared" si="70"/>
        <v>0</v>
      </c>
      <c r="N206" s="309">
        <f t="shared" si="70"/>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1">B178</f>
        <v>Age group</v>
      </c>
      <c r="C212" s="338" t="str">
        <f t="shared" ref="C212:N212" si="72">C178</f>
        <v>2016/17</v>
      </c>
      <c r="D212" s="338" t="str">
        <f t="shared" si="72"/>
        <v>2017/18</v>
      </c>
      <c r="E212" s="338" t="str">
        <f t="shared" si="72"/>
        <v>2018/19</v>
      </c>
      <c r="F212" s="338" t="str">
        <f t="shared" si="72"/>
        <v>2019/20</v>
      </c>
      <c r="G212" s="338" t="str">
        <f t="shared" si="72"/>
        <v>2020/21</v>
      </c>
      <c r="H212" s="338" t="str">
        <f t="shared" si="72"/>
        <v>2021/22</v>
      </c>
      <c r="I212" s="338" t="str">
        <f t="shared" si="72"/>
        <v>2022/23</v>
      </c>
      <c r="J212" s="338" t="str">
        <f t="shared" si="72"/>
        <v>2023/24</v>
      </c>
      <c r="K212" s="338" t="str">
        <f t="shared" si="72"/>
        <v>2024/25</v>
      </c>
      <c r="L212" s="338" t="str">
        <f t="shared" si="72"/>
        <v>2025/26</v>
      </c>
      <c r="M212" s="338" t="str">
        <f t="shared" si="72"/>
        <v>2026/27</v>
      </c>
      <c r="N212" s="338" t="str">
        <f t="shared" si="72"/>
        <v>2027/28</v>
      </c>
    </row>
    <row r="213" spans="1:14">
      <c r="B213" s="338" t="str">
        <f t="shared" si="71"/>
        <v>20-24</v>
      </c>
      <c r="C213" s="459">
        <f t="shared" ref="C213:C222" si="73">C111+C145+C179</f>
        <v>6.7174223098938866</v>
      </c>
      <c r="D213" s="459">
        <f t="shared" ref="D213:N213" si="74">D111+D145+D179</f>
        <v>17.111781399603231</v>
      </c>
      <c r="E213" s="459">
        <f t="shared" si="74"/>
        <v>25.183695770623284</v>
      </c>
      <c r="F213" s="459">
        <f t="shared" si="74"/>
        <v>27.443693635628762</v>
      </c>
      <c r="G213" s="459">
        <f t="shared" si="74"/>
        <v>28.656310305798232</v>
      </c>
      <c r="H213" s="459">
        <f t="shared" si="74"/>
        <v>31.407909786673049</v>
      </c>
      <c r="I213" s="459">
        <f t="shared" si="74"/>
        <v>33.921330842824197</v>
      </c>
      <c r="J213" s="459">
        <f t="shared" si="74"/>
        <v>35.488183545192207</v>
      </c>
      <c r="K213" s="459">
        <f t="shared" si="74"/>
        <v>36.810494649985976</v>
      </c>
      <c r="L213" s="459">
        <f t="shared" si="74"/>
        <v>37.065356170860554</v>
      </c>
      <c r="M213" s="459">
        <f t="shared" si="74"/>
        <v>36.570725452856031</v>
      </c>
      <c r="N213" s="459">
        <f t="shared" si="74"/>
        <v>35.887071140942147</v>
      </c>
    </row>
    <row r="214" spans="1:14">
      <c r="B214" s="338" t="str">
        <f t="shared" si="71"/>
        <v>25-29</v>
      </c>
      <c r="C214" s="459">
        <f t="shared" si="73"/>
        <v>23.927636794627919</v>
      </c>
      <c r="D214" s="459">
        <f t="shared" ref="D214:N214" si="75">D112+D146+D180</f>
        <v>30.722802940831635</v>
      </c>
      <c r="E214" s="459">
        <f t="shared" si="75"/>
        <v>37.794867212682867</v>
      </c>
      <c r="F214" s="459">
        <f t="shared" si="75"/>
        <v>40.611571439457663</v>
      </c>
      <c r="G214" s="459">
        <f t="shared" si="75"/>
        <v>42.590307927713553</v>
      </c>
      <c r="H214" s="459">
        <f t="shared" si="75"/>
        <v>46.085868332740276</v>
      </c>
      <c r="I214" s="459">
        <f t="shared" si="75"/>
        <v>49.575829709578592</v>
      </c>
      <c r="J214" s="459">
        <f t="shared" si="75"/>
        <v>52.255537649774091</v>
      </c>
      <c r="K214" s="459">
        <f t="shared" si="75"/>
        <v>54.6392943580531</v>
      </c>
      <c r="L214" s="459">
        <f t="shared" si="75"/>
        <v>55.883406589001538</v>
      </c>
      <c r="M214" s="459">
        <f t="shared" si="75"/>
        <v>56.156701655331915</v>
      </c>
      <c r="N214" s="459">
        <f t="shared" si="75"/>
        <v>55.95905190543251</v>
      </c>
    </row>
    <row r="215" spans="1:14">
      <c r="B215" s="338" t="str">
        <f t="shared" si="71"/>
        <v>30-34</v>
      </c>
      <c r="C215" s="459">
        <f t="shared" si="73"/>
        <v>35.822551742600858</v>
      </c>
      <c r="D215" s="459">
        <f t="shared" ref="D215:N215" si="76">D113+D147+D181</f>
        <v>35.581776056740296</v>
      </c>
      <c r="E215" s="459">
        <f t="shared" si="76"/>
        <v>36.617036147068546</v>
      </c>
      <c r="F215" s="459">
        <f t="shared" si="76"/>
        <v>36.803118685537186</v>
      </c>
      <c r="G215" s="459">
        <f t="shared" si="76"/>
        <v>37.148235836112534</v>
      </c>
      <c r="H215" s="459">
        <f t="shared" si="76"/>
        <v>38.51289120081379</v>
      </c>
      <c r="I215" s="459">
        <f t="shared" si="76"/>
        <v>40.255678841674374</v>
      </c>
      <c r="J215" s="459">
        <f t="shared" si="76"/>
        <v>41.936702943316192</v>
      </c>
      <c r="K215" s="459">
        <f t="shared" si="76"/>
        <v>43.652308257458436</v>
      </c>
      <c r="L215" s="459">
        <f t="shared" si="76"/>
        <v>44.957454698173514</v>
      </c>
      <c r="M215" s="459">
        <f t="shared" si="76"/>
        <v>45.805163605182088</v>
      </c>
      <c r="N215" s="459">
        <f t="shared" si="76"/>
        <v>46.331197769234748</v>
      </c>
    </row>
    <row r="216" spans="1:14">
      <c r="B216" s="338" t="str">
        <f t="shared" si="71"/>
        <v>35-39</v>
      </c>
      <c r="C216" s="459">
        <f t="shared" si="73"/>
        <v>40.047655807113607</v>
      </c>
      <c r="D216" s="459">
        <f t="shared" ref="D216:N216" si="77">D114+D148+D182</f>
        <v>40.312080504005266</v>
      </c>
      <c r="E216" s="459">
        <f t="shared" si="77"/>
        <v>40.654179345250554</v>
      </c>
      <c r="F216" s="459">
        <f t="shared" si="77"/>
        <v>40.104833460337233</v>
      </c>
      <c r="G216" s="459">
        <f t="shared" si="77"/>
        <v>39.61391716707675</v>
      </c>
      <c r="H216" s="459">
        <f t="shared" si="77"/>
        <v>39.851562603665023</v>
      </c>
      <c r="I216" s="459">
        <f t="shared" si="77"/>
        <v>40.445250122473091</v>
      </c>
      <c r="J216" s="459">
        <f t="shared" si="77"/>
        <v>41.154709663050639</v>
      </c>
      <c r="K216" s="459">
        <f t="shared" si="77"/>
        <v>42.062573903648605</v>
      </c>
      <c r="L216" s="459">
        <f t="shared" si="77"/>
        <v>42.869874749626781</v>
      </c>
      <c r="M216" s="459">
        <f t="shared" si="77"/>
        <v>43.527643516205778</v>
      </c>
      <c r="N216" s="459">
        <f t="shared" si="77"/>
        <v>44.085912180637301</v>
      </c>
    </row>
    <row r="217" spans="1:14">
      <c r="B217" s="338" t="str">
        <f t="shared" si="71"/>
        <v>40-44</v>
      </c>
      <c r="C217" s="459">
        <f t="shared" si="73"/>
        <v>48.512433078473926</v>
      </c>
      <c r="D217" s="459">
        <f t="shared" ref="D217:N217" si="78">D115+D149+D183</f>
        <v>47.763107807696102</v>
      </c>
      <c r="E217" s="459">
        <f t="shared" si="78"/>
        <v>47.437320360077329</v>
      </c>
      <c r="F217" s="459">
        <f t="shared" si="78"/>
        <v>46.336925088586291</v>
      </c>
      <c r="G217" s="459">
        <f t="shared" si="78"/>
        <v>45.297217628621901</v>
      </c>
      <c r="H217" s="459">
        <f t="shared" si="78"/>
        <v>44.923108628127565</v>
      </c>
      <c r="I217" s="459">
        <f t="shared" si="78"/>
        <v>44.841609639002264</v>
      </c>
      <c r="J217" s="459">
        <f t="shared" si="78"/>
        <v>44.845791487574765</v>
      </c>
      <c r="K217" s="459">
        <f t="shared" si="78"/>
        <v>45.052508664017395</v>
      </c>
      <c r="L217" s="459">
        <f t="shared" si="78"/>
        <v>45.21386168201601</v>
      </c>
      <c r="M217" s="459">
        <f t="shared" si="78"/>
        <v>45.323442640722909</v>
      </c>
      <c r="N217" s="459">
        <f t="shared" si="78"/>
        <v>45.455011933868448</v>
      </c>
    </row>
    <row r="218" spans="1:14">
      <c r="B218" s="338" t="str">
        <f t="shared" si="71"/>
        <v>45-49</v>
      </c>
      <c r="C218" s="459">
        <f t="shared" si="73"/>
        <v>57.643956717668665</v>
      </c>
      <c r="D218" s="459">
        <f t="shared" ref="D218:N218" si="79">D116+D150+D184</f>
        <v>55.549300787750049</v>
      </c>
      <c r="E218" s="459">
        <f t="shared" si="79"/>
        <v>54.009799731866501</v>
      </c>
      <c r="F218" s="459">
        <f t="shared" si="79"/>
        <v>51.962276341978338</v>
      </c>
      <c r="G218" s="459">
        <f t="shared" si="79"/>
        <v>50.128166220472885</v>
      </c>
      <c r="H218" s="459">
        <f t="shared" si="79"/>
        <v>49.016784522093573</v>
      </c>
      <c r="I218" s="459">
        <f t="shared" si="79"/>
        <v>48.253434762981641</v>
      </c>
      <c r="J218" s="459">
        <f t="shared" si="79"/>
        <v>47.619544854024461</v>
      </c>
      <c r="K218" s="459">
        <f t="shared" si="79"/>
        <v>47.202961857399053</v>
      </c>
      <c r="L218" s="459">
        <f t="shared" si="79"/>
        <v>46.772632408867459</v>
      </c>
      <c r="M218" s="459">
        <f t="shared" si="79"/>
        <v>46.325536251529876</v>
      </c>
      <c r="N218" s="459">
        <f t="shared" si="79"/>
        <v>45.938842678911818</v>
      </c>
    </row>
    <row r="219" spans="1:14">
      <c r="B219" s="338" t="str">
        <f t="shared" si="71"/>
        <v>50-54</v>
      </c>
      <c r="C219" s="459">
        <f t="shared" si="73"/>
        <v>81.204743367359825</v>
      </c>
      <c r="D219" s="459">
        <f t="shared" ref="D219:N219" si="80">D117+D151+D185</f>
        <v>75.682586221961429</v>
      </c>
      <c r="E219" s="459">
        <f t="shared" si="80"/>
        <v>71.379187299947915</v>
      </c>
      <c r="F219" s="459">
        <f t="shared" si="80"/>
        <v>67.04296354404795</v>
      </c>
      <c r="G219" s="459">
        <f t="shared" si="80"/>
        <v>63.330408402046935</v>
      </c>
      <c r="H219" s="459">
        <f t="shared" si="80"/>
        <v>60.690293553563521</v>
      </c>
      <c r="I219" s="459">
        <f t="shared" si="80"/>
        <v>58.663852248719216</v>
      </c>
      <c r="J219" s="459">
        <f t="shared" si="80"/>
        <v>56.968642944122927</v>
      </c>
      <c r="K219" s="459">
        <f t="shared" si="80"/>
        <v>55.650482937026631</v>
      </c>
      <c r="L219" s="459">
        <f t="shared" si="80"/>
        <v>54.432366845348476</v>
      </c>
      <c r="M219" s="459">
        <f t="shared" si="80"/>
        <v>53.284897339959507</v>
      </c>
      <c r="N219" s="459">
        <f t="shared" si="80"/>
        <v>52.270122886538431</v>
      </c>
    </row>
    <row r="220" spans="1:14">
      <c r="B220" s="338" t="str">
        <f t="shared" si="71"/>
        <v>55-59</v>
      </c>
      <c r="C220" s="459">
        <f t="shared" si="73"/>
        <v>157.3358099674613</v>
      </c>
      <c r="D220" s="459">
        <f t="shared" ref="D220:N220" si="81">D118+D152+D186</f>
        <v>132.4960242009119</v>
      </c>
      <c r="E220" s="459">
        <f t="shared" si="81"/>
        <v>115.72670156166197</v>
      </c>
      <c r="F220" s="459">
        <f t="shared" si="81"/>
        <v>102.53964860731648</v>
      </c>
      <c r="G220" s="459">
        <f t="shared" si="81"/>
        <v>92.736451762788377</v>
      </c>
      <c r="H220" s="459">
        <f t="shared" si="81"/>
        <v>86.142224839447891</v>
      </c>
      <c r="I220" s="459">
        <f t="shared" si="81"/>
        <v>81.350684359968611</v>
      </c>
      <c r="J220" s="459">
        <f t="shared" si="81"/>
        <v>77.565620779989231</v>
      </c>
      <c r="K220" s="459">
        <f t="shared" si="81"/>
        <v>74.693632115614207</v>
      </c>
      <c r="L220" s="459">
        <f t="shared" si="81"/>
        <v>72.153493647471407</v>
      </c>
      <c r="M220" s="459">
        <f t="shared" si="81"/>
        <v>69.856864959115157</v>
      </c>
      <c r="N220" s="459">
        <f t="shared" si="81"/>
        <v>67.876525958922571</v>
      </c>
    </row>
    <row r="221" spans="1:14">
      <c r="B221" s="338" t="str">
        <f t="shared" si="71"/>
        <v>60-64</v>
      </c>
      <c r="C221" s="459">
        <f t="shared" si="73"/>
        <v>92.863603515532006</v>
      </c>
      <c r="D221" s="459">
        <f t="shared" ref="D221:N221" si="82">D119+D153+D187</f>
        <v>84.666464370583057</v>
      </c>
      <c r="E221" s="459">
        <f t="shared" si="82"/>
        <v>75.303585553328816</v>
      </c>
      <c r="F221" s="459">
        <f t="shared" si="82"/>
        <v>65.791785597529412</v>
      </c>
      <c r="G221" s="459">
        <f t="shared" si="82"/>
        <v>58.079533504788898</v>
      </c>
      <c r="H221" s="459">
        <f t="shared" si="82"/>
        <v>52.783370580398007</v>
      </c>
      <c r="I221" s="459">
        <f t="shared" si="82"/>
        <v>48.923400414155417</v>
      </c>
      <c r="J221" s="459">
        <f t="shared" si="82"/>
        <v>45.899179297449876</v>
      </c>
      <c r="K221" s="459">
        <f t="shared" si="82"/>
        <v>43.653090056447681</v>
      </c>
      <c r="L221" s="459">
        <f t="shared" si="82"/>
        <v>41.684022221949071</v>
      </c>
      <c r="M221" s="459">
        <f t="shared" si="82"/>
        <v>39.927701014997083</v>
      </c>
      <c r="N221" s="459">
        <f t="shared" si="82"/>
        <v>38.447138214484035</v>
      </c>
    </row>
    <row r="222" spans="1:14">
      <c r="B222" s="338" t="str">
        <f t="shared" si="71"/>
        <v>65 plus</v>
      </c>
      <c r="C222" s="459">
        <f t="shared" si="73"/>
        <v>25.100982195993762</v>
      </c>
      <c r="D222" s="459">
        <f t="shared" ref="D222:N222" si="83">D120+D154+D188</f>
        <v>28.316975040151821</v>
      </c>
      <c r="E222" s="459">
        <f t="shared" si="83"/>
        <v>28.995273635755872</v>
      </c>
      <c r="F222" s="459">
        <f t="shared" si="83"/>
        <v>27.530853978017809</v>
      </c>
      <c r="G222" s="459">
        <f t="shared" si="83"/>
        <v>25.353002471129678</v>
      </c>
      <c r="H222" s="459">
        <f t="shared" si="83"/>
        <v>23.382458054722019</v>
      </c>
      <c r="I222" s="459">
        <f t="shared" si="83"/>
        <v>21.663728668988245</v>
      </c>
      <c r="J222" s="459">
        <f t="shared" si="83"/>
        <v>20.166312671471559</v>
      </c>
      <c r="K222" s="459">
        <f t="shared" si="83"/>
        <v>18.968612080779895</v>
      </c>
      <c r="L222" s="459">
        <f t="shared" si="83"/>
        <v>17.908582391636877</v>
      </c>
      <c r="M222" s="459">
        <f t="shared" si="83"/>
        <v>16.963036410334492</v>
      </c>
      <c r="N222" s="459">
        <f t="shared" si="83"/>
        <v>16.159972304234845</v>
      </c>
    </row>
    <row r="223" spans="1:14">
      <c r="B223" s="338" t="str">
        <f t="shared" si="71"/>
        <v>Total</v>
      </c>
      <c r="C223" s="459">
        <f>SUM(C213:C222)</f>
        <v>569.17679549672573</v>
      </c>
      <c r="D223" s="459">
        <f t="shared" ref="D223:N223" si="84">SUM(D213:D222)</f>
        <v>548.2028993302348</v>
      </c>
      <c r="E223" s="459">
        <f t="shared" si="84"/>
        <v>533.10164661826366</v>
      </c>
      <c r="F223" s="459">
        <f t="shared" si="84"/>
        <v>506.16767037843715</v>
      </c>
      <c r="G223" s="459">
        <f t="shared" si="84"/>
        <v>482.93355122654975</v>
      </c>
      <c r="H223" s="459">
        <f t="shared" si="84"/>
        <v>472.79647210224465</v>
      </c>
      <c r="I223" s="459">
        <f t="shared" si="84"/>
        <v>467.89479961036568</v>
      </c>
      <c r="J223" s="459">
        <f t="shared" si="84"/>
        <v>463.9002258359659</v>
      </c>
      <c r="K223" s="459">
        <f t="shared" si="84"/>
        <v>462.38595888043102</v>
      </c>
      <c r="L223" s="459">
        <f t="shared" si="84"/>
        <v>458.94105140495168</v>
      </c>
      <c r="M223" s="459">
        <f t="shared" si="84"/>
        <v>453.74171284623486</v>
      </c>
      <c r="N223" s="459">
        <f t="shared" si="84"/>
        <v>448.41084697320684</v>
      </c>
    </row>
    <row r="224" spans="1:14">
      <c r="A224" s="309">
        <f>SUM(C224:N224)</f>
        <v>0</v>
      </c>
      <c r="C224" s="309">
        <f>SUM(C213:C222)-C223</f>
        <v>0</v>
      </c>
      <c r="D224" s="309">
        <f t="shared" ref="D224:N224" si="85">SUM(D213:D222)-D223</f>
        <v>0</v>
      </c>
      <c r="E224" s="309">
        <f t="shared" si="85"/>
        <v>0</v>
      </c>
      <c r="F224" s="309">
        <f t="shared" si="85"/>
        <v>0</v>
      </c>
      <c r="G224" s="309">
        <f t="shared" si="85"/>
        <v>0</v>
      </c>
      <c r="H224" s="309">
        <f t="shared" si="85"/>
        <v>0</v>
      </c>
      <c r="I224" s="309">
        <f t="shared" si="85"/>
        <v>0</v>
      </c>
      <c r="J224" s="309">
        <f t="shared" si="85"/>
        <v>0</v>
      </c>
      <c r="K224" s="309">
        <f t="shared" si="85"/>
        <v>0</v>
      </c>
      <c r="L224" s="309">
        <f t="shared" si="85"/>
        <v>0</v>
      </c>
      <c r="M224" s="309">
        <f t="shared" si="85"/>
        <v>0</v>
      </c>
      <c r="N224" s="309">
        <f t="shared" si="85"/>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6">B212</f>
        <v>Age group</v>
      </c>
      <c r="C228" s="338" t="str">
        <f t="shared" ref="C228:N228" si="87">C212</f>
        <v>2016/17</v>
      </c>
      <c r="D228" s="338" t="str">
        <f t="shared" si="87"/>
        <v>2017/18</v>
      </c>
      <c r="E228" s="338" t="str">
        <f t="shared" si="87"/>
        <v>2018/19</v>
      </c>
      <c r="F228" s="338" t="str">
        <f t="shared" si="87"/>
        <v>2019/20</v>
      </c>
      <c r="G228" s="338" t="str">
        <f t="shared" si="87"/>
        <v>2020/21</v>
      </c>
      <c r="H228" s="338" t="str">
        <f t="shared" si="87"/>
        <v>2021/22</v>
      </c>
      <c r="I228" s="338" t="str">
        <f t="shared" si="87"/>
        <v>2022/23</v>
      </c>
      <c r="J228" s="338" t="str">
        <f t="shared" si="87"/>
        <v>2023/24</v>
      </c>
      <c r="K228" s="338" t="str">
        <f t="shared" si="87"/>
        <v>2024/25</v>
      </c>
      <c r="L228" s="338" t="str">
        <f t="shared" si="87"/>
        <v>2025/26</v>
      </c>
      <c r="M228" s="338" t="str">
        <f t="shared" si="87"/>
        <v>2026/27</v>
      </c>
      <c r="N228" s="338" t="str">
        <f t="shared" si="87"/>
        <v>2027/28</v>
      </c>
    </row>
    <row r="229" spans="1:14">
      <c r="B229" s="338" t="str">
        <f t="shared" si="86"/>
        <v>20-24</v>
      </c>
      <c r="C229" s="459">
        <f t="shared" ref="C229:C238" si="88">C195+C161+C127</f>
        <v>15.171985199362506</v>
      </c>
      <c r="D229" s="459">
        <f t="shared" ref="D229:N229" si="89">D195+D161+D127</f>
        <v>26.383872236480677</v>
      </c>
      <c r="E229" s="459">
        <f t="shared" si="89"/>
        <v>35.216918628313145</v>
      </c>
      <c r="F229" s="459">
        <f t="shared" si="89"/>
        <v>37.104793661055396</v>
      </c>
      <c r="G229" s="459">
        <f t="shared" si="89"/>
        <v>37.948092116826153</v>
      </c>
      <c r="H229" s="459">
        <f t="shared" si="89"/>
        <v>40.932565377781934</v>
      </c>
      <c r="I229" s="459">
        <f t="shared" si="89"/>
        <v>43.758177624293296</v>
      </c>
      <c r="J229" s="459">
        <f t="shared" si="89"/>
        <v>45.489604190678207</v>
      </c>
      <c r="K229" s="459">
        <f t="shared" si="89"/>
        <v>46.983873764381663</v>
      </c>
      <c r="L229" s="459">
        <f t="shared" si="89"/>
        <v>47.181185937173538</v>
      </c>
      <c r="M229" s="459">
        <f t="shared" si="89"/>
        <v>46.467883457835008</v>
      </c>
      <c r="N229" s="459">
        <f t="shared" si="89"/>
        <v>45.541054459165338</v>
      </c>
    </row>
    <row r="230" spans="1:14">
      <c r="B230" s="338" t="str">
        <f t="shared" si="86"/>
        <v>25-29</v>
      </c>
      <c r="C230" s="459">
        <f t="shared" si="88"/>
        <v>63.953985802495872</v>
      </c>
      <c r="D230" s="459">
        <f t="shared" ref="D230:N230" si="90">D196+D162+D128</f>
        <v>65.701656209608231</v>
      </c>
      <c r="E230" s="459">
        <f t="shared" si="90"/>
        <v>69.575545907704822</v>
      </c>
      <c r="F230" s="459">
        <f t="shared" si="90"/>
        <v>68.920883759611158</v>
      </c>
      <c r="G230" s="459">
        <f t="shared" si="90"/>
        <v>68.18255890856895</v>
      </c>
      <c r="H230" s="459">
        <f t="shared" si="90"/>
        <v>70.367884352911418</v>
      </c>
      <c r="I230" s="459">
        <f t="shared" si="90"/>
        <v>73.165281375960035</v>
      </c>
      <c r="J230" s="459">
        <f t="shared" si="90"/>
        <v>75.315503725972661</v>
      </c>
      <c r="K230" s="459">
        <f t="shared" si="90"/>
        <v>77.421676587563766</v>
      </c>
      <c r="L230" s="459">
        <f t="shared" si="90"/>
        <v>78.232171773529771</v>
      </c>
      <c r="M230" s="459">
        <f t="shared" si="90"/>
        <v>77.92106521025282</v>
      </c>
      <c r="N230" s="459">
        <f t="shared" si="90"/>
        <v>77.132118855149969</v>
      </c>
    </row>
    <row r="231" spans="1:14">
      <c r="B231" s="338" t="str">
        <f t="shared" si="86"/>
        <v>30-34</v>
      </c>
      <c r="C231" s="459">
        <f t="shared" si="88"/>
        <v>86.015626803174371</v>
      </c>
      <c r="D231" s="459">
        <f t="shared" ref="D231:N231" si="91">D197+D163+D129</f>
        <v>83.482387784980261</v>
      </c>
      <c r="E231" s="459">
        <f t="shared" si="91"/>
        <v>82.450296203284225</v>
      </c>
      <c r="F231" s="459">
        <f t="shared" si="91"/>
        <v>79.626554130846287</v>
      </c>
      <c r="G231" s="459">
        <f t="shared" si="91"/>
        <v>77.13917238757476</v>
      </c>
      <c r="H231" s="459">
        <f t="shared" si="91"/>
        <v>76.672744679685422</v>
      </c>
      <c r="I231" s="459">
        <f t="shared" si="91"/>
        <v>77.140022864097091</v>
      </c>
      <c r="J231" s="459">
        <f t="shared" si="91"/>
        <v>77.78646894165135</v>
      </c>
      <c r="K231" s="459">
        <f t="shared" si="91"/>
        <v>78.789349589723358</v>
      </c>
      <c r="L231" s="459">
        <f t="shared" si="91"/>
        <v>79.345731910682829</v>
      </c>
      <c r="M231" s="459">
        <f t="shared" si="91"/>
        <v>79.362060137815234</v>
      </c>
      <c r="N231" s="459">
        <f t="shared" si="91"/>
        <v>79.06128935613792</v>
      </c>
    </row>
    <row r="232" spans="1:14">
      <c r="B232" s="338" t="str">
        <f t="shared" si="86"/>
        <v>35-39</v>
      </c>
      <c r="C232" s="459">
        <f t="shared" si="88"/>
        <v>71.919540293751467</v>
      </c>
      <c r="D232" s="459">
        <f t="shared" ref="D232:N232" si="92">D198+D164+D130</f>
        <v>73.10569317340159</v>
      </c>
      <c r="E232" s="459">
        <f t="shared" si="92"/>
        <v>73.858124556009528</v>
      </c>
      <c r="F232" s="459">
        <f t="shared" si="92"/>
        <v>72.619981274177249</v>
      </c>
      <c r="G232" s="459">
        <f t="shared" si="92"/>
        <v>71.048998199943696</v>
      </c>
      <c r="H232" s="459">
        <f t="shared" si="92"/>
        <v>70.347913497937554</v>
      </c>
      <c r="I232" s="459">
        <f t="shared" si="92"/>
        <v>70.008857442606867</v>
      </c>
      <c r="J232" s="459">
        <f t="shared" si="92"/>
        <v>69.733759660505541</v>
      </c>
      <c r="K232" s="459">
        <f t="shared" si="92"/>
        <v>69.735116678890691</v>
      </c>
      <c r="L232" s="459">
        <f t="shared" si="92"/>
        <v>69.58643436069373</v>
      </c>
      <c r="M232" s="459">
        <f t="shared" si="92"/>
        <v>69.257552912467588</v>
      </c>
      <c r="N232" s="459">
        <f t="shared" si="92"/>
        <v>68.865053679224118</v>
      </c>
    </row>
    <row r="233" spans="1:14">
      <c r="B233" s="338" t="str">
        <f t="shared" si="86"/>
        <v>40-44</v>
      </c>
      <c r="C233" s="459">
        <f t="shared" si="88"/>
        <v>64.311229755596941</v>
      </c>
      <c r="D233" s="459">
        <f t="shared" ref="D233:N233" si="93">D199+D165+D131</f>
        <v>64.733193888780704</v>
      </c>
      <c r="E233" s="459">
        <f t="shared" si="93"/>
        <v>65.497820196208608</v>
      </c>
      <c r="F233" s="459">
        <f t="shared" si="93"/>
        <v>64.907544897160946</v>
      </c>
      <c r="G233" s="459">
        <f t="shared" si="93"/>
        <v>64.106046914073261</v>
      </c>
      <c r="H233" s="459">
        <f t="shared" si="93"/>
        <v>63.931976767642809</v>
      </c>
      <c r="I233" s="459">
        <f t="shared" si="93"/>
        <v>63.882824094669559</v>
      </c>
      <c r="J233" s="459">
        <f t="shared" si="93"/>
        <v>63.703667349702634</v>
      </c>
      <c r="K233" s="459">
        <f t="shared" si="93"/>
        <v>63.598374715624296</v>
      </c>
      <c r="L233" s="459">
        <f t="shared" si="93"/>
        <v>63.267395303035158</v>
      </c>
      <c r="M233" s="459">
        <f t="shared" si="93"/>
        <v>62.747528595621318</v>
      </c>
      <c r="N233" s="459">
        <f t="shared" si="93"/>
        <v>62.183599159962917</v>
      </c>
    </row>
    <row r="234" spans="1:14">
      <c r="B234" s="338" t="str">
        <f t="shared" si="86"/>
        <v>45-49</v>
      </c>
      <c r="C234" s="459">
        <f t="shared" si="88"/>
        <v>65.212076632410273</v>
      </c>
      <c r="D234" s="459">
        <f t="shared" ref="D234:N234" si="94">D200+D166+D132</f>
        <v>64.312617066417928</v>
      </c>
      <c r="E234" s="459">
        <f t="shared" si="94"/>
        <v>63.941285221880669</v>
      </c>
      <c r="F234" s="459">
        <f t="shared" si="94"/>
        <v>62.716629505547225</v>
      </c>
      <c r="G234" s="459">
        <f t="shared" si="94"/>
        <v>61.576108938421577</v>
      </c>
      <c r="H234" s="459">
        <f t="shared" si="94"/>
        <v>61.175889038963057</v>
      </c>
      <c r="I234" s="459">
        <f t="shared" si="94"/>
        <v>61.021449368557128</v>
      </c>
      <c r="J234" s="459">
        <f t="shared" si="94"/>
        <v>60.827480312420121</v>
      </c>
      <c r="K234" s="459">
        <f t="shared" si="94"/>
        <v>60.714658232462853</v>
      </c>
      <c r="L234" s="459">
        <f t="shared" si="94"/>
        <v>60.394730674662277</v>
      </c>
      <c r="M234" s="459">
        <f t="shared" si="94"/>
        <v>59.882354007727969</v>
      </c>
      <c r="N234" s="459">
        <f t="shared" si="94"/>
        <v>59.300507431869846</v>
      </c>
    </row>
    <row r="235" spans="1:14">
      <c r="B235" s="338" t="str">
        <f t="shared" si="86"/>
        <v>50-54</v>
      </c>
      <c r="C235" s="459">
        <f t="shared" si="88"/>
        <v>78.642992006974168</v>
      </c>
      <c r="D235" s="459">
        <f t="shared" ref="D235:N235" si="95">D201+D167+D133</f>
        <v>76.504475391295813</v>
      </c>
      <c r="E235" s="459">
        <f t="shared" si="95"/>
        <v>74.972184870912116</v>
      </c>
      <c r="F235" s="459">
        <f t="shared" si="95"/>
        <v>72.648613854767078</v>
      </c>
      <c r="G235" s="459">
        <f t="shared" si="95"/>
        <v>70.556083076858016</v>
      </c>
      <c r="H235" s="459">
        <f t="shared" si="95"/>
        <v>69.395129312248415</v>
      </c>
      <c r="I235" s="459">
        <f t="shared" si="95"/>
        <v>68.648683562159462</v>
      </c>
      <c r="J235" s="459">
        <f t="shared" si="95"/>
        <v>68.005756243634977</v>
      </c>
      <c r="K235" s="459">
        <f t="shared" si="95"/>
        <v>67.566708067023882</v>
      </c>
      <c r="L235" s="459">
        <f t="shared" si="95"/>
        <v>67.001632823325252</v>
      </c>
      <c r="M235" s="459">
        <f t="shared" si="95"/>
        <v>66.298000388222903</v>
      </c>
      <c r="N235" s="459">
        <f t="shared" si="95"/>
        <v>65.559594293403649</v>
      </c>
    </row>
    <row r="236" spans="1:14">
      <c r="B236" s="338" t="str">
        <f t="shared" si="86"/>
        <v>55-59</v>
      </c>
      <c r="C236" s="459">
        <f t="shared" si="88"/>
        <v>136.23530357330159</v>
      </c>
      <c r="D236" s="459">
        <f t="shared" ref="D236:N236" si="96">D202+D168+D134</f>
        <v>119.05479488642713</v>
      </c>
      <c r="E236" s="459">
        <f t="shared" si="96"/>
        <v>108.25471887544091</v>
      </c>
      <c r="F236" s="459">
        <f t="shared" si="96"/>
        <v>99.408661214255972</v>
      </c>
      <c r="G236" s="459">
        <f t="shared" si="96"/>
        <v>92.987460354843918</v>
      </c>
      <c r="H236" s="459">
        <f t="shared" si="96"/>
        <v>89.268316784191555</v>
      </c>
      <c r="I236" s="459">
        <f t="shared" si="96"/>
        <v>86.860063849551693</v>
      </c>
      <c r="J236" s="459">
        <f t="shared" si="96"/>
        <v>85.007587727305364</v>
      </c>
      <c r="K236" s="459">
        <f t="shared" si="96"/>
        <v>83.747099305300068</v>
      </c>
      <c r="L236" s="459">
        <f t="shared" si="96"/>
        <v>82.469340027519095</v>
      </c>
      <c r="M236" s="459">
        <f t="shared" si="96"/>
        <v>81.137033309079499</v>
      </c>
      <c r="N236" s="459">
        <f t="shared" si="96"/>
        <v>79.892062890992889</v>
      </c>
    </row>
    <row r="237" spans="1:14">
      <c r="B237" s="338" t="str">
        <f t="shared" si="86"/>
        <v>60-64</v>
      </c>
      <c r="C237" s="459">
        <f t="shared" si="88"/>
        <v>85.657615898729006</v>
      </c>
      <c r="D237" s="459">
        <f t="shared" ref="D237:N237" si="97">D203+D169+D135</f>
        <v>79.580651624232743</v>
      </c>
      <c r="E237" s="459">
        <f t="shared" si="97"/>
        <v>72.741705754215289</v>
      </c>
      <c r="F237" s="459">
        <f t="shared" si="97"/>
        <v>65.240402712924265</v>
      </c>
      <c r="G237" s="459">
        <f t="shared" si="97"/>
        <v>59.369953629820515</v>
      </c>
      <c r="H237" s="459">
        <f t="shared" si="97"/>
        <v>55.925016690056637</v>
      </c>
      <c r="I237" s="459">
        <f t="shared" si="97"/>
        <v>53.657575906861005</v>
      </c>
      <c r="J237" s="459">
        <f t="shared" si="97"/>
        <v>51.901858964208877</v>
      </c>
      <c r="K237" s="459">
        <f t="shared" si="97"/>
        <v>50.721868911162659</v>
      </c>
      <c r="L237" s="459">
        <f t="shared" si="97"/>
        <v>49.541112678757308</v>
      </c>
      <c r="M237" s="459">
        <f t="shared" si="97"/>
        <v>48.361006647276746</v>
      </c>
      <c r="N237" s="459">
        <f t="shared" si="97"/>
        <v>47.327855877050673</v>
      </c>
    </row>
    <row r="238" spans="1:14">
      <c r="B238" s="338" t="str">
        <f t="shared" si="86"/>
        <v>65 plus</v>
      </c>
      <c r="C238" s="459">
        <f t="shared" si="88"/>
        <v>20.076397510369731</v>
      </c>
      <c r="D238" s="459">
        <f t="shared" ref="D238:N238" si="98">D204+D170+D136</f>
        <v>24.078572307146437</v>
      </c>
      <c r="E238" s="459">
        <f t="shared" si="98"/>
        <v>25.381637116078455</v>
      </c>
      <c r="F238" s="459">
        <f t="shared" si="98"/>
        <v>24.390616202534716</v>
      </c>
      <c r="G238" s="459">
        <f t="shared" si="98"/>
        <v>22.802373310583032</v>
      </c>
      <c r="H238" s="459">
        <f t="shared" si="98"/>
        <v>21.604810957388995</v>
      </c>
      <c r="I238" s="459">
        <f t="shared" si="98"/>
        <v>20.656469944787389</v>
      </c>
      <c r="J238" s="459">
        <f t="shared" si="98"/>
        <v>19.832478607580811</v>
      </c>
      <c r="K238" s="459">
        <f t="shared" si="98"/>
        <v>19.227426110866336</v>
      </c>
      <c r="L238" s="459">
        <f t="shared" si="98"/>
        <v>18.626540562996436</v>
      </c>
      <c r="M238" s="459">
        <f t="shared" si="98"/>
        <v>18.029989934736378</v>
      </c>
      <c r="N238" s="459">
        <f t="shared" si="98"/>
        <v>17.506255380546914</v>
      </c>
    </row>
    <row r="239" spans="1:14">
      <c r="B239" s="338" t="str">
        <f t="shared" si="86"/>
        <v>Total</v>
      </c>
      <c r="C239" s="459">
        <f>SUM(C229:C238)</f>
        <v>687.1967534761659</v>
      </c>
      <c r="D239" s="459">
        <f t="shared" ref="D239:N239" si="99">SUM(D229:D238)</f>
        <v>676.93791456877148</v>
      </c>
      <c r="E239" s="459">
        <f t="shared" si="99"/>
        <v>671.89023733004774</v>
      </c>
      <c r="F239" s="459">
        <f t="shared" si="99"/>
        <v>647.58468121288024</v>
      </c>
      <c r="G239" s="459">
        <f t="shared" si="99"/>
        <v>625.71684783751391</v>
      </c>
      <c r="H239" s="459">
        <f t="shared" si="99"/>
        <v>619.62224745880781</v>
      </c>
      <c r="I239" s="459">
        <f t="shared" si="99"/>
        <v>618.79940603354362</v>
      </c>
      <c r="J239" s="459">
        <f t="shared" si="99"/>
        <v>617.60416572366046</v>
      </c>
      <c r="K239" s="459">
        <f t="shared" si="99"/>
        <v>618.50615196299952</v>
      </c>
      <c r="L239" s="459">
        <f t="shared" si="99"/>
        <v>615.64627605237536</v>
      </c>
      <c r="M239" s="459">
        <f t="shared" si="99"/>
        <v>609.46447460103548</v>
      </c>
      <c r="N239" s="459">
        <f t="shared" si="99"/>
        <v>602.36939138350419</v>
      </c>
    </row>
    <row r="240" spans="1:14">
      <c r="A240" s="309">
        <f>SUM(C240:N240)</f>
        <v>0</v>
      </c>
      <c r="C240" s="309">
        <f>SUM(C229:C238)-C239</f>
        <v>0</v>
      </c>
      <c r="D240" s="309">
        <f t="shared" ref="D240:N240" si="100">SUM(D229:D238)-D239</f>
        <v>0</v>
      </c>
      <c r="E240" s="309">
        <f t="shared" si="100"/>
        <v>0</v>
      </c>
      <c r="F240" s="309">
        <f t="shared" si="100"/>
        <v>0</v>
      </c>
      <c r="G240" s="309">
        <f t="shared" si="100"/>
        <v>0</v>
      </c>
      <c r="H240" s="309">
        <f t="shared" si="100"/>
        <v>0</v>
      </c>
      <c r="I240" s="309">
        <f t="shared" si="100"/>
        <v>0</v>
      </c>
      <c r="J240" s="309">
        <f t="shared" si="100"/>
        <v>0</v>
      </c>
      <c r="K240" s="309">
        <f t="shared" si="100"/>
        <v>0</v>
      </c>
      <c r="L240" s="309">
        <f t="shared" si="100"/>
        <v>0</v>
      </c>
      <c r="M240" s="309">
        <f t="shared" si="100"/>
        <v>0</v>
      </c>
      <c r="N240" s="309">
        <f t="shared" si="100"/>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1">B212</f>
        <v>Age group</v>
      </c>
      <c r="C246" s="338" t="str">
        <f t="shared" ref="C246:N246" si="102">C212</f>
        <v>2016/17</v>
      </c>
      <c r="D246" s="338" t="str">
        <f t="shared" si="102"/>
        <v>2017/18</v>
      </c>
      <c r="E246" s="338" t="str">
        <f t="shared" si="102"/>
        <v>2018/19</v>
      </c>
      <c r="F246" s="338" t="str">
        <f t="shared" si="102"/>
        <v>2019/20</v>
      </c>
      <c r="G246" s="338" t="str">
        <f t="shared" si="102"/>
        <v>2020/21</v>
      </c>
      <c r="H246" s="338" t="str">
        <f t="shared" si="102"/>
        <v>2021/22</v>
      </c>
      <c r="I246" s="338" t="str">
        <f t="shared" si="102"/>
        <v>2022/23</v>
      </c>
      <c r="J246" s="338" t="str">
        <f t="shared" si="102"/>
        <v>2023/24</v>
      </c>
      <c r="K246" s="338" t="str">
        <f t="shared" si="102"/>
        <v>2024/25</v>
      </c>
      <c r="L246" s="338" t="str">
        <f t="shared" si="102"/>
        <v>2025/26</v>
      </c>
      <c r="M246" s="338" t="str">
        <f t="shared" si="102"/>
        <v>2026/27</v>
      </c>
      <c r="N246" s="338" t="str">
        <f t="shared" si="102"/>
        <v>2027/28</v>
      </c>
    </row>
    <row r="247" spans="2:14">
      <c r="B247" s="338" t="str">
        <f t="shared" si="101"/>
        <v>20-24</v>
      </c>
      <c r="C247" s="459">
        <f t="shared" ref="C247:C256" si="103">C77-C213</f>
        <v>55.041230944052558</v>
      </c>
      <c r="D247" s="459">
        <f t="shared" ref="D247:N247" si="104">D77-D213</f>
        <v>140.21055524415624</v>
      </c>
      <c r="E247" s="459">
        <f t="shared" si="104"/>
        <v>206.35022646916661</v>
      </c>
      <c r="F247" s="459">
        <f t="shared" si="104"/>
        <v>224.86820236560791</v>
      </c>
      <c r="G247" s="459">
        <f t="shared" si="104"/>
        <v>234.80414372976793</v>
      </c>
      <c r="H247" s="459">
        <f t="shared" si="104"/>
        <v>257.35020611880333</v>
      </c>
      <c r="I247" s="459">
        <f t="shared" si="104"/>
        <v>277.94468156327559</v>
      </c>
      <c r="J247" s="459">
        <f t="shared" si="104"/>
        <v>290.78316297292702</v>
      </c>
      <c r="K247" s="459">
        <f t="shared" si="104"/>
        <v>301.61791885713598</v>
      </c>
      <c r="L247" s="459">
        <f t="shared" si="104"/>
        <v>303.70620379473007</v>
      </c>
      <c r="M247" s="459">
        <f t="shared" si="104"/>
        <v>299.65329743783622</v>
      </c>
      <c r="N247" s="459">
        <f t="shared" si="104"/>
        <v>294.05156910634116</v>
      </c>
    </row>
    <row r="248" spans="2:14">
      <c r="B248" s="338" t="str">
        <f t="shared" si="101"/>
        <v>25-29</v>
      </c>
      <c r="C248" s="459">
        <f t="shared" si="103"/>
        <v>259.81318386085337</v>
      </c>
      <c r="D248" s="459">
        <f t="shared" ref="D248:N248" si="105">D78-D214</f>
        <v>333.59705840148689</v>
      </c>
      <c r="E248" s="459">
        <f t="shared" si="105"/>
        <v>410.38757268038893</v>
      </c>
      <c r="F248" s="459">
        <f t="shared" si="105"/>
        <v>440.9721598435051</v>
      </c>
      <c r="G248" s="459">
        <f t="shared" si="105"/>
        <v>462.45785153332668</v>
      </c>
      <c r="H248" s="459">
        <f t="shared" si="105"/>
        <v>500.41365494187011</v>
      </c>
      <c r="I248" s="459">
        <f t="shared" si="105"/>
        <v>538.30866248692553</v>
      </c>
      <c r="J248" s="459">
        <f t="shared" si="105"/>
        <v>567.40570444452135</v>
      </c>
      <c r="K248" s="459">
        <f t="shared" si="105"/>
        <v>593.2892225388232</v>
      </c>
      <c r="L248" s="459">
        <f t="shared" si="105"/>
        <v>606.79815209075934</v>
      </c>
      <c r="M248" s="459">
        <f t="shared" si="105"/>
        <v>609.76566877141636</v>
      </c>
      <c r="N248" s="459">
        <f t="shared" si="105"/>
        <v>607.6195307615734</v>
      </c>
    </row>
    <row r="249" spans="2:14">
      <c r="B249" s="338" t="str">
        <f t="shared" si="101"/>
        <v>30-34</v>
      </c>
      <c r="C249" s="459">
        <f t="shared" si="103"/>
        <v>537.12585656336125</v>
      </c>
      <c r="D249" s="459">
        <f t="shared" ref="D249:N249" si="106">D79-D215</f>
        <v>533.51564902044947</v>
      </c>
      <c r="E249" s="459">
        <f t="shared" si="106"/>
        <v>549.0384115187486</v>
      </c>
      <c r="F249" s="459">
        <f t="shared" si="106"/>
        <v>551.82854616869281</v>
      </c>
      <c r="G249" s="459">
        <f t="shared" si="106"/>
        <v>557.00325696119739</v>
      </c>
      <c r="H249" s="459">
        <f t="shared" si="106"/>
        <v>577.46499533611222</v>
      </c>
      <c r="I249" s="459">
        <f t="shared" si="106"/>
        <v>603.5964756151136</v>
      </c>
      <c r="J249" s="459">
        <f t="shared" si="106"/>
        <v>628.8018690495586</v>
      </c>
      <c r="K249" s="459">
        <f t="shared" si="106"/>
        <v>654.52577561279338</v>
      </c>
      <c r="L249" s="459">
        <f t="shared" si="106"/>
        <v>674.09523300228557</v>
      </c>
      <c r="M249" s="459">
        <f t="shared" si="106"/>
        <v>686.80583988660442</v>
      </c>
      <c r="N249" s="459">
        <f t="shared" si="106"/>
        <v>694.69323308457047</v>
      </c>
    </row>
    <row r="250" spans="2:14">
      <c r="B250" s="338" t="str">
        <f t="shared" si="101"/>
        <v>35-39</v>
      </c>
      <c r="C250" s="459">
        <f t="shared" si="103"/>
        <v>596.31725138635738</v>
      </c>
      <c r="D250" s="459">
        <f t="shared" ref="D250:N250" si="107">D80-D216</f>
        <v>600.25458567649832</v>
      </c>
      <c r="E250" s="459">
        <f t="shared" si="107"/>
        <v>605.34850282601633</v>
      </c>
      <c r="F250" s="459">
        <f t="shared" si="107"/>
        <v>597.16863757423459</v>
      </c>
      <c r="G250" s="459">
        <f t="shared" si="107"/>
        <v>589.85880011289009</v>
      </c>
      <c r="H250" s="459">
        <f t="shared" si="107"/>
        <v>593.39738609738265</v>
      </c>
      <c r="I250" s="459">
        <f t="shared" si="107"/>
        <v>602.23750675520967</v>
      </c>
      <c r="J250" s="459">
        <f t="shared" si="107"/>
        <v>612.80149495079047</v>
      </c>
      <c r="K250" s="459">
        <f t="shared" si="107"/>
        <v>626.31976706121884</v>
      </c>
      <c r="L250" s="459">
        <f t="shared" si="107"/>
        <v>638.34063099977868</v>
      </c>
      <c r="M250" s="459">
        <f t="shared" si="107"/>
        <v>648.13493368813999</v>
      </c>
      <c r="N250" s="459">
        <f t="shared" si="107"/>
        <v>656.44766083282866</v>
      </c>
    </row>
    <row r="251" spans="2:14">
      <c r="B251" s="338" t="str">
        <f t="shared" si="101"/>
        <v>40-44</v>
      </c>
      <c r="C251" s="459">
        <f t="shared" si="103"/>
        <v>639.3143486265127</v>
      </c>
      <c r="D251" s="459">
        <f t="shared" ref="D251:N251" si="108">D81-D217</f>
        <v>629.43946981716113</v>
      </c>
      <c r="E251" s="459">
        <f t="shared" si="108"/>
        <v>625.14612527333713</v>
      </c>
      <c r="F251" s="459">
        <f t="shared" si="108"/>
        <v>610.64471931237438</v>
      </c>
      <c r="G251" s="459">
        <f t="shared" si="108"/>
        <v>596.94307923066515</v>
      </c>
      <c r="H251" s="459">
        <f t="shared" si="108"/>
        <v>592.01293582640699</v>
      </c>
      <c r="I251" s="459">
        <f t="shared" si="108"/>
        <v>590.938912739128</v>
      </c>
      <c r="J251" s="459">
        <f t="shared" si="108"/>
        <v>590.99402264861976</v>
      </c>
      <c r="K251" s="459">
        <f t="shared" si="108"/>
        <v>593.71821619285106</v>
      </c>
      <c r="L251" s="459">
        <f t="shared" si="108"/>
        <v>595.8445844876311</v>
      </c>
      <c r="M251" s="459">
        <f t="shared" si="108"/>
        <v>597.28868190332355</v>
      </c>
      <c r="N251" s="459">
        <f t="shared" si="108"/>
        <v>599.02254952465103</v>
      </c>
    </row>
    <row r="252" spans="2:14">
      <c r="B252" s="338" t="str">
        <f t="shared" si="101"/>
        <v>45-49</v>
      </c>
      <c r="C252" s="459">
        <f t="shared" si="103"/>
        <v>672.51393751751095</v>
      </c>
      <c r="D252" s="459">
        <f t="shared" ref="D252:N252" si="109">D82-D218</f>
        <v>648.07624469788891</v>
      </c>
      <c r="E252" s="459">
        <f t="shared" si="109"/>
        <v>630.11536942391137</v>
      </c>
      <c r="F252" s="459">
        <f t="shared" si="109"/>
        <v>606.22755714486948</v>
      </c>
      <c r="G252" s="459">
        <f t="shared" si="109"/>
        <v>584.82957043664123</v>
      </c>
      <c r="H252" s="459">
        <f t="shared" si="109"/>
        <v>571.86342923778648</v>
      </c>
      <c r="I252" s="459">
        <f t="shared" si="109"/>
        <v>562.95766736030475</v>
      </c>
      <c r="J252" s="459">
        <f t="shared" si="109"/>
        <v>555.56227289227138</v>
      </c>
      <c r="K252" s="459">
        <f t="shared" si="109"/>
        <v>550.70212991604285</v>
      </c>
      <c r="L252" s="459">
        <f t="shared" si="109"/>
        <v>545.68161140307586</v>
      </c>
      <c r="M252" s="459">
        <f t="shared" si="109"/>
        <v>540.46548096475908</v>
      </c>
      <c r="N252" s="459">
        <f t="shared" si="109"/>
        <v>535.9540485103945</v>
      </c>
    </row>
    <row r="253" spans="2:14">
      <c r="B253" s="338" t="str">
        <f t="shared" si="101"/>
        <v>50-54</v>
      </c>
      <c r="C253" s="459">
        <f t="shared" si="103"/>
        <v>659.22811058416312</v>
      </c>
      <c r="D253" s="459">
        <f t="shared" ref="D253:N253" si="110">D83-D219</f>
        <v>614.39869458759642</v>
      </c>
      <c r="E253" s="459">
        <f t="shared" si="110"/>
        <v>579.46327797510844</v>
      </c>
      <c r="F253" s="459">
        <f t="shared" si="110"/>
        <v>544.26138612575733</v>
      </c>
      <c r="G253" s="459">
        <f t="shared" si="110"/>
        <v>514.12249755580001</v>
      </c>
      <c r="H253" s="459">
        <f t="shared" si="110"/>
        <v>492.6897849934636</v>
      </c>
      <c r="I253" s="459">
        <f t="shared" si="110"/>
        <v>476.23893474498936</v>
      </c>
      <c r="J253" s="459">
        <f t="shared" si="110"/>
        <v>462.47705852233884</v>
      </c>
      <c r="K253" s="459">
        <f t="shared" si="110"/>
        <v>451.77610566057552</v>
      </c>
      <c r="L253" s="459">
        <f t="shared" si="110"/>
        <v>441.88731916498364</v>
      </c>
      <c r="M253" s="459">
        <f t="shared" si="110"/>
        <v>432.57204862015288</v>
      </c>
      <c r="N253" s="459">
        <f t="shared" si="110"/>
        <v>424.33400958625646</v>
      </c>
    </row>
    <row r="254" spans="2:14">
      <c r="B254" s="338" t="str">
        <f t="shared" si="101"/>
        <v>55-59</v>
      </c>
      <c r="C254" s="459">
        <f t="shared" si="103"/>
        <v>448.93485518909097</v>
      </c>
      <c r="D254" s="459">
        <f t="shared" ref="D254:N254" si="111">D84-D220</f>
        <v>378.05813851321062</v>
      </c>
      <c r="E254" s="459">
        <f t="shared" si="111"/>
        <v>330.20931482693254</v>
      </c>
      <c r="F254" s="459">
        <f t="shared" si="111"/>
        <v>292.58197678065869</v>
      </c>
      <c r="G254" s="459">
        <f t="shared" si="111"/>
        <v>264.60998008964128</v>
      </c>
      <c r="H254" s="459">
        <f t="shared" si="111"/>
        <v>245.79431244521814</v>
      </c>
      <c r="I254" s="459">
        <f t="shared" si="111"/>
        <v>232.12234843567347</v>
      </c>
      <c r="J254" s="459">
        <f t="shared" si="111"/>
        <v>221.32221990478803</v>
      </c>
      <c r="K254" s="459">
        <f t="shared" si="111"/>
        <v>213.12741787330799</v>
      </c>
      <c r="L254" s="459">
        <f t="shared" si="111"/>
        <v>205.87950212169511</v>
      </c>
      <c r="M254" s="459">
        <f t="shared" si="111"/>
        <v>199.32640611739987</v>
      </c>
      <c r="N254" s="459">
        <f t="shared" si="111"/>
        <v>193.6757967458866</v>
      </c>
    </row>
    <row r="255" spans="2:14">
      <c r="B255" s="338" t="str">
        <f t="shared" si="101"/>
        <v>60-64</v>
      </c>
      <c r="C255" s="459">
        <f t="shared" si="103"/>
        <v>140.52811295890621</v>
      </c>
      <c r="D255" s="459">
        <f t="shared" ref="D255:N255" si="112">D85-D221</f>
        <v>128.12359221996473</v>
      </c>
      <c r="E255" s="459">
        <f t="shared" si="112"/>
        <v>113.95498748957013</v>
      </c>
      <c r="F255" s="459">
        <f t="shared" si="112"/>
        <v>99.561024214092328</v>
      </c>
      <c r="G255" s="459">
        <f t="shared" si="112"/>
        <v>87.890270633278206</v>
      </c>
      <c r="H255" s="459">
        <f t="shared" si="112"/>
        <v>79.875722914773036</v>
      </c>
      <c r="I255" s="459">
        <f t="shared" si="112"/>
        <v>74.034528916211258</v>
      </c>
      <c r="J255" s="459">
        <f t="shared" si="112"/>
        <v>69.45805255074238</v>
      </c>
      <c r="K255" s="459">
        <f t="shared" si="112"/>
        <v>66.059103224782305</v>
      </c>
      <c r="L255" s="459">
        <f t="shared" si="112"/>
        <v>63.079363298753186</v>
      </c>
      <c r="M255" s="459">
        <f t="shared" si="112"/>
        <v>60.421567395739459</v>
      </c>
      <c r="N255" s="459">
        <f t="shared" si="112"/>
        <v>58.181069627004327</v>
      </c>
    </row>
    <row r="256" spans="2:14">
      <c r="B256" s="338" t="str">
        <f t="shared" si="101"/>
        <v>65 plus</v>
      </c>
      <c r="C256" s="459">
        <f t="shared" si="103"/>
        <v>29.154728527503121</v>
      </c>
      <c r="D256" s="459">
        <f t="shared" ref="D256:N256" si="113">D86-D222</f>
        <v>32.890096234858646</v>
      </c>
      <c r="E256" s="459">
        <f t="shared" si="113"/>
        <v>33.677938370318138</v>
      </c>
      <c r="F256" s="459">
        <f t="shared" si="113"/>
        <v>31.977018572107752</v>
      </c>
      <c r="G256" s="459">
        <f t="shared" si="113"/>
        <v>29.447449451634405</v>
      </c>
      <c r="H256" s="459">
        <f t="shared" si="113"/>
        <v>27.158667002279831</v>
      </c>
      <c r="I256" s="459">
        <f t="shared" si="113"/>
        <v>25.162367086123236</v>
      </c>
      <c r="J256" s="459">
        <f t="shared" si="113"/>
        <v>23.423122121147046</v>
      </c>
      <c r="K256" s="459">
        <f t="shared" si="113"/>
        <v>22.031995857393948</v>
      </c>
      <c r="L256" s="459">
        <f t="shared" si="113"/>
        <v>20.80077400413154</v>
      </c>
      <c r="M256" s="459">
        <f t="shared" si="113"/>
        <v>19.702524693411643</v>
      </c>
      <c r="N256" s="459">
        <f t="shared" si="113"/>
        <v>18.769767727142256</v>
      </c>
    </row>
    <row r="257" spans="1:14">
      <c r="B257" s="338" t="str">
        <f t="shared" si="101"/>
        <v>Total</v>
      </c>
      <c r="C257" s="459">
        <f>SUM(C247:C256)</f>
        <v>4037.971616158311</v>
      </c>
      <c r="D257" s="459">
        <f t="shared" ref="D257:N257" si="114">SUM(D247:D256)</f>
        <v>4038.5640844132708</v>
      </c>
      <c r="E257" s="459">
        <f t="shared" si="114"/>
        <v>4083.6917268534985</v>
      </c>
      <c r="F257" s="459">
        <f t="shared" si="114"/>
        <v>4000.0912281019005</v>
      </c>
      <c r="G257" s="459">
        <f t="shared" si="114"/>
        <v>3921.9668997348422</v>
      </c>
      <c r="H257" s="459">
        <f t="shared" si="114"/>
        <v>3938.0210949140965</v>
      </c>
      <c r="I257" s="459">
        <f t="shared" si="114"/>
        <v>3983.5420857029544</v>
      </c>
      <c r="J257" s="459">
        <f t="shared" si="114"/>
        <v>4023.0289800577048</v>
      </c>
      <c r="K257" s="459">
        <f t="shared" si="114"/>
        <v>4073.1676527949248</v>
      </c>
      <c r="L257" s="459">
        <f t="shared" si="114"/>
        <v>4096.1133743678238</v>
      </c>
      <c r="M257" s="459">
        <f t="shared" si="114"/>
        <v>4094.136449478784</v>
      </c>
      <c r="N257" s="459">
        <f t="shared" si="114"/>
        <v>4082.7492355066483</v>
      </c>
    </row>
    <row r="258" spans="1:14">
      <c r="A258" s="309">
        <f>SUM(C258:N258)</f>
        <v>0</v>
      </c>
      <c r="C258" s="309">
        <f>SUM(C247:C256)-C257</f>
        <v>0</v>
      </c>
      <c r="D258" s="309">
        <f t="shared" ref="D258:N258" si="115">SUM(D247:D256)-D257</f>
        <v>0</v>
      </c>
      <c r="E258" s="309">
        <f t="shared" si="115"/>
        <v>0</v>
      </c>
      <c r="F258" s="309">
        <f t="shared" si="115"/>
        <v>0</v>
      </c>
      <c r="G258" s="309">
        <f t="shared" si="115"/>
        <v>0</v>
      </c>
      <c r="H258" s="309">
        <f t="shared" si="115"/>
        <v>0</v>
      </c>
      <c r="I258" s="309">
        <f t="shared" si="115"/>
        <v>0</v>
      </c>
      <c r="J258" s="309">
        <f t="shared" si="115"/>
        <v>0</v>
      </c>
      <c r="K258" s="309">
        <f t="shared" si="115"/>
        <v>0</v>
      </c>
      <c r="L258" s="309">
        <f t="shared" si="115"/>
        <v>0</v>
      </c>
      <c r="M258" s="309">
        <f t="shared" si="115"/>
        <v>0</v>
      </c>
      <c r="N258" s="309">
        <f t="shared" si="115"/>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6">B246</f>
        <v>Age group</v>
      </c>
      <c r="C262" s="338" t="str">
        <f t="shared" ref="C262:N262" si="117">C246</f>
        <v>2016/17</v>
      </c>
      <c r="D262" s="338" t="str">
        <f t="shared" si="117"/>
        <v>2017/18</v>
      </c>
      <c r="E262" s="338" t="str">
        <f t="shared" si="117"/>
        <v>2018/19</v>
      </c>
      <c r="F262" s="338" t="str">
        <f t="shared" si="117"/>
        <v>2019/20</v>
      </c>
      <c r="G262" s="338" t="str">
        <f t="shared" si="117"/>
        <v>2020/21</v>
      </c>
      <c r="H262" s="338" t="str">
        <f t="shared" si="117"/>
        <v>2021/22</v>
      </c>
      <c r="I262" s="338" t="str">
        <f t="shared" si="117"/>
        <v>2022/23</v>
      </c>
      <c r="J262" s="338" t="str">
        <f t="shared" si="117"/>
        <v>2023/24</v>
      </c>
      <c r="K262" s="338" t="str">
        <f t="shared" si="117"/>
        <v>2024/25</v>
      </c>
      <c r="L262" s="338" t="str">
        <f t="shared" si="117"/>
        <v>2025/26</v>
      </c>
      <c r="M262" s="338" t="str">
        <f t="shared" si="117"/>
        <v>2026/27</v>
      </c>
      <c r="N262" s="338" t="str">
        <f t="shared" si="117"/>
        <v>2027/28</v>
      </c>
    </row>
    <row r="263" spans="1:14">
      <c r="B263" s="338" t="str">
        <f t="shared" si="116"/>
        <v>20-24</v>
      </c>
      <c r="C263" s="459">
        <f t="shared" ref="C263:C272" si="118">C93-C229</f>
        <v>124.97502232927705</v>
      </c>
      <c r="D263" s="459">
        <f t="shared" ref="D263:N263" si="119">D93-D229</f>
        <v>217.32983380615954</v>
      </c>
      <c r="E263" s="459">
        <f t="shared" si="119"/>
        <v>290.08960489407144</v>
      </c>
      <c r="F263" s="459">
        <f t="shared" si="119"/>
        <v>305.64045214784812</v>
      </c>
      <c r="G263" s="459">
        <f t="shared" si="119"/>
        <v>312.5868894106938</v>
      </c>
      <c r="H263" s="459">
        <f t="shared" si="119"/>
        <v>337.17066058684492</v>
      </c>
      <c r="I263" s="459">
        <f t="shared" si="119"/>
        <v>360.44585819358093</v>
      </c>
      <c r="J263" s="459">
        <f t="shared" si="119"/>
        <v>374.70800457403942</v>
      </c>
      <c r="K263" s="459">
        <f t="shared" si="119"/>
        <v>387.01663596839347</v>
      </c>
      <c r="L263" s="459">
        <f t="shared" si="119"/>
        <v>388.64194029584161</v>
      </c>
      <c r="M263" s="459">
        <f t="shared" si="119"/>
        <v>382.76630885331906</v>
      </c>
      <c r="N263" s="459">
        <f t="shared" si="119"/>
        <v>375.13181189842942</v>
      </c>
    </row>
    <row r="264" spans="1:14">
      <c r="B264" s="338" t="str">
        <f t="shared" si="116"/>
        <v>25-29</v>
      </c>
      <c r="C264" s="459">
        <f t="shared" si="118"/>
        <v>632.76374877139972</v>
      </c>
      <c r="D264" s="459">
        <f t="shared" ref="D264:N264" si="120">D94-D230</f>
        <v>650.05528212221225</v>
      </c>
      <c r="E264" s="459">
        <f t="shared" si="120"/>
        <v>688.38372931648928</v>
      </c>
      <c r="F264" s="459">
        <f t="shared" si="120"/>
        <v>681.90647117833714</v>
      </c>
      <c r="G264" s="459">
        <f t="shared" si="120"/>
        <v>674.60145031537911</v>
      </c>
      <c r="H264" s="459">
        <f t="shared" si="120"/>
        <v>696.22316322500194</v>
      </c>
      <c r="I264" s="459">
        <f t="shared" si="120"/>
        <v>723.90074117256938</v>
      </c>
      <c r="J264" s="459">
        <f t="shared" si="120"/>
        <v>745.1751424129834</v>
      </c>
      <c r="K264" s="459">
        <f t="shared" si="120"/>
        <v>766.01371593952922</v>
      </c>
      <c r="L264" s="459">
        <f t="shared" si="120"/>
        <v>774.03279349658442</v>
      </c>
      <c r="M264" s="459">
        <f t="shared" si="120"/>
        <v>770.95469050149586</v>
      </c>
      <c r="N264" s="459">
        <f t="shared" si="120"/>
        <v>763.14881809229053</v>
      </c>
    </row>
    <row r="265" spans="1:14">
      <c r="B265" s="338" t="str">
        <f t="shared" si="116"/>
        <v>30-34</v>
      </c>
      <c r="C265" s="459">
        <f t="shared" si="118"/>
        <v>902.96996396091481</v>
      </c>
      <c r="D265" s="459">
        <f t="shared" ref="D265:N265" si="121">D95-D231</f>
        <v>876.37667120729282</v>
      </c>
      <c r="E265" s="459">
        <f t="shared" si="121"/>
        <v>865.54203879263912</v>
      </c>
      <c r="F265" s="459">
        <f t="shared" si="121"/>
        <v>835.89911956798824</v>
      </c>
      <c r="G265" s="459">
        <f t="shared" si="121"/>
        <v>809.7872247117383</v>
      </c>
      <c r="H265" s="459">
        <f t="shared" si="121"/>
        <v>804.89078639888453</v>
      </c>
      <c r="I265" s="459">
        <f t="shared" si="121"/>
        <v>809.79615279589302</v>
      </c>
      <c r="J265" s="459">
        <f t="shared" si="121"/>
        <v>816.58237773020107</v>
      </c>
      <c r="K265" s="459">
        <f t="shared" si="121"/>
        <v>827.11036126415672</v>
      </c>
      <c r="L265" s="459">
        <f t="shared" si="121"/>
        <v>832.95112000738902</v>
      </c>
      <c r="M265" s="459">
        <f t="shared" si="121"/>
        <v>833.12252954322878</v>
      </c>
      <c r="N265" s="459">
        <f t="shared" si="121"/>
        <v>829.96511510604614</v>
      </c>
    </row>
    <row r="266" spans="1:14">
      <c r="B266" s="338" t="str">
        <f t="shared" si="116"/>
        <v>35-39</v>
      </c>
      <c r="C266" s="459">
        <f t="shared" si="118"/>
        <v>825.19373824799993</v>
      </c>
      <c r="D266" s="459">
        <f t="shared" ref="D266:N266" si="122">D96-D232</f>
        <v>838.8034738621908</v>
      </c>
      <c r="E266" s="459">
        <f t="shared" si="122"/>
        <v>847.43675576100895</v>
      </c>
      <c r="F266" s="459">
        <f t="shared" si="122"/>
        <v>833.23049027253785</v>
      </c>
      <c r="G266" s="459">
        <f t="shared" si="122"/>
        <v>815.20527222392138</v>
      </c>
      <c r="H266" s="459">
        <f t="shared" si="122"/>
        <v>807.16113423702723</v>
      </c>
      <c r="I266" s="459">
        <f t="shared" si="122"/>
        <v>803.27085723259734</v>
      </c>
      <c r="J266" s="459">
        <f t="shared" si="122"/>
        <v>800.11442761320973</v>
      </c>
      <c r="K266" s="459">
        <f t="shared" si="122"/>
        <v>800.12999783334124</v>
      </c>
      <c r="L266" s="459">
        <f t="shared" si="122"/>
        <v>798.42403979379867</v>
      </c>
      <c r="M266" s="459">
        <f t="shared" si="122"/>
        <v>794.65050466560297</v>
      </c>
      <c r="N266" s="459">
        <f t="shared" si="122"/>
        <v>790.14702886171506</v>
      </c>
    </row>
    <row r="267" spans="1:14">
      <c r="B267" s="338" t="str">
        <f t="shared" si="116"/>
        <v>40-44</v>
      </c>
      <c r="C267" s="459">
        <f t="shared" si="118"/>
        <v>771.13127216021257</v>
      </c>
      <c r="D267" s="459">
        <f t="shared" ref="D267:N267" si="123">D97-D233</f>
        <v>776.19088212358247</v>
      </c>
      <c r="E267" s="459">
        <f t="shared" si="123"/>
        <v>785.35922269823493</v>
      </c>
      <c r="F267" s="459">
        <f t="shared" si="123"/>
        <v>778.28145814592904</v>
      </c>
      <c r="G267" s="459">
        <f t="shared" si="123"/>
        <v>768.67100346047073</v>
      </c>
      <c r="H267" s="459">
        <f t="shared" si="123"/>
        <v>766.58379514596413</v>
      </c>
      <c r="I267" s="459">
        <f t="shared" si="123"/>
        <v>765.99442431004661</v>
      </c>
      <c r="J267" s="459">
        <f t="shared" si="123"/>
        <v>763.84622454481973</v>
      </c>
      <c r="K267" s="459">
        <f t="shared" si="123"/>
        <v>762.58370098284627</v>
      </c>
      <c r="L267" s="459">
        <f t="shared" si="123"/>
        <v>758.61505388250862</v>
      </c>
      <c r="M267" s="459">
        <f t="shared" si="123"/>
        <v>752.38153172836428</v>
      </c>
      <c r="N267" s="459">
        <f t="shared" si="123"/>
        <v>745.61967031192944</v>
      </c>
    </row>
    <row r="268" spans="1:14">
      <c r="B268" s="338" t="str">
        <f t="shared" si="116"/>
        <v>45-49</v>
      </c>
      <c r="C268" s="459">
        <f t="shared" si="118"/>
        <v>740.09054344879257</v>
      </c>
      <c r="D268" s="459">
        <f t="shared" ref="D268:N268" si="124">D98-D234</f>
        <v>729.8825949616155</v>
      </c>
      <c r="E268" s="459">
        <f t="shared" si="124"/>
        <v>725.66835734160327</v>
      </c>
      <c r="F268" s="459">
        <f t="shared" si="124"/>
        <v>711.76976429804995</v>
      </c>
      <c r="G268" s="459">
        <f t="shared" si="124"/>
        <v>698.82601936723688</v>
      </c>
      <c r="H268" s="459">
        <f t="shared" si="124"/>
        <v>694.2839317941191</v>
      </c>
      <c r="I268" s="459">
        <f t="shared" si="124"/>
        <v>692.53119908718418</v>
      </c>
      <c r="J268" s="459">
        <f t="shared" si="124"/>
        <v>690.3298481782432</v>
      </c>
      <c r="K268" s="459">
        <f t="shared" si="124"/>
        <v>689.04943266656937</v>
      </c>
      <c r="L268" s="459">
        <f t="shared" si="124"/>
        <v>685.41858126075488</v>
      </c>
      <c r="M268" s="459">
        <f t="shared" si="124"/>
        <v>679.60362879390721</v>
      </c>
      <c r="N268" s="459">
        <f t="shared" si="124"/>
        <v>673.00026373074581</v>
      </c>
    </row>
    <row r="269" spans="1:14">
      <c r="B269" s="338" t="str">
        <f t="shared" si="116"/>
        <v>50-54</v>
      </c>
      <c r="C269" s="459">
        <f t="shared" si="118"/>
        <v>620.84635940371243</v>
      </c>
      <c r="D269" s="459">
        <f t="shared" ref="D269:N269" si="125">D99-D235</f>
        <v>603.96386013091626</v>
      </c>
      <c r="E269" s="459">
        <f t="shared" si="125"/>
        <v>591.86720705539915</v>
      </c>
      <c r="F269" s="459">
        <f t="shared" si="125"/>
        <v>573.52379756175094</v>
      </c>
      <c r="G269" s="459">
        <f t="shared" si="125"/>
        <v>557.00433305193349</v>
      </c>
      <c r="H269" s="459">
        <f t="shared" si="125"/>
        <v>547.83919449604059</v>
      </c>
      <c r="I269" s="459">
        <f t="shared" si="125"/>
        <v>541.94638555517508</v>
      </c>
      <c r="J269" s="459">
        <f t="shared" si="125"/>
        <v>536.8708018969171</v>
      </c>
      <c r="K269" s="459">
        <f t="shared" si="125"/>
        <v>533.40474020349029</v>
      </c>
      <c r="L269" s="459">
        <f t="shared" si="125"/>
        <v>528.94375901640194</v>
      </c>
      <c r="M269" s="459">
        <f t="shared" si="125"/>
        <v>523.38893938729973</v>
      </c>
      <c r="N269" s="459">
        <f t="shared" si="125"/>
        <v>517.55959942920924</v>
      </c>
    </row>
    <row r="270" spans="1:14">
      <c r="B270" s="338" t="str">
        <f t="shared" si="116"/>
        <v>55-59</v>
      </c>
      <c r="C270" s="459">
        <f t="shared" si="118"/>
        <v>405.07932022197599</v>
      </c>
      <c r="D270" s="459">
        <f t="shared" ref="D270:N270" si="126">D100-D236</f>
        <v>353.99514014964757</v>
      </c>
      <c r="E270" s="459">
        <f t="shared" si="126"/>
        <v>321.88241067257735</v>
      </c>
      <c r="F270" s="459">
        <f t="shared" si="126"/>
        <v>295.57972018010042</v>
      </c>
      <c r="G270" s="459">
        <f t="shared" si="126"/>
        <v>276.48705028532618</v>
      </c>
      <c r="H270" s="459">
        <f t="shared" si="126"/>
        <v>265.42862335858473</v>
      </c>
      <c r="I270" s="459">
        <f t="shared" si="126"/>
        <v>258.2679723665193</v>
      </c>
      <c r="J270" s="459">
        <f t="shared" si="126"/>
        <v>252.75985700548711</v>
      </c>
      <c r="K270" s="459">
        <f t="shared" si="126"/>
        <v>249.01194600341086</v>
      </c>
      <c r="L270" s="459">
        <f t="shared" si="126"/>
        <v>245.21268218503985</v>
      </c>
      <c r="M270" s="459">
        <f t="shared" si="126"/>
        <v>241.25122810025258</v>
      </c>
      <c r="N270" s="459">
        <f t="shared" si="126"/>
        <v>237.54945801990303</v>
      </c>
    </row>
    <row r="271" spans="1:14">
      <c r="B271" s="338" t="str">
        <f t="shared" si="116"/>
        <v>60-64</v>
      </c>
      <c r="C271" s="459">
        <f t="shared" si="118"/>
        <v>115.13787682255096</v>
      </c>
      <c r="D271" s="459">
        <f t="shared" ref="D271:N271" si="127">D101-D237</f>
        <v>106.96944069751076</v>
      </c>
      <c r="E271" s="459">
        <f t="shared" si="127"/>
        <v>97.776776403548681</v>
      </c>
      <c r="F271" s="459">
        <f t="shared" si="127"/>
        <v>87.693795497356945</v>
      </c>
      <c r="G271" s="459">
        <f t="shared" si="127"/>
        <v>79.802949641658955</v>
      </c>
      <c r="H271" s="459">
        <f t="shared" si="127"/>
        <v>75.172389698210011</v>
      </c>
      <c r="I271" s="459">
        <f t="shared" si="127"/>
        <v>72.124577605159686</v>
      </c>
      <c r="J271" s="459">
        <f t="shared" si="127"/>
        <v>69.764606235919814</v>
      </c>
      <c r="K271" s="459">
        <f t="shared" si="127"/>
        <v>68.178506179853599</v>
      </c>
      <c r="L271" s="459">
        <f t="shared" si="127"/>
        <v>66.591376253136104</v>
      </c>
      <c r="M271" s="459">
        <f t="shared" si="127"/>
        <v>65.005120303042901</v>
      </c>
      <c r="N271" s="459">
        <f t="shared" si="127"/>
        <v>63.61639631308207</v>
      </c>
    </row>
    <row r="272" spans="1:14">
      <c r="B272" s="338" t="str">
        <f t="shared" si="116"/>
        <v>65 plus</v>
      </c>
      <c r="C272" s="459">
        <f t="shared" si="118"/>
        <v>19.84641499357511</v>
      </c>
      <c r="D272" s="459">
        <f t="shared" ref="D272:N272" si="128">D102-D238</f>
        <v>23.802743406211469</v>
      </c>
      <c r="E272" s="459">
        <f t="shared" si="128"/>
        <v>25.090881128540932</v>
      </c>
      <c r="F272" s="459">
        <f t="shared" si="128"/>
        <v>24.111212724020547</v>
      </c>
      <c r="G272" s="459">
        <f t="shared" si="128"/>
        <v>22.541163738489747</v>
      </c>
      <c r="H272" s="459">
        <f t="shared" si="128"/>
        <v>21.357319902468117</v>
      </c>
      <c r="I272" s="459">
        <f t="shared" si="128"/>
        <v>20.419842484928573</v>
      </c>
      <c r="J272" s="459">
        <f t="shared" si="128"/>
        <v>19.605290271521461</v>
      </c>
      <c r="K272" s="459">
        <f t="shared" si="128"/>
        <v>19.007168873671478</v>
      </c>
      <c r="L272" s="459">
        <f t="shared" si="128"/>
        <v>18.413166690734624</v>
      </c>
      <c r="M272" s="459">
        <f t="shared" si="128"/>
        <v>17.823449769309271</v>
      </c>
      <c r="N272" s="459">
        <f t="shared" si="128"/>
        <v>17.305714787047112</v>
      </c>
    </row>
    <row r="273" spans="1:14">
      <c r="B273" s="338" t="str">
        <f t="shared" si="116"/>
        <v>Total</v>
      </c>
      <c r="C273" s="459">
        <f>SUM(C263:C272)</f>
        <v>5158.0342603604113</v>
      </c>
      <c r="D273" s="459">
        <f t="shared" ref="D273:N273" si="129">SUM(D263:D272)</f>
        <v>5177.3699224673392</v>
      </c>
      <c r="E273" s="459">
        <f t="shared" si="129"/>
        <v>5239.0969840641128</v>
      </c>
      <c r="F273" s="459">
        <f t="shared" si="129"/>
        <v>5127.6362815739194</v>
      </c>
      <c r="G273" s="459">
        <f t="shared" si="129"/>
        <v>5015.5133562068486</v>
      </c>
      <c r="H273" s="459">
        <f t="shared" si="129"/>
        <v>5016.1109988431444</v>
      </c>
      <c r="I273" s="459">
        <f t="shared" si="129"/>
        <v>5048.6980108036551</v>
      </c>
      <c r="J273" s="459">
        <f t="shared" si="129"/>
        <v>5069.7565804633432</v>
      </c>
      <c r="K273" s="459">
        <f t="shared" si="129"/>
        <v>5101.5062059152633</v>
      </c>
      <c r="L273" s="459">
        <f t="shared" si="129"/>
        <v>5097.2445128821892</v>
      </c>
      <c r="M273" s="459">
        <f t="shared" si="129"/>
        <v>5060.9479316458219</v>
      </c>
      <c r="N273" s="459">
        <f t="shared" si="129"/>
        <v>5013.0438765503968</v>
      </c>
    </row>
    <row r="274" spans="1:14">
      <c r="A274" s="309">
        <f>SUM(C274:N274)</f>
        <v>0</v>
      </c>
      <c r="C274" s="309">
        <f>SUM(C263:C272)-C273</f>
        <v>0</v>
      </c>
      <c r="D274" s="309">
        <f t="shared" ref="D274:N274" si="130">SUM(D263:D272)-D273</f>
        <v>0</v>
      </c>
      <c r="E274" s="309">
        <f t="shared" si="130"/>
        <v>0</v>
      </c>
      <c r="F274" s="309">
        <f t="shared" si="130"/>
        <v>0</v>
      </c>
      <c r="G274" s="309">
        <f t="shared" si="130"/>
        <v>0</v>
      </c>
      <c r="H274" s="309">
        <f t="shared" si="130"/>
        <v>0</v>
      </c>
      <c r="I274" s="309">
        <f t="shared" si="130"/>
        <v>0</v>
      </c>
      <c r="J274" s="309">
        <f t="shared" si="130"/>
        <v>0</v>
      </c>
      <c r="K274" s="309">
        <f t="shared" si="130"/>
        <v>0</v>
      </c>
      <c r="L274" s="309">
        <f t="shared" si="130"/>
        <v>0</v>
      </c>
      <c r="M274" s="309">
        <f t="shared" si="130"/>
        <v>0</v>
      </c>
      <c r="N274" s="309">
        <f t="shared" si="130"/>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1">D262</f>
        <v>2017/18</v>
      </c>
      <c r="E278" s="326" t="str">
        <f t="shared" si="131"/>
        <v>2018/19</v>
      </c>
      <c r="F278" s="326" t="str">
        <f t="shared" si="131"/>
        <v>2019/20</v>
      </c>
      <c r="G278" s="326" t="str">
        <f t="shared" si="131"/>
        <v>2020/21</v>
      </c>
      <c r="H278" s="326" t="str">
        <f t="shared" si="131"/>
        <v>2021/22</v>
      </c>
      <c r="I278" s="326" t="str">
        <f t="shared" si="131"/>
        <v>2022/23</v>
      </c>
      <c r="J278" s="326" t="str">
        <f t="shared" si="131"/>
        <v>2023/24</v>
      </c>
      <c r="K278" s="326" t="str">
        <f t="shared" si="131"/>
        <v>2024/25</v>
      </c>
      <c r="L278" s="326" t="str">
        <f t="shared" si="131"/>
        <v>2025/26</v>
      </c>
      <c r="M278" s="326" t="str">
        <f t="shared" si="131"/>
        <v>2026/27</v>
      </c>
      <c r="N278" s="326" t="str">
        <f t="shared" si="131"/>
        <v>2027/28</v>
      </c>
    </row>
    <row r="279" spans="1:14">
      <c r="B279" s="326" t="s">
        <v>581</v>
      </c>
      <c r="C279" s="459">
        <f>C223+C239</f>
        <v>1256.3735489728915</v>
      </c>
      <c r="D279" s="459">
        <f t="shared" ref="D279:N279" si="132">D223+D239</f>
        <v>1225.1408138990064</v>
      </c>
      <c r="E279" s="459">
        <f t="shared" si="132"/>
        <v>1204.9918839483114</v>
      </c>
      <c r="F279" s="459">
        <f t="shared" si="132"/>
        <v>1153.7523515913174</v>
      </c>
      <c r="G279" s="459">
        <f t="shared" si="132"/>
        <v>1108.6503990640635</v>
      </c>
      <c r="H279" s="459">
        <f t="shared" si="132"/>
        <v>1092.4187195610525</v>
      </c>
      <c r="I279" s="459">
        <f t="shared" si="132"/>
        <v>1086.6942056439093</v>
      </c>
      <c r="J279" s="459">
        <f t="shared" si="132"/>
        <v>1081.5043915596264</v>
      </c>
      <c r="K279" s="459">
        <f t="shared" si="132"/>
        <v>1080.8921108434306</v>
      </c>
      <c r="L279" s="459">
        <f t="shared" si="132"/>
        <v>1074.5873274573271</v>
      </c>
      <c r="M279" s="459">
        <f t="shared" si="132"/>
        <v>1063.2061874472704</v>
      </c>
      <c r="N279" s="459">
        <f t="shared" si="132"/>
        <v>1050.7802383567109</v>
      </c>
    </row>
    <row r="280" spans="1:14">
      <c r="B280" s="326" t="s">
        <v>582</v>
      </c>
      <c r="C280" s="459">
        <f>C155+C171</f>
        <v>482.47005396637155</v>
      </c>
      <c r="D280" s="459">
        <f t="shared" ref="D280:N280" si="133">D155+D171</f>
        <v>440.41017026639958</v>
      </c>
      <c r="E280" s="459">
        <f t="shared" si="133"/>
        <v>403.64538102636573</v>
      </c>
      <c r="F280" s="459">
        <f t="shared" si="133"/>
        <v>366.22730187565696</v>
      </c>
      <c r="G280" s="459">
        <f t="shared" si="133"/>
        <v>335.64978018262866</v>
      </c>
      <c r="H280" s="459">
        <f t="shared" si="133"/>
        <v>315.36396951835542</v>
      </c>
      <c r="I280" s="459">
        <f t="shared" si="133"/>
        <v>300.72614286078135</v>
      </c>
      <c r="J280" s="459">
        <f t="shared" si="133"/>
        <v>289.02529990014699</v>
      </c>
      <c r="K280" s="459">
        <f t="shared" si="133"/>
        <v>280.41823300089175</v>
      </c>
      <c r="L280" s="459">
        <f t="shared" si="133"/>
        <v>272.44961761539321</v>
      </c>
      <c r="M280" s="459">
        <f t="shared" si="133"/>
        <v>264.92830598454594</v>
      </c>
      <c r="N280" s="459">
        <f t="shared" si="133"/>
        <v>258.35081646414716</v>
      </c>
    </row>
    <row r="281" spans="1:14">
      <c r="B281" s="326" t="s">
        <v>583</v>
      </c>
      <c r="C281" s="459">
        <f>C189+C205</f>
        <v>7.9607237636067225</v>
      </c>
      <c r="D281" s="459">
        <f t="shared" ref="D281:N281" si="134">D189+D205</f>
        <v>7.6825857424814625</v>
      </c>
      <c r="E281" s="459">
        <f t="shared" si="134"/>
        <v>7.3862926407361211</v>
      </c>
      <c r="F281" s="459">
        <f t="shared" si="134"/>
        <v>6.9622256241450167</v>
      </c>
      <c r="G281" s="459">
        <f t="shared" si="134"/>
        <v>6.5753127267056186</v>
      </c>
      <c r="H281" s="459">
        <f t="shared" si="134"/>
        <v>6.324127790662045</v>
      </c>
      <c r="I281" s="459">
        <f t="shared" si="134"/>
        <v>6.1457941347689324</v>
      </c>
      <c r="J281" s="459">
        <f t="shared" si="134"/>
        <v>6.001389514567764</v>
      </c>
      <c r="K281" s="459">
        <f t="shared" si="134"/>
        <v>5.9013931158534163</v>
      </c>
      <c r="L281" s="459">
        <f t="shared" si="134"/>
        <v>5.8032757462677189</v>
      </c>
      <c r="M281" s="459">
        <f t="shared" si="134"/>
        <v>5.7043370597639642</v>
      </c>
      <c r="N281" s="459">
        <f t="shared" si="134"/>
        <v>5.6153126015381387</v>
      </c>
    </row>
    <row r="282" spans="1:14">
      <c r="B282" s="326" t="s">
        <v>584</v>
      </c>
      <c r="C282" s="459">
        <f>C121+C137</f>
        <v>765.94277124291341</v>
      </c>
      <c r="D282" s="459">
        <f t="shared" ref="D282:N282" si="135">D121+D137</f>
        <v>777.04805789012528</v>
      </c>
      <c r="E282" s="459">
        <f t="shared" si="135"/>
        <v>793.96021028120958</v>
      </c>
      <c r="F282" s="459">
        <f t="shared" si="135"/>
        <v>780.56282409151538</v>
      </c>
      <c r="G282" s="459">
        <f t="shared" si="135"/>
        <v>766.42530615472924</v>
      </c>
      <c r="H282" s="459">
        <f t="shared" si="135"/>
        <v>770.73062225203512</v>
      </c>
      <c r="I282" s="459">
        <f t="shared" si="135"/>
        <v>779.82226864835889</v>
      </c>
      <c r="J282" s="459">
        <f t="shared" si="135"/>
        <v>786.47770214491175</v>
      </c>
      <c r="K282" s="459">
        <f t="shared" si="135"/>
        <v>794.57248472668539</v>
      </c>
      <c r="L282" s="459">
        <f t="shared" si="135"/>
        <v>796.33443409566621</v>
      </c>
      <c r="M282" s="459">
        <f t="shared" si="135"/>
        <v>792.57354440296047</v>
      </c>
      <c r="N282" s="459">
        <f t="shared" si="135"/>
        <v>786.81410929102572</v>
      </c>
    </row>
    <row r="283" spans="1:14" ht="15.75">
      <c r="A283" s="309">
        <f>SUM(C283:N283)</f>
        <v>0</v>
      </c>
      <c r="B283" s="340"/>
      <c r="C283" s="309">
        <f>C279-C280-C281-C282</f>
        <v>0</v>
      </c>
      <c r="D283" s="309">
        <f t="shared" ref="D283:N283" si="136">D279-D280-D281-D282</f>
        <v>0</v>
      </c>
      <c r="E283" s="309">
        <f t="shared" si="136"/>
        <v>0</v>
      </c>
      <c r="F283" s="309">
        <f t="shared" si="136"/>
        <v>0</v>
      </c>
      <c r="G283" s="309">
        <f t="shared" si="136"/>
        <v>0</v>
      </c>
      <c r="H283" s="309">
        <f t="shared" si="136"/>
        <v>0</v>
      </c>
      <c r="I283" s="309">
        <f t="shared" si="136"/>
        <v>0</v>
      </c>
      <c r="J283" s="309">
        <f t="shared" si="136"/>
        <v>0</v>
      </c>
      <c r="K283" s="309">
        <f t="shared" si="136"/>
        <v>0</v>
      </c>
      <c r="L283" s="309">
        <f t="shared" si="136"/>
        <v>0</v>
      </c>
      <c r="M283" s="309">
        <f t="shared" si="136"/>
        <v>0</v>
      </c>
      <c r="N283" s="309">
        <f t="shared" si="136"/>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7">D278</f>
        <v>2017/18</v>
      </c>
      <c r="E289" s="326" t="str">
        <f t="shared" si="137"/>
        <v>2018/19</v>
      </c>
      <c r="F289" s="326" t="str">
        <f t="shared" si="137"/>
        <v>2019/20</v>
      </c>
      <c r="G289" s="326" t="str">
        <f t="shared" si="137"/>
        <v>2020/21</v>
      </c>
      <c r="H289" s="326" t="str">
        <f t="shared" si="137"/>
        <v>2021/22</v>
      </c>
      <c r="I289" s="326" t="str">
        <f t="shared" si="137"/>
        <v>2022/23</v>
      </c>
      <c r="J289" s="326" t="str">
        <f t="shared" si="137"/>
        <v>2023/24</v>
      </c>
      <c r="K289" s="326" t="str">
        <f t="shared" si="137"/>
        <v>2024/25</v>
      </c>
      <c r="L289" s="326" t="str">
        <f t="shared" si="137"/>
        <v>2025/26</v>
      </c>
      <c r="M289" s="326" t="str">
        <f t="shared" si="137"/>
        <v>2026/27</v>
      </c>
      <c r="N289" s="326" t="str">
        <f t="shared" si="137"/>
        <v>2027/28</v>
      </c>
    </row>
    <row r="290" spans="2:14" ht="15.75">
      <c r="B290" s="340"/>
      <c r="C290" s="459">
        <f>C53+C69-C15</f>
        <v>0</v>
      </c>
      <c r="D290" s="459">
        <f>D53+D69-D15</f>
        <v>0</v>
      </c>
      <c r="E290" s="459">
        <f>E53+E69-E15</f>
        <v>0</v>
      </c>
      <c r="F290" s="459">
        <f t="shared" ref="F290:N290" si="138">F53+F69-F15</f>
        <v>0</v>
      </c>
      <c r="G290" s="459">
        <f t="shared" si="138"/>
        <v>0</v>
      </c>
      <c r="H290" s="459">
        <f t="shared" si="138"/>
        <v>0</v>
      </c>
      <c r="I290" s="459">
        <f t="shared" si="138"/>
        <v>0</v>
      </c>
      <c r="J290" s="459">
        <f t="shared" si="138"/>
        <v>0</v>
      </c>
      <c r="K290" s="459">
        <f t="shared" si="138"/>
        <v>0</v>
      </c>
      <c r="L290" s="459">
        <f t="shared" si="138"/>
        <v>0</v>
      </c>
      <c r="M290" s="459">
        <f t="shared" si="138"/>
        <v>0</v>
      </c>
      <c r="N290" s="459">
        <f t="shared" si="138"/>
        <v>0</v>
      </c>
    </row>
    <row r="291" spans="2:14" ht="15.75">
      <c r="B291" s="340"/>
      <c r="H291" s="327"/>
    </row>
    <row r="292" spans="2:14" ht="15.75">
      <c r="B292" s="340" t="s">
        <v>263</v>
      </c>
      <c r="H292" s="327"/>
    </row>
    <row r="293" spans="2:14" ht="15.75">
      <c r="B293" s="340"/>
      <c r="C293" s="365" t="str">
        <f t="shared" ref="C293:N293" si="139">C262</f>
        <v>2016/17</v>
      </c>
      <c r="D293" s="365" t="str">
        <f t="shared" si="139"/>
        <v>2017/18</v>
      </c>
      <c r="E293" s="365" t="str">
        <f t="shared" si="139"/>
        <v>2018/19</v>
      </c>
      <c r="F293" s="365" t="str">
        <f t="shared" si="139"/>
        <v>2019/20</v>
      </c>
      <c r="G293" s="365" t="str">
        <f t="shared" si="139"/>
        <v>2020/21</v>
      </c>
      <c r="H293" s="365" t="str">
        <f t="shared" si="139"/>
        <v>2021/22</v>
      </c>
      <c r="I293" s="365" t="str">
        <f t="shared" si="139"/>
        <v>2022/23</v>
      </c>
      <c r="J293" s="365" t="str">
        <f t="shared" si="139"/>
        <v>2023/24</v>
      </c>
      <c r="K293" s="365" t="str">
        <f t="shared" si="139"/>
        <v>2024/25</v>
      </c>
      <c r="L293" s="365" t="str">
        <f t="shared" si="139"/>
        <v>2025/26</v>
      </c>
      <c r="M293" s="365" t="str">
        <f t="shared" si="139"/>
        <v>2026/27</v>
      </c>
      <c r="N293" s="365" t="str">
        <f t="shared" si="139"/>
        <v>2027/28</v>
      </c>
    </row>
    <row r="294" spans="2:14">
      <c r="B294" s="363" t="s">
        <v>266</v>
      </c>
      <c r="C294" s="459">
        <f>C36-C15+C279-C290</f>
        <v>1245.0689442608946</v>
      </c>
      <c r="D294" s="459">
        <f t="shared" ref="D294:N294" si="140">D36-D15+D279-D290</f>
        <v>1311.846587985312</v>
      </c>
      <c r="E294" s="459">
        <f t="shared" si="140"/>
        <v>958.69115034952551</v>
      </c>
      <c r="F294" s="459">
        <f t="shared" si="140"/>
        <v>918.40314532993511</v>
      </c>
      <c r="G294" s="459">
        <f t="shared" si="140"/>
        <v>1109.0705573766031</v>
      </c>
      <c r="H294" s="459">
        <f t="shared" si="140"/>
        <v>1164.802208393276</v>
      </c>
      <c r="I294" s="459">
        <f t="shared" si="140"/>
        <v>1142.0498555740651</v>
      </c>
      <c r="J294" s="459">
        <f t="shared" si="140"/>
        <v>1162.780409032571</v>
      </c>
      <c r="K294" s="459">
        <f t="shared" si="140"/>
        <v>1093.2713559971535</v>
      </c>
      <c r="L294" s="459">
        <f t="shared" si="140"/>
        <v>1024.9326813218624</v>
      </c>
      <c r="M294" s="459">
        <f t="shared" si="140"/>
        <v>991.48896928915133</v>
      </c>
      <c r="N294" s="459">
        <f t="shared" si="140"/>
        <v>1034.7806866282249</v>
      </c>
    </row>
    <row r="295" spans="2:14" ht="12.75" customHeight="1">
      <c r="B295" s="1243" t="s">
        <v>264</v>
      </c>
      <c r="C295" s="1243"/>
      <c r="D295" s="1243"/>
      <c r="E295" s="1243"/>
      <c r="F295" s="1243"/>
      <c r="G295" s="1243"/>
      <c r="H295" s="1243"/>
      <c r="I295" s="1243"/>
      <c r="J295" s="1243"/>
      <c r="K295" s="1243"/>
      <c r="L295" s="1243"/>
      <c r="M295" s="1243"/>
      <c r="N295" s="1243"/>
    </row>
    <row r="296" spans="2:14">
      <c r="B296" s="326" t="s">
        <v>559</v>
      </c>
      <c r="C296" s="282">
        <f>IF(C294&lt;0,0,C294)</f>
        <v>1245.0689442608946</v>
      </c>
      <c r="D296" s="282">
        <f t="shared" ref="D296:N296" si="141">IF(D294&lt;0,0,D294)</f>
        <v>1311.846587985312</v>
      </c>
      <c r="E296" s="282">
        <f t="shared" si="141"/>
        <v>958.69115034952551</v>
      </c>
      <c r="F296" s="282">
        <f t="shared" si="141"/>
        <v>918.40314532993511</v>
      </c>
      <c r="G296" s="282">
        <f t="shared" si="141"/>
        <v>1109.0705573766031</v>
      </c>
      <c r="H296" s="282">
        <f t="shared" si="141"/>
        <v>1164.802208393276</v>
      </c>
      <c r="I296" s="282">
        <f t="shared" si="141"/>
        <v>1142.0498555740651</v>
      </c>
      <c r="J296" s="282">
        <f t="shared" si="141"/>
        <v>1162.780409032571</v>
      </c>
      <c r="K296" s="282">
        <f t="shared" si="141"/>
        <v>1093.2713559971535</v>
      </c>
      <c r="L296" s="282">
        <f t="shared" si="141"/>
        <v>1024.9326813218624</v>
      </c>
      <c r="M296" s="282">
        <f t="shared" si="141"/>
        <v>991.48896928915133</v>
      </c>
      <c r="N296" s="282">
        <f t="shared" si="141"/>
        <v>1034.7806866282249</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2">B262</f>
        <v>Age group</v>
      </c>
      <c r="C302" s="338" t="str">
        <f>C293</f>
        <v>2016/17</v>
      </c>
      <c r="D302" s="338" t="str">
        <f t="shared" ref="D302:N302" si="143">D293</f>
        <v>2017/18</v>
      </c>
      <c r="E302" s="338" t="str">
        <f t="shared" si="143"/>
        <v>2018/19</v>
      </c>
      <c r="F302" s="338" t="str">
        <f t="shared" si="143"/>
        <v>2019/20</v>
      </c>
      <c r="G302" s="338" t="str">
        <f t="shared" si="143"/>
        <v>2020/21</v>
      </c>
      <c r="H302" s="338" t="str">
        <f t="shared" si="143"/>
        <v>2021/22</v>
      </c>
      <c r="I302" s="338" t="str">
        <f t="shared" si="143"/>
        <v>2022/23</v>
      </c>
      <c r="J302" s="338" t="str">
        <f t="shared" si="143"/>
        <v>2023/24</v>
      </c>
      <c r="K302" s="338" t="str">
        <f t="shared" si="143"/>
        <v>2024/25</v>
      </c>
      <c r="L302" s="338" t="str">
        <f t="shared" si="143"/>
        <v>2025/26</v>
      </c>
      <c r="M302" s="338" t="str">
        <f t="shared" si="143"/>
        <v>2026/27</v>
      </c>
      <c r="N302" s="338" t="str">
        <f t="shared" si="143"/>
        <v>2027/28</v>
      </c>
    </row>
    <row r="303" spans="2:14">
      <c r="B303" s="338" t="str">
        <f t="shared" si="142"/>
        <v>20-24</v>
      </c>
      <c r="C303" s="459">
        <f>C$296*Entrant_age_breakdowns!$K76*$G$31</f>
        <v>141.61168986064675</v>
      </c>
      <c r="D303" s="459">
        <f>D$296*Entrant_age_breakdowns!$K76*$G$31</f>
        <v>149.20684755558113</v>
      </c>
      <c r="E303" s="459">
        <f>E$296*Entrant_age_breakdowns!$K76*$G$31</f>
        <v>109.03964353237922</v>
      </c>
      <c r="F303" s="459">
        <f>F$296*Entrant_age_breakdowns!$K76*$G$31</f>
        <v>104.45736517884981</v>
      </c>
      <c r="G303" s="459">
        <f>G$296*Entrant_age_breakdowns!$K76*$G$31</f>
        <v>126.14350115207756</v>
      </c>
      <c r="H303" s="459">
        <f>H$296*Entrant_age_breakdowns!$K76*$G$31</f>
        <v>132.48230938882139</v>
      </c>
      <c r="I303" s="459">
        <f>I$296*Entrant_age_breakdowns!$K76*$G$31</f>
        <v>129.89450158437342</v>
      </c>
      <c r="J303" s="459">
        <f>J$296*Entrant_age_breakdowns!$K76*$G$31</f>
        <v>132.25235391097547</v>
      </c>
      <c r="K303" s="459">
        <f>K$296*Entrant_age_breakdowns!$K76*$G$31</f>
        <v>124.34653109985231</v>
      </c>
      <c r="L303" s="459">
        <f>L$296*Entrant_age_breakdowns!$K76*$G$31</f>
        <v>116.57382481863527</v>
      </c>
      <c r="M303" s="459">
        <f>M$296*Entrant_age_breakdowns!$K76*$G$31</f>
        <v>112.77000287126793</v>
      </c>
      <c r="N303" s="459">
        <f>N$296*Entrant_age_breakdowns!$K76*$G$31</f>
        <v>117.69391754893661</v>
      </c>
    </row>
    <row r="304" spans="2:14">
      <c r="B304" s="338" t="str">
        <f t="shared" si="142"/>
        <v>25-29</v>
      </c>
      <c r="C304" s="459">
        <f>C$296*Entrant_age_breakdowns!$K77*$G$31</f>
        <v>146.42341261586995</v>
      </c>
      <c r="D304" s="459">
        <f>D$296*Entrant_age_breakdowns!$K77*$G$31</f>
        <v>154.2766407649186</v>
      </c>
      <c r="E304" s="459">
        <f>E$296*Entrant_age_breakdowns!$K77*$G$31</f>
        <v>112.74462392292801</v>
      </c>
      <c r="F304" s="459">
        <f>F$296*Entrant_age_breakdowns!$K77*$G$31</f>
        <v>108.00664759668079</v>
      </c>
      <c r="G304" s="459">
        <f>G$296*Entrant_age_breakdowns!$K77*$G$31</f>
        <v>130.42964133947495</v>
      </c>
      <c r="H304" s="459">
        <f>H$296*Entrant_age_breakdowns!$K77*$G$31</f>
        <v>136.98383142685378</v>
      </c>
      <c r="I304" s="459">
        <f>I$296*Entrant_age_breakdowns!$K77*$G$31</f>
        <v>134.30809434403156</v>
      </c>
      <c r="J304" s="459">
        <f>J$296*Entrant_age_breakdowns!$K77*$G$31</f>
        <v>136.74606245559832</v>
      </c>
      <c r="K304" s="459">
        <f>K$296*Entrant_age_breakdowns!$K77*$G$31</f>
        <v>128.57161332163079</v>
      </c>
      <c r="L304" s="459">
        <f>L$296*Entrant_age_breakdowns!$K77*$G$31</f>
        <v>120.53480378933467</v>
      </c>
      <c r="M304" s="459">
        <f>M$296*Entrant_age_breakdowns!$K77*$G$31</f>
        <v>116.60173448506498</v>
      </c>
      <c r="N304" s="459">
        <f>N$296*Entrant_age_breakdowns!$K77*$G$31</f>
        <v>121.69295535279912</v>
      </c>
    </row>
    <row r="305" spans="1:14">
      <c r="B305" s="338" t="str">
        <f t="shared" si="142"/>
        <v>30-34</v>
      </c>
      <c r="C305" s="459">
        <f>C$296*Entrant_age_breakdowns!$K78*$G$31</f>
        <v>72.686775663945127</v>
      </c>
      <c r="D305" s="459">
        <f>D$296*Entrant_age_breakdowns!$K78*$G$31</f>
        <v>76.585235770220564</v>
      </c>
      <c r="E305" s="459">
        <f>E$296*Entrant_age_breakdowns!$K78*$G$31</f>
        <v>55.968120398209585</v>
      </c>
      <c r="F305" s="459">
        <f>F$296*Entrant_age_breakdowns!$K78*$G$31</f>
        <v>53.616117967898198</v>
      </c>
      <c r="G305" s="459">
        <f>G$296*Entrant_age_breakdowns!$K78*$G$31</f>
        <v>64.747227991759729</v>
      </c>
      <c r="H305" s="459">
        <f>H$296*Entrant_age_breakdowns!$K78*$G$31</f>
        <v>68.000826142691793</v>
      </c>
      <c r="I305" s="459">
        <f>I$296*Entrant_age_breakdowns!$K78*$G$31</f>
        <v>66.672550168240718</v>
      </c>
      <c r="J305" s="459">
        <f>J$296*Entrant_age_breakdowns!$K78*$G$31</f>
        <v>67.882794063226257</v>
      </c>
      <c r="K305" s="459">
        <f>K$296*Entrant_age_breakdowns!$K78*$G$31</f>
        <v>63.824875047666936</v>
      </c>
      <c r="L305" s="459">
        <f>L$296*Entrant_age_breakdowns!$K78*$G$31</f>
        <v>59.835282392424112</v>
      </c>
      <c r="M305" s="459">
        <f>M$296*Entrant_age_breakdowns!$K78*$G$31</f>
        <v>57.882847866531797</v>
      </c>
      <c r="N305" s="459">
        <f>N$296*Entrant_age_breakdowns!$K78*$G$31</f>
        <v>60.410206179368153</v>
      </c>
    </row>
    <row r="306" spans="1:14">
      <c r="B306" s="338" t="str">
        <f t="shared" si="142"/>
        <v>35-39</v>
      </c>
      <c r="C306" s="459">
        <f>C$296*Entrant_age_breakdowns!$K79*$G$31</f>
        <v>51.93792328244551</v>
      </c>
      <c r="D306" s="459">
        <f>D$296*Entrant_age_breakdowns!$K79*$G$31</f>
        <v>54.723545839917726</v>
      </c>
      <c r="E306" s="459">
        <f>E$296*Entrant_age_breakdowns!$K79*$G$31</f>
        <v>39.991702987958767</v>
      </c>
      <c r="F306" s="459">
        <f>F$296*Entrant_age_breakdowns!$K79*$G$31</f>
        <v>38.311092991576274</v>
      </c>
      <c r="G306" s="459">
        <f>G$296*Entrant_age_breakdowns!$K79*$G$31</f>
        <v>46.264764525180276</v>
      </c>
      <c r="H306" s="459">
        <f>H$296*Entrant_age_breakdowns!$K79*$G$31</f>
        <v>48.589604630019842</v>
      </c>
      <c r="I306" s="459">
        <f>I$296*Entrant_age_breakdowns!$K79*$G$31</f>
        <v>47.640492566253123</v>
      </c>
      <c r="J306" s="459">
        <f>J$296*Entrant_age_breakdowns!$K79*$G$31</f>
        <v>48.505265477097566</v>
      </c>
      <c r="K306" s="459">
        <f>K$296*Entrant_age_breakdowns!$K79*$G$31</f>
        <v>45.605702460422989</v>
      </c>
      <c r="L306" s="459">
        <f>L$296*Entrant_age_breakdowns!$K79*$G$31</f>
        <v>42.754961656975944</v>
      </c>
      <c r="M306" s="459">
        <f>M$296*Entrant_age_breakdowns!$K79*$G$31</f>
        <v>41.359860640408321</v>
      </c>
      <c r="N306" s="459">
        <f>N$296*Entrant_age_breakdowns!$K79*$G$31</f>
        <v>43.165770188057408</v>
      </c>
    </row>
    <row r="307" spans="1:14">
      <c r="B307" s="338" t="str">
        <f t="shared" si="142"/>
        <v>40-44</v>
      </c>
      <c r="C307" s="459">
        <f>C$296*Entrant_age_breakdowns!$K80*$G$31</f>
        <v>45.125079737358099</v>
      </c>
      <c r="D307" s="459">
        <f>D$296*Entrant_age_breakdowns!$K80*$G$31</f>
        <v>47.54530434550302</v>
      </c>
      <c r="E307" s="459">
        <f>E$296*Entrant_age_breakdowns!$K80*$G$31</f>
        <v>34.74587877437002</v>
      </c>
      <c r="F307" s="459">
        <f>F$296*Entrant_age_breakdowns!$K80*$G$31</f>
        <v>33.285719120281698</v>
      </c>
      <c r="G307" s="459">
        <f>G$296*Entrant_age_breakdowns!$K80*$G$31</f>
        <v>40.196085177985509</v>
      </c>
      <c r="H307" s="459">
        <f>H$296*Entrant_age_breakdowns!$K80*$G$31</f>
        <v>42.215969464405397</v>
      </c>
      <c r="I307" s="459">
        <f>I$296*Entrant_age_breakdowns!$K80*$G$31</f>
        <v>41.391355100749514</v>
      </c>
      <c r="J307" s="459">
        <f>J$296*Entrant_age_breakdowns!$K80*$G$31</f>
        <v>42.142693315493887</v>
      </c>
      <c r="K307" s="459">
        <f>K$296*Entrant_age_breakdowns!$K80*$G$31</f>
        <v>39.623474138797263</v>
      </c>
      <c r="L307" s="459">
        <f>L$296*Entrant_age_breakdowns!$K80*$G$31</f>
        <v>37.146673028238276</v>
      </c>
      <c r="M307" s="459">
        <f>M$296*Entrant_age_breakdowns!$K80*$G$31</f>
        <v>35.934571337688766</v>
      </c>
      <c r="N307" s="459">
        <f>N$296*Entrant_age_breakdowns!$K80*$G$31</f>
        <v>37.503594648323613</v>
      </c>
    </row>
    <row r="308" spans="1:14">
      <c r="B308" s="338" t="str">
        <f t="shared" si="142"/>
        <v>45-49</v>
      </c>
      <c r="C308" s="459">
        <f>C$296*Entrant_age_breakdowns!$K81*$G$31</f>
        <v>35.9081372485701</v>
      </c>
      <c r="D308" s="459">
        <f>D$296*Entrant_age_breakdowns!$K81*$G$31</f>
        <v>37.834023206167359</v>
      </c>
      <c r="E308" s="459">
        <f>E$296*Entrant_age_breakdowns!$K81*$G$31</f>
        <v>27.648921422721521</v>
      </c>
      <c r="F308" s="459">
        <f>F$296*Entrant_age_breakdowns!$K81*$G$31</f>
        <v>26.487004068359017</v>
      </c>
      <c r="G308" s="459">
        <f>G$296*Entrant_age_breakdowns!$K81*$G$31</f>
        <v>31.985905661046072</v>
      </c>
      <c r="H308" s="459">
        <f>H$296*Entrant_age_breakdowns!$K81*$G$31</f>
        <v>33.593222093618472</v>
      </c>
      <c r="I308" s="459">
        <f>I$296*Entrant_age_breakdowns!$K81*$G$31</f>
        <v>32.937037862595744</v>
      </c>
      <c r="J308" s="459">
        <f>J$296*Entrant_age_breakdowns!$K81*$G$31</f>
        <v>33.534912833502467</v>
      </c>
      <c r="K308" s="459">
        <f>K$296*Entrant_age_breakdowns!$K81*$G$31</f>
        <v>31.530252265974163</v>
      </c>
      <c r="L308" s="459">
        <f>L$296*Entrant_age_breakdowns!$K81*$G$31</f>
        <v>29.559345738318026</v>
      </c>
      <c r="M308" s="459">
        <f>M$296*Entrant_age_breakdowns!$K81*$G$31</f>
        <v>28.594819711620655</v>
      </c>
      <c r="N308" s="459">
        <f>N$296*Entrant_age_breakdowns!$K81*$G$31</f>
        <v>29.843364970984236</v>
      </c>
    </row>
    <row r="309" spans="1:14">
      <c r="B309" s="338" t="str">
        <f t="shared" si="142"/>
        <v>50-54</v>
      </c>
      <c r="C309" s="459">
        <f>C$296*Entrant_age_breakdowns!$K82*$G$31</f>
        <v>26.267971736263917</v>
      </c>
      <c r="D309" s="459">
        <f>D$296*Entrant_age_breakdowns!$K82*$G$31</f>
        <v>27.676820030210067</v>
      </c>
      <c r="E309" s="459">
        <f>E$296*Entrant_age_breakdowns!$K82*$G$31</f>
        <v>20.226086400489965</v>
      </c>
      <c r="F309" s="459">
        <f>F$296*Entrant_age_breakdowns!$K82*$G$31</f>
        <v>19.376106018244318</v>
      </c>
      <c r="G309" s="459">
        <f>G$296*Entrant_age_breakdowns!$K82*$G$31</f>
        <v>23.398731603562087</v>
      </c>
      <c r="H309" s="459">
        <f>H$296*Entrant_age_breakdowns!$K82*$G$31</f>
        <v>24.574535915820743</v>
      </c>
      <c r="I309" s="459">
        <f>I$296*Entrant_age_breakdowns!$K82*$G$31</f>
        <v>24.094515782362731</v>
      </c>
      <c r="J309" s="459">
        <f>J$296*Entrant_age_breakdowns!$K82*$G$31</f>
        <v>24.531880793220342</v>
      </c>
      <c r="K309" s="459">
        <f>K$296*Entrant_age_breakdowns!$K82*$G$31</f>
        <v>23.065406306835417</v>
      </c>
      <c r="L309" s="459">
        <f>L$296*Entrant_age_breakdowns!$K82*$G$31</f>
        <v>21.623623999808309</v>
      </c>
      <c r="M309" s="459">
        <f>M$296*Entrant_age_breakdowns!$K82*$G$31</f>
        <v>20.918041801745773</v>
      </c>
      <c r="N309" s="459">
        <f>N$296*Entrant_age_breakdowns!$K82*$G$31</f>
        <v>21.831393317514383</v>
      </c>
    </row>
    <row r="310" spans="1:14">
      <c r="B310" s="338" t="str">
        <f t="shared" si="142"/>
        <v>55-59</v>
      </c>
      <c r="C310" s="459">
        <f>C$296*Entrant_age_breakdowns!$K83*$G$31</f>
        <v>17.883827623455492</v>
      </c>
      <c r="D310" s="459">
        <f>D$296*Entrant_age_breakdowns!$K83*$G$31</f>
        <v>18.843003318080932</v>
      </c>
      <c r="E310" s="459">
        <f>E$296*Entrant_age_breakdowns!$K83*$G$31</f>
        <v>13.770375814136884</v>
      </c>
      <c r="F310" s="459">
        <f>F$296*Entrant_age_breakdowns!$K83*$G$31</f>
        <v>13.191689998877896</v>
      </c>
      <c r="G310" s="459">
        <f>G$296*Entrant_age_breakdowns!$K83*$G$31</f>
        <v>15.9303842263507</v>
      </c>
      <c r="H310" s="459">
        <f>H$296*Entrant_age_breakdowns!$K83*$G$31</f>
        <v>16.730898322013427</v>
      </c>
      <c r="I310" s="459">
        <f>I$296*Entrant_age_breakdowns!$K83*$G$31</f>
        <v>16.404089788460006</v>
      </c>
      <c r="J310" s="459">
        <f>J$296*Entrant_age_breakdowns!$K83*$G$31</f>
        <v>16.701857752474908</v>
      </c>
      <c r="K310" s="459">
        <f>K$296*Entrant_age_breakdowns!$K83*$G$31</f>
        <v>15.703448846297457</v>
      </c>
      <c r="L310" s="459">
        <f>L$296*Entrant_age_breakdowns!$K83*$G$31</f>
        <v>14.721850932750739</v>
      </c>
      <c r="M310" s="459">
        <f>M$296*Entrant_age_breakdowns!$K83*$G$31</f>
        <v>14.241474658136854</v>
      </c>
      <c r="N310" s="459">
        <f>N$296*Entrant_age_breakdowns!$K83*$G$31</f>
        <v>14.863304970413216</v>
      </c>
    </row>
    <row r="311" spans="1:14">
      <c r="B311" s="338" t="str">
        <f t="shared" si="142"/>
        <v>60-64</v>
      </c>
      <c r="C311" s="459">
        <f>C$296*Entrant_age_breakdowns!$K84*$G$31</f>
        <v>8.7547870761419038</v>
      </c>
      <c r="D311" s="459">
        <f>D$296*Entrant_age_breakdowns!$K84*$G$31</f>
        <v>9.2243386258360349</v>
      </c>
      <c r="E311" s="459">
        <f>E$296*Entrant_age_breakdowns!$K84*$G$31</f>
        <v>6.7411021146897427</v>
      </c>
      <c r="F311" s="459">
        <f>F$296*Entrant_age_breakdowns!$K84*$G$31</f>
        <v>6.4578142636073839</v>
      </c>
      <c r="G311" s="459">
        <f>G$296*Entrant_age_breakdowns!$K84*$G$31</f>
        <v>7.7985051566876091</v>
      </c>
      <c r="H311" s="459">
        <f>H$296*Entrant_age_breakdowns!$K84*$G$31</f>
        <v>8.1903860563774327</v>
      </c>
      <c r="I311" s="459">
        <f>I$296*Entrant_age_breakdowns!$K84*$G$31</f>
        <v>8.0304013379956771</v>
      </c>
      <c r="J311" s="459">
        <f>J$296*Entrant_age_breakdowns!$K84*$G$31</f>
        <v>8.1761696364793686</v>
      </c>
      <c r="K311" s="459">
        <f>K$296*Entrant_age_breakdowns!$K84*$G$31</f>
        <v>7.6874119961941734</v>
      </c>
      <c r="L311" s="459">
        <f>L$296*Entrant_age_breakdowns!$K84*$G$31</f>
        <v>7.2068839510560254</v>
      </c>
      <c r="M311" s="459">
        <f>M$296*Entrant_age_breakdowns!$K84*$G$31</f>
        <v>6.9717222122368154</v>
      </c>
      <c r="N311" s="459">
        <f>N$296*Entrant_age_breakdowns!$K84*$G$31</f>
        <v>7.2761308710593982</v>
      </c>
    </row>
    <row r="312" spans="1:14">
      <c r="B312" s="338" t="str">
        <f t="shared" si="142"/>
        <v>65 plus</v>
      </c>
      <c r="C312" s="459">
        <f>C$296*Entrant_age_breakdowns!$K85*$G$31</f>
        <v>2.195762740497722</v>
      </c>
      <c r="D312" s="459">
        <f>D$296*Entrant_age_breakdowns!$K85*$G$31</f>
        <v>2.313529602055215</v>
      </c>
      <c r="E312" s="459">
        <f>E$296*Entrant_age_breakdowns!$K85*$G$31</f>
        <v>1.690716258955447</v>
      </c>
      <c r="F312" s="459">
        <f>F$296*Entrant_age_breakdowns!$K85*$G$31</f>
        <v>1.6196656551163835</v>
      </c>
      <c r="G312" s="459">
        <f>G$296*Entrant_age_breakdowns!$K85*$G$31</f>
        <v>1.9559204473742755</v>
      </c>
      <c r="H312" s="459">
        <f>H$296*Entrant_age_breakdowns!$K85*$G$31</f>
        <v>2.0542069586015526</v>
      </c>
      <c r="I312" s="459">
        <f>I$296*Entrant_age_breakdowns!$K85*$G$31</f>
        <v>2.0140816556539809</v>
      </c>
      <c r="J312" s="459">
        <f>J$296*Entrant_age_breakdowns!$K85*$G$31</f>
        <v>2.0506413795824456</v>
      </c>
      <c r="K312" s="459">
        <f>K$296*Entrant_age_breakdowns!$K85*$G$31</f>
        <v>1.9280574941791739</v>
      </c>
      <c r="L312" s="459">
        <f>L$296*Entrant_age_breakdowns!$K85*$G$31</f>
        <v>1.807537649652752</v>
      </c>
      <c r="M312" s="459">
        <f>M$296*Entrant_age_breakdowns!$K85*$G$31</f>
        <v>1.7485574163702049</v>
      </c>
      <c r="N312" s="459">
        <f>N$296*Entrant_age_breakdowns!$K85*$G$31</f>
        <v>1.8249052687067886</v>
      </c>
    </row>
    <row r="313" spans="1:14">
      <c r="B313" s="338" t="str">
        <f t="shared" si="142"/>
        <v>Total</v>
      </c>
      <c r="C313" s="459">
        <f t="shared" ref="C313:N313" si="144">SUM(C303:C312)</f>
        <v>548.79536758519464</v>
      </c>
      <c r="D313" s="459">
        <f t="shared" si="144"/>
        <v>578.22928905849074</v>
      </c>
      <c r="E313" s="459">
        <f t="shared" si="144"/>
        <v>422.56717162683918</v>
      </c>
      <c r="F313" s="459">
        <f t="shared" si="144"/>
        <v>404.8092228594918</v>
      </c>
      <c r="G313" s="459">
        <f t="shared" si="144"/>
        <v>488.85066728149877</v>
      </c>
      <c r="H313" s="459">
        <f t="shared" si="144"/>
        <v>513.41579039922385</v>
      </c>
      <c r="I313" s="459">
        <f t="shared" si="144"/>
        <v>503.38712019071647</v>
      </c>
      <c r="J313" s="459">
        <f t="shared" si="144"/>
        <v>512.52463161765104</v>
      </c>
      <c r="K313" s="459">
        <f t="shared" si="144"/>
        <v>481.88677297785074</v>
      </c>
      <c r="L313" s="459">
        <f t="shared" si="144"/>
        <v>451.76478795719413</v>
      </c>
      <c r="M313" s="459">
        <f t="shared" si="144"/>
        <v>437.02363300107203</v>
      </c>
      <c r="N313" s="459">
        <f t="shared" si="144"/>
        <v>456.10554331616294</v>
      </c>
    </row>
    <row r="314" spans="1:14">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4">
      <c r="B316" s="341" t="s">
        <v>50</v>
      </c>
      <c r="H316" s="325"/>
    </row>
    <row r="317" spans="1:14">
      <c r="H317" s="325"/>
    </row>
    <row r="318" spans="1:14">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4">
      <c r="B319" s="338" t="str">
        <f t="shared" si="146"/>
        <v>20-24</v>
      </c>
      <c r="C319" s="459">
        <f>C$296*Entrant_age_breakdowns!$K76*$H$31</f>
        <v>179.66711022402322</v>
      </c>
      <c r="D319" s="459">
        <f>D$296*Entrant_age_breakdowns!$K76*$H$31</f>
        <v>189.30332059682121</v>
      </c>
      <c r="E319" s="459">
        <f>E$296*Entrant_age_breakdowns!$K76*$H$31</f>
        <v>138.34195236705796</v>
      </c>
      <c r="F319" s="459">
        <f>F$296*Entrant_age_breakdowns!$K76*$H$31</f>
        <v>132.52827476155181</v>
      </c>
      <c r="G319" s="459">
        <f>G$296*Entrant_age_breakdowns!$K76*$H$31</f>
        <v>160.04214304508977</v>
      </c>
      <c r="H319" s="459">
        <f>H$296*Entrant_age_breakdowns!$K76*$H$31</f>
        <v>168.08438418549784</v>
      </c>
      <c r="I319" s="459">
        <f>I$296*Entrant_age_breakdowns!$K76*$H$31</f>
        <v>164.80115276231612</v>
      </c>
      <c r="J319" s="459">
        <f>J$296*Entrant_age_breakdowns!$K76*$H$31</f>
        <v>167.79263259192945</v>
      </c>
      <c r="K319" s="459">
        <f>K$296*Entrant_age_breakdowns!$K76*$H$31</f>
        <v>157.7622718228755</v>
      </c>
      <c r="L319" s="459">
        <f>L$296*Entrant_age_breakdowns!$K76*$H$31</f>
        <v>147.90080009310088</v>
      </c>
      <c r="M319" s="459">
        <f>M$296*Entrant_age_breakdowns!$K76*$H$31</f>
        <v>143.07477409367436</v>
      </c>
      <c r="N319" s="459">
        <f>N$296*Entrant_age_breakdowns!$K76*$H$31</f>
        <v>149.32189622036418</v>
      </c>
    </row>
    <row r="320" spans="1:14">
      <c r="B320" s="338" t="str">
        <f t="shared" si="146"/>
        <v>25-29</v>
      </c>
      <c r="C320" s="459">
        <f>C$296*Entrant_age_breakdowns!$K77*$H$31</f>
        <v>185.77189100505086</v>
      </c>
      <c r="D320" s="459">
        <f>D$296*Entrant_age_breakdowns!$K77*$H$31</f>
        <v>195.73552330728515</v>
      </c>
      <c r="E320" s="459">
        <f>E$296*Entrant_age_breakdowns!$K77*$H$31</f>
        <v>143.04257504066365</v>
      </c>
      <c r="F320" s="459">
        <f>F$296*Entrant_age_breakdowns!$K77*$H$31</f>
        <v>137.03135862424807</v>
      </c>
      <c r="G320" s="459">
        <f>G$296*Entrant_age_breakdowns!$K77*$H$31</f>
        <v>165.48010104306681</v>
      </c>
      <c r="H320" s="459">
        <f>H$296*Entrant_age_breakdowns!$K77*$H$31</f>
        <v>173.79560376757411</v>
      </c>
      <c r="I320" s="459">
        <f>I$296*Entrant_age_breakdowns!$K77*$H$31</f>
        <v>170.4008137621515</v>
      </c>
      <c r="J320" s="459">
        <f>J$296*Entrant_age_breakdowns!$K77*$H$31</f>
        <v>173.49393895439064</v>
      </c>
      <c r="K320" s="459">
        <f>K$296*Entrant_age_breakdowns!$K77*$H$31</f>
        <v>163.12276370029636</v>
      </c>
      <c r="L320" s="459">
        <f>L$296*Entrant_age_breakdowns!$K77*$H$31</f>
        <v>152.92621604586577</v>
      </c>
      <c r="M320" s="459">
        <f>M$296*Entrant_age_breakdowns!$K77*$H$31</f>
        <v>147.93620994605635</v>
      </c>
      <c r="N320" s="459">
        <f>N$296*Entrant_age_breakdowns!$K77*$H$31</f>
        <v>154.39559858634567</v>
      </c>
    </row>
    <row r="321" spans="1:14">
      <c r="B321" s="338" t="str">
        <f t="shared" si="146"/>
        <v>30-34</v>
      </c>
      <c r="C321" s="459">
        <f>C$296*Entrant_age_breakdowns!$K78*$H$31</f>
        <v>92.219949835313912</v>
      </c>
      <c r="D321" s="459">
        <f>D$296*Entrant_age_breakdowns!$K78*$H$31</f>
        <v>97.16604618023716</v>
      </c>
      <c r="E321" s="459">
        <f>E$296*Entrant_age_breakdowns!$K78*$H$31</f>
        <v>71.008477241616035</v>
      </c>
      <c r="F321" s="459">
        <f>F$296*Entrant_age_breakdowns!$K78*$H$31</f>
        <v>68.024419355506737</v>
      </c>
      <c r="G321" s="459">
        <f>G$296*Entrant_age_breakdowns!$K78*$H$31</f>
        <v>82.146801296862435</v>
      </c>
      <c r="H321" s="459">
        <f>H$296*Entrant_age_breakdowns!$K78*$H$31</f>
        <v>86.274741427959171</v>
      </c>
      <c r="I321" s="459">
        <f>I$296*Entrant_age_breakdowns!$K78*$H$31</f>
        <v>84.589516810242486</v>
      </c>
      <c r="J321" s="459">
        <f>J$296*Entrant_age_breakdowns!$K78*$H$31</f>
        <v>86.124990495305425</v>
      </c>
      <c r="K321" s="459">
        <f>K$296*Entrant_age_breakdowns!$K78*$H$31</f>
        <v>80.976583723476736</v>
      </c>
      <c r="L321" s="459">
        <f>L$296*Entrant_age_breakdowns!$K78*$H$31</f>
        <v>75.914864708303398</v>
      </c>
      <c r="M321" s="459">
        <f>M$296*Entrant_age_breakdowns!$K78*$H$31</f>
        <v>73.437750922613262</v>
      </c>
      <c r="N321" s="459">
        <f>N$296*Entrant_age_breakdowns!$K78*$H$31</f>
        <v>76.644288214942819</v>
      </c>
    </row>
    <row r="322" spans="1:14">
      <c r="B322" s="338" t="str">
        <f t="shared" si="146"/>
        <v>35-39</v>
      </c>
      <c r="C322" s="459">
        <f>C$296*Entrant_age_breakdowns!$K79*$H$31</f>
        <v>65.895242097433581</v>
      </c>
      <c r="D322" s="459">
        <f>D$296*Entrant_age_breakdowns!$K79*$H$31</f>
        <v>69.429447187199756</v>
      </c>
      <c r="E322" s="459">
        <f>E$296*Entrant_age_breakdowns!$K79*$H$31</f>
        <v>50.738704663821117</v>
      </c>
      <c r="F322" s="459">
        <f>F$296*Entrant_age_breakdowns!$K79*$H$31</f>
        <v>48.606463026419675</v>
      </c>
      <c r="G322" s="459">
        <f>G$296*Entrant_age_breakdowns!$K79*$H$31</f>
        <v>58.697530942634295</v>
      </c>
      <c r="H322" s="459">
        <f>H$296*Entrant_age_breakdowns!$K79*$H$31</f>
        <v>61.647127150267117</v>
      </c>
      <c r="I322" s="459">
        <f>I$296*Entrant_age_breakdowns!$K79*$H$31</f>
        <v>60.44295945801283</v>
      </c>
      <c r="J322" s="459">
        <f>J$296*Entrant_age_breakdowns!$K79*$H$31</f>
        <v>61.540123470703676</v>
      </c>
      <c r="K322" s="459">
        <f>K$296*Entrant_age_breakdowns!$K79*$H$31</f>
        <v>57.861358612865871</v>
      </c>
      <c r="L322" s="459">
        <f>L$296*Entrant_age_breakdowns!$K79*$H$31</f>
        <v>54.244535999866507</v>
      </c>
      <c r="M322" s="459">
        <f>M$296*Entrant_age_breakdowns!$K79*$H$31</f>
        <v>52.474528394110514</v>
      </c>
      <c r="N322" s="459">
        <f>N$296*Entrant_age_breakdowns!$K79*$H$31</f>
        <v>54.765741429357632</v>
      </c>
    </row>
    <row r="323" spans="1:14">
      <c r="B323" s="338" t="str">
        <f t="shared" si="146"/>
        <v>40-44</v>
      </c>
      <c r="C323" s="459">
        <f>C$296*Entrant_age_breakdowns!$K80*$H$31</f>
        <v>57.251577768882974</v>
      </c>
      <c r="D323" s="459">
        <f>D$296*Entrant_age_breakdowns!$K80*$H$31</f>
        <v>60.322191232124361</v>
      </c>
      <c r="E323" s="459">
        <f>E$296*Entrant_age_breakdowns!$K80*$H$31</f>
        <v>44.083165999420096</v>
      </c>
      <c r="F323" s="459">
        <f>F$296*Entrant_age_breakdowns!$K80*$H$31</f>
        <v>42.230616497511619</v>
      </c>
      <c r="G323" s="459">
        <f>G$296*Entrant_age_breakdowns!$K80*$H$31</f>
        <v>50.99801063989905</v>
      </c>
      <c r="H323" s="459">
        <f>H$296*Entrant_age_breakdowns!$K80*$H$31</f>
        <v>53.560700013107528</v>
      </c>
      <c r="I323" s="459">
        <f>I$296*Entrant_age_breakdowns!$K80*$H$31</f>
        <v>52.514486385453857</v>
      </c>
      <c r="J323" s="459">
        <f>J$296*Entrant_age_breakdowns!$K80*$H$31</f>
        <v>53.467732307290092</v>
      </c>
      <c r="K323" s="459">
        <f>K$296*Entrant_age_breakdowns!$K80*$H$31</f>
        <v>50.271521387531777</v>
      </c>
      <c r="L323" s="459">
        <f>L$296*Entrant_age_breakdowns!$K80*$H$31</f>
        <v>47.129127574057158</v>
      </c>
      <c r="M323" s="459">
        <f>M$296*Entrant_age_breakdowns!$K80*$H$31</f>
        <v>45.591296846572817</v>
      </c>
      <c r="N323" s="459">
        <f>N$296*Entrant_age_breakdowns!$K80*$H$31</f>
        <v>47.581965020741904</v>
      </c>
    </row>
    <row r="324" spans="1:14">
      <c r="B324" s="338" t="str">
        <f t="shared" si="146"/>
        <v>45-49</v>
      </c>
      <c r="C324" s="459">
        <f>C$296*Entrant_age_breakdowns!$K81*$H$31</f>
        <v>45.557759103975243</v>
      </c>
      <c r="D324" s="459">
        <f>D$296*Entrant_age_breakdowns!$K81*$H$31</f>
        <v>48.00118990381263</v>
      </c>
      <c r="E324" s="459">
        <f>E$296*Entrant_age_breakdowns!$K81*$H$31</f>
        <v>35.079037738479371</v>
      </c>
      <c r="F324" s="459">
        <f>F$296*Entrant_age_breakdowns!$K81*$H$31</f>
        <v>33.604877423163011</v>
      </c>
      <c r="G324" s="459">
        <f>G$296*Entrant_age_breakdowns!$K81*$H$31</f>
        <v>40.581503149023483</v>
      </c>
      <c r="H324" s="459">
        <f>H$296*Entrant_age_breakdowns!$K81*$H$31</f>
        <v>42.620754985789539</v>
      </c>
      <c r="I324" s="459">
        <f>I$296*Entrant_age_breakdowns!$K81*$H$31</f>
        <v>41.788233852269826</v>
      </c>
      <c r="J324" s="459">
        <f>J$296*Entrant_age_breakdowns!$K81*$H$31</f>
        <v>42.546776232519569</v>
      </c>
      <c r="K324" s="459">
        <f>K$296*Entrant_age_breakdowns!$K81*$H$31</f>
        <v>40.003401660107592</v>
      </c>
      <c r="L324" s="459">
        <f>L$296*Entrant_age_breakdowns!$K81*$H$31</f>
        <v>37.50285187714757</v>
      </c>
      <c r="M324" s="459">
        <f>M$296*Entrant_age_breakdowns!$K81*$H$31</f>
        <v>36.279128015628046</v>
      </c>
      <c r="N324" s="459">
        <f>N$296*Entrant_age_breakdowns!$K81*$H$31</f>
        <v>37.863195820725942</v>
      </c>
    </row>
    <row r="325" spans="1:14">
      <c r="B325" s="338" t="str">
        <f t="shared" si="146"/>
        <v>50-54</v>
      </c>
      <c r="C325" s="459">
        <f>C$296*Entrant_age_breakdowns!$K82*$H$31</f>
        <v>33.326984360860877</v>
      </c>
      <c r="D325" s="459">
        <f>D$296*Entrant_age_breakdowns!$K82*$H$31</f>
        <v>35.114433560615765</v>
      </c>
      <c r="E325" s="459">
        <f>E$296*Entrant_age_breakdowns!$K82*$H$31</f>
        <v>25.661458445227613</v>
      </c>
      <c r="F325" s="459">
        <f>F$296*Entrant_age_breakdowns!$K82*$H$31</f>
        <v>24.583062168935282</v>
      </c>
      <c r="G325" s="459">
        <f>G$296*Entrant_age_breakdowns!$K82*$H$31</f>
        <v>29.6866910793626</v>
      </c>
      <c r="H325" s="459">
        <f>H$296*Entrant_age_breakdowns!$K82*$H$31</f>
        <v>31.178470205650417</v>
      </c>
      <c r="I325" s="459">
        <f>I$296*Entrant_age_breakdowns!$K82*$H$31</f>
        <v>30.569453885651559</v>
      </c>
      <c r="J325" s="459">
        <f>J$296*Entrant_age_breakdowns!$K82*$H$31</f>
        <v>31.124352338535022</v>
      </c>
      <c r="K325" s="459">
        <f>K$296*Entrant_age_breakdowns!$K82*$H$31</f>
        <v>29.263791014499464</v>
      </c>
      <c r="L325" s="459">
        <f>L$296*Entrant_age_breakdowns!$K82*$H$31</f>
        <v>27.434557418525884</v>
      </c>
      <c r="M325" s="459">
        <f>M$296*Entrant_age_breakdowns!$K82*$H$31</f>
        <v>26.53936356358242</v>
      </c>
      <c r="N325" s="459">
        <f>N$296*Entrant_age_breakdowns!$K82*$H$31</f>
        <v>27.698160747758102</v>
      </c>
    </row>
    <row r="326" spans="1:14">
      <c r="B326" s="338" t="str">
        <f t="shared" si="146"/>
        <v>55-59</v>
      </c>
      <c r="C326" s="459">
        <f>C$296*Entrant_age_breakdowns!$K83*$H$31</f>
        <v>22.689762631974109</v>
      </c>
      <c r="D326" s="459">
        <f>D$296*Entrant_age_breakdowns!$K83*$H$31</f>
        <v>23.906698362492236</v>
      </c>
      <c r="E326" s="459">
        <f>E$296*Entrant_age_breakdowns!$K83*$H$31</f>
        <v>17.470899695211472</v>
      </c>
      <c r="F326" s="459">
        <f>F$296*Entrant_age_breakdowns!$K83*$H$31</f>
        <v>16.736703187440625</v>
      </c>
      <c r="G326" s="459">
        <f>G$296*Entrant_age_breakdowns!$K83*$H$31</f>
        <v>20.21136886032016</v>
      </c>
      <c r="H326" s="459">
        <f>H$296*Entrant_age_breakdowns!$K83*$H$31</f>
        <v>21.227005736081278</v>
      </c>
      <c r="I326" s="459">
        <f>I$296*Entrant_age_breakdowns!$K83*$H$31</f>
        <v>20.812373689264561</v>
      </c>
      <c r="J326" s="459">
        <f>J$296*Entrant_age_breakdowns!$K83*$H$31</f>
        <v>21.19016107153854</v>
      </c>
      <c r="K326" s="459">
        <f>K$296*Entrant_age_breakdowns!$K83*$H$31</f>
        <v>19.923448957790367</v>
      </c>
      <c r="L326" s="459">
        <f>L$296*Entrant_age_breakdowns!$K83*$H$31</f>
        <v>18.67806546789333</v>
      </c>
      <c r="M326" s="459">
        <f>M$296*Entrant_age_breakdowns!$K83*$H$31</f>
        <v>18.068597300646754</v>
      </c>
      <c r="N326" s="459">
        <f>N$296*Entrant_age_breakdowns!$K83*$H$31</f>
        <v>18.857532559920454</v>
      </c>
    </row>
    <row r="327" spans="1:14">
      <c r="B327" s="338" t="str">
        <f t="shared" si="146"/>
        <v>60-64</v>
      </c>
      <c r="C327" s="459">
        <f>C$296*Entrant_age_breakdowns!$K84*$H$31</f>
        <v>11.107467866140874</v>
      </c>
      <c r="D327" s="459">
        <f>D$296*Entrant_age_breakdowns!$K84*$H$31</f>
        <v>11.703202371659268</v>
      </c>
      <c r="E327" s="459">
        <f>E$296*Entrant_age_breakdowns!$K84*$H$31</f>
        <v>8.5526437673556224</v>
      </c>
      <c r="F327" s="459">
        <f>F$296*Entrant_age_breakdowns!$K84*$H$31</f>
        <v>8.1932277501071411</v>
      </c>
      <c r="G327" s="459">
        <f>G$296*Entrant_age_breakdowns!$K84*$H$31</f>
        <v>9.8942035572627898</v>
      </c>
      <c r="H327" s="459">
        <f>H$296*Entrant_age_breakdowns!$K84*$H$31</f>
        <v>10.391394918149354</v>
      </c>
      <c r="I327" s="459">
        <f>I$296*Entrant_age_breakdowns!$K84*$H$31</f>
        <v>10.188417381055206</v>
      </c>
      <c r="J327" s="459">
        <f>J$296*Entrant_age_breakdowns!$K84*$H$31</f>
        <v>10.373358108594083</v>
      </c>
      <c r="K327" s="459">
        <f>K$296*Entrant_age_breakdowns!$K84*$H$31</f>
        <v>9.7532562447128814</v>
      </c>
      <c r="L327" s="459">
        <f>L$296*Entrant_age_breakdowns!$K84*$H$31</f>
        <v>9.1435955215301536</v>
      </c>
      <c r="M327" s="459">
        <f>M$296*Entrant_age_breakdowns!$K84*$H$31</f>
        <v>8.8452385843981922</v>
      </c>
      <c r="N327" s="459">
        <f>N$296*Entrant_age_breakdowns!$K84*$H$31</f>
        <v>9.23145122059824</v>
      </c>
    </row>
    <row r="328" spans="1:14">
      <c r="B328" s="338" t="str">
        <f t="shared" si="146"/>
        <v>65 plus</v>
      </c>
      <c r="C328" s="459">
        <f>C$296*Entrant_age_breakdowns!$K85*$H$31</f>
        <v>2.7858317820444212</v>
      </c>
      <c r="D328" s="459">
        <f>D$296*Entrant_age_breakdowns!$K85*$H$31</f>
        <v>2.9352462245739104</v>
      </c>
      <c r="E328" s="459">
        <f>E$296*Entrant_age_breakdowns!$K85*$H$31</f>
        <v>2.1450637638334662</v>
      </c>
      <c r="F328" s="459">
        <f>F$296*Entrant_age_breakdowns!$K85*$H$31</f>
        <v>2.0549196755594101</v>
      </c>
      <c r="G328" s="459">
        <f>G$296*Entrant_age_breakdowns!$K85*$H$31</f>
        <v>2.4815364815830172</v>
      </c>
      <c r="H328" s="459">
        <f>H$296*Entrant_age_breakdowns!$K85*$H$31</f>
        <v>2.6062356039759713</v>
      </c>
      <c r="I328" s="459">
        <f>I$296*Entrant_age_breakdowns!$K85*$H$31</f>
        <v>2.5553273969307204</v>
      </c>
      <c r="J328" s="459">
        <f>J$296*Entrant_age_breakdowns!$K85*$H$31</f>
        <v>2.6017118441135705</v>
      </c>
      <c r="K328" s="459">
        <f>K$296*Entrant_age_breakdowns!$K85*$H$31</f>
        <v>2.4461858951462805</v>
      </c>
      <c r="L328" s="459">
        <f>L$296*Entrant_age_breakdowns!$K85*$H$31</f>
        <v>2.29327865837777</v>
      </c>
      <c r="M328" s="459">
        <f>M$296*Entrant_age_breakdowns!$K85*$H$31</f>
        <v>2.2184486207965377</v>
      </c>
      <c r="N328" s="459">
        <f>N$296*Entrant_age_breakdowns!$K85*$H$31</f>
        <v>2.3153134913070366</v>
      </c>
    </row>
    <row r="329" spans="1:14">
      <c r="B329" s="338" t="str">
        <f t="shared" si="146"/>
        <v>Total</v>
      </c>
      <c r="C329" s="459">
        <f t="shared" ref="C329:N329" si="148">SUM(C319:C328)</f>
        <v>696.27357667570004</v>
      </c>
      <c r="D329" s="459">
        <f t="shared" si="148"/>
        <v>733.61729892682138</v>
      </c>
      <c r="E329" s="459">
        <f t="shared" si="148"/>
        <v>536.1239787226865</v>
      </c>
      <c r="F329" s="459">
        <f t="shared" si="148"/>
        <v>513.59392247044343</v>
      </c>
      <c r="G329" s="459">
        <f t="shared" si="148"/>
        <v>620.21989009510435</v>
      </c>
      <c r="H329" s="459">
        <f t="shared" si="148"/>
        <v>651.38641799405229</v>
      </c>
      <c r="I329" s="459">
        <f t="shared" si="148"/>
        <v>638.66273538334849</v>
      </c>
      <c r="J329" s="459">
        <f t="shared" si="148"/>
        <v>650.25577741492009</v>
      </c>
      <c r="K329" s="459">
        <f t="shared" si="148"/>
        <v>611.38458301930291</v>
      </c>
      <c r="L329" s="459">
        <f t="shared" si="148"/>
        <v>573.16789336466843</v>
      </c>
      <c r="M329" s="459">
        <f t="shared" si="148"/>
        <v>554.46533628807913</v>
      </c>
      <c r="N329" s="459">
        <f t="shared" si="148"/>
        <v>578.67514331206212</v>
      </c>
    </row>
    <row r="330" spans="1:14">
      <c r="A330" s="309">
        <f>SUM(C330:N330)</f>
        <v>0</v>
      </c>
      <c r="C330" s="309">
        <f>SUM(C319:C328)-C329</f>
        <v>0</v>
      </c>
      <c r="D330" s="309">
        <f t="shared" ref="D330:N330" si="149">SUM(D319:D328)-D329</f>
        <v>0</v>
      </c>
      <c r="E330" s="309">
        <f t="shared" si="149"/>
        <v>0</v>
      </c>
      <c r="F330" s="309">
        <f t="shared" si="149"/>
        <v>0</v>
      </c>
      <c r="G330" s="309">
        <f t="shared" si="149"/>
        <v>0</v>
      </c>
      <c r="H330" s="309">
        <f t="shared" si="149"/>
        <v>0</v>
      </c>
      <c r="I330" s="309">
        <f t="shared" si="149"/>
        <v>0</v>
      </c>
      <c r="J330" s="309">
        <f t="shared" si="149"/>
        <v>0</v>
      </c>
      <c r="K330" s="309">
        <f t="shared" si="149"/>
        <v>0</v>
      </c>
      <c r="L330" s="309">
        <f t="shared" si="149"/>
        <v>0</v>
      </c>
      <c r="M330" s="309">
        <f t="shared" si="149"/>
        <v>0</v>
      </c>
      <c r="N330" s="309">
        <f t="shared" si="149"/>
        <v>0</v>
      </c>
    </row>
    <row r="331" spans="1:14">
      <c r="C331" s="329">
        <f>C294</f>
        <v>1245.0689442608946</v>
      </c>
      <c r="D331" s="329">
        <f t="shared" ref="D331:N331" si="150">D294</f>
        <v>1311.846587985312</v>
      </c>
      <c r="E331" s="329">
        <f t="shared" si="150"/>
        <v>958.69115034952551</v>
      </c>
      <c r="F331" s="329">
        <f t="shared" si="150"/>
        <v>918.40314532993511</v>
      </c>
      <c r="G331" s="329">
        <f t="shared" si="150"/>
        <v>1109.0705573766031</v>
      </c>
      <c r="H331" s="329">
        <f t="shared" si="150"/>
        <v>1164.802208393276</v>
      </c>
      <c r="I331" s="329">
        <f t="shared" si="150"/>
        <v>1142.0498555740651</v>
      </c>
      <c r="J331" s="329">
        <f t="shared" si="150"/>
        <v>1162.780409032571</v>
      </c>
      <c r="K331" s="329">
        <f t="shared" si="150"/>
        <v>1093.2713559971535</v>
      </c>
      <c r="L331" s="329">
        <f t="shared" si="150"/>
        <v>1024.9326813218624</v>
      </c>
      <c r="M331" s="329">
        <f t="shared" si="150"/>
        <v>991.48896928915133</v>
      </c>
      <c r="N331" s="329">
        <f t="shared" si="150"/>
        <v>1034.7806866282249</v>
      </c>
    </row>
    <row r="332" spans="1:14">
      <c r="C332" s="329">
        <f>C313+C329</f>
        <v>1245.0689442608946</v>
      </c>
      <c r="D332" s="329">
        <f t="shared" ref="D332:N332" si="151">D313+D329</f>
        <v>1311.846587985312</v>
      </c>
      <c r="E332" s="329">
        <f t="shared" si="151"/>
        <v>958.69115034952574</v>
      </c>
      <c r="F332" s="329">
        <f t="shared" si="151"/>
        <v>918.40314532993523</v>
      </c>
      <c r="G332" s="329">
        <f t="shared" si="151"/>
        <v>1109.0705573766031</v>
      </c>
      <c r="H332" s="329">
        <f t="shared" si="151"/>
        <v>1164.802208393276</v>
      </c>
      <c r="I332" s="329">
        <f t="shared" si="151"/>
        <v>1142.0498555740651</v>
      </c>
      <c r="J332" s="329">
        <f t="shared" si="151"/>
        <v>1162.7804090325712</v>
      </c>
      <c r="K332" s="329">
        <f t="shared" si="151"/>
        <v>1093.2713559971537</v>
      </c>
      <c r="L332" s="329">
        <f t="shared" si="151"/>
        <v>1024.9326813218627</v>
      </c>
      <c r="M332" s="329">
        <f t="shared" si="151"/>
        <v>991.4889692891511</v>
      </c>
      <c r="N332" s="329">
        <f t="shared" si="151"/>
        <v>1034.7806866282251</v>
      </c>
    </row>
    <row r="333" spans="1:14">
      <c r="A333" s="309">
        <f>SUM(C333:L333)</f>
        <v>0</v>
      </c>
      <c r="C333" s="329">
        <f>C331-C332</f>
        <v>0</v>
      </c>
      <c r="D333" s="329">
        <f t="shared" ref="D333:K333" si="152">D331-D332</f>
        <v>0</v>
      </c>
      <c r="E333" s="329">
        <f t="shared" si="152"/>
        <v>0</v>
      </c>
      <c r="F333" s="329">
        <f t="shared" si="152"/>
        <v>0</v>
      </c>
      <c r="G333" s="329">
        <f t="shared" si="152"/>
        <v>0</v>
      </c>
      <c r="H333" s="329">
        <f t="shared" si="152"/>
        <v>0</v>
      </c>
      <c r="I333" s="329">
        <f t="shared" si="152"/>
        <v>0</v>
      </c>
      <c r="J333" s="329">
        <f t="shared" si="152"/>
        <v>0</v>
      </c>
      <c r="K333" s="329">
        <f t="shared" si="152"/>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3">C318</f>
        <v>2016/17</v>
      </c>
      <c r="D339" s="338" t="str">
        <f t="shared" si="153"/>
        <v>2017/18</v>
      </c>
      <c r="E339" s="338" t="str">
        <f t="shared" si="153"/>
        <v>2018/19</v>
      </c>
      <c r="F339" s="338" t="str">
        <f t="shared" si="153"/>
        <v>2019/20</v>
      </c>
      <c r="G339" s="338" t="str">
        <f t="shared" si="153"/>
        <v>2020/21</v>
      </c>
      <c r="H339" s="338" t="str">
        <f t="shared" si="153"/>
        <v>2021/22</v>
      </c>
      <c r="I339" s="338" t="str">
        <f t="shared" si="153"/>
        <v>2022/23</v>
      </c>
      <c r="J339" s="338" t="str">
        <f t="shared" si="153"/>
        <v>2023/24</v>
      </c>
      <c r="K339" s="338" t="str">
        <f t="shared" si="153"/>
        <v>2024/25</v>
      </c>
      <c r="L339" s="338" t="str">
        <f t="shared" si="153"/>
        <v>2025/26</v>
      </c>
      <c r="M339" s="338" t="str">
        <f t="shared" si="153"/>
        <v>2026/27</v>
      </c>
      <c r="N339" s="338" t="str">
        <f t="shared" si="153"/>
        <v>2027/28</v>
      </c>
    </row>
    <row r="340" spans="1:14">
      <c r="B340" s="338" t="str">
        <f t="shared" ref="B340:B350" si="154">B319</f>
        <v>20-24</v>
      </c>
      <c r="C340" s="459">
        <f t="shared" ref="C340:N340" si="155">C303+C247</f>
        <v>196.65292080469931</v>
      </c>
      <c r="D340" s="459">
        <f t="shared" si="155"/>
        <v>289.41740279973737</v>
      </c>
      <c r="E340" s="459">
        <f t="shared" si="155"/>
        <v>315.38987000154583</v>
      </c>
      <c r="F340" s="459">
        <f t="shared" si="155"/>
        <v>329.32556754445773</v>
      </c>
      <c r="G340" s="459">
        <f t="shared" si="155"/>
        <v>360.94764488184546</v>
      </c>
      <c r="H340" s="459">
        <f t="shared" si="155"/>
        <v>389.83251550762475</v>
      </c>
      <c r="I340" s="459">
        <f t="shared" si="155"/>
        <v>407.83918314764901</v>
      </c>
      <c r="J340" s="459">
        <f t="shared" si="155"/>
        <v>423.03551688390246</v>
      </c>
      <c r="K340" s="459">
        <f t="shared" si="155"/>
        <v>425.96444995698829</v>
      </c>
      <c r="L340" s="459">
        <f t="shared" si="155"/>
        <v>420.28002861336535</v>
      </c>
      <c r="M340" s="459">
        <f t="shared" si="155"/>
        <v>412.42330030910415</v>
      </c>
      <c r="N340" s="459">
        <f t="shared" si="155"/>
        <v>411.74548665527777</v>
      </c>
    </row>
    <row r="341" spans="1:14">
      <c r="B341" s="338" t="str">
        <f t="shared" si="154"/>
        <v>25-29</v>
      </c>
      <c r="C341" s="459">
        <f t="shared" ref="C341:N341" si="156">C304+C248</f>
        <v>406.23659647672332</v>
      </c>
      <c r="D341" s="459">
        <f t="shared" si="156"/>
        <v>487.87369916640546</v>
      </c>
      <c r="E341" s="459">
        <f t="shared" si="156"/>
        <v>523.13219660331697</v>
      </c>
      <c r="F341" s="459">
        <f t="shared" si="156"/>
        <v>548.97880744018585</v>
      </c>
      <c r="G341" s="459">
        <f t="shared" si="156"/>
        <v>592.88749287280166</v>
      </c>
      <c r="H341" s="459">
        <f t="shared" si="156"/>
        <v>637.39748636872389</v>
      </c>
      <c r="I341" s="459">
        <f t="shared" si="156"/>
        <v>672.61675683095712</v>
      </c>
      <c r="J341" s="459">
        <f t="shared" si="156"/>
        <v>704.1517669001197</v>
      </c>
      <c r="K341" s="459">
        <f t="shared" si="156"/>
        <v>721.86083586045402</v>
      </c>
      <c r="L341" s="459">
        <f t="shared" si="156"/>
        <v>727.332955880094</v>
      </c>
      <c r="M341" s="459">
        <f t="shared" si="156"/>
        <v>726.36740325648134</v>
      </c>
      <c r="N341" s="459">
        <f t="shared" si="156"/>
        <v>729.31248611437252</v>
      </c>
    </row>
    <row r="342" spans="1:14">
      <c r="B342" s="338" t="str">
        <f t="shared" si="154"/>
        <v>30-34</v>
      </c>
      <c r="C342" s="459">
        <f t="shared" ref="C342:N342" si="157">C305+C249</f>
        <v>609.81263222730638</v>
      </c>
      <c r="D342" s="459">
        <f t="shared" si="157"/>
        <v>610.10088479067008</v>
      </c>
      <c r="E342" s="459">
        <f t="shared" si="157"/>
        <v>605.00653191695824</v>
      </c>
      <c r="F342" s="459">
        <f t="shared" si="157"/>
        <v>605.44466413659097</v>
      </c>
      <c r="G342" s="459">
        <f t="shared" si="157"/>
        <v>621.75048495295709</v>
      </c>
      <c r="H342" s="459">
        <f t="shared" si="157"/>
        <v>645.46582147880406</v>
      </c>
      <c r="I342" s="459">
        <f t="shared" si="157"/>
        <v>670.26902578335432</v>
      </c>
      <c r="J342" s="459">
        <f t="shared" si="157"/>
        <v>696.68466311278485</v>
      </c>
      <c r="K342" s="459">
        <f t="shared" si="157"/>
        <v>718.35065066046036</v>
      </c>
      <c r="L342" s="459">
        <f t="shared" si="157"/>
        <v>733.93051539470969</v>
      </c>
      <c r="M342" s="459">
        <f t="shared" si="157"/>
        <v>744.68868775313626</v>
      </c>
      <c r="N342" s="459">
        <f t="shared" si="157"/>
        <v>755.10343926393864</v>
      </c>
    </row>
    <row r="343" spans="1:14">
      <c r="B343" s="338" t="str">
        <f t="shared" si="154"/>
        <v>35-39</v>
      </c>
      <c r="C343" s="459">
        <f t="shared" ref="C343:N343" si="158">C306+C250</f>
        <v>648.25517466880285</v>
      </c>
      <c r="D343" s="459">
        <f t="shared" si="158"/>
        <v>654.97813151641606</v>
      </c>
      <c r="E343" s="459">
        <f t="shared" si="158"/>
        <v>645.3402058139751</v>
      </c>
      <c r="F343" s="459">
        <f t="shared" si="158"/>
        <v>635.47973056581088</v>
      </c>
      <c r="G343" s="459">
        <f t="shared" si="158"/>
        <v>636.12356463807032</v>
      </c>
      <c r="H343" s="459">
        <f t="shared" si="158"/>
        <v>641.98699072740249</v>
      </c>
      <c r="I343" s="459">
        <f t="shared" si="158"/>
        <v>649.87799932146277</v>
      </c>
      <c r="J343" s="459">
        <f t="shared" si="158"/>
        <v>661.30676042788809</v>
      </c>
      <c r="K343" s="459">
        <f t="shared" si="158"/>
        <v>671.92546952164184</v>
      </c>
      <c r="L343" s="459">
        <f t="shared" si="158"/>
        <v>681.09559265675466</v>
      </c>
      <c r="M343" s="459">
        <f t="shared" si="158"/>
        <v>689.49479432854832</v>
      </c>
      <c r="N343" s="459">
        <f t="shared" si="158"/>
        <v>699.61343102088608</v>
      </c>
    </row>
    <row r="344" spans="1:14">
      <c r="B344" s="338" t="str">
        <f t="shared" si="154"/>
        <v>40-44</v>
      </c>
      <c r="C344" s="459">
        <f t="shared" ref="C344:N344" si="159">C307+C251</f>
        <v>684.43942836387077</v>
      </c>
      <c r="D344" s="459">
        <f t="shared" si="159"/>
        <v>676.98477416266417</v>
      </c>
      <c r="E344" s="459">
        <f t="shared" si="159"/>
        <v>659.89200404770713</v>
      </c>
      <c r="F344" s="459">
        <f t="shared" si="159"/>
        <v>643.93043843265605</v>
      </c>
      <c r="G344" s="459">
        <f t="shared" si="159"/>
        <v>637.13916440865069</v>
      </c>
      <c r="H344" s="459">
        <f t="shared" si="159"/>
        <v>634.22890529081235</v>
      </c>
      <c r="I344" s="459">
        <f t="shared" si="159"/>
        <v>632.33026783987748</v>
      </c>
      <c r="J344" s="459">
        <f t="shared" si="159"/>
        <v>633.13671596411359</v>
      </c>
      <c r="K344" s="459">
        <f t="shared" si="159"/>
        <v>633.34169033164835</v>
      </c>
      <c r="L344" s="459">
        <f t="shared" si="159"/>
        <v>632.99125751586939</v>
      </c>
      <c r="M344" s="459">
        <f t="shared" si="159"/>
        <v>633.22325324101234</v>
      </c>
      <c r="N344" s="459">
        <f t="shared" si="159"/>
        <v>636.52614417297468</v>
      </c>
    </row>
    <row r="345" spans="1:14">
      <c r="B345" s="338" t="str">
        <f t="shared" si="154"/>
        <v>45-49</v>
      </c>
      <c r="C345" s="459">
        <f t="shared" ref="C345:N345" si="160">C308+C252</f>
        <v>708.4220747660811</v>
      </c>
      <c r="D345" s="459">
        <f t="shared" si="160"/>
        <v>685.91026790405624</v>
      </c>
      <c r="E345" s="459">
        <f t="shared" si="160"/>
        <v>657.76429084663289</v>
      </c>
      <c r="F345" s="459">
        <f t="shared" si="160"/>
        <v>632.71456121322854</v>
      </c>
      <c r="G345" s="459">
        <f t="shared" si="160"/>
        <v>616.81547609768734</v>
      </c>
      <c r="H345" s="459">
        <f t="shared" si="160"/>
        <v>605.45665133140494</v>
      </c>
      <c r="I345" s="459">
        <f t="shared" si="160"/>
        <v>595.89470522290048</v>
      </c>
      <c r="J345" s="459">
        <f t="shared" si="160"/>
        <v>589.0971857257739</v>
      </c>
      <c r="K345" s="459">
        <f t="shared" si="160"/>
        <v>582.23238218201698</v>
      </c>
      <c r="L345" s="459">
        <f t="shared" si="160"/>
        <v>575.24095714139389</v>
      </c>
      <c r="M345" s="459">
        <f t="shared" si="160"/>
        <v>569.06030067637971</v>
      </c>
      <c r="N345" s="459">
        <f t="shared" si="160"/>
        <v>565.79741348137873</v>
      </c>
    </row>
    <row r="346" spans="1:14">
      <c r="B346" s="338" t="str">
        <f t="shared" si="154"/>
        <v>50-54</v>
      </c>
      <c r="C346" s="459">
        <f t="shared" ref="C346:N346" si="161">C309+C253</f>
        <v>685.49608232042704</v>
      </c>
      <c r="D346" s="459">
        <f t="shared" si="161"/>
        <v>642.07551461780645</v>
      </c>
      <c r="E346" s="459">
        <f t="shared" si="161"/>
        <v>599.68936437559842</v>
      </c>
      <c r="F346" s="459">
        <f t="shared" si="161"/>
        <v>563.63749214400161</v>
      </c>
      <c r="G346" s="459">
        <f t="shared" si="161"/>
        <v>537.52122915936206</v>
      </c>
      <c r="H346" s="459">
        <f t="shared" si="161"/>
        <v>517.26432090928438</v>
      </c>
      <c r="I346" s="459">
        <f t="shared" si="161"/>
        <v>500.33345052735211</v>
      </c>
      <c r="J346" s="459">
        <f t="shared" si="161"/>
        <v>487.00893931555919</v>
      </c>
      <c r="K346" s="459">
        <f t="shared" si="161"/>
        <v>474.84151196741095</v>
      </c>
      <c r="L346" s="459">
        <f t="shared" si="161"/>
        <v>463.51094316479197</v>
      </c>
      <c r="M346" s="459">
        <f t="shared" si="161"/>
        <v>453.49009042189869</v>
      </c>
      <c r="N346" s="459">
        <f t="shared" si="161"/>
        <v>446.16540290377083</v>
      </c>
    </row>
    <row r="347" spans="1:14">
      <c r="B347" s="338" t="str">
        <f t="shared" si="154"/>
        <v>55-59</v>
      </c>
      <c r="C347" s="459">
        <f t="shared" ref="C347:N347" si="162">C310+C254</f>
        <v>466.81868281254646</v>
      </c>
      <c r="D347" s="459">
        <f t="shared" si="162"/>
        <v>396.90114183129157</v>
      </c>
      <c r="E347" s="459">
        <f t="shared" si="162"/>
        <v>343.9796906410694</v>
      </c>
      <c r="F347" s="459">
        <f t="shared" si="162"/>
        <v>305.7736667795366</v>
      </c>
      <c r="G347" s="459">
        <f t="shared" si="162"/>
        <v>280.54036431599201</v>
      </c>
      <c r="H347" s="459">
        <f t="shared" si="162"/>
        <v>262.52521076723156</v>
      </c>
      <c r="I347" s="459">
        <f t="shared" si="162"/>
        <v>248.52643822413347</v>
      </c>
      <c r="J347" s="459">
        <f t="shared" si="162"/>
        <v>238.02407765726292</v>
      </c>
      <c r="K347" s="459">
        <f t="shared" si="162"/>
        <v>228.83086671960544</v>
      </c>
      <c r="L347" s="459">
        <f t="shared" si="162"/>
        <v>220.60135305444584</v>
      </c>
      <c r="M347" s="459">
        <f t="shared" si="162"/>
        <v>213.56788077553674</v>
      </c>
      <c r="N347" s="459">
        <f t="shared" si="162"/>
        <v>208.53910171629983</v>
      </c>
    </row>
    <row r="348" spans="1:14">
      <c r="B348" s="338" t="str">
        <f t="shared" si="154"/>
        <v>60-64</v>
      </c>
      <c r="C348" s="459">
        <f t="shared" ref="C348:N348" si="163">C311+C255</f>
        <v>149.2829000350481</v>
      </c>
      <c r="D348" s="459">
        <f t="shared" si="163"/>
        <v>137.34793084580076</v>
      </c>
      <c r="E348" s="459">
        <f t="shared" si="163"/>
        <v>120.69608960425987</v>
      </c>
      <c r="F348" s="459">
        <f t="shared" si="163"/>
        <v>106.01883847769972</v>
      </c>
      <c r="G348" s="459">
        <f t="shared" si="163"/>
        <v>95.688775789965817</v>
      </c>
      <c r="H348" s="459">
        <f t="shared" si="163"/>
        <v>88.06610897115047</v>
      </c>
      <c r="I348" s="459">
        <f t="shared" si="163"/>
        <v>82.064930254206928</v>
      </c>
      <c r="J348" s="459">
        <f t="shared" si="163"/>
        <v>77.634222187221752</v>
      </c>
      <c r="K348" s="459">
        <f t="shared" si="163"/>
        <v>73.746515220976477</v>
      </c>
      <c r="L348" s="459">
        <f t="shared" si="163"/>
        <v>70.286247249809207</v>
      </c>
      <c r="M348" s="459">
        <f t="shared" si="163"/>
        <v>67.393289607976271</v>
      </c>
      <c r="N348" s="459">
        <f t="shared" si="163"/>
        <v>65.457200498063727</v>
      </c>
    </row>
    <row r="349" spans="1:14">
      <c r="B349" s="338" t="str">
        <f t="shared" si="154"/>
        <v>65 plus</v>
      </c>
      <c r="C349" s="459">
        <f t="shared" ref="C349:N349" si="164">C312+C256</f>
        <v>31.350491268000845</v>
      </c>
      <c r="D349" s="459">
        <f t="shared" si="164"/>
        <v>35.203625836913858</v>
      </c>
      <c r="E349" s="459">
        <f t="shared" si="164"/>
        <v>35.368654629273585</v>
      </c>
      <c r="F349" s="459">
        <f t="shared" si="164"/>
        <v>33.596684227224138</v>
      </c>
      <c r="G349" s="459">
        <f t="shared" si="164"/>
        <v>31.40336989900868</v>
      </c>
      <c r="H349" s="459">
        <f t="shared" si="164"/>
        <v>29.212873960881382</v>
      </c>
      <c r="I349" s="459">
        <f t="shared" si="164"/>
        <v>27.176448741777218</v>
      </c>
      <c r="J349" s="459">
        <f t="shared" si="164"/>
        <v>25.47376350072949</v>
      </c>
      <c r="K349" s="459">
        <f t="shared" si="164"/>
        <v>23.960053351573123</v>
      </c>
      <c r="L349" s="459">
        <f t="shared" si="164"/>
        <v>22.608311653784291</v>
      </c>
      <c r="M349" s="459">
        <f t="shared" si="164"/>
        <v>21.451082109781847</v>
      </c>
      <c r="N349" s="459">
        <f t="shared" si="164"/>
        <v>20.594672995849045</v>
      </c>
    </row>
    <row r="350" spans="1:14">
      <c r="B350" s="338" t="str">
        <f t="shared" si="154"/>
        <v>Total</v>
      </c>
      <c r="C350" s="459">
        <f t="shared" ref="C350:N350" si="165">SUM(C340:C349)</f>
        <v>4586.7669837435069</v>
      </c>
      <c r="D350" s="459">
        <f t="shared" si="165"/>
        <v>4616.7933734717608</v>
      </c>
      <c r="E350" s="459">
        <f t="shared" si="165"/>
        <v>4506.2588984803378</v>
      </c>
      <c r="F350" s="459">
        <f t="shared" si="165"/>
        <v>4404.9004509613906</v>
      </c>
      <c r="G350" s="459">
        <f t="shared" si="165"/>
        <v>4410.8175670163409</v>
      </c>
      <c r="H350" s="459">
        <f t="shared" si="165"/>
        <v>4451.4368853133201</v>
      </c>
      <c r="I350" s="459">
        <f t="shared" si="165"/>
        <v>4486.9292058936708</v>
      </c>
      <c r="J350" s="459">
        <f t="shared" si="165"/>
        <v>4535.5536116753565</v>
      </c>
      <c r="K350" s="459">
        <f t="shared" si="165"/>
        <v>4555.0544257727752</v>
      </c>
      <c r="L350" s="459">
        <f t="shared" si="165"/>
        <v>4547.8781623250179</v>
      </c>
      <c r="M350" s="459">
        <f t="shared" si="165"/>
        <v>4531.1600824798552</v>
      </c>
      <c r="N350" s="459">
        <f t="shared" si="165"/>
        <v>4538.8547788228116</v>
      </c>
    </row>
    <row r="351" spans="1:14">
      <c r="A351" s="309">
        <f>SUM(C351:N351)</f>
        <v>0</v>
      </c>
      <c r="C351" s="309">
        <f>SUM(C340:C349)-C350</f>
        <v>0</v>
      </c>
      <c r="D351" s="309">
        <f t="shared" ref="D351:N351" si="166">SUM(D340:D349)-D350</f>
        <v>0</v>
      </c>
      <c r="E351" s="309">
        <f t="shared" si="166"/>
        <v>0</v>
      </c>
      <c r="F351" s="309">
        <f t="shared" si="166"/>
        <v>0</v>
      </c>
      <c r="G351" s="309">
        <f t="shared" si="166"/>
        <v>0</v>
      </c>
      <c r="H351" s="309">
        <f t="shared" si="166"/>
        <v>0</v>
      </c>
      <c r="I351" s="309">
        <f t="shared" si="166"/>
        <v>0</v>
      </c>
      <c r="J351" s="309">
        <f t="shared" si="166"/>
        <v>0</v>
      </c>
      <c r="K351" s="309">
        <f t="shared" si="166"/>
        <v>0</v>
      </c>
      <c r="L351" s="309">
        <f t="shared" si="166"/>
        <v>0</v>
      </c>
      <c r="M351" s="309">
        <f t="shared" si="166"/>
        <v>0</v>
      </c>
      <c r="N351" s="309">
        <f t="shared" si="166"/>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7">B339</f>
        <v>Age group</v>
      </c>
      <c r="C355" s="338" t="str">
        <f t="shared" ref="C355:N355" si="168">C339</f>
        <v>2016/17</v>
      </c>
      <c r="D355" s="338" t="str">
        <f t="shared" si="168"/>
        <v>2017/18</v>
      </c>
      <c r="E355" s="338" t="str">
        <f t="shared" si="168"/>
        <v>2018/19</v>
      </c>
      <c r="F355" s="338" t="str">
        <f t="shared" si="168"/>
        <v>2019/20</v>
      </c>
      <c r="G355" s="338" t="str">
        <f t="shared" si="168"/>
        <v>2020/21</v>
      </c>
      <c r="H355" s="338" t="str">
        <f t="shared" si="168"/>
        <v>2021/22</v>
      </c>
      <c r="I355" s="338" t="str">
        <f t="shared" si="168"/>
        <v>2022/23</v>
      </c>
      <c r="J355" s="338" t="str">
        <f t="shared" si="168"/>
        <v>2023/24</v>
      </c>
      <c r="K355" s="338" t="str">
        <f t="shared" si="168"/>
        <v>2024/25</v>
      </c>
      <c r="L355" s="338" t="str">
        <f t="shared" si="168"/>
        <v>2025/26</v>
      </c>
      <c r="M355" s="338" t="str">
        <f t="shared" si="168"/>
        <v>2026/27</v>
      </c>
      <c r="N355" s="338" t="str">
        <f t="shared" si="168"/>
        <v>2027/28</v>
      </c>
    </row>
    <row r="356" spans="1:14">
      <c r="B356" s="338" t="str">
        <f t="shared" si="167"/>
        <v>20-24</v>
      </c>
      <c r="C356" s="459">
        <f t="shared" ref="C356:N356" si="169">C319+C263</f>
        <v>304.64213255330026</v>
      </c>
      <c r="D356" s="459">
        <f t="shared" si="169"/>
        <v>406.63315440298072</v>
      </c>
      <c r="E356" s="459">
        <f t="shared" si="169"/>
        <v>428.4315572611294</v>
      </c>
      <c r="F356" s="459">
        <f t="shared" si="169"/>
        <v>438.16872690939994</v>
      </c>
      <c r="G356" s="459">
        <f t="shared" si="169"/>
        <v>472.62903245578354</v>
      </c>
      <c r="H356" s="459">
        <f t="shared" si="169"/>
        <v>505.25504477234279</v>
      </c>
      <c r="I356" s="459">
        <f t="shared" si="169"/>
        <v>525.24701095589705</v>
      </c>
      <c r="J356" s="459">
        <f t="shared" si="169"/>
        <v>542.5006371659689</v>
      </c>
      <c r="K356" s="459">
        <f t="shared" si="169"/>
        <v>544.77890779126892</v>
      </c>
      <c r="L356" s="459">
        <f t="shared" si="169"/>
        <v>536.54274038894255</v>
      </c>
      <c r="M356" s="459">
        <f t="shared" si="169"/>
        <v>525.84108294699342</v>
      </c>
      <c r="N356" s="459">
        <f t="shared" si="169"/>
        <v>524.45370811879366</v>
      </c>
    </row>
    <row r="357" spans="1:14">
      <c r="B357" s="338" t="str">
        <f t="shared" si="167"/>
        <v>25-29</v>
      </c>
      <c r="C357" s="459">
        <f t="shared" ref="C357:N357" si="170">C320+C264</f>
        <v>818.53563977645058</v>
      </c>
      <c r="D357" s="459">
        <f t="shared" si="170"/>
        <v>845.79080542949737</v>
      </c>
      <c r="E357" s="459">
        <f t="shared" si="170"/>
        <v>831.42630435715296</v>
      </c>
      <c r="F357" s="459">
        <f t="shared" si="170"/>
        <v>818.93782980258516</v>
      </c>
      <c r="G357" s="459">
        <f t="shared" si="170"/>
        <v>840.08155135844595</v>
      </c>
      <c r="H357" s="459">
        <f t="shared" si="170"/>
        <v>870.01876699257605</v>
      </c>
      <c r="I357" s="459">
        <f t="shared" si="170"/>
        <v>894.30155493472091</v>
      </c>
      <c r="J357" s="459">
        <f t="shared" si="170"/>
        <v>918.66908136737402</v>
      </c>
      <c r="K357" s="459">
        <f t="shared" si="170"/>
        <v>929.13647963982555</v>
      </c>
      <c r="L357" s="459">
        <f t="shared" si="170"/>
        <v>926.95900954245019</v>
      </c>
      <c r="M357" s="459">
        <f t="shared" si="170"/>
        <v>918.89090044755221</v>
      </c>
      <c r="N357" s="459">
        <f t="shared" si="170"/>
        <v>917.54441667863625</v>
      </c>
    </row>
    <row r="358" spans="1:14">
      <c r="B358" s="338" t="str">
        <f t="shared" si="167"/>
        <v>30-34</v>
      </c>
      <c r="C358" s="459">
        <f t="shared" ref="C358:N358" si="171">C321+C265</f>
        <v>995.18991379622867</v>
      </c>
      <c r="D358" s="459">
        <f t="shared" si="171"/>
        <v>973.54271738752993</v>
      </c>
      <c r="E358" s="459">
        <f t="shared" si="171"/>
        <v>936.55051603425511</v>
      </c>
      <c r="F358" s="459">
        <f t="shared" si="171"/>
        <v>903.92353892349502</v>
      </c>
      <c r="G358" s="459">
        <f t="shared" si="171"/>
        <v>891.93402600860077</v>
      </c>
      <c r="H358" s="459">
        <f t="shared" si="171"/>
        <v>891.16552782684369</v>
      </c>
      <c r="I358" s="459">
        <f t="shared" si="171"/>
        <v>894.38566960613548</v>
      </c>
      <c r="J358" s="459">
        <f t="shared" si="171"/>
        <v>902.70736822550646</v>
      </c>
      <c r="K358" s="459">
        <f t="shared" si="171"/>
        <v>908.0869449876335</v>
      </c>
      <c r="L358" s="459">
        <f t="shared" si="171"/>
        <v>908.86598471569243</v>
      </c>
      <c r="M358" s="459">
        <f t="shared" si="171"/>
        <v>906.56028046584208</v>
      </c>
      <c r="N358" s="459">
        <f t="shared" si="171"/>
        <v>906.60940332098892</v>
      </c>
    </row>
    <row r="359" spans="1:14">
      <c r="B359" s="338" t="str">
        <f t="shared" si="167"/>
        <v>35-39</v>
      </c>
      <c r="C359" s="459">
        <f t="shared" ref="C359:N359" si="172">C322+C266</f>
        <v>891.08898034543347</v>
      </c>
      <c r="D359" s="459">
        <f t="shared" si="172"/>
        <v>908.2329210493906</v>
      </c>
      <c r="E359" s="459">
        <f t="shared" si="172"/>
        <v>898.17546042483002</v>
      </c>
      <c r="F359" s="459">
        <f t="shared" si="172"/>
        <v>881.8369532989575</v>
      </c>
      <c r="G359" s="459">
        <f t="shared" si="172"/>
        <v>873.90280316655571</v>
      </c>
      <c r="H359" s="459">
        <f t="shared" si="172"/>
        <v>868.80826138729435</v>
      </c>
      <c r="I359" s="459">
        <f t="shared" si="172"/>
        <v>863.7138166906102</v>
      </c>
      <c r="J359" s="459">
        <f t="shared" si="172"/>
        <v>861.65455108391336</v>
      </c>
      <c r="K359" s="459">
        <f t="shared" si="172"/>
        <v>857.99135644620708</v>
      </c>
      <c r="L359" s="459">
        <f t="shared" si="172"/>
        <v>852.66857579366513</v>
      </c>
      <c r="M359" s="459">
        <f t="shared" si="172"/>
        <v>847.12503305971347</v>
      </c>
      <c r="N359" s="459">
        <f t="shared" si="172"/>
        <v>844.91277029107266</v>
      </c>
    </row>
    <row r="360" spans="1:14">
      <c r="B360" s="338" t="str">
        <f t="shared" si="167"/>
        <v>40-44</v>
      </c>
      <c r="C360" s="459">
        <f t="shared" ref="C360:N360" si="173">C323+C267</f>
        <v>828.38284992909553</v>
      </c>
      <c r="D360" s="459">
        <f t="shared" si="173"/>
        <v>836.51307335570687</v>
      </c>
      <c r="E360" s="459">
        <f t="shared" si="173"/>
        <v>829.44238869765502</v>
      </c>
      <c r="F360" s="459">
        <f t="shared" si="173"/>
        <v>820.51207464344066</v>
      </c>
      <c r="G360" s="459">
        <f t="shared" si="173"/>
        <v>819.66901410036974</v>
      </c>
      <c r="H360" s="459">
        <f t="shared" si="173"/>
        <v>820.14449515907165</v>
      </c>
      <c r="I360" s="459">
        <f t="shared" si="173"/>
        <v>818.5089106955005</v>
      </c>
      <c r="J360" s="459">
        <f t="shared" si="173"/>
        <v>817.31395685210987</v>
      </c>
      <c r="K360" s="459">
        <f t="shared" si="173"/>
        <v>812.85522237037799</v>
      </c>
      <c r="L360" s="459">
        <f t="shared" si="173"/>
        <v>805.7441814565658</v>
      </c>
      <c r="M360" s="459">
        <f t="shared" si="173"/>
        <v>797.97282857493713</v>
      </c>
      <c r="N360" s="459">
        <f t="shared" si="173"/>
        <v>793.20163533267134</v>
      </c>
    </row>
    <row r="361" spans="1:14">
      <c r="B361" s="338" t="str">
        <f t="shared" si="167"/>
        <v>45-49</v>
      </c>
      <c r="C361" s="459">
        <f t="shared" ref="C361:N361" si="174">C324+C268</f>
        <v>785.64830255276786</v>
      </c>
      <c r="D361" s="459">
        <f t="shared" si="174"/>
        <v>777.88378486542808</v>
      </c>
      <c r="E361" s="459">
        <f t="shared" si="174"/>
        <v>760.7473950800827</v>
      </c>
      <c r="F361" s="459">
        <f t="shared" si="174"/>
        <v>745.37464172121292</v>
      </c>
      <c r="G361" s="459">
        <f t="shared" si="174"/>
        <v>739.40752251626031</v>
      </c>
      <c r="H361" s="459">
        <f t="shared" si="174"/>
        <v>736.90468677990862</v>
      </c>
      <c r="I361" s="459">
        <f t="shared" si="174"/>
        <v>734.31943293945403</v>
      </c>
      <c r="J361" s="459">
        <f t="shared" si="174"/>
        <v>732.87662441076282</v>
      </c>
      <c r="K361" s="459">
        <f t="shared" si="174"/>
        <v>729.05283432667693</v>
      </c>
      <c r="L361" s="459">
        <f t="shared" si="174"/>
        <v>722.92143313790245</v>
      </c>
      <c r="M361" s="459">
        <f t="shared" si="174"/>
        <v>715.88275680953529</v>
      </c>
      <c r="N361" s="459">
        <f t="shared" si="174"/>
        <v>710.86345955147181</v>
      </c>
    </row>
    <row r="362" spans="1:14">
      <c r="B362" s="338" t="str">
        <f t="shared" si="167"/>
        <v>50-54</v>
      </c>
      <c r="C362" s="459">
        <f t="shared" ref="C362:N362" si="175">C325+C269</f>
        <v>654.17334376457325</v>
      </c>
      <c r="D362" s="459">
        <f t="shared" si="175"/>
        <v>639.07829369153205</v>
      </c>
      <c r="E362" s="459">
        <f t="shared" si="175"/>
        <v>617.52866550062674</v>
      </c>
      <c r="F362" s="459">
        <f t="shared" si="175"/>
        <v>598.10685973068621</v>
      </c>
      <c r="G362" s="459">
        <f t="shared" si="175"/>
        <v>586.6910241312961</v>
      </c>
      <c r="H362" s="459">
        <f t="shared" si="175"/>
        <v>579.01766470169105</v>
      </c>
      <c r="I362" s="459">
        <f t="shared" si="175"/>
        <v>572.51583944082665</v>
      </c>
      <c r="J362" s="459">
        <f t="shared" si="175"/>
        <v>567.99515423545211</v>
      </c>
      <c r="K362" s="459">
        <f t="shared" si="175"/>
        <v>562.66853121798977</v>
      </c>
      <c r="L362" s="459">
        <f t="shared" si="175"/>
        <v>556.3783164349278</v>
      </c>
      <c r="M362" s="459">
        <f t="shared" si="175"/>
        <v>549.9283029508822</v>
      </c>
      <c r="N362" s="459">
        <f t="shared" si="175"/>
        <v>545.25776017696739</v>
      </c>
    </row>
    <row r="363" spans="1:14">
      <c r="B363" s="338" t="str">
        <f t="shared" si="167"/>
        <v>55-59</v>
      </c>
      <c r="C363" s="459">
        <f t="shared" ref="C363:N363" si="176">C326+C270</f>
        <v>427.76908285395012</v>
      </c>
      <c r="D363" s="459">
        <f t="shared" si="176"/>
        <v>377.90183851213982</v>
      </c>
      <c r="E363" s="459">
        <f t="shared" si="176"/>
        <v>339.35331036778882</v>
      </c>
      <c r="F363" s="459">
        <f t="shared" si="176"/>
        <v>312.31642336754106</v>
      </c>
      <c r="G363" s="459">
        <f t="shared" si="176"/>
        <v>296.69841914564631</v>
      </c>
      <c r="H363" s="459">
        <f t="shared" si="176"/>
        <v>286.65562909466598</v>
      </c>
      <c r="I363" s="459">
        <f t="shared" si="176"/>
        <v>279.08034605578388</v>
      </c>
      <c r="J363" s="459">
        <f t="shared" si="176"/>
        <v>273.95001807702567</v>
      </c>
      <c r="K363" s="459">
        <f t="shared" si="176"/>
        <v>268.93539496120121</v>
      </c>
      <c r="L363" s="459">
        <f t="shared" si="176"/>
        <v>263.89074765293316</v>
      </c>
      <c r="M363" s="459">
        <f t="shared" si="176"/>
        <v>259.31982540089933</v>
      </c>
      <c r="N363" s="459">
        <f t="shared" si="176"/>
        <v>256.40699057982346</v>
      </c>
    </row>
    <row r="364" spans="1:14">
      <c r="B364" s="338" t="str">
        <f t="shared" si="167"/>
        <v>60-64</v>
      </c>
      <c r="C364" s="459">
        <f t="shared" ref="C364:N364" si="177">C327+C271</f>
        <v>126.24534468869184</v>
      </c>
      <c r="D364" s="459">
        <f t="shared" si="177"/>
        <v>118.67264306917004</v>
      </c>
      <c r="E364" s="459">
        <f t="shared" si="177"/>
        <v>106.3294201709043</v>
      </c>
      <c r="F364" s="459">
        <f t="shared" si="177"/>
        <v>95.887023247464086</v>
      </c>
      <c r="G364" s="459">
        <f t="shared" si="177"/>
        <v>89.69715319892174</v>
      </c>
      <c r="H364" s="459">
        <f t="shared" si="177"/>
        <v>85.563784616359371</v>
      </c>
      <c r="I364" s="459">
        <f t="shared" si="177"/>
        <v>82.312994986214889</v>
      </c>
      <c r="J364" s="459">
        <f t="shared" si="177"/>
        <v>80.137964344513904</v>
      </c>
      <c r="K364" s="459">
        <f t="shared" si="177"/>
        <v>77.931762424566486</v>
      </c>
      <c r="L364" s="459">
        <f t="shared" si="177"/>
        <v>75.734971774666263</v>
      </c>
      <c r="M364" s="459">
        <f t="shared" si="177"/>
        <v>73.850358887441089</v>
      </c>
      <c r="N364" s="459">
        <f t="shared" si="177"/>
        <v>72.847847533680309</v>
      </c>
    </row>
    <row r="365" spans="1:14">
      <c r="B365" s="338" t="str">
        <f t="shared" si="167"/>
        <v>65 plus</v>
      </c>
      <c r="C365" s="459">
        <f t="shared" ref="C365:K365" si="178">C328+C272</f>
        <v>22.632246775619532</v>
      </c>
      <c r="D365" s="459">
        <f t="shared" si="178"/>
        <v>26.737989630785378</v>
      </c>
      <c r="E365" s="459">
        <f t="shared" si="178"/>
        <v>27.235944892374398</v>
      </c>
      <c r="F365" s="459">
        <f t="shared" si="178"/>
        <v>26.166132399579958</v>
      </c>
      <c r="G365" s="459">
        <f t="shared" si="178"/>
        <v>25.022700220072764</v>
      </c>
      <c r="H365" s="459">
        <f t="shared" si="178"/>
        <v>23.963555506444088</v>
      </c>
      <c r="I365" s="459">
        <f t="shared" si="178"/>
        <v>22.975169881859294</v>
      </c>
      <c r="J365" s="459">
        <f t="shared" si="178"/>
        <v>22.207002115635031</v>
      </c>
      <c r="K365" s="459">
        <f t="shared" si="178"/>
        <v>21.453354768817761</v>
      </c>
      <c r="L365" s="459">
        <f>L328+L272</f>
        <v>20.706445349112393</v>
      </c>
      <c r="M365" s="459">
        <f>M328+M272</f>
        <v>20.041898390105807</v>
      </c>
      <c r="N365" s="459">
        <f>N328+N272</f>
        <v>19.621028278354149</v>
      </c>
    </row>
    <row r="366" spans="1:14">
      <c r="B366" s="338" t="str">
        <f t="shared" si="167"/>
        <v>Total</v>
      </c>
      <c r="C366" s="459">
        <f t="shared" ref="C366:N366" si="179">SUM(C356:C365)</f>
        <v>5854.3078370361118</v>
      </c>
      <c r="D366" s="459">
        <f t="shared" si="179"/>
        <v>5910.9872213941617</v>
      </c>
      <c r="E366" s="459">
        <f t="shared" si="179"/>
        <v>5775.2209627867996</v>
      </c>
      <c r="F366" s="459">
        <f t="shared" si="179"/>
        <v>5641.2302040443619</v>
      </c>
      <c r="G366" s="459">
        <f t="shared" si="179"/>
        <v>5635.7332463019529</v>
      </c>
      <c r="H366" s="459">
        <f t="shared" si="179"/>
        <v>5667.4974168371982</v>
      </c>
      <c r="I366" s="459">
        <f t="shared" si="179"/>
        <v>5687.3607461870024</v>
      </c>
      <c r="J366" s="459">
        <f t="shared" si="179"/>
        <v>5720.0123578782623</v>
      </c>
      <c r="K366" s="459">
        <f t="shared" si="179"/>
        <v>5712.8907889345664</v>
      </c>
      <c r="L366" s="459">
        <f t="shared" si="179"/>
        <v>5670.4124062468582</v>
      </c>
      <c r="M366" s="459">
        <f t="shared" si="179"/>
        <v>5615.4132679339018</v>
      </c>
      <c r="N366" s="459">
        <f t="shared" si="179"/>
        <v>5591.7190198624603</v>
      </c>
    </row>
    <row r="367" spans="1:14">
      <c r="A367" s="309">
        <f>SUM(C367:N367)</f>
        <v>0</v>
      </c>
      <c r="C367" s="309">
        <f>SUM(C356:C365)-C366</f>
        <v>0</v>
      </c>
      <c r="D367" s="309">
        <f t="shared" ref="D367:N367" si="180">SUM(D356:D365)-D366</f>
        <v>0</v>
      </c>
      <c r="E367" s="309">
        <f t="shared" si="180"/>
        <v>0</v>
      </c>
      <c r="F367" s="309">
        <f t="shared" si="180"/>
        <v>0</v>
      </c>
      <c r="G367" s="309">
        <f t="shared" si="180"/>
        <v>0</v>
      </c>
      <c r="H367" s="309">
        <f t="shared" si="180"/>
        <v>0</v>
      </c>
      <c r="I367" s="309">
        <f t="shared" si="180"/>
        <v>0</v>
      </c>
      <c r="J367" s="309">
        <f t="shared" si="180"/>
        <v>0</v>
      </c>
      <c r="K367" s="309">
        <f t="shared" si="180"/>
        <v>0</v>
      </c>
      <c r="L367" s="309">
        <f t="shared" si="180"/>
        <v>0</v>
      </c>
      <c r="M367" s="309">
        <f t="shared" si="180"/>
        <v>0</v>
      </c>
      <c r="N367" s="309">
        <f t="shared" si="180"/>
        <v>0</v>
      </c>
    </row>
    <row r="368" spans="1:14">
      <c r="C368" s="329">
        <f>C350+C366</f>
        <v>10441.074820779619</v>
      </c>
      <c r="D368" s="329">
        <f t="shared" ref="D368:N368" si="181">D350+D366</f>
        <v>10527.780594865922</v>
      </c>
      <c r="E368" s="329">
        <f t="shared" si="181"/>
        <v>10281.479861267137</v>
      </c>
      <c r="F368" s="329">
        <f t="shared" si="181"/>
        <v>10046.130655005752</v>
      </c>
      <c r="G368" s="329">
        <f t="shared" si="181"/>
        <v>10046.550813318294</v>
      </c>
      <c r="H368" s="329">
        <f t="shared" si="181"/>
        <v>10118.934302150519</v>
      </c>
      <c r="I368" s="329">
        <f t="shared" si="181"/>
        <v>10174.289952080673</v>
      </c>
      <c r="J368" s="329">
        <f t="shared" si="181"/>
        <v>10255.56596955362</v>
      </c>
      <c r="K368" s="329">
        <f t="shared" si="181"/>
        <v>10267.945214707343</v>
      </c>
      <c r="L368" s="329">
        <f t="shared" si="181"/>
        <v>10218.290568571876</v>
      </c>
      <c r="M368" s="329">
        <f t="shared" si="181"/>
        <v>10146.573350413757</v>
      </c>
      <c r="N368" s="329">
        <f t="shared" si="181"/>
        <v>10130.573798685273</v>
      </c>
    </row>
    <row r="369" spans="1:14">
      <c r="C369" s="329">
        <f>C36</f>
        <v>10441.074820779617</v>
      </c>
      <c r="D369" s="329">
        <f t="shared" ref="D369:N369" si="182">D36</f>
        <v>10527.780594865922</v>
      </c>
      <c r="E369" s="329">
        <f t="shared" si="182"/>
        <v>10281.479861267137</v>
      </c>
      <c r="F369" s="329">
        <f t="shared" si="182"/>
        <v>10046.130655005754</v>
      </c>
      <c r="G369" s="329">
        <f t="shared" si="182"/>
        <v>10046.550813318294</v>
      </c>
      <c r="H369" s="329">
        <f t="shared" si="182"/>
        <v>10118.934302150517</v>
      </c>
      <c r="I369" s="329">
        <f t="shared" si="182"/>
        <v>10174.289952080673</v>
      </c>
      <c r="J369" s="329">
        <f t="shared" si="182"/>
        <v>10255.565969553618</v>
      </c>
      <c r="K369" s="329">
        <f t="shared" si="182"/>
        <v>10267.945214707341</v>
      </c>
      <c r="L369" s="329">
        <f t="shared" si="182"/>
        <v>10218.290568571876</v>
      </c>
      <c r="M369" s="329">
        <f t="shared" si="182"/>
        <v>10146.573350413757</v>
      </c>
      <c r="N369" s="329">
        <f t="shared" si="182"/>
        <v>10130.573798685271</v>
      </c>
    </row>
    <row r="370" spans="1:14">
      <c r="A370" s="309">
        <f>SUM(C370:L370)</f>
        <v>0</v>
      </c>
      <c r="C370" s="329">
        <f>C368-C369</f>
        <v>0</v>
      </c>
      <c r="D370" s="329">
        <f t="shared" ref="D370:N370" si="183">D368-D369</f>
        <v>0</v>
      </c>
      <c r="E370" s="329">
        <f t="shared" si="183"/>
        <v>0</v>
      </c>
      <c r="F370" s="329">
        <f t="shared" si="183"/>
        <v>0</v>
      </c>
      <c r="G370" s="329">
        <f t="shared" si="183"/>
        <v>0</v>
      </c>
      <c r="H370" s="329">
        <f t="shared" si="183"/>
        <v>0</v>
      </c>
      <c r="I370" s="329">
        <f t="shared" si="183"/>
        <v>0</v>
      </c>
      <c r="J370" s="329">
        <f t="shared" si="183"/>
        <v>0</v>
      </c>
      <c r="K370" s="329">
        <f t="shared" si="183"/>
        <v>0</v>
      </c>
      <c r="L370" s="329">
        <f t="shared" si="183"/>
        <v>0</v>
      </c>
      <c r="M370" s="329">
        <f t="shared" si="183"/>
        <v>0</v>
      </c>
      <c r="N370" s="329">
        <f t="shared" si="183"/>
        <v>0</v>
      </c>
    </row>
    <row r="371" spans="1:14">
      <c r="A371" s="309">
        <f>SUM(C371:L371)</f>
        <v>0</v>
      </c>
      <c r="C371" s="329">
        <f>IF(C294&gt;0,0,C294)</f>
        <v>0</v>
      </c>
      <c r="D371" s="329">
        <f t="shared" ref="D371:N371" si="184">IF(D294&gt;0,0,D294)</f>
        <v>0</v>
      </c>
      <c r="E371" s="329">
        <f t="shared" si="184"/>
        <v>0</v>
      </c>
      <c r="F371" s="329">
        <f t="shared" si="184"/>
        <v>0</v>
      </c>
      <c r="G371" s="329">
        <f t="shared" si="184"/>
        <v>0</v>
      </c>
      <c r="H371" s="329">
        <f t="shared" si="184"/>
        <v>0</v>
      </c>
      <c r="I371" s="329">
        <f t="shared" si="184"/>
        <v>0</v>
      </c>
      <c r="J371" s="329">
        <f t="shared" si="184"/>
        <v>0</v>
      </c>
      <c r="K371" s="329">
        <f t="shared" si="184"/>
        <v>0</v>
      </c>
      <c r="L371" s="329">
        <f t="shared" si="184"/>
        <v>0</v>
      </c>
      <c r="M371" s="329">
        <f t="shared" si="184"/>
        <v>0</v>
      </c>
      <c r="N371" s="329">
        <f t="shared" si="184"/>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FF0000"/>
  </sheetPr>
  <dimension ref="A1:Q371"/>
  <sheetViews>
    <sheetView showGridLines="0" workbookViewId="0"/>
  </sheetViews>
  <sheetFormatPr defaultColWidth="9.140625" defaultRowHeight="12.75"/>
  <cols>
    <col min="1" max="1" width="9.140625" style="309"/>
    <col min="2" max="2" width="28.7109375" style="309" customWidth="1"/>
    <col min="3" max="16" width="10.7109375" style="309" customWidth="1"/>
    <col min="17"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1694</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Forecast_stock_figures!B23</f>
        <v>Drama</v>
      </c>
      <c r="C15" s="307">
        <f>Forecast_stock_figures!C47</f>
        <v>5011.1775217845561</v>
      </c>
      <c r="D15" s="307">
        <f>Forecast_stock_figures!D47</f>
        <v>4997.2888230103827</v>
      </c>
      <c r="E15" s="307">
        <f>Forecast_stock_figures!E47</f>
        <v>5025.8114145193067</v>
      </c>
      <c r="F15" s="307">
        <f>Forecast_stock_figures!F47</f>
        <v>5018.1325596308079</v>
      </c>
      <c r="G15" s="307">
        <f>Forecast_stock_figures!G47</f>
        <v>5020.895461785487</v>
      </c>
      <c r="H15" s="307">
        <f>Forecast_stock_figures!H47</f>
        <v>5020.0737628608276</v>
      </c>
      <c r="I15" s="307">
        <f>Forecast_stock_figures!I47</f>
        <v>5057.9063715487991</v>
      </c>
      <c r="J15" s="307">
        <f>Forecast_stock_figures!J47</f>
        <v>5093.6859805130989</v>
      </c>
      <c r="K15" s="307">
        <f>Forecast_stock_figures!K47</f>
        <v>5136.0193195775992</v>
      </c>
      <c r="L15" s="307">
        <f>Forecast_stock_figures!L47</f>
        <v>5149.5011668603438</v>
      </c>
      <c r="M15" s="307">
        <f>Forecast_stock_figures!M47</f>
        <v>5138.9404800018383</v>
      </c>
      <c r="N15" s="307">
        <f>Forecast_stock_figures!N47</f>
        <v>5118.3350388019735</v>
      </c>
    </row>
    <row r="17" spans="1:9" ht="15.75">
      <c r="B17" s="340" t="s">
        <v>149</v>
      </c>
    </row>
    <row r="19" spans="1:9">
      <c r="B19" s="1243" t="str">
        <f>Stock_ages_breakdowns!B73</f>
        <v>Age group</v>
      </c>
      <c r="C19" s="1244" t="str">
        <f>Stock_ages_breakdowns!Q73</f>
        <v>Drama</v>
      </c>
      <c r="D19" s="1245"/>
      <c r="H19" s="325" t="s">
        <v>120</v>
      </c>
    </row>
    <row r="20" spans="1:9">
      <c r="B20" s="1243"/>
      <c r="C20" s="363" t="str">
        <f>Stock_ages_breakdowns!Q74</f>
        <v>Male</v>
      </c>
      <c r="D20" s="363" t="str">
        <f>Stock_ages_breakdowns!R74</f>
        <v>Female</v>
      </c>
    </row>
    <row r="21" spans="1:9">
      <c r="B21" s="363" t="str">
        <f>Stock_ages_breakdowns!B75</f>
        <v>20-24</v>
      </c>
      <c r="C21" s="331">
        <f>Stock_ages_breakdowns!Q20</f>
        <v>27.710359407600947</v>
      </c>
      <c r="D21" s="331">
        <f>Stock_ages_breakdowns!R20</f>
        <v>127.34696425482707</v>
      </c>
    </row>
    <row r="22" spans="1:9">
      <c r="B22" s="363" t="str">
        <f>Stock_ages_breakdowns!B76</f>
        <v>25-29</v>
      </c>
      <c r="C22" s="331">
        <f>Stock_ages_breakdowns!Q21</f>
        <v>141.71036101186348</v>
      </c>
      <c r="D22" s="331">
        <f>Stock_ages_breakdowns!R21</f>
        <v>712.28374211887808</v>
      </c>
    </row>
    <row r="23" spans="1:9">
      <c r="B23" s="363" t="str">
        <f>Stock_ages_breakdowns!B77</f>
        <v>30-34</v>
      </c>
      <c r="C23" s="331">
        <f>Stock_ages_breakdowns!Q22</f>
        <v>227.83861672810889</v>
      </c>
      <c r="D23" s="331">
        <f>Stock_ages_breakdowns!R22</f>
        <v>1006.6496751964177</v>
      </c>
    </row>
    <row r="24" spans="1:9">
      <c r="B24" s="363" t="str">
        <f>Stock_ages_breakdowns!B78</f>
        <v>35-39</v>
      </c>
      <c r="C24" s="331">
        <f>Stock_ages_breakdowns!Q23</f>
        <v>221.662827250818</v>
      </c>
      <c r="D24" s="331">
        <f>Stock_ages_breakdowns!R23</f>
        <v>783.59952565432047</v>
      </c>
    </row>
    <row r="25" spans="1:9">
      <c r="B25" s="363" t="str">
        <f>Stock_ages_breakdowns!B79</f>
        <v>40-44</v>
      </c>
      <c r="C25" s="331">
        <f>Stock_ages_breakdowns!Q24</f>
        <v>164.43478033505522</v>
      </c>
      <c r="D25" s="331">
        <f>Stock_ages_breakdowns!R24</f>
        <v>495.92361351030468</v>
      </c>
    </row>
    <row r="26" spans="1:9">
      <c r="B26" s="363" t="str">
        <f>Stock_ages_breakdowns!B80</f>
        <v>45-49</v>
      </c>
      <c r="C26" s="331">
        <f>Stock_ages_breakdowns!Q25</f>
        <v>140.75306853486089</v>
      </c>
      <c r="D26" s="331">
        <f>Stock_ages_breakdowns!R25</f>
        <v>301.11208843903404</v>
      </c>
    </row>
    <row r="27" spans="1:9">
      <c r="B27" s="363" t="str">
        <f>Stock_ages_breakdowns!B81</f>
        <v>50-54</v>
      </c>
      <c r="C27" s="331">
        <f>Stock_ages_breakdowns!Q26</f>
        <v>105.59387101563055</v>
      </c>
      <c r="D27" s="331">
        <f>Stock_ages_breakdowns!R26</f>
        <v>218.02812303970668</v>
      </c>
    </row>
    <row r="28" spans="1:9">
      <c r="B28" s="363" t="str">
        <f>Stock_ages_breakdowns!B82</f>
        <v>55-59</v>
      </c>
      <c r="C28" s="331">
        <f>Stock_ages_breakdowns!Q27</f>
        <v>82.318131417725269</v>
      </c>
      <c r="D28" s="331">
        <f>Stock_ages_breakdowns!R27</f>
        <v>156.810522136017</v>
      </c>
    </row>
    <row r="29" spans="1:9">
      <c r="B29" s="363" t="str">
        <f>Stock_ages_breakdowns!B83</f>
        <v>60-64</v>
      </c>
      <c r="C29" s="331">
        <f>Stock_ages_breakdowns!Q28</f>
        <v>28.042153972928539</v>
      </c>
      <c r="D29" s="331">
        <f>Stock_ages_breakdowns!R28</f>
        <v>58.090902742275098</v>
      </c>
      <c r="F29" s="325"/>
    </row>
    <row r="30" spans="1:9">
      <c r="B30" s="363" t="str">
        <f>Stock_ages_breakdowns!B84</f>
        <v>65 plus</v>
      </c>
      <c r="C30" s="331">
        <f>Stock_ages_breakdowns!Q29</f>
        <v>6.1888206837841215</v>
      </c>
      <c r="D30" s="331">
        <f>Stock_ages_breakdowns!R29</f>
        <v>5.0793743343998701</v>
      </c>
      <c r="G30" s="326" t="s">
        <v>49</v>
      </c>
      <c r="H30" s="326" t="s">
        <v>50</v>
      </c>
    </row>
    <row r="31" spans="1:9">
      <c r="A31" s="309">
        <f>I31</f>
        <v>0</v>
      </c>
      <c r="B31" s="363" t="str">
        <f>Stock_ages_breakdowns!B85</f>
        <v>Total</v>
      </c>
      <c r="C31" s="331">
        <f>Stock_ages_breakdowns!Q30</f>
        <v>1146.2529903583759</v>
      </c>
      <c r="D31" s="331">
        <f>Stock_ages_breakdowns!R30</f>
        <v>3864.9245314261802</v>
      </c>
      <c r="E31" s="327">
        <f>SUM(C31:D31)</f>
        <v>5011.1775217845561</v>
      </c>
      <c r="G31" s="366">
        <f>C31/$E$31</f>
        <v>0.22873925048062912</v>
      </c>
      <c r="H31" s="366">
        <f>D31/$E$31</f>
        <v>0.77126074951937085</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6" t="str">
        <f>B15</f>
        <v>Drama</v>
      </c>
      <c r="C36" s="307">
        <f>Teacher_need_by_subject!C627</f>
        <v>4997.2888230103827</v>
      </c>
      <c r="D36" s="307">
        <f>Teacher_need_by_subject!D627</f>
        <v>5025.8114145193067</v>
      </c>
      <c r="E36" s="307">
        <f>Teacher_need_by_subject!E627</f>
        <v>5018.1325596308079</v>
      </c>
      <c r="F36" s="307">
        <f>Teacher_need_by_subject!F627</f>
        <v>5020.895461785487</v>
      </c>
      <c r="G36" s="307">
        <f>Teacher_need_by_subject!G627</f>
        <v>5020.0737628608276</v>
      </c>
      <c r="H36" s="307">
        <f>Teacher_need_by_subject!H627</f>
        <v>5057.9063715487991</v>
      </c>
      <c r="I36" s="307">
        <f>Teacher_need_by_subject!I627</f>
        <v>5093.6859805130989</v>
      </c>
      <c r="J36" s="307">
        <f>Teacher_need_by_subject!J627</f>
        <v>5136.0193195775992</v>
      </c>
      <c r="K36" s="307">
        <f>Teacher_need_by_subject!K627</f>
        <v>5149.5011668603438</v>
      </c>
      <c r="L36" s="307">
        <f>Teacher_need_by_subject!L627</f>
        <v>5138.9404800018383</v>
      </c>
      <c r="M36" s="307">
        <f>Teacher_need_by_subject!M627</f>
        <v>5118.3350388019735</v>
      </c>
      <c r="N36" s="307">
        <f>Teacher_need_by_subject!N627</f>
        <v>5114.396654662788</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27.710359407600947</v>
      </c>
      <c r="D43" s="307">
        <f>C340</f>
        <v>49.308403807119618</v>
      </c>
      <c r="E43" s="307">
        <f t="shared" ref="E43:L43" si="2">D340</f>
        <v>66.782162937594293</v>
      </c>
      <c r="F43" s="307">
        <f t="shared" si="2"/>
        <v>77.050591563960211</v>
      </c>
      <c r="G43" s="307">
        <f t="shared" si="2"/>
        <v>84.818485437333493</v>
      </c>
      <c r="H43" s="307">
        <f t="shared" si="2"/>
        <v>90.139469784982566</v>
      </c>
      <c r="I43" s="307">
        <f t="shared" si="2"/>
        <v>96.25976010609557</v>
      </c>
      <c r="J43" s="307">
        <f t="shared" si="2"/>
        <v>100.83795683629933</v>
      </c>
      <c r="K43" s="307">
        <f t="shared" si="2"/>
        <v>104.83576183065374</v>
      </c>
      <c r="L43" s="307">
        <f t="shared" si="2"/>
        <v>106.38017759673494</v>
      </c>
      <c r="M43" s="307">
        <f>L340</f>
        <v>106.27679619641151</v>
      </c>
      <c r="N43" s="307">
        <f>M340</f>
        <v>105.66887467417834</v>
      </c>
    </row>
    <row r="44" spans="2:14">
      <c r="B44" s="363" t="str">
        <f t="shared" ref="B44:C53" si="3">B22</f>
        <v>25-29</v>
      </c>
      <c r="C44" s="307">
        <f t="shared" si="3"/>
        <v>141.71036101186348</v>
      </c>
      <c r="D44" s="307">
        <f t="shared" ref="D44:K53" si="4">C341</f>
        <v>139.43818585813332</v>
      </c>
      <c r="E44" s="307">
        <f t="shared" si="4"/>
        <v>143.87424857493218</v>
      </c>
      <c r="F44" s="307">
        <f t="shared" si="4"/>
        <v>148.05935641009009</v>
      </c>
      <c r="G44" s="307">
        <f t="shared" si="4"/>
        <v>153.46743774305239</v>
      </c>
      <c r="H44" s="307">
        <f t="shared" si="4"/>
        <v>158.62682870701633</v>
      </c>
      <c r="I44" s="307">
        <f t="shared" si="4"/>
        <v>165.78628545383515</v>
      </c>
      <c r="J44" s="307">
        <f t="shared" si="4"/>
        <v>172.37349555583504</v>
      </c>
      <c r="K44" s="307">
        <f t="shared" si="4"/>
        <v>178.79583970672292</v>
      </c>
      <c r="L44" s="307">
        <f t="shared" ref="L44:L53" si="5">K341</f>
        <v>182.88224385507453</v>
      </c>
      <c r="M44" s="307">
        <f t="shared" ref="M44:M53" si="6">L341</f>
        <v>184.91306569271813</v>
      </c>
      <c r="N44" s="307">
        <f t="shared" ref="N44:N53" si="7">M341</f>
        <v>185.82942066691291</v>
      </c>
    </row>
    <row r="45" spans="2:14">
      <c r="B45" s="363" t="str">
        <f t="shared" si="3"/>
        <v>30-34</v>
      </c>
      <c r="C45" s="307">
        <f t="shared" si="3"/>
        <v>227.83861672810889</v>
      </c>
      <c r="D45" s="307">
        <f t="shared" si="4"/>
        <v>212.6129535992637</v>
      </c>
      <c r="E45" s="307">
        <f t="shared" si="4"/>
        <v>201.83286297223833</v>
      </c>
      <c r="F45" s="307">
        <f t="shared" si="4"/>
        <v>193.45559794186784</v>
      </c>
      <c r="G45" s="307">
        <f t="shared" si="4"/>
        <v>188.18675532226123</v>
      </c>
      <c r="H45" s="307">
        <f t="shared" si="4"/>
        <v>185.13762036594579</v>
      </c>
      <c r="I45" s="307">
        <f t="shared" si="4"/>
        <v>185.01234350742104</v>
      </c>
      <c r="J45" s="307">
        <f t="shared" si="4"/>
        <v>186.370863695552</v>
      </c>
      <c r="K45" s="307">
        <f t="shared" si="4"/>
        <v>189.0013542099644</v>
      </c>
      <c r="L45" s="307">
        <f t="shared" si="5"/>
        <v>191.50800761246569</v>
      </c>
      <c r="M45" s="307">
        <f t="shared" si="6"/>
        <v>193.53587091080357</v>
      </c>
      <c r="N45" s="307">
        <f t="shared" si="7"/>
        <v>195.16329882899029</v>
      </c>
    </row>
    <row r="46" spans="2:14">
      <c r="B46" s="363" t="str">
        <f t="shared" si="3"/>
        <v>35-39</v>
      </c>
      <c r="C46" s="307">
        <f t="shared" si="3"/>
        <v>221.662827250818</v>
      </c>
      <c r="D46" s="307">
        <f t="shared" si="4"/>
        <v>219.70892636087191</v>
      </c>
      <c r="E46" s="307">
        <f t="shared" si="4"/>
        <v>216.15159514273549</v>
      </c>
      <c r="F46" s="307">
        <f t="shared" si="4"/>
        <v>210.66124357359587</v>
      </c>
      <c r="G46" s="307">
        <f t="shared" si="4"/>
        <v>205.139181632727</v>
      </c>
      <c r="H46" s="307">
        <f t="shared" si="4"/>
        <v>199.93235370963106</v>
      </c>
      <c r="I46" s="307">
        <f t="shared" si="4"/>
        <v>196.31085978785745</v>
      </c>
      <c r="J46" s="307">
        <f t="shared" si="4"/>
        <v>193.65119093815491</v>
      </c>
      <c r="K46" s="307">
        <f t="shared" si="4"/>
        <v>192.18102812578047</v>
      </c>
      <c r="L46" s="307">
        <f t="shared" si="5"/>
        <v>191.09292646617087</v>
      </c>
      <c r="M46" s="307">
        <f t="shared" si="6"/>
        <v>190.30523147648103</v>
      </c>
      <c r="N46" s="307">
        <f t="shared" si="7"/>
        <v>189.89885236947532</v>
      </c>
    </row>
    <row r="47" spans="2:14">
      <c r="B47" s="363" t="str">
        <f t="shared" si="3"/>
        <v>40-44</v>
      </c>
      <c r="C47" s="307">
        <f t="shared" si="3"/>
        <v>164.43478033505522</v>
      </c>
      <c r="D47" s="307">
        <f t="shared" si="4"/>
        <v>172.89218421262379</v>
      </c>
      <c r="E47" s="307">
        <f t="shared" si="4"/>
        <v>179.47879268346009</v>
      </c>
      <c r="F47" s="307">
        <f t="shared" si="4"/>
        <v>183.01726767002029</v>
      </c>
      <c r="G47" s="307">
        <f t="shared" si="4"/>
        <v>184.77009905139684</v>
      </c>
      <c r="H47" s="307">
        <f t="shared" si="4"/>
        <v>184.97766687867141</v>
      </c>
      <c r="I47" s="307">
        <f t="shared" si="4"/>
        <v>184.90544183893221</v>
      </c>
      <c r="J47" s="307">
        <f t="shared" si="4"/>
        <v>184.2468813930422</v>
      </c>
      <c r="K47" s="307">
        <f t="shared" si="4"/>
        <v>183.49654587752278</v>
      </c>
      <c r="L47" s="307">
        <f t="shared" si="5"/>
        <v>182.24917148657465</v>
      </c>
      <c r="M47" s="307">
        <f t="shared" si="6"/>
        <v>180.73555553973199</v>
      </c>
      <c r="N47" s="307">
        <f t="shared" si="7"/>
        <v>179.29341065310092</v>
      </c>
    </row>
    <row r="48" spans="2:14">
      <c r="B48" s="363" t="str">
        <f t="shared" si="3"/>
        <v>45-49</v>
      </c>
      <c r="C48" s="307">
        <f t="shared" si="3"/>
        <v>140.75306853486089</v>
      </c>
      <c r="D48" s="307">
        <f t="shared" si="4"/>
        <v>141.49668403110962</v>
      </c>
      <c r="E48" s="307">
        <f t="shared" si="4"/>
        <v>144.12862609212371</v>
      </c>
      <c r="F48" s="307">
        <f t="shared" si="4"/>
        <v>146.72593716923492</v>
      </c>
      <c r="G48" s="307">
        <f t="shared" si="4"/>
        <v>149.40482844236527</v>
      </c>
      <c r="H48" s="307">
        <f t="shared" si="4"/>
        <v>151.6465114028899</v>
      </c>
      <c r="I48" s="307">
        <f t="shared" si="4"/>
        <v>153.92644152234726</v>
      </c>
      <c r="J48" s="307">
        <f t="shared" si="4"/>
        <v>155.6474815651506</v>
      </c>
      <c r="K48" s="307">
        <f t="shared" si="4"/>
        <v>156.98032499381122</v>
      </c>
      <c r="L48" s="307">
        <f t="shared" si="5"/>
        <v>157.49305174758894</v>
      </c>
      <c r="M48" s="307">
        <f t="shared" si="6"/>
        <v>157.33564204321902</v>
      </c>
      <c r="N48" s="307">
        <f t="shared" si="7"/>
        <v>156.80537300767571</v>
      </c>
    </row>
    <row r="49" spans="1:14">
      <c r="B49" s="363" t="str">
        <f t="shared" si="3"/>
        <v>50-54</v>
      </c>
      <c r="C49" s="307">
        <f t="shared" si="3"/>
        <v>105.59387101563055</v>
      </c>
      <c r="D49" s="307">
        <f t="shared" si="4"/>
        <v>105.75538993351135</v>
      </c>
      <c r="E49" s="307">
        <f t="shared" si="4"/>
        <v>106.38768475180638</v>
      </c>
      <c r="F49" s="307">
        <f t="shared" si="4"/>
        <v>106.90045533670897</v>
      </c>
      <c r="G49" s="307">
        <f t="shared" si="4"/>
        <v>107.81102654544254</v>
      </c>
      <c r="H49" s="307">
        <f t="shared" si="4"/>
        <v>108.89628322330448</v>
      </c>
      <c r="I49" s="307">
        <f t="shared" si="4"/>
        <v>110.49998843774424</v>
      </c>
      <c r="J49" s="307">
        <f t="shared" si="4"/>
        <v>112.08801690120848</v>
      </c>
      <c r="K49" s="307">
        <f t="shared" si="4"/>
        <v>113.66164926605985</v>
      </c>
      <c r="L49" s="307">
        <f t="shared" si="5"/>
        <v>114.77757587240632</v>
      </c>
      <c r="M49" s="307">
        <f t="shared" si="6"/>
        <v>115.44027626370119</v>
      </c>
      <c r="N49" s="307">
        <f t="shared" si="7"/>
        <v>115.7851709936305</v>
      </c>
    </row>
    <row r="50" spans="1:14">
      <c r="B50" s="363" t="str">
        <f t="shared" si="3"/>
        <v>55-59</v>
      </c>
      <c r="C50" s="307">
        <f t="shared" si="3"/>
        <v>82.318131417725269</v>
      </c>
      <c r="D50" s="307">
        <f t="shared" si="4"/>
        <v>68.134456699489064</v>
      </c>
      <c r="E50" s="307">
        <f t="shared" si="4"/>
        <v>60.018135546114848</v>
      </c>
      <c r="F50" s="307">
        <f t="shared" si="4"/>
        <v>55.027177253050432</v>
      </c>
      <c r="G50" s="307">
        <f t="shared" si="4"/>
        <v>52.202937559895673</v>
      </c>
      <c r="H50" s="307">
        <f t="shared" si="4"/>
        <v>50.637287161708073</v>
      </c>
      <c r="I50" s="307">
        <f t="shared" si="4"/>
        <v>50.164346710374147</v>
      </c>
      <c r="J50" s="307">
        <f t="shared" si="4"/>
        <v>50.148777902977933</v>
      </c>
      <c r="K50" s="307">
        <f t="shared" si="4"/>
        <v>50.467384897051744</v>
      </c>
      <c r="L50" s="307">
        <f t="shared" si="5"/>
        <v>50.724247942914062</v>
      </c>
      <c r="M50" s="307">
        <f t="shared" si="6"/>
        <v>50.889559293555315</v>
      </c>
      <c r="N50" s="307">
        <f t="shared" si="7"/>
        <v>51.018167448927045</v>
      </c>
    </row>
    <row r="51" spans="1:14">
      <c r="B51" s="363" t="str">
        <f t="shared" si="3"/>
        <v>60-64</v>
      </c>
      <c r="C51" s="307">
        <f t="shared" si="3"/>
        <v>28.042153972928539</v>
      </c>
      <c r="D51" s="307">
        <f t="shared" si="4"/>
        <v>25.247524704972783</v>
      </c>
      <c r="E51" s="307">
        <f t="shared" si="4"/>
        <v>22.321607137253519</v>
      </c>
      <c r="F51" s="307">
        <f t="shared" si="4"/>
        <v>19.799436236473575</v>
      </c>
      <c r="G51" s="307">
        <f t="shared" si="4"/>
        <v>18.011121119364635</v>
      </c>
      <c r="H51" s="307">
        <f t="shared" si="4"/>
        <v>16.796164634466692</v>
      </c>
      <c r="I51" s="307">
        <f t="shared" si="4"/>
        <v>16.166223051517004</v>
      </c>
      <c r="J51" s="307">
        <f t="shared" si="4"/>
        <v>15.819096016546416</v>
      </c>
      <c r="K51" s="307">
        <f t="shared" si="4"/>
        <v>15.695367724991559</v>
      </c>
      <c r="L51" s="307">
        <f t="shared" si="5"/>
        <v>15.593398873606084</v>
      </c>
      <c r="M51" s="307">
        <f t="shared" si="6"/>
        <v>15.500746758896291</v>
      </c>
      <c r="N51" s="307">
        <f t="shared" si="7"/>
        <v>15.442998035838723</v>
      </c>
    </row>
    <row r="52" spans="1:14">
      <c r="B52" s="363" t="str">
        <f t="shared" si="3"/>
        <v>65 plus</v>
      </c>
      <c r="C52" s="307">
        <f t="shared" si="3"/>
        <v>6.1888206837841215</v>
      </c>
      <c r="D52" s="307">
        <f t="shared" si="4"/>
        <v>6.7975537382710254</v>
      </c>
      <c r="E52" s="307">
        <f t="shared" si="4"/>
        <v>6.8564870226604455</v>
      </c>
      <c r="F52" s="307">
        <f t="shared" si="4"/>
        <v>6.5397437734305583</v>
      </c>
      <c r="G52" s="307">
        <f t="shared" si="4"/>
        <v>6.1054033798707668</v>
      </c>
      <c r="H52" s="307">
        <f t="shared" si="4"/>
        <v>5.676443179424191</v>
      </c>
      <c r="I52" s="307">
        <f t="shared" si="4"/>
        <v>5.3514385412733816</v>
      </c>
      <c r="J52" s="307">
        <f t="shared" si="4"/>
        <v>5.112420247154172</v>
      </c>
      <c r="K52" s="307">
        <f t="shared" si="4"/>
        <v>4.9580507825988755</v>
      </c>
      <c r="L52" s="307">
        <f t="shared" si="5"/>
        <v>4.8415523100639088</v>
      </c>
      <c r="M52" s="307">
        <f t="shared" si="6"/>
        <v>4.7493153898692322</v>
      </c>
      <c r="N52" s="307">
        <f t="shared" si="7"/>
        <v>4.6815104591337517</v>
      </c>
    </row>
    <row r="53" spans="1:14">
      <c r="B53" s="363" t="str">
        <f t="shared" si="3"/>
        <v>Total</v>
      </c>
      <c r="C53" s="307">
        <f t="shared" si="3"/>
        <v>1146.2529903583759</v>
      </c>
      <c r="D53" s="307">
        <f t="shared" si="4"/>
        <v>1141.3922629453664</v>
      </c>
      <c r="E53" s="307">
        <f t="shared" si="4"/>
        <v>1147.8322028609193</v>
      </c>
      <c r="F53" s="307">
        <f t="shared" si="4"/>
        <v>1147.2368069284328</v>
      </c>
      <c r="G53" s="307">
        <f t="shared" si="4"/>
        <v>1149.9172762337098</v>
      </c>
      <c r="H53" s="307">
        <f t="shared" si="4"/>
        <v>1152.4666290480407</v>
      </c>
      <c r="I53" s="307">
        <f t="shared" si="4"/>
        <v>1164.3831289573973</v>
      </c>
      <c r="J53" s="307">
        <f t="shared" si="4"/>
        <v>1176.2961810519209</v>
      </c>
      <c r="K53" s="307">
        <f t="shared" si="4"/>
        <v>1190.0733074151574</v>
      </c>
      <c r="L53" s="307">
        <f t="shared" si="5"/>
        <v>1197.5423537635997</v>
      </c>
      <c r="M53" s="307">
        <f t="shared" si="6"/>
        <v>1199.6820595653871</v>
      </c>
      <c r="N53" s="307">
        <f t="shared" si="7"/>
        <v>1199.5870771378634</v>
      </c>
    </row>
    <row r="54" spans="1:14">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4">
      <c r="B56" s="341" t="s">
        <v>50</v>
      </c>
      <c r="H56" s="325"/>
    </row>
    <row r="57" spans="1:14">
      <c r="H57" s="325"/>
    </row>
    <row r="58" spans="1:14">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4">
      <c r="B59" s="338" t="str">
        <f t="shared" si="9"/>
        <v>20-24</v>
      </c>
      <c r="C59" s="307">
        <f t="shared" ref="C59:C69" si="11">D21</f>
        <v>127.34696425482707</v>
      </c>
      <c r="D59" s="307">
        <f>C356</f>
        <v>190.48945229542068</v>
      </c>
      <c r="E59" s="307">
        <f t="shared" ref="E59:L59" si="12">D356</f>
        <v>242.53030414180847</v>
      </c>
      <c r="F59" s="307">
        <f t="shared" si="12"/>
        <v>272.27138174964591</v>
      </c>
      <c r="G59" s="307">
        <f t="shared" si="12"/>
        <v>294.99452743956942</v>
      </c>
      <c r="H59" s="307">
        <f t="shared" si="12"/>
        <v>310.47203188561014</v>
      </c>
      <c r="I59" s="307">
        <f t="shared" si="12"/>
        <v>329.35808912121706</v>
      </c>
      <c r="J59" s="307">
        <f t="shared" si="12"/>
        <v>343.55461130730737</v>
      </c>
      <c r="K59" s="307">
        <f t="shared" si="12"/>
        <v>356.15593620554512</v>
      </c>
      <c r="L59" s="307">
        <f t="shared" si="12"/>
        <v>360.74222573955319</v>
      </c>
      <c r="M59" s="307">
        <f>L356</f>
        <v>359.95264619818209</v>
      </c>
      <c r="N59" s="307">
        <f>M356</f>
        <v>357.58811372651707</v>
      </c>
    </row>
    <row r="60" spans="1:14">
      <c r="B60" s="338" t="str">
        <f t="shared" si="9"/>
        <v>25-29</v>
      </c>
      <c r="C60" s="307">
        <f t="shared" si="11"/>
        <v>712.28374211887808</v>
      </c>
      <c r="D60" s="307">
        <f t="shared" ref="D60:K69" si="13">C357</f>
        <v>643.67873040651364</v>
      </c>
      <c r="E60" s="307">
        <f t="shared" si="13"/>
        <v>612.53506784788738</v>
      </c>
      <c r="F60" s="307">
        <f t="shared" si="13"/>
        <v>591.72446875686364</v>
      </c>
      <c r="G60" s="307">
        <f t="shared" si="13"/>
        <v>583.56363261491492</v>
      </c>
      <c r="H60" s="307">
        <f t="shared" si="13"/>
        <v>581.0037578738627</v>
      </c>
      <c r="I60" s="307">
        <f t="shared" si="13"/>
        <v>590.06623918975481</v>
      </c>
      <c r="J60" s="307">
        <f t="shared" si="13"/>
        <v>600.8291152863012</v>
      </c>
      <c r="K60" s="307">
        <f t="shared" si="13"/>
        <v>613.78538604942787</v>
      </c>
      <c r="L60" s="307">
        <f t="shared" ref="L60:L69" si="14">K357</f>
        <v>620.93484656706357</v>
      </c>
      <c r="M60" s="307">
        <f t="shared" ref="M60:M69" si="15">L357</f>
        <v>622.7630468119446</v>
      </c>
      <c r="N60" s="307">
        <f t="shared" ref="N60:N69" si="16">M357</f>
        <v>622.08547886868087</v>
      </c>
    </row>
    <row r="61" spans="1:14">
      <c r="B61" s="338" t="str">
        <f t="shared" si="9"/>
        <v>30-34</v>
      </c>
      <c r="C61" s="307">
        <f t="shared" si="11"/>
        <v>1006.6496751964177</v>
      </c>
      <c r="D61" s="307">
        <f t="shared" si="13"/>
        <v>916.48888049198888</v>
      </c>
      <c r="E61" s="307">
        <f t="shared" si="13"/>
        <v>841.6965020557534</v>
      </c>
      <c r="F61" s="307">
        <f t="shared" si="13"/>
        <v>777.58921356696203</v>
      </c>
      <c r="G61" s="307">
        <f t="shared" si="13"/>
        <v>727.73679541357888</v>
      </c>
      <c r="H61" s="307">
        <f t="shared" si="13"/>
        <v>689.45706318172893</v>
      </c>
      <c r="I61" s="307">
        <f t="shared" si="13"/>
        <v>665.05573454708042</v>
      </c>
      <c r="J61" s="307">
        <f t="shared" si="13"/>
        <v>649.25861517263456</v>
      </c>
      <c r="K61" s="307">
        <f t="shared" si="13"/>
        <v>640.9550851451088</v>
      </c>
      <c r="L61" s="307">
        <f t="shared" si="14"/>
        <v>634.99569798673076</v>
      </c>
      <c r="M61" s="307">
        <f t="shared" si="15"/>
        <v>629.8637148057328</v>
      </c>
      <c r="N61" s="307">
        <f t="shared" si="16"/>
        <v>625.52449447051777</v>
      </c>
    </row>
    <row r="62" spans="1:14">
      <c r="B62" s="338" t="str">
        <f t="shared" si="9"/>
        <v>35-39</v>
      </c>
      <c r="C62" s="307">
        <f t="shared" si="11"/>
        <v>783.59952565432047</v>
      </c>
      <c r="D62" s="307">
        <f t="shared" si="13"/>
        <v>798.35846523737086</v>
      </c>
      <c r="E62" s="307">
        <f t="shared" si="13"/>
        <v>795.19815162936948</v>
      </c>
      <c r="F62" s="307">
        <f t="shared" si="13"/>
        <v>776.4049177002305</v>
      </c>
      <c r="G62" s="307">
        <f t="shared" si="13"/>
        <v>751.3343896461688</v>
      </c>
      <c r="H62" s="307">
        <f t="shared" si="13"/>
        <v>723.44581753504372</v>
      </c>
      <c r="I62" s="307">
        <f t="shared" si="13"/>
        <v>698.75845640604655</v>
      </c>
      <c r="J62" s="307">
        <f t="shared" si="13"/>
        <v>676.36813413751179</v>
      </c>
      <c r="K62" s="307">
        <f t="shared" si="13"/>
        <v>657.89295102862241</v>
      </c>
      <c r="L62" s="307">
        <f t="shared" si="14"/>
        <v>641.15511360545315</v>
      </c>
      <c r="M62" s="307">
        <f t="shared" si="15"/>
        <v>626.25240903715269</v>
      </c>
      <c r="N62" s="307">
        <f t="shared" si="16"/>
        <v>613.68127325458818</v>
      </c>
    </row>
    <row r="63" spans="1:14">
      <c r="B63" s="338" t="str">
        <f t="shared" si="9"/>
        <v>40-44</v>
      </c>
      <c r="C63" s="307">
        <f t="shared" si="11"/>
        <v>495.92361351030468</v>
      </c>
      <c r="D63" s="307">
        <f t="shared" si="13"/>
        <v>542.60522631537538</v>
      </c>
      <c r="E63" s="307">
        <f t="shared" si="13"/>
        <v>582.02939563765506</v>
      </c>
      <c r="F63" s="307">
        <f t="shared" si="13"/>
        <v>608.20435548742125</v>
      </c>
      <c r="G63" s="307">
        <f t="shared" si="13"/>
        <v>624.54298783656031</v>
      </c>
      <c r="H63" s="307">
        <f t="shared" si="13"/>
        <v>631.74599792801212</v>
      </c>
      <c r="I63" s="307">
        <f t="shared" si="13"/>
        <v>634.4161526298019</v>
      </c>
      <c r="J63" s="307">
        <f t="shared" si="13"/>
        <v>632.06093814377471</v>
      </c>
      <c r="K63" s="307">
        <f t="shared" si="13"/>
        <v>626.97668411034942</v>
      </c>
      <c r="L63" s="307">
        <f t="shared" si="14"/>
        <v>618.40862101267101</v>
      </c>
      <c r="M63" s="307">
        <f t="shared" si="15"/>
        <v>607.69775734433438</v>
      </c>
      <c r="N63" s="307">
        <f t="shared" si="16"/>
        <v>596.46359442598316</v>
      </c>
    </row>
    <row r="64" spans="1:14">
      <c r="B64" s="338" t="str">
        <f t="shared" si="9"/>
        <v>45-49</v>
      </c>
      <c r="C64" s="307">
        <f t="shared" si="11"/>
        <v>301.11208843903404</v>
      </c>
      <c r="D64" s="307">
        <f t="shared" si="13"/>
        <v>337.80143682581985</v>
      </c>
      <c r="E64" s="307">
        <f t="shared" si="13"/>
        <v>375.1301673942329</v>
      </c>
      <c r="F64" s="307">
        <f t="shared" si="13"/>
        <v>407.94874760775377</v>
      </c>
      <c r="G64" s="307">
        <f t="shared" si="13"/>
        <v>437.2704908699248</v>
      </c>
      <c r="H64" s="307">
        <f t="shared" si="13"/>
        <v>461.64557836619139</v>
      </c>
      <c r="I64" s="307">
        <f t="shared" si="13"/>
        <v>482.87962048507035</v>
      </c>
      <c r="J64" s="307">
        <f t="shared" si="13"/>
        <v>499.16545369580882</v>
      </c>
      <c r="K64" s="307">
        <f t="shared" si="13"/>
        <v>511.33340981525987</v>
      </c>
      <c r="L64" s="307">
        <f t="shared" si="14"/>
        <v>518.22842970017473</v>
      </c>
      <c r="M64" s="307">
        <f t="shared" si="15"/>
        <v>520.69307852383349</v>
      </c>
      <c r="N64" s="307">
        <f t="shared" si="16"/>
        <v>520.0796889363711</v>
      </c>
    </row>
    <row r="65" spans="1:14">
      <c r="B65" s="338" t="str">
        <f t="shared" si="9"/>
        <v>50-54</v>
      </c>
      <c r="C65" s="307">
        <f t="shared" si="11"/>
        <v>218.02812303970668</v>
      </c>
      <c r="D65" s="307">
        <f t="shared" si="13"/>
        <v>226.74667498029086</v>
      </c>
      <c r="E65" s="307">
        <f t="shared" si="13"/>
        <v>240.74781535332366</v>
      </c>
      <c r="F65" s="307">
        <f t="shared" si="13"/>
        <v>255.94601562654412</v>
      </c>
      <c r="G65" s="307">
        <f t="shared" si="13"/>
        <v>272.84272266362666</v>
      </c>
      <c r="H65" s="307">
        <f t="shared" si="13"/>
        <v>289.90939194497247</v>
      </c>
      <c r="I65" s="307">
        <f t="shared" si="13"/>
        <v>307.80971751265247</v>
      </c>
      <c r="J65" s="307">
        <f t="shared" si="13"/>
        <v>324.42347825132606</v>
      </c>
      <c r="K65" s="307">
        <f t="shared" si="13"/>
        <v>339.56999400387025</v>
      </c>
      <c r="L65" s="307">
        <f t="shared" si="14"/>
        <v>351.66806019881363</v>
      </c>
      <c r="M65" s="307">
        <f t="shared" si="15"/>
        <v>360.72897361633602</v>
      </c>
      <c r="N65" s="307">
        <f t="shared" si="16"/>
        <v>367.26612638891743</v>
      </c>
    </row>
    <row r="66" spans="1:14">
      <c r="B66" s="338" t="str">
        <f t="shared" si="9"/>
        <v>55-59</v>
      </c>
      <c r="C66" s="307">
        <f t="shared" si="11"/>
        <v>156.810522136017</v>
      </c>
      <c r="D66" s="307">
        <f t="shared" si="13"/>
        <v>139.09081332765871</v>
      </c>
      <c r="E66" s="307">
        <f t="shared" si="13"/>
        <v>130.67102527470914</v>
      </c>
      <c r="F66" s="307">
        <f t="shared" si="13"/>
        <v>126.79333700721108</v>
      </c>
      <c r="G66" s="307">
        <f t="shared" si="13"/>
        <v>126.93675361351787</v>
      </c>
      <c r="H66" s="307">
        <f t="shared" si="13"/>
        <v>129.4588823086375</v>
      </c>
      <c r="I66" s="307">
        <f t="shared" si="13"/>
        <v>134.513728091182</v>
      </c>
      <c r="J66" s="307">
        <f t="shared" si="13"/>
        <v>140.3102621111403</v>
      </c>
      <c r="K66" s="307">
        <f t="shared" si="13"/>
        <v>146.5793015683123</v>
      </c>
      <c r="L66" s="307">
        <f t="shared" si="14"/>
        <v>152.04313081053343</v>
      </c>
      <c r="M66" s="307">
        <f t="shared" si="15"/>
        <v>156.61185802727954</v>
      </c>
      <c r="N66" s="307">
        <f t="shared" si="16"/>
        <v>160.47559837468529</v>
      </c>
    </row>
    <row r="67" spans="1:14">
      <c r="B67" s="338" t="str">
        <f t="shared" si="9"/>
        <v>60-64</v>
      </c>
      <c r="C67" s="307">
        <f t="shared" si="11"/>
        <v>58.090902742275098</v>
      </c>
      <c r="D67" s="307">
        <f t="shared" si="13"/>
        <v>50.791213400347388</v>
      </c>
      <c r="E67" s="307">
        <f t="shared" si="13"/>
        <v>45.842994565023623</v>
      </c>
      <c r="F67" s="307">
        <f t="shared" si="13"/>
        <v>42.15098627590254</v>
      </c>
      <c r="G67" s="307">
        <f t="shared" si="13"/>
        <v>40.105769921178947</v>
      </c>
      <c r="H67" s="307">
        <f t="shared" si="13"/>
        <v>39.138702457148852</v>
      </c>
      <c r="I67" s="307">
        <f t="shared" si="13"/>
        <v>39.469291180568959</v>
      </c>
      <c r="J67" s="307">
        <f t="shared" si="13"/>
        <v>40.245357334358303</v>
      </c>
      <c r="K67" s="307">
        <f t="shared" si="13"/>
        <v>41.41904125922872</v>
      </c>
      <c r="L67" s="307">
        <f t="shared" si="14"/>
        <v>42.404155715977055</v>
      </c>
      <c r="M67" s="307">
        <f t="shared" si="15"/>
        <v>43.231569167410477</v>
      </c>
      <c r="N67" s="307">
        <f t="shared" si="16"/>
        <v>44.023717732095619</v>
      </c>
    </row>
    <row r="68" spans="1:14">
      <c r="B68" s="338" t="str">
        <f t="shared" si="9"/>
        <v>65 plus</v>
      </c>
      <c r="C68" s="307">
        <f t="shared" si="11"/>
        <v>5.0793743343998701</v>
      </c>
      <c r="D68" s="307">
        <f t="shared" si="13"/>
        <v>9.845666784231053</v>
      </c>
      <c r="E68" s="307">
        <f t="shared" si="13"/>
        <v>11.597787758624939</v>
      </c>
      <c r="F68" s="307">
        <f t="shared" si="13"/>
        <v>11.86232892384082</v>
      </c>
      <c r="G68" s="307">
        <f t="shared" si="13"/>
        <v>11.650115532737091</v>
      </c>
      <c r="H68" s="307">
        <f t="shared" si="13"/>
        <v>11.329910331579686</v>
      </c>
      <c r="I68" s="307">
        <f t="shared" si="13"/>
        <v>11.19621342802763</v>
      </c>
      <c r="J68" s="307">
        <f t="shared" si="13"/>
        <v>11.173834021015253</v>
      </c>
      <c r="K68" s="307">
        <f t="shared" si="13"/>
        <v>11.278222976717471</v>
      </c>
      <c r="L68" s="307">
        <f t="shared" si="14"/>
        <v>11.37853175977393</v>
      </c>
      <c r="M68" s="307">
        <f t="shared" si="15"/>
        <v>11.463366904245415</v>
      </c>
      <c r="N68" s="307">
        <f t="shared" si="16"/>
        <v>11.559875485753889</v>
      </c>
    </row>
    <row r="69" spans="1:14">
      <c r="B69" s="338" t="str">
        <f t="shared" si="9"/>
        <v>Total</v>
      </c>
      <c r="C69" s="307">
        <f t="shared" si="11"/>
        <v>3864.9245314261802</v>
      </c>
      <c r="D69" s="307">
        <f t="shared" si="13"/>
        <v>3855.8965600650172</v>
      </c>
      <c r="E69" s="307">
        <f t="shared" si="13"/>
        <v>3877.979211658389</v>
      </c>
      <c r="F69" s="307">
        <f t="shared" si="13"/>
        <v>3870.8957527023758</v>
      </c>
      <c r="G69" s="307">
        <f t="shared" si="13"/>
        <v>3870.9781855517772</v>
      </c>
      <c r="H69" s="307">
        <f t="shared" si="13"/>
        <v>3867.6071338127877</v>
      </c>
      <c r="I69" s="307">
        <f t="shared" si="13"/>
        <v>3893.5232425914023</v>
      </c>
      <c r="J69" s="307">
        <f t="shared" si="13"/>
        <v>3917.3897994611784</v>
      </c>
      <c r="K69" s="307">
        <f t="shared" si="13"/>
        <v>3945.9460121624429</v>
      </c>
      <c r="L69" s="307">
        <f t="shared" si="14"/>
        <v>3951.958813096745</v>
      </c>
      <c r="M69" s="307">
        <f t="shared" si="15"/>
        <v>3939.2584204364521</v>
      </c>
      <c r="N69" s="307">
        <f t="shared" si="16"/>
        <v>3918.7479616641099</v>
      </c>
    </row>
    <row r="70" spans="1:14">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4" ht="15.75">
      <c r="B72" s="340" t="s">
        <v>150</v>
      </c>
      <c r="H72" s="325"/>
    </row>
    <row r="73" spans="1:14">
      <c r="H73" s="325"/>
    </row>
    <row r="74" spans="1:14">
      <c r="B74" s="341" t="s">
        <v>49</v>
      </c>
      <c r="C74" s="262" t="s">
        <v>453</v>
      </c>
      <c r="H74" s="325"/>
    </row>
    <row r="75" spans="1:14">
      <c r="H75" s="325"/>
    </row>
    <row r="76" spans="1:14">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4">
      <c r="B77" s="338" t="str">
        <f t="shared" si="18"/>
        <v>20-24</v>
      </c>
      <c r="C77" s="459">
        <f>C43-(0.2*C43)</f>
        <v>22.168287526080757</v>
      </c>
      <c r="D77" s="459">
        <f>D43-(0.2*D43)</f>
        <v>39.446723045695691</v>
      </c>
      <c r="E77" s="459">
        <f t="shared" ref="E77:N77" si="20">E43-(0.2*E43)</f>
        <v>53.425730350075433</v>
      </c>
      <c r="F77" s="459">
        <f t="shared" si="20"/>
        <v>61.640473251168167</v>
      </c>
      <c r="G77" s="459">
        <f t="shared" si="20"/>
        <v>67.854788349866794</v>
      </c>
      <c r="H77" s="459">
        <f t="shared" si="20"/>
        <v>72.111575827986059</v>
      </c>
      <c r="I77" s="459">
        <f t="shared" si="20"/>
        <v>77.007808084876459</v>
      </c>
      <c r="J77" s="459">
        <f t="shared" si="20"/>
        <v>80.670365469039467</v>
      </c>
      <c r="K77" s="459">
        <f t="shared" si="20"/>
        <v>83.86860946452299</v>
      </c>
      <c r="L77" s="459">
        <f t="shared" si="20"/>
        <v>85.104142077387948</v>
      </c>
      <c r="M77" s="459">
        <f t="shared" si="20"/>
        <v>85.021436957129211</v>
      </c>
      <c r="N77" s="459">
        <f t="shared" si="20"/>
        <v>84.53509973934267</v>
      </c>
    </row>
    <row r="78" spans="1:14">
      <c r="B78" s="338" t="str">
        <f t="shared" si="18"/>
        <v>25-29</v>
      </c>
      <c r="C78" s="459">
        <f t="shared" ref="C78:C85" si="21">C44+(0.2*C43)-(0.2*C44)</f>
        <v>118.91036069101099</v>
      </c>
      <c r="D78" s="459">
        <f t="shared" ref="D78:N78" si="22">D44+(0.2*D43)-(0.2*D44)</f>
        <v>121.41222944793057</v>
      </c>
      <c r="E78" s="459">
        <f t="shared" si="22"/>
        <v>128.45583144746462</v>
      </c>
      <c r="F78" s="459">
        <f t="shared" si="22"/>
        <v>133.8576034408641</v>
      </c>
      <c r="G78" s="459">
        <f t="shared" si="22"/>
        <v>139.73764728190861</v>
      </c>
      <c r="H78" s="459">
        <f t="shared" si="22"/>
        <v>144.92935692260957</v>
      </c>
      <c r="I78" s="459">
        <f t="shared" si="22"/>
        <v>151.88098038428723</v>
      </c>
      <c r="J78" s="459">
        <f t="shared" si="22"/>
        <v>158.06638781192788</v>
      </c>
      <c r="K78" s="459">
        <f t="shared" si="22"/>
        <v>164.00382413150908</v>
      </c>
      <c r="L78" s="459">
        <f t="shared" si="22"/>
        <v>167.58183060340662</v>
      </c>
      <c r="M78" s="459">
        <f t="shared" si="22"/>
        <v>169.18581179345682</v>
      </c>
      <c r="N78" s="459">
        <f t="shared" si="22"/>
        <v>169.79731146836599</v>
      </c>
    </row>
    <row r="79" spans="1:14">
      <c r="B79" s="338" t="str">
        <f t="shared" si="18"/>
        <v>30-34</v>
      </c>
      <c r="C79" s="459">
        <f t="shared" si="21"/>
        <v>210.61296558485984</v>
      </c>
      <c r="D79" s="459">
        <f t="shared" ref="D79:N79" si="23">D45+(0.2*D44)-(0.2*D45)</f>
        <v>197.97800005103761</v>
      </c>
      <c r="E79" s="459">
        <f t="shared" si="23"/>
        <v>190.2411400927771</v>
      </c>
      <c r="F79" s="459">
        <f t="shared" si="23"/>
        <v>184.3763496355123</v>
      </c>
      <c r="G79" s="459">
        <f t="shared" si="23"/>
        <v>181.24289180641946</v>
      </c>
      <c r="H79" s="459">
        <f t="shared" si="23"/>
        <v>179.83546203415989</v>
      </c>
      <c r="I79" s="459">
        <f t="shared" si="23"/>
        <v>181.16713189670386</v>
      </c>
      <c r="J79" s="459">
        <f t="shared" si="23"/>
        <v>183.5713900676086</v>
      </c>
      <c r="K79" s="459">
        <f t="shared" si="23"/>
        <v>186.96025130931611</v>
      </c>
      <c r="L79" s="459">
        <f t="shared" si="23"/>
        <v>189.78285486098744</v>
      </c>
      <c r="M79" s="459">
        <f t="shared" si="23"/>
        <v>191.81130986718648</v>
      </c>
      <c r="N79" s="459">
        <f t="shared" si="23"/>
        <v>193.29652319657481</v>
      </c>
    </row>
    <row r="80" spans="1:14">
      <c r="B80" s="338" t="str">
        <f t="shared" si="18"/>
        <v>35-39</v>
      </c>
      <c r="C80" s="459">
        <f t="shared" si="21"/>
        <v>222.8979851462762</v>
      </c>
      <c r="D80" s="459">
        <f t="shared" ref="D80:N80" si="24">D46+(0.2*D45)-(0.2*D46)</f>
        <v>218.28973180855024</v>
      </c>
      <c r="E80" s="459">
        <f t="shared" si="24"/>
        <v>213.28784870863603</v>
      </c>
      <c r="F80" s="459">
        <f t="shared" si="24"/>
        <v>207.22011444725027</v>
      </c>
      <c r="G80" s="459">
        <f t="shared" si="24"/>
        <v>201.74869637063384</v>
      </c>
      <c r="H80" s="459">
        <f t="shared" si="24"/>
        <v>196.97340704089402</v>
      </c>
      <c r="I80" s="459">
        <f t="shared" si="24"/>
        <v>194.05115653177018</v>
      </c>
      <c r="J80" s="459">
        <f t="shared" si="24"/>
        <v>192.19512548963434</v>
      </c>
      <c r="K80" s="459">
        <f t="shared" si="24"/>
        <v>191.54509334261724</v>
      </c>
      <c r="L80" s="459">
        <f t="shared" si="24"/>
        <v>191.17594269542982</v>
      </c>
      <c r="M80" s="459">
        <f t="shared" si="24"/>
        <v>190.95135936334555</v>
      </c>
      <c r="N80" s="459">
        <f t="shared" si="24"/>
        <v>190.95174166137832</v>
      </c>
    </row>
    <row r="81" spans="1:14">
      <c r="B81" s="338" t="str">
        <f t="shared" si="18"/>
        <v>40-44</v>
      </c>
      <c r="C81" s="459">
        <f t="shared" si="21"/>
        <v>175.88038971820777</v>
      </c>
      <c r="D81" s="459">
        <f t="shared" ref="D81:N81" si="25">D47+(0.2*D46)-(0.2*D47)</f>
        <v>182.25553264227341</v>
      </c>
      <c r="E81" s="459">
        <f t="shared" si="25"/>
        <v>186.81335317531517</v>
      </c>
      <c r="F81" s="459">
        <f t="shared" si="25"/>
        <v>188.54606285073538</v>
      </c>
      <c r="G81" s="459">
        <f t="shared" si="25"/>
        <v>188.84391556766289</v>
      </c>
      <c r="H81" s="459">
        <f t="shared" si="25"/>
        <v>187.96860424486334</v>
      </c>
      <c r="I81" s="459">
        <f t="shared" si="25"/>
        <v>187.18652542871726</v>
      </c>
      <c r="J81" s="459">
        <f t="shared" si="25"/>
        <v>186.12774330206474</v>
      </c>
      <c r="K81" s="459">
        <f t="shared" si="25"/>
        <v>185.23344232717432</v>
      </c>
      <c r="L81" s="459">
        <f t="shared" si="25"/>
        <v>184.0179224824939</v>
      </c>
      <c r="M81" s="459">
        <f t="shared" si="25"/>
        <v>182.6494907270818</v>
      </c>
      <c r="N81" s="459">
        <f t="shared" si="25"/>
        <v>181.41449899637578</v>
      </c>
    </row>
    <row r="82" spans="1:14">
      <c r="B82" s="338" t="str">
        <f t="shared" si="18"/>
        <v>45-49</v>
      </c>
      <c r="C82" s="459">
        <f t="shared" si="21"/>
        <v>145.48941089489978</v>
      </c>
      <c r="D82" s="459">
        <f t="shared" ref="D82:N82" si="26">D48+(0.2*D47)-(0.2*D48)</f>
        <v>147.77578406741245</v>
      </c>
      <c r="E82" s="459">
        <f t="shared" si="26"/>
        <v>151.198659410391</v>
      </c>
      <c r="F82" s="459">
        <f t="shared" si="26"/>
        <v>153.98420326939197</v>
      </c>
      <c r="G82" s="459">
        <f t="shared" si="26"/>
        <v>156.47788256417158</v>
      </c>
      <c r="H82" s="459">
        <f t="shared" si="26"/>
        <v>158.31274249804619</v>
      </c>
      <c r="I82" s="459">
        <f t="shared" si="26"/>
        <v>160.12224158566426</v>
      </c>
      <c r="J82" s="459">
        <f t="shared" si="26"/>
        <v>161.36736153072891</v>
      </c>
      <c r="K82" s="459">
        <f t="shared" si="26"/>
        <v>162.28356917055353</v>
      </c>
      <c r="L82" s="459">
        <f t="shared" si="26"/>
        <v>162.44427569538607</v>
      </c>
      <c r="M82" s="459">
        <f t="shared" si="26"/>
        <v>162.0156247425216</v>
      </c>
      <c r="N82" s="459">
        <f t="shared" si="26"/>
        <v>161.30298053676077</v>
      </c>
    </row>
    <row r="83" spans="1:14">
      <c r="B83" s="338" t="str">
        <f t="shared" si="18"/>
        <v>50-54</v>
      </c>
      <c r="C83" s="459">
        <f t="shared" si="21"/>
        <v>112.62571051947664</v>
      </c>
      <c r="D83" s="459">
        <f t="shared" ref="D83:N83" si="27">D49+(0.2*D48)-(0.2*D49)</f>
        <v>112.90364875303099</v>
      </c>
      <c r="E83" s="459">
        <f t="shared" si="27"/>
        <v>113.93587301986983</v>
      </c>
      <c r="F83" s="459">
        <f t="shared" si="27"/>
        <v>114.86555170321415</v>
      </c>
      <c r="G83" s="459">
        <f t="shared" si="27"/>
        <v>116.12978692482707</v>
      </c>
      <c r="H83" s="459">
        <f t="shared" si="27"/>
        <v>117.44632885922155</v>
      </c>
      <c r="I83" s="459">
        <f t="shared" si="27"/>
        <v>119.18527905466483</v>
      </c>
      <c r="J83" s="459">
        <f t="shared" si="27"/>
        <v>120.79990983399691</v>
      </c>
      <c r="K83" s="459">
        <f t="shared" si="27"/>
        <v>122.32538441161012</v>
      </c>
      <c r="L83" s="459">
        <f t="shared" si="27"/>
        <v>123.32067104744283</v>
      </c>
      <c r="M83" s="459">
        <f t="shared" si="27"/>
        <v>123.81934941960475</v>
      </c>
      <c r="N83" s="459">
        <f t="shared" si="27"/>
        <v>123.98921139643954</v>
      </c>
    </row>
    <row r="84" spans="1:14">
      <c r="B84" s="338" t="str">
        <f t="shared" si="18"/>
        <v>55-59</v>
      </c>
      <c r="C84" s="459">
        <f t="shared" si="21"/>
        <v>86.973279337306323</v>
      </c>
      <c r="D84" s="459">
        <f t="shared" ref="D84:N84" si="28">D50+(0.2*D49)-(0.2*D50)</f>
        <v>75.65864334629353</v>
      </c>
      <c r="E84" s="459">
        <f t="shared" si="28"/>
        <v>69.292045387253154</v>
      </c>
      <c r="F84" s="459">
        <f t="shared" si="28"/>
        <v>65.40183286978214</v>
      </c>
      <c r="G84" s="459">
        <f t="shared" si="28"/>
        <v>63.324555357005053</v>
      </c>
      <c r="H84" s="459">
        <f t="shared" si="28"/>
        <v>62.289086374027349</v>
      </c>
      <c r="I84" s="459">
        <f t="shared" si="28"/>
        <v>62.231475055848165</v>
      </c>
      <c r="J84" s="459">
        <f t="shared" si="28"/>
        <v>62.536625702624036</v>
      </c>
      <c r="K84" s="459">
        <f t="shared" si="28"/>
        <v>63.106237770853376</v>
      </c>
      <c r="L84" s="459">
        <f t="shared" si="28"/>
        <v>63.53491352881251</v>
      </c>
      <c r="M84" s="459">
        <f t="shared" si="28"/>
        <v>63.799702687584492</v>
      </c>
      <c r="N84" s="459">
        <f t="shared" si="28"/>
        <v>63.971568157867743</v>
      </c>
    </row>
    <row r="85" spans="1:14">
      <c r="B85" s="338" t="str">
        <f t="shared" si="18"/>
        <v>60-64</v>
      </c>
      <c r="C85" s="459">
        <f t="shared" si="21"/>
        <v>38.897349461887885</v>
      </c>
      <c r="D85" s="459">
        <f t="shared" ref="D85:N85" si="29">D51+(0.2*D50)-(0.2*D51)</f>
        <v>33.82491110387604</v>
      </c>
      <c r="E85" s="459">
        <f t="shared" si="29"/>
        <v>29.860912819025785</v>
      </c>
      <c r="F85" s="459">
        <f t="shared" si="29"/>
        <v>26.844984439788945</v>
      </c>
      <c r="G85" s="459">
        <f t="shared" si="29"/>
        <v>24.849484407470843</v>
      </c>
      <c r="H85" s="459">
        <f t="shared" si="29"/>
        <v>23.564389139914969</v>
      </c>
      <c r="I85" s="459">
        <f t="shared" si="29"/>
        <v>22.965847783288432</v>
      </c>
      <c r="J85" s="459">
        <f t="shared" si="29"/>
        <v>22.685032393832717</v>
      </c>
      <c r="K85" s="459">
        <f t="shared" si="29"/>
        <v>22.649771159403599</v>
      </c>
      <c r="L85" s="459">
        <f t="shared" si="29"/>
        <v>22.619568687467684</v>
      </c>
      <c r="M85" s="459">
        <f t="shared" si="29"/>
        <v>22.578509265828096</v>
      </c>
      <c r="N85" s="459">
        <f t="shared" si="29"/>
        <v>22.55803191845639</v>
      </c>
    </row>
    <row r="86" spans="1:14">
      <c r="B86" s="338" t="str">
        <f t="shared" si="18"/>
        <v>65 plus</v>
      </c>
      <c r="C86" s="459">
        <f>C52+(0.2*C51)</f>
        <v>11.79725147836983</v>
      </c>
      <c r="D86" s="459">
        <f t="shared" ref="D86:N86" si="30">D52+(0.2*D51)</f>
        <v>11.847058679265583</v>
      </c>
      <c r="E86" s="459">
        <f t="shared" si="30"/>
        <v>11.32080845011115</v>
      </c>
      <c r="F86" s="459">
        <f t="shared" si="30"/>
        <v>10.499631020725273</v>
      </c>
      <c r="G86" s="459">
        <f t="shared" si="30"/>
        <v>9.7076276037436937</v>
      </c>
      <c r="H86" s="459">
        <f t="shared" si="30"/>
        <v>9.0356761063175295</v>
      </c>
      <c r="I86" s="459">
        <f t="shared" si="30"/>
        <v>8.5846831515767832</v>
      </c>
      <c r="J86" s="459">
        <f t="shared" si="30"/>
        <v>8.2762394504634553</v>
      </c>
      <c r="K86" s="459">
        <f t="shared" si="30"/>
        <v>8.0971243275971876</v>
      </c>
      <c r="L86" s="459">
        <f t="shared" si="30"/>
        <v>7.960232084785126</v>
      </c>
      <c r="M86" s="459">
        <f t="shared" si="30"/>
        <v>7.8494647416484904</v>
      </c>
      <c r="N86" s="459">
        <f t="shared" si="30"/>
        <v>7.7701100663014966</v>
      </c>
    </row>
    <row r="87" spans="1:14">
      <c r="B87" s="338" t="str">
        <f t="shared" si="18"/>
        <v>Total</v>
      </c>
      <c r="C87" s="459">
        <f>SUM(C77:C86)</f>
        <v>1146.2529903583761</v>
      </c>
      <c r="D87" s="459">
        <f t="shared" ref="D87:N87" si="31">SUM(D77:D86)</f>
        <v>1141.3922629453662</v>
      </c>
      <c r="E87" s="459">
        <f t="shared" si="31"/>
        <v>1147.8322028609193</v>
      </c>
      <c r="F87" s="459">
        <f t="shared" si="31"/>
        <v>1147.2368069284328</v>
      </c>
      <c r="G87" s="459">
        <f t="shared" si="31"/>
        <v>1149.9172762337098</v>
      </c>
      <c r="H87" s="459">
        <f t="shared" si="31"/>
        <v>1152.4666290480407</v>
      </c>
      <c r="I87" s="459">
        <f t="shared" si="31"/>
        <v>1164.3831289573975</v>
      </c>
      <c r="J87" s="459">
        <f t="shared" si="31"/>
        <v>1176.2961810519209</v>
      </c>
      <c r="K87" s="459">
        <f t="shared" si="31"/>
        <v>1190.0733074151574</v>
      </c>
      <c r="L87" s="459">
        <f t="shared" si="31"/>
        <v>1197.5423537636</v>
      </c>
      <c r="M87" s="459">
        <f t="shared" si="31"/>
        <v>1199.6820595653871</v>
      </c>
      <c r="N87" s="459">
        <f t="shared" si="31"/>
        <v>1199.5870771378634</v>
      </c>
    </row>
    <row r="88" spans="1:14">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4">
      <c r="B90" s="341" t="s">
        <v>50</v>
      </c>
      <c r="H90" s="325"/>
    </row>
    <row r="91" spans="1:14">
      <c r="H91" s="325"/>
    </row>
    <row r="92" spans="1:14">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4">
      <c r="B93" s="338" t="str">
        <f t="shared" si="33"/>
        <v>20-24</v>
      </c>
      <c r="C93" s="459">
        <f>C59-(0.2*C59)</f>
        <v>101.87757140386165</v>
      </c>
      <c r="D93" s="459">
        <f t="shared" ref="D93:N93" si="35">D59-(0.2*D59)</f>
        <v>152.39156183633654</v>
      </c>
      <c r="E93" s="459">
        <f t="shared" si="35"/>
        <v>194.02424331344679</v>
      </c>
      <c r="F93" s="459">
        <f t="shared" si="35"/>
        <v>217.81710539971672</v>
      </c>
      <c r="G93" s="459">
        <f t="shared" si="35"/>
        <v>235.99562195165555</v>
      </c>
      <c r="H93" s="459">
        <f t="shared" si="35"/>
        <v>248.37762550848811</v>
      </c>
      <c r="I93" s="459">
        <f t="shared" si="35"/>
        <v>263.48647129697366</v>
      </c>
      <c r="J93" s="459">
        <f t="shared" si="35"/>
        <v>274.84368904584591</v>
      </c>
      <c r="K93" s="459">
        <f t="shared" si="35"/>
        <v>284.92474896443611</v>
      </c>
      <c r="L93" s="459">
        <f t="shared" si="35"/>
        <v>288.59378059164254</v>
      </c>
      <c r="M93" s="459">
        <f t="shared" si="35"/>
        <v>287.96211695854566</v>
      </c>
      <c r="N93" s="459">
        <f t="shared" si="35"/>
        <v>286.07049098121365</v>
      </c>
    </row>
    <row r="94" spans="1:14">
      <c r="B94" s="338" t="str">
        <f t="shared" si="33"/>
        <v>25-29</v>
      </c>
      <c r="C94" s="459">
        <f t="shared" ref="C94:C101" si="36">C60+(0.2*C59)-(0.2*C60)</f>
        <v>595.29638654606788</v>
      </c>
      <c r="D94" s="459">
        <f t="shared" ref="D94:N94" si="37">D60+(0.2*D59)-(0.2*D60)</f>
        <v>553.04087478429506</v>
      </c>
      <c r="E94" s="459">
        <f t="shared" si="37"/>
        <v>538.53411510667161</v>
      </c>
      <c r="F94" s="459">
        <f t="shared" si="37"/>
        <v>527.83385135542005</v>
      </c>
      <c r="G94" s="459">
        <f t="shared" si="37"/>
        <v>525.84981157984589</v>
      </c>
      <c r="H94" s="459">
        <f t="shared" si="37"/>
        <v>526.89741267621218</v>
      </c>
      <c r="I94" s="459">
        <f t="shared" si="37"/>
        <v>537.92460917604728</v>
      </c>
      <c r="J94" s="459">
        <f t="shared" si="37"/>
        <v>549.37421449050248</v>
      </c>
      <c r="K94" s="459">
        <f t="shared" si="37"/>
        <v>562.25949608065139</v>
      </c>
      <c r="L94" s="459">
        <f t="shared" si="37"/>
        <v>568.89632240156141</v>
      </c>
      <c r="M94" s="459">
        <f t="shared" si="37"/>
        <v>570.20096668919211</v>
      </c>
      <c r="N94" s="459">
        <f t="shared" si="37"/>
        <v>569.18600584024819</v>
      </c>
    </row>
    <row r="95" spans="1:14">
      <c r="B95" s="338" t="str">
        <f t="shared" si="33"/>
        <v>30-34</v>
      </c>
      <c r="C95" s="459">
        <f t="shared" si="36"/>
        <v>947.7764885809097</v>
      </c>
      <c r="D95" s="459">
        <f t="shared" ref="D95:N95" si="38">D61+(0.2*D60)-(0.2*D61)</f>
        <v>861.92685047489374</v>
      </c>
      <c r="E95" s="459">
        <f t="shared" si="38"/>
        <v>795.86421521418015</v>
      </c>
      <c r="F95" s="459">
        <f t="shared" si="38"/>
        <v>740.4162646049424</v>
      </c>
      <c r="G95" s="459">
        <f t="shared" si="38"/>
        <v>698.90216285384599</v>
      </c>
      <c r="H95" s="459">
        <f t="shared" si="38"/>
        <v>667.7664021201557</v>
      </c>
      <c r="I95" s="459">
        <f t="shared" si="38"/>
        <v>650.05783547561532</v>
      </c>
      <c r="J95" s="459">
        <f t="shared" si="38"/>
        <v>639.57271519536789</v>
      </c>
      <c r="K95" s="459">
        <f t="shared" si="38"/>
        <v>635.52114532597261</v>
      </c>
      <c r="L95" s="459">
        <f t="shared" si="38"/>
        <v>632.18352770279739</v>
      </c>
      <c r="M95" s="459">
        <f t="shared" si="38"/>
        <v>628.44358120697518</v>
      </c>
      <c r="N95" s="459">
        <f t="shared" si="38"/>
        <v>624.83669135015032</v>
      </c>
    </row>
    <row r="96" spans="1:14">
      <c r="B96" s="338" t="str">
        <f t="shared" si="33"/>
        <v>35-39</v>
      </c>
      <c r="C96" s="459">
        <f t="shared" si="36"/>
        <v>828.20955556273998</v>
      </c>
      <c r="D96" s="459">
        <f t="shared" ref="D96:N96" si="39">D62+(0.2*D61)-(0.2*D62)</f>
        <v>821.98454828829449</v>
      </c>
      <c r="E96" s="459">
        <f t="shared" si="39"/>
        <v>804.49782171464631</v>
      </c>
      <c r="F96" s="459">
        <f t="shared" si="39"/>
        <v>776.64177687357676</v>
      </c>
      <c r="G96" s="459">
        <f t="shared" si="39"/>
        <v>746.61487079965082</v>
      </c>
      <c r="H96" s="459">
        <f t="shared" si="39"/>
        <v>716.64806666438074</v>
      </c>
      <c r="I96" s="459">
        <f t="shared" si="39"/>
        <v>692.0179120342533</v>
      </c>
      <c r="J96" s="459">
        <f t="shared" si="39"/>
        <v>670.94623034453639</v>
      </c>
      <c r="K96" s="459">
        <f t="shared" si="39"/>
        <v>654.50537785191966</v>
      </c>
      <c r="L96" s="459">
        <f t="shared" si="39"/>
        <v>639.92323048170863</v>
      </c>
      <c r="M96" s="459">
        <f t="shared" si="39"/>
        <v>626.97467019086866</v>
      </c>
      <c r="N96" s="459">
        <f t="shared" si="39"/>
        <v>616.04991749777412</v>
      </c>
    </row>
    <row r="97" spans="1:14">
      <c r="B97" s="338" t="str">
        <f t="shared" si="33"/>
        <v>40-44</v>
      </c>
      <c r="C97" s="459">
        <f t="shared" si="36"/>
        <v>553.45879593910786</v>
      </c>
      <c r="D97" s="459">
        <f t="shared" ref="D97:N97" si="40">D63+(0.2*D62)-(0.2*D63)</f>
        <v>593.75587409977447</v>
      </c>
      <c r="E97" s="459">
        <f t="shared" si="40"/>
        <v>624.66314683599785</v>
      </c>
      <c r="F97" s="459">
        <f t="shared" si="40"/>
        <v>641.84446792998313</v>
      </c>
      <c r="G97" s="459">
        <f t="shared" si="40"/>
        <v>649.90126819848194</v>
      </c>
      <c r="H97" s="459">
        <f t="shared" si="40"/>
        <v>650.08596184941848</v>
      </c>
      <c r="I97" s="459">
        <f t="shared" si="40"/>
        <v>647.28461338505087</v>
      </c>
      <c r="J97" s="459">
        <f t="shared" si="40"/>
        <v>640.92237734252217</v>
      </c>
      <c r="K97" s="459">
        <f t="shared" si="40"/>
        <v>633.159937494004</v>
      </c>
      <c r="L97" s="459">
        <f t="shared" si="40"/>
        <v>622.95791953122739</v>
      </c>
      <c r="M97" s="459">
        <f t="shared" si="40"/>
        <v>611.40868768289806</v>
      </c>
      <c r="N97" s="459">
        <f t="shared" si="40"/>
        <v>599.90713019170414</v>
      </c>
    </row>
    <row r="98" spans="1:14">
      <c r="B98" s="338" t="str">
        <f t="shared" si="33"/>
        <v>45-49</v>
      </c>
      <c r="C98" s="459">
        <f t="shared" si="36"/>
        <v>340.07439345328817</v>
      </c>
      <c r="D98" s="459">
        <f t="shared" ref="D98:N98" si="41">D64+(0.2*D63)-(0.2*D64)</f>
        <v>378.762194723731</v>
      </c>
      <c r="E98" s="459">
        <f t="shared" si="41"/>
        <v>416.51001304291731</v>
      </c>
      <c r="F98" s="459">
        <f t="shared" si="41"/>
        <v>447.99986918368734</v>
      </c>
      <c r="G98" s="459">
        <f t="shared" si="41"/>
        <v>474.72499026325187</v>
      </c>
      <c r="H98" s="459">
        <f t="shared" si="41"/>
        <v>495.66566227855554</v>
      </c>
      <c r="I98" s="459">
        <f t="shared" si="41"/>
        <v>513.18692691401668</v>
      </c>
      <c r="J98" s="459">
        <f t="shared" si="41"/>
        <v>525.74455058540195</v>
      </c>
      <c r="K98" s="459">
        <f t="shared" si="41"/>
        <v>534.46206467427783</v>
      </c>
      <c r="L98" s="459">
        <f t="shared" si="41"/>
        <v>538.26446796267408</v>
      </c>
      <c r="M98" s="459">
        <f t="shared" si="41"/>
        <v>538.09401428793365</v>
      </c>
      <c r="N98" s="459">
        <f t="shared" si="41"/>
        <v>535.35647003429358</v>
      </c>
    </row>
    <row r="99" spans="1:14">
      <c r="B99" s="338" t="str">
        <f t="shared" si="33"/>
        <v>50-54</v>
      </c>
      <c r="C99" s="459">
        <f t="shared" si="36"/>
        <v>234.64491611957217</v>
      </c>
      <c r="D99" s="459">
        <f t="shared" ref="D99:N99" si="42">D65+(0.2*D64)-(0.2*D65)</f>
        <v>248.95762734939666</v>
      </c>
      <c r="E99" s="459">
        <f t="shared" si="42"/>
        <v>267.62428576150552</v>
      </c>
      <c r="F99" s="459">
        <f t="shared" si="42"/>
        <v>286.34656202278603</v>
      </c>
      <c r="G99" s="459">
        <f t="shared" si="42"/>
        <v>305.72827630488626</v>
      </c>
      <c r="H99" s="459">
        <f t="shared" si="42"/>
        <v>324.25662922921623</v>
      </c>
      <c r="I99" s="459">
        <f t="shared" si="42"/>
        <v>342.82369810713607</v>
      </c>
      <c r="J99" s="459">
        <f t="shared" si="42"/>
        <v>359.37187334022263</v>
      </c>
      <c r="K99" s="459">
        <f t="shared" si="42"/>
        <v>373.92267716614822</v>
      </c>
      <c r="L99" s="459">
        <f t="shared" si="42"/>
        <v>384.98013409908589</v>
      </c>
      <c r="M99" s="459">
        <f t="shared" si="42"/>
        <v>392.72179459783553</v>
      </c>
      <c r="N99" s="459">
        <f t="shared" si="42"/>
        <v>397.82883889840815</v>
      </c>
    </row>
    <row r="100" spans="1:14">
      <c r="B100" s="338" t="str">
        <f t="shared" si="33"/>
        <v>55-59</v>
      </c>
      <c r="C100" s="459">
        <f t="shared" si="36"/>
        <v>169.05404231675493</v>
      </c>
      <c r="D100" s="459">
        <f t="shared" ref="D100:N100" si="43">D66+(0.2*D65)-(0.2*D66)</f>
        <v>156.62198565818511</v>
      </c>
      <c r="E100" s="459">
        <f t="shared" si="43"/>
        <v>152.68638329043205</v>
      </c>
      <c r="F100" s="459">
        <f t="shared" si="43"/>
        <v>152.62387273107771</v>
      </c>
      <c r="G100" s="459">
        <f t="shared" si="43"/>
        <v>156.11794742353965</v>
      </c>
      <c r="H100" s="459">
        <f t="shared" si="43"/>
        <v>161.54898423590447</v>
      </c>
      <c r="I100" s="459">
        <f t="shared" si="43"/>
        <v>169.17292597547612</v>
      </c>
      <c r="J100" s="459">
        <f t="shared" si="43"/>
        <v>177.13290533917746</v>
      </c>
      <c r="K100" s="459">
        <f t="shared" si="43"/>
        <v>185.17744005542389</v>
      </c>
      <c r="L100" s="459">
        <f t="shared" si="43"/>
        <v>191.96811668818947</v>
      </c>
      <c r="M100" s="459">
        <f t="shared" si="43"/>
        <v>197.43528114509084</v>
      </c>
      <c r="N100" s="459">
        <f t="shared" si="43"/>
        <v>201.83370397753174</v>
      </c>
    </row>
    <row r="101" spans="1:14">
      <c r="B101" s="338" t="str">
        <f t="shared" si="33"/>
        <v>60-64</v>
      </c>
      <c r="C101" s="459">
        <f t="shared" si="36"/>
        <v>77.834826621023481</v>
      </c>
      <c r="D101" s="459">
        <f t="shared" ref="D101:N101" si="44">D67+(0.2*D66)-(0.2*D67)</f>
        <v>68.451133385809655</v>
      </c>
      <c r="E101" s="459">
        <f t="shared" si="44"/>
        <v>62.808600706960732</v>
      </c>
      <c r="F101" s="459">
        <f t="shared" si="44"/>
        <v>59.079456422164249</v>
      </c>
      <c r="G101" s="459">
        <f t="shared" si="44"/>
        <v>57.471966659646732</v>
      </c>
      <c r="H101" s="459">
        <f t="shared" si="44"/>
        <v>57.202738427446583</v>
      </c>
      <c r="I101" s="459">
        <f t="shared" si="44"/>
        <v>58.478178562691575</v>
      </c>
      <c r="J101" s="459">
        <f t="shared" si="44"/>
        <v>60.258338289714708</v>
      </c>
      <c r="K101" s="459">
        <f t="shared" si="44"/>
        <v>62.451093321045434</v>
      </c>
      <c r="L101" s="459">
        <f t="shared" si="44"/>
        <v>64.331950734888323</v>
      </c>
      <c r="M101" s="459">
        <f t="shared" si="44"/>
        <v>65.907626939384286</v>
      </c>
      <c r="N101" s="459">
        <f t="shared" si="44"/>
        <v>67.314093860613568</v>
      </c>
    </row>
    <row r="102" spans="1:14">
      <c r="B102" s="338" t="str">
        <f t="shared" si="33"/>
        <v>65 plus</v>
      </c>
      <c r="C102" s="459">
        <f>C68+(0.2*C67)</f>
        <v>16.697554882854892</v>
      </c>
      <c r="D102" s="459">
        <f t="shared" ref="D102:N102" si="45">D68+(0.2*D67)</f>
        <v>20.003909464300531</v>
      </c>
      <c r="E102" s="459">
        <f t="shared" si="45"/>
        <v>20.766386671629665</v>
      </c>
      <c r="F102" s="459">
        <f t="shared" si="45"/>
        <v>20.29252617902133</v>
      </c>
      <c r="G102" s="459">
        <f t="shared" si="45"/>
        <v>19.671269516972881</v>
      </c>
      <c r="H102" s="459">
        <f t="shared" si="45"/>
        <v>19.157650823009458</v>
      </c>
      <c r="I102" s="459">
        <f t="shared" si="45"/>
        <v>19.090071664141423</v>
      </c>
      <c r="J102" s="459">
        <f t="shared" si="45"/>
        <v>19.222905487886912</v>
      </c>
      <c r="K102" s="459">
        <f t="shared" si="45"/>
        <v>19.562031228563214</v>
      </c>
      <c r="L102" s="459">
        <f t="shared" si="45"/>
        <v>19.859362902969341</v>
      </c>
      <c r="M102" s="459">
        <f t="shared" si="45"/>
        <v>20.109680737727508</v>
      </c>
      <c r="N102" s="459">
        <f t="shared" si="45"/>
        <v>20.36461903217301</v>
      </c>
    </row>
    <row r="103" spans="1:14">
      <c r="B103" s="338" t="str">
        <f t="shared" si="33"/>
        <v>Total</v>
      </c>
      <c r="C103" s="459">
        <f>SUM(C93:C102)</f>
        <v>3864.9245314261811</v>
      </c>
      <c r="D103" s="459">
        <f t="shared" ref="D103:N103" si="46">SUM(D93:D102)</f>
        <v>3855.8965600650181</v>
      </c>
      <c r="E103" s="459">
        <f t="shared" si="46"/>
        <v>3877.9792116583881</v>
      </c>
      <c r="F103" s="459">
        <f t="shared" si="46"/>
        <v>3870.8957527023763</v>
      </c>
      <c r="G103" s="459">
        <f t="shared" si="46"/>
        <v>3870.9781855517776</v>
      </c>
      <c r="H103" s="459">
        <f t="shared" si="46"/>
        <v>3867.6071338127872</v>
      </c>
      <c r="I103" s="459">
        <f t="shared" si="46"/>
        <v>3893.5232425914019</v>
      </c>
      <c r="J103" s="459">
        <f t="shared" si="46"/>
        <v>3917.389799461178</v>
      </c>
      <c r="K103" s="459">
        <f t="shared" si="46"/>
        <v>3945.9460121624429</v>
      </c>
      <c r="L103" s="459">
        <f t="shared" si="46"/>
        <v>3951.9588130967441</v>
      </c>
      <c r="M103" s="459">
        <f t="shared" si="46"/>
        <v>3939.2584204364516</v>
      </c>
      <c r="N103" s="459">
        <f t="shared" si="46"/>
        <v>3918.7479616641103</v>
      </c>
    </row>
    <row r="104" spans="1:14">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4" ht="15.75">
      <c r="B106" s="340" t="s">
        <v>151</v>
      </c>
      <c r="H106" s="325"/>
    </row>
    <row r="107" spans="1:14">
      <c r="H107" s="325"/>
    </row>
    <row r="108" spans="1:14">
      <c r="B108" s="341" t="s">
        <v>49</v>
      </c>
      <c r="H108" s="325"/>
    </row>
    <row r="109" spans="1:14">
      <c r="H109" s="325"/>
    </row>
    <row r="110" spans="1:14">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4">
      <c r="B111" s="338" t="str">
        <f t="shared" si="48"/>
        <v>20-24</v>
      </c>
      <c r="C111" s="459">
        <f>C77*Group_3_rates!E74</f>
        <v>2.4112207982825709</v>
      </c>
      <c r="D111" s="459">
        <f>D77*Group_3_rates!F74</f>
        <v>4.2905776515200982</v>
      </c>
      <c r="E111" s="459">
        <f>E77*Group_3_rates!G74</f>
        <v>5.811059245419</v>
      </c>
      <c r="F111" s="459">
        <f>F77*Group_3_rates!H74</f>
        <v>6.7045679980619592</v>
      </c>
      <c r="G111" s="459">
        <f>G77*Group_3_rates!I74</f>
        <v>7.3804923695514093</v>
      </c>
      <c r="H111" s="459">
        <f>H77*Group_3_rates!J74</f>
        <v>7.8434985665359269</v>
      </c>
      <c r="I111" s="459">
        <f>I77*Group_3_rates!K74</f>
        <v>8.3760564845594381</v>
      </c>
      <c r="J111" s="459">
        <f>J77*Group_3_rates!L74</f>
        <v>8.7744289131562532</v>
      </c>
      <c r="K111" s="459">
        <f>K77*Group_3_rates!M74</f>
        <v>9.1222984737084385</v>
      </c>
      <c r="L111" s="459">
        <f>L77*Group_3_rates!N74</f>
        <v>9.2566860275324068</v>
      </c>
      <c r="M111" s="459">
        <f>M77*Group_3_rates!O74</f>
        <v>9.2476902805285981</v>
      </c>
      <c r="N111" s="459">
        <f>N77*Group_3_rates!P74</f>
        <v>9.1947919042725985</v>
      </c>
    </row>
    <row r="112" spans="1:14">
      <c r="B112" s="338" t="str">
        <f t="shared" si="48"/>
        <v>25-29</v>
      </c>
      <c r="C112" s="459">
        <f>C78*Group_3_rates!E75</f>
        <v>10.027615748625092</v>
      </c>
      <c r="D112" s="459">
        <f>D78*Group_3_rates!F75</f>
        <v>10.238596342764156</v>
      </c>
      <c r="E112" s="459">
        <f>E78*Group_3_rates!G75</f>
        <v>10.832577673971354</v>
      </c>
      <c r="F112" s="459">
        <f>F78*Group_3_rates!H75</f>
        <v>11.288104792018261</v>
      </c>
      <c r="G112" s="459">
        <f>G78*Group_3_rates!I75</f>
        <v>11.783964193002495</v>
      </c>
      <c r="H112" s="459">
        <f>H78*Group_3_rates!J75</f>
        <v>12.221776920613852</v>
      </c>
      <c r="I112" s="459">
        <f>I78*Group_3_rates!K75</f>
        <v>12.808001775182811</v>
      </c>
      <c r="J112" s="459">
        <f>J78*Group_3_rates!L75</f>
        <v>13.329612243544302</v>
      </c>
      <c r="K112" s="459">
        <f>K78*Group_3_rates!M75</f>
        <v>13.8303115064067</v>
      </c>
      <c r="L112" s="459">
        <f>L78*Group_3_rates!N75</f>
        <v>14.132041934586239</v>
      </c>
      <c r="M112" s="459">
        <f>M78*Group_3_rates!O75</f>
        <v>14.267304387314311</v>
      </c>
      <c r="N112" s="459">
        <f>N78*Group_3_rates!P75</f>
        <v>14.318871666521646</v>
      </c>
    </row>
    <row r="113" spans="1:14">
      <c r="B113" s="338" t="str">
        <f t="shared" si="48"/>
        <v>30-34</v>
      </c>
      <c r="C113" s="459">
        <f>C79*Group_3_rates!E76</f>
        <v>13.119221294853229</v>
      </c>
      <c r="D113" s="459">
        <f>D79*Group_3_rates!F76</f>
        <v>12.332180912839004</v>
      </c>
      <c r="E113" s="459">
        <f>E79*Group_3_rates!G76</f>
        <v>11.850246775318816</v>
      </c>
      <c r="F113" s="459">
        <f>F79*Group_3_rates!H76</f>
        <v>11.484925088483731</v>
      </c>
      <c r="G113" s="459">
        <f>G79*Group_3_rates!I76</f>
        <v>11.289739922348287</v>
      </c>
      <c r="H113" s="459">
        <f>H79*Group_3_rates!J76</f>
        <v>11.202070188493282</v>
      </c>
      <c r="I113" s="459">
        <f>I79*Group_3_rates!K76</f>
        <v>11.285020787331709</v>
      </c>
      <c r="J113" s="459">
        <f>J79*Group_3_rates!L76</f>
        <v>11.43478362318784</v>
      </c>
      <c r="K113" s="459">
        <f>K79*Group_3_rates!M76</f>
        <v>11.645878037266533</v>
      </c>
      <c r="L113" s="459">
        <f>L79*Group_3_rates!N76</f>
        <v>11.821699884317514</v>
      </c>
      <c r="M113" s="459">
        <f>M79*Group_3_rates!O76</f>
        <v>11.948053691829216</v>
      </c>
      <c r="N113" s="459">
        <f>N79*Group_3_rates!P76</f>
        <v>12.040568615040154</v>
      </c>
    </row>
    <row r="114" spans="1:14">
      <c r="B114" s="338" t="str">
        <f t="shared" si="48"/>
        <v>35-39</v>
      </c>
      <c r="C114" s="459">
        <f>C80*Group_3_rates!E77</f>
        <v>13.844162234536087</v>
      </c>
      <c r="D114" s="459">
        <f>D80*Group_3_rates!F77</f>
        <v>13.557944273510312</v>
      </c>
      <c r="E114" s="459">
        <f>E80*Group_3_rates!G77</f>
        <v>13.247278023799918</v>
      </c>
      <c r="F114" s="459">
        <f>F80*Group_3_rates!H77</f>
        <v>12.870411909664563</v>
      </c>
      <c r="G114" s="459">
        <f>G80*Group_3_rates!I77</f>
        <v>12.530582909164883</v>
      </c>
      <c r="H114" s="459">
        <f>H80*Group_3_rates!J77</f>
        <v>12.233990366372796</v>
      </c>
      <c r="I114" s="459">
        <f>I80*Group_3_rates!K77</f>
        <v>12.05248980183554</v>
      </c>
      <c r="J114" s="459">
        <f>J80*Group_3_rates!L77</f>
        <v>11.937211977126619</v>
      </c>
      <c r="K114" s="459">
        <f>K80*Group_3_rates!M77</f>
        <v>11.896838572696504</v>
      </c>
      <c r="L114" s="459">
        <f>L80*Group_3_rates!N77</f>
        <v>11.873910678371695</v>
      </c>
      <c r="M114" s="459">
        <f>M80*Group_3_rates!O77</f>
        <v>11.859961839477943</v>
      </c>
      <c r="N114" s="459">
        <f>N80*Group_3_rates!P77</f>
        <v>11.859985583954522</v>
      </c>
    </row>
    <row r="115" spans="1:14">
      <c r="B115" s="338" t="str">
        <f t="shared" si="48"/>
        <v>40-44</v>
      </c>
      <c r="C115" s="459">
        <f>C81*Group_3_rates!E78</f>
        <v>12.18148898408994</v>
      </c>
      <c r="D115" s="459">
        <f>D81*Group_3_rates!F78</f>
        <v>12.623031861189132</v>
      </c>
      <c r="E115" s="459">
        <f>E81*Group_3_rates!G78</f>
        <v>12.938706853174661</v>
      </c>
      <c r="F115" s="459">
        <f>F81*Group_3_rates!H78</f>
        <v>13.058714455259093</v>
      </c>
      <c r="G115" s="459">
        <f>G81*Group_3_rates!I78</f>
        <v>13.07934375677444</v>
      </c>
      <c r="H115" s="459">
        <f>H81*Group_3_rates!J78</f>
        <v>13.018719628903133</v>
      </c>
      <c r="I115" s="459">
        <f>I81*Group_3_rates!K78</f>
        <v>12.964552791435707</v>
      </c>
      <c r="J115" s="459">
        <f>J81*Group_3_rates!L78</f>
        <v>12.891221461928005</v>
      </c>
      <c r="K115" s="459">
        <f>K81*Group_3_rates!M78</f>
        <v>12.829282109328533</v>
      </c>
      <c r="L115" s="459">
        <f>L81*Group_3_rates!N78</f>
        <v>12.745095113713841</v>
      </c>
      <c r="M115" s="459">
        <f>M81*Group_3_rates!O78</f>
        <v>12.650317427692455</v>
      </c>
      <c r="N115" s="459">
        <f>N81*Group_3_rates!P78</f>
        <v>12.564781807791107</v>
      </c>
    </row>
    <row r="116" spans="1:14">
      <c r="B116" s="338" t="str">
        <f t="shared" si="48"/>
        <v>45-49</v>
      </c>
      <c r="C116" s="459">
        <f>C82*Group_3_rates!E79</f>
        <v>11.185625013396756</v>
      </c>
      <c r="D116" s="459">
        <f>D82*Group_3_rates!F79</f>
        <v>11.361407654835119</v>
      </c>
      <c r="E116" s="459">
        <f>E82*Group_3_rates!G79</f>
        <v>11.624567700770132</v>
      </c>
      <c r="F116" s="459">
        <f>F82*Group_3_rates!H79</f>
        <v>11.838727953901293</v>
      </c>
      <c r="G116" s="459">
        <f>G82*Group_3_rates!I79</f>
        <v>12.030448858697769</v>
      </c>
      <c r="H116" s="459">
        <f>H82*Group_3_rates!J79</f>
        <v>12.171517923767071</v>
      </c>
      <c r="I116" s="459">
        <f>I82*Group_3_rates!K79</f>
        <v>12.310637177406781</v>
      </c>
      <c r="J116" s="459">
        <f>J82*Group_3_rates!L79</f>
        <v>12.406365414372805</v>
      </c>
      <c r="K116" s="459">
        <f>K82*Group_3_rates!M79</f>
        <v>12.47680597104597</v>
      </c>
      <c r="L116" s="459">
        <f>L82*Group_3_rates!N79</f>
        <v>12.489161529522191</v>
      </c>
      <c r="M116" s="459">
        <f>M82*Group_3_rates!O79</f>
        <v>12.456205668398793</v>
      </c>
      <c r="N116" s="459">
        <f>N82*Group_3_rates!P79</f>
        <v>12.401415626947811</v>
      </c>
    </row>
    <row r="117" spans="1:14">
      <c r="B117" s="338" t="str">
        <f t="shared" si="48"/>
        <v>50-54</v>
      </c>
      <c r="C117" s="459">
        <f>C83*Group_3_rates!E80</f>
        <v>9.0039603086233342</v>
      </c>
      <c r="D117" s="459">
        <f>D83*Group_3_rates!F80</f>
        <v>9.0261803222563639</v>
      </c>
      <c r="E117" s="459">
        <f>E83*Group_3_rates!G80</f>
        <v>9.1087023883578464</v>
      </c>
      <c r="F117" s="459">
        <f>F83*Group_3_rates!H80</f>
        <v>9.1830263586661882</v>
      </c>
      <c r="G117" s="459">
        <f>G83*Group_3_rates!I80</f>
        <v>9.2840967421839711</v>
      </c>
      <c r="H117" s="459">
        <f>H83*Group_3_rates!J80</f>
        <v>9.3893488313139759</v>
      </c>
      <c r="I117" s="459">
        <f>I83*Group_3_rates!K80</f>
        <v>9.5283707159815663</v>
      </c>
      <c r="J117" s="459">
        <f>J83*Group_3_rates!L80</f>
        <v>9.6574537768841964</v>
      </c>
      <c r="K117" s="459">
        <f>K83*Group_3_rates!M80</f>
        <v>9.7794091677562296</v>
      </c>
      <c r="L117" s="459">
        <f>L83*Group_3_rates!N80</f>
        <v>9.8589782228450424</v>
      </c>
      <c r="M117" s="459">
        <f>M83*Group_3_rates!O80</f>
        <v>9.8988454987006609</v>
      </c>
      <c r="N117" s="459">
        <f>N83*Group_3_rates!P80</f>
        <v>9.9124252620629552</v>
      </c>
    </row>
    <row r="118" spans="1:14">
      <c r="B118" s="338" t="str">
        <f t="shared" si="48"/>
        <v>55-59</v>
      </c>
      <c r="C118" s="459">
        <f>C84*Group_3_rates!E81</f>
        <v>4.2455804208604189</v>
      </c>
      <c r="D118" s="459">
        <f>D84*Group_3_rates!F81</f>
        <v>3.6932590941423005</v>
      </c>
      <c r="E118" s="459">
        <f>E84*Group_3_rates!G81</f>
        <v>3.3824750941787909</v>
      </c>
      <c r="F118" s="459">
        <f>F84*Group_3_rates!H81</f>
        <v>3.1925752741075404</v>
      </c>
      <c r="G118" s="459">
        <f>G84*Group_3_rates!I81</f>
        <v>3.0911734550185241</v>
      </c>
      <c r="H118" s="459">
        <f>H84*Group_3_rates!J81</f>
        <v>3.0406272772265055</v>
      </c>
      <c r="I118" s="459">
        <f>I84*Group_3_rates!K81</f>
        <v>3.0378149941167365</v>
      </c>
      <c r="J118" s="459">
        <f>J84*Group_3_rates!L81</f>
        <v>3.0527108520312125</v>
      </c>
      <c r="K118" s="459">
        <f>K84*Group_3_rates!M81</f>
        <v>3.0805163327810106</v>
      </c>
      <c r="L118" s="459">
        <f>L84*Group_3_rates!N81</f>
        <v>3.1014420402943541</v>
      </c>
      <c r="M118" s="459">
        <f>M84*Group_3_rates!O81</f>
        <v>3.1143676615507236</v>
      </c>
      <c r="N118" s="459">
        <f>N84*Group_3_rates!P81</f>
        <v>3.1227572345462029</v>
      </c>
    </row>
    <row r="119" spans="1:14">
      <c r="B119" s="338" t="str">
        <f t="shared" si="48"/>
        <v>60-64</v>
      </c>
      <c r="C119" s="459">
        <f>C85*Group_3_rates!E82</f>
        <v>0.77052771487051908</v>
      </c>
      <c r="D119" s="459">
        <f>D85*Group_3_rates!F82</f>
        <v>0.67004646381124089</v>
      </c>
      <c r="E119" s="459">
        <f>E85*Group_3_rates!G82</f>
        <v>0.59152259052858869</v>
      </c>
      <c r="F119" s="459">
        <f>F85*Group_3_rates!H82</f>
        <v>0.53177928065233471</v>
      </c>
      <c r="G119" s="459">
        <f>G85*Group_3_rates!I82</f>
        <v>0.49224990137078073</v>
      </c>
      <c r="H119" s="459">
        <f>H85*Group_3_rates!J82</f>
        <v>0.46679311489048453</v>
      </c>
      <c r="I119" s="459">
        <f>I85*Group_3_rates!K82</f>
        <v>0.45493645344292677</v>
      </c>
      <c r="J119" s="459">
        <f>J85*Group_3_rates!L82</f>
        <v>0.44937370833738188</v>
      </c>
      <c r="K119" s="459">
        <f>K85*Group_3_rates!M82</f>
        <v>0.44867520937115274</v>
      </c>
      <c r="L119" s="459">
        <f>L85*Group_3_rates!N82</f>
        <v>0.44807692074721905</v>
      </c>
      <c r="M119" s="459">
        <f>M85*Group_3_rates!O82</f>
        <v>0.44726356398210432</v>
      </c>
      <c r="N119" s="459">
        <f>N85*Group_3_rates!P82</f>
        <v>0.44685792288071285</v>
      </c>
    </row>
    <row r="120" spans="1:14">
      <c r="B120" s="338" t="str">
        <f t="shared" si="48"/>
        <v>65 plus</v>
      </c>
      <c r="C120" s="459">
        <f>C86*Group_3_rates!E83</f>
        <v>0.26998493899999204</v>
      </c>
      <c r="D120" s="459">
        <f>D86*Group_3_rates!F83</f>
        <v>0.271124797222075</v>
      </c>
      <c r="E120" s="459">
        <f>E86*Group_3_rates!G83</f>
        <v>0.25908134487408585</v>
      </c>
      <c r="F120" s="459">
        <f>F86*Group_3_rates!H83</f>
        <v>0.24028836257753894</v>
      </c>
      <c r="G120" s="459">
        <f>G86*Group_3_rates!I83</f>
        <v>0.22216303952126515</v>
      </c>
      <c r="H120" s="459">
        <f>H86*Group_3_rates!J83</f>
        <v>0.2067851538861083</v>
      </c>
      <c r="I120" s="459">
        <f>I86*Group_3_rates!K83</f>
        <v>0.19646399513160051</v>
      </c>
      <c r="J120" s="459">
        <f>J86*Group_3_rates!L83</f>
        <v>0.18940513451625313</v>
      </c>
      <c r="K120" s="459">
        <f>K86*Group_3_rates!M83</f>
        <v>0.18530601146121864</v>
      </c>
      <c r="L120" s="459">
        <f>L86*Group_3_rates!N83</f>
        <v>0.18217317633492247</v>
      </c>
      <c r="M120" s="459">
        <f>M86*Group_3_rates!O83</f>
        <v>0.17963822025343457</v>
      </c>
      <c r="N120" s="459">
        <f>N86*Group_3_rates!P83</f>
        <v>0.17782215595895004</v>
      </c>
    </row>
    <row r="121" spans="1:14">
      <c r="B121" s="338" t="str">
        <f t="shared" si="48"/>
        <v>Total</v>
      </c>
      <c r="C121" s="459">
        <f>SUM(C111:C120)</f>
        <v>77.059387457137944</v>
      </c>
      <c r="D121" s="459">
        <f t="shared" ref="D121:N121" si="50">SUM(D111:D120)</f>
        <v>78.064349374089815</v>
      </c>
      <c r="E121" s="459">
        <f t="shared" si="50"/>
        <v>79.646217690393186</v>
      </c>
      <c r="F121" s="459">
        <f t="shared" si="50"/>
        <v>80.393121473392497</v>
      </c>
      <c r="G121" s="459">
        <f t="shared" si="50"/>
        <v>81.184255147633834</v>
      </c>
      <c r="H121" s="459">
        <f t="shared" si="50"/>
        <v>81.795127972003129</v>
      </c>
      <c r="I121" s="459">
        <f t="shared" si="50"/>
        <v>83.014344976424809</v>
      </c>
      <c r="J121" s="459">
        <f t="shared" si="50"/>
        <v>84.122567105084855</v>
      </c>
      <c r="K121" s="459">
        <f t="shared" si="50"/>
        <v>85.295321391822284</v>
      </c>
      <c r="L121" s="459">
        <f t="shared" si="50"/>
        <v>85.909265528265422</v>
      </c>
      <c r="M121" s="459">
        <f t="shared" si="50"/>
        <v>86.069648239728267</v>
      </c>
      <c r="N121" s="459">
        <f t="shared" si="50"/>
        <v>86.040277779976648</v>
      </c>
    </row>
    <row r="122" spans="1:14">
      <c r="A122" s="309">
        <f>SUM(C122:N122)</f>
        <v>0</v>
      </c>
      <c r="C122" s="309">
        <f t="shared" ref="C122:N122" si="51">SUM(C111:C120)-C121</f>
        <v>0</v>
      </c>
      <c r="D122" s="309">
        <f t="shared" si="51"/>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4">
      <c r="B127" s="338" t="str">
        <f t="shared" si="52"/>
        <v>20-24</v>
      </c>
      <c r="C127" s="459">
        <f>C93*Group_3_rates!E89</f>
        <v>11.029026111531632</v>
      </c>
      <c r="D127" s="459">
        <f>D93*Group_3_rates!F89</f>
        <v>16.497551831180921</v>
      </c>
      <c r="E127" s="459">
        <f>E93*Group_3_rates!G89</f>
        <v>21.004607945464418</v>
      </c>
      <c r="F127" s="459">
        <f>F93*Group_3_rates!H89</f>
        <v>23.580367198473031</v>
      </c>
      <c r="G127" s="459">
        <f>G93*Group_3_rates!I89</f>
        <v>25.548330617285384</v>
      </c>
      <c r="H127" s="459">
        <f>H93*Group_3_rates!J89</f>
        <v>26.888777181328699</v>
      </c>
      <c r="I127" s="459">
        <f>I93*Group_3_rates!K89</f>
        <v>28.524425267753298</v>
      </c>
      <c r="J127" s="459">
        <f>J93*Group_3_rates!L89</f>
        <v>29.753930932058079</v>
      </c>
      <c r="K127" s="459">
        <f>K93*Group_3_rates!M89</f>
        <v>30.845282753091297</v>
      </c>
      <c r="L127" s="459">
        <f>L93*Group_3_rates!N89</f>
        <v>31.242483481994434</v>
      </c>
      <c r="M127" s="459">
        <f>M93*Group_3_rates!O89</f>
        <v>31.174101063694401</v>
      </c>
      <c r="N127" s="459">
        <f>N93*Group_3_rates!P89</f>
        <v>30.969318087326204</v>
      </c>
    </row>
    <row r="128" spans="1:14">
      <c r="B128" s="338" t="str">
        <f t="shared" si="52"/>
        <v>25-29</v>
      </c>
      <c r="C128" s="459">
        <f>C94*Group_3_rates!E90</f>
        <v>54.64419055835927</v>
      </c>
      <c r="D128" s="459">
        <f>D94*Group_3_rates!F90</f>
        <v>50.765419766135388</v>
      </c>
      <c r="E128" s="459">
        <f>E94*Group_3_rates!G90</f>
        <v>49.433797135587078</v>
      </c>
      <c r="F128" s="459">
        <f>F94*Group_3_rates!H90</f>
        <v>48.451585140583063</v>
      </c>
      <c r="G128" s="459">
        <f>G94*Group_3_rates!I90</f>
        <v>48.269463679707286</v>
      </c>
      <c r="H128" s="459">
        <f>H94*Group_3_rates!J90</f>
        <v>48.365626389968519</v>
      </c>
      <c r="I128" s="459">
        <f>I94*Group_3_rates!K90</f>
        <v>49.377848604784248</v>
      </c>
      <c r="J128" s="459">
        <f>J94*Group_3_rates!L90</f>
        <v>50.428845097894452</v>
      </c>
      <c r="K128" s="459">
        <f>K94*Group_3_rates!M90</f>
        <v>51.611626983562296</v>
      </c>
      <c r="L128" s="459">
        <f>L94*Group_3_rates!N90</f>
        <v>52.220842847086573</v>
      </c>
      <c r="M128" s="459">
        <f>M94*Group_3_rates!O90</f>
        <v>52.340600387490603</v>
      </c>
      <c r="N128" s="459">
        <f>N94*Group_3_rates!P90</f>
        <v>52.247433831649815</v>
      </c>
    </row>
    <row r="129" spans="1:14">
      <c r="B129" s="338" t="str">
        <f t="shared" si="52"/>
        <v>30-34</v>
      </c>
      <c r="C129" s="459">
        <f>C95*Group_3_rates!E91</f>
        <v>82.252920311410264</v>
      </c>
      <c r="D129" s="459">
        <f>D95*Group_3_rates!F91</f>
        <v>74.802446990985914</v>
      </c>
      <c r="E129" s="459">
        <f>E95*Group_3_rates!G91</f>
        <v>69.069191588335812</v>
      </c>
      <c r="F129" s="459">
        <f>F95*Group_3_rates!H91</f>
        <v>64.257133135903231</v>
      </c>
      <c r="G129" s="459">
        <f>G95*Group_3_rates!I91</f>
        <v>60.65432578177122</v>
      </c>
      <c r="H129" s="459">
        <f>H95*Group_3_rates!J91</f>
        <v>57.952204261223784</v>
      </c>
      <c r="I129" s="459">
        <f>I95*Group_3_rates!K91</f>
        <v>56.41536373121275</v>
      </c>
      <c r="J129" s="459">
        <f>J95*Group_3_rates!L91</f>
        <v>55.505411043783198</v>
      </c>
      <c r="K129" s="459">
        <f>K95*Group_3_rates!M91</f>
        <v>55.153794963812217</v>
      </c>
      <c r="L129" s="459">
        <f>L95*Group_3_rates!N91</f>
        <v>54.864139333295327</v>
      </c>
      <c r="M129" s="459">
        <f>M95*Group_3_rates!O91</f>
        <v>54.539567533091251</v>
      </c>
      <c r="N129" s="459">
        <f>N95*Group_3_rates!P91</f>
        <v>54.226543072641022</v>
      </c>
    </row>
    <row r="130" spans="1:14">
      <c r="B130" s="338" t="str">
        <f t="shared" si="52"/>
        <v>35-39</v>
      </c>
      <c r="C130" s="459">
        <f>C96*Group_3_rates!E92</f>
        <v>65.898321393511964</v>
      </c>
      <c r="D130" s="459">
        <f>D96*Group_3_rates!F92</f>
        <v>65.403014949275601</v>
      </c>
      <c r="E130" s="459">
        <f>E96*Group_3_rates!G92</f>
        <v>64.011644951029496</v>
      </c>
      <c r="F130" s="459">
        <f>F96*Group_3_rates!H92</f>
        <v>61.795217256662212</v>
      </c>
      <c r="G130" s="459">
        <f>G96*Group_3_rates!I92</f>
        <v>59.406060196565392</v>
      </c>
      <c r="H130" s="459">
        <f>H96*Group_3_rates!J92</f>
        <v>57.021685279880607</v>
      </c>
      <c r="I130" s="459">
        <f>I96*Group_3_rates!K92</f>
        <v>55.061932660647422</v>
      </c>
      <c r="J130" s="459">
        <f>J96*Group_3_rates!L92</f>
        <v>53.385317795527627</v>
      </c>
      <c r="K130" s="459">
        <f>K96*Group_3_rates!M92</f>
        <v>52.077165077094392</v>
      </c>
      <c r="L130" s="459">
        <f>L96*Group_3_rates!N92</f>
        <v>50.916904334441163</v>
      </c>
      <c r="M130" s="459">
        <f>M96*Group_3_rates!O92</f>
        <v>49.886623553571333</v>
      </c>
      <c r="N130" s="459">
        <f>N96*Group_3_rates!P92</f>
        <v>49.017371491362248</v>
      </c>
    </row>
    <row r="131" spans="1:14">
      <c r="B131" s="338" t="str">
        <f t="shared" si="52"/>
        <v>40-44</v>
      </c>
      <c r="C131" s="459">
        <f>C97*Group_3_rates!E93</f>
        <v>42.139327987957358</v>
      </c>
      <c r="D131" s="459">
        <f>D97*Group_3_rates!F93</f>
        <v>45.207472908641776</v>
      </c>
      <c r="E131" s="459">
        <f>E97*Group_3_rates!G93</f>
        <v>47.560695429633675</v>
      </c>
      <c r="F131" s="459">
        <f>F97*Group_3_rates!H93</f>
        <v>48.868849406330995</v>
      </c>
      <c r="G131" s="459">
        <f>G97*Group_3_rates!I93</f>
        <v>49.482279261523118</v>
      </c>
      <c r="H131" s="459">
        <f>H97*Group_3_rates!J93</f>
        <v>49.496341494143174</v>
      </c>
      <c r="I131" s="459">
        <f>I97*Group_3_rates!K93</f>
        <v>49.283052008792694</v>
      </c>
      <c r="J131" s="459">
        <f>J97*Group_3_rates!L93</f>
        <v>48.79864313626225</v>
      </c>
      <c r="K131" s="459">
        <f>K97*Group_3_rates!M93</f>
        <v>48.207625338436003</v>
      </c>
      <c r="L131" s="459">
        <f>L97*Group_3_rates!N93</f>
        <v>47.430862579894942</v>
      </c>
      <c r="M131" s="459">
        <f>M97*Group_3_rates!O93</f>
        <v>46.551525450488732</v>
      </c>
      <c r="N131" s="459">
        <f>N97*Group_3_rates!P93</f>
        <v>45.675818158365232</v>
      </c>
    </row>
    <row r="132" spans="1:14">
      <c r="B132" s="338" t="str">
        <f t="shared" si="52"/>
        <v>45-49</v>
      </c>
      <c r="C132" s="459">
        <f>C98*Group_3_rates!E94</f>
        <v>27.0141503763125</v>
      </c>
      <c r="D132" s="459">
        <f>D98*Group_3_rates!F94</f>
        <v>30.087354655634964</v>
      </c>
      <c r="E132" s="459">
        <f>E98*Group_3_rates!G94</f>
        <v>33.085890446869975</v>
      </c>
      <c r="F132" s="459">
        <f>F98*Group_3_rates!H94</f>
        <v>35.587318738712405</v>
      </c>
      <c r="G132" s="459">
        <f>G98*Group_3_rates!I94</f>
        <v>37.710255524212201</v>
      </c>
      <c r="H132" s="459">
        <f>H98*Group_3_rates!J94</f>
        <v>39.373698799250064</v>
      </c>
      <c r="I132" s="459">
        <f>I98*Group_3_rates!K94</f>
        <v>40.765518021036094</v>
      </c>
      <c r="J132" s="459">
        <f>J98*Group_3_rates!L94</f>
        <v>41.763045446677275</v>
      </c>
      <c r="K132" s="459">
        <f>K98*Group_3_rates!M94</f>
        <v>42.455529917834205</v>
      </c>
      <c r="L132" s="459">
        <f>L98*Group_3_rates!N94</f>
        <v>42.75757763504415</v>
      </c>
      <c r="M132" s="459">
        <f>M98*Group_3_rates!O94</f>
        <v>42.744037476507444</v>
      </c>
      <c r="N132" s="459">
        <f>N98*Group_3_rates!P94</f>
        <v>42.526577904268869</v>
      </c>
    </row>
    <row r="133" spans="1:14">
      <c r="B133" s="338" t="str">
        <f t="shared" si="52"/>
        <v>50-54</v>
      </c>
      <c r="C133" s="459">
        <f>C99*Group_3_rates!E95</f>
        <v>20.62736108889786</v>
      </c>
      <c r="D133" s="459">
        <f>D99*Group_3_rates!F95</f>
        <v>21.885574851126851</v>
      </c>
      <c r="E133" s="459">
        <f>E99*Group_3_rates!G95</f>
        <v>23.526539035466854</v>
      </c>
      <c r="F133" s="459">
        <f>F99*Group_3_rates!H95</f>
        <v>25.172392520102914</v>
      </c>
      <c r="G133" s="459">
        <f>G99*Group_3_rates!I95</f>
        <v>26.876216432550265</v>
      </c>
      <c r="H133" s="459">
        <f>H99*Group_3_rates!J95</f>
        <v>28.505022342659696</v>
      </c>
      <c r="I133" s="459">
        <f>I99*Group_3_rates!K95</f>
        <v>30.137231727124362</v>
      </c>
      <c r="J133" s="459">
        <f>J99*Group_3_rates!L95</f>
        <v>31.59196252436562</v>
      </c>
      <c r="K133" s="459">
        <f>K99*Group_3_rates!M95</f>
        <v>32.871106729212286</v>
      </c>
      <c r="L133" s="459">
        <f>L99*Group_3_rates!N95</f>
        <v>33.843154880319098</v>
      </c>
      <c r="M133" s="459">
        <f>M99*Group_3_rates!O95</f>
        <v>34.523715231577633</v>
      </c>
      <c r="N133" s="459">
        <f>N99*Group_3_rates!P95</f>
        <v>34.972669543595316</v>
      </c>
    </row>
    <row r="134" spans="1:14">
      <c r="B134" s="338" t="str">
        <f t="shared" si="52"/>
        <v>55-59</v>
      </c>
      <c r="C134" s="459">
        <f>C100*Group_3_rates!E96</f>
        <v>9.3940439143315047</v>
      </c>
      <c r="D134" s="459">
        <f>D100*Group_3_rates!F96</f>
        <v>8.7032157945445849</v>
      </c>
      <c r="E134" s="459">
        <f>E100*Group_3_rates!G96</f>
        <v>8.484521103986717</v>
      </c>
      <c r="F134" s="459">
        <f>F100*Group_3_rates!H96</f>
        <v>8.4810474991462979</v>
      </c>
      <c r="G134" s="459">
        <f>G100*Group_3_rates!I96</f>
        <v>8.6752072521526209</v>
      </c>
      <c r="H134" s="459">
        <f>H100*Group_3_rates!J96</f>
        <v>8.9770006764122527</v>
      </c>
      <c r="I134" s="459">
        <f>I100*Group_3_rates!K96</f>
        <v>9.4006500758607903</v>
      </c>
      <c r="J134" s="459">
        <f>J100*Group_3_rates!L96</f>
        <v>9.8429725111899327</v>
      </c>
      <c r="K134" s="459">
        <f>K100*Group_3_rates!M96</f>
        <v>10.289993542802932</v>
      </c>
      <c r="L134" s="459">
        <f>L100*Group_3_rates!N96</f>
        <v>10.667339825814008</v>
      </c>
      <c r="M134" s="459">
        <f>M100*Group_3_rates!O96</f>
        <v>10.971140801473457</v>
      </c>
      <c r="N134" s="459">
        <f>N100*Group_3_rates!P96</f>
        <v>11.215553633461994</v>
      </c>
    </row>
    <row r="135" spans="1:14">
      <c r="B135" s="338" t="str">
        <f t="shared" si="52"/>
        <v>60-64</v>
      </c>
      <c r="C135" s="459">
        <f>C101*Group_3_rates!E97</f>
        <v>1.8513683292536851</v>
      </c>
      <c r="D135" s="459">
        <f>D101*Group_3_rates!F97</f>
        <v>1.628169110840902</v>
      </c>
      <c r="E135" s="459">
        <f>E101*Group_3_rates!G97</f>
        <v>1.4939566155878035</v>
      </c>
      <c r="F135" s="459">
        <f>F101*Group_3_rates!H97</f>
        <v>1.4052557097875613</v>
      </c>
      <c r="G135" s="459">
        <f>G101*Group_3_rates!I97</f>
        <v>1.3670201825162689</v>
      </c>
      <c r="H135" s="459">
        <f>H101*Group_3_rates!J97</f>
        <v>1.3606163573383288</v>
      </c>
      <c r="I135" s="459">
        <f>I101*Group_3_rates!K97</f>
        <v>1.390953798491102</v>
      </c>
      <c r="J135" s="459">
        <f>J101*Group_3_rates!L97</f>
        <v>1.4332964294533368</v>
      </c>
      <c r="K135" s="459">
        <f>K101*Group_3_rates!M97</f>
        <v>1.4854529947731709</v>
      </c>
      <c r="L135" s="459">
        <f>L101*Group_3_rates!N97</f>
        <v>1.530190806868331</v>
      </c>
      <c r="M135" s="459">
        <f>M101*Group_3_rates!O97</f>
        <v>1.5676696212860219</v>
      </c>
      <c r="N135" s="459">
        <f>N101*Group_3_rates!P97</f>
        <v>1.6011236472940082</v>
      </c>
    </row>
    <row r="136" spans="1:14">
      <c r="B136" s="338" t="str">
        <f t="shared" si="52"/>
        <v>65 plus</v>
      </c>
      <c r="C136" s="459">
        <f>C102*Group_3_rates!E98</f>
        <v>0.58197498030829875</v>
      </c>
      <c r="D136" s="459">
        <f>D102*Group_3_rates!F98</f>
        <v>0.69721434654657788</v>
      </c>
      <c r="E136" s="459">
        <f>E102*Group_3_rates!G98</f>
        <v>0.72378965417898666</v>
      </c>
      <c r="F136" s="459">
        <f>F102*Group_3_rates!H98</f>
        <v>0.70727376590735813</v>
      </c>
      <c r="G136" s="459">
        <f>G102*Group_3_rates!I98</f>
        <v>0.68562054564854702</v>
      </c>
      <c r="H136" s="459">
        <f>H102*Group_3_rates!J98</f>
        <v>0.66771892883084982</v>
      </c>
      <c r="I136" s="459">
        <f>I102*Group_3_rates!K98</f>
        <v>0.66536353129346182</v>
      </c>
      <c r="J136" s="459">
        <f>J102*Group_3_rates!L98</f>
        <v>0.6699933086770915</v>
      </c>
      <c r="K136" s="459">
        <f>K102*Group_3_rates!M98</f>
        <v>0.68181316479595244</v>
      </c>
      <c r="L136" s="459">
        <f>L102*Group_3_rates!N98</f>
        <v>0.69217633452778049</v>
      </c>
      <c r="M136" s="459">
        <f>M102*Group_3_rates!O98</f>
        <v>0.70090088839068077</v>
      </c>
      <c r="N136" s="459">
        <f>N102*Group_3_rates!P98</f>
        <v>0.70978648331344973</v>
      </c>
    </row>
    <row r="137" spans="1:14">
      <c r="B137" s="338" t="str">
        <f t="shared" si="52"/>
        <v>Total</v>
      </c>
      <c r="C137" s="459">
        <f>SUM(C127:C136)</f>
        <v>315.43268505187439</v>
      </c>
      <c r="D137" s="459">
        <f t="shared" ref="D137:N137" si="54">SUM(D127:D136)</f>
        <v>315.67743520491348</v>
      </c>
      <c r="E137" s="459">
        <f t="shared" si="54"/>
        <v>318.39463390614083</v>
      </c>
      <c r="F137" s="459">
        <f t="shared" si="54"/>
        <v>318.30644037160909</v>
      </c>
      <c r="G137" s="459">
        <f t="shared" si="54"/>
        <v>318.67477947393235</v>
      </c>
      <c r="H137" s="459">
        <f t="shared" si="54"/>
        <v>318.60869171103593</v>
      </c>
      <c r="I137" s="459">
        <f t="shared" si="54"/>
        <v>321.02233942699621</v>
      </c>
      <c r="J137" s="459">
        <f t="shared" si="54"/>
        <v>323.17341822588884</v>
      </c>
      <c r="K137" s="459">
        <f t="shared" si="54"/>
        <v>325.67939146541477</v>
      </c>
      <c r="L137" s="459">
        <f t="shared" si="54"/>
        <v>326.16567205928584</v>
      </c>
      <c r="M137" s="459">
        <f t="shared" si="54"/>
        <v>324.9998820075715</v>
      </c>
      <c r="N137" s="459">
        <f t="shared" si="54"/>
        <v>323.16219585327815</v>
      </c>
    </row>
    <row r="138" spans="1:14">
      <c r="A138" s="309">
        <f>SUM(C138:N138)</f>
        <v>0</v>
      </c>
      <c r="C138" s="309">
        <f t="shared" ref="C138:N138" si="55">SUM(C127:C136)-C137</f>
        <v>0</v>
      </c>
      <c r="D138" s="309">
        <f t="shared" si="55"/>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4" ht="15.75">
      <c r="B140" s="340" t="s">
        <v>152</v>
      </c>
      <c r="H140" s="325"/>
    </row>
    <row r="141" spans="1:14">
      <c r="H141" s="325"/>
    </row>
    <row r="142" spans="1:14">
      <c r="B142" s="341" t="s">
        <v>49</v>
      </c>
      <c r="H142" s="325"/>
    </row>
    <row r="143" spans="1:14">
      <c r="H143" s="325"/>
    </row>
    <row r="144" spans="1:14">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8.9089369267958948E-2</v>
      </c>
      <c r="D148" s="459">
        <f>D80*Calc_SEC_retirement_rates!$G127</f>
        <v>8.724751150950702E-2</v>
      </c>
      <c r="E148" s="459">
        <f>E80*Calc_SEC_retirement_rates!$G127</f>
        <v>8.5248325154228893E-2</v>
      </c>
      <c r="F148" s="459">
        <f>F80*Calc_SEC_retirement_rates!$G127</f>
        <v>8.2823132221786305E-2</v>
      </c>
      <c r="G148" s="459">
        <f>G80*Calc_SEC_retirement_rates!$G127</f>
        <v>8.0636278961864816E-2</v>
      </c>
      <c r="H148" s="459">
        <f>H80*Calc_SEC_retirement_rates!$G127</f>
        <v>7.8727659132128133E-2</v>
      </c>
      <c r="I148" s="459">
        <f>I80*Calc_SEC_retirement_rates!$G127</f>
        <v>7.7559674349627891E-2</v>
      </c>
      <c r="J148" s="459">
        <f>J80*Calc_SEC_retirement_rates!$G127</f>
        <v>7.6817843351123696E-2</v>
      </c>
      <c r="K148" s="459">
        <f>K80*Calc_SEC_retirement_rates!$G127</f>
        <v>7.6558034120709856E-2</v>
      </c>
      <c r="L148" s="459">
        <f>L80*Calc_SEC_retirement_rates!$G127</f>
        <v>7.6410489501581941E-2</v>
      </c>
      <c r="M148" s="459">
        <f>M80*Calc_SEC_retirement_rates!$G127</f>
        <v>7.6320726521488816E-2</v>
      </c>
      <c r="N148" s="459">
        <f>N80*Calc_SEC_retirement_rates!$G127</f>
        <v>7.6320879320943641E-2</v>
      </c>
    </row>
    <row r="149" spans="1:14">
      <c r="B149" s="338" t="str">
        <f t="shared" si="56"/>
        <v>40-44</v>
      </c>
      <c r="C149" s="459">
        <f>C81*Calc_SEC_retirement_rates!$G128</f>
        <v>8.978907331465294E-2</v>
      </c>
      <c r="D149" s="459">
        <f>D81*Calc_SEC_retirement_rates!$G128</f>
        <v>9.3043661141740647E-2</v>
      </c>
      <c r="E149" s="459">
        <f>E81*Calc_SEC_retirement_rates!$G128</f>
        <v>9.537048383443536E-2</v>
      </c>
      <c r="F149" s="459">
        <f>F81*Calc_SEC_retirement_rates!$G128</f>
        <v>9.6255053150710923E-2</v>
      </c>
      <c r="G149" s="459">
        <f>G81*Calc_SEC_retirement_rates!$G128</f>
        <v>9.6407110577238234E-2</v>
      </c>
      <c r="H149" s="459">
        <f>H81*Calc_SEC_retirement_rates!$G128</f>
        <v>9.5960253524772554E-2</v>
      </c>
      <c r="I149" s="459">
        <f>I81*Calc_SEC_retirement_rates!$G128</f>
        <v>9.5560992798359071E-2</v>
      </c>
      <c r="J149" s="459">
        <f>J81*Calc_SEC_retirement_rates!$G128</f>
        <v>9.5020471674050894E-2</v>
      </c>
      <c r="K149" s="459">
        <f>K81*Calc_SEC_retirement_rates!$G128</f>
        <v>9.4563920173747443E-2</v>
      </c>
      <c r="L149" s="459">
        <f>L81*Calc_SEC_retirement_rates!$G128</f>
        <v>9.3943382542324816E-2</v>
      </c>
      <c r="M149" s="459">
        <f>M81*Calc_SEC_retirement_rates!$G128</f>
        <v>9.3244781524839837E-2</v>
      </c>
      <c r="N149" s="459">
        <f>N81*Calc_SEC_retirement_rates!$G128</f>
        <v>9.2614303259303712E-2</v>
      </c>
    </row>
    <row r="150" spans="1:14">
      <c r="B150" s="338" t="str">
        <f t="shared" si="56"/>
        <v>45-49</v>
      </c>
      <c r="C150" s="459">
        <f>C82*Calc_SEC_retirement_rates!$G129</f>
        <v>0.1824953172685494</v>
      </c>
      <c r="D150" s="459">
        <f>D82*Calc_SEC_retirement_rates!$G129</f>
        <v>0.18536324006063093</v>
      </c>
      <c r="E150" s="459">
        <f>E82*Calc_SEC_retirement_rates!$G129</f>
        <v>0.18965673962080726</v>
      </c>
      <c r="F150" s="459">
        <f>F82*Calc_SEC_retirement_rates!$G129</f>
        <v>0.19315079947840794</v>
      </c>
      <c r="G150" s="459">
        <f>G82*Calc_SEC_retirement_rates!$G129</f>
        <v>0.19627875766634484</v>
      </c>
      <c r="H150" s="459">
        <f>H82*Calc_SEC_retirement_rates!$G129</f>
        <v>0.19858032273363135</v>
      </c>
      <c r="I150" s="459">
        <f>I82*Calc_SEC_retirement_rates!$G129</f>
        <v>0.20085007630580412</v>
      </c>
      <c r="J150" s="459">
        <f>J82*Calc_SEC_retirement_rates!$G129</f>
        <v>0.20241189828318584</v>
      </c>
      <c r="K150" s="459">
        <f>K82*Calc_SEC_retirement_rates!$G129</f>
        <v>0.20356114758514671</v>
      </c>
      <c r="L150" s="459">
        <f>L82*Calc_SEC_retirement_rates!$G129</f>
        <v>0.20376273055985286</v>
      </c>
      <c r="M150" s="459">
        <f>M82*Calc_SEC_retirement_rates!$G129</f>
        <v>0.20322505024924264</v>
      </c>
      <c r="N150" s="459">
        <f>N82*Calc_SEC_retirement_rates!$G129</f>
        <v>0.20233114168483265</v>
      </c>
    </row>
    <row r="151" spans="1:14">
      <c r="B151" s="338" t="str">
        <f t="shared" si="56"/>
        <v>50-54</v>
      </c>
      <c r="C151" s="459">
        <f>C83*Calc_SEC_retirement_rates!$G130</f>
        <v>3.1684242420468345</v>
      </c>
      <c r="D151" s="459">
        <f>D83*Calc_SEC_retirement_rates!$G130</f>
        <v>3.1762432936019676</v>
      </c>
      <c r="E151" s="459">
        <f>E83*Calc_SEC_retirement_rates!$G130</f>
        <v>3.2052821726926846</v>
      </c>
      <c r="F151" s="459">
        <f>F83*Calc_SEC_retirement_rates!$G130</f>
        <v>3.2314362050538206</v>
      </c>
      <c r="G151" s="459">
        <f>G83*Calc_SEC_retirement_rates!$G130</f>
        <v>3.2670020940975584</v>
      </c>
      <c r="H151" s="459">
        <f>H83*Calc_SEC_retirement_rates!$G130</f>
        <v>3.3040394931192085</v>
      </c>
      <c r="I151" s="459">
        <f>I83*Calc_SEC_retirement_rates!$G130</f>
        <v>3.3529602229378388</v>
      </c>
      <c r="J151" s="459">
        <f>J83*Calc_SEC_retirement_rates!$G130</f>
        <v>3.3983835572688217</v>
      </c>
      <c r="K151" s="459">
        <f>K83*Calc_SEC_retirement_rates!$G130</f>
        <v>3.4412987194466447</v>
      </c>
      <c r="L151" s="459">
        <f>L83*Calc_SEC_retirement_rates!$G130</f>
        <v>3.469298456719887</v>
      </c>
      <c r="M151" s="459">
        <f>M83*Calc_SEC_retirement_rates!$G130</f>
        <v>3.4833274438495092</v>
      </c>
      <c r="N151" s="459">
        <f>N83*Calc_SEC_retirement_rates!$G130</f>
        <v>3.488106057921935</v>
      </c>
    </row>
    <row r="152" spans="1:14">
      <c r="B152" s="338" t="str">
        <f t="shared" si="56"/>
        <v>55-59</v>
      </c>
      <c r="C152" s="459">
        <f>C84*Calc_SEC_retirement_rates!$G131</f>
        <v>18.200336573811065</v>
      </c>
      <c r="D152" s="459">
        <f>D84*Calc_SEC_retirement_rates!$G131</f>
        <v>15.832595759440535</v>
      </c>
      <c r="E152" s="459">
        <f>E84*Calc_SEC_retirement_rates!$G131</f>
        <v>14.500298914161409</v>
      </c>
      <c r="F152" s="459">
        <f>F84*Calc_SEC_retirement_rates!$G131</f>
        <v>13.68621926002958</v>
      </c>
      <c r="G152" s="459">
        <f>G84*Calc_SEC_retirement_rates!$G131</f>
        <v>13.251520808070266</v>
      </c>
      <c r="H152" s="459">
        <f>H84*Calc_SEC_retirement_rates!$G131</f>
        <v>13.034834900104824</v>
      </c>
      <c r="I152" s="459">
        <f>I84*Calc_SEC_retirement_rates!$G131</f>
        <v>13.02277895155015</v>
      </c>
      <c r="J152" s="459">
        <f>J84*Calc_SEC_retirement_rates!$G131</f>
        <v>13.086635857019905</v>
      </c>
      <c r="K152" s="459">
        <f>K84*Calc_SEC_retirement_rates!$G131</f>
        <v>13.20583489650963</v>
      </c>
      <c r="L152" s="459">
        <f>L84*Calc_SEC_retirement_rates!$G131</f>
        <v>13.295541104385631</v>
      </c>
      <c r="M152" s="459">
        <f>M84*Calc_SEC_retirement_rates!$G131</f>
        <v>13.350951821878024</v>
      </c>
      <c r="N152" s="459">
        <f>N84*Calc_SEC_retirement_rates!$G131</f>
        <v>13.386916999095732</v>
      </c>
    </row>
    <row r="153" spans="1:14">
      <c r="B153" s="338" t="str">
        <f t="shared" si="56"/>
        <v>60-64</v>
      </c>
      <c r="C153" s="459">
        <f>C85*Calc_SEC_retirement_rates!$G132</f>
        <v>14.593371858708243</v>
      </c>
      <c r="D153" s="459">
        <f>D85*Calc_SEC_retirement_rates!$G132</f>
        <v>12.690312133228183</v>
      </c>
      <c r="E153" s="459">
        <f>E85*Calc_SEC_retirement_rates!$G132</f>
        <v>11.203113087062281</v>
      </c>
      <c r="F153" s="459">
        <f>F85*Calc_SEC_retirement_rates!$G132</f>
        <v>10.071607600279473</v>
      </c>
      <c r="G153" s="459">
        <f>G85*Calc_SEC_retirement_rates!$G132</f>
        <v>9.3229428604309241</v>
      </c>
      <c r="H153" s="459">
        <f>H85*Calc_SEC_retirement_rates!$G132</f>
        <v>8.8408053016318515</v>
      </c>
      <c r="I153" s="459">
        <f>I85*Calc_SEC_retirement_rates!$G132</f>
        <v>8.6162466437565843</v>
      </c>
      <c r="J153" s="459">
        <f>J85*Calc_SEC_retirement_rates!$G132</f>
        <v>8.5108913057022395</v>
      </c>
      <c r="K153" s="459">
        <f>K85*Calc_SEC_retirement_rates!$G132</f>
        <v>8.4976621187951622</v>
      </c>
      <c r="L153" s="459">
        <f>L85*Calc_SEC_retirement_rates!$G132</f>
        <v>8.4863308607503214</v>
      </c>
      <c r="M153" s="459">
        <f>M85*Calc_SEC_retirement_rates!$G132</f>
        <v>8.4709263301954287</v>
      </c>
      <c r="N153" s="459">
        <f>N85*Calc_SEC_retirement_rates!$G132</f>
        <v>8.4632437104537388</v>
      </c>
    </row>
    <row r="154" spans="1:14">
      <c r="B154" s="338" t="str">
        <f t="shared" si="56"/>
        <v>65 plus</v>
      </c>
      <c r="C154" s="459">
        <f>C86*Calc_SEC_retirement_rates!$G133</f>
        <v>5.0763804065104328</v>
      </c>
      <c r="D154" s="459">
        <f>D86*Calc_SEC_retirement_rates!$G133</f>
        <v>5.0978125425629628</v>
      </c>
      <c r="E154" s="459">
        <f>E86*Calc_SEC_retirement_rates!$G133</f>
        <v>4.8713660387227025</v>
      </c>
      <c r="F154" s="459">
        <f>F86*Calc_SEC_retirement_rates!$G133</f>
        <v>4.5180117832466555</v>
      </c>
      <c r="G154" s="459">
        <f>G86*Calc_SEC_retirement_rates!$G133</f>
        <v>4.177211162421866</v>
      </c>
      <c r="H154" s="459">
        <f>H86*Calc_SEC_retirement_rates!$G133</f>
        <v>3.8880691176062818</v>
      </c>
      <c r="I154" s="459">
        <f>I86*Calc_SEC_retirement_rates!$G133</f>
        <v>3.6940059662766869</v>
      </c>
      <c r="J154" s="459">
        <f>J86*Calc_SEC_retirement_rates!$G133</f>
        <v>3.5612820378502987</v>
      </c>
      <c r="K154" s="459">
        <f>K86*Calc_SEC_retirement_rates!$G133</f>
        <v>3.4842084498289578</v>
      </c>
      <c r="L154" s="459">
        <f>L86*Calc_SEC_retirement_rates!$G133</f>
        <v>3.425303449754276</v>
      </c>
      <c r="M154" s="459">
        <f>M86*Calc_SEC_retirement_rates!$G133</f>
        <v>3.3776400451543993</v>
      </c>
      <c r="N154" s="459">
        <f>N86*Calc_SEC_retirement_rates!$G133</f>
        <v>3.3434935730006887</v>
      </c>
    </row>
    <row r="155" spans="1:14">
      <c r="B155" s="338" t="str">
        <f t="shared" si="56"/>
        <v>Total</v>
      </c>
      <c r="C155" s="459">
        <f>SUM(C145:C154)</f>
        <v>41.399886840927735</v>
      </c>
      <c r="D155" s="459">
        <f t="shared" ref="D155:N155" si="58">SUM(D145:D154)</f>
        <v>37.162618141545522</v>
      </c>
      <c r="E155" s="459">
        <f t="shared" si="58"/>
        <v>34.150335761248549</v>
      </c>
      <c r="F155" s="459">
        <f t="shared" si="58"/>
        <v>31.879503833460433</v>
      </c>
      <c r="G155" s="459">
        <f t="shared" si="58"/>
        <v>30.391999072226064</v>
      </c>
      <c r="H155" s="459">
        <f t="shared" si="58"/>
        <v>29.4410170478527</v>
      </c>
      <c r="I155" s="459">
        <f t="shared" si="58"/>
        <v>29.059962527975049</v>
      </c>
      <c r="J155" s="459">
        <f t="shared" si="58"/>
        <v>28.931442971149622</v>
      </c>
      <c r="K155" s="459">
        <f t="shared" si="58"/>
        <v>29.00368728646</v>
      </c>
      <c r="L155" s="459">
        <f t="shared" si="58"/>
        <v>29.050590474213877</v>
      </c>
      <c r="M155" s="459">
        <f t="shared" si="58"/>
        <v>29.055636199372934</v>
      </c>
      <c r="N155" s="459">
        <f t="shared" si="58"/>
        <v>29.053026664737175</v>
      </c>
    </row>
    <row r="156" spans="1:14">
      <c r="A156" s="309">
        <f>SUM(C156:N156)</f>
        <v>0</v>
      </c>
      <c r="C156" s="309">
        <f t="shared" ref="C156:N156" si="59">SUM(C145:C154)-C155</f>
        <v>0</v>
      </c>
      <c r="D156" s="309">
        <f t="shared" si="59"/>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0.11445926153981857</v>
      </c>
      <c r="D163" s="459">
        <f>D95*Calc_SEC_retirement_rates!$G142</f>
        <v>0.10409153634356687</v>
      </c>
      <c r="E163" s="459">
        <f>E95*Calc_SEC_retirement_rates!$G142</f>
        <v>9.6113410130880012E-2</v>
      </c>
      <c r="F163" s="459">
        <f>F95*Calc_SEC_retirement_rates!$G142</f>
        <v>8.9417177889318245E-2</v>
      </c>
      <c r="G163" s="459">
        <f>G95*Calc_SEC_retirement_rates!$G142</f>
        <v>8.4403682105060093E-2</v>
      </c>
      <c r="H163" s="459">
        <f>H95*Calc_SEC_retirement_rates!$G142</f>
        <v>8.0643537995139569E-2</v>
      </c>
      <c r="I163" s="459">
        <f>I95*Calc_SEC_retirement_rates!$G142</f>
        <v>7.8504943626653376E-2</v>
      </c>
      <c r="J163" s="459">
        <f>J95*Calc_SEC_retirement_rates!$G142</f>
        <v>7.723869663815694E-2</v>
      </c>
      <c r="K163" s="459">
        <f>K95*Calc_SEC_retirement_rates!$G142</f>
        <v>7.6749404383163036E-2</v>
      </c>
      <c r="L163" s="459">
        <f>L95*Calc_SEC_retirement_rates!$G142</f>
        <v>7.6346333350009524E-2</v>
      </c>
      <c r="M163" s="459">
        <f>M95*Calc_SEC_retirement_rates!$G142</f>
        <v>7.5894674631664244E-2</v>
      </c>
      <c r="N163" s="459">
        <f>N95*Calc_SEC_retirement_rates!$G142</f>
        <v>7.5459084643474325E-2</v>
      </c>
    </row>
    <row r="164" spans="1:14">
      <c r="B164" s="338" t="str">
        <f t="shared" si="60"/>
        <v>35-39</v>
      </c>
      <c r="C164" s="459">
        <f>C96*Calc_SEC_retirement_rates!$G143</f>
        <v>0.28290779630484053</v>
      </c>
      <c r="D164" s="459">
        <f>D96*Calc_SEC_retirement_rates!$G143</f>
        <v>0.28078139836827198</v>
      </c>
      <c r="E164" s="459">
        <f>E96*Calc_SEC_retirement_rates!$G143</f>
        <v>0.27480811389418175</v>
      </c>
      <c r="F164" s="459">
        <f>F96*Calc_SEC_retirement_rates!$G143</f>
        <v>0.26529277782153626</v>
      </c>
      <c r="G164" s="459">
        <f>G96*Calc_SEC_retirement_rates!$G143</f>
        <v>0.25503589806185412</v>
      </c>
      <c r="H164" s="459">
        <f>H96*Calc_SEC_retirement_rates!$G143</f>
        <v>0.24479954850120741</v>
      </c>
      <c r="I164" s="459">
        <f>I96*Calc_SEC_retirement_rates!$G143</f>
        <v>0.23638614307470004</v>
      </c>
      <c r="J164" s="459">
        <f>J96*Calc_SEC_retirement_rates!$G143</f>
        <v>0.22918827510609838</v>
      </c>
      <c r="K164" s="459">
        <f>K96*Calc_SEC_retirement_rates!$G143</f>
        <v>0.2235722503732048</v>
      </c>
      <c r="L164" s="459">
        <f>L96*Calc_SEC_retirement_rates!$G143</f>
        <v>0.21859114003682895</v>
      </c>
      <c r="M164" s="459">
        <f>M96*Calc_SEC_retirement_rates!$G143</f>
        <v>0.21416804610776549</v>
      </c>
      <c r="N164" s="459">
        <f>N96*Calc_SEC_retirement_rates!$G143</f>
        <v>0.21043626386881423</v>
      </c>
    </row>
    <row r="165" spans="1:14">
      <c r="B165" s="338" t="str">
        <f t="shared" si="60"/>
        <v>40-44</v>
      </c>
      <c r="C165" s="459">
        <f>C97*Calc_SEC_retirement_rates!$G144</f>
        <v>0.30418642229476411</v>
      </c>
      <c r="D165" s="459">
        <f>D97*Calc_SEC_retirement_rates!$G144</f>
        <v>0.32633409457780477</v>
      </c>
      <c r="E165" s="459">
        <f>E97*Calc_SEC_retirement_rates!$G144</f>
        <v>0.3433210370304362</v>
      </c>
      <c r="F165" s="459">
        <f>F97*Calc_SEC_retirement_rates!$G144</f>
        <v>0.35276406085122292</v>
      </c>
      <c r="G165" s="459">
        <f>G97*Calc_SEC_retirement_rates!$G144</f>
        <v>0.35719215787813835</v>
      </c>
      <c r="H165" s="459">
        <f>H97*Calc_SEC_retirement_rates!$G144</f>
        <v>0.35729366733342421</v>
      </c>
      <c r="I165" s="459">
        <f>I97*Calc_SEC_retirement_rates!$G144</f>
        <v>0.35575401854072408</v>
      </c>
      <c r="J165" s="459">
        <f>J97*Calc_SEC_retirement_rates!$G144</f>
        <v>0.35225727075430974</v>
      </c>
      <c r="K165" s="459">
        <f>K97*Calc_SEC_retirement_rates!$G144</f>
        <v>0.3479909571224295</v>
      </c>
      <c r="L165" s="459">
        <f>L97*Calc_SEC_retirement_rates!$G144</f>
        <v>0.34238382725647765</v>
      </c>
      <c r="M165" s="459">
        <f>M97*Calc_SEC_retirement_rates!$G144</f>
        <v>0.33603625532886017</v>
      </c>
      <c r="N165" s="459">
        <f>N97*Calc_SEC_retirement_rates!$G144</f>
        <v>0.32971488569893609</v>
      </c>
    </row>
    <row r="166" spans="1:14">
      <c r="B166" s="338" t="str">
        <f t="shared" si="60"/>
        <v>45-49</v>
      </c>
      <c r="C166" s="459">
        <f>C98*Calc_SEC_retirement_rates!$G145</f>
        <v>0.37892569794648218</v>
      </c>
      <c r="D166" s="459">
        <f>D98*Calc_SEC_retirement_rates!$G145</f>
        <v>0.42203333080749911</v>
      </c>
      <c r="E166" s="459">
        <f>E98*Calc_SEC_retirement_rates!$G145</f>
        <v>0.4640935937320565</v>
      </c>
      <c r="F166" s="459">
        <f>F98*Calc_SEC_retirement_rates!$G145</f>
        <v>0.49918096269038587</v>
      </c>
      <c r="G166" s="459">
        <f>G98*Calc_SEC_retirement_rates!$G145</f>
        <v>0.52895925636003038</v>
      </c>
      <c r="H166" s="459">
        <f>H98*Calc_SEC_retirement_rates!$G145</f>
        <v>0.55229226499467554</v>
      </c>
      <c r="I166" s="459">
        <f>I98*Calc_SEC_retirement_rates!$G145</f>
        <v>0.57181522102638005</v>
      </c>
      <c r="J166" s="459">
        <f>J98*Calc_SEC_retirement_rates!$G145</f>
        <v>0.58580747215093454</v>
      </c>
      <c r="K166" s="459">
        <f>K98*Calc_SEC_retirement_rates!$G145</f>
        <v>0.59552090595858553</v>
      </c>
      <c r="L166" s="459">
        <f>L98*Calc_SEC_retirement_rates!$G145</f>
        <v>0.59975770928064287</v>
      </c>
      <c r="M166" s="459">
        <f>M98*Calc_SEC_retirement_rates!$G145</f>
        <v>0.59956778237373087</v>
      </c>
      <c r="N166" s="459">
        <f>N98*Calc_SEC_retirement_rates!$G145</f>
        <v>0.59651749135817866</v>
      </c>
    </row>
    <row r="167" spans="1:14">
      <c r="B167" s="338" t="str">
        <f t="shared" si="60"/>
        <v>50-54</v>
      </c>
      <c r="C167" s="459">
        <f>C99*Calc_SEC_retirement_rates!$G146</f>
        <v>5.6191031857297391</v>
      </c>
      <c r="D167" s="459">
        <f>D99*Calc_SEC_retirement_rates!$G146</f>
        <v>5.9618534255301752</v>
      </c>
      <c r="E167" s="459">
        <f>E99*Calc_SEC_retirement_rates!$G146</f>
        <v>6.4088687774287818</v>
      </c>
      <c r="F167" s="459">
        <f>F99*Calc_SEC_retirement_rates!$G146</f>
        <v>6.8572160245102562</v>
      </c>
      <c r="G167" s="459">
        <f>G99*Calc_SEC_retirement_rates!$G146</f>
        <v>7.3213550063749002</v>
      </c>
      <c r="H167" s="459">
        <f>H99*Calc_SEC_retirement_rates!$G146</f>
        <v>7.7650583205791293</v>
      </c>
      <c r="I167" s="459">
        <f>I99*Calc_SEC_retirement_rates!$G146</f>
        <v>8.2096887758514576</v>
      </c>
      <c r="J167" s="459">
        <f>J99*Calc_SEC_retirement_rates!$G146</f>
        <v>8.605972256900186</v>
      </c>
      <c r="K167" s="459">
        <f>K99*Calc_SEC_retirement_rates!$G146</f>
        <v>8.954424162380727</v>
      </c>
      <c r="L167" s="459">
        <f>L99*Calc_SEC_retirement_rates!$G146</f>
        <v>9.2192199760103613</v>
      </c>
      <c r="M167" s="459">
        <f>M99*Calc_SEC_retirement_rates!$G146</f>
        <v>9.4046115450703738</v>
      </c>
      <c r="N167" s="459">
        <f>N99*Calc_SEC_retirement_rates!$G146</f>
        <v>9.5269112708585375</v>
      </c>
    </row>
    <row r="168" spans="1:14">
      <c r="B168" s="338" t="str">
        <f t="shared" si="60"/>
        <v>55-59</v>
      </c>
      <c r="C168" s="459">
        <f>C100*Calc_SEC_retirement_rates!$G147</f>
        <v>32.885869770795487</v>
      </c>
      <c r="D168" s="459">
        <f>D100*Calc_SEC_retirement_rates!$G147</f>
        <v>30.467477458762861</v>
      </c>
      <c r="E168" s="459">
        <f>E100*Calc_SEC_retirement_rates!$G147</f>
        <v>29.701889690722048</v>
      </c>
      <c r="F168" s="459">
        <f>F100*Calc_SEC_retirement_rates!$G147</f>
        <v>29.689729590401143</v>
      </c>
      <c r="G168" s="459">
        <f>G100*Calc_SEC_retirement_rates!$G147</f>
        <v>30.369427536283077</v>
      </c>
      <c r="H168" s="459">
        <f>H100*Calc_SEC_retirement_rates!$G147</f>
        <v>31.425920281941156</v>
      </c>
      <c r="I168" s="459">
        <f>I100*Calc_SEC_retirement_rates!$G147</f>
        <v>32.90899605908178</v>
      </c>
      <c r="J168" s="459">
        <f>J100*Calc_SEC_retirement_rates!$G147</f>
        <v>34.45744081169186</v>
      </c>
      <c r="K168" s="459">
        <f>K100*Calc_SEC_retirement_rates!$G147</f>
        <v>36.022334010456291</v>
      </c>
      <c r="L168" s="459">
        <f>L100*Calc_SEC_retirement_rates!$G147</f>
        <v>37.343315776643728</v>
      </c>
      <c r="M168" s="459">
        <f>M100*Calc_SEC_retirement_rates!$G147</f>
        <v>38.406836387457069</v>
      </c>
      <c r="N168" s="459">
        <f>N100*Calc_SEC_retirement_rates!$G147</f>
        <v>39.262456037139998</v>
      </c>
    </row>
    <row r="169" spans="1:14">
      <c r="B169" s="338" t="str">
        <f t="shared" si="60"/>
        <v>60-64</v>
      </c>
      <c r="C169" s="459">
        <f>C101*Calc_SEC_retirement_rates!$G148</f>
        <v>31.166526651230377</v>
      </c>
      <c r="D169" s="459">
        <f>D101*Calc_SEC_retirement_rates!$G148</f>
        <v>27.409119613809573</v>
      </c>
      <c r="E169" s="459">
        <f>E101*Calc_SEC_retirement_rates!$G148</f>
        <v>25.14974353821254</v>
      </c>
      <c r="F169" s="459">
        <f>F101*Calc_SEC_retirement_rates!$G148</f>
        <v>23.656524117241926</v>
      </c>
      <c r="G169" s="459">
        <f>G101*Calc_SEC_retirement_rates!$G148</f>
        <v>23.012855020771553</v>
      </c>
      <c r="H169" s="459">
        <f>H101*Calc_SEC_retirement_rates!$G148</f>
        <v>22.905050979336671</v>
      </c>
      <c r="I169" s="459">
        <f>I101*Calc_SEC_retirement_rates!$G148</f>
        <v>23.415761167729706</v>
      </c>
      <c r="J169" s="459">
        <f>J101*Calc_SEC_retirement_rates!$G148</f>
        <v>24.128570561471296</v>
      </c>
      <c r="K169" s="459">
        <f>K101*Calc_SEC_retirement_rates!$G148</f>
        <v>25.006590865368644</v>
      </c>
      <c r="L169" s="459">
        <f>L101*Calc_SEC_retirement_rates!$G148</f>
        <v>25.759721504447697</v>
      </c>
      <c r="M169" s="459">
        <f>M101*Calc_SEC_retirement_rates!$G148</f>
        <v>26.39065185469105</v>
      </c>
      <c r="N169" s="459">
        <f>N101*Calc_SEC_retirement_rates!$G148</f>
        <v>26.953827629437704</v>
      </c>
    </row>
    <row r="170" spans="1:14">
      <c r="B170" s="338" t="str">
        <f t="shared" si="60"/>
        <v>65 plus</v>
      </c>
      <c r="C170" s="459">
        <f>C102*Calc_SEC_retirement_rates!$G149</f>
        <v>7.5711138917815664</v>
      </c>
      <c r="D170" s="459">
        <f>D102*Calc_SEC_retirement_rates!$G149</f>
        <v>9.0703026818985215</v>
      </c>
      <c r="E170" s="459">
        <f>E102*Calc_SEC_retirement_rates!$G149</f>
        <v>9.4160300543836968</v>
      </c>
      <c r="F170" s="459">
        <f>F102*Calc_SEC_retirement_rates!$G149</f>
        <v>9.2011691490880825</v>
      </c>
      <c r="G170" s="459">
        <f>G102*Calc_SEC_retirement_rates!$G149</f>
        <v>8.9194749143695287</v>
      </c>
      <c r="H170" s="459">
        <f>H102*Calc_SEC_retirement_rates!$G149</f>
        <v>8.6865865869331529</v>
      </c>
      <c r="I170" s="459">
        <f>I102*Calc_SEC_retirement_rates!$G149</f>
        <v>8.65594440536284</v>
      </c>
      <c r="J170" s="459">
        <f>J102*Calc_SEC_retirement_rates!$G149</f>
        <v>8.7161747813258845</v>
      </c>
      <c r="K170" s="459">
        <f>K102*Calc_SEC_retirement_rates!$G149</f>
        <v>8.8699433794414961</v>
      </c>
      <c r="L170" s="459">
        <f>L102*Calc_SEC_retirement_rates!$G149</f>
        <v>9.0047614403106575</v>
      </c>
      <c r="M170" s="459">
        <f>M102*Calc_SEC_retirement_rates!$G149</f>
        <v>9.1182621803527955</v>
      </c>
      <c r="N170" s="459">
        <f>N102*Calc_SEC_retirement_rates!$G149</f>
        <v>9.2338579592656309</v>
      </c>
    </row>
    <row r="171" spans="1:14">
      <c r="B171" s="338" t="str">
        <f t="shared" si="60"/>
        <v>Total</v>
      </c>
      <c r="C171" s="459">
        <f>SUM(C161:C170)</f>
        <v>78.32309267762308</v>
      </c>
      <c r="D171" s="459">
        <f t="shared" ref="D171:N171" si="62">SUM(D161:D170)</f>
        <v>74.041993540098275</v>
      </c>
      <c r="E171" s="459">
        <f t="shared" si="62"/>
        <v>71.854868215534623</v>
      </c>
      <c r="F171" s="459">
        <f t="shared" si="62"/>
        <v>70.611293860493873</v>
      </c>
      <c r="G171" s="459">
        <f t="shared" si="62"/>
        <v>70.848703472204136</v>
      </c>
      <c r="H171" s="459">
        <f t="shared" si="62"/>
        <v>72.017645187614562</v>
      </c>
      <c r="I171" s="459">
        <f t="shared" si="62"/>
        <v>74.432850734294249</v>
      </c>
      <c r="J171" s="459">
        <f t="shared" si="62"/>
        <v>77.152650126038736</v>
      </c>
      <c r="K171" s="459">
        <f t="shared" si="62"/>
        <v>80.097125935484527</v>
      </c>
      <c r="L171" s="459">
        <f t="shared" si="62"/>
        <v>82.564097707336401</v>
      </c>
      <c r="M171" s="459">
        <f t="shared" si="62"/>
        <v>84.546028726013319</v>
      </c>
      <c r="N171" s="459">
        <f t="shared" si="62"/>
        <v>86.189180622271266</v>
      </c>
    </row>
    <row r="172" spans="1:14">
      <c r="A172" s="309">
        <f>SUM(C172:N172)</f>
        <v>0</v>
      </c>
      <c r="C172" s="309">
        <f t="shared" ref="C172:N172" si="63">SUM(C161:C170)-C171</f>
        <v>0</v>
      </c>
      <c r="D172" s="309">
        <f t="shared" si="63"/>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4.8969327464178543E-2</v>
      </c>
      <c r="D181" s="459">
        <f>D79*Calc_SEC_death_rates!$G126</f>
        <v>4.603158921522419E-2</v>
      </c>
      <c r="E181" s="459">
        <f>E79*Calc_SEC_death_rates!$G126</f>
        <v>4.4232702675696803E-2</v>
      </c>
      <c r="F181" s="459">
        <f>F79*Calc_SEC_death_rates!$G126</f>
        <v>4.2869088410007763E-2</v>
      </c>
      <c r="G181" s="459">
        <f>G79*Calc_SEC_death_rates!$G126</f>
        <v>4.2140532491800456E-2</v>
      </c>
      <c r="H181" s="459">
        <f>H79*Calc_SEC_death_rates!$G126</f>
        <v>4.1813292954532538E-2</v>
      </c>
      <c r="I181" s="459">
        <f>I79*Calc_SEC_death_rates!$G126</f>
        <v>4.2122917660646936E-2</v>
      </c>
      <c r="J181" s="459">
        <f>J79*Calc_SEC_death_rates!$G126</f>
        <v>4.2681928381342681E-2</v>
      </c>
      <c r="K181" s="459">
        <f>K79*Calc_SEC_death_rates!$G126</f>
        <v>4.3469867791506737E-2</v>
      </c>
      <c r="L181" s="459">
        <f>L79*Calc_SEC_death_rates!$G126</f>
        <v>4.4126147414366212E-2</v>
      </c>
      <c r="M181" s="459">
        <f>M79*Calc_SEC_death_rates!$G126</f>
        <v>4.4597780664337665E-2</v>
      </c>
      <c r="N181" s="459">
        <f>N79*Calc_SEC_death_rates!$G126</f>
        <v>4.4943105548202307E-2</v>
      </c>
    </row>
    <row r="182" spans="1:14">
      <c r="B182" s="338" t="str">
        <f t="shared" si="64"/>
        <v>35-39</v>
      </c>
      <c r="C182" s="459">
        <f>C80*Calc_SEC_death_rates!$G127</f>
        <v>9.4143194890117771E-2</v>
      </c>
      <c r="D182" s="459">
        <f>D80*Calc_SEC_death_rates!$G127</f>
        <v>9.2196852971450957E-2</v>
      </c>
      <c r="E182" s="459">
        <f>E80*Calc_SEC_death_rates!$G127</f>
        <v>9.0084257583099708E-2</v>
      </c>
      <c r="F182" s="459">
        <f>F80*Calc_SEC_death_rates!$G127</f>
        <v>8.7521489289181686E-2</v>
      </c>
      <c r="G182" s="459">
        <f>G80*Calc_SEC_death_rates!$G127</f>
        <v>8.5210581104102387E-2</v>
      </c>
      <c r="H182" s="459">
        <f>H80*Calc_SEC_death_rates!$G127</f>
        <v>8.3193689862436956E-2</v>
      </c>
      <c r="I182" s="459">
        <f>I80*Calc_SEC_death_rates!$G127</f>
        <v>8.1959448112707139E-2</v>
      </c>
      <c r="J182" s="459">
        <f>J80*Calc_SEC_death_rates!$G127</f>
        <v>8.1175534826065113E-2</v>
      </c>
      <c r="K182" s="459">
        <f>K80*Calc_SEC_death_rates!$G127</f>
        <v>8.0900987242957467E-2</v>
      </c>
      <c r="L182" s="459">
        <f>L80*Calc_SEC_death_rates!$G127</f>
        <v>8.0745072772491655E-2</v>
      </c>
      <c r="M182" s="459">
        <f>M80*Calc_SEC_death_rates!$G127</f>
        <v>8.0650217754454565E-2</v>
      </c>
      <c r="N182" s="459">
        <f>N80*Calc_SEC_death_rates!$G127</f>
        <v>8.0650379221854918E-2</v>
      </c>
    </row>
    <row r="183" spans="1:14">
      <c r="B183" s="338" t="str">
        <f t="shared" si="64"/>
        <v>40-44</v>
      </c>
      <c r="C183" s="459">
        <f>C81*Calc_SEC_death_rates!$G128</f>
        <v>0.13356842861092785</v>
      </c>
      <c r="D183" s="459">
        <f>D81*Calc_SEC_death_rates!$G128</f>
        <v>0.13840988833194512</v>
      </c>
      <c r="E183" s="459">
        <f>E81*Calc_SEC_death_rates!$G128</f>
        <v>0.1418712232054031</v>
      </c>
      <c r="F183" s="459">
        <f>F81*Calc_SEC_death_rates!$G128</f>
        <v>0.14318709081836228</v>
      </c>
      <c r="G183" s="459">
        <f>G81*Calc_SEC_death_rates!$G128</f>
        <v>0.14341328840310291</v>
      </c>
      <c r="H183" s="459">
        <f>H81*Calc_SEC_death_rates!$G128</f>
        <v>0.14274855279432355</v>
      </c>
      <c r="I183" s="459">
        <f>I81*Calc_SEC_death_rates!$G128</f>
        <v>0.14215462052768543</v>
      </c>
      <c r="J183" s="459">
        <f>J81*Calc_SEC_death_rates!$G128</f>
        <v>0.14135055212003128</v>
      </c>
      <c r="K183" s="459">
        <f>K81*Calc_SEC_death_rates!$G128</f>
        <v>0.14067139524465297</v>
      </c>
      <c r="L183" s="459">
        <f>L81*Calc_SEC_death_rates!$G128</f>
        <v>0.13974829588229948</v>
      </c>
      <c r="M183" s="459">
        <f>M81*Calc_SEC_death_rates!$G128</f>
        <v>0.13870907098903804</v>
      </c>
      <c r="N183" s="459">
        <f>N81*Calc_SEC_death_rates!$G128</f>
        <v>0.13777118413830849</v>
      </c>
    </row>
    <row r="184" spans="1:14">
      <c r="B184" s="338" t="str">
        <f t="shared" si="64"/>
        <v>45-49</v>
      </c>
      <c r="C184" s="459">
        <f>C82*Calc_SEC_death_rates!$G129</f>
        <v>0.11786834482444442</v>
      </c>
      <c r="D184" s="459">
        <f>D82*Calc_SEC_death_rates!$G129</f>
        <v>0.11972065159946985</v>
      </c>
      <c r="E184" s="459">
        <f>E82*Calc_SEC_death_rates!$G129</f>
        <v>0.12249369637802582</v>
      </c>
      <c r="F184" s="459">
        <f>F82*Calc_SEC_death_rates!$G129</f>
        <v>0.12475040662296261</v>
      </c>
      <c r="G184" s="459">
        <f>G82*Calc_SEC_death_rates!$G129</f>
        <v>0.1267706625934194</v>
      </c>
      <c r="H184" s="459">
        <f>H82*Calc_SEC_death_rates!$G129</f>
        <v>0.12825717561220343</v>
      </c>
      <c r="I184" s="459">
        <f>I82*Calc_SEC_death_rates!$G129</f>
        <v>0.12972314252420747</v>
      </c>
      <c r="J184" s="459">
        <f>J82*Calc_SEC_death_rates!$G129</f>
        <v>0.13073187729143182</v>
      </c>
      <c r="K184" s="459">
        <f>K82*Calc_SEC_death_rates!$G129</f>
        <v>0.13147414353168521</v>
      </c>
      <c r="L184" s="459">
        <f>L82*Calc_SEC_death_rates!$G129</f>
        <v>0.13160434003167781</v>
      </c>
      <c r="M184" s="459">
        <f>M82*Calc_SEC_death_rates!$G129</f>
        <v>0.13125706817174806</v>
      </c>
      <c r="N184" s="459">
        <f>N82*Calc_SEC_death_rates!$G129</f>
        <v>0.13067971898554206</v>
      </c>
    </row>
    <row r="185" spans="1:14">
      <c r="B185" s="338" t="str">
        <f t="shared" si="64"/>
        <v>50-54</v>
      </c>
      <c r="C185" s="459">
        <f>C83*Calc_SEC_death_rates!$G130</f>
        <v>0.17950106663043791</v>
      </c>
      <c r="D185" s="459">
        <f>D83*Calc_SEC_death_rates!$G130</f>
        <v>0.17994404016774365</v>
      </c>
      <c r="E185" s="459">
        <f>E83*Calc_SEC_death_rates!$G130</f>
        <v>0.18158918279143749</v>
      </c>
      <c r="F185" s="459">
        <f>F83*Calc_SEC_death_rates!$G130</f>
        <v>0.18307088989467504</v>
      </c>
      <c r="G185" s="459">
        <f>G83*Calc_SEC_death_rates!$G130</f>
        <v>0.18508580788901741</v>
      </c>
      <c r="H185" s="459">
        <f>H83*Calc_SEC_death_rates!$G130</f>
        <v>0.18718409149049259</v>
      </c>
      <c r="I185" s="459">
        <f>I83*Calc_SEC_death_rates!$G130</f>
        <v>0.18995560266196085</v>
      </c>
      <c r="J185" s="459">
        <f>J83*Calc_SEC_death_rates!$G130</f>
        <v>0.19252897552476131</v>
      </c>
      <c r="K185" s="459">
        <f>K83*Calc_SEC_death_rates!$G130</f>
        <v>0.19496025265088282</v>
      </c>
      <c r="L185" s="459">
        <f>L83*Calc_SEC_death_rates!$G130</f>
        <v>0.19654652466560274</v>
      </c>
      <c r="M185" s="459">
        <f>M83*Calc_SEC_death_rates!$G130</f>
        <v>0.1973413103259615</v>
      </c>
      <c r="N185" s="459">
        <f>N83*Calc_SEC_death_rates!$G130</f>
        <v>0.19761203364376492</v>
      </c>
    </row>
    <row r="186" spans="1:14">
      <c r="B186" s="338" t="str">
        <f t="shared" si="64"/>
        <v>55-59</v>
      </c>
      <c r="C186" s="459">
        <f>C84*Calc_SEC_death_rates!$G131</f>
        <v>0.12487875136357886</v>
      </c>
      <c r="D186" s="459">
        <f>D84*Calc_SEC_death_rates!$G131</f>
        <v>0.10863286957715973</v>
      </c>
      <c r="E186" s="459">
        <f>E84*Calc_SEC_death_rates!$G131</f>
        <v>9.9491523986688923E-2</v>
      </c>
      <c r="F186" s="459">
        <f>F84*Calc_SEC_death_rates!$G131</f>
        <v>9.3905844276525763E-2</v>
      </c>
      <c r="G186" s="459">
        <f>G84*Calc_SEC_death_rates!$G131</f>
        <v>9.0923229110030909E-2</v>
      </c>
      <c r="H186" s="459">
        <f>H84*Calc_SEC_death_rates!$G131</f>
        <v>8.9436472779175782E-2</v>
      </c>
      <c r="I186" s="459">
        <f>I84*Calc_SEC_death_rates!$G131</f>
        <v>8.9353752781339155E-2</v>
      </c>
      <c r="J186" s="459">
        <f>J84*Calc_SEC_death_rates!$G131</f>
        <v>8.9791896910633981E-2</v>
      </c>
      <c r="K186" s="459">
        <f>K84*Calc_SEC_death_rates!$G131</f>
        <v>9.0609762402013627E-2</v>
      </c>
      <c r="L186" s="459">
        <f>L84*Calc_SEC_death_rates!$G131</f>
        <v>9.1225267460597878E-2</v>
      </c>
      <c r="M186" s="459">
        <f>M84*Calc_SEC_death_rates!$G131</f>
        <v>9.1605459397408912E-2</v>
      </c>
      <c r="N186" s="459">
        <f>N84*Calc_SEC_death_rates!$G131</f>
        <v>9.1852228813199821E-2</v>
      </c>
    </row>
    <row r="187" spans="1:14">
      <c r="B187" s="338" t="str">
        <f t="shared" si="64"/>
        <v>60-64</v>
      </c>
      <c r="C187" s="459">
        <f>C85*Calc_SEC_death_rates!$G132</f>
        <v>0.11286238180735472</v>
      </c>
      <c r="D187" s="459">
        <f>D85*Calc_SEC_death_rates!$G132</f>
        <v>9.8144477308048553E-2</v>
      </c>
      <c r="E187" s="459">
        <f>E85*Calc_SEC_death_rates!$G132</f>
        <v>8.6642760761865278E-2</v>
      </c>
      <c r="F187" s="459">
        <f>F85*Calc_SEC_death_rates!$G132</f>
        <v>7.7891911026600466E-2</v>
      </c>
      <c r="G187" s="459">
        <f>G85*Calc_SEC_death_rates!$G132</f>
        <v>7.2101879323675705E-2</v>
      </c>
      <c r="H187" s="459">
        <f>H85*Calc_SEC_death_rates!$G132</f>
        <v>6.8373118501866323E-2</v>
      </c>
      <c r="I187" s="459">
        <f>I85*Calc_SEC_death_rates!$G132</f>
        <v>6.6636424252679363E-2</v>
      </c>
      <c r="J187" s="459">
        <f>J85*Calc_SEC_death_rates!$G132</f>
        <v>6.5821625965891584E-2</v>
      </c>
      <c r="K187" s="459">
        <f>K85*Calc_SEC_death_rates!$G132</f>
        <v>6.5719313932856085E-2</v>
      </c>
      <c r="L187" s="459">
        <f>L85*Calc_SEC_death_rates!$G132</f>
        <v>6.5631680123192593E-2</v>
      </c>
      <c r="M187" s="459">
        <f>M85*Calc_SEC_death_rates!$G132</f>
        <v>6.5512544393226818E-2</v>
      </c>
      <c r="N187" s="459">
        <f>N85*Calc_SEC_death_rates!$G132</f>
        <v>6.5453128463107163E-2</v>
      </c>
    </row>
    <row r="188" spans="1:14">
      <c r="B188" s="338" t="str">
        <f t="shared" si="64"/>
        <v>65 plus</v>
      </c>
      <c r="C188" s="459">
        <f>C86*Calc_SEC_death_rates!$G133</f>
        <v>0.11154121163247842</v>
      </c>
      <c r="D188" s="459">
        <f>D86*Calc_SEC_death_rates!$G133</f>
        <v>0.11201213111284387</v>
      </c>
      <c r="E188" s="459">
        <f>E86*Calc_SEC_death_rates!$G133</f>
        <v>0.10703651553921824</v>
      </c>
      <c r="F188" s="459">
        <f>F86*Calc_SEC_death_rates!$G133</f>
        <v>9.9272408314168101E-2</v>
      </c>
      <c r="G188" s="459">
        <f>G86*Calc_SEC_death_rates!$G133</f>
        <v>9.1784136922381548E-2</v>
      </c>
      <c r="H188" s="459">
        <f>H86*Calc_SEC_death_rates!$G133</f>
        <v>8.5430938101572026E-2</v>
      </c>
      <c r="I188" s="459">
        <f>I86*Calc_SEC_death_rates!$G133</f>
        <v>8.1166868567941516E-2</v>
      </c>
      <c r="J188" s="459">
        <f>J86*Calc_SEC_death_rates!$G133</f>
        <v>7.8250580464253428E-2</v>
      </c>
      <c r="K188" s="459">
        <f>K86*Calc_SEC_death_rates!$G133</f>
        <v>7.6557074323197222E-2</v>
      </c>
      <c r="L188" s="459">
        <f>L86*Calc_SEC_death_rates!$G133</f>
        <v>7.5262779066853774E-2</v>
      </c>
      <c r="M188" s="459">
        <f>M86*Calc_SEC_death_rates!$G133</f>
        <v>7.4215490748432839E-2</v>
      </c>
      <c r="N188" s="459">
        <f>N86*Calc_SEC_death_rates!$G133</f>
        <v>7.3465204408166687E-2</v>
      </c>
    </row>
    <row r="189" spans="1:14">
      <c r="B189" s="338" t="str">
        <f t="shared" si="64"/>
        <v>Total</v>
      </c>
      <c r="C189" s="459">
        <f>SUM(C179:C188)</f>
        <v>0.92333270722351857</v>
      </c>
      <c r="D189" s="459">
        <f t="shared" ref="D189:N189" si="66">SUM(D179:D188)</f>
        <v>0.89509250028388598</v>
      </c>
      <c r="E189" s="459">
        <f t="shared" si="66"/>
        <v>0.87344186292143533</v>
      </c>
      <c r="F189" s="459">
        <f t="shared" si="66"/>
        <v>0.85246912865248359</v>
      </c>
      <c r="G189" s="459">
        <f t="shared" si="66"/>
        <v>0.83743011783753074</v>
      </c>
      <c r="H189" s="459">
        <f t="shared" si="66"/>
        <v>0.82643733209660319</v>
      </c>
      <c r="I189" s="459">
        <f t="shared" si="66"/>
        <v>0.82307277708916793</v>
      </c>
      <c r="J189" s="459">
        <f t="shared" si="66"/>
        <v>0.8223329714844112</v>
      </c>
      <c r="K189" s="459">
        <f t="shared" si="66"/>
        <v>0.82436279711975224</v>
      </c>
      <c r="L189" s="459">
        <f t="shared" si="66"/>
        <v>0.82489010741708213</v>
      </c>
      <c r="M189" s="459">
        <f t="shared" si="66"/>
        <v>0.82388894244460842</v>
      </c>
      <c r="N189" s="459">
        <f t="shared" si="66"/>
        <v>0.82242698322214636</v>
      </c>
    </row>
    <row r="190" spans="1:14">
      <c r="A190" s="309">
        <f>SUM(C190:N190)</f>
        <v>0</v>
      </c>
      <c r="C190" s="309">
        <f t="shared" ref="C190:N190" si="67">SUM(C179:C188)-C189</f>
        <v>0</v>
      </c>
      <c r="D190" s="309">
        <f t="shared" si="67"/>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4">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8"/>
        <v>30-34</v>
      </c>
      <c r="C197" s="459">
        <f>C95*Calc_SEC_death_rates!$G142</f>
        <v>6.4143692837381958E-2</v>
      </c>
      <c r="D197" s="459">
        <f>D95*Calc_SEC_death_rates!$G142</f>
        <v>5.833355417787818E-2</v>
      </c>
      <c r="E197" s="459">
        <f>E95*Calc_SEC_death_rates!$G142</f>
        <v>5.3862561876163714E-2</v>
      </c>
      <c r="F197" s="459">
        <f>F95*Calc_SEC_death_rates!$G142</f>
        <v>5.0109951049462829E-2</v>
      </c>
      <c r="G197" s="459">
        <f>G95*Calc_SEC_death_rates!$G142</f>
        <v>4.7300356357860784E-2</v>
      </c>
      <c r="H197" s="459">
        <f>H95*Calc_SEC_death_rates!$G142</f>
        <v>4.5193147857942872E-2</v>
      </c>
      <c r="I197" s="459">
        <f>I95*Calc_SEC_death_rates!$G142</f>
        <v>4.3994666071231259E-2</v>
      </c>
      <c r="J197" s="459">
        <f>J95*Calc_SEC_death_rates!$G142</f>
        <v>4.328505326407437E-2</v>
      </c>
      <c r="K197" s="459">
        <f>K95*Calc_SEC_death_rates!$G142</f>
        <v>4.3010850795092682E-2</v>
      </c>
      <c r="L197" s="459">
        <f>L95*Calc_SEC_death_rates!$G142</f>
        <v>4.2784967243212076E-2</v>
      </c>
      <c r="M197" s="459">
        <f>M95*Calc_SEC_death_rates!$G142</f>
        <v>4.2531854845778108E-2</v>
      </c>
      <c r="N197" s="459">
        <f>N95*Calc_SEC_death_rates!$G142</f>
        <v>4.2287747466177611E-2</v>
      </c>
    </row>
    <row r="198" spans="1:14">
      <c r="B198" s="338" t="str">
        <f t="shared" si="68"/>
        <v>35-39</v>
      </c>
      <c r="C198" s="459">
        <f>C96*Calc_SEC_death_rates!$G143</f>
        <v>0.21445564475156731</v>
      </c>
      <c r="D198" s="459">
        <f>D96*Calc_SEC_death_rates!$G143</f>
        <v>0.21284374841487588</v>
      </c>
      <c r="E198" s="459">
        <f>E96*Calc_SEC_death_rates!$G143</f>
        <v>0.2083157552315589</v>
      </c>
      <c r="F198" s="459">
        <f>F96*Calc_SEC_death_rates!$G143</f>
        <v>0.20110274251455265</v>
      </c>
      <c r="G198" s="459">
        <f>G96*Calc_SEC_death_rates!$G143</f>
        <v>0.19332760944741101</v>
      </c>
      <c r="H198" s="459">
        <f>H96*Calc_SEC_death_rates!$G143</f>
        <v>0.18556803910822714</v>
      </c>
      <c r="I198" s="459">
        <f>I96*Calc_SEC_death_rates!$G143</f>
        <v>0.17919033475060742</v>
      </c>
      <c r="J198" s="459">
        <f>J96*Calc_SEC_death_rates!$G143</f>
        <v>0.17373405734784603</v>
      </c>
      <c r="K198" s="459">
        <f>K96*Calc_SEC_death_rates!$G143</f>
        <v>0.16947688161510066</v>
      </c>
      <c r="L198" s="459">
        <f>L96*Calc_SEC_death_rates!$G143</f>
        <v>0.16570099688262357</v>
      </c>
      <c r="M198" s="459">
        <f>M96*Calc_SEC_death_rates!$G143</f>
        <v>0.16234811133919391</v>
      </c>
      <c r="N198" s="459">
        <f>N96*Calc_SEC_death_rates!$G143</f>
        <v>0.15951926824409449</v>
      </c>
    </row>
    <row r="199" spans="1:14">
      <c r="B199" s="338" t="str">
        <f t="shared" si="68"/>
        <v>40-44</v>
      </c>
      <c r="C199" s="459">
        <f>C97*Calc_SEC_death_rates!$G144</f>
        <v>0.16099242806874872</v>
      </c>
      <c r="D199" s="459">
        <f>D97*Calc_SEC_death_rates!$G144</f>
        <v>0.1727142120656113</v>
      </c>
      <c r="E199" s="459">
        <f>E97*Calc_SEC_death_rates!$G144</f>
        <v>0.18170464987109353</v>
      </c>
      <c r="F199" s="459">
        <f>F97*Calc_SEC_death_rates!$G144</f>
        <v>0.18670242499120171</v>
      </c>
      <c r="G199" s="459">
        <f>G97*Calc_SEC_death_rates!$G144</f>
        <v>0.18904602102257326</v>
      </c>
      <c r="H199" s="459">
        <f>H97*Calc_SEC_death_rates!$G144</f>
        <v>0.1890997454904674</v>
      </c>
      <c r="I199" s="459">
        <f>I97*Calc_SEC_death_rates!$G144</f>
        <v>0.18828487743804093</v>
      </c>
      <c r="J199" s="459">
        <f>J97*Calc_SEC_death_rates!$G144</f>
        <v>0.18643420339338107</v>
      </c>
      <c r="K199" s="459">
        <f>K97*Calc_SEC_death_rates!$G144</f>
        <v>0.1841762321620628</v>
      </c>
      <c r="L199" s="459">
        <f>L97*Calc_SEC_death_rates!$G144</f>
        <v>0.18120862616306246</v>
      </c>
      <c r="M199" s="459">
        <f>M97*Calc_SEC_death_rates!$G144</f>
        <v>0.17784913690887771</v>
      </c>
      <c r="N199" s="459">
        <f>N97*Calc_SEC_death_rates!$G144</f>
        <v>0.17450351537270228</v>
      </c>
    </row>
    <row r="200" spans="1:14">
      <c r="B200" s="338" t="str">
        <f t="shared" si="68"/>
        <v>45-49</v>
      </c>
      <c r="C200" s="459">
        <f>C98*Calc_SEC_death_rates!$G145</f>
        <v>0.14558685019549444</v>
      </c>
      <c r="D200" s="459">
        <f>D98*Calc_SEC_death_rates!$G145</f>
        <v>0.16214921195039875</v>
      </c>
      <c r="E200" s="459">
        <f>E98*Calc_SEC_death_rates!$G145</f>
        <v>0.17830916423330118</v>
      </c>
      <c r="F200" s="459">
        <f>F98*Calc_SEC_death_rates!$G145</f>
        <v>0.19179006446248492</v>
      </c>
      <c r="G200" s="459">
        <f>G98*Calc_SEC_death_rates!$G145</f>
        <v>0.20323116756806597</v>
      </c>
      <c r="H200" s="459">
        <f>H98*Calc_SEC_death_rates!$G145</f>
        <v>0.21219593097976272</v>
      </c>
      <c r="I200" s="459">
        <f>I98*Calc_SEC_death_rates!$G145</f>
        <v>0.21969683601355755</v>
      </c>
      <c r="J200" s="459">
        <f>J98*Calc_SEC_death_rates!$G145</f>
        <v>0.22507279172046227</v>
      </c>
      <c r="K200" s="459">
        <f>K98*Calc_SEC_death_rates!$G145</f>
        <v>0.22880478519649741</v>
      </c>
      <c r="L200" s="459">
        <f>L98*Calc_SEC_death_rates!$G145</f>
        <v>0.23043260525171907</v>
      </c>
      <c r="M200" s="459">
        <f>M98*Calc_SEC_death_rates!$G145</f>
        <v>0.23035963353115607</v>
      </c>
      <c r="N200" s="459">
        <f>N98*Calc_SEC_death_rates!$G145</f>
        <v>0.22918768276735069</v>
      </c>
    </row>
    <row r="201" spans="1:14">
      <c r="B201" s="338" t="str">
        <f t="shared" si="68"/>
        <v>50-54</v>
      </c>
      <c r="C201" s="459">
        <f>C99*Calc_SEC_death_rates!$G146</f>
        <v>0.13446379190181526</v>
      </c>
      <c r="D201" s="459">
        <f>D99*Calc_SEC_death_rates!$G146</f>
        <v>0.14266572295655489</v>
      </c>
      <c r="E201" s="459">
        <f>E99*Calc_SEC_death_rates!$G146</f>
        <v>0.15336269314340956</v>
      </c>
      <c r="F201" s="459">
        <f>F99*Calc_SEC_death_rates!$G146</f>
        <v>0.16409153526263215</v>
      </c>
      <c r="G201" s="459">
        <f>G99*Calc_SEC_death_rates!$G146</f>
        <v>0.17519826980871842</v>
      </c>
      <c r="H201" s="459">
        <f>H99*Calc_SEC_death_rates!$G146</f>
        <v>0.18581598372769764</v>
      </c>
      <c r="I201" s="459">
        <f>I99*Calc_SEC_death_rates!$G146</f>
        <v>0.19645588391012925</v>
      </c>
      <c r="J201" s="459">
        <f>J99*Calc_SEC_death_rates!$G146</f>
        <v>0.20593885259189104</v>
      </c>
      <c r="K201" s="459">
        <f>K99*Calc_SEC_death_rates!$G146</f>
        <v>0.21427722313922631</v>
      </c>
      <c r="L201" s="459">
        <f>L99*Calc_SEC_death_rates!$G146</f>
        <v>0.22061372346739086</v>
      </c>
      <c r="M201" s="459">
        <f>M99*Calc_SEC_death_rates!$G146</f>
        <v>0.22505009926232991</v>
      </c>
      <c r="N201" s="459">
        <f>N99*Calc_SEC_death_rates!$G146</f>
        <v>0.22797670237575773</v>
      </c>
    </row>
    <row r="202" spans="1:14">
      <c r="B202" s="338" t="str">
        <f t="shared" si="68"/>
        <v>55-59</v>
      </c>
      <c r="C202" s="459">
        <f>C100*Calc_SEC_death_rates!$G147</f>
        <v>0.2667454349250456</v>
      </c>
      <c r="D202" s="459">
        <f>D100*Calc_SEC_death_rates!$G147</f>
        <v>0.24712925589165996</v>
      </c>
      <c r="E202" s="459">
        <f>E100*Calc_SEC_death_rates!$G147</f>
        <v>0.24091938388332715</v>
      </c>
      <c r="F202" s="459">
        <f>F100*Calc_SEC_death_rates!$G147</f>
        <v>0.24082075029779515</v>
      </c>
      <c r="G202" s="459">
        <f>G100*Calc_SEC_death_rates!$G147</f>
        <v>0.24633394868529671</v>
      </c>
      <c r="H202" s="459">
        <f>H100*Calc_SEC_death_rates!$G147</f>
        <v>0.25490342301879865</v>
      </c>
      <c r="I202" s="459">
        <f>I100*Calc_SEC_death_rates!$G147</f>
        <v>0.2669330179772843</v>
      </c>
      <c r="J202" s="459">
        <f>J100*Calc_SEC_death_rates!$G147</f>
        <v>0.27949283688647381</v>
      </c>
      <c r="K202" s="459">
        <f>K100*Calc_SEC_death_rates!$G147</f>
        <v>0.29218607321639328</v>
      </c>
      <c r="L202" s="459">
        <f>L100*Calc_SEC_death_rates!$G147</f>
        <v>0.30290088350438649</v>
      </c>
      <c r="M202" s="459">
        <f>M100*Calc_SEC_death_rates!$G147</f>
        <v>0.31152736259283337</v>
      </c>
      <c r="N202" s="459">
        <f>N100*Calc_SEC_death_rates!$G147</f>
        <v>0.31846750549237657</v>
      </c>
    </row>
    <row r="203" spans="1:14">
      <c r="B203" s="338" t="str">
        <f t="shared" si="68"/>
        <v>60-64</v>
      </c>
      <c r="C203" s="459">
        <f>C101*Calc_SEC_death_rates!$G148</f>
        <v>0.18576707333665055</v>
      </c>
      <c r="D203" s="459">
        <f>D101*Calc_SEC_death_rates!$G148</f>
        <v>0.16337117030622281</v>
      </c>
      <c r="E203" s="459">
        <f>E101*Calc_SEC_death_rates!$G148</f>
        <v>0.14990423233692754</v>
      </c>
      <c r="F203" s="459">
        <f>F101*Calc_SEC_death_rates!$G148</f>
        <v>0.14100394630931498</v>
      </c>
      <c r="G203" s="459">
        <f>G101*Calc_SEC_death_rates!$G148</f>
        <v>0.13716737749346247</v>
      </c>
      <c r="H203" s="459">
        <f>H101*Calc_SEC_death_rates!$G148</f>
        <v>0.13652481499378688</v>
      </c>
      <c r="I203" s="459">
        <f>I101*Calc_SEC_death_rates!$G148</f>
        <v>0.13956888654152982</v>
      </c>
      <c r="J203" s="459">
        <f>J101*Calc_SEC_death_rates!$G148</f>
        <v>0.14381756386140113</v>
      </c>
      <c r="K203" s="459">
        <f>K101*Calc_SEC_death_rates!$G148</f>
        <v>0.14905097546386881</v>
      </c>
      <c r="L203" s="459">
        <f>L101*Calc_SEC_death_rates!$G148</f>
        <v>0.15353998626149498</v>
      </c>
      <c r="M203" s="459">
        <f>M101*Calc_SEC_death_rates!$G148</f>
        <v>0.15730062619277679</v>
      </c>
      <c r="N203" s="459">
        <f>N101*Calc_SEC_death_rates!$G148</f>
        <v>0.16065741716982512</v>
      </c>
    </row>
    <row r="204" spans="1:14">
      <c r="B204" s="338" t="str">
        <f t="shared" si="68"/>
        <v>65 plus</v>
      </c>
      <c r="C204" s="459">
        <f>C102*Calc_SEC_death_rates!$G149</f>
        <v>0.24378319814029631</v>
      </c>
      <c r="D204" s="459">
        <f>D102*Calc_SEC_death_rates!$G149</f>
        <v>0.29205575659005334</v>
      </c>
      <c r="E204" s="459">
        <f>E102*Calc_SEC_death_rates!$G149</f>
        <v>0.30318787344284115</v>
      </c>
      <c r="F204" s="459">
        <f>F102*Calc_SEC_death_rates!$G149</f>
        <v>0.2962695415570743</v>
      </c>
      <c r="G204" s="459">
        <f>G102*Calc_SEC_death_rates!$G149</f>
        <v>0.28719923533543423</v>
      </c>
      <c r="H204" s="459">
        <f>H102*Calc_SEC_death_rates!$G149</f>
        <v>0.27970043633656921</v>
      </c>
      <c r="I204" s="459">
        <f>I102*Calc_SEC_death_rates!$G149</f>
        <v>0.27871378508181593</v>
      </c>
      <c r="J204" s="459">
        <f>J102*Calc_SEC_death_rates!$G149</f>
        <v>0.28065315013263126</v>
      </c>
      <c r="K204" s="459">
        <f>K102*Calc_SEC_death_rates!$G149</f>
        <v>0.28560436354164692</v>
      </c>
      <c r="L204" s="459">
        <f>L102*Calc_SEC_death_rates!$G149</f>
        <v>0.28994538634430661</v>
      </c>
      <c r="M204" s="459">
        <f>M102*Calc_SEC_death_rates!$G149</f>
        <v>0.293600010194147</v>
      </c>
      <c r="N204" s="459">
        <f>N102*Calc_SEC_death_rates!$G149</f>
        <v>0.29732209245016478</v>
      </c>
    </row>
    <row r="205" spans="1:14">
      <c r="B205" s="338" t="str">
        <f t="shared" si="68"/>
        <v>Total</v>
      </c>
      <c r="C205" s="459">
        <f>SUM(C195:C204)</f>
        <v>1.415938114157</v>
      </c>
      <c r="D205" s="459">
        <f t="shared" ref="D205:N205" si="70">SUM(D195:D204)</f>
        <v>1.4512626323532554</v>
      </c>
      <c r="E205" s="459">
        <f t="shared" si="70"/>
        <v>1.4695663140186226</v>
      </c>
      <c r="F205" s="459">
        <f t="shared" si="70"/>
        <v>1.4718909564445188</v>
      </c>
      <c r="G205" s="459">
        <f t="shared" si="70"/>
        <v>1.4788039857188229</v>
      </c>
      <c r="H205" s="459">
        <f t="shared" si="70"/>
        <v>1.4890015215132522</v>
      </c>
      <c r="I205" s="459">
        <f t="shared" si="70"/>
        <v>1.5128382877841966</v>
      </c>
      <c r="J205" s="459">
        <f t="shared" si="70"/>
        <v>1.5384285091981611</v>
      </c>
      <c r="K205" s="459">
        <f t="shared" si="70"/>
        <v>1.5665873851298888</v>
      </c>
      <c r="L205" s="459">
        <f t="shared" si="70"/>
        <v>1.5871271751181961</v>
      </c>
      <c r="M205" s="459">
        <f t="shared" si="70"/>
        <v>1.6005668348670927</v>
      </c>
      <c r="N205" s="459">
        <f t="shared" si="70"/>
        <v>1.6099219313384492</v>
      </c>
    </row>
    <row r="206" spans="1:14">
      <c r="A206" s="309">
        <f>SUM(C206:N206)</f>
        <v>0</v>
      </c>
      <c r="C206" s="309">
        <f t="shared" ref="C206:N206" si="71">SUM(C195:C204)-C205</f>
        <v>0</v>
      </c>
      <c r="D206" s="309">
        <f t="shared" si="71"/>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2.4112207982825709</v>
      </c>
      <c r="D213" s="459">
        <f t="shared" ref="D213:N213" si="75">D111+D145+D179</f>
        <v>4.2905776515200982</v>
      </c>
      <c r="E213" s="459">
        <f t="shared" si="75"/>
        <v>5.811059245419</v>
      </c>
      <c r="F213" s="459">
        <f t="shared" si="75"/>
        <v>6.7045679980619592</v>
      </c>
      <c r="G213" s="459">
        <f t="shared" si="75"/>
        <v>7.3804923695514093</v>
      </c>
      <c r="H213" s="459">
        <f t="shared" si="75"/>
        <v>7.8434985665359269</v>
      </c>
      <c r="I213" s="459">
        <f t="shared" si="75"/>
        <v>8.3760564845594381</v>
      </c>
      <c r="J213" s="459">
        <f t="shared" si="75"/>
        <v>8.7744289131562532</v>
      </c>
      <c r="K213" s="459">
        <f t="shared" si="75"/>
        <v>9.1222984737084385</v>
      </c>
      <c r="L213" s="459">
        <f t="shared" si="75"/>
        <v>9.2566860275324068</v>
      </c>
      <c r="M213" s="459">
        <f t="shared" si="75"/>
        <v>9.2476902805285981</v>
      </c>
      <c r="N213" s="459">
        <f t="shared" si="75"/>
        <v>9.1947919042725985</v>
      </c>
    </row>
    <row r="214" spans="1:14">
      <c r="B214" s="338" t="str">
        <f t="shared" si="72"/>
        <v>25-29</v>
      </c>
      <c r="C214" s="459">
        <f t="shared" si="74"/>
        <v>10.027615748625092</v>
      </c>
      <c r="D214" s="459">
        <f t="shared" ref="D214:N214" si="76">D112+D146+D180</f>
        <v>10.238596342764156</v>
      </c>
      <c r="E214" s="459">
        <f t="shared" si="76"/>
        <v>10.832577673971354</v>
      </c>
      <c r="F214" s="459">
        <f t="shared" si="76"/>
        <v>11.288104792018261</v>
      </c>
      <c r="G214" s="459">
        <f t="shared" si="76"/>
        <v>11.783964193002495</v>
      </c>
      <c r="H214" s="459">
        <f t="shared" si="76"/>
        <v>12.221776920613852</v>
      </c>
      <c r="I214" s="459">
        <f t="shared" si="76"/>
        <v>12.808001775182811</v>
      </c>
      <c r="J214" s="459">
        <f t="shared" si="76"/>
        <v>13.329612243544302</v>
      </c>
      <c r="K214" s="459">
        <f t="shared" si="76"/>
        <v>13.8303115064067</v>
      </c>
      <c r="L214" s="459">
        <f t="shared" si="76"/>
        <v>14.132041934586239</v>
      </c>
      <c r="M214" s="459">
        <f t="shared" si="76"/>
        <v>14.267304387314311</v>
      </c>
      <c r="N214" s="459">
        <f t="shared" si="76"/>
        <v>14.318871666521646</v>
      </c>
    </row>
    <row r="215" spans="1:14">
      <c r="B215" s="338" t="str">
        <f t="shared" si="72"/>
        <v>30-34</v>
      </c>
      <c r="C215" s="459">
        <f t="shared" si="74"/>
        <v>13.168190622317407</v>
      </c>
      <c r="D215" s="459">
        <f t="shared" ref="D215:N215" si="77">D113+D147+D181</f>
        <v>12.378212502054227</v>
      </c>
      <c r="E215" s="459">
        <f t="shared" si="77"/>
        <v>11.894479477994512</v>
      </c>
      <c r="F215" s="459">
        <f t="shared" si="77"/>
        <v>11.527794176893739</v>
      </c>
      <c r="G215" s="459">
        <f t="shared" si="77"/>
        <v>11.331880454840087</v>
      </c>
      <c r="H215" s="459">
        <f t="shared" si="77"/>
        <v>11.243883481447815</v>
      </c>
      <c r="I215" s="459">
        <f t="shared" si="77"/>
        <v>11.327143704992356</v>
      </c>
      <c r="J215" s="459">
        <f t="shared" si="77"/>
        <v>11.477465551569184</v>
      </c>
      <c r="K215" s="459">
        <f t="shared" si="77"/>
        <v>11.689347905058039</v>
      </c>
      <c r="L215" s="459">
        <f t="shared" si="77"/>
        <v>11.86582603173188</v>
      </c>
      <c r="M215" s="459">
        <f t="shared" si="77"/>
        <v>11.992651472493554</v>
      </c>
      <c r="N215" s="459">
        <f t="shared" si="77"/>
        <v>12.085511720588357</v>
      </c>
    </row>
    <row r="216" spans="1:14">
      <c r="B216" s="338" t="str">
        <f t="shared" si="72"/>
        <v>35-39</v>
      </c>
      <c r="C216" s="459">
        <f t="shared" si="74"/>
        <v>14.027394798694164</v>
      </c>
      <c r="D216" s="459">
        <f t="shared" ref="D216:N216" si="78">D114+D148+D182</f>
        <v>13.73738863799127</v>
      </c>
      <c r="E216" s="459">
        <f t="shared" si="78"/>
        <v>13.422610606537246</v>
      </c>
      <c r="F216" s="459">
        <f t="shared" si="78"/>
        <v>13.040756531175532</v>
      </c>
      <c r="G216" s="459">
        <f t="shared" si="78"/>
        <v>12.69642976923085</v>
      </c>
      <c r="H216" s="459">
        <f t="shared" si="78"/>
        <v>12.39591171536736</v>
      </c>
      <c r="I216" s="459">
        <f t="shared" si="78"/>
        <v>12.212008924297875</v>
      </c>
      <c r="J216" s="459">
        <f t="shared" si="78"/>
        <v>12.095205355303808</v>
      </c>
      <c r="K216" s="459">
        <f t="shared" si="78"/>
        <v>12.054297594060172</v>
      </c>
      <c r="L216" s="459">
        <f t="shared" si="78"/>
        <v>12.031066240645769</v>
      </c>
      <c r="M216" s="459">
        <f t="shared" si="78"/>
        <v>12.016932783753887</v>
      </c>
      <c r="N216" s="459">
        <f t="shared" si="78"/>
        <v>12.01695684249732</v>
      </c>
    </row>
    <row r="217" spans="1:14">
      <c r="B217" s="338" t="str">
        <f t="shared" si="72"/>
        <v>40-44</v>
      </c>
      <c r="C217" s="459">
        <f t="shared" si="74"/>
        <v>12.404846486015522</v>
      </c>
      <c r="D217" s="459">
        <f t="shared" ref="D217:N217" si="79">D115+D149+D183</f>
        <v>12.854485410662818</v>
      </c>
      <c r="E217" s="459">
        <f t="shared" si="79"/>
        <v>13.175948560214499</v>
      </c>
      <c r="F217" s="459">
        <f t="shared" si="79"/>
        <v>13.298156599228166</v>
      </c>
      <c r="G217" s="459">
        <f t="shared" si="79"/>
        <v>13.319164155754782</v>
      </c>
      <c r="H217" s="459">
        <f t="shared" si="79"/>
        <v>13.257428435222229</v>
      </c>
      <c r="I217" s="459">
        <f t="shared" si="79"/>
        <v>13.202268404761753</v>
      </c>
      <c r="J217" s="459">
        <f t="shared" si="79"/>
        <v>13.127592485722086</v>
      </c>
      <c r="K217" s="459">
        <f t="shared" si="79"/>
        <v>13.064517424746933</v>
      </c>
      <c r="L217" s="459">
        <f t="shared" si="79"/>
        <v>12.978786792138465</v>
      </c>
      <c r="M217" s="459">
        <f t="shared" si="79"/>
        <v>12.882271280206332</v>
      </c>
      <c r="N217" s="459">
        <f t="shared" si="79"/>
        <v>12.795167295188719</v>
      </c>
    </row>
    <row r="218" spans="1:14">
      <c r="B218" s="338" t="str">
        <f t="shared" si="72"/>
        <v>45-49</v>
      </c>
      <c r="C218" s="459">
        <f t="shared" si="74"/>
        <v>11.485988675489748</v>
      </c>
      <c r="D218" s="459">
        <f t="shared" ref="D218:N218" si="80">D116+D150+D184</f>
        <v>11.666491546495221</v>
      </c>
      <c r="E218" s="459">
        <f t="shared" si="80"/>
        <v>11.936718136768965</v>
      </c>
      <c r="F218" s="459">
        <f t="shared" si="80"/>
        <v>12.156629160002664</v>
      </c>
      <c r="G218" s="459">
        <f t="shared" si="80"/>
        <v>12.353498278957533</v>
      </c>
      <c r="H218" s="459">
        <f t="shared" si="80"/>
        <v>12.498355422112907</v>
      </c>
      <c r="I218" s="459">
        <f t="shared" si="80"/>
        <v>12.641210396236792</v>
      </c>
      <c r="J218" s="459">
        <f t="shared" si="80"/>
        <v>12.739509189947423</v>
      </c>
      <c r="K218" s="459">
        <f t="shared" si="80"/>
        <v>12.811841262162801</v>
      </c>
      <c r="L218" s="459">
        <f t="shared" si="80"/>
        <v>12.824528600113723</v>
      </c>
      <c r="M218" s="459">
        <f t="shared" si="80"/>
        <v>12.790687786819785</v>
      </c>
      <c r="N218" s="459">
        <f t="shared" si="80"/>
        <v>12.734426487618185</v>
      </c>
    </row>
    <row r="219" spans="1:14">
      <c r="B219" s="338" t="str">
        <f t="shared" si="72"/>
        <v>50-54</v>
      </c>
      <c r="C219" s="459">
        <f t="shared" si="74"/>
        <v>12.351885617300606</v>
      </c>
      <c r="D219" s="459">
        <f t="shared" ref="D219:N219" si="81">D117+D151+D185</f>
        <v>12.382367656026075</v>
      </c>
      <c r="E219" s="459">
        <f t="shared" si="81"/>
        <v>12.49557374384197</v>
      </c>
      <c r="F219" s="459">
        <f t="shared" si="81"/>
        <v>12.597533453614682</v>
      </c>
      <c r="G219" s="459">
        <f t="shared" si="81"/>
        <v>12.736184644170546</v>
      </c>
      <c r="H219" s="459">
        <f t="shared" si="81"/>
        <v>12.880572415923677</v>
      </c>
      <c r="I219" s="459">
        <f t="shared" si="81"/>
        <v>13.071286541581365</v>
      </c>
      <c r="J219" s="459">
        <f t="shared" si="81"/>
        <v>13.248366309677779</v>
      </c>
      <c r="K219" s="459">
        <f t="shared" si="81"/>
        <v>13.415668139853757</v>
      </c>
      <c r="L219" s="459">
        <f t="shared" si="81"/>
        <v>13.524823204230533</v>
      </c>
      <c r="M219" s="459">
        <f t="shared" si="81"/>
        <v>13.579514252876132</v>
      </c>
      <c r="N219" s="459">
        <f t="shared" si="81"/>
        <v>13.598143353628654</v>
      </c>
    </row>
    <row r="220" spans="1:14">
      <c r="B220" s="338" t="str">
        <f t="shared" si="72"/>
        <v>55-59</v>
      </c>
      <c r="C220" s="459">
        <f t="shared" si="74"/>
        <v>22.570795746035063</v>
      </c>
      <c r="D220" s="459">
        <f t="shared" ref="D220:N220" si="82">D118+D152+D186</f>
        <v>19.634487723159996</v>
      </c>
      <c r="E220" s="459">
        <f t="shared" si="82"/>
        <v>17.982265532326888</v>
      </c>
      <c r="F220" s="459">
        <f t="shared" si="82"/>
        <v>16.972700378413649</v>
      </c>
      <c r="G220" s="459">
        <f t="shared" si="82"/>
        <v>16.433617492198824</v>
      </c>
      <c r="H220" s="459">
        <f t="shared" si="82"/>
        <v>16.164898650110509</v>
      </c>
      <c r="I220" s="459">
        <f t="shared" si="82"/>
        <v>16.149947698448226</v>
      </c>
      <c r="J220" s="459">
        <f t="shared" si="82"/>
        <v>16.229138605961751</v>
      </c>
      <c r="K220" s="459">
        <f t="shared" si="82"/>
        <v>16.376960991692656</v>
      </c>
      <c r="L220" s="459">
        <f t="shared" si="82"/>
        <v>16.488208412140583</v>
      </c>
      <c r="M220" s="459">
        <f t="shared" si="82"/>
        <v>16.556924942826157</v>
      </c>
      <c r="N220" s="459">
        <f t="shared" si="82"/>
        <v>16.601526462455134</v>
      </c>
    </row>
    <row r="221" spans="1:14">
      <c r="B221" s="338" t="str">
        <f t="shared" si="72"/>
        <v>60-64</v>
      </c>
      <c r="C221" s="459">
        <f t="shared" si="74"/>
        <v>15.476761955386118</v>
      </c>
      <c r="D221" s="459">
        <f t="shared" ref="D221:N221" si="83">D119+D153+D187</f>
        <v>13.458503074347473</v>
      </c>
      <c r="E221" s="459">
        <f t="shared" si="83"/>
        <v>11.881278438352735</v>
      </c>
      <c r="F221" s="459">
        <f t="shared" si="83"/>
        <v>10.681278791958409</v>
      </c>
      <c r="G221" s="459">
        <f t="shared" si="83"/>
        <v>9.8872946411253793</v>
      </c>
      <c r="H221" s="459">
        <f t="shared" si="83"/>
        <v>9.3759715350242008</v>
      </c>
      <c r="I221" s="459">
        <f t="shared" si="83"/>
        <v>9.137819521452192</v>
      </c>
      <c r="J221" s="459">
        <f t="shared" si="83"/>
        <v>9.0260866400055129</v>
      </c>
      <c r="K221" s="459">
        <f t="shared" si="83"/>
        <v>9.0120566420991715</v>
      </c>
      <c r="L221" s="459">
        <f t="shared" si="83"/>
        <v>9.0000394616207338</v>
      </c>
      <c r="M221" s="459">
        <f t="shared" si="83"/>
        <v>8.9837024385707611</v>
      </c>
      <c r="N221" s="459">
        <f t="shared" si="83"/>
        <v>8.9755547617975591</v>
      </c>
    </row>
    <row r="222" spans="1:14">
      <c r="B222" s="338" t="str">
        <f t="shared" si="72"/>
        <v>65 plus</v>
      </c>
      <c r="C222" s="459">
        <f t="shared" si="74"/>
        <v>5.4579065571429037</v>
      </c>
      <c r="D222" s="459">
        <f t="shared" ref="D222:N222" si="84">D120+D154+D188</f>
        <v>5.4809494708978823</v>
      </c>
      <c r="E222" s="459">
        <f t="shared" si="84"/>
        <v>5.2374838991360066</v>
      </c>
      <c r="F222" s="459">
        <f t="shared" si="84"/>
        <v>4.857572554138363</v>
      </c>
      <c r="G222" s="459">
        <f t="shared" si="84"/>
        <v>4.491158338865513</v>
      </c>
      <c r="H222" s="459">
        <f t="shared" si="84"/>
        <v>4.1802852095939622</v>
      </c>
      <c r="I222" s="459">
        <f t="shared" si="84"/>
        <v>3.9716368299762292</v>
      </c>
      <c r="J222" s="459">
        <f t="shared" si="84"/>
        <v>3.8289377528308051</v>
      </c>
      <c r="K222" s="459">
        <f t="shared" si="84"/>
        <v>3.7460715356133738</v>
      </c>
      <c r="L222" s="459">
        <f t="shared" si="84"/>
        <v>3.682739405156052</v>
      </c>
      <c r="M222" s="459">
        <f t="shared" si="84"/>
        <v>3.6314937561562664</v>
      </c>
      <c r="N222" s="459">
        <f t="shared" si="84"/>
        <v>3.5947809333678054</v>
      </c>
    </row>
    <row r="223" spans="1:14">
      <c r="B223" s="338" t="str">
        <f t="shared" si="72"/>
        <v>Total</v>
      </c>
      <c r="C223" s="459">
        <f>SUM(C213:C222)</f>
        <v>119.3826070052892</v>
      </c>
      <c r="D223" s="459">
        <f t="shared" ref="D223:N223" si="85">SUM(D213:D222)</f>
        <v>116.12206001591922</v>
      </c>
      <c r="E223" s="459">
        <f t="shared" si="85"/>
        <v>114.66999531456318</v>
      </c>
      <c r="F223" s="459">
        <f t="shared" si="85"/>
        <v>113.12509443550542</v>
      </c>
      <c r="G223" s="459">
        <f t="shared" si="85"/>
        <v>112.41368433769743</v>
      </c>
      <c r="H223" s="459">
        <f t="shared" si="85"/>
        <v>112.06258235195244</v>
      </c>
      <c r="I223" s="459">
        <f t="shared" si="85"/>
        <v>112.89738028148903</v>
      </c>
      <c r="J223" s="459">
        <f t="shared" si="85"/>
        <v>113.87634304771892</v>
      </c>
      <c r="K223" s="459">
        <f t="shared" si="85"/>
        <v>115.12337147540204</v>
      </c>
      <c r="L223" s="459">
        <f t="shared" si="85"/>
        <v>115.78474610989637</v>
      </c>
      <c r="M223" s="459">
        <f t="shared" si="85"/>
        <v>115.94917338154578</v>
      </c>
      <c r="N223" s="459">
        <f t="shared" si="85"/>
        <v>115.91573142793597</v>
      </c>
    </row>
    <row r="224" spans="1:14">
      <c r="A224" s="309">
        <f>SUM(C224:N224)</f>
        <v>0</v>
      </c>
      <c r="C224" s="309">
        <f t="shared" ref="C224:N224" si="86">SUM(C213:C222)-C223</f>
        <v>0</v>
      </c>
      <c r="D224" s="309">
        <f t="shared" si="86"/>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11.029026111531632</v>
      </c>
      <c r="D229" s="459">
        <f t="shared" ref="D229:N229" si="90">D195+D161+D127</f>
        <v>16.497551831180921</v>
      </c>
      <c r="E229" s="459">
        <f t="shared" si="90"/>
        <v>21.004607945464418</v>
      </c>
      <c r="F229" s="459">
        <f t="shared" si="90"/>
        <v>23.580367198473031</v>
      </c>
      <c r="G229" s="459">
        <f t="shared" si="90"/>
        <v>25.548330617285384</v>
      </c>
      <c r="H229" s="459">
        <f t="shared" si="90"/>
        <v>26.888777181328699</v>
      </c>
      <c r="I229" s="459">
        <f t="shared" si="90"/>
        <v>28.524425267753298</v>
      </c>
      <c r="J229" s="459">
        <f t="shared" si="90"/>
        <v>29.753930932058079</v>
      </c>
      <c r="K229" s="459">
        <f t="shared" si="90"/>
        <v>30.845282753091297</v>
      </c>
      <c r="L229" s="459">
        <f t="shared" si="90"/>
        <v>31.242483481994434</v>
      </c>
      <c r="M229" s="459">
        <f t="shared" si="90"/>
        <v>31.174101063694401</v>
      </c>
      <c r="N229" s="459">
        <f t="shared" si="90"/>
        <v>30.969318087326204</v>
      </c>
    </row>
    <row r="230" spans="1:14">
      <c r="B230" s="338" t="str">
        <f t="shared" si="87"/>
        <v>25-29</v>
      </c>
      <c r="C230" s="459">
        <f t="shared" si="89"/>
        <v>54.64419055835927</v>
      </c>
      <c r="D230" s="459">
        <f t="shared" ref="D230:N230" si="91">D196+D162+D128</f>
        <v>50.765419766135388</v>
      </c>
      <c r="E230" s="459">
        <f t="shared" si="91"/>
        <v>49.433797135587078</v>
      </c>
      <c r="F230" s="459">
        <f t="shared" si="91"/>
        <v>48.451585140583063</v>
      </c>
      <c r="G230" s="459">
        <f t="shared" si="91"/>
        <v>48.269463679707286</v>
      </c>
      <c r="H230" s="459">
        <f t="shared" si="91"/>
        <v>48.365626389968519</v>
      </c>
      <c r="I230" s="459">
        <f t="shared" si="91"/>
        <v>49.377848604784248</v>
      </c>
      <c r="J230" s="459">
        <f t="shared" si="91"/>
        <v>50.428845097894452</v>
      </c>
      <c r="K230" s="459">
        <f t="shared" si="91"/>
        <v>51.611626983562296</v>
      </c>
      <c r="L230" s="459">
        <f t="shared" si="91"/>
        <v>52.220842847086573</v>
      </c>
      <c r="M230" s="459">
        <f t="shared" si="91"/>
        <v>52.340600387490603</v>
      </c>
      <c r="N230" s="459">
        <f t="shared" si="91"/>
        <v>52.247433831649815</v>
      </c>
    </row>
    <row r="231" spans="1:14">
      <c r="B231" s="338" t="str">
        <f t="shared" si="87"/>
        <v>30-34</v>
      </c>
      <c r="C231" s="459">
        <f t="shared" si="89"/>
        <v>82.431523265787462</v>
      </c>
      <c r="D231" s="459">
        <f t="shared" ref="D231:N231" si="92">D197+D163+D129</f>
        <v>74.964872081507352</v>
      </c>
      <c r="E231" s="459">
        <f t="shared" si="92"/>
        <v>69.219167560342854</v>
      </c>
      <c r="F231" s="459">
        <f t="shared" si="92"/>
        <v>64.396660264842012</v>
      </c>
      <c r="G231" s="459">
        <f t="shared" si="92"/>
        <v>60.786029820234141</v>
      </c>
      <c r="H231" s="459">
        <f t="shared" si="92"/>
        <v>58.078040947076865</v>
      </c>
      <c r="I231" s="459">
        <f t="shared" si="92"/>
        <v>56.537863340910633</v>
      </c>
      <c r="J231" s="459">
        <f t="shared" si="92"/>
        <v>55.625934793685431</v>
      </c>
      <c r="K231" s="459">
        <f t="shared" si="92"/>
        <v>55.273555218990474</v>
      </c>
      <c r="L231" s="459">
        <f t="shared" si="92"/>
        <v>54.983270633888552</v>
      </c>
      <c r="M231" s="459">
        <f t="shared" si="92"/>
        <v>54.65799406256869</v>
      </c>
      <c r="N231" s="459">
        <f t="shared" si="92"/>
        <v>54.344289904750674</v>
      </c>
    </row>
    <row r="232" spans="1:14">
      <c r="B232" s="338" t="str">
        <f t="shared" si="87"/>
        <v>35-39</v>
      </c>
      <c r="C232" s="459">
        <f t="shared" si="89"/>
        <v>66.395684834568371</v>
      </c>
      <c r="D232" s="459">
        <f t="shared" ref="D232:N232" si="93">D198+D164+D130</f>
        <v>65.896640096058746</v>
      </c>
      <c r="E232" s="459">
        <f t="shared" si="93"/>
        <v>64.49476882015523</v>
      </c>
      <c r="F232" s="459">
        <f t="shared" si="93"/>
        <v>62.261612776998298</v>
      </c>
      <c r="G232" s="459">
        <f t="shared" si="93"/>
        <v>59.854423704074655</v>
      </c>
      <c r="H232" s="459">
        <f t="shared" si="93"/>
        <v>57.452052867490039</v>
      </c>
      <c r="I232" s="459">
        <f t="shared" si="93"/>
        <v>55.477509138472726</v>
      </c>
      <c r="J232" s="459">
        <f t="shared" si="93"/>
        <v>53.788240127981574</v>
      </c>
      <c r="K232" s="459">
        <f t="shared" si="93"/>
        <v>52.470214209082698</v>
      </c>
      <c r="L232" s="459">
        <f t="shared" si="93"/>
        <v>51.301196471360619</v>
      </c>
      <c r="M232" s="459">
        <f t="shared" si="93"/>
        <v>50.26313971101829</v>
      </c>
      <c r="N232" s="459">
        <f t="shared" si="93"/>
        <v>49.387327023475159</v>
      </c>
    </row>
    <row r="233" spans="1:14">
      <c r="B233" s="338" t="str">
        <f t="shared" si="87"/>
        <v>40-44</v>
      </c>
      <c r="C233" s="459">
        <f t="shared" si="89"/>
        <v>42.604506838320873</v>
      </c>
      <c r="D233" s="459">
        <f t="shared" ref="D233:N233" si="94">D199+D165+D131</f>
        <v>45.706521215285193</v>
      </c>
      <c r="E233" s="459">
        <f t="shared" si="94"/>
        <v>48.085721116535204</v>
      </c>
      <c r="F233" s="459">
        <f t="shared" si="94"/>
        <v>49.40831589217342</v>
      </c>
      <c r="G233" s="459">
        <f t="shared" si="94"/>
        <v>50.028517440423826</v>
      </c>
      <c r="H233" s="459">
        <f t="shared" si="94"/>
        <v>50.042734906967063</v>
      </c>
      <c r="I233" s="459">
        <f t="shared" si="94"/>
        <v>49.82709090477146</v>
      </c>
      <c r="J233" s="459">
        <f t="shared" si="94"/>
        <v>49.33733461040994</v>
      </c>
      <c r="K233" s="459">
        <f t="shared" si="94"/>
        <v>48.739792527720496</v>
      </c>
      <c r="L233" s="459">
        <f t="shared" si="94"/>
        <v>47.954455033314481</v>
      </c>
      <c r="M233" s="459">
        <f t="shared" si="94"/>
        <v>47.065410842726472</v>
      </c>
      <c r="N233" s="459">
        <f t="shared" si="94"/>
        <v>46.180036559436871</v>
      </c>
    </row>
    <row r="234" spans="1:14">
      <c r="B234" s="338" t="str">
        <f t="shared" si="87"/>
        <v>45-49</v>
      </c>
      <c r="C234" s="459">
        <f t="shared" si="89"/>
        <v>27.538662924454478</v>
      </c>
      <c r="D234" s="459">
        <f t="shared" ref="D234:N234" si="95">D200+D166+D132</f>
        <v>30.671537198392862</v>
      </c>
      <c r="E234" s="459">
        <f t="shared" si="95"/>
        <v>33.728293204835332</v>
      </c>
      <c r="F234" s="459">
        <f t="shared" si="95"/>
        <v>36.278289765865274</v>
      </c>
      <c r="G234" s="459">
        <f t="shared" si="95"/>
        <v>38.442445948140296</v>
      </c>
      <c r="H234" s="459">
        <f t="shared" si="95"/>
        <v>40.138186995224501</v>
      </c>
      <c r="I234" s="459">
        <f t="shared" si="95"/>
        <v>41.557030078076032</v>
      </c>
      <c r="J234" s="459">
        <f t="shared" si="95"/>
        <v>42.573925710548671</v>
      </c>
      <c r="K234" s="459">
        <f t="shared" si="95"/>
        <v>43.279855608989287</v>
      </c>
      <c r="L234" s="459">
        <f t="shared" si="95"/>
        <v>43.587767949576509</v>
      </c>
      <c r="M234" s="459">
        <f t="shared" si="95"/>
        <v>43.573964892412327</v>
      </c>
      <c r="N234" s="459">
        <f t="shared" si="95"/>
        <v>43.3522830783944</v>
      </c>
    </row>
    <row r="235" spans="1:14">
      <c r="B235" s="338" t="str">
        <f t="shared" si="87"/>
        <v>50-54</v>
      </c>
      <c r="C235" s="459">
        <f t="shared" si="89"/>
        <v>26.380928066529414</v>
      </c>
      <c r="D235" s="459">
        <f t="shared" ref="D235:N235" si="96">D201+D167+D133</f>
        <v>27.990093999613581</v>
      </c>
      <c r="E235" s="459">
        <f t="shared" si="96"/>
        <v>30.088770506039047</v>
      </c>
      <c r="F235" s="459">
        <f t="shared" si="96"/>
        <v>32.193700079875804</v>
      </c>
      <c r="G235" s="459">
        <f t="shared" si="96"/>
        <v>34.372769708733884</v>
      </c>
      <c r="H235" s="459">
        <f t="shared" si="96"/>
        <v>36.455896646966522</v>
      </c>
      <c r="I235" s="459">
        <f t="shared" si="96"/>
        <v>38.543376386885953</v>
      </c>
      <c r="J235" s="459">
        <f t="shared" si="96"/>
        <v>40.4038736338577</v>
      </c>
      <c r="K235" s="459">
        <f t="shared" si="96"/>
        <v>42.039808114732239</v>
      </c>
      <c r="L235" s="459">
        <f t="shared" si="96"/>
        <v>43.28298857979685</v>
      </c>
      <c r="M235" s="459">
        <f t="shared" si="96"/>
        <v>44.15337687591034</v>
      </c>
      <c r="N235" s="459">
        <f t="shared" si="96"/>
        <v>44.727557516829613</v>
      </c>
    </row>
    <row r="236" spans="1:14">
      <c r="B236" s="338" t="str">
        <f t="shared" si="87"/>
        <v>55-59</v>
      </c>
      <c r="C236" s="459">
        <f t="shared" si="89"/>
        <v>42.546659120052041</v>
      </c>
      <c r="D236" s="459">
        <f t="shared" ref="D236:N236" si="97">D202+D168+D134</f>
        <v>39.417822509199105</v>
      </c>
      <c r="E236" s="459">
        <f t="shared" si="97"/>
        <v>38.427330178592094</v>
      </c>
      <c r="F236" s="459">
        <f t="shared" si="97"/>
        <v>38.411597839845236</v>
      </c>
      <c r="G236" s="459">
        <f t="shared" si="97"/>
        <v>39.290968737120991</v>
      </c>
      <c r="H236" s="459">
        <f t="shared" si="97"/>
        <v>40.657824381372208</v>
      </c>
      <c r="I236" s="459">
        <f t="shared" si="97"/>
        <v>42.576579152919855</v>
      </c>
      <c r="J236" s="459">
        <f t="shared" si="97"/>
        <v>44.579906159768271</v>
      </c>
      <c r="K236" s="459">
        <f t="shared" si="97"/>
        <v>46.604513626475615</v>
      </c>
      <c r="L236" s="459">
        <f t="shared" si="97"/>
        <v>48.313556485962124</v>
      </c>
      <c r="M236" s="459">
        <f t="shared" si="97"/>
        <v>49.689504551523356</v>
      </c>
      <c r="N236" s="459">
        <f t="shared" si="97"/>
        <v>50.796477176094371</v>
      </c>
    </row>
    <row r="237" spans="1:14">
      <c r="B237" s="338" t="str">
        <f t="shared" si="87"/>
        <v>60-64</v>
      </c>
      <c r="C237" s="459">
        <f t="shared" si="89"/>
        <v>33.203662053820715</v>
      </c>
      <c r="D237" s="459">
        <f t="shared" ref="D237:N237" si="98">D203+D169+D135</f>
        <v>29.200659894956697</v>
      </c>
      <c r="E237" s="459">
        <f t="shared" si="98"/>
        <v>26.793604386137268</v>
      </c>
      <c r="F237" s="459">
        <f t="shared" si="98"/>
        <v>25.202783773338801</v>
      </c>
      <c r="G237" s="459">
        <f t="shared" si="98"/>
        <v>24.517042580781286</v>
      </c>
      <c r="H237" s="459">
        <f t="shared" si="98"/>
        <v>24.402192151668789</v>
      </c>
      <c r="I237" s="459">
        <f t="shared" si="98"/>
        <v>24.946283852762335</v>
      </c>
      <c r="J237" s="459">
        <f t="shared" si="98"/>
        <v>25.705684554786032</v>
      </c>
      <c r="K237" s="459">
        <f t="shared" si="98"/>
        <v>26.641094835605685</v>
      </c>
      <c r="L237" s="459">
        <f t="shared" si="98"/>
        <v>27.443452297577522</v>
      </c>
      <c r="M237" s="459">
        <f t="shared" si="98"/>
        <v>28.115622102169848</v>
      </c>
      <c r="N237" s="459">
        <f t="shared" si="98"/>
        <v>28.71560869390154</v>
      </c>
    </row>
    <row r="238" spans="1:14">
      <c r="B238" s="338" t="str">
        <f t="shared" si="87"/>
        <v>65 plus</v>
      </c>
      <c r="C238" s="459">
        <f t="shared" si="89"/>
        <v>8.3968720702301614</v>
      </c>
      <c r="D238" s="459">
        <f t="shared" ref="D238:N238" si="99">D204+D170+D136</f>
        <v>10.059572785035154</v>
      </c>
      <c r="E238" s="459">
        <f t="shared" si="99"/>
        <v>10.443007582005524</v>
      </c>
      <c r="F238" s="459">
        <f t="shared" si="99"/>
        <v>10.204712456552514</v>
      </c>
      <c r="G238" s="459">
        <f t="shared" si="99"/>
        <v>9.8922946953535096</v>
      </c>
      <c r="H238" s="459">
        <f t="shared" si="99"/>
        <v>9.634005952100571</v>
      </c>
      <c r="I238" s="459">
        <f t="shared" si="99"/>
        <v>9.6000217217381181</v>
      </c>
      <c r="J238" s="459">
        <f t="shared" si="99"/>
        <v>9.6668212401356062</v>
      </c>
      <c r="K238" s="459">
        <f t="shared" si="99"/>
        <v>9.8373609077790967</v>
      </c>
      <c r="L238" s="459">
        <f t="shared" si="99"/>
        <v>9.986883161182746</v>
      </c>
      <c r="M238" s="459">
        <f t="shared" si="99"/>
        <v>10.112763078937624</v>
      </c>
      <c r="N238" s="459">
        <f t="shared" si="99"/>
        <v>10.240966535029244</v>
      </c>
    </row>
    <row r="239" spans="1:14">
      <c r="B239" s="338" t="str">
        <f t="shared" si="87"/>
        <v>Total</v>
      </c>
      <c r="C239" s="459">
        <f>SUM(C229:C238)</f>
        <v>395.17171584365445</v>
      </c>
      <c r="D239" s="459">
        <f t="shared" ref="D239:N239" si="100">SUM(D229:D238)</f>
        <v>391.17069137736496</v>
      </c>
      <c r="E239" s="459">
        <f t="shared" si="100"/>
        <v>391.71906843569406</v>
      </c>
      <c r="F239" s="459">
        <f t="shared" si="100"/>
        <v>390.38962518854743</v>
      </c>
      <c r="G239" s="459">
        <f t="shared" si="100"/>
        <v>391.00228693185522</v>
      </c>
      <c r="H239" s="459">
        <f t="shared" si="100"/>
        <v>392.11533842016377</v>
      </c>
      <c r="I239" s="459">
        <f t="shared" si="100"/>
        <v>396.96802844907467</v>
      </c>
      <c r="J239" s="459">
        <f t="shared" si="100"/>
        <v>401.86449686112576</v>
      </c>
      <c r="K239" s="459">
        <f t="shared" si="100"/>
        <v>407.34310478602919</v>
      </c>
      <c r="L239" s="459">
        <f t="shared" si="100"/>
        <v>410.31689694174042</v>
      </c>
      <c r="M239" s="459">
        <f t="shared" si="100"/>
        <v>411.14647756845193</v>
      </c>
      <c r="N239" s="459">
        <f t="shared" si="100"/>
        <v>410.96129840688786</v>
      </c>
    </row>
    <row r="240" spans="1:14">
      <c r="A240" s="309">
        <f>SUM(C240:N240)</f>
        <v>0</v>
      </c>
      <c r="C240" s="309">
        <f t="shared" ref="C240:N240" si="101">SUM(C229:C238)-C239</f>
        <v>0</v>
      </c>
      <c r="D240" s="309">
        <f t="shared" si="101"/>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19.757066727798186</v>
      </c>
      <c r="D247" s="459">
        <f t="shared" ref="D247:N247" si="105">D77-D213</f>
        <v>35.156145394175596</v>
      </c>
      <c r="E247" s="459">
        <f t="shared" si="105"/>
        <v>47.614671104656431</v>
      </c>
      <c r="F247" s="459">
        <f t="shared" si="105"/>
        <v>54.935905253106206</v>
      </c>
      <c r="G247" s="459">
        <f t="shared" si="105"/>
        <v>60.474295980315382</v>
      </c>
      <c r="H247" s="459">
        <f t="shared" si="105"/>
        <v>64.268077261450131</v>
      </c>
      <c r="I247" s="459">
        <f t="shared" si="105"/>
        <v>68.631751600317017</v>
      </c>
      <c r="J247" s="459">
        <f t="shared" si="105"/>
        <v>71.89593655588321</v>
      </c>
      <c r="K247" s="459">
        <f t="shared" si="105"/>
        <v>74.74631099081455</v>
      </c>
      <c r="L247" s="459">
        <f t="shared" si="105"/>
        <v>75.847456049855538</v>
      </c>
      <c r="M247" s="459">
        <f t="shared" si="105"/>
        <v>75.773746676600609</v>
      </c>
      <c r="N247" s="459">
        <f t="shared" si="105"/>
        <v>75.340307835070064</v>
      </c>
    </row>
    <row r="248" spans="2:14">
      <c r="B248" s="338" t="str">
        <f t="shared" si="102"/>
        <v>25-29</v>
      </c>
      <c r="C248" s="459">
        <f t="shared" si="104"/>
        <v>108.8827449423859</v>
      </c>
      <c r="D248" s="459">
        <f t="shared" ref="D248:N248" si="106">D78-D214</f>
        <v>111.17363310516642</v>
      </c>
      <c r="E248" s="459">
        <f t="shared" si="106"/>
        <v>117.62325377349326</v>
      </c>
      <c r="F248" s="459">
        <f t="shared" si="106"/>
        <v>122.56949864884584</v>
      </c>
      <c r="G248" s="459">
        <f t="shared" si="106"/>
        <v>127.95368308890612</v>
      </c>
      <c r="H248" s="459">
        <f t="shared" si="106"/>
        <v>132.70758000199572</v>
      </c>
      <c r="I248" s="459">
        <f t="shared" si="106"/>
        <v>139.07297860910441</v>
      </c>
      <c r="J248" s="459">
        <f t="shared" si="106"/>
        <v>144.73677556838359</v>
      </c>
      <c r="K248" s="459">
        <f t="shared" si="106"/>
        <v>150.17351262510238</v>
      </c>
      <c r="L248" s="459">
        <f t="shared" si="106"/>
        <v>153.44978866882039</v>
      </c>
      <c r="M248" s="459">
        <f t="shared" si="106"/>
        <v>154.91850740614251</v>
      </c>
      <c r="N248" s="459">
        <f t="shared" si="106"/>
        <v>155.47843980184433</v>
      </c>
    </row>
    <row r="249" spans="2:14">
      <c r="B249" s="338" t="str">
        <f t="shared" si="102"/>
        <v>30-34</v>
      </c>
      <c r="C249" s="459">
        <f t="shared" si="104"/>
        <v>197.44477496254243</v>
      </c>
      <c r="D249" s="459">
        <f t="shared" ref="D249:N249" si="107">D79-D215</f>
        <v>185.59978754898339</v>
      </c>
      <c r="E249" s="459">
        <f t="shared" si="107"/>
        <v>178.34666061478259</v>
      </c>
      <c r="F249" s="459">
        <f t="shared" si="107"/>
        <v>172.84855545861856</v>
      </c>
      <c r="G249" s="459">
        <f t="shared" si="107"/>
        <v>169.91101135157939</v>
      </c>
      <c r="H249" s="459">
        <f t="shared" si="107"/>
        <v>168.59157855271206</v>
      </c>
      <c r="I249" s="459">
        <f t="shared" si="107"/>
        <v>169.83998819171151</v>
      </c>
      <c r="J249" s="459">
        <f t="shared" si="107"/>
        <v>172.09392451603941</v>
      </c>
      <c r="K249" s="459">
        <f t="shared" si="107"/>
        <v>175.27090340425806</v>
      </c>
      <c r="L249" s="459">
        <f t="shared" si="107"/>
        <v>177.91702882925557</v>
      </c>
      <c r="M249" s="459">
        <f t="shared" si="107"/>
        <v>179.81865839469293</v>
      </c>
      <c r="N249" s="459">
        <f t="shared" si="107"/>
        <v>181.21101147598645</v>
      </c>
    </row>
    <row r="250" spans="2:14">
      <c r="B250" s="338" t="str">
        <f t="shared" si="102"/>
        <v>35-39</v>
      </c>
      <c r="C250" s="459">
        <f t="shared" si="104"/>
        <v>208.87059034758204</v>
      </c>
      <c r="D250" s="459">
        <f t="shared" ref="D250:N250" si="108">D80-D216</f>
        <v>204.55234317055897</v>
      </c>
      <c r="E250" s="459">
        <f t="shared" si="108"/>
        <v>199.8652381020988</v>
      </c>
      <c r="F250" s="459">
        <f t="shared" si="108"/>
        <v>194.17935791607474</v>
      </c>
      <c r="G250" s="459">
        <f t="shared" si="108"/>
        <v>189.05226660140298</v>
      </c>
      <c r="H250" s="459">
        <f t="shared" si="108"/>
        <v>184.57749532552666</v>
      </c>
      <c r="I250" s="459">
        <f t="shared" si="108"/>
        <v>181.83914760747231</v>
      </c>
      <c r="J250" s="459">
        <f t="shared" si="108"/>
        <v>180.09992013433052</v>
      </c>
      <c r="K250" s="459">
        <f t="shared" si="108"/>
        <v>179.49079574855708</v>
      </c>
      <c r="L250" s="459">
        <f t="shared" si="108"/>
        <v>179.14487645478405</v>
      </c>
      <c r="M250" s="459">
        <f t="shared" si="108"/>
        <v>178.93442657959167</v>
      </c>
      <c r="N250" s="459">
        <f t="shared" si="108"/>
        <v>178.93478481888101</v>
      </c>
    </row>
    <row r="251" spans="2:14">
      <c r="B251" s="338" t="str">
        <f t="shared" si="102"/>
        <v>40-44</v>
      </c>
      <c r="C251" s="459">
        <f t="shared" si="104"/>
        <v>163.47554323219225</v>
      </c>
      <c r="D251" s="459">
        <f t="shared" ref="D251:N251" si="109">D81-D217</f>
        <v>169.40104723161059</v>
      </c>
      <c r="E251" s="459">
        <f t="shared" si="109"/>
        <v>173.63740461510068</v>
      </c>
      <c r="F251" s="459">
        <f t="shared" si="109"/>
        <v>175.2479062515072</v>
      </c>
      <c r="G251" s="459">
        <f t="shared" si="109"/>
        <v>175.52475141190811</v>
      </c>
      <c r="H251" s="459">
        <f t="shared" si="109"/>
        <v>174.71117580964111</v>
      </c>
      <c r="I251" s="459">
        <f t="shared" si="109"/>
        <v>173.98425702395551</v>
      </c>
      <c r="J251" s="459">
        <f t="shared" si="109"/>
        <v>173.00015081634265</v>
      </c>
      <c r="K251" s="459">
        <f t="shared" si="109"/>
        <v>172.16892490242739</v>
      </c>
      <c r="L251" s="459">
        <f t="shared" si="109"/>
        <v>171.03913569035544</v>
      </c>
      <c r="M251" s="459">
        <f t="shared" si="109"/>
        <v>169.76721944687546</v>
      </c>
      <c r="N251" s="459">
        <f t="shared" si="109"/>
        <v>168.61933170118706</v>
      </c>
    </row>
    <row r="252" spans="2:14">
      <c r="B252" s="338" t="str">
        <f t="shared" si="102"/>
        <v>45-49</v>
      </c>
      <c r="C252" s="459">
        <f t="shared" si="104"/>
        <v>134.00342221941003</v>
      </c>
      <c r="D252" s="459">
        <f t="shared" ref="D252:N252" si="110">D82-D218</f>
        <v>136.10929252091722</v>
      </c>
      <c r="E252" s="459">
        <f t="shared" si="110"/>
        <v>139.26194127362203</v>
      </c>
      <c r="F252" s="459">
        <f t="shared" si="110"/>
        <v>141.8275741093893</v>
      </c>
      <c r="G252" s="459">
        <f t="shared" si="110"/>
        <v>144.12438428521403</v>
      </c>
      <c r="H252" s="459">
        <f t="shared" si="110"/>
        <v>145.8143870759333</v>
      </c>
      <c r="I252" s="459">
        <f t="shared" si="110"/>
        <v>147.48103118942745</v>
      </c>
      <c r="J252" s="459">
        <f t="shared" si="110"/>
        <v>148.62785234078149</v>
      </c>
      <c r="K252" s="459">
        <f t="shared" si="110"/>
        <v>149.47172790839073</v>
      </c>
      <c r="L252" s="459">
        <f t="shared" si="110"/>
        <v>149.61974709527234</v>
      </c>
      <c r="M252" s="459">
        <f t="shared" si="110"/>
        <v>149.22493695570182</v>
      </c>
      <c r="N252" s="459">
        <f t="shared" si="110"/>
        <v>148.56855404914259</v>
      </c>
    </row>
    <row r="253" spans="2:14">
      <c r="B253" s="338" t="str">
        <f t="shared" si="102"/>
        <v>50-54</v>
      </c>
      <c r="C253" s="459">
        <f t="shared" si="104"/>
        <v>100.27382490217603</v>
      </c>
      <c r="D253" s="459">
        <f t="shared" ref="D253:N253" si="111">D83-D219</f>
        <v>100.52128109700492</v>
      </c>
      <c r="E253" s="459">
        <f t="shared" si="111"/>
        <v>101.44029927602786</v>
      </c>
      <c r="F253" s="459">
        <f t="shared" si="111"/>
        <v>102.26801824959946</v>
      </c>
      <c r="G253" s="459">
        <f t="shared" si="111"/>
        <v>103.39360228065652</v>
      </c>
      <c r="H253" s="459">
        <f t="shared" si="111"/>
        <v>104.56575644329787</v>
      </c>
      <c r="I253" s="459">
        <f t="shared" si="111"/>
        <v>106.11399251308347</v>
      </c>
      <c r="J253" s="459">
        <f t="shared" si="111"/>
        <v>107.55154352431913</v>
      </c>
      <c r="K253" s="459">
        <f t="shared" si="111"/>
        <v>108.90971627175637</v>
      </c>
      <c r="L253" s="459">
        <f t="shared" si="111"/>
        <v>109.7958478432123</v>
      </c>
      <c r="M253" s="459">
        <f t="shared" si="111"/>
        <v>110.23983516672861</v>
      </c>
      <c r="N253" s="459">
        <f t="shared" si="111"/>
        <v>110.39106804281089</v>
      </c>
    </row>
    <row r="254" spans="2:14">
      <c r="B254" s="338" t="str">
        <f t="shared" si="102"/>
        <v>55-59</v>
      </c>
      <c r="C254" s="459">
        <f t="shared" si="104"/>
        <v>64.402483591271263</v>
      </c>
      <c r="D254" s="459">
        <f t="shared" ref="D254:N254" si="112">D84-D220</f>
        <v>56.024155623133538</v>
      </c>
      <c r="E254" s="459">
        <f t="shared" si="112"/>
        <v>51.309779854926262</v>
      </c>
      <c r="F254" s="459">
        <f t="shared" si="112"/>
        <v>48.429132491368492</v>
      </c>
      <c r="G254" s="459">
        <f t="shared" si="112"/>
        <v>46.890937864806233</v>
      </c>
      <c r="H254" s="459">
        <f t="shared" si="112"/>
        <v>46.12418772391684</v>
      </c>
      <c r="I254" s="459">
        <f t="shared" si="112"/>
        <v>46.081527357399935</v>
      </c>
      <c r="J254" s="459">
        <f t="shared" si="112"/>
        <v>46.307487096662285</v>
      </c>
      <c r="K254" s="459">
        <f t="shared" si="112"/>
        <v>46.72927677916072</v>
      </c>
      <c r="L254" s="459">
        <f t="shared" si="112"/>
        <v>47.04670511667193</v>
      </c>
      <c r="M254" s="459">
        <f t="shared" si="112"/>
        <v>47.242777744758335</v>
      </c>
      <c r="N254" s="459">
        <f t="shared" si="112"/>
        <v>47.37004169541261</v>
      </c>
    </row>
    <row r="255" spans="2:14">
      <c r="B255" s="338" t="str">
        <f t="shared" si="102"/>
        <v>60-64</v>
      </c>
      <c r="C255" s="459">
        <f t="shared" si="104"/>
        <v>23.420587506501768</v>
      </c>
      <c r="D255" s="459">
        <f t="shared" ref="D255:N255" si="113">D85-D221</f>
        <v>20.366408029528568</v>
      </c>
      <c r="E255" s="459">
        <f t="shared" si="113"/>
        <v>17.979634380673048</v>
      </c>
      <c r="F255" s="459">
        <f t="shared" si="113"/>
        <v>16.163705647830536</v>
      </c>
      <c r="G255" s="459">
        <f t="shared" si="113"/>
        <v>14.962189766345464</v>
      </c>
      <c r="H255" s="459">
        <f t="shared" si="113"/>
        <v>14.188417604890768</v>
      </c>
      <c r="I255" s="459">
        <f t="shared" si="113"/>
        <v>13.82802826183624</v>
      </c>
      <c r="J255" s="459">
        <f t="shared" si="113"/>
        <v>13.658945753827204</v>
      </c>
      <c r="K255" s="459">
        <f t="shared" si="113"/>
        <v>13.637714517304428</v>
      </c>
      <c r="L255" s="459">
        <f t="shared" si="113"/>
        <v>13.61952922584695</v>
      </c>
      <c r="M255" s="459">
        <f t="shared" si="113"/>
        <v>13.594806827257335</v>
      </c>
      <c r="N255" s="459">
        <f t="shared" si="113"/>
        <v>13.582477156658831</v>
      </c>
    </row>
    <row r="256" spans="2:14">
      <c r="B256" s="338" t="str">
        <f t="shared" si="102"/>
        <v>65 plus</v>
      </c>
      <c r="C256" s="459">
        <f t="shared" si="104"/>
        <v>6.3393449212269264</v>
      </c>
      <c r="D256" s="459">
        <f t="shared" ref="D256:N256" si="114">D86-D222</f>
        <v>6.3661092083677007</v>
      </c>
      <c r="E256" s="459">
        <f t="shared" si="114"/>
        <v>6.083324550975143</v>
      </c>
      <c r="F256" s="459">
        <f t="shared" si="114"/>
        <v>5.64205846658691</v>
      </c>
      <c r="G256" s="459">
        <f t="shared" si="114"/>
        <v>5.2164692648781807</v>
      </c>
      <c r="H256" s="459">
        <f t="shared" si="114"/>
        <v>4.8553908967235673</v>
      </c>
      <c r="I256" s="459">
        <f t="shared" si="114"/>
        <v>4.6130463216005539</v>
      </c>
      <c r="J256" s="459">
        <f t="shared" si="114"/>
        <v>4.4473016976326498</v>
      </c>
      <c r="K256" s="459">
        <f t="shared" si="114"/>
        <v>4.3510527919838138</v>
      </c>
      <c r="L256" s="459">
        <f t="shared" si="114"/>
        <v>4.2774926796290735</v>
      </c>
      <c r="M256" s="459">
        <f t="shared" si="114"/>
        <v>4.217970985492224</v>
      </c>
      <c r="N256" s="459">
        <f t="shared" si="114"/>
        <v>4.1753291329336912</v>
      </c>
    </row>
    <row r="257" spans="1:14">
      <c r="B257" s="338" t="str">
        <f t="shared" si="102"/>
        <v>Total</v>
      </c>
      <c r="C257" s="459">
        <f>SUM(C247:C256)</f>
        <v>1026.8703833530867</v>
      </c>
      <c r="D257" s="459">
        <f t="shared" ref="D257:N257" si="115">SUM(D247:D256)</f>
        <v>1025.2702029294469</v>
      </c>
      <c r="E257" s="459">
        <f t="shared" si="115"/>
        <v>1033.1622075463563</v>
      </c>
      <c r="F257" s="459">
        <f t="shared" si="115"/>
        <v>1034.1117124929272</v>
      </c>
      <c r="G257" s="459">
        <f t="shared" si="115"/>
        <v>1037.5035918960125</v>
      </c>
      <c r="H257" s="459">
        <f t="shared" si="115"/>
        <v>1040.404046696088</v>
      </c>
      <c r="I257" s="459">
        <f t="shared" si="115"/>
        <v>1051.4857486759081</v>
      </c>
      <c r="J257" s="459">
        <f t="shared" si="115"/>
        <v>1062.4198380042021</v>
      </c>
      <c r="K257" s="459">
        <f t="shared" si="115"/>
        <v>1074.9499359397555</v>
      </c>
      <c r="L257" s="459">
        <f t="shared" si="115"/>
        <v>1081.7576076537036</v>
      </c>
      <c r="M257" s="459">
        <f t="shared" si="115"/>
        <v>1083.7328861838416</v>
      </c>
      <c r="N257" s="459">
        <f t="shared" si="115"/>
        <v>1083.6713457099274</v>
      </c>
    </row>
    <row r="258" spans="1:14">
      <c r="A258" s="309">
        <f>SUM(C258:N258)</f>
        <v>0</v>
      </c>
      <c r="C258" s="309">
        <f t="shared" ref="C258:N258" si="116">SUM(C247:C256)-C257</f>
        <v>0</v>
      </c>
      <c r="D258" s="309">
        <f t="shared" si="116"/>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4">
      <c r="B263" s="338" t="str">
        <f t="shared" si="117"/>
        <v>20-24</v>
      </c>
      <c r="C263" s="459">
        <f t="shared" ref="C263:C272" si="119">C93-C229</f>
        <v>90.848545292330016</v>
      </c>
      <c r="D263" s="459">
        <f t="shared" ref="D263:N263" si="120">D93-D229</f>
        <v>135.89401000515562</v>
      </c>
      <c r="E263" s="459">
        <f t="shared" si="120"/>
        <v>173.01963536798237</v>
      </c>
      <c r="F263" s="459">
        <f t="shared" si="120"/>
        <v>194.2367382012437</v>
      </c>
      <c r="G263" s="459">
        <f t="shared" si="120"/>
        <v>210.44729133437016</v>
      </c>
      <c r="H263" s="459">
        <f t="shared" si="120"/>
        <v>221.48884832715942</v>
      </c>
      <c r="I263" s="459">
        <f t="shared" si="120"/>
        <v>234.96204602922037</v>
      </c>
      <c r="J263" s="459">
        <f t="shared" si="120"/>
        <v>245.08975811378784</v>
      </c>
      <c r="K263" s="459">
        <f t="shared" si="120"/>
        <v>254.07946621134482</v>
      </c>
      <c r="L263" s="459">
        <f t="shared" si="120"/>
        <v>257.3512971096481</v>
      </c>
      <c r="M263" s="459">
        <f t="shared" si="120"/>
        <v>256.78801589485124</v>
      </c>
      <c r="N263" s="459">
        <f t="shared" si="120"/>
        <v>255.10117289388745</v>
      </c>
    </row>
    <row r="264" spans="1:14">
      <c r="B264" s="338" t="str">
        <f t="shared" si="117"/>
        <v>25-29</v>
      </c>
      <c r="C264" s="459">
        <f t="shared" si="119"/>
        <v>540.65219598770864</v>
      </c>
      <c r="D264" s="459">
        <f t="shared" ref="D264:N264" si="121">D94-D230</f>
        <v>502.27545501815968</v>
      </c>
      <c r="E264" s="459">
        <f t="shared" si="121"/>
        <v>489.10031797108451</v>
      </c>
      <c r="F264" s="459">
        <f t="shared" si="121"/>
        <v>479.38226621483699</v>
      </c>
      <c r="G264" s="459">
        <f t="shared" si="121"/>
        <v>477.58034790013858</v>
      </c>
      <c r="H264" s="459">
        <f t="shared" si="121"/>
        <v>478.53178628624369</v>
      </c>
      <c r="I264" s="459">
        <f t="shared" si="121"/>
        <v>488.54676057126301</v>
      </c>
      <c r="J264" s="459">
        <f t="shared" si="121"/>
        <v>498.94536939260803</v>
      </c>
      <c r="K264" s="459">
        <f t="shared" si="121"/>
        <v>510.64786909708909</v>
      </c>
      <c r="L264" s="459">
        <f t="shared" si="121"/>
        <v>516.6754795544748</v>
      </c>
      <c r="M264" s="459">
        <f t="shared" si="121"/>
        <v>517.86036630170156</v>
      </c>
      <c r="N264" s="459">
        <f t="shared" si="121"/>
        <v>516.93857200859838</v>
      </c>
    </row>
    <row r="265" spans="1:14">
      <c r="B265" s="338" t="str">
        <f t="shared" si="117"/>
        <v>30-34</v>
      </c>
      <c r="C265" s="459">
        <f t="shared" si="119"/>
        <v>865.34496531512218</v>
      </c>
      <c r="D265" s="459">
        <f t="shared" ref="D265:N265" si="122">D95-D231</f>
        <v>786.9619783933864</v>
      </c>
      <c r="E265" s="459">
        <f t="shared" si="122"/>
        <v>726.64504765383731</v>
      </c>
      <c r="F265" s="459">
        <f t="shared" si="122"/>
        <v>676.01960434010039</v>
      </c>
      <c r="G265" s="459">
        <f t="shared" si="122"/>
        <v>638.11613303361185</v>
      </c>
      <c r="H265" s="459">
        <f t="shared" si="122"/>
        <v>609.68836117307887</v>
      </c>
      <c r="I265" s="459">
        <f t="shared" si="122"/>
        <v>593.51997213470463</v>
      </c>
      <c r="J265" s="459">
        <f t="shared" si="122"/>
        <v>583.94678040168242</v>
      </c>
      <c r="K265" s="459">
        <f t="shared" si="122"/>
        <v>580.2475901069821</v>
      </c>
      <c r="L265" s="459">
        <f t="shared" si="122"/>
        <v>577.20025706890885</v>
      </c>
      <c r="M265" s="459">
        <f t="shared" si="122"/>
        <v>573.78558714440646</v>
      </c>
      <c r="N265" s="459">
        <f t="shared" si="122"/>
        <v>570.49240144539965</v>
      </c>
    </row>
    <row r="266" spans="1:14">
      <c r="B266" s="338" t="str">
        <f t="shared" si="117"/>
        <v>35-39</v>
      </c>
      <c r="C266" s="459">
        <f t="shared" si="119"/>
        <v>761.81387072817165</v>
      </c>
      <c r="D266" s="459">
        <f t="shared" ref="D266:N266" si="123">D96-D232</f>
        <v>756.08790819223577</v>
      </c>
      <c r="E266" s="459">
        <f t="shared" si="123"/>
        <v>740.00305289449102</v>
      </c>
      <c r="F266" s="459">
        <f t="shared" si="123"/>
        <v>714.38016409657848</v>
      </c>
      <c r="G266" s="459">
        <f t="shared" si="123"/>
        <v>686.76044709557618</v>
      </c>
      <c r="H266" s="459">
        <f t="shared" si="123"/>
        <v>659.19601379689072</v>
      </c>
      <c r="I266" s="459">
        <f t="shared" si="123"/>
        <v>636.54040289578052</v>
      </c>
      <c r="J266" s="459">
        <f t="shared" si="123"/>
        <v>617.15799021655482</v>
      </c>
      <c r="K266" s="459">
        <f t="shared" si="123"/>
        <v>602.03516364283701</v>
      </c>
      <c r="L266" s="459">
        <f t="shared" si="123"/>
        <v>588.62203401034799</v>
      </c>
      <c r="M266" s="459">
        <f t="shared" si="123"/>
        <v>576.71153047985035</v>
      </c>
      <c r="N266" s="459">
        <f t="shared" si="123"/>
        <v>566.66259047429901</v>
      </c>
    </row>
    <row r="267" spans="1:14">
      <c r="B267" s="338" t="str">
        <f t="shared" si="117"/>
        <v>40-44</v>
      </c>
      <c r="C267" s="459">
        <f t="shared" si="119"/>
        <v>510.85428910078701</v>
      </c>
      <c r="D267" s="459">
        <f t="shared" ref="D267:N267" si="124">D97-D233</f>
        <v>548.04935288448928</v>
      </c>
      <c r="E267" s="459">
        <f t="shared" si="124"/>
        <v>576.57742571946267</v>
      </c>
      <c r="F267" s="459">
        <f t="shared" si="124"/>
        <v>592.43615203780973</v>
      </c>
      <c r="G267" s="459">
        <f t="shared" si="124"/>
        <v>599.87275075805815</v>
      </c>
      <c r="H267" s="459">
        <f t="shared" si="124"/>
        <v>600.04322694245138</v>
      </c>
      <c r="I267" s="459">
        <f t="shared" si="124"/>
        <v>597.45752248027941</v>
      </c>
      <c r="J267" s="459">
        <f t="shared" si="124"/>
        <v>591.58504273211224</v>
      </c>
      <c r="K267" s="459">
        <f t="shared" si="124"/>
        <v>584.42014496628349</v>
      </c>
      <c r="L267" s="459">
        <f t="shared" si="124"/>
        <v>575.00346449791289</v>
      </c>
      <c r="M267" s="459">
        <f t="shared" si="124"/>
        <v>564.3432768401716</v>
      </c>
      <c r="N267" s="459">
        <f t="shared" si="124"/>
        <v>553.72709363226727</v>
      </c>
    </row>
    <row r="268" spans="1:14">
      <c r="B268" s="338" t="str">
        <f t="shared" si="117"/>
        <v>45-49</v>
      </c>
      <c r="C268" s="459">
        <f t="shared" si="119"/>
        <v>312.53573052883371</v>
      </c>
      <c r="D268" s="459">
        <f t="shared" ref="D268:N268" si="125">D98-D234</f>
        <v>348.09065752533814</v>
      </c>
      <c r="E268" s="459">
        <f t="shared" si="125"/>
        <v>382.78171983808198</v>
      </c>
      <c r="F268" s="459">
        <f t="shared" si="125"/>
        <v>411.72157941782206</v>
      </c>
      <c r="G268" s="459">
        <f t="shared" si="125"/>
        <v>436.28254431511158</v>
      </c>
      <c r="H268" s="459">
        <f t="shared" si="125"/>
        <v>455.52747528333106</v>
      </c>
      <c r="I268" s="459">
        <f t="shared" si="125"/>
        <v>471.62989683594066</v>
      </c>
      <c r="J268" s="459">
        <f t="shared" si="125"/>
        <v>483.17062487485327</v>
      </c>
      <c r="K268" s="459">
        <f t="shared" si="125"/>
        <v>491.18220906528853</v>
      </c>
      <c r="L268" s="459">
        <f t="shared" si="125"/>
        <v>494.67670001309756</v>
      </c>
      <c r="M268" s="459">
        <f t="shared" si="125"/>
        <v>494.52004939552131</v>
      </c>
      <c r="N268" s="459">
        <f t="shared" si="125"/>
        <v>492.00418695589917</v>
      </c>
    </row>
    <row r="269" spans="1:14">
      <c r="B269" s="338" t="str">
        <f t="shared" si="117"/>
        <v>50-54</v>
      </c>
      <c r="C269" s="459">
        <f t="shared" si="119"/>
        <v>208.26398805304277</v>
      </c>
      <c r="D269" s="459">
        <f t="shared" ref="D269:N269" si="126">D99-D235</f>
        <v>220.96753334978308</v>
      </c>
      <c r="E269" s="459">
        <f t="shared" si="126"/>
        <v>237.53551525546646</v>
      </c>
      <c r="F269" s="459">
        <f t="shared" si="126"/>
        <v>254.15286194291022</v>
      </c>
      <c r="G269" s="459">
        <f t="shared" si="126"/>
        <v>271.3555065961524</v>
      </c>
      <c r="H269" s="459">
        <f t="shared" si="126"/>
        <v>287.80073258224968</v>
      </c>
      <c r="I269" s="459">
        <f t="shared" si="126"/>
        <v>304.28032172025013</v>
      </c>
      <c r="J269" s="459">
        <f t="shared" si="126"/>
        <v>318.96799970636494</v>
      </c>
      <c r="K269" s="459">
        <f t="shared" si="126"/>
        <v>331.88286905141598</v>
      </c>
      <c r="L269" s="459">
        <f t="shared" si="126"/>
        <v>341.69714551928905</v>
      </c>
      <c r="M269" s="459">
        <f t="shared" si="126"/>
        <v>348.56841772192519</v>
      </c>
      <c r="N269" s="459">
        <f t="shared" si="126"/>
        <v>353.10128138157853</v>
      </c>
    </row>
    <row r="270" spans="1:14">
      <c r="B270" s="338" t="str">
        <f t="shared" si="117"/>
        <v>55-59</v>
      </c>
      <c r="C270" s="459">
        <f t="shared" si="119"/>
        <v>126.50738319670289</v>
      </c>
      <c r="D270" s="459">
        <f t="shared" ref="D270:N270" si="127">D100-D236</f>
        <v>117.204163148986</v>
      </c>
      <c r="E270" s="459">
        <f t="shared" si="127"/>
        <v>114.25905311183996</v>
      </c>
      <c r="F270" s="459">
        <f t="shared" si="127"/>
        <v>114.21227489123248</v>
      </c>
      <c r="G270" s="459">
        <f t="shared" si="127"/>
        <v>116.82697868641866</v>
      </c>
      <c r="H270" s="459">
        <f t="shared" si="127"/>
        <v>120.89115985453226</v>
      </c>
      <c r="I270" s="459">
        <f t="shared" si="127"/>
        <v>126.59634682255626</v>
      </c>
      <c r="J270" s="459">
        <f t="shared" si="127"/>
        <v>132.5529991794092</v>
      </c>
      <c r="K270" s="459">
        <f t="shared" si="127"/>
        <v>138.57292642894828</v>
      </c>
      <c r="L270" s="459">
        <f t="shared" si="127"/>
        <v>143.65456020222734</v>
      </c>
      <c r="M270" s="459">
        <f t="shared" si="127"/>
        <v>147.74577659356748</v>
      </c>
      <c r="N270" s="459">
        <f t="shared" si="127"/>
        <v>151.03722680143738</v>
      </c>
    </row>
    <row r="271" spans="1:14">
      <c r="B271" s="338" t="str">
        <f t="shared" si="117"/>
        <v>60-64</v>
      </c>
      <c r="C271" s="459">
        <f t="shared" si="119"/>
        <v>44.631164567202767</v>
      </c>
      <c r="D271" s="459">
        <f t="shared" ref="D271:N271" si="128">D101-D237</f>
        <v>39.250473490852954</v>
      </c>
      <c r="E271" s="459">
        <f t="shared" si="128"/>
        <v>36.014996320823464</v>
      </c>
      <c r="F271" s="459">
        <f t="shared" si="128"/>
        <v>33.876672648825448</v>
      </c>
      <c r="G271" s="459">
        <f t="shared" si="128"/>
        <v>32.954924078865446</v>
      </c>
      <c r="H271" s="459">
        <f t="shared" si="128"/>
        <v>32.800546275777791</v>
      </c>
      <c r="I271" s="459">
        <f t="shared" si="128"/>
        <v>33.53189470992924</v>
      </c>
      <c r="J271" s="459">
        <f t="shared" si="128"/>
        <v>34.552653734928676</v>
      </c>
      <c r="K271" s="459">
        <f t="shared" si="128"/>
        <v>35.809998485439749</v>
      </c>
      <c r="L271" s="459">
        <f t="shared" si="128"/>
        <v>36.888498437310801</v>
      </c>
      <c r="M271" s="459">
        <f t="shared" si="128"/>
        <v>37.792004837214435</v>
      </c>
      <c r="N271" s="459">
        <f t="shared" si="128"/>
        <v>38.598485166712024</v>
      </c>
    </row>
    <row r="272" spans="1:14">
      <c r="B272" s="338" t="str">
        <f t="shared" si="117"/>
        <v>65 plus</v>
      </c>
      <c r="C272" s="459">
        <f t="shared" si="119"/>
        <v>8.3006828126247303</v>
      </c>
      <c r="D272" s="459">
        <f t="shared" ref="D272:N272" si="129">D102-D238</f>
        <v>9.9443366792653762</v>
      </c>
      <c r="E272" s="459">
        <f t="shared" si="129"/>
        <v>10.32337908962414</v>
      </c>
      <c r="F272" s="459">
        <f t="shared" si="129"/>
        <v>10.087813722468816</v>
      </c>
      <c r="G272" s="459">
        <f t="shared" si="129"/>
        <v>9.7789748216193715</v>
      </c>
      <c r="H272" s="459">
        <f t="shared" si="129"/>
        <v>9.5236448709088872</v>
      </c>
      <c r="I272" s="459">
        <f t="shared" si="129"/>
        <v>9.4900499424033047</v>
      </c>
      <c r="J272" s="459">
        <f t="shared" si="129"/>
        <v>9.5560842477513059</v>
      </c>
      <c r="K272" s="459">
        <f t="shared" si="129"/>
        <v>9.7246703207841172</v>
      </c>
      <c r="L272" s="459">
        <f t="shared" si="129"/>
        <v>9.872479741786595</v>
      </c>
      <c r="M272" s="459">
        <f t="shared" si="129"/>
        <v>9.9969176587898847</v>
      </c>
      <c r="N272" s="459">
        <f t="shared" si="129"/>
        <v>10.123652497143766</v>
      </c>
    </row>
    <row r="273" spans="1:14">
      <c r="B273" s="338" t="str">
        <f t="shared" si="117"/>
        <v>Total</v>
      </c>
      <c r="C273" s="459">
        <f>SUM(C263:C272)</f>
        <v>3469.7528155825262</v>
      </c>
      <c r="D273" s="459">
        <f t="shared" ref="D273:N273" si="130">SUM(D263:D272)</f>
        <v>3464.7258686876517</v>
      </c>
      <c r="E273" s="459">
        <f t="shared" si="130"/>
        <v>3486.2601432226948</v>
      </c>
      <c r="F273" s="459">
        <f t="shared" si="130"/>
        <v>3480.5061275138282</v>
      </c>
      <c r="G273" s="459">
        <f t="shared" si="130"/>
        <v>3479.9758986199217</v>
      </c>
      <c r="H273" s="459">
        <f t="shared" si="130"/>
        <v>3475.4917953926238</v>
      </c>
      <c r="I273" s="459">
        <f t="shared" si="130"/>
        <v>3496.5552141423273</v>
      </c>
      <c r="J273" s="459">
        <f t="shared" si="130"/>
        <v>3515.5253026000523</v>
      </c>
      <c r="K273" s="459">
        <f t="shared" si="130"/>
        <v>3538.6029073764139</v>
      </c>
      <c r="L273" s="459">
        <f t="shared" si="130"/>
        <v>3541.6419161550048</v>
      </c>
      <c r="M273" s="459">
        <f t="shared" si="130"/>
        <v>3528.111942867999</v>
      </c>
      <c r="N273" s="459">
        <f t="shared" si="130"/>
        <v>3507.7866632572232</v>
      </c>
    </row>
    <row r="274" spans="1:14">
      <c r="A274" s="309">
        <f>SUM(C274:N274)</f>
        <v>0</v>
      </c>
      <c r="C274" s="309">
        <f t="shared" ref="C274:N274" si="131">SUM(C263:C272)-C273</f>
        <v>0</v>
      </c>
      <c r="D274" s="309">
        <f t="shared" si="131"/>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4">
      <c r="B279" s="326" t="s">
        <v>196</v>
      </c>
      <c r="C279" s="459">
        <f>C223+C239</f>
        <v>514.55432284894368</v>
      </c>
      <c r="D279" s="459">
        <f t="shared" ref="D279:N279" si="133">D223+D239</f>
        <v>507.29275139328416</v>
      </c>
      <c r="E279" s="459">
        <f t="shared" si="133"/>
        <v>506.38906375025726</v>
      </c>
      <c r="F279" s="459">
        <f t="shared" si="133"/>
        <v>503.51471962405287</v>
      </c>
      <c r="G279" s="459">
        <f t="shared" si="133"/>
        <v>503.41597126955264</v>
      </c>
      <c r="H279" s="459">
        <f t="shared" si="133"/>
        <v>504.17792077211618</v>
      </c>
      <c r="I279" s="459">
        <f t="shared" si="133"/>
        <v>509.86540873056367</v>
      </c>
      <c r="J279" s="459">
        <f t="shared" si="133"/>
        <v>515.74083990884469</v>
      </c>
      <c r="K279" s="459">
        <f t="shared" si="133"/>
        <v>522.46647626143124</v>
      </c>
      <c r="L279" s="459">
        <f t="shared" si="133"/>
        <v>526.10164305163676</v>
      </c>
      <c r="M279" s="459">
        <f t="shared" si="133"/>
        <v>527.09565094999766</v>
      </c>
      <c r="N279" s="459">
        <f t="shared" si="133"/>
        <v>526.87702983482382</v>
      </c>
    </row>
    <row r="280" spans="1:14">
      <c r="B280" s="326" t="s">
        <v>197</v>
      </c>
      <c r="C280" s="459">
        <f>C155+C171</f>
        <v>119.72297951855082</v>
      </c>
      <c r="D280" s="459">
        <f t="shared" ref="D280:N280" si="134">D155+D171</f>
        <v>111.2046116816438</v>
      </c>
      <c r="E280" s="459">
        <f t="shared" si="134"/>
        <v>106.00520397678318</v>
      </c>
      <c r="F280" s="459">
        <f t="shared" si="134"/>
        <v>102.49079769395431</v>
      </c>
      <c r="G280" s="459">
        <f t="shared" si="134"/>
        <v>101.24070254443021</v>
      </c>
      <c r="H280" s="459">
        <f t="shared" si="134"/>
        <v>101.45866223546726</v>
      </c>
      <c r="I280" s="459">
        <f t="shared" si="134"/>
        <v>103.49281326226929</v>
      </c>
      <c r="J280" s="459">
        <f t="shared" si="134"/>
        <v>106.08409309718836</v>
      </c>
      <c r="K280" s="459">
        <f t="shared" si="134"/>
        <v>109.10081322194452</v>
      </c>
      <c r="L280" s="459">
        <f t="shared" si="134"/>
        <v>111.61468818155028</v>
      </c>
      <c r="M280" s="459">
        <f t="shared" si="134"/>
        <v>113.60166492538625</v>
      </c>
      <c r="N280" s="459">
        <f t="shared" si="134"/>
        <v>115.24220728700844</v>
      </c>
    </row>
    <row r="281" spans="1:14">
      <c r="B281" s="326" t="s">
        <v>522</v>
      </c>
      <c r="C281" s="459">
        <f>C189+C205</f>
        <v>2.3392708213805187</v>
      </c>
      <c r="D281" s="459">
        <f t="shared" ref="D281:N281" si="135">D189+D205</f>
        <v>2.3463551326371412</v>
      </c>
      <c r="E281" s="459">
        <f t="shared" si="135"/>
        <v>2.3430081769400579</v>
      </c>
      <c r="F281" s="459">
        <f t="shared" si="135"/>
        <v>2.3243600850970023</v>
      </c>
      <c r="G281" s="459">
        <f t="shared" si="135"/>
        <v>2.3162341035563534</v>
      </c>
      <c r="H281" s="459">
        <f t="shared" si="135"/>
        <v>2.3154388536098551</v>
      </c>
      <c r="I281" s="459">
        <f t="shared" si="135"/>
        <v>2.3359110648733648</v>
      </c>
      <c r="J281" s="459">
        <f t="shared" si="135"/>
        <v>2.3607614806825721</v>
      </c>
      <c r="K281" s="459">
        <f t="shared" si="135"/>
        <v>2.3909501822496413</v>
      </c>
      <c r="L281" s="459">
        <f t="shared" si="135"/>
        <v>2.4120172825352784</v>
      </c>
      <c r="M281" s="459">
        <f t="shared" si="135"/>
        <v>2.4244557773117013</v>
      </c>
      <c r="N281" s="459">
        <f t="shared" si="135"/>
        <v>2.4323489145605954</v>
      </c>
    </row>
    <row r="282" spans="1:14">
      <c r="B282" s="326" t="s">
        <v>198</v>
      </c>
      <c r="C282" s="459">
        <f>C121+C137</f>
        <v>392.49207250901236</v>
      </c>
      <c r="D282" s="459">
        <f t="shared" ref="D282:N282" si="136">D121+D137</f>
        <v>393.74178457900331</v>
      </c>
      <c r="E282" s="459">
        <f t="shared" si="136"/>
        <v>398.04085159653403</v>
      </c>
      <c r="F282" s="459">
        <f t="shared" si="136"/>
        <v>398.6995618450016</v>
      </c>
      <c r="G282" s="459">
        <f t="shared" si="136"/>
        <v>399.8590346215662</v>
      </c>
      <c r="H282" s="459">
        <f t="shared" si="136"/>
        <v>400.40381968303905</v>
      </c>
      <c r="I282" s="459">
        <f t="shared" si="136"/>
        <v>404.03668440342102</v>
      </c>
      <c r="J282" s="459">
        <f t="shared" si="136"/>
        <v>407.29598533097368</v>
      </c>
      <c r="K282" s="459">
        <f t="shared" si="136"/>
        <v>410.97471285723702</v>
      </c>
      <c r="L282" s="459">
        <f t="shared" si="136"/>
        <v>412.07493758755129</v>
      </c>
      <c r="M282" s="459">
        <f t="shared" si="136"/>
        <v>411.06953024729978</v>
      </c>
      <c r="N282" s="459">
        <f t="shared" si="136"/>
        <v>409.20247363325478</v>
      </c>
    </row>
    <row r="283" spans="1:14"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4"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4" ht="15.75">
      <c r="B291" s="340"/>
      <c r="H291" s="327"/>
    </row>
    <row r="292" spans="2:14" ht="15.75">
      <c r="B292" s="340" t="s">
        <v>263</v>
      </c>
      <c r="H292" s="327"/>
    </row>
    <row r="293" spans="2:14"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4">
      <c r="B294" s="363" t="s">
        <v>266</v>
      </c>
      <c r="C294" s="459">
        <f>C36-C15+C279-C290</f>
        <v>500.66562407477022</v>
      </c>
      <c r="D294" s="459">
        <f>D36-D15+D279-D290</f>
        <v>535.81534290220816</v>
      </c>
      <c r="E294" s="459">
        <f>E36-E15+E279-E290</f>
        <v>498.71020886175847</v>
      </c>
      <c r="F294" s="459">
        <f t="shared" ref="F294:N294" si="141">F36-F15+F279-F290</f>
        <v>506.27762177873194</v>
      </c>
      <c r="G294" s="459">
        <f t="shared" si="141"/>
        <v>502.59427234489328</v>
      </c>
      <c r="H294" s="459">
        <f t="shared" si="141"/>
        <v>542.0105294600877</v>
      </c>
      <c r="I294" s="459">
        <f t="shared" si="141"/>
        <v>545.64501769486344</v>
      </c>
      <c r="J294" s="459">
        <f t="shared" si="141"/>
        <v>558.07417897334494</v>
      </c>
      <c r="K294" s="459">
        <f t="shared" si="141"/>
        <v>535.94832354417588</v>
      </c>
      <c r="L294" s="459">
        <f t="shared" si="141"/>
        <v>515.54095619313125</v>
      </c>
      <c r="M294" s="459">
        <f t="shared" si="141"/>
        <v>506.49020975013286</v>
      </c>
      <c r="N294" s="459">
        <f t="shared" si="141"/>
        <v>522.93864569563834</v>
      </c>
    </row>
    <row r="295" spans="2:14" ht="12.75" customHeight="1">
      <c r="B295" s="1243" t="s">
        <v>264</v>
      </c>
      <c r="C295" s="1243"/>
      <c r="D295" s="1243"/>
      <c r="E295" s="1243"/>
      <c r="F295" s="1243"/>
      <c r="G295" s="1243"/>
      <c r="H295" s="1243"/>
      <c r="I295" s="1243"/>
      <c r="J295" s="1243"/>
      <c r="K295" s="1243"/>
      <c r="L295" s="1243"/>
      <c r="M295" s="1243"/>
      <c r="N295" s="1243"/>
    </row>
    <row r="296" spans="2:14">
      <c r="B296" s="545" t="s">
        <v>6</v>
      </c>
      <c r="C296" s="546">
        <f>IF(C294&lt;0,0,C294)</f>
        <v>500.66562407477022</v>
      </c>
      <c r="D296" s="546">
        <f t="shared" ref="D296:N296" si="142">IF(D294&lt;0,0,D294)</f>
        <v>535.81534290220816</v>
      </c>
      <c r="E296" s="546">
        <f t="shared" si="142"/>
        <v>498.71020886175847</v>
      </c>
      <c r="F296" s="546">
        <f t="shared" si="142"/>
        <v>506.27762177873194</v>
      </c>
      <c r="G296" s="546">
        <f t="shared" si="142"/>
        <v>502.59427234489328</v>
      </c>
      <c r="H296" s="546">
        <f t="shared" si="142"/>
        <v>542.0105294600877</v>
      </c>
      <c r="I296" s="546">
        <f t="shared" si="142"/>
        <v>545.64501769486344</v>
      </c>
      <c r="J296" s="546">
        <f t="shared" si="142"/>
        <v>558.07417897334494</v>
      </c>
      <c r="K296" s="546">
        <f t="shared" si="142"/>
        <v>535.94832354417588</v>
      </c>
      <c r="L296" s="546">
        <f t="shared" si="142"/>
        <v>515.54095619313125</v>
      </c>
      <c r="M296" s="546">
        <f t="shared" si="142"/>
        <v>506.49020975013286</v>
      </c>
      <c r="N296" s="546">
        <f t="shared" si="142"/>
        <v>522.93864569563834</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4">
      <c r="B303" s="338" t="str">
        <f t="shared" si="143"/>
        <v>20-24</v>
      </c>
      <c r="C303" s="459">
        <f>C$296*Entrant_age_breakdowns!$K76*$G$31</f>
        <v>29.551337079321435</v>
      </c>
      <c r="D303" s="459">
        <f>D$296*Entrant_age_breakdowns!$K76*$G$31</f>
        <v>31.626017543418701</v>
      </c>
      <c r="E303" s="459">
        <f>E$296*Entrant_age_breakdowns!$K76*$G$31</f>
        <v>29.435920459303777</v>
      </c>
      <c r="F303" s="459">
        <f>F$296*Entrant_age_breakdowns!$K76*$G$31</f>
        <v>29.882580184227283</v>
      </c>
      <c r="G303" s="459">
        <f>G$296*Entrant_age_breakdowns!$K76*$G$31</f>
        <v>29.665173804667184</v>
      </c>
      <c r="H303" s="459">
        <f>H$296*Entrant_age_breakdowns!$K76*$G$31</f>
        <v>31.991682844645446</v>
      </c>
      <c r="I303" s="459">
        <f>I$296*Entrant_age_breakdowns!$K76*$G$31</f>
        <v>32.206205235982317</v>
      </c>
      <c r="J303" s="459">
        <f>J$296*Entrant_age_breakdowns!$K76*$G$31</f>
        <v>32.939825274770527</v>
      </c>
      <c r="K303" s="459">
        <f>K$296*Entrant_age_breakdowns!$K76*$G$31</f>
        <v>31.633866605920392</v>
      </c>
      <c r="L303" s="459">
        <f>L$296*Entrant_age_breakdowns!$K76*$G$31</f>
        <v>30.429340146555976</v>
      </c>
      <c r="M303" s="459">
        <f>M$296*Entrant_age_breakdowns!$K76*$G$31</f>
        <v>29.895127997577738</v>
      </c>
      <c r="N303" s="459">
        <f>N$296*Entrant_age_breakdowns!$K76*$G$31</f>
        <v>30.865982099956987</v>
      </c>
    </row>
    <row r="304" spans="2:14">
      <c r="B304" s="338" t="str">
        <f t="shared" si="143"/>
        <v>25-29</v>
      </c>
      <c r="C304" s="459">
        <f>C$296*Entrant_age_breakdowns!$K77*$G$31</f>
        <v>30.555440915747415</v>
      </c>
      <c r="D304" s="459">
        <f>D$296*Entrant_age_breakdowns!$K77*$G$31</f>
        <v>32.700615469765772</v>
      </c>
      <c r="E304" s="459">
        <f>E$296*Entrant_age_breakdowns!$K77*$G$31</f>
        <v>30.436102636596836</v>
      </c>
      <c r="F304" s="459">
        <f>F$296*Entrant_age_breakdowns!$K77*$G$31</f>
        <v>30.897939094206546</v>
      </c>
      <c r="G304" s="459">
        <f>G$296*Entrant_age_breakdowns!$K77*$G$31</f>
        <v>30.673145618110212</v>
      </c>
      <c r="H304" s="459">
        <f>H$296*Entrant_age_breakdowns!$K77*$G$31</f>
        <v>33.078705451839411</v>
      </c>
      <c r="I304" s="459">
        <f>I$296*Entrant_age_breakdowns!$K77*$G$31</f>
        <v>33.300516946730632</v>
      </c>
      <c r="J304" s="459">
        <f>J$296*Entrant_age_breakdowns!$K77*$G$31</f>
        <v>34.059064138339338</v>
      </c>
      <c r="K304" s="459">
        <f>K$296*Entrant_age_breakdowns!$K77*$G$31</f>
        <v>32.708731229972173</v>
      </c>
      <c r="L304" s="459">
        <f>L$296*Entrant_age_breakdowns!$K77*$G$31</f>
        <v>31.463277023897756</v>
      </c>
      <c r="M304" s="459">
        <f>M$296*Entrant_age_breakdowns!$K77*$G$31</f>
        <v>30.910913260770393</v>
      </c>
      <c r="N304" s="459">
        <f>N$296*Entrant_age_breakdowns!$K77*$G$31</f>
        <v>31.914755323260973</v>
      </c>
    </row>
    <row r="305" spans="1:14">
      <c r="B305" s="338" t="str">
        <f t="shared" si="143"/>
        <v>30-34</v>
      </c>
      <c r="C305" s="459">
        <f>C$296*Entrant_age_breakdowns!$K78*$G$31</f>
        <v>15.168178636721271</v>
      </c>
      <c r="D305" s="459">
        <f>D$296*Entrant_age_breakdowns!$K78*$G$31</f>
        <v>16.233075423254956</v>
      </c>
      <c r="E305" s="459">
        <f>E$296*Entrant_age_breakdowns!$K78*$G$31</f>
        <v>15.108937327085252</v>
      </c>
      <c r="F305" s="459">
        <f>F$296*Entrant_age_breakdowns!$K78*$G$31</f>
        <v>15.338199863642672</v>
      </c>
      <c r="G305" s="459">
        <f>G$296*Entrant_age_breakdowns!$K78*$G$31</f>
        <v>15.226609014366415</v>
      </c>
      <c r="H305" s="459">
        <f>H$296*Entrant_age_breakdowns!$K78*$G$31</f>
        <v>16.420764954708979</v>
      </c>
      <c r="I305" s="459">
        <f>I$296*Entrant_age_breakdowns!$K78*$G$31</f>
        <v>16.530875503840488</v>
      </c>
      <c r="J305" s="459">
        <f>J$296*Entrant_age_breakdowns!$K78*$G$31</f>
        <v>16.907429693924986</v>
      </c>
      <c r="K305" s="459">
        <f>K$296*Entrant_age_breakdowns!$K78*$G$31</f>
        <v>16.237104208207629</v>
      </c>
      <c r="L305" s="459">
        <f>L$296*Entrant_age_breakdowns!$K78*$G$31</f>
        <v>15.618842081547996</v>
      </c>
      <c r="M305" s="459">
        <f>M$296*Entrant_age_breakdowns!$K78*$G$31</f>
        <v>15.344640434297361</v>
      </c>
      <c r="N305" s="459">
        <f>N$296*Entrant_age_breakdowns!$K78*$G$31</f>
        <v>15.842962673171176</v>
      </c>
    </row>
    <row r="306" spans="1:14">
      <c r="B306" s="338" t="str">
        <f t="shared" si="143"/>
        <v>35-39</v>
      </c>
      <c r="C306" s="459">
        <f>C$296*Entrant_age_breakdowns!$K79*$G$31</f>
        <v>10.838336013289872</v>
      </c>
      <c r="D306" s="459">
        <f>D$296*Entrant_age_breakdowns!$K79*$G$31</f>
        <v>11.599251972176518</v>
      </c>
      <c r="E306" s="459">
        <f>E$296*Entrant_age_breakdowns!$K79*$G$31</f>
        <v>10.796005471497065</v>
      </c>
      <c r="F306" s="459">
        <f>F$296*Entrant_age_breakdowns!$K79*$G$31</f>
        <v>10.959823716652277</v>
      </c>
      <c r="G306" s="459">
        <f>G$296*Entrant_age_breakdowns!$K79*$G$31</f>
        <v>10.880087108228084</v>
      </c>
      <c r="H306" s="459">
        <f>H$296*Entrant_age_breakdowns!$K79*$G$31</f>
        <v>11.733364462330798</v>
      </c>
      <c r="I306" s="459">
        <f>I$296*Entrant_age_breakdowns!$K79*$G$31</f>
        <v>11.812043330682593</v>
      </c>
      <c r="J306" s="459">
        <f>J$296*Entrant_age_breakdowns!$K79*$G$31</f>
        <v>12.081107991449949</v>
      </c>
      <c r="K306" s="459">
        <f>K$296*Entrant_age_breakdowns!$K79*$G$31</f>
        <v>11.6021307176138</v>
      </c>
      <c r="L306" s="459">
        <f>L$296*Entrant_age_breakdowns!$K79*$G$31</f>
        <v>11.160355021696974</v>
      </c>
      <c r="M306" s="459">
        <f>M$296*Entrant_age_breakdowns!$K79*$G$31</f>
        <v>10.964425789883657</v>
      </c>
      <c r="N306" s="459">
        <f>N$296*Entrant_age_breakdowns!$K79*$G$31</f>
        <v>11.320499119263745</v>
      </c>
    </row>
    <row r="307" spans="1:14">
      <c r="B307" s="338" t="str">
        <f t="shared" si="143"/>
        <v>40-44</v>
      </c>
      <c r="C307" s="459">
        <f>C$296*Entrant_age_breakdowns!$K80*$G$31</f>
        <v>9.4166409804315325</v>
      </c>
      <c r="D307" s="459">
        <f>D$296*Entrant_age_breakdowns!$K80*$G$31</f>
        <v>10.0777454518495</v>
      </c>
      <c r="E307" s="459">
        <f>E$296*Entrant_age_breakdowns!$K80*$G$31</f>
        <v>9.3798630549196034</v>
      </c>
      <c r="F307" s="459">
        <f>F$296*Entrant_age_breakdowns!$K80*$G$31</f>
        <v>9.522192799889627</v>
      </c>
      <c r="G307" s="459">
        <f>G$296*Entrant_age_breakdowns!$K80*$G$31</f>
        <v>9.4529154667632866</v>
      </c>
      <c r="H307" s="459">
        <f>H$296*Entrant_age_breakdowns!$K80*$G$31</f>
        <v>10.194266029291091</v>
      </c>
      <c r="I307" s="459">
        <f>I$296*Entrant_age_breakdowns!$K80*$G$31</f>
        <v>10.262624369086705</v>
      </c>
      <c r="J307" s="459">
        <f>J$296*Entrant_age_breakdowns!$K80*$G$31</f>
        <v>10.496395061180122</v>
      </c>
      <c r="K307" s="459">
        <f>K$296*Entrant_age_breakdowns!$K80*$G$31</f>
        <v>10.080246584147272</v>
      </c>
      <c r="L307" s="459">
        <f>L$296*Entrant_age_breakdowns!$K80*$G$31</f>
        <v>9.6964198493765448</v>
      </c>
      <c r="M307" s="459">
        <f>M$296*Entrant_age_breakdowns!$K80*$G$31</f>
        <v>9.5261912062254712</v>
      </c>
      <c r="N307" s="459">
        <f>N$296*Entrant_age_breakdowns!$K80*$G$31</f>
        <v>9.8355573950359876</v>
      </c>
    </row>
    <row r="308" spans="1:14">
      <c r="B308" s="338" t="str">
        <f t="shared" si="143"/>
        <v>45-49</v>
      </c>
      <c r="C308" s="459">
        <f>C$296*Entrant_age_breakdowns!$K81*$G$31</f>
        <v>7.4932618116996075</v>
      </c>
      <c r="D308" s="459">
        <f>D$296*Entrant_age_breakdowns!$K81*$G$31</f>
        <v>8.0193335712064755</v>
      </c>
      <c r="E308" s="459">
        <f>E$296*Entrant_age_breakdowns!$K81*$G$31</f>
        <v>7.4639958956128876</v>
      </c>
      <c r="F308" s="459">
        <f>F$296*Entrant_age_breakdowns!$K81*$G$31</f>
        <v>7.5772543329759676</v>
      </c>
      <c r="G308" s="459">
        <f>G$296*Entrant_age_breakdowns!$K81*$G$31</f>
        <v>7.5221271176758675</v>
      </c>
      <c r="H308" s="459">
        <f>H$296*Entrant_age_breakdowns!$K81*$G$31</f>
        <v>8.1120544464139606</v>
      </c>
      <c r="I308" s="459">
        <f>I$296*Entrant_age_breakdowns!$K81*$G$31</f>
        <v>8.1664503757231568</v>
      </c>
      <c r="J308" s="459">
        <f>J$296*Entrant_age_breakdowns!$K81*$G$31</f>
        <v>8.3524726530297233</v>
      </c>
      <c r="K308" s="459">
        <f>K$296*Entrant_age_breakdowns!$K81*$G$31</f>
        <v>8.0213238391981996</v>
      </c>
      <c r="L308" s="459">
        <f>L$296*Entrant_age_breakdowns!$K81*$G$31</f>
        <v>7.7158949479466781</v>
      </c>
      <c r="M308" s="459">
        <f>M$296*Entrant_age_breakdowns!$K81*$G$31</f>
        <v>7.5804360519738889</v>
      </c>
      <c r="N308" s="459">
        <f>N$296*Entrant_age_breakdowns!$K81*$G$31</f>
        <v>7.8266132029624638</v>
      </c>
    </row>
    <row r="309" spans="1:14">
      <c r="B309" s="338" t="str">
        <f t="shared" si="143"/>
        <v>50-54</v>
      </c>
      <c r="C309" s="459">
        <f>C$296*Entrant_age_breakdowns!$K82*$G$31</f>
        <v>5.4815650313353173</v>
      </c>
      <c r="D309" s="459">
        <f>D$296*Entrant_age_breakdowns!$K82*$G$31</f>
        <v>5.8664036548014611</v>
      </c>
      <c r="E309" s="459">
        <f>E$296*Entrant_age_breakdowns!$K82*$G$31</f>
        <v>5.4601560606811113</v>
      </c>
      <c r="F309" s="459">
        <f>F$296*Entrant_age_breakdowns!$K82*$G$31</f>
        <v>5.5430082958430802</v>
      </c>
      <c r="G309" s="459">
        <f>G$296*Entrant_age_breakdowns!$K82*$G$31</f>
        <v>5.5026809426479604</v>
      </c>
      <c r="H309" s="459">
        <f>H$296*Entrant_age_breakdowns!$K82*$G$31</f>
        <v>5.934231994446364</v>
      </c>
      <c r="I309" s="459">
        <f>I$296*Entrant_age_breakdowns!$K82*$G$31</f>
        <v>5.9740243881250068</v>
      </c>
      <c r="J309" s="459">
        <f>J$296*Entrant_age_breakdowns!$K82*$G$31</f>
        <v>6.1101057417407212</v>
      </c>
      <c r="K309" s="459">
        <f>K$296*Entrant_age_breakdowns!$K82*$G$31</f>
        <v>5.8678596006499539</v>
      </c>
      <c r="L309" s="459">
        <f>L$296*Entrant_age_breakdowns!$K82*$G$31</f>
        <v>5.6444284204888922</v>
      </c>
      <c r="M309" s="459">
        <f>M$296*Entrant_age_breakdowns!$K82*$G$31</f>
        <v>5.5453358269018933</v>
      </c>
      <c r="N309" s="459">
        <f>N$296*Entrant_age_breakdowns!$K82*$G$31</f>
        <v>5.7254224295434533</v>
      </c>
    </row>
    <row r="310" spans="1:14">
      <c r="B310" s="338" t="str">
        <f t="shared" si="143"/>
        <v>55-59</v>
      </c>
      <c r="C310" s="459">
        <f>C$296*Entrant_age_breakdowns!$K83*$G$31</f>
        <v>3.7319731082178014</v>
      </c>
      <c r="D310" s="459">
        <f>D$296*Entrant_age_breakdowns!$K83*$G$31</f>
        <v>3.9939799229813118</v>
      </c>
      <c r="E310" s="459">
        <f>E$296*Entrant_age_breakdowns!$K83*$G$31</f>
        <v>3.7173973981241728</v>
      </c>
      <c r="F310" s="459">
        <f>F$296*Entrant_age_breakdowns!$K83*$G$31</f>
        <v>3.7738050685271785</v>
      </c>
      <c r="G310" s="459">
        <f>G$296*Entrant_age_breakdowns!$K83*$G$31</f>
        <v>3.7463492969018386</v>
      </c>
      <c r="H310" s="459">
        <f>H$296*Entrant_age_breakdowns!$K83*$G$31</f>
        <v>4.0401589864573095</v>
      </c>
      <c r="I310" s="459">
        <f>I$296*Entrant_age_breakdowns!$K83*$G$31</f>
        <v>4.0672505455779957</v>
      </c>
      <c r="J310" s="459">
        <f>J$296*Entrant_age_breakdowns!$K83*$G$31</f>
        <v>4.1598978003894578</v>
      </c>
      <c r="K310" s="459">
        <f>K$296*Entrant_age_breakdowns!$K83*$G$31</f>
        <v>3.9949711637533425</v>
      </c>
      <c r="L310" s="459">
        <f>L$296*Entrant_age_breakdowns!$K83*$G$31</f>
        <v>3.8428541768833853</v>
      </c>
      <c r="M310" s="459">
        <f>M$296*Entrant_age_breakdowns!$K83*$G$31</f>
        <v>3.7753897041687106</v>
      </c>
      <c r="N310" s="459">
        <f>N$296*Entrant_age_breakdowns!$K83*$G$31</f>
        <v>3.8979967250407936</v>
      </c>
    </row>
    <row r="311" spans="1:14">
      <c r="B311" s="338" t="str">
        <f t="shared" si="143"/>
        <v>60-64</v>
      </c>
      <c r="C311" s="459">
        <f>C$296*Entrant_age_breakdowns!$K84*$G$31</f>
        <v>1.8269371984710161</v>
      </c>
      <c r="D311" s="459">
        <f>D$296*Entrant_age_breakdowns!$K84*$G$31</f>
        <v>1.9551991077249518</v>
      </c>
      <c r="E311" s="459">
        <f>E$296*Entrant_age_breakdowns!$K84*$G$31</f>
        <v>1.8198018558005278</v>
      </c>
      <c r="F311" s="459">
        <f>F$296*Entrant_age_breakdowns!$K84*$G$31</f>
        <v>1.847415471534098</v>
      </c>
      <c r="G311" s="459">
        <f>G$296*Entrant_age_breakdowns!$K84*$G$31</f>
        <v>1.8339748681212262</v>
      </c>
      <c r="H311" s="459">
        <f>H$296*Entrant_age_breakdowns!$K84*$G$31</f>
        <v>1.9778054466262371</v>
      </c>
      <c r="I311" s="459">
        <f>I$296*Entrant_age_breakdowns!$K84*$G$31</f>
        <v>1.9910677547101761</v>
      </c>
      <c r="J311" s="459">
        <f>J$296*Entrant_age_breakdowns!$K84*$G$31</f>
        <v>2.0364219711643545</v>
      </c>
      <c r="K311" s="459">
        <f>K$296*Entrant_age_breakdowns!$K84*$G$31</f>
        <v>1.955684356301657</v>
      </c>
      <c r="L311" s="459">
        <f>L$296*Entrant_age_breakdowns!$K84*$G$31</f>
        <v>1.8812175330493408</v>
      </c>
      <c r="M311" s="459">
        <f>M$296*Entrant_age_breakdowns!$K84*$G$31</f>
        <v>1.848191208581389</v>
      </c>
      <c r="N311" s="459">
        <f>N$296*Entrant_age_breakdowns!$K84*$G$31</f>
        <v>1.9082118252175815</v>
      </c>
    </row>
    <row r="312" spans="1:14">
      <c r="B312" s="338" t="str">
        <f t="shared" si="143"/>
        <v>65 plus</v>
      </c>
      <c r="C312" s="459">
        <f>C$296*Entrant_age_breakdowns!$K85*$G$31</f>
        <v>0.45820881704409899</v>
      </c>
      <c r="D312" s="459">
        <f>D$296*Entrant_age_breakdowns!$K85*$G$31</f>
        <v>0.49037781429274524</v>
      </c>
      <c r="E312" s="459">
        <f>E$296*Entrant_age_breakdowns!$K85*$G$31</f>
        <v>0.45641922245541527</v>
      </c>
      <c r="F312" s="459">
        <f>F$296*Entrant_age_breakdowns!$K85*$G$31</f>
        <v>0.46334491328385691</v>
      </c>
      <c r="G312" s="459">
        <f>G$296*Entrant_age_breakdowns!$K85*$G$31</f>
        <v>0.45997391454601028</v>
      </c>
      <c r="H312" s="459">
        <f>H$296*Entrant_age_breakdowns!$K85*$G$31</f>
        <v>0.49604764454981431</v>
      </c>
      <c r="I312" s="459">
        <f>I$296*Entrant_age_breakdowns!$K85*$G$31</f>
        <v>0.49937392555361765</v>
      </c>
      <c r="J312" s="459">
        <f>J$296*Entrant_age_breakdowns!$K85*$G$31</f>
        <v>0.51074908496622562</v>
      </c>
      <c r="K312" s="459">
        <f>K$296*Entrant_age_breakdowns!$K85*$G$31</f>
        <v>0.49049951808009506</v>
      </c>
      <c r="L312" s="459">
        <f>L$296*Entrant_age_breakdowns!$K85*$G$31</f>
        <v>0.47182271024015832</v>
      </c>
      <c r="M312" s="459">
        <f>M$296*Entrant_age_breakdowns!$K85*$G$31</f>
        <v>0.46353947364152764</v>
      </c>
      <c r="N312" s="459">
        <f>N$296*Entrant_age_breakdowns!$K85*$G$31</f>
        <v>0.47859307032243364</v>
      </c>
    </row>
    <row r="313" spans="1:14">
      <c r="B313" s="338" t="str">
        <f t="shared" si="143"/>
        <v>Total</v>
      </c>
      <c r="C313" s="459">
        <f>C$296*Entrant_age_breakdowns!$K86*$G$31</f>
        <v>114.52187959227936</v>
      </c>
      <c r="D313" s="459">
        <f>D$296*Entrant_age_breakdowns!$K86*$G$31</f>
        <v>122.56199993147237</v>
      </c>
      <c r="E313" s="459">
        <f>E$296*Entrant_age_breakdowns!$K86*$G$31</f>
        <v>114.07459938207664</v>
      </c>
      <c r="F313" s="459">
        <f>F$296*Entrant_age_breakdowns!$K86*$G$31</f>
        <v>115.80556374078257</v>
      </c>
      <c r="G313" s="459">
        <f>G$296*Entrant_age_breakdowns!$K86*$G$31</f>
        <v>114.96303715202808</v>
      </c>
      <c r="H313" s="459">
        <f>H$296*Entrant_age_breakdowns!$K86*$G$31</f>
        <v>123.97908226130942</v>
      </c>
      <c r="I313" s="459">
        <f>I$296*Entrant_age_breakdowns!$K86*$G$31</f>
        <v>124.81043237601268</v>
      </c>
      <c r="J313" s="459">
        <f>J$296*Entrant_age_breakdowns!$K86*$G$31</f>
        <v>127.6534694109554</v>
      </c>
      <c r="K313" s="459">
        <f>K$296*Entrant_age_breakdowns!$K86*$G$31</f>
        <v>122.5924178238445</v>
      </c>
      <c r="L313" s="459">
        <f>L$296*Entrant_age_breakdowns!$K86*$G$31</f>
        <v>117.92445191168369</v>
      </c>
      <c r="M313" s="459">
        <f>M$296*Entrant_age_breakdowns!$K86*$G$31</f>
        <v>115.85419095402203</v>
      </c>
      <c r="N313" s="459">
        <f>N$296*Entrant_age_breakdowns!$K86*$G$31</f>
        <v>119.61659386377559</v>
      </c>
    </row>
    <row r="314" spans="1:14">
      <c r="A314" s="309">
        <f>SUM(C314:N314)</f>
        <v>0</v>
      </c>
      <c r="C314" s="309">
        <f t="shared" ref="C314:N314" si="145">SUM(C303:C312)-C313</f>
        <v>0</v>
      </c>
      <c r="D314" s="309">
        <f t="shared" si="145"/>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4">
      <c r="B316" s="341" t="s">
        <v>50</v>
      </c>
      <c r="H316" s="325"/>
    </row>
    <row r="317" spans="1:14">
      <c r="H317" s="325"/>
    </row>
    <row r="318" spans="1:14">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4">
      <c r="B319" s="338" t="str">
        <f t="shared" si="146"/>
        <v>20-24</v>
      </c>
      <c r="C319" s="459">
        <f>C$296*Entrant_age_breakdowns!$K76*$H$31</f>
        <v>99.640907003090646</v>
      </c>
      <c r="D319" s="459">
        <f>D$296*Entrant_age_breakdowns!$K76*$H$31</f>
        <v>106.63629413665285</v>
      </c>
      <c r="E319" s="459">
        <f>E$296*Entrant_age_breakdowns!$K76*$H$31</f>
        <v>99.251746381663551</v>
      </c>
      <c r="F319" s="459">
        <f>F$296*Entrant_age_breakdowns!$K76*$H$31</f>
        <v>100.75778923832576</v>
      </c>
      <c r="G319" s="459">
        <f>G$296*Entrant_age_breakdowns!$K76*$H$31</f>
        <v>100.02474055123996</v>
      </c>
      <c r="H319" s="459">
        <f>H$296*Entrant_age_breakdowns!$K76*$H$31</f>
        <v>107.86924079405762</v>
      </c>
      <c r="I319" s="459">
        <f>I$296*Entrant_age_breakdowns!$K76*$H$31</f>
        <v>108.59256527808698</v>
      </c>
      <c r="J319" s="459">
        <f>J$296*Entrant_age_breakdowns!$K76*$H$31</f>
        <v>111.06617809175728</v>
      </c>
      <c r="K319" s="459">
        <f>K$296*Entrant_age_breakdowns!$K76*$H$31</f>
        <v>106.66275952820834</v>
      </c>
      <c r="L319" s="459">
        <f>L$296*Entrant_age_breakdowns!$K76*$H$31</f>
        <v>102.60134908853398</v>
      </c>
      <c r="M319" s="459">
        <f>M$296*Entrant_age_breakdowns!$K76*$H$31</f>
        <v>100.80009783166584</v>
      </c>
      <c r="N319" s="459">
        <f>N$296*Entrant_age_breakdowns!$K76*$H$31</f>
        <v>104.07361412194672</v>
      </c>
    </row>
    <row r="320" spans="1:14">
      <c r="B320" s="338" t="str">
        <f t="shared" si="146"/>
        <v>25-29</v>
      </c>
      <c r="C320" s="459">
        <f>C$296*Entrant_age_breakdowns!$K77*$H$31</f>
        <v>103.02653441880503</v>
      </c>
      <c r="D320" s="459">
        <f>D$296*Entrant_age_breakdowns!$K77*$H$31</f>
        <v>110.25961282972773</v>
      </c>
      <c r="E320" s="459">
        <f>E$296*Entrant_age_breakdowns!$K77*$H$31</f>
        <v>102.62415078577908</v>
      </c>
      <c r="F320" s="459">
        <f>F$296*Entrant_age_breakdowns!$K77*$H$31</f>
        <v>104.18136640007788</v>
      </c>
      <c r="G320" s="459">
        <f>G$296*Entrant_age_breakdowns!$K77*$H$31</f>
        <v>103.42340997372416</v>
      </c>
      <c r="H320" s="459">
        <f>H$296*Entrant_age_breakdowns!$K77*$H$31</f>
        <v>111.53445290351114</v>
      </c>
      <c r="I320" s="459">
        <f>I$296*Entrant_age_breakdowns!$K77*$H$31</f>
        <v>112.28235471503824</v>
      </c>
      <c r="J320" s="459">
        <f>J$296*Entrant_age_breakdowns!$K77*$H$31</f>
        <v>114.8400166568198</v>
      </c>
      <c r="K320" s="459">
        <f>K$296*Entrant_age_breakdowns!$K77*$H$31</f>
        <v>110.28697746997447</v>
      </c>
      <c r="L320" s="459">
        <f>L$296*Entrant_age_breakdowns!$K77*$H$31</f>
        <v>106.08756725746984</v>
      </c>
      <c r="M320" s="459">
        <f>M$296*Entrant_age_breakdowns!$K77*$H$31</f>
        <v>104.22511256697925</v>
      </c>
      <c r="N320" s="459">
        <f>N$296*Entrant_age_breakdowns!$K77*$H$31</f>
        <v>107.6098573359192</v>
      </c>
    </row>
    <row r="321" spans="1:14">
      <c r="B321" s="338" t="str">
        <f t="shared" si="146"/>
        <v>30-34</v>
      </c>
      <c r="C321" s="459">
        <f>C$296*Entrant_age_breakdowns!$K78*$H$31</f>
        <v>51.143915176866678</v>
      </c>
      <c r="D321" s="459">
        <f>D$296*Entrant_age_breakdowns!$K78*$H$31</f>
        <v>54.734523662367039</v>
      </c>
      <c r="E321" s="459">
        <f>E$296*Entrant_age_breakdowns!$K78*$H$31</f>
        <v>50.944165913124756</v>
      </c>
      <c r="F321" s="459">
        <f>F$296*Entrant_age_breakdowns!$K78*$H$31</f>
        <v>51.717191073478517</v>
      </c>
      <c r="G321" s="459">
        <f>G$296*Entrant_age_breakdowns!$K78*$H$31</f>
        <v>51.340930148117138</v>
      </c>
      <c r="H321" s="459">
        <f>H$296*Entrant_age_breakdowns!$K78*$H$31</f>
        <v>55.367373374001595</v>
      </c>
      <c r="I321" s="459">
        <f>I$296*Entrant_age_breakdowns!$K78*$H$31</f>
        <v>55.73864303792989</v>
      </c>
      <c r="J321" s="459">
        <f>J$296*Entrant_age_breakdowns!$K78*$H$31</f>
        <v>57.008304743426415</v>
      </c>
      <c r="K321" s="459">
        <f>K$296*Entrant_age_breakdowns!$K78*$H$31</f>
        <v>54.748107879748709</v>
      </c>
      <c r="L321" s="459">
        <f>L$296*Entrant_age_breakdowns!$K78*$H$31</f>
        <v>52.663457736823943</v>
      </c>
      <c r="M321" s="459">
        <f>M$296*Entrant_age_breakdowns!$K78*$H$31</f>
        <v>51.738907326111288</v>
      </c>
      <c r="N321" s="459">
        <f>N$296*Entrant_age_breakdowns!$K78*$H$31</f>
        <v>53.419145337945359</v>
      </c>
    </row>
    <row r="322" spans="1:14">
      <c r="B322" s="338" t="str">
        <f t="shared" si="146"/>
        <v>35-39</v>
      </c>
      <c r="C322" s="459">
        <f>C$296*Entrant_age_breakdowns!$K79*$H$31</f>
        <v>36.544594509199186</v>
      </c>
      <c r="D322" s="459">
        <f>D$296*Entrant_age_breakdowns!$K79*$H$31</f>
        <v>39.110243437133676</v>
      </c>
      <c r="E322" s="459">
        <f>E$296*Entrant_age_breakdowns!$K79*$H$31</f>
        <v>36.401864805739535</v>
      </c>
      <c r="F322" s="459">
        <f>F$296*Entrant_age_breakdowns!$K79*$H$31</f>
        <v>36.954225549590348</v>
      </c>
      <c r="G322" s="459">
        <f>G$296*Entrant_age_breakdowns!$K79*$H$31</f>
        <v>36.685370439467555</v>
      </c>
      <c r="H322" s="459">
        <f>H$296*Entrant_age_breakdowns!$K79*$H$31</f>
        <v>39.562442609155795</v>
      </c>
      <c r="I322" s="459">
        <f>I$296*Entrant_age_breakdowns!$K79*$H$31</f>
        <v>39.82773124173125</v>
      </c>
      <c r="J322" s="459">
        <f>J$296*Entrant_age_breakdowns!$K79*$H$31</f>
        <v>40.734960812067627</v>
      </c>
      <c r="K322" s="459">
        <f>K$296*Entrant_age_breakdowns!$K79*$H$31</f>
        <v>39.119949962616154</v>
      </c>
      <c r="L322" s="459">
        <f>L$296*Entrant_age_breakdowns!$K79*$H$31</f>
        <v>37.630375026804664</v>
      </c>
      <c r="M322" s="459">
        <f>M$296*Entrant_age_breakdowns!$K79*$H$31</f>
        <v>36.969742774737853</v>
      </c>
      <c r="N322" s="459">
        <f>N$296*Entrant_age_breakdowns!$K79*$H$31</f>
        <v>38.170347316041969</v>
      </c>
    </row>
    <row r="323" spans="1:14">
      <c r="B323" s="338" t="str">
        <f t="shared" si="146"/>
        <v>40-44</v>
      </c>
      <c r="C323" s="459">
        <f>C$296*Entrant_age_breakdowns!$K80*$H$31</f>
        <v>31.750937214588323</v>
      </c>
      <c r="D323" s="459">
        <f>D$296*Entrant_age_breakdowns!$K80*$H$31</f>
        <v>33.98004275316579</v>
      </c>
      <c r="E323" s="459">
        <f>E$296*Entrant_age_breakdowns!$K80*$H$31</f>
        <v>31.626929767958607</v>
      </c>
      <c r="F323" s="459">
        <f>F$296*Entrant_age_breakdowns!$K80*$H$31</f>
        <v>32.106835798750538</v>
      </c>
      <c r="G323" s="459">
        <f>G$296*Entrant_age_breakdowns!$K80*$H$31</f>
        <v>31.873247169953977</v>
      </c>
      <c r="H323" s="459">
        <f>H$296*Entrant_age_breakdowns!$K80*$H$31</f>
        <v>34.37292568735046</v>
      </c>
      <c r="I323" s="459">
        <f>I$296*Entrant_age_breakdowns!$K80*$H$31</f>
        <v>34.603415663495277</v>
      </c>
      <c r="J323" s="459">
        <f>J$296*Entrant_age_breakdowns!$K80*$H$31</f>
        <v>35.391641378237225</v>
      </c>
      <c r="K323" s="459">
        <f>K$296*Entrant_age_breakdowns!$K80*$H$31</f>
        <v>33.988476046387539</v>
      </c>
      <c r="L323" s="459">
        <f>L$296*Entrant_age_breakdowns!$K80*$H$31</f>
        <v>32.694292846421547</v>
      </c>
      <c r="M323" s="459">
        <f>M$296*Entrant_age_breakdowns!$K80*$H$31</f>
        <v>32.120317585811513</v>
      </c>
      <c r="N323" s="459">
        <f>N$296*Entrant_age_breakdowns!$K80*$H$31</f>
        <v>33.163435451051505</v>
      </c>
    </row>
    <row r="324" spans="1:14">
      <c r="B324" s="338" t="str">
        <f t="shared" si="146"/>
        <v>45-49</v>
      </c>
      <c r="C324" s="459">
        <f>C$296*Entrant_age_breakdowns!$K81*$H$31</f>
        <v>25.265706296986128</v>
      </c>
      <c r="D324" s="459">
        <f>D$296*Entrant_age_breakdowns!$K81*$H$31</f>
        <v>27.039509868894751</v>
      </c>
      <c r="E324" s="459">
        <f>E$296*Entrant_age_breakdowns!$K81*$H$31</f>
        <v>25.167027769671783</v>
      </c>
      <c r="F324" s="459">
        <f>F$296*Entrant_age_breakdowns!$K81*$H$31</f>
        <v>25.54891145210275</v>
      </c>
      <c r="G324" s="459">
        <f>G$296*Entrant_age_breakdowns!$K81*$H$31</f>
        <v>25.363034051079826</v>
      </c>
      <c r="H324" s="459">
        <f>H$296*Entrant_age_breakdowns!$K81*$H$31</f>
        <v>27.352145201739265</v>
      </c>
      <c r="I324" s="459">
        <f>I$296*Entrant_age_breakdowns!$K81*$H$31</f>
        <v>27.535556859868166</v>
      </c>
      <c r="J324" s="459">
        <f>J$296*Entrant_age_breakdowns!$K81*$H$31</f>
        <v>28.162784940406585</v>
      </c>
      <c r="K324" s="459">
        <f>K$296*Entrant_age_breakdowns!$K81*$H$31</f>
        <v>27.046220634886229</v>
      </c>
      <c r="L324" s="459">
        <f>L$296*Entrant_age_breakdowns!$K81*$H$31</f>
        <v>26.016378510735926</v>
      </c>
      <c r="M324" s="459">
        <f>M$296*Entrant_age_breakdowns!$K81*$H$31</f>
        <v>25.55963954084983</v>
      </c>
      <c r="N324" s="459">
        <f>N$296*Entrant_age_breakdowns!$K81*$H$31</f>
        <v>26.389697231373173</v>
      </c>
    </row>
    <row r="325" spans="1:14">
      <c r="B325" s="338" t="str">
        <f t="shared" si="146"/>
        <v>50-54</v>
      </c>
      <c r="C325" s="459">
        <f>C$296*Entrant_age_breakdowns!$K82*$H$31</f>
        <v>18.482686927248089</v>
      </c>
      <c r="D325" s="459">
        <f>D$296*Entrant_age_breakdowns!$K82*$H$31</f>
        <v>19.780282003540588</v>
      </c>
      <c r="E325" s="459">
        <f>E$296*Entrant_age_breakdowns!$K82*$H$31</f>
        <v>18.410500371077664</v>
      </c>
      <c r="F325" s="459">
        <f>F$296*Entrant_age_breakdowns!$K82*$H$31</f>
        <v>18.689860720716421</v>
      </c>
      <c r="G325" s="459">
        <f>G$296*Entrant_age_breakdowns!$K82*$H$31</f>
        <v>18.553885348820049</v>
      </c>
      <c r="H325" s="459">
        <f>H$296*Entrant_age_breakdowns!$K82*$H$31</f>
        <v>20.008984930402775</v>
      </c>
      <c r="I325" s="459">
        <f>I$296*Entrant_age_breakdowns!$K82*$H$31</f>
        <v>20.143156531075913</v>
      </c>
      <c r="J325" s="459">
        <f>J$296*Entrant_age_breakdowns!$K82*$H$31</f>
        <v>20.601994297505311</v>
      </c>
      <c r="K325" s="459">
        <f>K$296*Entrant_age_breakdowns!$K82*$H$31</f>
        <v>19.785191147397661</v>
      </c>
      <c r="L325" s="459">
        <f>L$296*Entrant_age_breakdowns!$K82*$H$31</f>
        <v>19.031828097046969</v>
      </c>
      <c r="M325" s="459">
        <f>M$296*Entrant_age_breakdowns!$K82*$H$31</f>
        <v>18.697708666992266</v>
      </c>
      <c r="N325" s="459">
        <f>N$296*Entrant_age_breakdowns!$K82*$H$31</f>
        <v>19.304922898217917</v>
      </c>
    </row>
    <row r="326" spans="1:14">
      <c r="B326" s="338" t="str">
        <f t="shared" si="146"/>
        <v>55-59</v>
      </c>
      <c r="C326" s="459">
        <f>C$296*Entrant_age_breakdowns!$K83*$H$31</f>
        <v>12.583430130955813</v>
      </c>
      <c r="D326" s="459">
        <f>D$296*Entrant_age_breakdowns!$K83*$H$31</f>
        <v>13.466862125723152</v>
      </c>
      <c r="E326" s="459">
        <f>E$296*Entrant_age_breakdowns!$K83*$H$31</f>
        <v>12.534283895371111</v>
      </c>
      <c r="F326" s="459">
        <f>F$296*Entrant_age_breakdowns!$K83*$H$31</f>
        <v>12.724478722285385</v>
      </c>
      <c r="G326" s="459">
        <f>G$296*Entrant_age_breakdowns!$K83*$H$31</f>
        <v>12.631903622218834</v>
      </c>
      <c r="H326" s="459">
        <f>H$296*Entrant_age_breakdowns!$K83*$H$31</f>
        <v>13.622568236649734</v>
      </c>
      <c r="I326" s="459">
        <f>I$296*Entrant_age_breakdowns!$K83*$H$31</f>
        <v>13.713915288584046</v>
      </c>
      <c r="J326" s="459">
        <f>J$296*Entrant_age_breakdowns!$K83*$H$31</f>
        <v>14.026302388903112</v>
      </c>
      <c r="K326" s="459">
        <f>K$296*Entrant_age_breakdowns!$K83*$H$31</f>
        <v>13.470204381585161</v>
      </c>
      <c r="L326" s="459">
        <f>L$296*Entrant_age_breakdowns!$K83*$H$31</f>
        <v>12.957297825052194</v>
      </c>
      <c r="M326" s="459">
        <f>M$296*Entrant_age_breakdowns!$K83*$H$31</f>
        <v>12.729821781117812</v>
      </c>
      <c r="N326" s="459">
        <f>N$296*Entrant_age_breakdowns!$K83*$H$31</f>
        <v>13.143226925252215</v>
      </c>
    </row>
    <row r="327" spans="1:14">
      <c r="B327" s="338" t="str">
        <f t="shared" si="146"/>
        <v>60-64</v>
      </c>
      <c r="C327" s="459">
        <f>C$296*Entrant_age_breakdowns!$K84*$H$31</f>
        <v>6.1600488331446241</v>
      </c>
      <c r="D327" s="459">
        <f>D$296*Entrant_age_breakdowns!$K84*$H$31</f>
        <v>6.5925210741706719</v>
      </c>
      <c r="E327" s="459">
        <f>E$296*Entrant_age_breakdowns!$K84*$H$31</f>
        <v>6.1359899550790757</v>
      </c>
      <c r="F327" s="459">
        <f>F$296*Entrant_age_breakdowns!$K84*$H$31</f>
        <v>6.2290972723534974</v>
      </c>
      <c r="G327" s="459">
        <f>G$296*Entrant_age_breakdowns!$K84*$H$31</f>
        <v>6.1837783782834048</v>
      </c>
      <c r="H327" s="459">
        <f>H$296*Entrant_age_breakdowns!$K84*$H$31</f>
        <v>6.6687449047911658</v>
      </c>
      <c r="I327" s="459">
        <f>I$296*Entrant_age_breakdowns!$K84*$H$31</f>
        <v>6.7134626244290629</v>
      </c>
      <c r="J327" s="459">
        <f>J$296*Entrant_age_breakdowns!$K84*$H$31</f>
        <v>6.866387524300043</v>
      </c>
      <c r="K327" s="459">
        <f>K$296*Entrant_age_breakdowns!$K84*$H$31</f>
        <v>6.5941572305373048</v>
      </c>
      <c r="L327" s="459">
        <f>L$296*Entrant_age_breakdowns!$K84*$H$31</f>
        <v>6.343070730099674</v>
      </c>
      <c r="M327" s="459">
        <f>M$296*Entrant_age_breakdowns!$K84*$H$31</f>
        <v>6.2317128948811851</v>
      </c>
      <c r="N327" s="459">
        <f>N$296*Entrant_age_breakdowns!$K84*$H$31</f>
        <v>6.434089818282728</v>
      </c>
    </row>
    <row r="328" spans="1:14">
      <c r="B328" s="338" t="str">
        <f t="shared" si="146"/>
        <v>65 plus</v>
      </c>
      <c r="C328" s="459">
        <f>C$296*Entrant_age_breakdowns!$K85*$H$31</f>
        <v>1.5449839716063236</v>
      </c>
      <c r="D328" s="459">
        <f>D$296*Entrant_age_breakdowns!$K85*$H$31</f>
        <v>1.6534510793595625</v>
      </c>
      <c r="E328" s="459">
        <f>E$296*Entrant_age_breakdowns!$K85*$H$31</f>
        <v>1.538949834216681</v>
      </c>
      <c r="F328" s="459">
        <f>F$296*Entrant_age_breakdowns!$K85*$H$31</f>
        <v>1.5623018102682755</v>
      </c>
      <c r="G328" s="459">
        <f>G$296*Entrant_age_breakdowns!$K85*$H$31</f>
        <v>1.5509355099603157</v>
      </c>
      <c r="H328" s="459">
        <f>H$296*Entrant_age_breakdowns!$K85*$H$31</f>
        <v>1.6725685571187414</v>
      </c>
      <c r="I328" s="459">
        <f>I$296*Entrant_age_breakdowns!$K85*$H$31</f>
        <v>1.6837840786119478</v>
      </c>
      <c r="J328" s="459">
        <f>J$296*Entrant_age_breakdowns!$K85*$H$31</f>
        <v>1.7221387289661654</v>
      </c>
      <c r="K328" s="459">
        <f>K$296*Entrant_age_breakdowns!$K85*$H$31</f>
        <v>1.6538614389898121</v>
      </c>
      <c r="L328" s="459">
        <f>L$296*Entrant_age_breakdowns!$K85*$H$31</f>
        <v>1.5908871624588203</v>
      </c>
      <c r="M328" s="459">
        <f>M$296*Entrant_age_breakdowns!$K85*$H$31</f>
        <v>1.5629578269640048</v>
      </c>
      <c r="N328" s="459">
        <f>N$296*Entrant_age_breakdowns!$K85*$H$31</f>
        <v>1.6137153958319725</v>
      </c>
    </row>
    <row r="329" spans="1:14">
      <c r="B329" s="338" t="str">
        <f t="shared" si="146"/>
        <v>Total</v>
      </c>
      <c r="C329" s="459">
        <f>C$296*Entrant_age_breakdowns!$K86*$H$31</f>
        <v>386.14374448249083</v>
      </c>
      <c r="D329" s="459">
        <f>D$296*Entrant_age_breakdowns!$K86*$H$31</f>
        <v>413.25334297073579</v>
      </c>
      <c r="E329" s="459">
        <f>E$296*Entrant_age_breakdowns!$K86*$H$31</f>
        <v>384.63560947968182</v>
      </c>
      <c r="F329" s="459">
        <f>F$296*Entrant_age_breakdowns!$K86*$H$31</f>
        <v>390.47205803794935</v>
      </c>
      <c r="G329" s="459">
        <f>G$296*Entrant_age_breakdowns!$K86*$H$31</f>
        <v>387.63123519286518</v>
      </c>
      <c r="H329" s="459">
        <f>H$296*Entrant_age_breakdowns!$K86*$H$31</f>
        <v>418.03144719877827</v>
      </c>
      <c r="I329" s="459">
        <f>I$296*Entrant_age_breakdowns!$K86*$H$31</f>
        <v>420.83458531885077</v>
      </c>
      <c r="J329" s="459">
        <f>J$296*Entrant_age_breakdowns!$K86*$H$31</f>
        <v>430.4207095623895</v>
      </c>
      <c r="K329" s="459">
        <f>K$296*Entrant_age_breakdowns!$K86*$H$31</f>
        <v>413.35590572033135</v>
      </c>
      <c r="L329" s="459">
        <f>L$296*Entrant_age_breakdowns!$K86*$H$31</f>
        <v>397.61650428144753</v>
      </c>
      <c r="M329" s="459">
        <f>M$296*Entrant_age_breakdowns!$K86*$H$31</f>
        <v>390.63601879611082</v>
      </c>
      <c r="N329" s="459">
        <f>N$296*Entrant_age_breakdowns!$K86*$H$31</f>
        <v>403.32205183186272</v>
      </c>
    </row>
    <row r="330" spans="1:14">
      <c r="A330" s="309">
        <f>SUM(C330:N330)</f>
        <v>0</v>
      </c>
      <c r="C330" s="309">
        <f t="shared" ref="C330:N330" si="148">SUM(C319:C328)-C329</f>
        <v>0</v>
      </c>
      <c r="D330" s="309">
        <f t="shared" si="148"/>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4">
      <c r="C331" s="329">
        <f>C296</f>
        <v>500.66562407477022</v>
      </c>
      <c r="D331" s="329">
        <f t="shared" ref="D331:N331" si="149">D296</f>
        <v>535.81534290220816</v>
      </c>
      <c r="E331" s="329">
        <f t="shared" si="149"/>
        <v>498.71020886175847</v>
      </c>
      <c r="F331" s="329">
        <f t="shared" si="149"/>
        <v>506.27762177873194</v>
      </c>
      <c r="G331" s="329">
        <f t="shared" si="149"/>
        <v>502.59427234489328</v>
      </c>
      <c r="H331" s="329">
        <f t="shared" si="149"/>
        <v>542.0105294600877</v>
      </c>
      <c r="I331" s="329">
        <f t="shared" si="149"/>
        <v>545.64501769486344</v>
      </c>
      <c r="J331" s="329">
        <f t="shared" si="149"/>
        <v>558.07417897334494</v>
      </c>
      <c r="K331" s="329">
        <f t="shared" si="149"/>
        <v>535.94832354417588</v>
      </c>
      <c r="L331" s="329">
        <f t="shared" si="149"/>
        <v>515.54095619313125</v>
      </c>
      <c r="M331" s="329">
        <f t="shared" si="149"/>
        <v>506.49020975013286</v>
      </c>
      <c r="N331" s="329">
        <f t="shared" si="149"/>
        <v>522.93864569563834</v>
      </c>
    </row>
    <row r="332" spans="1:14">
      <c r="C332" s="329">
        <f>C313+C329</f>
        <v>500.66562407477022</v>
      </c>
      <c r="D332" s="329">
        <f t="shared" ref="D332:N332" si="150">D313+D329</f>
        <v>535.81534290220816</v>
      </c>
      <c r="E332" s="329">
        <f t="shared" si="150"/>
        <v>498.71020886175847</v>
      </c>
      <c r="F332" s="329">
        <f t="shared" si="150"/>
        <v>506.27762177873194</v>
      </c>
      <c r="G332" s="329">
        <f t="shared" si="150"/>
        <v>502.59427234489328</v>
      </c>
      <c r="H332" s="329">
        <f t="shared" si="150"/>
        <v>542.0105294600877</v>
      </c>
      <c r="I332" s="329">
        <f t="shared" si="150"/>
        <v>545.64501769486344</v>
      </c>
      <c r="J332" s="329">
        <f t="shared" si="150"/>
        <v>558.07417897334494</v>
      </c>
      <c r="K332" s="329">
        <f t="shared" si="150"/>
        <v>535.94832354417588</v>
      </c>
      <c r="L332" s="329">
        <f t="shared" si="150"/>
        <v>515.54095619313125</v>
      </c>
      <c r="M332" s="329">
        <f t="shared" si="150"/>
        <v>506.49020975013286</v>
      </c>
      <c r="N332" s="329">
        <f t="shared" si="150"/>
        <v>522.93864569563834</v>
      </c>
    </row>
    <row r="333" spans="1:14">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49.308403807119618</v>
      </c>
      <c r="D340" s="459">
        <f t="shared" si="154"/>
        <v>66.782162937594293</v>
      </c>
      <c r="E340" s="459">
        <f t="shared" si="154"/>
        <v>77.050591563960211</v>
      </c>
      <c r="F340" s="459">
        <f t="shared" si="154"/>
        <v>84.818485437333493</v>
      </c>
      <c r="G340" s="459">
        <f t="shared" si="154"/>
        <v>90.139469784982566</v>
      </c>
      <c r="H340" s="459">
        <f t="shared" si="154"/>
        <v>96.25976010609557</v>
      </c>
      <c r="I340" s="459">
        <f t="shared" si="154"/>
        <v>100.83795683629933</v>
      </c>
      <c r="J340" s="459">
        <f t="shared" si="154"/>
        <v>104.83576183065374</v>
      </c>
      <c r="K340" s="459">
        <f t="shared" si="154"/>
        <v>106.38017759673494</v>
      </c>
      <c r="L340" s="459">
        <f t="shared" si="154"/>
        <v>106.27679619641151</v>
      </c>
      <c r="M340" s="459">
        <f t="shared" si="154"/>
        <v>105.66887467417834</v>
      </c>
      <c r="N340" s="459">
        <f t="shared" si="154"/>
        <v>106.20628993502706</v>
      </c>
    </row>
    <row r="341" spans="1:14">
      <c r="B341" s="338" t="str">
        <f t="shared" si="153"/>
        <v>25-29</v>
      </c>
      <c r="C341" s="459">
        <f t="shared" ref="C341:N341" si="155">C304+C248</f>
        <v>139.43818585813332</v>
      </c>
      <c r="D341" s="459">
        <f t="shared" si="155"/>
        <v>143.87424857493218</v>
      </c>
      <c r="E341" s="459">
        <f t="shared" si="155"/>
        <v>148.05935641009009</v>
      </c>
      <c r="F341" s="459">
        <f t="shared" si="155"/>
        <v>153.46743774305239</v>
      </c>
      <c r="G341" s="459">
        <f t="shared" si="155"/>
        <v>158.62682870701633</v>
      </c>
      <c r="H341" s="459">
        <f t="shared" si="155"/>
        <v>165.78628545383515</v>
      </c>
      <c r="I341" s="459">
        <f t="shared" si="155"/>
        <v>172.37349555583504</v>
      </c>
      <c r="J341" s="459">
        <f t="shared" si="155"/>
        <v>178.79583970672292</v>
      </c>
      <c r="K341" s="459">
        <f t="shared" si="155"/>
        <v>182.88224385507453</v>
      </c>
      <c r="L341" s="459">
        <f t="shared" si="155"/>
        <v>184.91306569271813</v>
      </c>
      <c r="M341" s="459">
        <f t="shared" si="155"/>
        <v>185.82942066691291</v>
      </c>
      <c r="N341" s="459">
        <f t="shared" si="155"/>
        <v>187.39319512510531</v>
      </c>
    </row>
    <row r="342" spans="1:14">
      <c r="B342" s="338" t="str">
        <f t="shared" si="153"/>
        <v>30-34</v>
      </c>
      <c r="C342" s="459">
        <f t="shared" ref="C342:N342" si="156">C305+C249</f>
        <v>212.6129535992637</v>
      </c>
      <c r="D342" s="459">
        <f t="shared" si="156"/>
        <v>201.83286297223833</v>
      </c>
      <c r="E342" s="459">
        <f t="shared" si="156"/>
        <v>193.45559794186784</v>
      </c>
      <c r="F342" s="459">
        <f t="shared" si="156"/>
        <v>188.18675532226123</v>
      </c>
      <c r="G342" s="459">
        <f t="shared" si="156"/>
        <v>185.13762036594579</v>
      </c>
      <c r="H342" s="459">
        <f t="shared" si="156"/>
        <v>185.01234350742104</v>
      </c>
      <c r="I342" s="459">
        <f t="shared" si="156"/>
        <v>186.370863695552</v>
      </c>
      <c r="J342" s="459">
        <f t="shared" si="156"/>
        <v>189.0013542099644</v>
      </c>
      <c r="K342" s="459">
        <f t="shared" si="156"/>
        <v>191.50800761246569</v>
      </c>
      <c r="L342" s="459">
        <f t="shared" si="156"/>
        <v>193.53587091080357</v>
      </c>
      <c r="M342" s="459">
        <f t="shared" si="156"/>
        <v>195.16329882899029</v>
      </c>
      <c r="N342" s="459">
        <f t="shared" si="156"/>
        <v>197.05397414915763</v>
      </c>
    </row>
    <row r="343" spans="1:14">
      <c r="B343" s="338" t="str">
        <f t="shared" si="153"/>
        <v>35-39</v>
      </c>
      <c r="C343" s="459">
        <f t="shared" ref="C343:N343" si="157">C306+C250</f>
        <v>219.70892636087191</v>
      </c>
      <c r="D343" s="459">
        <f t="shared" si="157"/>
        <v>216.15159514273549</v>
      </c>
      <c r="E343" s="459">
        <f t="shared" si="157"/>
        <v>210.66124357359587</v>
      </c>
      <c r="F343" s="459">
        <f t="shared" si="157"/>
        <v>205.139181632727</v>
      </c>
      <c r="G343" s="459">
        <f t="shared" si="157"/>
        <v>199.93235370963106</v>
      </c>
      <c r="H343" s="459">
        <f t="shared" si="157"/>
        <v>196.31085978785745</v>
      </c>
      <c r="I343" s="459">
        <f t="shared" si="157"/>
        <v>193.65119093815491</v>
      </c>
      <c r="J343" s="459">
        <f t="shared" si="157"/>
        <v>192.18102812578047</v>
      </c>
      <c r="K343" s="459">
        <f t="shared" si="157"/>
        <v>191.09292646617087</v>
      </c>
      <c r="L343" s="459">
        <f t="shared" si="157"/>
        <v>190.30523147648103</v>
      </c>
      <c r="M343" s="459">
        <f t="shared" si="157"/>
        <v>189.89885236947532</v>
      </c>
      <c r="N343" s="459">
        <f t="shared" si="157"/>
        <v>190.25528393814477</v>
      </c>
    </row>
    <row r="344" spans="1:14">
      <c r="B344" s="338" t="str">
        <f t="shared" si="153"/>
        <v>40-44</v>
      </c>
      <c r="C344" s="459">
        <f t="shared" ref="C344:N344" si="158">C307+C251</f>
        <v>172.89218421262379</v>
      </c>
      <c r="D344" s="459">
        <f t="shared" si="158"/>
        <v>179.47879268346009</v>
      </c>
      <c r="E344" s="459">
        <f t="shared" si="158"/>
        <v>183.01726767002029</v>
      </c>
      <c r="F344" s="459">
        <f t="shared" si="158"/>
        <v>184.77009905139684</v>
      </c>
      <c r="G344" s="459">
        <f t="shared" si="158"/>
        <v>184.97766687867141</v>
      </c>
      <c r="H344" s="459">
        <f t="shared" si="158"/>
        <v>184.90544183893221</v>
      </c>
      <c r="I344" s="459">
        <f t="shared" si="158"/>
        <v>184.2468813930422</v>
      </c>
      <c r="J344" s="459">
        <f t="shared" si="158"/>
        <v>183.49654587752278</v>
      </c>
      <c r="K344" s="459">
        <f t="shared" si="158"/>
        <v>182.24917148657465</v>
      </c>
      <c r="L344" s="459">
        <f t="shared" si="158"/>
        <v>180.73555553973199</v>
      </c>
      <c r="M344" s="459">
        <f t="shared" si="158"/>
        <v>179.29341065310092</v>
      </c>
      <c r="N344" s="459">
        <f t="shared" si="158"/>
        <v>178.45488909622304</v>
      </c>
    </row>
    <row r="345" spans="1:14">
      <c r="B345" s="338" t="str">
        <f t="shared" si="153"/>
        <v>45-49</v>
      </c>
      <c r="C345" s="459">
        <f t="shared" ref="C345:N345" si="159">C308+C252</f>
        <v>141.49668403110962</v>
      </c>
      <c r="D345" s="459">
        <f t="shared" si="159"/>
        <v>144.12862609212371</v>
      </c>
      <c r="E345" s="459">
        <f t="shared" si="159"/>
        <v>146.72593716923492</v>
      </c>
      <c r="F345" s="459">
        <f t="shared" si="159"/>
        <v>149.40482844236527</v>
      </c>
      <c r="G345" s="459">
        <f t="shared" si="159"/>
        <v>151.6465114028899</v>
      </c>
      <c r="H345" s="459">
        <f t="shared" si="159"/>
        <v>153.92644152234726</v>
      </c>
      <c r="I345" s="459">
        <f t="shared" si="159"/>
        <v>155.6474815651506</v>
      </c>
      <c r="J345" s="459">
        <f t="shared" si="159"/>
        <v>156.98032499381122</v>
      </c>
      <c r="K345" s="459">
        <f t="shared" si="159"/>
        <v>157.49305174758894</v>
      </c>
      <c r="L345" s="459">
        <f t="shared" si="159"/>
        <v>157.33564204321902</v>
      </c>
      <c r="M345" s="459">
        <f t="shared" si="159"/>
        <v>156.80537300767571</v>
      </c>
      <c r="N345" s="459">
        <f t="shared" si="159"/>
        <v>156.39516725210507</v>
      </c>
    </row>
    <row r="346" spans="1:14">
      <c r="B346" s="338" t="str">
        <f t="shared" si="153"/>
        <v>50-54</v>
      </c>
      <c r="C346" s="459">
        <f t="shared" ref="C346:N346" si="160">C309+C253</f>
        <v>105.75538993351135</v>
      </c>
      <c r="D346" s="459">
        <f t="shared" si="160"/>
        <v>106.38768475180638</v>
      </c>
      <c r="E346" s="459">
        <f t="shared" si="160"/>
        <v>106.90045533670897</v>
      </c>
      <c r="F346" s="459">
        <f t="shared" si="160"/>
        <v>107.81102654544254</v>
      </c>
      <c r="G346" s="459">
        <f t="shared" si="160"/>
        <v>108.89628322330448</v>
      </c>
      <c r="H346" s="459">
        <f t="shared" si="160"/>
        <v>110.49998843774424</v>
      </c>
      <c r="I346" s="459">
        <f t="shared" si="160"/>
        <v>112.08801690120848</v>
      </c>
      <c r="J346" s="459">
        <f t="shared" si="160"/>
        <v>113.66164926605985</v>
      </c>
      <c r="K346" s="459">
        <f t="shared" si="160"/>
        <v>114.77757587240632</v>
      </c>
      <c r="L346" s="459">
        <f t="shared" si="160"/>
        <v>115.44027626370119</v>
      </c>
      <c r="M346" s="459">
        <f t="shared" si="160"/>
        <v>115.7851709936305</v>
      </c>
      <c r="N346" s="459">
        <f t="shared" si="160"/>
        <v>116.11649047235434</v>
      </c>
    </row>
    <row r="347" spans="1:14">
      <c r="B347" s="338" t="str">
        <f t="shared" si="153"/>
        <v>55-59</v>
      </c>
      <c r="C347" s="459">
        <f t="shared" ref="C347:N347" si="161">C310+C254</f>
        <v>68.134456699489064</v>
      </c>
      <c r="D347" s="459">
        <f t="shared" si="161"/>
        <v>60.018135546114848</v>
      </c>
      <c r="E347" s="459">
        <f t="shared" si="161"/>
        <v>55.027177253050432</v>
      </c>
      <c r="F347" s="459">
        <f t="shared" si="161"/>
        <v>52.202937559895673</v>
      </c>
      <c r="G347" s="459">
        <f t="shared" si="161"/>
        <v>50.637287161708073</v>
      </c>
      <c r="H347" s="459">
        <f t="shared" si="161"/>
        <v>50.164346710374147</v>
      </c>
      <c r="I347" s="459">
        <f t="shared" si="161"/>
        <v>50.148777902977933</v>
      </c>
      <c r="J347" s="459">
        <f t="shared" si="161"/>
        <v>50.467384897051744</v>
      </c>
      <c r="K347" s="459">
        <f t="shared" si="161"/>
        <v>50.724247942914062</v>
      </c>
      <c r="L347" s="459">
        <f t="shared" si="161"/>
        <v>50.889559293555315</v>
      </c>
      <c r="M347" s="459">
        <f t="shared" si="161"/>
        <v>51.018167448927045</v>
      </c>
      <c r="N347" s="459">
        <f t="shared" si="161"/>
        <v>51.268038420453401</v>
      </c>
    </row>
    <row r="348" spans="1:14">
      <c r="B348" s="338" t="str">
        <f t="shared" si="153"/>
        <v>60-64</v>
      </c>
      <c r="C348" s="459">
        <f t="shared" ref="C348:N348" si="162">C311+C255</f>
        <v>25.247524704972783</v>
      </c>
      <c r="D348" s="459">
        <f t="shared" si="162"/>
        <v>22.321607137253519</v>
      </c>
      <c r="E348" s="459">
        <f t="shared" si="162"/>
        <v>19.799436236473575</v>
      </c>
      <c r="F348" s="459">
        <f t="shared" si="162"/>
        <v>18.011121119364635</v>
      </c>
      <c r="G348" s="459">
        <f t="shared" si="162"/>
        <v>16.796164634466692</v>
      </c>
      <c r="H348" s="459">
        <f t="shared" si="162"/>
        <v>16.166223051517004</v>
      </c>
      <c r="I348" s="459">
        <f t="shared" si="162"/>
        <v>15.819096016546416</v>
      </c>
      <c r="J348" s="459">
        <f t="shared" si="162"/>
        <v>15.695367724991559</v>
      </c>
      <c r="K348" s="459">
        <f t="shared" si="162"/>
        <v>15.593398873606084</v>
      </c>
      <c r="L348" s="459">
        <f t="shared" si="162"/>
        <v>15.500746758896291</v>
      </c>
      <c r="M348" s="459">
        <f t="shared" si="162"/>
        <v>15.442998035838723</v>
      </c>
      <c r="N348" s="459">
        <f t="shared" si="162"/>
        <v>15.490688981876412</v>
      </c>
    </row>
    <row r="349" spans="1:14">
      <c r="B349" s="338" t="str">
        <f t="shared" si="153"/>
        <v>65 plus</v>
      </c>
      <c r="C349" s="459">
        <f t="shared" ref="C349:N349" si="163">C312+C256</f>
        <v>6.7975537382710254</v>
      </c>
      <c r="D349" s="459">
        <f t="shared" si="163"/>
        <v>6.8564870226604455</v>
      </c>
      <c r="E349" s="459">
        <f t="shared" si="163"/>
        <v>6.5397437734305583</v>
      </c>
      <c r="F349" s="459">
        <f t="shared" si="163"/>
        <v>6.1054033798707668</v>
      </c>
      <c r="G349" s="459">
        <f t="shared" si="163"/>
        <v>5.676443179424191</v>
      </c>
      <c r="H349" s="459">
        <f t="shared" si="163"/>
        <v>5.3514385412733816</v>
      </c>
      <c r="I349" s="459">
        <f t="shared" si="163"/>
        <v>5.112420247154172</v>
      </c>
      <c r="J349" s="459">
        <f t="shared" si="163"/>
        <v>4.9580507825988755</v>
      </c>
      <c r="K349" s="459">
        <f t="shared" si="163"/>
        <v>4.8415523100639088</v>
      </c>
      <c r="L349" s="459">
        <f t="shared" si="163"/>
        <v>4.7493153898692322</v>
      </c>
      <c r="M349" s="459">
        <f t="shared" si="163"/>
        <v>4.6815104591337517</v>
      </c>
      <c r="N349" s="459">
        <f t="shared" si="163"/>
        <v>4.6539222032561245</v>
      </c>
    </row>
    <row r="350" spans="1:14">
      <c r="B350" s="338" t="str">
        <f t="shared" si="153"/>
        <v>Total</v>
      </c>
      <c r="C350" s="459">
        <f t="shared" ref="C350:N350" si="164">SUM(C340:C349)</f>
        <v>1141.3922629453664</v>
      </c>
      <c r="D350" s="459">
        <f t="shared" si="164"/>
        <v>1147.8322028609193</v>
      </c>
      <c r="E350" s="459">
        <f t="shared" si="164"/>
        <v>1147.2368069284328</v>
      </c>
      <c r="F350" s="459">
        <f t="shared" si="164"/>
        <v>1149.9172762337098</v>
      </c>
      <c r="G350" s="459">
        <f t="shared" si="164"/>
        <v>1152.4666290480407</v>
      </c>
      <c r="H350" s="459">
        <f t="shared" si="164"/>
        <v>1164.3831289573973</v>
      </c>
      <c r="I350" s="459">
        <f t="shared" si="164"/>
        <v>1176.2961810519209</v>
      </c>
      <c r="J350" s="459">
        <f t="shared" si="164"/>
        <v>1190.0733074151574</v>
      </c>
      <c r="K350" s="459">
        <f t="shared" si="164"/>
        <v>1197.5423537635997</v>
      </c>
      <c r="L350" s="459">
        <f t="shared" si="164"/>
        <v>1199.6820595653871</v>
      </c>
      <c r="M350" s="459">
        <f t="shared" si="164"/>
        <v>1199.5870771378634</v>
      </c>
      <c r="N350" s="459">
        <f t="shared" si="164"/>
        <v>1203.2879395737032</v>
      </c>
    </row>
    <row r="351" spans="1:14">
      <c r="A351" s="309">
        <f>SUM(C351:N351)</f>
        <v>0</v>
      </c>
      <c r="C351" s="309">
        <f t="shared" ref="C351:N351" si="165">SUM(C340:C349)-C350</f>
        <v>0</v>
      </c>
      <c r="D351" s="309">
        <f t="shared" si="165"/>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4">
      <c r="B356" s="338" t="str">
        <f t="shared" si="166"/>
        <v>20-24</v>
      </c>
      <c r="C356" s="459">
        <f t="shared" ref="C356:N356" si="168">C319+C263</f>
        <v>190.48945229542068</v>
      </c>
      <c r="D356" s="459">
        <f t="shared" si="168"/>
        <v>242.53030414180847</v>
      </c>
      <c r="E356" s="459">
        <f t="shared" si="168"/>
        <v>272.27138174964591</v>
      </c>
      <c r="F356" s="459">
        <f t="shared" si="168"/>
        <v>294.99452743956942</v>
      </c>
      <c r="G356" s="459">
        <f t="shared" si="168"/>
        <v>310.47203188561014</v>
      </c>
      <c r="H356" s="459">
        <f t="shared" si="168"/>
        <v>329.35808912121706</v>
      </c>
      <c r="I356" s="459">
        <f t="shared" si="168"/>
        <v>343.55461130730737</v>
      </c>
      <c r="J356" s="459">
        <f t="shared" si="168"/>
        <v>356.15593620554512</v>
      </c>
      <c r="K356" s="459">
        <f t="shared" si="168"/>
        <v>360.74222573955319</v>
      </c>
      <c r="L356" s="459">
        <f t="shared" si="168"/>
        <v>359.95264619818209</v>
      </c>
      <c r="M356" s="459">
        <f t="shared" si="168"/>
        <v>357.58811372651707</v>
      </c>
      <c r="N356" s="459">
        <f t="shared" si="168"/>
        <v>359.17478701583417</v>
      </c>
    </row>
    <row r="357" spans="1:14">
      <c r="B357" s="338" t="str">
        <f t="shared" si="166"/>
        <v>25-29</v>
      </c>
      <c r="C357" s="459">
        <f t="shared" ref="C357:N357" si="169">C320+C264</f>
        <v>643.67873040651364</v>
      </c>
      <c r="D357" s="459">
        <f t="shared" si="169"/>
        <v>612.53506784788738</v>
      </c>
      <c r="E357" s="459">
        <f t="shared" si="169"/>
        <v>591.72446875686364</v>
      </c>
      <c r="F357" s="459">
        <f t="shared" si="169"/>
        <v>583.56363261491492</v>
      </c>
      <c r="G357" s="459">
        <f t="shared" si="169"/>
        <v>581.0037578738627</v>
      </c>
      <c r="H357" s="459">
        <f t="shared" si="169"/>
        <v>590.06623918975481</v>
      </c>
      <c r="I357" s="459">
        <f t="shared" si="169"/>
        <v>600.8291152863012</v>
      </c>
      <c r="J357" s="459">
        <f t="shared" si="169"/>
        <v>613.78538604942787</v>
      </c>
      <c r="K357" s="459">
        <f t="shared" si="169"/>
        <v>620.93484656706357</v>
      </c>
      <c r="L357" s="459">
        <f t="shared" si="169"/>
        <v>622.7630468119446</v>
      </c>
      <c r="M357" s="459">
        <f t="shared" si="169"/>
        <v>622.08547886868087</v>
      </c>
      <c r="N357" s="459">
        <f t="shared" si="169"/>
        <v>624.54842934451756</v>
      </c>
    </row>
    <row r="358" spans="1:14">
      <c r="B358" s="338" t="str">
        <f t="shared" si="166"/>
        <v>30-34</v>
      </c>
      <c r="C358" s="459">
        <f t="shared" ref="C358:N358" si="170">C321+C265</f>
        <v>916.48888049198888</v>
      </c>
      <c r="D358" s="459">
        <f t="shared" si="170"/>
        <v>841.6965020557534</v>
      </c>
      <c r="E358" s="459">
        <f t="shared" si="170"/>
        <v>777.58921356696203</v>
      </c>
      <c r="F358" s="459">
        <f t="shared" si="170"/>
        <v>727.73679541357888</v>
      </c>
      <c r="G358" s="459">
        <f t="shared" si="170"/>
        <v>689.45706318172893</v>
      </c>
      <c r="H358" s="459">
        <f t="shared" si="170"/>
        <v>665.05573454708042</v>
      </c>
      <c r="I358" s="459">
        <f t="shared" si="170"/>
        <v>649.25861517263456</v>
      </c>
      <c r="J358" s="459">
        <f t="shared" si="170"/>
        <v>640.9550851451088</v>
      </c>
      <c r="K358" s="459">
        <f t="shared" si="170"/>
        <v>634.99569798673076</v>
      </c>
      <c r="L358" s="459">
        <f t="shared" si="170"/>
        <v>629.8637148057328</v>
      </c>
      <c r="M358" s="459">
        <f t="shared" si="170"/>
        <v>625.52449447051777</v>
      </c>
      <c r="N358" s="459">
        <f t="shared" si="170"/>
        <v>623.91154678334499</v>
      </c>
    </row>
    <row r="359" spans="1:14">
      <c r="B359" s="338" t="str">
        <f t="shared" si="166"/>
        <v>35-39</v>
      </c>
      <c r="C359" s="459">
        <f t="shared" ref="C359:N359" si="171">C322+C266</f>
        <v>798.35846523737086</v>
      </c>
      <c r="D359" s="459">
        <f t="shared" si="171"/>
        <v>795.19815162936948</v>
      </c>
      <c r="E359" s="459">
        <f t="shared" si="171"/>
        <v>776.4049177002305</v>
      </c>
      <c r="F359" s="459">
        <f t="shared" si="171"/>
        <v>751.3343896461688</v>
      </c>
      <c r="G359" s="459">
        <f t="shared" si="171"/>
        <v>723.44581753504372</v>
      </c>
      <c r="H359" s="459">
        <f t="shared" si="171"/>
        <v>698.75845640604655</v>
      </c>
      <c r="I359" s="459">
        <f t="shared" si="171"/>
        <v>676.36813413751179</v>
      </c>
      <c r="J359" s="459">
        <f t="shared" si="171"/>
        <v>657.89295102862241</v>
      </c>
      <c r="K359" s="459">
        <f t="shared" si="171"/>
        <v>641.15511360545315</v>
      </c>
      <c r="L359" s="459">
        <f t="shared" si="171"/>
        <v>626.25240903715269</v>
      </c>
      <c r="M359" s="459">
        <f t="shared" si="171"/>
        <v>613.68127325458818</v>
      </c>
      <c r="N359" s="459">
        <f t="shared" si="171"/>
        <v>604.83293779034102</v>
      </c>
    </row>
    <row r="360" spans="1:14">
      <c r="B360" s="338" t="str">
        <f t="shared" si="166"/>
        <v>40-44</v>
      </c>
      <c r="C360" s="459">
        <f t="shared" ref="C360:N360" si="172">C323+C267</f>
        <v>542.60522631537538</v>
      </c>
      <c r="D360" s="459">
        <f t="shared" si="172"/>
        <v>582.02939563765506</v>
      </c>
      <c r="E360" s="459">
        <f t="shared" si="172"/>
        <v>608.20435548742125</v>
      </c>
      <c r="F360" s="459">
        <f t="shared" si="172"/>
        <v>624.54298783656031</v>
      </c>
      <c r="G360" s="459">
        <f t="shared" si="172"/>
        <v>631.74599792801212</v>
      </c>
      <c r="H360" s="459">
        <f t="shared" si="172"/>
        <v>634.4161526298019</v>
      </c>
      <c r="I360" s="459">
        <f t="shared" si="172"/>
        <v>632.06093814377471</v>
      </c>
      <c r="J360" s="459">
        <f t="shared" si="172"/>
        <v>626.97668411034942</v>
      </c>
      <c r="K360" s="459">
        <f t="shared" si="172"/>
        <v>618.40862101267101</v>
      </c>
      <c r="L360" s="459">
        <f t="shared" si="172"/>
        <v>607.69775734433438</v>
      </c>
      <c r="M360" s="459">
        <f t="shared" si="172"/>
        <v>596.46359442598316</v>
      </c>
      <c r="N360" s="459">
        <f t="shared" si="172"/>
        <v>586.89052908331882</v>
      </c>
    </row>
    <row r="361" spans="1:14">
      <c r="B361" s="338" t="str">
        <f t="shared" si="166"/>
        <v>45-49</v>
      </c>
      <c r="C361" s="459">
        <f t="shared" ref="C361:N361" si="173">C324+C268</f>
        <v>337.80143682581985</v>
      </c>
      <c r="D361" s="459">
        <f t="shared" si="173"/>
        <v>375.1301673942329</v>
      </c>
      <c r="E361" s="459">
        <f t="shared" si="173"/>
        <v>407.94874760775377</v>
      </c>
      <c r="F361" s="459">
        <f t="shared" si="173"/>
        <v>437.2704908699248</v>
      </c>
      <c r="G361" s="459">
        <f t="shared" si="173"/>
        <v>461.64557836619139</v>
      </c>
      <c r="H361" s="459">
        <f t="shared" si="173"/>
        <v>482.87962048507035</v>
      </c>
      <c r="I361" s="459">
        <f t="shared" si="173"/>
        <v>499.16545369580882</v>
      </c>
      <c r="J361" s="459">
        <f t="shared" si="173"/>
        <v>511.33340981525987</v>
      </c>
      <c r="K361" s="459">
        <f t="shared" si="173"/>
        <v>518.22842970017473</v>
      </c>
      <c r="L361" s="459">
        <f t="shared" si="173"/>
        <v>520.69307852383349</v>
      </c>
      <c r="M361" s="459">
        <f t="shared" si="173"/>
        <v>520.0796889363711</v>
      </c>
      <c r="N361" s="459">
        <f t="shared" si="173"/>
        <v>518.39388418727231</v>
      </c>
    </row>
    <row r="362" spans="1:14">
      <c r="B362" s="338" t="str">
        <f t="shared" si="166"/>
        <v>50-54</v>
      </c>
      <c r="C362" s="459">
        <f t="shared" ref="C362:N362" si="174">C325+C269</f>
        <v>226.74667498029086</v>
      </c>
      <c r="D362" s="459">
        <f t="shared" si="174"/>
        <v>240.74781535332366</v>
      </c>
      <c r="E362" s="459">
        <f t="shared" si="174"/>
        <v>255.94601562654412</v>
      </c>
      <c r="F362" s="459">
        <f t="shared" si="174"/>
        <v>272.84272266362666</v>
      </c>
      <c r="G362" s="459">
        <f t="shared" si="174"/>
        <v>289.90939194497247</v>
      </c>
      <c r="H362" s="459">
        <f t="shared" si="174"/>
        <v>307.80971751265247</v>
      </c>
      <c r="I362" s="459">
        <f t="shared" si="174"/>
        <v>324.42347825132606</v>
      </c>
      <c r="J362" s="459">
        <f t="shared" si="174"/>
        <v>339.56999400387025</v>
      </c>
      <c r="K362" s="459">
        <f t="shared" si="174"/>
        <v>351.66806019881363</v>
      </c>
      <c r="L362" s="459">
        <f t="shared" si="174"/>
        <v>360.72897361633602</v>
      </c>
      <c r="M362" s="459">
        <f t="shared" si="174"/>
        <v>367.26612638891743</v>
      </c>
      <c r="N362" s="459">
        <f t="shared" si="174"/>
        <v>372.40620427979644</v>
      </c>
    </row>
    <row r="363" spans="1:14">
      <c r="B363" s="338" t="str">
        <f t="shared" si="166"/>
        <v>55-59</v>
      </c>
      <c r="C363" s="459">
        <f t="shared" ref="C363:N363" si="175">C326+C270</f>
        <v>139.09081332765871</v>
      </c>
      <c r="D363" s="459">
        <f t="shared" si="175"/>
        <v>130.67102527470914</v>
      </c>
      <c r="E363" s="459">
        <f t="shared" si="175"/>
        <v>126.79333700721108</v>
      </c>
      <c r="F363" s="459">
        <f t="shared" si="175"/>
        <v>126.93675361351787</v>
      </c>
      <c r="G363" s="459">
        <f t="shared" si="175"/>
        <v>129.4588823086375</v>
      </c>
      <c r="H363" s="459">
        <f t="shared" si="175"/>
        <v>134.513728091182</v>
      </c>
      <c r="I363" s="459">
        <f t="shared" si="175"/>
        <v>140.3102621111403</v>
      </c>
      <c r="J363" s="459">
        <f t="shared" si="175"/>
        <v>146.5793015683123</v>
      </c>
      <c r="K363" s="459">
        <f t="shared" si="175"/>
        <v>152.04313081053343</v>
      </c>
      <c r="L363" s="459">
        <f t="shared" si="175"/>
        <v>156.61185802727954</v>
      </c>
      <c r="M363" s="459">
        <f t="shared" si="175"/>
        <v>160.47559837468529</v>
      </c>
      <c r="N363" s="459">
        <f t="shared" si="175"/>
        <v>164.18045372668959</v>
      </c>
    </row>
    <row r="364" spans="1:14">
      <c r="B364" s="338" t="str">
        <f t="shared" si="166"/>
        <v>60-64</v>
      </c>
      <c r="C364" s="459">
        <f t="shared" ref="C364:N364" si="176">C327+C271</f>
        <v>50.791213400347388</v>
      </c>
      <c r="D364" s="459">
        <f t="shared" si="176"/>
        <v>45.842994565023623</v>
      </c>
      <c r="E364" s="459">
        <f t="shared" si="176"/>
        <v>42.15098627590254</v>
      </c>
      <c r="F364" s="459">
        <f t="shared" si="176"/>
        <v>40.105769921178947</v>
      </c>
      <c r="G364" s="459">
        <f t="shared" si="176"/>
        <v>39.138702457148852</v>
      </c>
      <c r="H364" s="459">
        <f t="shared" si="176"/>
        <v>39.469291180568959</v>
      </c>
      <c r="I364" s="459">
        <f t="shared" si="176"/>
        <v>40.245357334358303</v>
      </c>
      <c r="J364" s="459">
        <f t="shared" si="176"/>
        <v>41.41904125922872</v>
      </c>
      <c r="K364" s="459">
        <f t="shared" si="176"/>
        <v>42.404155715977055</v>
      </c>
      <c r="L364" s="459">
        <f t="shared" si="176"/>
        <v>43.231569167410477</v>
      </c>
      <c r="M364" s="459">
        <f t="shared" si="176"/>
        <v>44.023717732095619</v>
      </c>
      <c r="N364" s="459">
        <f t="shared" si="176"/>
        <v>45.032574984994753</v>
      </c>
    </row>
    <row r="365" spans="1:14">
      <c r="B365" s="338" t="str">
        <f t="shared" si="166"/>
        <v>65 plus</v>
      </c>
      <c r="C365" s="459">
        <f t="shared" ref="C365:N365" si="177">C328+C272</f>
        <v>9.845666784231053</v>
      </c>
      <c r="D365" s="459">
        <f t="shared" si="177"/>
        <v>11.597787758624939</v>
      </c>
      <c r="E365" s="459">
        <f t="shared" si="177"/>
        <v>11.86232892384082</v>
      </c>
      <c r="F365" s="459">
        <f t="shared" si="177"/>
        <v>11.650115532737091</v>
      </c>
      <c r="G365" s="459">
        <f t="shared" si="177"/>
        <v>11.329910331579686</v>
      </c>
      <c r="H365" s="459">
        <f t="shared" si="177"/>
        <v>11.19621342802763</v>
      </c>
      <c r="I365" s="459">
        <f t="shared" si="177"/>
        <v>11.173834021015253</v>
      </c>
      <c r="J365" s="459">
        <f t="shared" si="177"/>
        <v>11.278222976717471</v>
      </c>
      <c r="K365" s="459">
        <f t="shared" si="177"/>
        <v>11.37853175977393</v>
      </c>
      <c r="L365" s="459">
        <f t="shared" si="177"/>
        <v>11.463366904245415</v>
      </c>
      <c r="M365" s="459">
        <f t="shared" si="177"/>
        <v>11.559875485753889</v>
      </c>
      <c r="N365" s="459">
        <f t="shared" si="177"/>
        <v>11.737367892975739</v>
      </c>
    </row>
    <row r="366" spans="1:14">
      <c r="B366" s="338" t="str">
        <f t="shared" si="166"/>
        <v>Total</v>
      </c>
      <c r="C366" s="459">
        <f t="shared" ref="C366:N366" si="178">SUM(C356:C365)</f>
        <v>3855.8965600650172</v>
      </c>
      <c r="D366" s="459">
        <f t="shared" si="178"/>
        <v>3877.979211658389</v>
      </c>
      <c r="E366" s="459">
        <f t="shared" si="178"/>
        <v>3870.8957527023758</v>
      </c>
      <c r="F366" s="459">
        <f t="shared" si="178"/>
        <v>3870.9781855517772</v>
      </c>
      <c r="G366" s="459">
        <f t="shared" si="178"/>
        <v>3867.6071338127877</v>
      </c>
      <c r="H366" s="459">
        <f t="shared" si="178"/>
        <v>3893.5232425914023</v>
      </c>
      <c r="I366" s="459">
        <f t="shared" si="178"/>
        <v>3917.3897994611784</v>
      </c>
      <c r="J366" s="459">
        <f t="shared" si="178"/>
        <v>3945.9460121624429</v>
      </c>
      <c r="K366" s="459">
        <f t="shared" si="178"/>
        <v>3951.958813096745</v>
      </c>
      <c r="L366" s="459">
        <f t="shared" si="178"/>
        <v>3939.2584204364521</v>
      </c>
      <c r="M366" s="459">
        <f t="shared" si="178"/>
        <v>3918.7479616641099</v>
      </c>
      <c r="N366" s="459">
        <f t="shared" si="178"/>
        <v>3911.1087150890853</v>
      </c>
    </row>
    <row r="367" spans="1:14">
      <c r="A367" s="309">
        <f>SUM(C367:N367)</f>
        <v>0</v>
      </c>
      <c r="C367" s="309">
        <f t="shared" ref="C367:N367" si="179">SUM(C356:C365)-C366</f>
        <v>0</v>
      </c>
      <c r="D367" s="309">
        <f t="shared" si="179"/>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4">
      <c r="C368" s="329">
        <f>C350+C366</f>
        <v>4997.2888230103836</v>
      </c>
      <c r="D368" s="329">
        <f t="shared" ref="D368:N368" si="180">D350+D366</f>
        <v>5025.8114145193085</v>
      </c>
      <c r="E368" s="329">
        <f t="shared" si="180"/>
        <v>5018.1325596308088</v>
      </c>
      <c r="F368" s="329">
        <f t="shared" si="180"/>
        <v>5020.895461785487</v>
      </c>
      <c r="G368" s="329">
        <f t="shared" si="180"/>
        <v>5020.0737628608285</v>
      </c>
      <c r="H368" s="329">
        <f t="shared" si="180"/>
        <v>5057.9063715487991</v>
      </c>
      <c r="I368" s="329">
        <f t="shared" si="180"/>
        <v>5093.6859805130989</v>
      </c>
      <c r="J368" s="329">
        <f t="shared" si="180"/>
        <v>5136.0193195776001</v>
      </c>
      <c r="K368" s="329">
        <f t="shared" si="180"/>
        <v>5149.5011668603447</v>
      </c>
      <c r="L368" s="329">
        <f t="shared" si="180"/>
        <v>5138.9404800018392</v>
      </c>
      <c r="M368" s="329">
        <f t="shared" si="180"/>
        <v>5118.3350388019735</v>
      </c>
      <c r="N368" s="329">
        <f t="shared" si="180"/>
        <v>5114.3966546627889</v>
      </c>
    </row>
    <row r="369" spans="1:14">
      <c r="C369" s="329">
        <f t="shared" ref="C369:N369" si="181">C36</f>
        <v>4997.2888230103827</v>
      </c>
      <c r="D369" s="329">
        <f t="shared" si="181"/>
        <v>5025.8114145193067</v>
      </c>
      <c r="E369" s="329">
        <f t="shared" si="181"/>
        <v>5018.1325596308079</v>
      </c>
      <c r="F369" s="329">
        <f t="shared" si="181"/>
        <v>5020.895461785487</v>
      </c>
      <c r="G369" s="329">
        <f t="shared" si="181"/>
        <v>5020.0737628608276</v>
      </c>
      <c r="H369" s="329">
        <f t="shared" si="181"/>
        <v>5057.9063715487991</v>
      </c>
      <c r="I369" s="329">
        <f t="shared" si="181"/>
        <v>5093.6859805130989</v>
      </c>
      <c r="J369" s="329">
        <f t="shared" si="181"/>
        <v>5136.0193195775992</v>
      </c>
      <c r="K369" s="329">
        <f t="shared" si="181"/>
        <v>5149.5011668603438</v>
      </c>
      <c r="L369" s="329">
        <f t="shared" si="181"/>
        <v>5138.9404800018383</v>
      </c>
      <c r="M369" s="329">
        <f t="shared" si="181"/>
        <v>5118.3350388019735</v>
      </c>
      <c r="N369" s="329">
        <f t="shared" si="181"/>
        <v>5114.396654662788</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0000"/>
  </sheetPr>
  <dimension ref="A1:R371"/>
  <sheetViews>
    <sheetView showGridLines="0" workbookViewId="0"/>
  </sheetViews>
  <sheetFormatPr defaultColWidth="9.140625" defaultRowHeight="12.75"/>
  <cols>
    <col min="1" max="1" width="9.140625" style="309"/>
    <col min="2" max="2" width="28.7109375" style="309" customWidth="1"/>
    <col min="3" max="17" width="10.7109375" style="309" customWidth="1"/>
    <col min="18"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1695</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Forecast_stock_figures!B24</f>
        <v>English</v>
      </c>
      <c r="C15" s="307">
        <f>Forecast_stock_figures!C48</f>
        <v>29584.626169854324</v>
      </c>
      <c r="D15" s="307">
        <f>Forecast_stock_figures!D48</f>
        <v>30045.430109827248</v>
      </c>
      <c r="E15" s="307">
        <f>Forecast_stock_figures!E48</f>
        <v>30333.400701627972</v>
      </c>
      <c r="F15" s="307">
        <f>Forecast_stock_figures!F48</f>
        <v>30740.580743117873</v>
      </c>
      <c r="G15" s="307">
        <f>Forecast_stock_figures!G48</f>
        <v>31138.164239620182</v>
      </c>
      <c r="H15" s="307">
        <f>Forecast_stock_figures!H48</f>
        <v>31431.480605286102</v>
      </c>
      <c r="I15" s="307">
        <f>Forecast_stock_figures!I48</f>
        <v>31724.957576132929</v>
      </c>
      <c r="J15" s="307">
        <f>Forecast_stock_figures!J48</f>
        <v>32026.858636939469</v>
      </c>
      <c r="K15" s="307">
        <f>Forecast_stock_figures!K48</f>
        <v>32259.412600544802</v>
      </c>
      <c r="L15" s="307">
        <f>Forecast_stock_figures!L48</f>
        <v>32303.914557396369</v>
      </c>
      <c r="M15" s="307">
        <f>Forecast_stock_figures!M48</f>
        <v>32322.338999171592</v>
      </c>
      <c r="N15" s="307">
        <f>Forecast_stock_figures!N48</f>
        <v>32290.376328559087</v>
      </c>
    </row>
    <row r="17" spans="1:9" ht="15.75">
      <c r="B17" s="340" t="s">
        <v>149</v>
      </c>
    </row>
    <row r="19" spans="1:9">
      <c r="B19" s="1243" t="str">
        <f>Stock_ages_breakdowns!B73</f>
        <v>Age group</v>
      </c>
      <c r="C19" s="1244" t="str">
        <f>Stock_ages_breakdowns!S73</f>
        <v>English</v>
      </c>
      <c r="D19" s="1245"/>
      <c r="H19" s="325" t="s">
        <v>120</v>
      </c>
    </row>
    <row r="20" spans="1:9">
      <c r="B20" s="1243"/>
      <c r="C20" s="363" t="str">
        <f>Stock_ages_breakdowns!S74</f>
        <v>Male</v>
      </c>
      <c r="D20" s="363" t="str">
        <f>Stock_ages_breakdowns!T74</f>
        <v>Female</v>
      </c>
    </row>
    <row r="21" spans="1:9">
      <c r="B21" s="363" t="str">
        <f>Stock_ages_breakdowns!B75</f>
        <v>20-24</v>
      </c>
      <c r="C21" s="331">
        <f>Stock_ages_breakdowns!S20</f>
        <v>256.06953473505121</v>
      </c>
      <c r="D21" s="331">
        <f>Stock_ages_breakdowns!T20</f>
        <v>1314.6591635214154</v>
      </c>
    </row>
    <row r="22" spans="1:9">
      <c r="B22" s="363" t="str">
        <f>Stock_ages_breakdowns!B76</f>
        <v>25-29</v>
      </c>
      <c r="C22" s="331">
        <f>Stock_ages_breakdowns!S21</f>
        <v>1019.4741295265808</v>
      </c>
      <c r="D22" s="331">
        <f>Stock_ages_breakdowns!T21</f>
        <v>4514.7517295836569</v>
      </c>
    </row>
    <row r="23" spans="1:9">
      <c r="B23" s="363" t="str">
        <f>Stock_ages_breakdowns!B77</f>
        <v>30-34</v>
      </c>
      <c r="C23" s="331">
        <f>Stock_ages_breakdowns!S22</f>
        <v>1120.5116466620566</v>
      </c>
      <c r="D23" s="331">
        <f>Stock_ages_breakdowns!T22</f>
        <v>4313.8581569519747</v>
      </c>
    </row>
    <row r="24" spans="1:9">
      <c r="B24" s="363" t="str">
        <f>Stock_ages_breakdowns!B78</f>
        <v>35-39</v>
      </c>
      <c r="C24" s="331">
        <f>Stock_ages_breakdowns!S23</f>
        <v>1035.7680788518887</v>
      </c>
      <c r="D24" s="331">
        <f>Stock_ages_breakdowns!T23</f>
        <v>3714.7609054030127</v>
      </c>
    </row>
    <row r="25" spans="1:9">
      <c r="B25" s="363" t="str">
        <f>Stock_ages_breakdowns!B79</f>
        <v>40-44</v>
      </c>
      <c r="C25" s="331">
        <f>Stock_ages_breakdowns!S24</f>
        <v>912.29481562512603</v>
      </c>
      <c r="D25" s="331">
        <f>Stock_ages_breakdowns!T24</f>
        <v>3087.8166330790818</v>
      </c>
    </row>
    <row r="26" spans="1:9">
      <c r="B26" s="363" t="str">
        <f>Stock_ages_breakdowns!B80</f>
        <v>45-49</v>
      </c>
      <c r="C26" s="331">
        <f>Stock_ages_breakdowns!S25</f>
        <v>718.53009634524278</v>
      </c>
      <c r="D26" s="331">
        <f>Stock_ages_breakdowns!T25</f>
        <v>2369.6743447528365</v>
      </c>
    </row>
    <row r="27" spans="1:9">
      <c r="B27" s="363" t="str">
        <f>Stock_ages_breakdowns!B81</f>
        <v>50-54</v>
      </c>
      <c r="C27" s="331">
        <f>Stock_ages_breakdowns!S26</f>
        <v>527.50809165966268</v>
      </c>
      <c r="D27" s="331">
        <f>Stock_ages_breakdowns!T26</f>
        <v>2028.5365657265961</v>
      </c>
    </row>
    <row r="28" spans="1:9">
      <c r="B28" s="363" t="str">
        <f>Stock_ages_breakdowns!B82</f>
        <v>55-59</v>
      </c>
      <c r="C28" s="331">
        <f>Stock_ages_breakdowns!S27</f>
        <v>374.89110590965657</v>
      </c>
      <c r="D28" s="331">
        <f>Stock_ages_breakdowns!T27</f>
        <v>1592.4699974300142</v>
      </c>
    </row>
    <row r="29" spans="1:9">
      <c r="B29" s="363" t="str">
        <f>Stock_ages_breakdowns!B83</f>
        <v>60-64</v>
      </c>
      <c r="C29" s="331">
        <f>Stock_ages_breakdowns!S28</f>
        <v>149.6277575312242</v>
      </c>
      <c r="D29" s="331">
        <f>Stock_ages_breakdowns!T28</f>
        <v>446.08143481301073</v>
      </c>
      <c r="F29" s="325"/>
    </row>
    <row r="30" spans="1:9">
      <c r="B30" s="363" t="str">
        <f>Stock_ages_breakdowns!B84</f>
        <v>65 plus</v>
      </c>
      <c r="C30" s="331">
        <f>Stock_ages_breakdowns!S29</f>
        <v>24.215454209475425</v>
      </c>
      <c r="D30" s="331">
        <f>Stock_ages_breakdowns!T29</f>
        <v>63.126527536764094</v>
      </c>
      <c r="G30" s="326" t="s">
        <v>49</v>
      </c>
      <c r="H30" s="326" t="s">
        <v>50</v>
      </c>
    </row>
    <row r="31" spans="1:9">
      <c r="A31" s="309">
        <f>I31</f>
        <v>0</v>
      </c>
      <c r="B31" s="363" t="str">
        <f>Stock_ages_breakdowns!B85</f>
        <v>Total</v>
      </c>
      <c r="C31" s="331">
        <f>Stock_ages_breakdowns!S30</f>
        <v>6138.8907110559649</v>
      </c>
      <c r="D31" s="331">
        <f>Stock_ages_breakdowns!T30</f>
        <v>23445.735458798361</v>
      </c>
      <c r="E31" s="327">
        <f>SUM(C31:D31)</f>
        <v>29584.626169854324</v>
      </c>
      <c r="G31" s="366">
        <f>C31/$E$31</f>
        <v>0.20750273049964291</v>
      </c>
      <c r="H31" s="366">
        <f>D31/$E$31</f>
        <v>0.79249726950035715</v>
      </c>
      <c r="I31" s="309">
        <f>(G31+H31)-1</f>
        <v>0</v>
      </c>
    </row>
    <row r="33" spans="2:18" ht="15.75">
      <c r="B33" s="340" t="s">
        <v>262</v>
      </c>
      <c r="H33" s="325"/>
    </row>
    <row r="34" spans="2:18">
      <c r="H34" s="325"/>
    </row>
    <row r="35" spans="2:18">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8">
      <c r="B36" s="326" t="str">
        <f>B15</f>
        <v>English</v>
      </c>
      <c r="C36" s="307">
        <f>Teacher_need_by_subject!C628</f>
        <v>30045.430109827248</v>
      </c>
      <c r="D36" s="307">
        <f>Teacher_need_by_subject!D628</f>
        <v>30333.400701627972</v>
      </c>
      <c r="E36" s="307">
        <f>Teacher_need_by_subject!E628</f>
        <v>30740.580743117873</v>
      </c>
      <c r="F36" s="307">
        <f>Teacher_need_by_subject!F628</f>
        <v>31138.164239620182</v>
      </c>
      <c r="G36" s="307">
        <f>Teacher_need_by_subject!G628</f>
        <v>31431.480605286102</v>
      </c>
      <c r="H36" s="307">
        <f>Teacher_need_by_subject!H628</f>
        <v>31724.957576132929</v>
      </c>
      <c r="I36" s="307">
        <f>Teacher_need_by_subject!I628</f>
        <v>32026.858636939469</v>
      </c>
      <c r="J36" s="307">
        <f>Teacher_need_by_subject!J628</f>
        <v>32259.412600544802</v>
      </c>
      <c r="K36" s="307">
        <f>Teacher_need_by_subject!K628</f>
        <v>32303.914557396369</v>
      </c>
      <c r="L36" s="307">
        <f>Teacher_need_by_subject!L628</f>
        <v>32322.338999171592</v>
      </c>
      <c r="M36" s="307">
        <f>Teacher_need_by_subject!M628</f>
        <v>32290.376328559087</v>
      </c>
      <c r="N36" s="307">
        <f>Teacher_need_by_subject!N628</f>
        <v>32194.629621922984</v>
      </c>
    </row>
    <row r="37" spans="2:18">
      <c r="H37" s="325"/>
    </row>
    <row r="38" spans="2:18" ht="15.75">
      <c r="B38" s="340" t="s">
        <v>157</v>
      </c>
      <c r="H38" s="325"/>
    </row>
    <row r="39" spans="2:18">
      <c r="H39" s="325"/>
    </row>
    <row r="40" spans="2:18">
      <c r="B40" s="341" t="s">
        <v>49</v>
      </c>
      <c r="H40" s="325"/>
    </row>
    <row r="41" spans="2:18">
      <c r="H41" s="325"/>
    </row>
    <row r="42" spans="2:18">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8">
      <c r="B43" s="363" t="str">
        <f>B21</f>
        <v>20-24</v>
      </c>
      <c r="C43" s="307">
        <f>C21</f>
        <v>256.06953473505121</v>
      </c>
      <c r="D43" s="307">
        <f>C340</f>
        <v>381.66774960520843</v>
      </c>
      <c r="E43" s="307">
        <f t="shared" ref="E43:L43" si="2">D340</f>
        <v>460.07921313889437</v>
      </c>
      <c r="F43" s="307">
        <f t="shared" si="2"/>
        <v>520.52070190609015</v>
      </c>
      <c r="G43" s="307">
        <f t="shared" si="2"/>
        <v>562.8037874730237</v>
      </c>
      <c r="H43" s="307">
        <f t="shared" si="2"/>
        <v>587.81145607689064</v>
      </c>
      <c r="I43" s="307">
        <f t="shared" si="2"/>
        <v>606.1657509211542</v>
      </c>
      <c r="J43" s="307">
        <f t="shared" si="2"/>
        <v>620.6681822714902</v>
      </c>
      <c r="K43" s="307">
        <f t="shared" si="2"/>
        <v>628.61600865763046</v>
      </c>
      <c r="L43" s="307">
        <f t="shared" si="2"/>
        <v>625.3817772999364</v>
      </c>
      <c r="M43" s="307">
        <f>L340</f>
        <v>622.00213371891698</v>
      </c>
      <c r="N43" s="307">
        <f>M340</f>
        <v>617.15749609444993</v>
      </c>
      <c r="P43" s="275"/>
      <c r="Q43" s="275"/>
      <c r="R43" s="275"/>
    </row>
    <row r="44" spans="2:18">
      <c r="B44" s="363" t="str">
        <f t="shared" ref="B44:C53" si="3">B22</f>
        <v>25-29</v>
      </c>
      <c r="C44" s="307">
        <f t="shared" si="3"/>
        <v>1019.4741295265808</v>
      </c>
      <c r="D44" s="307">
        <f t="shared" ref="D44:K53" si="4">C341</f>
        <v>982.25001286315819</v>
      </c>
      <c r="E44" s="307">
        <f t="shared" si="4"/>
        <v>968.20135462915891</v>
      </c>
      <c r="F44" s="307">
        <f t="shared" si="4"/>
        <v>977.8674997890821</v>
      </c>
      <c r="G44" s="307">
        <f t="shared" si="4"/>
        <v>995.48886222388842</v>
      </c>
      <c r="H44" s="307">
        <f t="shared" si="4"/>
        <v>1010.8366957098997</v>
      </c>
      <c r="I44" s="307">
        <f t="shared" si="4"/>
        <v>1027.1136382577465</v>
      </c>
      <c r="J44" s="307">
        <f t="shared" si="4"/>
        <v>1043.7028743600711</v>
      </c>
      <c r="K44" s="307">
        <f t="shared" si="4"/>
        <v>1055.8403666329284</v>
      </c>
      <c r="L44" s="307">
        <f t="shared" ref="L44:L53" si="5">K341</f>
        <v>1056.8176880511153</v>
      </c>
      <c r="M44" s="307">
        <f t="shared" ref="M44:M53" si="6">L341</f>
        <v>1055.7861199681338</v>
      </c>
      <c r="N44" s="307">
        <f t="shared" ref="N44:N53" si="7">M341</f>
        <v>1051.885801344743</v>
      </c>
    </row>
    <row r="45" spans="2:18">
      <c r="B45" s="363" t="str">
        <f t="shared" si="3"/>
        <v>30-34</v>
      </c>
      <c r="C45" s="307">
        <f t="shared" si="3"/>
        <v>1120.5116466620566</v>
      </c>
      <c r="D45" s="307">
        <f t="shared" si="4"/>
        <v>1125.7250963585404</v>
      </c>
      <c r="E45" s="307">
        <f t="shared" si="4"/>
        <v>1117.7734355960506</v>
      </c>
      <c r="F45" s="307">
        <f t="shared" si="4"/>
        <v>1112.0870969518353</v>
      </c>
      <c r="G45" s="307">
        <f t="shared" si="4"/>
        <v>1109.6294321009932</v>
      </c>
      <c r="H45" s="307">
        <f t="shared" si="4"/>
        <v>1108.7098752701841</v>
      </c>
      <c r="I45" s="307">
        <f t="shared" si="4"/>
        <v>1111.3070339872636</v>
      </c>
      <c r="J45" s="307">
        <f t="shared" si="4"/>
        <v>1117.1047375241606</v>
      </c>
      <c r="K45" s="307">
        <f t="shared" si="4"/>
        <v>1123.3589665620866</v>
      </c>
      <c r="L45" s="307">
        <f t="shared" si="5"/>
        <v>1125.74261036604</v>
      </c>
      <c r="M45" s="307">
        <f t="shared" si="6"/>
        <v>1127.1233008259092</v>
      </c>
      <c r="N45" s="307">
        <f t="shared" si="7"/>
        <v>1126.6859912860727</v>
      </c>
      <c r="P45" s="275"/>
      <c r="Q45" s="275"/>
      <c r="R45" s="275"/>
    </row>
    <row r="46" spans="2:18">
      <c r="B46" s="363" t="str">
        <f t="shared" si="3"/>
        <v>35-39</v>
      </c>
      <c r="C46" s="307">
        <f t="shared" si="3"/>
        <v>1035.7680788518887</v>
      </c>
      <c r="D46" s="307">
        <f t="shared" si="4"/>
        <v>1061.8431949821606</v>
      </c>
      <c r="E46" s="307">
        <f t="shared" si="4"/>
        <v>1078.8830963316914</v>
      </c>
      <c r="F46" s="307">
        <f t="shared" si="4"/>
        <v>1092.2033712262019</v>
      </c>
      <c r="G46" s="307">
        <f t="shared" si="4"/>
        <v>1101.1137777966621</v>
      </c>
      <c r="H46" s="307">
        <f t="shared" si="4"/>
        <v>1105.6492708360547</v>
      </c>
      <c r="I46" s="307">
        <f t="shared" si="4"/>
        <v>1109.1877949653663</v>
      </c>
      <c r="J46" s="307">
        <f t="shared" si="4"/>
        <v>1112.9345119682314</v>
      </c>
      <c r="K46" s="307">
        <f t="shared" si="4"/>
        <v>1116.0236301744033</v>
      </c>
      <c r="L46" s="307">
        <f t="shared" si="5"/>
        <v>1116.2876296601166</v>
      </c>
      <c r="M46" s="307">
        <f t="shared" si="6"/>
        <v>1116.5244170314427</v>
      </c>
      <c r="N46" s="307">
        <f t="shared" si="7"/>
        <v>1116.0526404612319</v>
      </c>
    </row>
    <row r="47" spans="2:18">
      <c r="B47" s="363" t="str">
        <f t="shared" si="3"/>
        <v>40-44</v>
      </c>
      <c r="C47" s="307">
        <f t="shared" si="3"/>
        <v>912.29481562512603</v>
      </c>
      <c r="D47" s="307">
        <f t="shared" si="4"/>
        <v>939.571540274835</v>
      </c>
      <c r="E47" s="307">
        <f t="shared" si="4"/>
        <v>961.77363760871526</v>
      </c>
      <c r="F47" s="307">
        <f t="shared" si="4"/>
        <v>983.3028334997266</v>
      </c>
      <c r="G47" s="307">
        <f t="shared" si="4"/>
        <v>1001.8593156115008</v>
      </c>
      <c r="H47" s="307">
        <f t="shared" si="4"/>
        <v>1015.9192352505925</v>
      </c>
      <c r="I47" s="307">
        <f t="shared" si="4"/>
        <v>1027.5382132434688</v>
      </c>
      <c r="J47" s="307">
        <f t="shared" si="4"/>
        <v>1037.4048698358426</v>
      </c>
      <c r="K47" s="307">
        <f t="shared" si="4"/>
        <v>1044.7722676561696</v>
      </c>
      <c r="L47" s="307">
        <f t="shared" si="5"/>
        <v>1048.0493236703551</v>
      </c>
      <c r="M47" s="307">
        <f t="shared" si="6"/>
        <v>1050.192123464024</v>
      </c>
      <c r="N47" s="307">
        <f t="shared" si="7"/>
        <v>1051.0479936386921</v>
      </c>
      <c r="P47" s="275"/>
      <c r="Q47" s="275"/>
      <c r="R47" s="275"/>
    </row>
    <row r="48" spans="2:18">
      <c r="B48" s="363" t="str">
        <f t="shared" si="3"/>
        <v>45-49</v>
      </c>
      <c r="C48" s="307">
        <f t="shared" si="3"/>
        <v>718.53009634524278</v>
      </c>
      <c r="D48" s="307">
        <f t="shared" si="4"/>
        <v>751.63489387517211</v>
      </c>
      <c r="E48" s="307">
        <f t="shared" si="4"/>
        <v>778.74635633437117</v>
      </c>
      <c r="F48" s="307">
        <f t="shared" si="4"/>
        <v>804.30975003719425</v>
      </c>
      <c r="G48" s="307">
        <f t="shared" si="4"/>
        <v>827.19078468812882</v>
      </c>
      <c r="H48" s="307">
        <f t="shared" si="4"/>
        <v>846.3822519512164</v>
      </c>
      <c r="I48" s="307">
        <f t="shared" si="4"/>
        <v>863.39369281973097</v>
      </c>
      <c r="J48" s="307">
        <f t="shared" si="4"/>
        <v>878.54583464359496</v>
      </c>
      <c r="K48" s="307">
        <f t="shared" si="4"/>
        <v>891.0204036546163</v>
      </c>
      <c r="L48" s="307">
        <f t="shared" si="5"/>
        <v>899.38053741112662</v>
      </c>
      <c r="M48" s="307">
        <f t="shared" si="6"/>
        <v>905.88935400722971</v>
      </c>
      <c r="N48" s="307">
        <f t="shared" si="7"/>
        <v>910.47304439452614</v>
      </c>
    </row>
    <row r="49" spans="1:18">
      <c r="B49" s="363" t="str">
        <f t="shared" si="3"/>
        <v>50-54</v>
      </c>
      <c r="C49" s="307">
        <f t="shared" si="3"/>
        <v>527.50809165966268</v>
      </c>
      <c r="D49" s="307">
        <f t="shared" si="4"/>
        <v>544.14953625509463</v>
      </c>
      <c r="E49" s="307">
        <f t="shared" si="4"/>
        <v>560.22683788170946</v>
      </c>
      <c r="F49" s="307">
        <f t="shared" si="4"/>
        <v>577.62436776939853</v>
      </c>
      <c r="G49" s="307">
        <f t="shared" si="4"/>
        <v>594.65714878352571</v>
      </c>
      <c r="H49" s="307">
        <f t="shared" si="4"/>
        <v>610.10310075579741</v>
      </c>
      <c r="I49" s="307">
        <f t="shared" si="4"/>
        <v>624.76185696491666</v>
      </c>
      <c r="J49" s="307">
        <f t="shared" si="4"/>
        <v>638.61617553408769</v>
      </c>
      <c r="K49" s="307">
        <f t="shared" si="4"/>
        <v>650.84579754078572</v>
      </c>
      <c r="L49" s="307">
        <f t="shared" si="5"/>
        <v>660.20931271305085</v>
      </c>
      <c r="M49" s="307">
        <f t="shared" si="6"/>
        <v>668.20845063783634</v>
      </c>
      <c r="N49" s="307">
        <f t="shared" si="7"/>
        <v>674.64564944800304</v>
      </c>
      <c r="P49" s="275"/>
      <c r="Q49" s="275"/>
      <c r="R49" s="275"/>
    </row>
    <row r="50" spans="1:18">
      <c r="B50" s="363" t="str">
        <f t="shared" si="3"/>
        <v>55-59</v>
      </c>
      <c r="C50" s="307">
        <f t="shared" si="3"/>
        <v>374.89110590965657</v>
      </c>
      <c r="D50" s="307">
        <f t="shared" si="4"/>
        <v>324.27579945732907</v>
      </c>
      <c r="E50" s="307">
        <f t="shared" si="4"/>
        <v>295.68338272713589</v>
      </c>
      <c r="F50" s="307">
        <f t="shared" si="4"/>
        <v>281.89467641468491</v>
      </c>
      <c r="G50" s="307">
        <f t="shared" si="4"/>
        <v>276.32346070410449</v>
      </c>
      <c r="H50" s="307">
        <f t="shared" si="4"/>
        <v>274.9671739562022</v>
      </c>
      <c r="I50" s="307">
        <f t="shared" si="4"/>
        <v>276.54962342593331</v>
      </c>
      <c r="J50" s="307">
        <f t="shared" si="4"/>
        <v>279.8505112660327</v>
      </c>
      <c r="K50" s="307">
        <f t="shared" si="4"/>
        <v>283.55880772689454</v>
      </c>
      <c r="L50" s="307">
        <f t="shared" si="5"/>
        <v>286.43550920330506</v>
      </c>
      <c r="M50" s="307">
        <f t="shared" si="6"/>
        <v>289.3704536393621</v>
      </c>
      <c r="N50" s="307">
        <f t="shared" si="7"/>
        <v>291.9665162528164</v>
      </c>
    </row>
    <row r="51" spans="1:18">
      <c r="B51" s="363" t="str">
        <f t="shared" si="3"/>
        <v>60-64</v>
      </c>
      <c r="C51" s="307">
        <f t="shared" si="3"/>
        <v>149.6277575312242</v>
      </c>
      <c r="D51" s="307">
        <f t="shared" si="4"/>
        <v>129.93963738747792</v>
      </c>
      <c r="E51" s="307">
        <f t="shared" si="4"/>
        <v>113.74094790229749</v>
      </c>
      <c r="F51" s="307">
        <f t="shared" si="4"/>
        <v>102.81552821665399</v>
      </c>
      <c r="G51" s="307">
        <f t="shared" si="4"/>
        <v>95.876370326818758</v>
      </c>
      <c r="H51" s="307">
        <f t="shared" si="4"/>
        <v>91.570578780261371</v>
      </c>
      <c r="I51" s="307">
        <f t="shared" si="4"/>
        <v>89.380855303926822</v>
      </c>
      <c r="J51" s="307">
        <f t="shared" si="4"/>
        <v>88.616809519007532</v>
      </c>
      <c r="K51" s="307">
        <f t="shared" si="4"/>
        <v>88.509650937210083</v>
      </c>
      <c r="L51" s="307">
        <f t="shared" si="5"/>
        <v>88.361183384980748</v>
      </c>
      <c r="M51" s="307">
        <f t="shared" si="6"/>
        <v>88.567710703762387</v>
      </c>
      <c r="N51" s="307">
        <f t="shared" si="7"/>
        <v>88.868301331553084</v>
      </c>
    </row>
    <row r="52" spans="1:18">
      <c r="B52" s="363" t="str">
        <f t="shared" si="3"/>
        <v>65 plus</v>
      </c>
      <c r="C52" s="307">
        <f t="shared" si="3"/>
        <v>24.215454209475425</v>
      </c>
      <c r="D52" s="307">
        <f t="shared" si="4"/>
        <v>32.232032779273645</v>
      </c>
      <c r="E52" s="307">
        <f t="shared" si="4"/>
        <v>34.275707419499412</v>
      </c>
      <c r="F52" s="307">
        <f t="shared" si="4"/>
        <v>33.71846870495979</v>
      </c>
      <c r="G52" s="307">
        <f t="shared" si="4"/>
        <v>32.243893718535226</v>
      </c>
      <c r="H52" s="307">
        <f t="shared" si="4"/>
        <v>30.634145667107433</v>
      </c>
      <c r="I52" s="307">
        <f t="shared" si="4"/>
        <v>29.31925930648044</v>
      </c>
      <c r="J52" s="307">
        <f t="shared" si="4"/>
        <v>28.402805271100874</v>
      </c>
      <c r="K52" s="307">
        <f t="shared" si="4"/>
        <v>27.793903783010144</v>
      </c>
      <c r="L52" s="307">
        <f t="shared" si="5"/>
        <v>27.318690943930257</v>
      </c>
      <c r="M52" s="307">
        <f t="shared" si="6"/>
        <v>27.030079604804264</v>
      </c>
      <c r="N52" s="307">
        <f t="shared" si="7"/>
        <v>26.858766412580984</v>
      </c>
    </row>
    <row r="53" spans="1:18">
      <c r="B53" s="363" t="str">
        <f t="shared" si="3"/>
        <v>Total</v>
      </c>
      <c r="C53" s="307">
        <f t="shared" si="3"/>
        <v>6138.8907110559649</v>
      </c>
      <c r="D53" s="307">
        <f t="shared" si="4"/>
        <v>6273.2894938382515</v>
      </c>
      <c r="E53" s="307">
        <f t="shared" si="4"/>
        <v>6369.3839695695233</v>
      </c>
      <c r="F53" s="307">
        <f t="shared" si="4"/>
        <v>6486.3442945158258</v>
      </c>
      <c r="G53" s="307">
        <f t="shared" si="4"/>
        <v>6597.1868334271803</v>
      </c>
      <c r="H53" s="307">
        <f t="shared" si="4"/>
        <v>6682.583784254206</v>
      </c>
      <c r="I53" s="307">
        <f t="shared" si="4"/>
        <v>6764.7177191959881</v>
      </c>
      <c r="J53" s="307">
        <f t="shared" si="4"/>
        <v>6845.8473121936204</v>
      </c>
      <c r="K53" s="307">
        <f t="shared" si="4"/>
        <v>6910.3398033257354</v>
      </c>
      <c r="L53" s="307">
        <f t="shared" si="5"/>
        <v>6933.9842627039579</v>
      </c>
      <c r="M53" s="307">
        <f t="shared" si="6"/>
        <v>6950.6941436014213</v>
      </c>
      <c r="N53" s="307">
        <f t="shared" si="7"/>
        <v>6955.6422006646699</v>
      </c>
    </row>
    <row r="54" spans="1:18">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8">
      <c r="B56" s="341" t="s">
        <v>50</v>
      </c>
      <c r="H56" s="325"/>
    </row>
    <row r="57" spans="1:18">
      <c r="H57" s="325"/>
    </row>
    <row r="58" spans="1:18">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8">
      <c r="B59" s="338" t="str">
        <f t="shared" si="9"/>
        <v>20-24</v>
      </c>
      <c r="C59" s="307">
        <f t="shared" ref="C59:C69" si="11">D21</f>
        <v>1314.6591635214154</v>
      </c>
      <c r="D59" s="307">
        <f>C356</f>
        <v>1712.8532108514187</v>
      </c>
      <c r="E59" s="307">
        <f t="shared" ref="E59:L59" si="12">D356</f>
        <v>1961.0998175941761</v>
      </c>
      <c r="F59" s="307">
        <f t="shared" si="12"/>
        <v>2159.7111845024533</v>
      </c>
      <c r="G59" s="307">
        <f t="shared" si="12"/>
        <v>2301.5475237683008</v>
      </c>
      <c r="H59" s="307">
        <f t="shared" si="12"/>
        <v>2385.3788853048832</v>
      </c>
      <c r="I59" s="307">
        <f t="shared" si="12"/>
        <v>2448.5312229000765</v>
      </c>
      <c r="J59" s="307">
        <f t="shared" si="12"/>
        <v>2499.9825502266822</v>
      </c>
      <c r="K59" s="307">
        <f t="shared" si="12"/>
        <v>2528.3367369977714</v>
      </c>
      <c r="L59" s="307">
        <f t="shared" si="12"/>
        <v>2515.0006678538575</v>
      </c>
      <c r="M59" s="307">
        <f>L356</f>
        <v>2501.2076493582799</v>
      </c>
      <c r="N59" s="307">
        <f>M356</f>
        <v>2481.8817155404113</v>
      </c>
    </row>
    <row r="60" spans="1:18">
      <c r="B60" s="338" t="str">
        <f t="shared" si="9"/>
        <v>25-29</v>
      </c>
      <c r="C60" s="307">
        <f t="shared" si="11"/>
        <v>4514.7517295836569</v>
      </c>
      <c r="D60" s="307">
        <f t="shared" ref="D60:K69" si="13">C357</f>
        <v>4287.9667273080104</v>
      </c>
      <c r="E60" s="307">
        <f t="shared" si="13"/>
        <v>4158.5253745817763</v>
      </c>
      <c r="F60" s="307">
        <f t="shared" si="13"/>
        <v>4131.7679722558723</v>
      </c>
      <c r="G60" s="307">
        <f t="shared" si="13"/>
        <v>4148.0441140931898</v>
      </c>
      <c r="H60" s="307">
        <f t="shared" si="13"/>
        <v>4167.105089977742</v>
      </c>
      <c r="I60" s="307">
        <f t="shared" si="13"/>
        <v>4199.2387746863551</v>
      </c>
      <c r="J60" s="307">
        <f t="shared" si="13"/>
        <v>4240.2591283253887</v>
      </c>
      <c r="K60" s="307">
        <f t="shared" si="13"/>
        <v>4270.34491878272</v>
      </c>
      <c r="L60" s="307">
        <f t="shared" ref="L60:L69" si="14">K357</f>
        <v>4262.3674807531306</v>
      </c>
      <c r="M60" s="307">
        <f t="shared" ref="M60:M69" si="15">L357</f>
        <v>4249.8192609872985</v>
      </c>
      <c r="N60" s="307">
        <f t="shared" ref="N60:N69" si="16">M357</f>
        <v>4228.5130437820735</v>
      </c>
    </row>
    <row r="61" spans="1:18">
      <c r="B61" s="338" t="str">
        <f t="shared" si="9"/>
        <v>30-34</v>
      </c>
      <c r="C61" s="307">
        <f t="shared" si="11"/>
        <v>4313.8581569519747</v>
      </c>
      <c r="D61" s="307">
        <f t="shared" si="13"/>
        <v>4347.9331754397535</v>
      </c>
      <c r="E61" s="307">
        <f t="shared" si="13"/>
        <v>4312.7539664369451</v>
      </c>
      <c r="F61" s="307">
        <f t="shared" si="13"/>
        <v>4274.5320264468382</v>
      </c>
      <c r="G61" s="307">
        <f t="shared" si="13"/>
        <v>4241.817929026266</v>
      </c>
      <c r="H61" s="307">
        <f t="shared" si="13"/>
        <v>4211.982446180943</v>
      </c>
      <c r="I61" s="307">
        <f t="shared" si="13"/>
        <v>4195.4217028383227</v>
      </c>
      <c r="J61" s="307">
        <f t="shared" si="13"/>
        <v>4192.4566695505555</v>
      </c>
      <c r="K61" s="307">
        <f t="shared" si="13"/>
        <v>4193.4153463110861</v>
      </c>
      <c r="L61" s="307">
        <f t="shared" si="14"/>
        <v>4182.31808657484</v>
      </c>
      <c r="M61" s="307">
        <f t="shared" si="15"/>
        <v>4170.6293254153397</v>
      </c>
      <c r="N61" s="307">
        <f t="shared" si="16"/>
        <v>4155.0093106979275</v>
      </c>
    </row>
    <row r="62" spans="1:18">
      <c r="B62" s="338" t="str">
        <f t="shared" si="9"/>
        <v>35-39</v>
      </c>
      <c r="C62" s="307">
        <f t="shared" si="11"/>
        <v>3714.7609054030127</v>
      </c>
      <c r="D62" s="307">
        <f t="shared" si="13"/>
        <v>3804.4216035637864</v>
      </c>
      <c r="E62" s="307">
        <f t="shared" si="13"/>
        <v>3863.1413620898793</v>
      </c>
      <c r="F62" s="307">
        <f t="shared" si="13"/>
        <v>3907.5419172153688</v>
      </c>
      <c r="G62" s="307">
        <f t="shared" si="13"/>
        <v>3933.0616891208538</v>
      </c>
      <c r="H62" s="307">
        <f t="shared" si="13"/>
        <v>3939.3418026726422</v>
      </c>
      <c r="I62" s="307">
        <f t="shared" si="13"/>
        <v>3939.6481839395315</v>
      </c>
      <c r="J62" s="307">
        <f t="shared" si="13"/>
        <v>3939.1369738494936</v>
      </c>
      <c r="K62" s="307">
        <f t="shared" si="13"/>
        <v>3935.1200831952065</v>
      </c>
      <c r="L62" s="307">
        <f t="shared" si="14"/>
        <v>3920.0166613082692</v>
      </c>
      <c r="M62" s="307">
        <f t="shared" si="15"/>
        <v>3905.3232432971595</v>
      </c>
      <c r="N62" s="307">
        <f t="shared" si="16"/>
        <v>3888.9129754579062</v>
      </c>
    </row>
    <row r="63" spans="1:18">
      <c r="B63" s="338" t="str">
        <f t="shared" si="9"/>
        <v>40-44</v>
      </c>
      <c r="C63" s="307">
        <f t="shared" si="11"/>
        <v>3087.8166330790818</v>
      </c>
      <c r="D63" s="307">
        <f t="shared" si="13"/>
        <v>3215.7187602110585</v>
      </c>
      <c r="E63" s="307">
        <f t="shared" si="13"/>
        <v>3315.2088870494117</v>
      </c>
      <c r="F63" s="307">
        <f t="shared" si="13"/>
        <v>3406.3309315063789</v>
      </c>
      <c r="G63" s="307">
        <f t="shared" si="13"/>
        <v>3481.8398764543049</v>
      </c>
      <c r="H63" s="307">
        <f t="shared" si="13"/>
        <v>3536.7713697325948</v>
      </c>
      <c r="I63" s="307">
        <f t="shared" si="13"/>
        <v>3579.563143018453</v>
      </c>
      <c r="J63" s="307">
        <f t="shared" si="13"/>
        <v>3613.2597099703212</v>
      </c>
      <c r="K63" s="307">
        <f t="shared" si="13"/>
        <v>3635.3874804209804</v>
      </c>
      <c r="L63" s="307">
        <f t="shared" si="14"/>
        <v>3640.2932292167393</v>
      </c>
      <c r="M63" s="307">
        <f t="shared" si="15"/>
        <v>3639.7726943857733</v>
      </c>
      <c r="N63" s="307">
        <f t="shared" si="16"/>
        <v>3633.6571836277335</v>
      </c>
    </row>
    <row r="64" spans="1:18">
      <c r="B64" s="338" t="str">
        <f t="shared" si="9"/>
        <v>45-49</v>
      </c>
      <c r="C64" s="307">
        <f t="shared" si="11"/>
        <v>2369.6743447528365</v>
      </c>
      <c r="D64" s="307">
        <f t="shared" si="13"/>
        <v>2498.0419833573292</v>
      </c>
      <c r="E64" s="307">
        <f t="shared" si="13"/>
        <v>2606.2731474046614</v>
      </c>
      <c r="F64" s="307">
        <f t="shared" si="13"/>
        <v>2709.1509233281245</v>
      </c>
      <c r="G64" s="307">
        <f t="shared" si="13"/>
        <v>2801.1779253740724</v>
      </c>
      <c r="H64" s="307">
        <f t="shared" si="13"/>
        <v>2877.9814372943133</v>
      </c>
      <c r="I64" s="307">
        <f t="shared" si="13"/>
        <v>2945.1354628491954</v>
      </c>
      <c r="J64" s="307">
        <f t="shared" si="13"/>
        <v>3003.7777268310338</v>
      </c>
      <c r="K64" s="307">
        <f t="shared" si="13"/>
        <v>3050.7818150326416</v>
      </c>
      <c r="L64" s="307">
        <f t="shared" si="14"/>
        <v>3080.7556809930879</v>
      </c>
      <c r="M64" s="307">
        <f t="shared" si="15"/>
        <v>3102.5397887476311</v>
      </c>
      <c r="N64" s="307">
        <f t="shared" si="16"/>
        <v>3116.0084065309925</v>
      </c>
    </row>
    <row r="65" spans="1:14">
      <c r="B65" s="338" t="str">
        <f t="shared" si="9"/>
        <v>50-54</v>
      </c>
      <c r="C65" s="307">
        <f t="shared" si="11"/>
        <v>2028.5365657265961</v>
      </c>
      <c r="D65" s="307">
        <f t="shared" si="13"/>
        <v>2018.1300859316898</v>
      </c>
      <c r="E65" s="307">
        <f t="shared" si="13"/>
        <v>2026.8639543278014</v>
      </c>
      <c r="F65" s="307">
        <f t="shared" si="13"/>
        <v>2056.3739349087969</v>
      </c>
      <c r="G65" s="307">
        <f t="shared" si="13"/>
        <v>2095.8415494356423</v>
      </c>
      <c r="H65" s="307">
        <f t="shared" si="13"/>
        <v>2137.2640996162208</v>
      </c>
      <c r="I65" s="307">
        <f t="shared" si="13"/>
        <v>2181.2220137241379</v>
      </c>
      <c r="J65" s="307">
        <f t="shared" si="13"/>
        <v>2225.8408181481059</v>
      </c>
      <c r="K65" s="307">
        <f t="shared" si="13"/>
        <v>2266.6781638924249</v>
      </c>
      <c r="L65" s="307">
        <f t="shared" si="14"/>
        <v>2298.0602310271711</v>
      </c>
      <c r="M65" s="307">
        <f t="shared" si="15"/>
        <v>2325.0793072545571</v>
      </c>
      <c r="N65" s="307">
        <f t="shared" si="16"/>
        <v>2346.5471918638109</v>
      </c>
    </row>
    <row r="66" spans="1:14">
      <c r="B66" s="338" t="str">
        <f t="shared" si="9"/>
        <v>55-59</v>
      </c>
      <c r="C66" s="307">
        <f t="shared" si="11"/>
        <v>1592.4699974300142</v>
      </c>
      <c r="D66" s="307">
        <f t="shared" si="13"/>
        <v>1363.1310030632283</v>
      </c>
      <c r="E66" s="307">
        <f t="shared" si="13"/>
        <v>1218.711543750356</v>
      </c>
      <c r="F66" s="307">
        <f t="shared" si="13"/>
        <v>1135.6375853757318</v>
      </c>
      <c r="G66" s="307">
        <f t="shared" si="13"/>
        <v>1089.984165717899</v>
      </c>
      <c r="H66" s="307">
        <f t="shared" si="13"/>
        <v>1066.1895534612568</v>
      </c>
      <c r="I66" s="307">
        <f t="shared" si="13"/>
        <v>1058.4927165562349</v>
      </c>
      <c r="J66" s="307">
        <f t="shared" si="13"/>
        <v>1061.2710976719054</v>
      </c>
      <c r="K66" s="307">
        <f t="shared" si="13"/>
        <v>1068.603079764838</v>
      </c>
      <c r="L66" s="307">
        <f t="shared" si="14"/>
        <v>1074.9311480179863</v>
      </c>
      <c r="M66" s="307">
        <f t="shared" si="15"/>
        <v>1082.9370677392735</v>
      </c>
      <c r="N66" s="307">
        <f t="shared" si="16"/>
        <v>1090.6394031060179</v>
      </c>
    </row>
    <row r="67" spans="1:14">
      <c r="B67" s="338" t="str">
        <f t="shared" si="9"/>
        <v>60-64</v>
      </c>
      <c r="C67" s="307">
        <f t="shared" si="11"/>
        <v>446.08143481301073</v>
      </c>
      <c r="D67" s="307">
        <f t="shared" si="13"/>
        <v>436.27348564057445</v>
      </c>
      <c r="E67" s="307">
        <f t="shared" si="13"/>
        <v>403.11469112355326</v>
      </c>
      <c r="F67" s="307">
        <f t="shared" si="13"/>
        <v>372.54121072498515</v>
      </c>
      <c r="G67" s="307">
        <f t="shared" si="13"/>
        <v>348.90013469894319</v>
      </c>
      <c r="H67" s="307">
        <f t="shared" si="13"/>
        <v>331.67906036533014</v>
      </c>
      <c r="I67" s="307">
        <f t="shared" si="13"/>
        <v>321.21372512795278</v>
      </c>
      <c r="J67" s="307">
        <f t="shared" si="13"/>
        <v>315.90048138272385</v>
      </c>
      <c r="K67" s="307">
        <f t="shared" si="13"/>
        <v>313.25292243391004</v>
      </c>
      <c r="L67" s="307">
        <f t="shared" si="14"/>
        <v>310.79989352279478</v>
      </c>
      <c r="M67" s="307">
        <f t="shared" si="15"/>
        <v>310.13598521076142</v>
      </c>
      <c r="N67" s="307">
        <f t="shared" si="16"/>
        <v>310.16663450176389</v>
      </c>
    </row>
    <row r="68" spans="1:14">
      <c r="B68" s="338" t="str">
        <f t="shared" si="9"/>
        <v>65 plus</v>
      </c>
      <c r="C68" s="307">
        <f t="shared" si="11"/>
        <v>63.126527536764094</v>
      </c>
      <c r="D68" s="307">
        <f t="shared" si="13"/>
        <v>87.670580622154162</v>
      </c>
      <c r="E68" s="307">
        <f t="shared" si="13"/>
        <v>98.323987699894332</v>
      </c>
      <c r="F68" s="307">
        <f t="shared" si="13"/>
        <v>100.64876233750185</v>
      </c>
      <c r="G68" s="307">
        <f t="shared" si="13"/>
        <v>98.762498503536222</v>
      </c>
      <c r="H68" s="307">
        <f t="shared" si="13"/>
        <v>95.203076425977116</v>
      </c>
      <c r="I68" s="307">
        <f t="shared" si="13"/>
        <v>91.772911296687113</v>
      </c>
      <c r="J68" s="307">
        <f t="shared" si="13"/>
        <v>89.126168789644851</v>
      </c>
      <c r="K68" s="307">
        <f t="shared" si="13"/>
        <v>87.152250387493964</v>
      </c>
      <c r="L68" s="307">
        <f t="shared" si="14"/>
        <v>85.38721542454131</v>
      </c>
      <c r="M68" s="307">
        <f t="shared" si="15"/>
        <v>84.200533174104365</v>
      </c>
      <c r="N68" s="307">
        <f t="shared" si="16"/>
        <v>83.398262785790124</v>
      </c>
    </row>
    <row r="69" spans="1:14">
      <c r="B69" s="338" t="str">
        <f t="shared" si="9"/>
        <v>Total</v>
      </c>
      <c r="C69" s="307">
        <f t="shared" si="11"/>
        <v>23445.735458798361</v>
      </c>
      <c r="D69" s="307">
        <f t="shared" si="13"/>
        <v>23772.140615988999</v>
      </c>
      <c r="E69" s="307">
        <f t="shared" si="13"/>
        <v>23964.016732058451</v>
      </c>
      <c r="F69" s="307">
        <f t="shared" si="13"/>
        <v>24254.236448602052</v>
      </c>
      <c r="G69" s="307">
        <f t="shared" si="13"/>
        <v>24540.977406193004</v>
      </c>
      <c r="H69" s="307">
        <f t="shared" si="13"/>
        <v>24748.896821031904</v>
      </c>
      <c r="I69" s="307">
        <f t="shared" si="13"/>
        <v>24960.239856936947</v>
      </c>
      <c r="J69" s="307">
        <f t="shared" si="13"/>
        <v>25181.011324745854</v>
      </c>
      <c r="K69" s="307">
        <f t="shared" si="13"/>
        <v>25349.072797219073</v>
      </c>
      <c r="L69" s="307">
        <f t="shared" si="14"/>
        <v>25369.930294692414</v>
      </c>
      <c r="M69" s="307">
        <f t="shared" si="15"/>
        <v>25371.644855570179</v>
      </c>
      <c r="N69" s="307">
        <f t="shared" si="16"/>
        <v>25334.734127894433</v>
      </c>
    </row>
    <row r="70" spans="1:14">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4" ht="15.75">
      <c r="B72" s="340" t="s">
        <v>150</v>
      </c>
      <c r="H72" s="325"/>
    </row>
    <row r="73" spans="1:14">
      <c r="H73" s="325"/>
    </row>
    <row r="74" spans="1:14">
      <c r="B74" s="341" t="s">
        <v>49</v>
      </c>
      <c r="C74" s="262" t="s">
        <v>453</v>
      </c>
      <c r="H74" s="325"/>
    </row>
    <row r="75" spans="1:14">
      <c r="H75" s="325"/>
    </row>
    <row r="76" spans="1:14">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4">
      <c r="B77" s="338" t="str">
        <f t="shared" si="18"/>
        <v>20-24</v>
      </c>
      <c r="C77" s="459">
        <f>C43-(0.2*C43)</f>
        <v>204.85562778804098</v>
      </c>
      <c r="D77" s="459">
        <f>D43-(0.2*D43)</f>
        <v>305.33419968416672</v>
      </c>
      <c r="E77" s="459">
        <f t="shared" ref="E77:N77" si="20">E43-(0.2*E43)</f>
        <v>368.06337051111552</v>
      </c>
      <c r="F77" s="459">
        <f t="shared" si="20"/>
        <v>416.41656152487212</v>
      </c>
      <c r="G77" s="459">
        <f t="shared" si="20"/>
        <v>450.24302997841897</v>
      </c>
      <c r="H77" s="459">
        <f t="shared" si="20"/>
        <v>470.2491648615125</v>
      </c>
      <c r="I77" s="459">
        <f t="shared" si="20"/>
        <v>484.93260073692335</v>
      </c>
      <c r="J77" s="459">
        <f t="shared" si="20"/>
        <v>496.53454581719217</v>
      </c>
      <c r="K77" s="459">
        <f t="shared" si="20"/>
        <v>502.89280692610436</v>
      </c>
      <c r="L77" s="459">
        <f t="shared" si="20"/>
        <v>500.30542183994913</v>
      </c>
      <c r="M77" s="459">
        <f t="shared" si="20"/>
        <v>497.6017069751336</v>
      </c>
      <c r="N77" s="459">
        <f t="shared" si="20"/>
        <v>493.72599687555993</v>
      </c>
    </row>
    <row r="78" spans="1:14">
      <c r="B78" s="338" t="str">
        <f t="shared" si="18"/>
        <v>25-29</v>
      </c>
      <c r="C78" s="459">
        <f t="shared" ref="C78:C85" si="21">C44+(0.2*C43)-(0.2*C44)</f>
        <v>866.79321056827484</v>
      </c>
      <c r="D78" s="459">
        <f t="shared" ref="D78:N78" si="22">D44+(0.2*D43)-(0.2*D44)</f>
        <v>862.13356021156812</v>
      </c>
      <c r="E78" s="459">
        <f t="shared" si="22"/>
        <v>866.57692633110605</v>
      </c>
      <c r="F78" s="459">
        <f t="shared" si="22"/>
        <v>886.39814021248367</v>
      </c>
      <c r="G78" s="459">
        <f t="shared" si="22"/>
        <v>908.95184727371554</v>
      </c>
      <c r="H78" s="459">
        <f t="shared" si="22"/>
        <v>926.23164778329783</v>
      </c>
      <c r="I78" s="459">
        <f t="shared" si="22"/>
        <v>942.92406079042814</v>
      </c>
      <c r="J78" s="459">
        <f t="shared" si="22"/>
        <v>959.09593594235491</v>
      </c>
      <c r="K78" s="459">
        <f t="shared" si="22"/>
        <v>970.39549503786884</v>
      </c>
      <c r="L78" s="459">
        <f t="shared" si="22"/>
        <v>970.53050590087958</v>
      </c>
      <c r="M78" s="459">
        <f t="shared" si="22"/>
        <v>969.02932271829036</v>
      </c>
      <c r="N78" s="459">
        <f t="shared" si="22"/>
        <v>964.94014029468428</v>
      </c>
    </row>
    <row r="79" spans="1:14">
      <c r="B79" s="338" t="str">
        <f t="shared" si="18"/>
        <v>30-34</v>
      </c>
      <c r="C79" s="459">
        <f t="shared" si="21"/>
        <v>1100.3041432349614</v>
      </c>
      <c r="D79" s="459">
        <f t="shared" ref="D79:N79" si="23">D45+(0.2*D44)-(0.2*D45)</f>
        <v>1097.030079659464</v>
      </c>
      <c r="E79" s="459">
        <f t="shared" si="23"/>
        <v>1087.8590194026724</v>
      </c>
      <c r="F79" s="459">
        <f t="shared" si="23"/>
        <v>1085.2431775192847</v>
      </c>
      <c r="G79" s="459">
        <f t="shared" si="23"/>
        <v>1086.8013181255724</v>
      </c>
      <c r="H79" s="459">
        <f t="shared" si="23"/>
        <v>1089.1352393581271</v>
      </c>
      <c r="I79" s="459">
        <f t="shared" si="23"/>
        <v>1094.4683548413602</v>
      </c>
      <c r="J79" s="459">
        <f t="shared" si="23"/>
        <v>1102.4243648913427</v>
      </c>
      <c r="K79" s="459">
        <f t="shared" si="23"/>
        <v>1109.855246576255</v>
      </c>
      <c r="L79" s="459">
        <f t="shared" si="23"/>
        <v>1111.957625903055</v>
      </c>
      <c r="M79" s="459">
        <f t="shared" si="23"/>
        <v>1112.855864654354</v>
      </c>
      <c r="N79" s="459">
        <f t="shared" si="23"/>
        <v>1111.7259532978067</v>
      </c>
    </row>
    <row r="80" spans="1:14">
      <c r="B80" s="338" t="str">
        <f t="shared" si="18"/>
        <v>35-39</v>
      </c>
      <c r="C80" s="459">
        <f t="shared" si="21"/>
        <v>1052.7167924139221</v>
      </c>
      <c r="D80" s="459">
        <f t="shared" ref="D80:N80" si="24">D46+(0.2*D45)-(0.2*D46)</f>
        <v>1074.6195752574367</v>
      </c>
      <c r="E80" s="459">
        <f t="shared" si="24"/>
        <v>1086.6611641845632</v>
      </c>
      <c r="F80" s="459">
        <f t="shared" si="24"/>
        <v>1096.1801163713285</v>
      </c>
      <c r="G80" s="459">
        <f t="shared" si="24"/>
        <v>1102.8169086575283</v>
      </c>
      <c r="H80" s="459">
        <f t="shared" si="24"/>
        <v>1106.2613917228805</v>
      </c>
      <c r="I80" s="459">
        <f t="shared" si="24"/>
        <v>1109.6116427697457</v>
      </c>
      <c r="J80" s="459">
        <f t="shared" si="24"/>
        <v>1113.7685570794172</v>
      </c>
      <c r="K80" s="459">
        <f t="shared" si="24"/>
        <v>1117.4906974519399</v>
      </c>
      <c r="L80" s="459">
        <f t="shared" si="24"/>
        <v>1118.1786258013012</v>
      </c>
      <c r="M80" s="459">
        <f t="shared" si="24"/>
        <v>1118.644193790336</v>
      </c>
      <c r="N80" s="459">
        <f t="shared" si="24"/>
        <v>1118.1793106262</v>
      </c>
    </row>
    <row r="81" spans="1:14">
      <c r="B81" s="338" t="str">
        <f t="shared" si="18"/>
        <v>40-44</v>
      </c>
      <c r="C81" s="459">
        <f t="shared" si="21"/>
        <v>936.9894682704786</v>
      </c>
      <c r="D81" s="459">
        <f t="shared" ref="D81:N81" si="25">D47+(0.2*D46)-(0.2*D47)</f>
        <v>964.02587121630017</v>
      </c>
      <c r="E81" s="459">
        <f t="shared" si="25"/>
        <v>985.19552935331046</v>
      </c>
      <c r="F81" s="459">
        <f t="shared" si="25"/>
        <v>1005.0829410450217</v>
      </c>
      <c r="G81" s="459">
        <f t="shared" si="25"/>
        <v>1021.7102080485332</v>
      </c>
      <c r="H81" s="459">
        <f t="shared" si="25"/>
        <v>1033.8652423676849</v>
      </c>
      <c r="I81" s="459">
        <f t="shared" si="25"/>
        <v>1043.8681295878484</v>
      </c>
      <c r="J81" s="459">
        <f t="shared" si="25"/>
        <v>1052.5107982623203</v>
      </c>
      <c r="K81" s="459">
        <f t="shared" si="25"/>
        <v>1059.0225401598163</v>
      </c>
      <c r="L81" s="459">
        <f t="shared" si="25"/>
        <v>1061.6969848683075</v>
      </c>
      <c r="M81" s="459">
        <f t="shared" si="25"/>
        <v>1063.4585821775077</v>
      </c>
      <c r="N81" s="459">
        <f t="shared" si="25"/>
        <v>1064.0489230032001</v>
      </c>
    </row>
    <row r="82" spans="1:14">
      <c r="B82" s="338" t="str">
        <f t="shared" si="18"/>
        <v>45-49</v>
      </c>
      <c r="C82" s="459">
        <f t="shared" si="21"/>
        <v>757.28304020121936</v>
      </c>
      <c r="D82" s="459">
        <f t="shared" ref="D82:N82" si="26">D48+(0.2*D47)-(0.2*D48)</f>
        <v>789.22222315510476</v>
      </c>
      <c r="E82" s="459">
        <f t="shared" si="26"/>
        <v>815.3518125892399</v>
      </c>
      <c r="F82" s="459">
        <f t="shared" si="26"/>
        <v>840.10836672970072</v>
      </c>
      <c r="G82" s="459">
        <f t="shared" si="26"/>
        <v>862.12449087280334</v>
      </c>
      <c r="H82" s="459">
        <f t="shared" si="26"/>
        <v>880.28964861109148</v>
      </c>
      <c r="I82" s="459">
        <f t="shared" si="26"/>
        <v>896.22259690447856</v>
      </c>
      <c r="J82" s="459">
        <f t="shared" si="26"/>
        <v>910.3176416820445</v>
      </c>
      <c r="K82" s="459">
        <f t="shared" si="26"/>
        <v>921.77077645492693</v>
      </c>
      <c r="L82" s="459">
        <f t="shared" si="26"/>
        <v>929.11429466297227</v>
      </c>
      <c r="M82" s="459">
        <f t="shared" si="26"/>
        <v>934.74990789858873</v>
      </c>
      <c r="N82" s="459">
        <f t="shared" si="26"/>
        <v>938.5880342433594</v>
      </c>
    </row>
    <row r="83" spans="1:14">
      <c r="B83" s="338" t="str">
        <f t="shared" si="18"/>
        <v>50-54</v>
      </c>
      <c r="C83" s="459">
        <f t="shared" si="21"/>
        <v>565.7124925967787</v>
      </c>
      <c r="D83" s="459">
        <f t="shared" ref="D83:N83" si="27">D49+(0.2*D48)-(0.2*D49)</f>
        <v>585.64660777911013</v>
      </c>
      <c r="E83" s="459">
        <f t="shared" si="27"/>
        <v>603.93074157224169</v>
      </c>
      <c r="F83" s="459">
        <f t="shared" si="27"/>
        <v>622.96144422295765</v>
      </c>
      <c r="G83" s="459">
        <f t="shared" si="27"/>
        <v>641.16387596444633</v>
      </c>
      <c r="H83" s="459">
        <f t="shared" si="27"/>
        <v>657.35893099488123</v>
      </c>
      <c r="I83" s="459">
        <f t="shared" si="27"/>
        <v>672.48822413587959</v>
      </c>
      <c r="J83" s="459">
        <f t="shared" si="27"/>
        <v>686.60210735598912</v>
      </c>
      <c r="K83" s="459">
        <f t="shared" si="27"/>
        <v>698.88071876355184</v>
      </c>
      <c r="L83" s="459">
        <f t="shared" si="27"/>
        <v>708.04355765266598</v>
      </c>
      <c r="M83" s="459">
        <f t="shared" si="27"/>
        <v>715.74463131171501</v>
      </c>
      <c r="N83" s="459">
        <f t="shared" si="27"/>
        <v>721.81112843730762</v>
      </c>
    </row>
    <row r="84" spans="1:14">
      <c r="B84" s="338" t="str">
        <f t="shared" si="18"/>
        <v>55-59</v>
      </c>
      <c r="C84" s="459">
        <f t="shared" si="21"/>
        <v>405.41450305965782</v>
      </c>
      <c r="D84" s="459">
        <f t="shared" ref="D84:N84" si="28">D50+(0.2*D49)-(0.2*D50)</f>
        <v>368.25054681688221</v>
      </c>
      <c r="E84" s="459">
        <f t="shared" si="28"/>
        <v>348.59207375805062</v>
      </c>
      <c r="F84" s="459">
        <f t="shared" si="28"/>
        <v>341.04061468562765</v>
      </c>
      <c r="G84" s="459">
        <f t="shared" si="28"/>
        <v>339.99019831998874</v>
      </c>
      <c r="H84" s="459">
        <f t="shared" si="28"/>
        <v>341.99435931612129</v>
      </c>
      <c r="I84" s="459">
        <f t="shared" si="28"/>
        <v>346.19207013372994</v>
      </c>
      <c r="J84" s="459">
        <f t="shared" si="28"/>
        <v>351.60364411964366</v>
      </c>
      <c r="K84" s="459">
        <f t="shared" si="28"/>
        <v>357.01620568967274</v>
      </c>
      <c r="L84" s="459">
        <f t="shared" si="28"/>
        <v>361.19026990525418</v>
      </c>
      <c r="M84" s="459">
        <f t="shared" si="28"/>
        <v>365.13805303905696</v>
      </c>
      <c r="N84" s="459">
        <f t="shared" si="28"/>
        <v>368.50234289185374</v>
      </c>
    </row>
    <row r="85" spans="1:14">
      <c r="B85" s="338" t="str">
        <f t="shared" si="18"/>
        <v>60-64</v>
      </c>
      <c r="C85" s="459">
        <f t="shared" si="21"/>
        <v>194.68042720691068</v>
      </c>
      <c r="D85" s="459">
        <f t="shared" ref="D85:N85" si="29">D51+(0.2*D50)-(0.2*D51)</f>
        <v>168.80686980144816</v>
      </c>
      <c r="E85" s="459">
        <f t="shared" si="29"/>
        <v>150.12943486726516</v>
      </c>
      <c r="F85" s="459">
        <f t="shared" si="29"/>
        <v>138.63135785626017</v>
      </c>
      <c r="G85" s="459">
        <f t="shared" si="29"/>
        <v>131.9657884022759</v>
      </c>
      <c r="H85" s="459">
        <f t="shared" si="29"/>
        <v>128.24989781544954</v>
      </c>
      <c r="I85" s="459">
        <f t="shared" si="29"/>
        <v>126.81460892832811</v>
      </c>
      <c r="J85" s="459">
        <f t="shared" si="29"/>
        <v>126.86354986841258</v>
      </c>
      <c r="K85" s="459">
        <f t="shared" si="29"/>
        <v>127.51948229514697</v>
      </c>
      <c r="L85" s="459">
        <f t="shared" si="29"/>
        <v>127.97604854864561</v>
      </c>
      <c r="M85" s="459">
        <f t="shared" si="29"/>
        <v>128.72825929088233</v>
      </c>
      <c r="N85" s="459">
        <f t="shared" si="29"/>
        <v>129.48794431580575</v>
      </c>
    </row>
    <row r="86" spans="1:14">
      <c r="B86" s="338" t="str">
        <f t="shared" si="18"/>
        <v>65 plus</v>
      </c>
      <c r="C86" s="459">
        <f>C52+(0.2*C51)</f>
        <v>54.141005715720269</v>
      </c>
      <c r="D86" s="459">
        <f t="shared" ref="D86:N86" si="30">D52+(0.2*D51)</f>
        <v>58.219960256769227</v>
      </c>
      <c r="E86" s="459">
        <f t="shared" si="30"/>
        <v>57.023896999958907</v>
      </c>
      <c r="F86" s="459">
        <f t="shared" si="30"/>
        <v>54.28157434829059</v>
      </c>
      <c r="G86" s="459">
        <f t="shared" si="30"/>
        <v>51.419167783898978</v>
      </c>
      <c r="H86" s="459">
        <f t="shared" si="30"/>
        <v>48.948261423159707</v>
      </c>
      <c r="I86" s="459">
        <f t="shared" si="30"/>
        <v>47.1954303672658</v>
      </c>
      <c r="J86" s="459">
        <f t="shared" si="30"/>
        <v>46.126167174902378</v>
      </c>
      <c r="K86" s="459">
        <f t="shared" si="30"/>
        <v>45.495833970452161</v>
      </c>
      <c r="L86" s="459">
        <f t="shared" si="30"/>
        <v>44.990927620926406</v>
      </c>
      <c r="M86" s="459">
        <f t="shared" si="30"/>
        <v>44.743621745556737</v>
      </c>
      <c r="N86" s="459">
        <f t="shared" si="30"/>
        <v>44.632426678891605</v>
      </c>
    </row>
    <row r="87" spans="1:14">
      <c r="B87" s="338" t="str">
        <f t="shared" si="18"/>
        <v>Total</v>
      </c>
      <c r="C87" s="459">
        <f>SUM(C77:C86)</f>
        <v>6138.8907110559649</v>
      </c>
      <c r="D87" s="459">
        <f t="shared" ref="D87:N87" si="31">SUM(D77:D86)</f>
        <v>6273.2894938382506</v>
      </c>
      <c r="E87" s="459">
        <f t="shared" si="31"/>
        <v>6369.3839695695242</v>
      </c>
      <c r="F87" s="459">
        <f t="shared" si="31"/>
        <v>6486.3442945158276</v>
      </c>
      <c r="G87" s="459">
        <f t="shared" si="31"/>
        <v>6597.1868334271821</v>
      </c>
      <c r="H87" s="459">
        <f t="shared" si="31"/>
        <v>6682.5837842542069</v>
      </c>
      <c r="I87" s="459">
        <f t="shared" si="31"/>
        <v>6764.7177191959881</v>
      </c>
      <c r="J87" s="459">
        <f t="shared" si="31"/>
        <v>6845.8473121936204</v>
      </c>
      <c r="K87" s="459">
        <f t="shared" si="31"/>
        <v>6910.3398033257345</v>
      </c>
      <c r="L87" s="459">
        <f t="shared" si="31"/>
        <v>6933.9842627039579</v>
      </c>
      <c r="M87" s="459">
        <f t="shared" si="31"/>
        <v>6950.6941436014213</v>
      </c>
      <c r="N87" s="459">
        <f t="shared" si="31"/>
        <v>6955.642200664669</v>
      </c>
    </row>
    <row r="88" spans="1:14">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4">
      <c r="B90" s="341" t="s">
        <v>50</v>
      </c>
      <c r="H90" s="325"/>
    </row>
    <row r="91" spans="1:14">
      <c r="H91" s="325"/>
    </row>
    <row r="92" spans="1:14">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4">
      <c r="B93" s="338" t="str">
        <f t="shared" si="33"/>
        <v>20-24</v>
      </c>
      <c r="C93" s="459">
        <f>C59-(0.2*C59)</f>
        <v>1051.7273308171323</v>
      </c>
      <c r="D93" s="459">
        <f t="shared" ref="D93:N93" si="35">D59-(0.2*D59)</f>
        <v>1370.282568681135</v>
      </c>
      <c r="E93" s="459">
        <f t="shared" si="35"/>
        <v>1568.879854075341</v>
      </c>
      <c r="F93" s="459">
        <f t="shared" si="35"/>
        <v>1727.7689476019627</v>
      </c>
      <c r="G93" s="459">
        <f t="shared" si="35"/>
        <v>1841.2380190146407</v>
      </c>
      <c r="H93" s="459">
        <f t="shared" si="35"/>
        <v>1908.3031082439065</v>
      </c>
      <c r="I93" s="459">
        <f t="shared" si="35"/>
        <v>1958.8249783200613</v>
      </c>
      <c r="J93" s="459">
        <f t="shared" si="35"/>
        <v>1999.9860401813457</v>
      </c>
      <c r="K93" s="459">
        <f t="shared" si="35"/>
        <v>2022.6693895982171</v>
      </c>
      <c r="L93" s="459">
        <f t="shared" si="35"/>
        <v>2012.0005342830859</v>
      </c>
      <c r="M93" s="459">
        <f t="shared" si="35"/>
        <v>2000.9661194866239</v>
      </c>
      <c r="N93" s="459">
        <f t="shared" si="35"/>
        <v>1985.5053724323291</v>
      </c>
    </row>
    <row r="94" spans="1:14">
      <c r="B94" s="338" t="str">
        <f t="shared" si="33"/>
        <v>25-29</v>
      </c>
      <c r="C94" s="459">
        <f t="shared" ref="C94:C101" si="36">C60+(0.2*C59)-(0.2*C60)</f>
        <v>3874.7332163712085</v>
      </c>
      <c r="D94" s="459">
        <f t="shared" ref="D94:N94" si="37">D60+(0.2*D59)-(0.2*D60)</f>
        <v>3772.9440240166919</v>
      </c>
      <c r="E94" s="459">
        <f t="shared" si="37"/>
        <v>3719.0402631842562</v>
      </c>
      <c r="F94" s="459">
        <f t="shared" si="37"/>
        <v>3737.3566147051883</v>
      </c>
      <c r="G94" s="459">
        <f t="shared" si="37"/>
        <v>3778.7447960282116</v>
      </c>
      <c r="H94" s="459">
        <f t="shared" si="37"/>
        <v>3810.7598490431697</v>
      </c>
      <c r="I94" s="459">
        <f t="shared" si="37"/>
        <v>3849.0972643290997</v>
      </c>
      <c r="J94" s="459">
        <f t="shared" si="37"/>
        <v>3892.2038127056476</v>
      </c>
      <c r="K94" s="459">
        <f t="shared" si="37"/>
        <v>3921.9432824257301</v>
      </c>
      <c r="L94" s="459">
        <f t="shared" si="37"/>
        <v>3912.8941181732757</v>
      </c>
      <c r="M94" s="459">
        <f t="shared" si="37"/>
        <v>3900.0969386614947</v>
      </c>
      <c r="N94" s="459">
        <f t="shared" si="37"/>
        <v>3879.1867781337414</v>
      </c>
    </row>
    <row r="95" spans="1:14">
      <c r="B95" s="338" t="str">
        <f t="shared" si="33"/>
        <v>30-34</v>
      </c>
      <c r="C95" s="459">
        <f t="shared" si="36"/>
        <v>4354.0368714783117</v>
      </c>
      <c r="D95" s="459">
        <f t="shared" ref="D95:N95" si="38">D61+(0.2*D60)-(0.2*D61)</f>
        <v>4335.9398858134055</v>
      </c>
      <c r="E95" s="459">
        <f t="shared" si="38"/>
        <v>4281.9082480659117</v>
      </c>
      <c r="F95" s="459">
        <f t="shared" si="38"/>
        <v>4245.9792156086442</v>
      </c>
      <c r="G95" s="459">
        <f t="shared" si="38"/>
        <v>4223.0631660396512</v>
      </c>
      <c r="H95" s="459">
        <f t="shared" si="38"/>
        <v>4203.0069749403028</v>
      </c>
      <c r="I95" s="459">
        <f t="shared" si="38"/>
        <v>4196.1851172079296</v>
      </c>
      <c r="J95" s="459">
        <f t="shared" si="38"/>
        <v>4202.0171613055218</v>
      </c>
      <c r="K95" s="459">
        <f t="shared" si="38"/>
        <v>4208.8012608054132</v>
      </c>
      <c r="L95" s="459">
        <f t="shared" si="38"/>
        <v>4198.3279654104981</v>
      </c>
      <c r="M95" s="459">
        <f t="shared" si="38"/>
        <v>4186.4673125297322</v>
      </c>
      <c r="N95" s="459">
        <f t="shared" si="38"/>
        <v>4169.7100573147563</v>
      </c>
    </row>
    <row r="96" spans="1:14">
      <c r="B96" s="338" t="str">
        <f t="shared" si="33"/>
        <v>35-39</v>
      </c>
      <c r="C96" s="459">
        <f t="shared" si="36"/>
        <v>3834.5803557128047</v>
      </c>
      <c r="D96" s="459">
        <f t="shared" ref="D96:N96" si="39">D62+(0.2*D61)-(0.2*D62)</f>
        <v>3913.1239179389795</v>
      </c>
      <c r="E96" s="459">
        <f t="shared" si="39"/>
        <v>3953.0638829592922</v>
      </c>
      <c r="F96" s="459">
        <f t="shared" si="39"/>
        <v>3980.9399390616632</v>
      </c>
      <c r="G96" s="459">
        <f t="shared" si="39"/>
        <v>3994.8129371019359</v>
      </c>
      <c r="H96" s="459">
        <f t="shared" si="39"/>
        <v>3993.8699313743018</v>
      </c>
      <c r="I96" s="459">
        <f t="shared" si="39"/>
        <v>3990.8028877192896</v>
      </c>
      <c r="J96" s="459">
        <f t="shared" si="39"/>
        <v>3989.8009129897055</v>
      </c>
      <c r="K96" s="459">
        <f t="shared" si="39"/>
        <v>3986.7791358183822</v>
      </c>
      <c r="L96" s="459">
        <f t="shared" si="39"/>
        <v>3972.4769463615839</v>
      </c>
      <c r="M96" s="459">
        <f t="shared" si="39"/>
        <v>3958.3844597207958</v>
      </c>
      <c r="N96" s="459">
        <f t="shared" si="39"/>
        <v>3942.1322425059107</v>
      </c>
    </row>
    <row r="97" spans="1:14">
      <c r="B97" s="338" t="str">
        <f t="shared" si="33"/>
        <v>40-44</v>
      </c>
      <c r="C97" s="459">
        <f t="shared" si="36"/>
        <v>3213.205487543868</v>
      </c>
      <c r="D97" s="459">
        <f t="shared" ref="D97:N97" si="40">D63+(0.2*D62)-(0.2*D63)</f>
        <v>3333.4593288816041</v>
      </c>
      <c r="E97" s="459">
        <f t="shared" si="40"/>
        <v>3424.7953820575053</v>
      </c>
      <c r="F97" s="459">
        <f t="shared" si="40"/>
        <v>3506.5731286481773</v>
      </c>
      <c r="G97" s="459">
        <f t="shared" si="40"/>
        <v>3572.0842389876143</v>
      </c>
      <c r="H97" s="459">
        <f t="shared" si="40"/>
        <v>3617.2854563206038</v>
      </c>
      <c r="I97" s="459">
        <f t="shared" si="40"/>
        <v>3651.5801512026683</v>
      </c>
      <c r="J97" s="459">
        <f t="shared" si="40"/>
        <v>3678.4351627461556</v>
      </c>
      <c r="K97" s="459">
        <f t="shared" si="40"/>
        <v>3695.3340009758258</v>
      </c>
      <c r="L97" s="459">
        <f t="shared" si="40"/>
        <v>3696.2379156350453</v>
      </c>
      <c r="M97" s="459">
        <f t="shared" si="40"/>
        <v>3692.8828041680499</v>
      </c>
      <c r="N97" s="459">
        <f t="shared" si="40"/>
        <v>3684.708341993768</v>
      </c>
    </row>
    <row r="98" spans="1:14">
      <c r="B98" s="338" t="str">
        <f t="shared" si="33"/>
        <v>45-49</v>
      </c>
      <c r="C98" s="459">
        <f t="shared" si="36"/>
        <v>2513.3028024180858</v>
      </c>
      <c r="D98" s="459">
        <f t="shared" ref="D98:N98" si="41">D64+(0.2*D63)-(0.2*D64)</f>
        <v>2641.5773387280751</v>
      </c>
      <c r="E98" s="459">
        <f t="shared" si="41"/>
        <v>2748.0602953336115</v>
      </c>
      <c r="F98" s="459">
        <f t="shared" si="41"/>
        <v>2848.5869249637753</v>
      </c>
      <c r="G98" s="459">
        <f t="shared" si="41"/>
        <v>2937.310315590119</v>
      </c>
      <c r="H98" s="459">
        <f t="shared" si="41"/>
        <v>3009.7394237819694</v>
      </c>
      <c r="I98" s="459">
        <f t="shared" si="41"/>
        <v>3072.020998883047</v>
      </c>
      <c r="J98" s="459">
        <f t="shared" si="41"/>
        <v>3125.6741234588912</v>
      </c>
      <c r="K98" s="459">
        <f t="shared" si="41"/>
        <v>3167.7029481103091</v>
      </c>
      <c r="L98" s="459">
        <f t="shared" si="41"/>
        <v>3192.6631906378179</v>
      </c>
      <c r="M98" s="459">
        <f t="shared" si="41"/>
        <v>3209.9863698752597</v>
      </c>
      <c r="N98" s="459">
        <f t="shared" si="41"/>
        <v>3219.5381619503405</v>
      </c>
    </row>
    <row r="99" spans="1:14">
      <c r="B99" s="338" t="str">
        <f t="shared" si="33"/>
        <v>50-54</v>
      </c>
      <c r="C99" s="459">
        <f t="shared" si="36"/>
        <v>2096.764121531844</v>
      </c>
      <c r="D99" s="459">
        <f t="shared" ref="D99:N99" si="42">D65+(0.2*D64)-(0.2*D65)</f>
        <v>2114.1124654168179</v>
      </c>
      <c r="E99" s="459">
        <f t="shared" si="42"/>
        <v>2142.745792943173</v>
      </c>
      <c r="F99" s="459">
        <f t="shared" si="42"/>
        <v>2186.9293325926624</v>
      </c>
      <c r="G99" s="459">
        <f t="shared" si="42"/>
        <v>2236.9088246233282</v>
      </c>
      <c r="H99" s="459">
        <f t="shared" si="42"/>
        <v>2285.4075671518394</v>
      </c>
      <c r="I99" s="459">
        <f t="shared" si="42"/>
        <v>2334.0047035491493</v>
      </c>
      <c r="J99" s="459">
        <f t="shared" si="42"/>
        <v>2381.4281998846914</v>
      </c>
      <c r="K99" s="459">
        <f t="shared" si="42"/>
        <v>2423.4988941204683</v>
      </c>
      <c r="L99" s="459">
        <f t="shared" si="42"/>
        <v>2454.5993210203546</v>
      </c>
      <c r="M99" s="459">
        <f t="shared" si="42"/>
        <v>2480.5714035531719</v>
      </c>
      <c r="N99" s="459">
        <f t="shared" si="42"/>
        <v>2500.4394347972475</v>
      </c>
    </row>
    <row r="100" spans="1:14">
      <c r="B100" s="338" t="str">
        <f t="shared" si="33"/>
        <v>55-59</v>
      </c>
      <c r="C100" s="459">
        <f t="shared" si="36"/>
        <v>1679.6833110893306</v>
      </c>
      <c r="D100" s="459">
        <f t="shared" ref="D100:N100" si="43">D66+(0.2*D65)-(0.2*D66)</f>
        <v>1494.1308196369205</v>
      </c>
      <c r="E100" s="459">
        <f t="shared" si="43"/>
        <v>1380.342025865845</v>
      </c>
      <c r="F100" s="459">
        <f t="shared" si="43"/>
        <v>1319.7848552823448</v>
      </c>
      <c r="G100" s="459">
        <f t="shared" si="43"/>
        <v>1291.1556424614478</v>
      </c>
      <c r="H100" s="459">
        <f t="shared" si="43"/>
        <v>1280.4044626922496</v>
      </c>
      <c r="I100" s="459">
        <f t="shared" si="43"/>
        <v>1283.0385759898154</v>
      </c>
      <c r="J100" s="459">
        <f t="shared" si="43"/>
        <v>1294.1850417671455</v>
      </c>
      <c r="K100" s="459">
        <f t="shared" si="43"/>
        <v>1308.2180965903553</v>
      </c>
      <c r="L100" s="459">
        <f t="shared" si="43"/>
        <v>1319.5569646198232</v>
      </c>
      <c r="M100" s="459">
        <f t="shared" si="43"/>
        <v>1331.3655156423301</v>
      </c>
      <c r="N100" s="459">
        <f t="shared" si="43"/>
        <v>1341.8209608575767</v>
      </c>
    </row>
    <row r="101" spans="1:14">
      <c r="B101" s="338" t="str">
        <f t="shared" si="33"/>
        <v>60-64</v>
      </c>
      <c r="C101" s="459">
        <f t="shared" si="36"/>
        <v>675.35914733641141</v>
      </c>
      <c r="D101" s="459">
        <f t="shared" ref="D101:N101" si="44">D67+(0.2*D66)-(0.2*D67)</f>
        <v>621.64498912510521</v>
      </c>
      <c r="E101" s="459">
        <f t="shared" si="44"/>
        <v>566.23406164891378</v>
      </c>
      <c r="F101" s="459">
        <f t="shared" si="44"/>
        <v>525.16048565513449</v>
      </c>
      <c r="G101" s="459">
        <f t="shared" si="44"/>
        <v>497.11694090273443</v>
      </c>
      <c r="H101" s="459">
        <f t="shared" si="44"/>
        <v>478.58115898451553</v>
      </c>
      <c r="I101" s="459">
        <f t="shared" si="44"/>
        <v>468.66952341360923</v>
      </c>
      <c r="J101" s="459">
        <f t="shared" si="44"/>
        <v>464.97460464056019</v>
      </c>
      <c r="K101" s="459">
        <f t="shared" si="44"/>
        <v>464.32295390009563</v>
      </c>
      <c r="L101" s="459">
        <f t="shared" si="44"/>
        <v>463.62614442183315</v>
      </c>
      <c r="M101" s="459">
        <f t="shared" si="44"/>
        <v>464.6962017164638</v>
      </c>
      <c r="N101" s="459">
        <f t="shared" si="44"/>
        <v>466.26118822261469</v>
      </c>
    </row>
    <row r="102" spans="1:14">
      <c r="B102" s="338" t="str">
        <f t="shared" si="33"/>
        <v>65 plus</v>
      </c>
      <c r="C102" s="459">
        <f>C68+(0.2*C67)</f>
        <v>152.34281449936626</v>
      </c>
      <c r="D102" s="459">
        <f t="shared" ref="D102:N102" si="45">D68+(0.2*D67)</f>
        <v>174.92527775026906</v>
      </c>
      <c r="E102" s="459">
        <f t="shared" si="45"/>
        <v>178.94692592460498</v>
      </c>
      <c r="F102" s="459">
        <f t="shared" si="45"/>
        <v>175.15700448249888</v>
      </c>
      <c r="G102" s="459">
        <f t="shared" si="45"/>
        <v>168.54252544332485</v>
      </c>
      <c r="H102" s="459">
        <f t="shared" si="45"/>
        <v>161.53888849904314</v>
      </c>
      <c r="I102" s="459">
        <f t="shared" si="45"/>
        <v>156.01565632227766</v>
      </c>
      <c r="J102" s="459">
        <f t="shared" si="45"/>
        <v>152.30626506618961</v>
      </c>
      <c r="K102" s="459">
        <f t="shared" si="45"/>
        <v>149.80283487427596</v>
      </c>
      <c r="L102" s="459">
        <f t="shared" si="45"/>
        <v>147.54719412910026</v>
      </c>
      <c r="M102" s="459">
        <f t="shared" si="45"/>
        <v>146.22773021625665</v>
      </c>
      <c r="N102" s="459">
        <f t="shared" si="45"/>
        <v>145.4315896861429</v>
      </c>
    </row>
    <row r="103" spans="1:14">
      <c r="B103" s="338" t="str">
        <f t="shared" si="33"/>
        <v>Total</v>
      </c>
      <c r="C103" s="459">
        <f>SUM(C93:C102)</f>
        <v>23445.735458798365</v>
      </c>
      <c r="D103" s="459">
        <f t="shared" ref="D103:N103" si="46">SUM(D93:D102)</f>
        <v>23772.140615989007</v>
      </c>
      <c r="E103" s="459">
        <f t="shared" si="46"/>
        <v>23964.016732058451</v>
      </c>
      <c r="F103" s="459">
        <f t="shared" si="46"/>
        <v>24254.236448602056</v>
      </c>
      <c r="G103" s="459">
        <f t="shared" si="46"/>
        <v>24540.977406193011</v>
      </c>
      <c r="H103" s="459">
        <f t="shared" si="46"/>
        <v>24748.8968210319</v>
      </c>
      <c r="I103" s="459">
        <f t="shared" si="46"/>
        <v>24960.239856936947</v>
      </c>
      <c r="J103" s="459">
        <f t="shared" si="46"/>
        <v>25181.011324745854</v>
      </c>
      <c r="K103" s="459">
        <f t="shared" si="46"/>
        <v>25349.072797219076</v>
      </c>
      <c r="L103" s="459">
        <f t="shared" si="46"/>
        <v>25369.930294692418</v>
      </c>
      <c r="M103" s="459">
        <f t="shared" si="46"/>
        <v>25371.644855570179</v>
      </c>
      <c r="N103" s="459">
        <f t="shared" si="46"/>
        <v>25334.734127894433</v>
      </c>
    </row>
    <row r="104" spans="1:14">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4" ht="15.75">
      <c r="B106" s="340" t="s">
        <v>151</v>
      </c>
      <c r="H106" s="325"/>
    </row>
    <row r="107" spans="1:14">
      <c r="H107" s="325"/>
    </row>
    <row r="108" spans="1:14">
      <c r="B108" s="341" t="s">
        <v>49</v>
      </c>
      <c r="H108" s="325"/>
    </row>
    <row r="109" spans="1:14">
      <c r="H109" s="325"/>
    </row>
    <row r="110" spans="1:14">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4">
      <c r="B111" s="338" t="str">
        <f t="shared" si="48"/>
        <v>20-24</v>
      </c>
      <c r="C111" s="459">
        <f>C77*Group_2_rates!E74</f>
        <v>25.483805069061756</v>
      </c>
      <c r="D111" s="459">
        <f>D77*Group_2_rates!F74</f>
        <v>37.983224135390458</v>
      </c>
      <c r="E111" s="459">
        <f>E77*Group_2_rates!G74</f>
        <v>45.786661018031765</v>
      </c>
      <c r="F111" s="459">
        <f>F77*Group_2_rates!H74</f>
        <v>51.801742505256669</v>
      </c>
      <c r="G111" s="459">
        <f>G77*Group_2_rates!I74</f>
        <v>56.009716372281076</v>
      </c>
      <c r="H111" s="459">
        <f>H77*Group_2_rates!J74</f>
        <v>58.498456599001244</v>
      </c>
      <c r="I111" s="459">
        <f>I77*Group_2_rates!K74</f>
        <v>60.325059175817948</v>
      </c>
      <c r="J111" s="459">
        <f>J77*Group_2_rates!L74</f>
        <v>61.76832783306687</v>
      </c>
      <c r="K111" s="459">
        <f>K77*Group_2_rates!M74</f>
        <v>62.559288220278518</v>
      </c>
      <c r="L111" s="459">
        <f>L77*Group_2_rates!N74</f>
        <v>62.237420484028675</v>
      </c>
      <c r="M111" s="459">
        <f>M77*Group_2_rates!O74</f>
        <v>61.901081456776886</v>
      </c>
      <c r="N111" s="459">
        <f>N77*Group_2_rates!P74</f>
        <v>61.418947566933639</v>
      </c>
    </row>
    <row r="112" spans="1:14">
      <c r="B112" s="338" t="str">
        <f t="shared" si="48"/>
        <v>25-29</v>
      </c>
      <c r="C112" s="459">
        <f>C78*Group_2_rates!E75</f>
        <v>93.712793817702135</v>
      </c>
      <c r="D112" s="459">
        <f>D78*Group_2_rates!F75</f>
        <v>93.209018698311951</v>
      </c>
      <c r="E112" s="459">
        <f>E78*Group_2_rates!G75</f>
        <v>93.68941038567165</v>
      </c>
      <c r="F112" s="459">
        <f>F78*Group_2_rates!H75</f>
        <v>95.832368252709301</v>
      </c>
      <c r="G112" s="459">
        <f>G78*Group_2_rates!I75</f>
        <v>98.270747872997759</v>
      </c>
      <c r="H112" s="459">
        <f>H78*Group_2_rates!J75</f>
        <v>100.13894245807516</v>
      </c>
      <c r="I112" s="459">
        <f>I78*Group_2_rates!K75</f>
        <v>101.94363201884315</v>
      </c>
      <c r="J112" s="459">
        <f>J78*Group_2_rates!L75</f>
        <v>103.69204396217684</v>
      </c>
      <c r="K112" s="459">
        <f>K78*Group_2_rates!M75</f>
        <v>104.91368856995429</v>
      </c>
      <c r="L112" s="459">
        <f>L78*Group_2_rates!N75</f>
        <v>104.92828518309595</v>
      </c>
      <c r="M112" s="459">
        <f>M78*Group_2_rates!O75</f>
        <v>104.76598572302017</v>
      </c>
      <c r="N112" s="459">
        <f>N78*Group_2_rates!P75</f>
        <v>104.32388637951568</v>
      </c>
    </row>
    <row r="113" spans="1:14">
      <c r="B113" s="338" t="str">
        <f t="shared" si="48"/>
        <v>30-34</v>
      </c>
      <c r="C113" s="459">
        <f>C79*Group_2_rates!E76</f>
        <v>78.158137874916989</v>
      </c>
      <c r="D113" s="459">
        <f>D79*Group_2_rates!F76</f>
        <v>77.92557062165497</v>
      </c>
      <c r="E113" s="459">
        <f>E79*Group_2_rates!G76</f>
        <v>77.274120750801927</v>
      </c>
      <c r="F113" s="459">
        <f>F79*Group_2_rates!H76</f>
        <v>77.088309098780229</v>
      </c>
      <c r="G113" s="459">
        <f>G79*Group_2_rates!I76</f>
        <v>77.19898883136463</v>
      </c>
      <c r="H113" s="459">
        <f>H79*Group_2_rates!J76</f>
        <v>77.364774753925005</v>
      </c>
      <c r="I113" s="459">
        <f>I79*Group_2_rates!K76</f>
        <v>77.74360307862429</v>
      </c>
      <c r="J113" s="459">
        <f>J79*Group_2_rates!L76</f>
        <v>78.308744030100257</v>
      </c>
      <c r="K113" s="459">
        <f>K79*Group_2_rates!M76</f>
        <v>78.836583426900148</v>
      </c>
      <c r="L113" s="459">
        <f>L79*Group_2_rates!N76</f>
        <v>78.985922184097149</v>
      </c>
      <c r="M113" s="459">
        <f>M79*Group_2_rates!O76</f>
        <v>79.049726968074609</v>
      </c>
      <c r="N113" s="459">
        <f>N79*Group_2_rates!P76</f>
        <v>78.969465734728871</v>
      </c>
    </row>
    <row r="114" spans="1:14">
      <c r="B114" s="338" t="str">
        <f t="shared" si="48"/>
        <v>35-39</v>
      </c>
      <c r="C114" s="459">
        <f>C80*Group_2_rates!E77</f>
        <v>64.202869010199294</v>
      </c>
      <c r="D114" s="459">
        <f>D80*Group_2_rates!F77</f>
        <v>65.538671296240992</v>
      </c>
      <c r="E114" s="459">
        <f>E80*Group_2_rates!G77</f>
        <v>66.273061174063884</v>
      </c>
      <c r="F114" s="459">
        <f>F80*Group_2_rates!H77</f>
        <v>66.853601016085278</v>
      </c>
      <c r="G114" s="459">
        <f>G80*Group_2_rates!I77</f>
        <v>67.258364299875709</v>
      </c>
      <c r="H114" s="459">
        <f>H80*Group_2_rates!J77</f>
        <v>67.46843570430876</v>
      </c>
      <c r="I114" s="459">
        <f>I80*Group_2_rates!K77</f>
        <v>67.672760106335204</v>
      </c>
      <c r="J114" s="459">
        <f>J80*Group_2_rates!L77</f>
        <v>67.926281116766205</v>
      </c>
      <c r="K114" s="459">
        <f>K80*Group_2_rates!M77</f>
        <v>68.153286226304431</v>
      </c>
      <c r="L114" s="459">
        <f>L80*Group_2_rates!N77</f>
        <v>68.195241454928805</v>
      </c>
      <c r="M114" s="459">
        <f>M80*Group_2_rates!O77</f>
        <v>68.223635416942855</v>
      </c>
      <c r="N114" s="459">
        <f>N80*Group_2_rates!P77</f>
        <v>68.195283220884846</v>
      </c>
    </row>
    <row r="115" spans="1:14">
      <c r="B115" s="338" t="str">
        <f t="shared" si="48"/>
        <v>40-44</v>
      </c>
      <c r="C115" s="459">
        <f>C81*Group_2_rates!E78</f>
        <v>60.69034025923991</v>
      </c>
      <c r="D115" s="459">
        <f>D81*Group_2_rates!F78</f>
        <v>62.441532294724098</v>
      </c>
      <c r="E115" s="459">
        <f>E81*Group_2_rates!G78</f>
        <v>63.812725674174189</v>
      </c>
      <c r="F115" s="459">
        <f>F81*Group_2_rates!H78</f>
        <v>65.100865854312403</v>
      </c>
      <c r="G115" s="459">
        <f>G81*Group_2_rates!I78</f>
        <v>66.177841131192508</v>
      </c>
      <c r="H115" s="459">
        <f>H81*Group_2_rates!J78</f>
        <v>66.965142582994005</v>
      </c>
      <c r="I115" s="459">
        <f>I81*Group_2_rates!K78</f>
        <v>67.61304594746521</v>
      </c>
      <c r="J115" s="459">
        <f>J81*Group_2_rates!L78</f>
        <v>68.172845732162642</v>
      </c>
      <c r="K115" s="459">
        <f>K81*Group_2_rates!M78</f>
        <v>68.594621904491291</v>
      </c>
      <c r="L115" s="459">
        <f>L81*Group_2_rates!N78</f>
        <v>68.767850062180671</v>
      </c>
      <c r="M115" s="459">
        <f>M81*Group_2_rates!O78</f>
        <v>68.881951600901772</v>
      </c>
      <c r="N115" s="459">
        <f>N81*Group_2_rates!P78</f>
        <v>68.920188941654729</v>
      </c>
    </row>
    <row r="116" spans="1:14">
      <c r="B116" s="338" t="str">
        <f t="shared" si="48"/>
        <v>45-49</v>
      </c>
      <c r="C116" s="459">
        <f>C82*Group_2_rates!E79</f>
        <v>55.380425447114469</v>
      </c>
      <c r="D116" s="459">
        <f>D82*Group_2_rates!F79</f>
        <v>57.716151254402327</v>
      </c>
      <c r="E116" s="459">
        <f>E82*Group_2_rates!G79</f>
        <v>59.627019057854426</v>
      </c>
      <c r="F116" s="459">
        <f>F82*Group_2_rates!H79</f>
        <v>61.437476216037901</v>
      </c>
      <c r="G116" s="459">
        <f>G82*Group_2_rates!I79</f>
        <v>63.047524582389194</v>
      </c>
      <c r="H116" s="459">
        <f>H82*Group_2_rates!J79</f>
        <v>64.375950164973261</v>
      </c>
      <c r="I116" s="459">
        <f>I82*Group_2_rates!K79</f>
        <v>65.541133337278552</v>
      </c>
      <c r="J116" s="459">
        <f>J82*Group_2_rates!L79</f>
        <v>66.571909856808588</v>
      </c>
      <c r="K116" s="459">
        <f>K82*Group_2_rates!M79</f>
        <v>67.409482392774578</v>
      </c>
      <c r="L116" s="459">
        <f>L82*Group_2_rates!N79</f>
        <v>67.946516950596077</v>
      </c>
      <c r="M116" s="459">
        <f>M82*Group_2_rates!O79</f>
        <v>68.358651703489656</v>
      </c>
      <c r="N116" s="459">
        <f>N82*Group_2_rates!P79</f>
        <v>68.639335488295785</v>
      </c>
    </row>
    <row r="117" spans="1:14">
      <c r="B117" s="338" t="str">
        <f t="shared" si="48"/>
        <v>50-54</v>
      </c>
      <c r="C117" s="459">
        <f>C83*Group_2_rates!E80</f>
        <v>42.270989868509247</v>
      </c>
      <c r="D117" s="459">
        <f>D83*Group_2_rates!F80</f>
        <v>43.760500515590948</v>
      </c>
      <c r="E117" s="459">
        <f>E83*Group_2_rates!G80</f>
        <v>45.126721775397598</v>
      </c>
      <c r="F117" s="459">
        <f>F83*Group_2_rates!H80</f>
        <v>46.548727917150615</v>
      </c>
      <c r="G117" s="459">
        <f>G83*Group_2_rates!I80</f>
        <v>47.908844262106648</v>
      </c>
      <c r="H117" s="459">
        <f>H83*Group_2_rates!J80</f>
        <v>49.118966039635453</v>
      </c>
      <c r="I117" s="459">
        <f>I83*Group_2_rates!K80</f>
        <v>50.249452294491206</v>
      </c>
      <c r="J117" s="459">
        <f>J83*Group_2_rates!L80</f>
        <v>51.304065410535323</v>
      </c>
      <c r="K117" s="459">
        <f>K83*Group_2_rates!M80</f>
        <v>52.221543926920845</v>
      </c>
      <c r="L117" s="459">
        <f>L83*Group_2_rates!N80</f>
        <v>52.906206675078671</v>
      </c>
      <c r="M117" s="459">
        <f>M83*Group_2_rates!O80</f>
        <v>53.481643864248774</v>
      </c>
      <c r="N117" s="459">
        <f>N83*Group_2_rates!P80</f>
        <v>53.934942742900276</v>
      </c>
    </row>
    <row r="118" spans="1:14">
      <c r="B118" s="338" t="str">
        <f t="shared" si="48"/>
        <v>55-59</v>
      </c>
      <c r="C118" s="459">
        <f>C84*Group_2_rates!E81</f>
        <v>21.26562838594257</v>
      </c>
      <c r="D118" s="459">
        <f>D84*Group_2_rates!F81</f>
        <v>19.316228754587993</v>
      </c>
      <c r="E118" s="459">
        <f>E84*Group_2_rates!G81</f>
        <v>18.285062430864592</v>
      </c>
      <c r="F118" s="459">
        <f>F84*Group_2_rates!H81</f>
        <v>17.888957897864771</v>
      </c>
      <c r="G118" s="459">
        <f>G84*Group_2_rates!I81</f>
        <v>17.833859316256053</v>
      </c>
      <c r="H118" s="459">
        <f>H84*Group_2_rates!J81</f>
        <v>17.938985656452825</v>
      </c>
      <c r="I118" s="459">
        <f>I84*Group_2_rates!K81</f>
        <v>18.159172545785154</v>
      </c>
      <c r="J118" s="459">
        <f>J84*Group_2_rates!L81</f>
        <v>18.443031461780915</v>
      </c>
      <c r="K118" s="459">
        <f>K84*Group_2_rates!M81</f>
        <v>18.726942180552943</v>
      </c>
      <c r="L118" s="459">
        <f>L84*Group_2_rates!N81</f>
        <v>18.945888710086827</v>
      </c>
      <c r="M118" s="459">
        <f>M84*Group_2_rates!O81</f>
        <v>19.152965882803038</v>
      </c>
      <c r="N118" s="459">
        <f>N84*Group_2_rates!P81</f>
        <v>19.329436475868246</v>
      </c>
    </row>
    <row r="119" spans="1:14">
      <c r="B119" s="338" t="str">
        <f t="shared" si="48"/>
        <v>60-64</v>
      </c>
      <c r="C119" s="459">
        <f>C85*Group_2_rates!E82</f>
        <v>3.6428301231995945</v>
      </c>
      <c r="D119" s="459">
        <f>D85*Group_2_rates!F82</f>
        <v>3.1586881081896387</v>
      </c>
      <c r="E119" s="459">
        <f>E85*Group_2_rates!G82</f>
        <v>2.8091988268145305</v>
      </c>
      <c r="F119" s="459">
        <f>F85*Group_2_rates!H82</f>
        <v>2.594048583436233</v>
      </c>
      <c r="G119" s="459">
        <f>G85*Group_2_rates!I82</f>
        <v>2.4693234760198313</v>
      </c>
      <c r="H119" s="459">
        <f>H85*Group_2_rates!J82</f>
        <v>2.3997923045589316</v>
      </c>
      <c r="I119" s="459">
        <f>I85*Group_2_rates!K82</f>
        <v>2.3729354003055696</v>
      </c>
      <c r="J119" s="459">
        <f>J85*Group_2_rates!L82</f>
        <v>2.3738511756269784</v>
      </c>
      <c r="K119" s="459">
        <f>K85*Group_2_rates!M82</f>
        <v>2.3861248820142769</v>
      </c>
      <c r="L119" s="459">
        <f>L85*Group_2_rates!N82</f>
        <v>2.3946680793214905</v>
      </c>
      <c r="M119" s="459">
        <f>M85*Group_2_rates!O82</f>
        <v>2.4087433306969248</v>
      </c>
      <c r="N119" s="459">
        <f>N85*Group_2_rates!P82</f>
        <v>2.4229584396970369</v>
      </c>
    </row>
    <row r="120" spans="1:14">
      <c r="B120" s="338" t="str">
        <f t="shared" si="48"/>
        <v>65 plus</v>
      </c>
      <c r="C120" s="459">
        <f>C86*Group_2_rates!E83</f>
        <v>1.2368005699311619</v>
      </c>
      <c r="D120" s="459">
        <f>D86*Group_2_rates!F83</f>
        <v>1.3299804662851715</v>
      </c>
      <c r="E120" s="459">
        <f>E86*Group_2_rates!G83</f>
        <v>1.3026575213538549</v>
      </c>
      <c r="F120" s="459">
        <f>F86*Group_2_rates!H83</f>
        <v>1.2400117286929753</v>
      </c>
      <c r="G120" s="459">
        <f>G86*Group_2_rates!I83</f>
        <v>1.1746227315102666</v>
      </c>
      <c r="H120" s="459">
        <f>H86*Group_2_rates!J83</f>
        <v>1.1181771898213075</v>
      </c>
      <c r="I120" s="459">
        <f>I86*Group_2_rates!K83</f>
        <v>1.0781354059596318</v>
      </c>
      <c r="J120" s="459">
        <f>J86*Group_2_rates!L83</f>
        <v>1.053709089746272</v>
      </c>
      <c r="K120" s="459">
        <f>K86*Group_2_rates!M83</f>
        <v>1.0393097180278372</v>
      </c>
      <c r="L120" s="459">
        <f>L86*Group_2_rates!N83</f>
        <v>1.0277756053418958</v>
      </c>
      <c r="M120" s="459">
        <f>M86*Group_2_rates!O83</f>
        <v>1.0221261342328705</v>
      </c>
      <c r="N120" s="459">
        <f>N86*Group_2_rates!P83</f>
        <v>1.0195859870744102</v>
      </c>
    </row>
    <row r="121" spans="1:14">
      <c r="B121" s="338" t="str">
        <f t="shared" si="48"/>
        <v>Total</v>
      </c>
      <c r="C121" s="459">
        <f>SUM(C111:C120)</f>
        <v>446.04462042581719</v>
      </c>
      <c r="D121" s="459">
        <f t="shared" ref="D121:N121" si="50">SUM(D111:D120)</f>
        <v>462.37956614537859</v>
      </c>
      <c r="E121" s="459">
        <f t="shared" si="50"/>
        <v>473.98663861502843</v>
      </c>
      <c r="F121" s="459">
        <f t="shared" si="50"/>
        <v>486.38610907032643</v>
      </c>
      <c r="G121" s="459">
        <f t="shared" si="50"/>
        <v>497.34983287599368</v>
      </c>
      <c r="H121" s="459">
        <f t="shared" si="50"/>
        <v>505.38762345374596</v>
      </c>
      <c r="I121" s="459">
        <f t="shared" si="50"/>
        <v>512.6989293109059</v>
      </c>
      <c r="J121" s="459">
        <f t="shared" si="50"/>
        <v>519.61480966877082</v>
      </c>
      <c r="K121" s="459">
        <f t="shared" si="50"/>
        <v>524.84087144821922</v>
      </c>
      <c r="L121" s="459">
        <f t="shared" si="50"/>
        <v>526.33577538875613</v>
      </c>
      <c r="M121" s="459">
        <f t="shared" si="50"/>
        <v>527.24651208118746</v>
      </c>
      <c r="N121" s="459">
        <f t="shared" si="50"/>
        <v>527.17403097755346</v>
      </c>
    </row>
    <row r="122" spans="1:14">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4">
      <c r="B127" s="338" t="str">
        <f t="shared" si="52"/>
        <v>20-24</v>
      </c>
      <c r="C127" s="459">
        <f>C93*Group_2_rates!E89</f>
        <v>111.48549381294339</v>
      </c>
      <c r="D127" s="459">
        <f>D93*Group_2_rates!F89</f>
        <v>145.25307497143189</v>
      </c>
      <c r="E127" s="459">
        <f>E93*Group_2_rates!G89</f>
        <v>166.30483979994597</v>
      </c>
      <c r="F127" s="459">
        <f>F93*Group_2_rates!H89</f>
        <v>183.14744580082237</v>
      </c>
      <c r="G127" s="459">
        <f>G93*Group_2_rates!I89</f>
        <v>195.17542595144764</v>
      </c>
      <c r="H127" s="459">
        <f>H93*Group_2_rates!J89</f>
        <v>202.28447824214427</v>
      </c>
      <c r="I127" s="459">
        <f>I93*Group_2_rates!K89</f>
        <v>207.63991160282094</v>
      </c>
      <c r="J127" s="459">
        <f>J93*Group_2_rates!L89</f>
        <v>212.00307796068779</v>
      </c>
      <c r="K127" s="459">
        <f>K93*Group_2_rates!M89</f>
        <v>214.40756469120439</v>
      </c>
      <c r="L127" s="459">
        <f>L93*Group_2_rates!N89</f>
        <v>213.27664171490204</v>
      </c>
      <c r="M127" s="459">
        <f>M93*Group_2_rates!O89</f>
        <v>212.10696860051729</v>
      </c>
      <c r="N127" s="459">
        <f>N93*Group_2_rates!P89</f>
        <v>210.46809417978136</v>
      </c>
    </row>
    <row r="128" spans="1:14">
      <c r="B128" s="338" t="str">
        <f t="shared" si="52"/>
        <v>25-29</v>
      </c>
      <c r="C128" s="459">
        <f>C94*Group_2_rates!E90</f>
        <v>385.62987453562079</v>
      </c>
      <c r="D128" s="459">
        <f>D94*Group_2_rates!F90</f>
        <v>375.49938263209924</v>
      </c>
      <c r="E128" s="459">
        <f>E94*Group_2_rates!G90</f>
        <v>370.13465185812413</v>
      </c>
      <c r="F128" s="459">
        <f>F94*Group_2_rates!H90</f>
        <v>371.95757280378405</v>
      </c>
      <c r="G128" s="459">
        <f>G94*Group_2_rates!I90</f>
        <v>376.07670005193108</v>
      </c>
      <c r="H128" s="459">
        <f>H94*Group_2_rates!J90</f>
        <v>379.26297383853563</v>
      </c>
      <c r="I128" s="459">
        <f>I94*Group_2_rates!K90</f>
        <v>383.07847591859337</v>
      </c>
      <c r="J128" s="459">
        <f>J94*Group_2_rates!L90</f>
        <v>387.36862233999784</v>
      </c>
      <c r="K128" s="459">
        <f>K94*Group_2_rates!M90</f>
        <v>390.32842043098788</v>
      </c>
      <c r="L128" s="459">
        <f>L94*Group_2_rates!N90</f>
        <v>389.42780924553074</v>
      </c>
      <c r="M128" s="459">
        <f>M94*Group_2_rates!O90</f>
        <v>388.15417969377552</v>
      </c>
      <c r="N128" s="459">
        <f>N94*Group_2_rates!P90</f>
        <v>386.07311188070196</v>
      </c>
    </row>
    <row r="129" spans="1:14">
      <c r="B129" s="338" t="str">
        <f t="shared" si="52"/>
        <v>30-34</v>
      </c>
      <c r="C129" s="459">
        <f>C95*Group_2_rates!E91</f>
        <v>401.8509558864709</v>
      </c>
      <c r="D129" s="459">
        <f>D95*Group_2_rates!F91</f>
        <v>400.18071486583449</v>
      </c>
      <c r="E129" s="459">
        <f>E95*Group_2_rates!G91</f>
        <v>395.193925383372</v>
      </c>
      <c r="F129" s="459">
        <f>F95*Group_2_rates!H91</f>
        <v>391.87789557857002</v>
      </c>
      <c r="G129" s="459">
        <f>G95*Group_2_rates!I91</f>
        <v>389.76288445297178</v>
      </c>
      <c r="H129" s="459">
        <f>H95*Group_2_rates!J91</f>
        <v>387.91182076136403</v>
      </c>
      <c r="I129" s="459">
        <f>I95*Group_2_rates!K91</f>
        <v>387.28220504344637</v>
      </c>
      <c r="J129" s="459">
        <f>J95*Group_2_rates!L91</f>
        <v>387.82046702067987</v>
      </c>
      <c r="K129" s="459">
        <f>K95*Group_2_rates!M91</f>
        <v>388.44659788482545</v>
      </c>
      <c r="L129" s="459">
        <f>L95*Group_2_rates!N91</f>
        <v>387.47997681799484</v>
      </c>
      <c r="M129" s="459">
        <f>M95*Group_2_rates!O91</f>
        <v>386.38531114605371</v>
      </c>
      <c r="N129" s="459">
        <f>N95*Group_2_rates!P91</f>
        <v>384.83871904659696</v>
      </c>
    </row>
    <row r="130" spans="1:14">
      <c r="B130" s="338" t="str">
        <f t="shared" si="52"/>
        <v>35-39</v>
      </c>
      <c r="C130" s="459">
        <f>C96*Group_2_rates!E92</f>
        <v>311.22121579595336</v>
      </c>
      <c r="D130" s="459">
        <f>D96*Group_2_rates!F92</f>
        <v>317.59594801210255</v>
      </c>
      <c r="E130" s="459">
        <f>E96*Group_2_rates!G92</f>
        <v>320.8375450890685</v>
      </c>
      <c r="F130" s="459">
        <f>F96*Group_2_rates!H92</f>
        <v>323.10001432089751</v>
      </c>
      <c r="G130" s="459">
        <f>G96*Group_2_rates!I92</f>
        <v>324.22597098794091</v>
      </c>
      <c r="H130" s="459">
        <f>H96*Group_2_rates!J92</f>
        <v>324.14943500177503</v>
      </c>
      <c r="I130" s="459">
        <f>I96*Group_2_rates!K92</f>
        <v>323.90050840051339</v>
      </c>
      <c r="J130" s="459">
        <f>J96*Group_2_rates!L92</f>
        <v>323.81918638751307</v>
      </c>
      <c r="K130" s="459">
        <f>K96*Group_2_rates!M92</f>
        <v>323.57393369285444</v>
      </c>
      <c r="L130" s="459">
        <f>L96*Group_2_rates!N92</f>
        <v>322.41314310343375</v>
      </c>
      <c r="M130" s="459">
        <f>M96*Group_2_rates!O92</f>
        <v>321.26937235955035</v>
      </c>
      <c r="N130" s="459">
        <f>N96*Group_2_rates!P92</f>
        <v>319.9503141232401</v>
      </c>
    </row>
    <row r="131" spans="1:14">
      <c r="B131" s="338" t="str">
        <f t="shared" si="52"/>
        <v>40-44</v>
      </c>
      <c r="C131" s="459">
        <f>C97*Group_2_rates!E93</f>
        <v>240.98146983609931</v>
      </c>
      <c r="D131" s="459">
        <f>D97*Group_2_rates!F93</f>
        <v>250.00017329323668</v>
      </c>
      <c r="E131" s="459">
        <f>E97*Group_2_rates!G93</f>
        <v>256.85012311085052</v>
      </c>
      <c r="F131" s="459">
        <f>F97*Group_2_rates!H93</f>
        <v>262.98322653349152</v>
      </c>
      <c r="G131" s="459">
        <f>G97*Group_2_rates!I93</f>
        <v>267.89637750419394</v>
      </c>
      <c r="H131" s="459">
        <f>H97*Group_2_rates!J93</f>
        <v>271.28634301791863</v>
      </c>
      <c r="I131" s="459">
        <f>I97*Group_2_rates!K93</f>
        <v>273.85834969856751</v>
      </c>
      <c r="J131" s="459">
        <f>J97*Group_2_rates!L93</f>
        <v>275.87240083202357</v>
      </c>
      <c r="K131" s="459">
        <f>K97*Group_2_rates!M93</f>
        <v>277.139766673049</v>
      </c>
      <c r="L131" s="459">
        <f>L97*Group_2_rates!N93</f>
        <v>277.20755775707067</v>
      </c>
      <c r="M131" s="459">
        <f>M97*Group_2_rates!O93</f>
        <v>276.95593373367262</v>
      </c>
      <c r="N131" s="459">
        <f>N97*Group_2_rates!P93</f>
        <v>276.34287181854944</v>
      </c>
    </row>
    <row r="132" spans="1:14">
      <c r="B132" s="338" t="str">
        <f t="shared" si="52"/>
        <v>45-49</v>
      </c>
      <c r="C132" s="459">
        <f>C98*Group_2_rates!E94</f>
        <v>207.29365210852259</v>
      </c>
      <c r="D132" s="459">
        <f>D98*Group_2_rates!F94</f>
        <v>217.87355401236078</v>
      </c>
      <c r="E132" s="459">
        <f>E98*Group_2_rates!G94</f>
        <v>226.65611731545263</v>
      </c>
      <c r="F132" s="459">
        <f>F98*Group_2_rates!H94</f>
        <v>234.94741121372402</v>
      </c>
      <c r="G132" s="459">
        <f>G98*Group_2_rates!I94</f>
        <v>242.26519069206259</v>
      </c>
      <c r="H132" s="459">
        <f>H98*Group_2_rates!J94</f>
        <v>248.23904085512558</v>
      </c>
      <c r="I132" s="459">
        <f>I98*Group_2_rates!K94</f>
        <v>253.37593687471866</v>
      </c>
      <c r="J132" s="459">
        <f>J98*Group_2_rates!L94</f>
        <v>257.80117052728917</v>
      </c>
      <c r="K132" s="459">
        <f>K98*Group_2_rates!M94</f>
        <v>261.26764840151861</v>
      </c>
      <c r="L132" s="459">
        <f>L98*Group_2_rates!N94</f>
        <v>263.32633381979122</v>
      </c>
      <c r="M132" s="459">
        <f>M98*Group_2_rates!O94</f>
        <v>264.75512508473741</v>
      </c>
      <c r="N132" s="459">
        <f>N98*Group_2_rates!P94</f>
        <v>265.54294335379745</v>
      </c>
    </row>
    <row r="133" spans="1:14">
      <c r="B133" s="338" t="str">
        <f t="shared" si="52"/>
        <v>50-54</v>
      </c>
      <c r="C133" s="459">
        <f>C99*Group_2_rates!E95</f>
        <v>170.53469317947125</v>
      </c>
      <c r="D133" s="459">
        <f>D99*Group_2_rates!F95</f>
        <v>171.94567425798883</v>
      </c>
      <c r="E133" s="459">
        <f>E99*Group_2_rates!G95</f>
        <v>174.27448925165962</v>
      </c>
      <c r="F133" s="459">
        <f>F99*Group_2_rates!H95</f>
        <v>177.86803909369138</v>
      </c>
      <c r="G133" s="459">
        <f>G99*Group_2_rates!I95</f>
        <v>181.93298719690893</v>
      </c>
      <c r="H133" s="459">
        <f>H99*Group_2_rates!J95</f>
        <v>185.87750250588294</v>
      </c>
      <c r="I133" s="459">
        <f>I99*Group_2_rates!K95</f>
        <v>189.83002041660603</v>
      </c>
      <c r="J133" s="459">
        <f>J99*Group_2_rates!L95</f>
        <v>193.68708345675907</v>
      </c>
      <c r="K133" s="459">
        <f>K99*Group_2_rates!M95</f>
        <v>197.10879067678917</v>
      </c>
      <c r="L133" s="459">
        <f>L99*Group_2_rates!N95</f>
        <v>199.63826058933608</v>
      </c>
      <c r="M133" s="459">
        <f>M99*Group_2_rates!O95</f>
        <v>201.75063035018934</v>
      </c>
      <c r="N133" s="459">
        <f>N99*Group_2_rates!P95</f>
        <v>203.36654345052094</v>
      </c>
    </row>
    <row r="134" spans="1:14">
      <c r="B134" s="338" t="str">
        <f t="shared" si="52"/>
        <v>55-59</v>
      </c>
      <c r="C134" s="459">
        <f>C100*Group_2_rates!E96</f>
        <v>84.72669183713657</v>
      </c>
      <c r="D134" s="459">
        <f>D100*Group_2_rates!F96</f>
        <v>75.367041324978103</v>
      </c>
      <c r="E134" s="459">
        <f>E100*Group_2_rates!G96</f>
        <v>69.627299791135684</v>
      </c>
      <c r="F134" s="459">
        <f>F100*Group_2_rates!H96</f>
        <v>66.572671161629543</v>
      </c>
      <c r="G134" s="459">
        <f>G100*Group_2_rates!I96</f>
        <v>65.128554597392906</v>
      </c>
      <c r="H134" s="459">
        <f>H100*Group_2_rates!J96</f>
        <v>64.586242907340008</v>
      </c>
      <c r="I134" s="459">
        <f>I100*Group_2_rates!K96</f>
        <v>64.719113016933591</v>
      </c>
      <c r="J134" s="459">
        <f>J100*Group_2_rates!L96</f>
        <v>65.281363748815053</v>
      </c>
      <c r="K134" s="459">
        <f>K100*Group_2_rates!M96</f>
        <v>65.989219987958521</v>
      </c>
      <c r="L134" s="459">
        <f>L100*Group_2_rates!N96</f>
        <v>66.561175886413949</v>
      </c>
      <c r="M134" s="459">
        <f>M100*Group_2_rates!O96</f>
        <v>67.156823564117062</v>
      </c>
      <c r="N134" s="459">
        <f>N100*Group_2_rates!P96</f>
        <v>67.684217793090951</v>
      </c>
    </row>
    <row r="135" spans="1:14">
      <c r="B135" s="338" t="str">
        <f t="shared" si="52"/>
        <v>60-64</v>
      </c>
      <c r="C135" s="459">
        <f>C101*Group_2_rates!E97</f>
        <v>14.812062444899118</v>
      </c>
      <c r="D135" s="459">
        <f>D101*Group_2_rates!F97</f>
        <v>13.633996716850655</v>
      </c>
      <c r="E135" s="459">
        <f>E101*Group_2_rates!G97</f>
        <v>12.418717230159569</v>
      </c>
      <c r="F135" s="459">
        <f>F101*Group_2_rates!H97</f>
        <v>11.517886353944135</v>
      </c>
      <c r="G135" s="459">
        <f>G101*Group_2_rates!I97</f>
        <v>10.902831774929213</v>
      </c>
      <c r="H135" s="459">
        <f>H101*Group_2_rates!J97</f>
        <v>10.496302655836777</v>
      </c>
      <c r="I135" s="459">
        <f>I101*Group_2_rates!K97</f>
        <v>10.278919407847367</v>
      </c>
      <c r="J135" s="459">
        <f>J101*Group_2_rates!L97</f>
        <v>10.197881980855991</v>
      </c>
      <c r="K135" s="459">
        <f>K101*Group_2_rates!M97</f>
        <v>10.18358989419648</v>
      </c>
      <c r="L135" s="459">
        <f>L101*Group_2_rates!N97</f>
        <v>10.168307380374127</v>
      </c>
      <c r="M135" s="459">
        <f>M101*Group_2_rates!O97</f>
        <v>10.191776012627351</v>
      </c>
      <c r="N135" s="459">
        <f>N101*Group_2_rates!P97</f>
        <v>10.226099495097316</v>
      </c>
    </row>
    <row r="136" spans="1:14">
      <c r="B136" s="338" t="str">
        <f t="shared" si="52"/>
        <v>65 plus</v>
      </c>
      <c r="C136" s="459">
        <f>C102*Group_2_rates!E98</f>
        <v>5.3515097618639142</v>
      </c>
      <c r="D136" s="459">
        <f>D102*Group_2_rates!F98</f>
        <v>6.1447882169803005</v>
      </c>
      <c r="E136" s="459">
        <f>E102*Group_2_rates!G98</f>
        <v>6.2860609743103177</v>
      </c>
      <c r="F136" s="459">
        <f>F102*Group_2_rates!H98</f>
        <v>6.1529283309311147</v>
      </c>
      <c r="G136" s="459">
        <f>G102*Group_2_rates!I98</f>
        <v>5.9205744173966419</v>
      </c>
      <c r="H136" s="459">
        <f>H102*Group_2_rates!J98</f>
        <v>5.6745501359164656</v>
      </c>
      <c r="I136" s="459">
        <f>I102*Group_2_rates!K98</f>
        <v>5.4805296236387155</v>
      </c>
      <c r="J136" s="459">
        <f>J102*Group_2_rates!L98</f>
        <v>5.350225850646452</v>
      </c>
      <c r="K136" s="459">
        <f>K102*Group_2_rates!M98</f>
        <v>5.2622851679552678</v>
      </c>
      <c r="L136" s="459">
        <f>L102*Group_2_rates!N98</f>
        <v>5.1830488514494046</v>
      </c>
      <c r="M136" s="459">
        <f>M102*Group_2_rates!O98</f>
        <v>5.1366986246059909</v>
      </c>
      <c r="N136" s="459">
        <f>N102*Group_2_rates!P98</f>
        <v>5.1087317406231767</v>
      </c>
    </row>
    <row r="137" spans="1:14">
      <c r="B137" s="338" t="str">
        <f t="shared" si="52"/>
        <v>Total</v>
      </c>
      <c r="C137" s="459">
        <f>SUM(C127:C136)</f>
        <v>1933.8876191989812</v>
      </c>
      <c r="D137" s="459">
        <f t="shared" ref="D137:N137" si="54">SUM(D127:D136)</f>
        <v>1973.4943483038635</v>
      </c>
      <c r="E137" s="459">
        <f t="shared" si="54"/>
        <v>1998.5837698040789</v>
      </c>
      <c r="F137" s="459">
        <f t="shared" si="54"/>
        <v>2030.1250911914856</v>
      </c>
      <c r="G137" s="459">
        <f t="shared" si="54"/>
        <v>2059.2874976271755</v>
      </c>
      <c r="H137" s="459">
        <f t="shared" si="54"/>
        <v>2079.7686899218393</v>
      </c>
      <c r="I137" s="459">
        <f t="shared" si="54"/>
        <v>2099.443970003686</v>
      </c>
      <c r="J137" s="459">
        <f t="shared" si="54"/>
        <v>2119.2014801052683</v>
      </c>
      <c r="K137" s="459">
        <f t="shared" si="54"/>
        <v>2133.7078175013394</v>
      </c>
      <c r="L137" s="459">
        <f t="shared" si="54"/>
        <v>2134.6822551662967</v>
      </c>
      <c r="M137" s="459">
        <f t="shared" si="54"/>
        <v>2133.8628191698472</v>
      </c>
      <c r="N137" s="459">
        <f t="shared" si="54"/>
        <v>2129.6016468819998</v>
      </c>
    </row>
    <row r="138" spans="1:14">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4" ht="15.75">
      <c r="B140" s="340" t="s">
        <v>152</v>
      </c>
      <c r="H140" s="325"/>
    </row>
    <row r="141" spans="1:14">
      <c r="H141" s="325"/>
    </row>
    <row r="142" spans="1:14">
      <c r="B142" s="341" t="s">
        <v>49</v>
      </c>
      <c r="H142" s="325"/>
    </row>
    <row r="143" spans="1:14">
      <c r="H143" s="325"/>
    </row>
    <row r="144" spans="1:14">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0.42075694400018226</v>
      </c>
      <c r="D148" s="459">
        <f>D80*Calc_SEC_retirement_rates!$G127</f>
        <v>0.4295111958946588</v>
      </c>
      <c r="E148" s="459">
        <f>E80*Calc_SEC_retirement_rates!$G127</f>
        <v>0.43432405932991025</v>
      </c>
      <c r="F148" s="459">
        <f>F80*Calc_SEC_retirement_rates!$G127</f>
        <v>0.43812865830757375</v>
      </c>
      <c r="G148" s="459">
        <f>G80*Calc_SEC_retirement_rates!$G127</f>
        <v>0.44078129618741813</v>
      </c>
      <c r="H148" s="459">
        <f>H80*Calc_SEC_retirement_rates!$G127</f>
        <v>0.44215801039838332</v>
      </c>
      <c r="I148" s="459">
        <f>I80*Calc_SEC_retirement_rates!$G127</f>
        <v>0.44349706132097766</v>
      </c>
      <c r="J148" s="459">
        <f>J80*Calc_SEC_retirement_rates!$G127</f>
        <v>0.44515852485420138</v>
      </c>
      <c r="K148" s="459">
        <f>K80*Calc_SEC_retirement_rates!$G127</f>
        <v>0.44664621500939611</v>
      </c>
      <c r="L148" s="459">
        <f>L80*Calc_SEC_retirement_rates!$G127</f>
        <v>0.44692117084942279</v>
      </c>
      <c r="M148" s="459">
        <f>M80*Calc_SEC_retirement_rates!$G127</f>
        <v>0.44710725220169362</v>
      </c>
      <c r="N148" s="459">
        <f>N80*Calc_SEC_retirement_rates!$G127</f>
        <v>0.44692144456485478</v>
      </c>
    </row>
    <row r="149" spans="1:14">
      <c r="B149" s="338" t="str">
        <f t="shared" si="56"/>
        <v>40-44</v>
      </c>
      <c r="C149" s="459">
        <f>C81*Calc_SEC_retirement_rates!$G128</f>
        <v>0.47834449421217135</v>
      </c>
      <c r="D149" s="459">
        <f>D81*Calc_SEC_retirement_rates!$G128</f>
        <v>0.4921469060112143</v>
      </c>
      <c r="E149" s="459">
        <f>E81*Calc_SEC_retirement_rates!$G128</f>
        <v>0.50295427339057697</v>
      </c>
      <c r="F149" s="459">
        <f>F81*Calc_SEC_retirement_rates!$G128</f>
        <v>0.51310703839915306</v>
      </c>
      <c r="G149" s="459">
        <f>G81*Calc_SEC_retirement_rates!$G128</f>
        <v>0.52159545998152834</v>
      </c>
      <c r="H149" s="459">
        <f>H81*Calc_SEC_retirement_rates!$G128</f>
        <v>0.5278007525065963</v>
      </c>
      <c r="I149" s="459">
        <f>I81*Calc_SEC_retirement_rates!$G128</f>
        <v>0.53290734782065308</v>
      </c>
      <c r="J149" s="459">
        <f>J81*Calc_SEC_retirement_rates!$G128</f>
        <v>0.53731953506045693</v>
      </c>
      <c r="K149" s="459">
        <f>K81*Calc_SEC_retirement_rates!$G128</f>
        <v>0.54064385832115203</v>
      </c>
      <c r="L149" s="459">
        <f>L81*Calc_SEC_retirement_rates!$G128</f>
        <v>0.54200919480005938</v>
      </c>
      <c r="M149" s="459">
        <f>M81*Calc_SEC_retirement_rates!$G128</f>
        <v>0.54290851160394005</v>
      </c>
      <c r="N149" s="459">
        <f>N81*Calc_SEC_retirement_rates!$G128</f>
        <v>0.54320988775942647</v>
      </c>
    </row>
    <row r="150" spans="1:14">
      <c r="B150" s="338" t="str">
        <f t="shared" si="56"/>
        <v>45-49</v>
      </c>
      <c r="C150" s="459">
        <f>C82*Calc_SEC_retirement_rates!$G129</f>
        <v>0.94990149340454766</v>
      </c>
      <c r="D150" s="459">
        <f>D82*Calc_SEC_retirement_rates!$G129</f>
        <v>0.98996455566189778</v>
      </c>
      <c r="E150" s="459">
        <f>E82*Calc_SEC_retirement_rates!$G129</f>
        <v>1.022740327345544</v>
      </c>
      <c r="F150" s="459">
        <f>F82*Calc_SEC_retirement_rates!$G129</f>
        <v>1.0537938258410677</v>
      </c>
      <c r="G150" s="459">
        <f>G82*Calc_SEC_retirement_rates!$G129</f>
        <v>1.0814098532605598</v>
      </c>
      <c r="H150" s="459">
        <f>H82*Calc_SEC_retirement_rates!$G129</f>
        <v>1.1041954031111734</v>
      </c>
      <c r="I150" s="459">
        <f>I82*Calc_SEC_retirement_rates!$G129</f>
        <v>1.1241809706926214</v>
      </c>
      <c r="J150" s="459">
        <f>J82*Calc_SEC_retirement_rates!$G129</f>
        <v>1.1418611554756533</v>
      </c>
      <c r="K150" s="459">
        <f>K82*Calc_SEC_retirement_rates!$G129</f>
        <v>1.1562274481923551</v>
      </c>
      <c r="L150" s="459">
        <f>L82*Calc_SEC_retirement_rates!$G129</f>
        <v>1.1654388243124545</v>
      </c>
      <c r="M150" s="459">
        <f>M82*Calc_SEC_retirement_rates!$G129</f>
        <v>1.1725078819099151</v>
      </c>
      <c r="N150" s="459">
        <f>N82*Calc_SEC_retirement_rates!$G129</f>
        <v>1.1773222534899312</v>
      </c>
    </row>
    <row r="151" spans="1:14">
      <c r="B151" s="338" t="str">
        <f t="shared" si="56"/>
        <v>50-54</v>
      </c>
      <c r="C151" s="459">
        <f>C83*Calc_SEC_retirement_rates!$G130</f>
        <v>15.914813476469984</v>
      </c>
      <c r="D151" s="459">
        <f>D83*Calc_SEC_retirement_rates!$G130</f>
        <v>16.475606686973464</v>
      </c>
      <c r="E151" s="459">
        <f>E83*Calc_SEC_retirement_rates!$G130</f>
        <v>16.989982067939138</v>
      </c>
      <c r="F151" s="459">
        <f>F83*Calc_SEC_retirement_rates!$G130</f>
        <v>17.525360174266698</v>
      </c>
      <c r="G151" s="459">
        <f>G83*Calc_SEC_retirement_rates!$G130</f>
        <v>18.037437085727888</v>
      </c>
      <c r="H151" s="459">
        <f>H83*Calc_SEC_retirement_rates!$G130</f>
        <v>18.493041802652971</v>
      </c>
      <c r="I151" s="459">
        <f>I83*Calc_SEC_retirement_rates!$G130</f>
        <v>18.918664148846137</v>
      </c>
      <c r="J151" s="459">
        <f>J83*Calc_SEC_retirement_rates!$G130</f>
        <v>19.315720642765257</v>
      </c>
      <c r="K151" s="459">
        <f>K83*Calc_SEC_retirement_rates!$G130</f>
        <v>19.661146654845037</v>
      </c>
      <c r="L151" s="459">
        <f>L83*Calc_SEC_retirement_rates!$G130</f>
        <v>19.918918709985309</v>
      </c>
      <c r="M151" s="459">
        <f>M83*Calc_SEC_retirement_rates!$G130</f>
        <v>20.135567895669244</v>
      </c>
      <c r="N151" s="459">
        <f>N83*Calc_SEC_retirement_rates!$G130</f>
        <v>20.306232626381075</v>
      </c>
    </row>
    <row r="152" spans="1:14">
      <c r="B152" s="338" t="str">
        <f t="shared" si="56"/>
        <v>55-59</v>
      </c>
      <c r="C152" s="459">
        <f>C84*Calc_SEC_retirement_rates!$G131</f>
        <v>84.838475262885893</v>
      </c>
      <c r="D152" s="459">
        <f>D84*Calc_SEC_retirement_rates!$G131</f>
        <v>77.061414110464</v>
      </c>
      <c r="E152" s="459">
        <f>E84*Calc_SEC_retirement_rates!$G131</f>
        <v>72.947612389704219</v>
      </c>
      <c r="F152" s="459">
        <f>F84*Calc_SEC_retirement_rates!$G131</f>
        <v>71.367367309966212</v>
      </c>
      <c r="G152" s="459">
        <f>G84*Calc_SEC_retirement_rates!$G131</f>
        <v>71.147553459747655</v>
      </c>
      <c r="H152" s="459">
        <f>H84*Calc_SEC_retirement_rates!$G131</f>
        <v>71.566951290387706</v>
      </c>
      <c r="I152" s="459">
        <f>I84*Calc_SEC_retirement_rates!$G131</f>
        <v>72.445379128249328</v>
      </c>
      <c r="J152" s="459">
        <f>J84*Calc_SEC_retirement_rates!$G131</f>
        <v>73.577824273334969</v>
      </c>
      <c r="K152" s="459">
        <f>K84*Calc_SEC_retirement_rates!$G131</f>
        <v>74.710476083771525</v>
      </c>
      <c r="L152" s="459">
        <f>L84*Calc_SEC_retirement_rates!$G131</f>
        <v>75.583955549914833</v>
      </c>
      <c r="M152" s="459">
        <f>M84*Calc_SEC_retirement_rates!$G131</f>
        <v>76.410082635188544</v>
      </c>
      <c r="N152" s="459">
        <f>N84*Calc_SEC_retirement_rates!$G131</f>
        <v>77.114105849206808</v>
      </c>
    </row>
    <row r="153" spans="1:14">
      <c r="B153" s="338" t="str">
        <f t="shared" si="56"/>
        <v>60-64</v>
      </c>
      <c r="C153" s="459">
        <f>C85*Calc_SEC_retirement_rates!$G132</f>
        <v>73.039523441727553</v>
      </c>
      <c r="D153" s="459">
        <f>D85*Calc_SEC_retirement_rates!$G132</f>
        <v>63.332372446888975</v>
      </c>
      <c r="E153" s="459">
        <f>E85*Calc_SEC_retirement_rates!$G132</f>
        <v>56.325037573636884</v>
      </c>
      <c r="F153" s="459">
        <f>F85*Calc_SEC_retirement_rates!$G132</f>
        <v>52.01122915730587</v>
      </c>
      <c r="G153" s="459">
        <f>G85*Calc_SEC_retirement_rates!$G132</f>
        <v>49.510464065654865</v>
      </c>
      <c r="H153" s="459">
        <f>H85*Calc_SEC_retirement_rates!$G132</f>
        <v>48.116349199988676</v>
      </c>
      <c r="I153" s="459">
        <f>I85*Calc_SEC_retirement_rates!$G132</f>
        <v>47.577862523024805</v>
      </c>
      <c r="J153" s="459">
        <f>J85*Calc_SEC_retirement_rates!$G132</f>
        <v>47.59622401417132</v>
      </c>
      <c r="K153" s="459">
        <f>K85*Calc_SEC_retirement_rates!$G132</f>
        <v>47.842314453492868</v>
      </c>
      <c r="L153" s="459">
        <f>L85*Calc_SEC_retirement_rates!$G132</f>
        <v>48.013607387526108</v>
      </c>
      <c r="M153" s="459">
        <f>M85*Calc_SEC_retirement_rates!$G132</f>
        <v>48.295819189343888</v>
      </c>
      <c r="N153" s="459">
        <f>N85*Calc_SEC_retirement_rates!$G132</f>
        <v>48.580835166462386</v>
      </c>
    </row>
    <row r="154" spans="1:14">
      <c r="B154" s="338" t="str">
        <f t="shared" si="56"/>
        <v>65 plus</v>
      </c>
      <c r="C154" s="459">
        <f>C86*Calc_SEC_retirement_rates!$G133</f>
        <v>23.296980750810423</v>
      </c>
      <c r="D154" s="459">
        <f>D86*Calc_SEC_retirement_rates!$G133</f>
        <v>25.052162875154604</v>
      </c>
      <c r="E154" s="459">
        <f>E86*Calc_SEC_retirement_rates!$G133</f>
        <v>24.537494514227372</v>
      </c>
      <c r="F154" s="459">
        <f>F86*Calc_SEC_retirement_rates!$G133</f>
        <v>23.357467708595319</v>
      </c>
      <c r="G154" s="459">
        <f>G86*Calc_SEC_retirement_rates!$G133</f>
        <v>22.125768560231286</v>
      </c>
      <c r="H154" s="459">
        <f>H86*Calc_SEC_retirement_rates!$G133</f>
        <v>21.062532715935113</v>
      </c>
      <c r="I154" s="459">
        <f>I86*Calc_SEC_retirement_rates!$G133</f>
        <v>20.308286081083146</v>
      </c>
      <c r="J154" s="459">
        <f>J86*Calc_SEC_retirement_rates!$G133</f>
        <v>19.848180036122706</v>
      </c>
      <c r="K154" s="459">
        <f>K86*Calc_SEC_retirement_rates!$G133</f>
        <v>19.576946424250409</v>
      </c>
      <c r="L154" s="459">
        <f>L86*Calc_SEC_retirement_rates!$G133</f>
        <v>19.359684233599083</v>
      </c>
      <c r="M154" s="459">
        <f>M86*Calc_SEC_retirement_rates!$G133</f>
        <v>19.253268031279134</v>
      </c>
      <c r="N154" s="459">
        <f>N86*Calc_SEC_retirement_rates!$G133</f>
        <v>19.205420576407597</v>
      </c>
    </row>
    <row r="155" spans="1:14">
      <c r="B155" s="338" t="str">
        <f t="shared" si="56"/>
        <v>Total</v>
      </c>
      <c r="C155" s="459">
        <f>SUM(C145:C154)</f>
        <v>198.93879586351076</v>
      </c>
      <c r="D155" s="459">
        <f t="shared" ref="D155:N155" si="58">SUM(D145:D154)</f>
        <v>183.83317877704883</v>
      </c>
      <c r="E155" s="459">
        <f t="shared" si="58"/>
        <v>172.76014520557365</v>
      </c>
      <c r="F155" s="459">
        <f t="shared" si="58"/>
        <v>166.26645387268189</v>
      </c>
      <c r="G155" s="459">
        <f t="shared" si="58"/>
        <v>162.86500978079118</v>
      </c>
      <c r="H155" s="459">
        <f t="shared" si="58"/>
        <v>161.31302917498061</v>
      </c>
      <c r="I155" s="459">
        <f t="shared" si="58"/>
        <v>161.35077726103768</v>
      </c>
      <c r="J155" s="459">
        <f t="shared" si="58"/>
        <v>162.46228818178454</v>
      </c>
      <c r="K155" s="459">
        <f t="shared" si="58"/>
        <v>163.93440113788273</v>
      </c>
      <c r="L155" s="459">
        <f t="shared" si="58"/>
        <v>165.03053507098724</v>
      </c>
      <c r="M155" s="459">
        <f t="shared" si="58"/>
        <v>166.25726139719634</v>
      </c>
      <c r="N155" s="459">
        <f t="shared" si="58"/>
        <v>167.37404780427207</v>
      </c>
    </row>
    <row r="156" spans="1:14">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0.52582001245117982</v>
      </c>
      <c r="D163" s="459">
        <f>D95*Calc_SEC_retirement_rates!$G142</f>
        <v>0.52363451023598639</v>
      </c>
      <c r="E163" s="459">
        <f>E95*Calc_SEC_retirement_rates!$G142</f>
        <v>0.51710932056217951</v>
      </c>
      <c r="F163" s="459">
        <f>F95*Calc_SEC_retirement_rates!$G142</f>
        <v>0.5127703117637481</v>
      </c>
      <c r="G163" s="459">
        <f>G95*Calc_SEC_retirement_rates!$G142</f>
        <v>0.51000283003922875</v>
      </c>
      <c r="H163" s="459">
        <f>H95*Calc_SEC_retirement_rates!$G142</f>
        <v>0.50758072224251594</v>
      </c>
      <c r="I163" s="459">
        <f>I95*Calc_SEC_retirement_rates!$G142</f>
        <v>0.50675687315173901</v>
      </c>
      <c r="J163" s="459">
        <f>J95*Calc_SEC_retirement_rates!$G142</f>
        <v>0.50746118631915837</v>
      </c>
      <c r="K163" s="459">
        <f>K95*Calc_SEC_retirement_rates!$G142</f>
        <v>0.50828047549580047</v>
      </c>
      <c r="L163" s="459">
        <f>L95*Calc_SEC_retirement_rates!$G142</f>
        <v>0.5070156565524806</v>
      </c>
      <c r="M163" s="459">
        <f>M95*Calc_SEC_retirement_rates!$G142</f>
        <v>0.505583291868962</v>
      </c>
      <c r="N163" s="459">
        <f>N95*Calc_SEC_retirement_rates!$G142</f>
        <v>0.50355958366301967</v>
      </c>
    </row>
    <row r="164" spans="1:14">
      <c r="B164" s="338" t="str">
        <f t="shared" si="60"/>
        <v>35-39</v>
      </c>
      <c r="C164" s="459">
        <f>C96*Calc_SEC_retirement_rates!$G143</f>
        <v>1.3098528879583315</v>
      </c>
      <c r="D164" s="459">
        <f>D96*Calc_SEC_retirement_rates!$G143</f>
        <v>1.3366825543804257</v>
      </c>
      <c r="E164" s="459">
        <f>E96*Calc_SEC_retirement_rates!$G143</f>
        <v>1.3503256322856445</v>
      </c>
      <c r="F164" s="459">
        <f>F96*Calc_SEC_retirement_rates!$G143</f>
        <v>1.3598478039976496</v>
      </c>
      <c r="G164" s="459">
        <f>G96*Calc_SEC_retirement_rates!$G143</f>
        <v>1.364586676276234</v>
      </c>
      <c r="H164" s="459">
        <f>H96*Calc_SEC_retirement_rates!$G143</f>
        <v>1.3642645552978947</v>
      </c>
      <c r="I164" s="459">
        <f>I96*Calc_SEC_retirement_rates!$G143</f>
        <v>1.3632168849881496</v>
      </c>
      <c r="J164" s="459">
        <f>J96*Calc_SEC_retirement_rates!$G143</f>
        <v>1.3628746208102058</v>
      </c>
      <c r="K164" s="459">
        <f>K96*Calc_SEC_retirement_rates!$G143</f>
        <v>1.3618424130619116</v>
      </c>
      <c r="L164" s="459">
        <f>L96*Calc_SEC_retirement_rates!$G143</f>
        <v>1.3569569334458162</v>
      </c>
      <c r="M164" s="459">
        <f>M96*Calc_SEC_retirement_rates!$G143</f>
        <v>1.3521430861372183</v>
      </c>
      <c r="N164" s="459">
        <f>N96*Calc_SEC_retirement_rates!$G143</f>
        <v>1.3465914972591997</v>
      </c>
    </row>
    <row r="165" spans="1:14">
      <c r="B165" s="338" t="str">
        <f t="shared" si="60"/>
        <v>40-44</v>
      </c>
      <c r="C165" s="459">
        <f>C97*Calc_SEC_retirement_rates!$G144</f>
        <v>1.7660094816912233</v>
      </c>
      <c r="D165" s="459">
        <f>D97*Calc_SEC_retirement_rates!$G144</f>
        <v>1.8321021809709592</v>
      </c>
      <c r="E165" s="459">
        <f>E97*Calc_SEC_retirement_rates!$G144</f>
        <v>1.8823013781758011</v>
      </c>
      <c r="F165" s="459">
        <f>F97*Calc_SEC_retirement_rates!$G144</f>
        <v>1.927247235647513</v>
      </c>
      <c r="G165" s="459">
        <f>G97*Calc_SEC_retirement_rates!$G144</f>
        <v>1.9632527891248912</v>
      </c>
      <c r="H165" s="459">
        <f>H97*Calc_SEC_retirement_rates!$G144</f>
        <v>1.9880958247488165</v>
      </c>
      <c r="I165" s="459">
        <f>I97*Calc_SEC_retirement_rates!$G144</f>
        <v>2.0069445278797602</v>
      </c>
      <c r="J165" s="459">
        <f>J97*Calc_SEC_retirement_rates!$G144</f>
        <v>2.0217043075454479</v>
      </c>
      <c r="K165" s="459">
        <f>K97*Calc_SEC_retirement_rates!$G144</f>
        <v>2.0309920759931406</v>
      </c>
      <c r="L165" s="459">
        <f>L97*Calc_SEC_retirement_rates!$G144</f>
        <v>2.0314888764203185</v>
      </c>
      <c r="M165" s="459">
        <f>M97*Calc_SEC_retirement_rates!$G144</f>
        <v>2.0296448740103221</v>
      </c>
      <c r="N165" s="459">
        <f>N97*Calc_SEC_retirement_rates!$G144</f>
        <v>2.0251521088375153</v>
      </c>
    </row>
    <row r="166" spans="1:14">
      <c r="B166" s="338" t="str">
        <f t="shared" si="60"/>
        <v>45-49</v>
      </c>
      <c r="C166" s="459">
        <f>C98*Calc_SEC_retirement_rates!$G145</f>
        <v>2.8004314258607539</v>
      </c>
      <c r="D166" s="459">
        <f>D98*Calc_SEC_retirement_rates!$G145</f>
        <v>2.9433605000155256</v>
      </c>
      <c r="E166" s="459">
        <f>E98*Calc_SEC_retirement_rates!$G145</f>
        <v>3.062008447135073</v>
      </c>
      <c r="F166" s="459">
        <f>F98*Calc_SEC_retirement_rates!$G145</f>
        <v>3.1740195953665249</v>
      </c>
      <c r="G166" s="459">
        <f>G98*Calc_SEC_retirement_rates!$G145</f>
        <v>3.2728790607201947</v>
      </c>
      <c r="H166" s="459">
        <f>H98*Calc_SEC_retirement_rates!$G145</f>
        <v>3.3535827270402172</v>
      </c>
      <c r="I166" s="459">
        <f>I98*Calc_SEC_retirement_rates!$G145</f>
        <v>3.4229795701095669</v>
      </c>
      <c r="J166" s="459">
        <f>J98*Calc_SEC_retirement_rates!$G145</f>
        <v>3.4827622178722066</v>
      </c>
      <c r="K166" s="459">
        <f>K98*Calc_SEC_retirement_rates!$G145</f>
        <v>3.529592564471344</v>
      </c>
      <c r="L166" s="459">
        <f>L98*Calc_SEC_retirement_rates!$G145</f>
        <v>3.5574043536055027</v>
      </c>
      <c r="M166" s="459">
        <f>M98*Calc_SEC_retirement_rates!$G145</f>
        <v>3.5767065942609761</v>
      </c>
      <c r="N166" s="459">
        <f>N98*Calc_SEC_retirement_rates!$G145</f>
        <v>3.5873496169300347</v>
      </c>
    </row>
    <row r="167" spans="1:14">
      <c r="B167" s="338" t="str">
        <f t="shared" si="60"/>
        <v>50-54</v>
      </c>
      <c r="C167" s="459">
        <f>C99*Calc_SEC_retirement_rates!$G146</f>
        <v>50.211758898792731</v>
      </c>
      <c r="D167" s="459">
        <f>D99*Calc_SEC_retirement_rates!$G146</f>
        <v>50.627204227859721</v>
      </c>
      <c r="E167" s="459">
        <f>E99*Calc_SEC_retirement_rates!$G146</f>
        <v>51.312894012160847</v>
      </c>
      <c r="F167" s="459">
        <f>F99*Calc_SEC_retirement_rates!$G146</f>
        <v>52.370968793865238</v>
      </c>
      <c r="G167" s="459">
        <f>G99*Calc_SEC_retirement_rates!$G146</f>
        <v>53.567840763371521</v>
      </c>
      <c r="H167" s="459">
        <f>H99*Calc_SEC_retirement_rates!$G146</f>
        <v>54.729252837208961</v>
      </c>
      <c r="I167" s="459">
        <f>I99*Calc_SEC_retirement_rates!$G146</f>
        <v>55.893021174760804</v>
      </c>
      <c r="J167" s="459">
        <f>J99*Calc_SEC_retirement_rates!$G146</f>
        <v>57.028684046747735</v>
      </c>
      <c r="K167" s="459">
        <f>K99*Calc_SEC_retirement_rates!$G146</f>
        <v>58.036161966642879</v>
      </c>
      <c r="L167" s="459">
        <f>L99*Calc_SEC_retirement_rates!$G146</f>
        <v>58.780932024996297</v>
      </c>
      <c r="M167" s="459">
        <f>M99*Calc_SEC_retirement_rates!$G146</f>
        <v>59.40289227929739</v>
      </c>
      <c r="N167" s="459">
        <f>N99*Calc_SEC_retirement_rates!$G146</f>
        <v>59.87867722066332</v>
      </c>
    </row>
    <row r="168" spans="1:14">
      <c r="B168" s="338" t="str">
        <f t="shared" si="60"/>
        <v>55-59</v>
      </c>
      <c r="C168" s="459">
        <f>C100*Calc_SEC_retirement_rates!$G147</f>
        <v>326.74667738002779</v>
      </c>
      <c r="D168" s="459">
        <f>D100*Calc_SEC_retirement_rates!$G147</f>
        <v>290.65138509404244</v>
      </c>
      <c r="E168" s="459">
        <f>E100*Calc_SEC_retirement_rates!$G147</f>
        <v>268.51619446476388</v>
      </c>
      <c r="F168" s="459">
        <f>F100*Calc_SEC_retirement_rates!$G147</f>
        <v>256.73608439933628</v>
      </c>
      <c r="G168" s="459">
        <f>G100*Calc_SEC_retirement_rates!$G147</f>
        <v>251.16687971445606</v>
      </c>
      <c r="H168" s="459">
        <f>H100*Calc_SEC_retirement_rates!$G147</f>
        <v>249.0754662650823</v>
      </c>
      <c r="I168" s="459">
        <f>I100*Calc_SEC_retirement_rates!$G147</f>
        <v>249.58787700473772</v>
      </c>
      <c r="J168" s="459">
        <f>J100*Calc_SEC_retirement_rates!$G147</f>
        <v>251.75618494304237</v>
      </c>
      <c r="K168" s="459">
        <f>K100*Calc_SEC_retirement_rates!$G147</f>
        <v>254.4860174100935</v>
      </c>
      <c r="L168" s="459">
        <f>L100*Calc_SEC_retirement_rates!$G147</f>
        <v>256.69175311599656</v>
      </c>
      <c r="M168" s="459">
        <f>M100*Calc_SEC_retirement_rates!$G147</f>
        <v>258.98885566253216</v>
      </c>
      <c r="N168" s="459">
        <f>N100*Calc_SEC_retirement_rates!$G147</f>
        <v>261.02274024187892</v>
      </c>
    </row>
    <row r="169" spans="1:14">
      <c r="B169" s="338" t="str">
        <f t="shared" si="60"/>
        <v>60-64</v>
      </c>
      <c r="C169" s="459">
        <f>C101*Calc_SEC_retirement_rates!$G148</f>
        <v>270.42648873746168</v>
      </c>
      <c r="D169" s="459">
        <f>D101*Calc_SEC_retirement_rates!$G148</f>
        <v>248.91833080717984</v>
      </c>
      <c r="E169" s="459">
        <f>E101*Calc_SEC_retirement_rates!$G148</f>
        <v>226.73075459062727</v>
      </c>
      <c r="F169" s="459">
        <f>F101*Calc_SEC_retirement_rates!$G148</f>
        <v>210.28412322464061</v>
      </c>
      <c r="G169" s="459">
        <f>G101*Calc_SEC_retirement_rates!$G148</f>
        <v>199.0549611276241</v>
      </c>
      <c r="H169" s="459">
        <f>H101*Calc_SEC_retirement_rates!$G148</f>
        <v>191.63288586601459</v>
      </c>
      <c r="I169" s="459">
        <f>I101*Calc_SEC_retirement_rates!$G148</f>
        <v>187.6640808003591</v>
      </c>
      <c r="J169" s="459">
        <f>J101*Calc_SEC_retirement_rates!$G148</f>
        <v>186.18456591719419</v>
      </c>
      <c r="K169" s="459">
        <f>K101*Calc_SEC_retirement_rates!$G148</f>
        <v>185.92363271991388</v>
      </c>
      <c r="L169" s="459">
        <f>L101*Calc_SEC_retirement_rates!$G148</f>
        <v>185.64461711574432</v>
      </c>
      <c r="M169" s="459">
        <f>M101*Calc_SEC_retirement_rates!$G148</f>
        <v>186.07308815678397</v>
      </c>
      <c r="N169" s="459">
        <f>N101*Calc_SEC_retirement_rates!$G148</f>
        <v>186.69973815101153</v>
      </c>
    </row>
    <row r="170" spans="1:14">
      <c r="B170" s="338" t="str">
        <f t="shared" si="60"/>
        <v>65 plus</v>
      </c>
      <c r="C170" s="459">
        <f>C102*Calc_SEC_retirement_rates!$G149</f>
        <v>69.076269385619696</v>
      </c>
      <c r="D170" s="459">
        <f>D102*Calc_SEC_retirement_rates!$G149</f>
        <v>79.315756689543107</v>
      </c>
      <c r="E170" s="459">
        <f>E102*Calc_SEC_retirement_rates!$G149</f>
        <v>81.139278550928751</v>
      </c>
      <c r="F170" s="459">
        <f>F102*Calc_SEC_retirement_rates!$G149</f>
        <v>79.42082773100941</v>
      </c>
      <c r="G170" s="459">
        <f>G102*Calc_SEC_retirement_rates!$G149</f>
        <v>76.421647641964768</v>
      </c>
      <c r="H170" s="459">
        <f>H102*Calc_SEC_retirement_rates!$G149</f>
        <v>73.246013045530987</v>
      </c>
      <c r="I170" s="459">
        <f>I102*Calc_SEC_retirement_rates!$G149</f>
        <v>70.741633203427156</v>
      </c>
      <c r="J170" s="459">
        <f>J102*Calc_SEC_retirement_rates!$G149</f>
        <v>69.059696904007765</v>
      </c>
      <c r="K170" s="459">
        <f>K102*Calc_SEC_retirement_rates!$G149</f>
        <v>67.924575310692049</v>
      </c>
      <c r="L170" s="459">
        <f>L102*Calc_SEC_retirement_rates!$G149</f>
        <v>66.901808019284388</v>
      </c>
      <c r="M170" s="459">
        <f>M102*Calc_SEC_retirement_rates!$G149</f>
        <v>66.303528113614348</v>
      </c>
      <c r="N170" s="459">
        <f>N102*Calc_SEC_retirement_rates!$G149</f>
        <v>65.942536898454819</v>
      </c>
    </row>
    <row r="171" spans="1:14">
      <c r="B171" s="338" t="str">
        <f t="shared" si="60"/>
        <v>Total</v>
      </c>
      <c r="C171" s="459">
        <f>SUM(C161:C170)</f>
        <v>722.86330820986336</v>
      </c>
      <c r="D171" s="459">
        <f t="shared" ref="D171:N171" si="62">SUM(D161:D170)</f>
        <v>676.14845656422801</v>
      </c>
      <c r="E171" s="459">
        <f t="shared" si="62"/>
        <v>634.51086639663947</v>
      </c>
      <c r="F171" s="459">
        <f t="shared" si="62"/>
        <v>605.785889095627</v>
      </c>
      <c r="G171" s="459">
        <f t="shared" si="62"/>
        <v>587.32205060357694</v>
      </c>
      <c r="H171" s="459">
        <f t="shared" si="62"/>
        <v>575.89714184316631</v>
      </c>
      <c r="I171" s="459">
        <f t="shared" si="62"/>
        <v>571.18651003941397</v>
      </c>
      <c r="J171" s="459">
        <f t="shared" si="62"/>
        <v>571.403934143539</v>
      </c>
      <c r="K171" s="459">
        <f t="shared" si="62"/>
        <v>573.80109493636451</v>
      </c>
      <c r="L171" s="459">
        <f t="shared" si="62"/>
        <v>575.47197609604575</v>
      </c>
      <c r="M171" s="459">
        <f t="shared" si="62"/>
        <v>578.2324420585054</v>
      </c>
      <c r="N171" s="459">
        <f t="shared" si="62"/>
        <v>581.00634531869832</v>
      </c>
    </row>
    <row r="172" spans="1:14">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0.25583018476873176</v>
      </c>
      <c r="D181" s="459">
        <f>D79*Calc_SEC_death_rates!$G126</f>
        <v>0.25506893680414494</v>
      </c>
      <c r="E181" s="459">
        <f>E79*Calc_SEC_death_rates!$G126</f>
        <v>0.25293658634954963</v>
      </c>
      <c r="F181" s="459">
        <f>F79*Calc_SEC_death_rates!$G126</f>
        <v>0.25232838059437968</v>
      </c>
      <c r="G181" s="459">
        <f>G79*Calc_SEC_death_rates!$G126</f>
        <v>0.25269066169788462</v>
      </c>
      <c r="H181" s="459">
        <f>H79*Calc_SEC_death_rates!$G126</f>
        <v>0.25323331847495056</v>
      </c>
      <c r="I181" s="459">
        <f>I79*Calc_SEC_death_rates!$G126</f>
        <v>0.2544733137324956</v>
      </c>
      <c r="J181" s="459">
        <f>J79*Calc_SEC_death_rates!$G126</f>
        <v>0.25632315455480198</v>
      </c>
      <c r="K181" s="459">
        <f>K79*Calc_SEC_death_rates!$G126</f>
        <v>0.25805089851190144</v>
      </c>
      <c r="L181" s="459">
        <f>L79*Calc_SEC_death_rates!$G126</f>
        <v>0.25853971980275642</v>
      </c>
      <c r="M181" s="459">
        <f>M79*Calc_SEC_death_rates!$G126</f>
        <v>0.25874856804451224</v>
      </c>
      <c r="N181" s="459">
        <f>N79*Calc_SEC_death_rates!$G126</f>
        <v>0.25848585392778817</v>
      </c>
    </row>
    <row r="182" spans="1:14">
      <c r="B182" s="338" t="str">
        <f t="shared" si="64"/>
        <v>35-39</v>
      </c>
      <c r="C182" s="459">
        <f>C80*Calc_SEC_death_rates!$G127</f>
        <v>0.44462547334057506</v>
      </c>
      <c r="D182" s="459">
        <f>D80*Calc_SEC_death_rates!$G127</f>
        <v>0.45387633288746482</v>
      </c>
      <c r="E182" s="459">
        <f>E80*Calc_SEC_death_rates!$G127</f>
        <v>0.45896221848849084</v>
      </c>
      <c r="F182" s="459">
        <f>F80*Calc_SEC_death_rates!$G127</f>
        <v>0.4629826432145388</v>
      </c>
      <c r="G182" s="459">
        <f>G80*Calc_SEC_death_rates!$G127</f>
        <v>0.46578575886062645</v>
      </c>
      <c r="H182" s="459">
        <f>H80*Calc_SEC_death_rates!$G127</f>
        <v>0.46724057075721831</v>
      </c>
      <c r="I182" s="459">
        <f>I80*Calc_SEC_death_rates!$G127</f>
        <v>0.46865558281768566</v>
      </c>
      <c r="J182" s="459">
        <f>J80*Calc_SEC_death_rates!$G127</f>
        <v>0.47041129718064906</v>
      </c>
      <c r="K182" s="459">
        <f>K80*Calc_SEC_death_rates!$G127</f>
        <v>0.471983380419844</v>
      </c>
      <c r="L182" s="459">
        <f>L80*Calc_SEC_death_rates!$G127</f>
        <v>0.47227393384329402</v>
      </c>
      <c r="M182" s="459">
        <f>M80*Calc_SEC_death_rates!$G127</f>
        <v>0.47247057114307728</v>
      </c>
      <c r="N182" s="459">
        <f>N80*Calc_SEC_death_rates!$G127</f>
        <v>0.47227422308594408</v>
      </c>
    </row>
    <row r="183" spans="1:14">
      <c r="B183" s="338" t="str">
        <f t="shared" si="64"/>
        <v>40-44</v>
      </c>
      <c r="C183" s="459">
        <f>C81*Calc_SEC_death_rates!$G128</f>
        <v>0.71157569699722167</v>
      </c>
      <c r="D183" s="459">
        <f>D81*Calc_SEC_death_rates!$G128</f>
        <v>0.73210788857668696</v>
      </c>
      <c r="E183" s="459">
        <f>E81*Calc_SEC_death_rates!$G128</f>
        <v>0.74818471201403158</v>
      </c>
      <c r="F183" s="459">
        <f>F81*Calc_SEC_death_rates!$G128</f>
        <v>0.76328776206444593</v>
      </c>
      <c r="G183" s="459">
        <f>G81*Calc_SEC_death_rates!$G128</f>
        <v>0.775914968140755</v>
      </c>
      <c r="H183" s="459">
        <f>H81*Calc_SEC_death_rates!$G128</f>
        <v>0.78514583712121488</v>
      </c>
      <c r="I183" s="459">
        <f>I81*Calc_SEC_death_rates!$G128</f>
        <v>0.79274230611761753</v>
      </c>
      <c r="J183" s="459">
        <f>J81*Calc_SEC_death_rates!$G128</f>
        <v>0.79930578755920201</v>
      </c>
      <c r="K183" s="459">
        <f>K81*Calc_SEC_death_rates!$G128</f>
        <v>0.80425098431571362</v>
      </c>
      <c r="L183" s="459">
        <f>L81*Calc_SEC_death_rates!$G128</f>
        <v>0.80628203153872868</v>
      </c>
      <c r="M183" s="459">
        <f>M81*Calc_SEC_death_rates!$G128</f>
        <v>0.80761983721912367</v>
      </c>
      <c r="N183" s="459">
        <f>N81*Calc_SEC_death_rates!$G128</f>
        <v>0.80806815835690915</v>
      </c>
    </row>
    <row r="184" spans="1:14">
      <c r="B184" s="338" t="str">
        <f t="shared" si="64"/>
        <v>45-49</v>
      </c>
      <c r="C184" s="459">
        <f>C82*Calc_SEC_death_rates!$G129</f>
        <v>0.61351336817647384</v>
      </c>
      <c r="D184" s="459">
        <f>D82*Calc_SEC_death_rates!$G129</f>
        <v>0.639388918889502</v>
      </c>
      <c r="E184" s="459">
        <f>E82*Calc_SEC_death_rates!$G129</f>
        <v>0.66055782347575165</v>
      </c>
      <c r="F184" s="459">
        <f>F82*Calc_SEC_death_rates!$G129</f>
        <v>0.68061436258842156</v>
      </c>
      <c r="G184" s="459">
        <f>G82*Calc_SEC_death_rates!$G129</f>
        <v>0.69845074048173506</v>
      </c>
      <c r="H184" s="459">
        <f>H82*Calc_SEC_death_rates!$G129</f>
        <v>0.71316725533265912</v>
      </c>
      <c r="I184" s="459">
        <f>I82*Calc_SEC_death_rates!$G129</f>
        <v>0.72607534418918507</v>
      </c>
      <c r="J184" s="459">
        <f>J82*Calc_SEC_death_rates!$G129</f>
        <v>0.73749445426695071</v>
      </c>
      <c r="K184" s="459">
        <f>K82*Calc_SEC_death_rates!$G129</f>
        <v>0.74677321916418526</v>
      </c>
      <c r="L184" s="459">
        <f>L82*Calc_SEC_death_rates!$G129</f>
        <v>0.75272257541661902</v>
      </c>
      <c r="M184" s="459">
        <f>M82*Calc_SEC_death_rates!$G129</f>
        <v>0.75728827129831244</v>
      </c>
      <c r="N184" s="459">
        <f>N82*Calc_SEC_death_rates!$G129</f>
        <v>0.76039773195735672</v>
      </c>
    </row>
    <row r="185" spans="1:14">
      <c r="B185" s="338" t="str">
        <f t="shared" si="64"/>
        <v>50-54</v>
      </c>
      <c r="C185" s="459">
        <f>C83*Calc_SEC_death_rates!$G130</f>
        <v>0.9016235756375085</v>
      </c>
      <c r="D185" s="459">
        <f>D83*Calc_SEC_death_rates!$G130</f>
        <v>0.93339425145441013</v>
      </c>
      <c r="E185" s="459">
        <f>E83*Calc_SEC_death_rates!$G130</f>
        <v>0.96253521316859336</v>
      </c>
      <c r="F185" s="459">
        <f>F83*Calc_SEC_death_rates!$G130</f>
        <v>0.99286604445724014</v>
      </c>
      <c r="G185" s="459">
        <f>G83*Calc_SEC_death_rates!$G130</f>
        <v>1.0218767907406114</v>
      </c>
      <c r="H185" s="459">
        <f>H83*Calc_SEC_death_rates!$G130</f>
        <v>1.0476882119400273</v>
      </c>
      <c r="I185" s="459">
        <f>I83*Calc_SEC_death_rates!$G130</f>
        <v>1.0718010387861154</v>
      </c>
      <c r="J185" s="459">
        <f>J83*Calc_SEC_death_rates!$G130</f>
        <v>1.0942955214457295</v>
      </c>
      <c r="K185" s="459">
        <f>K83*Calc_SEC_death_rates!$G130</f>
        <v>1.1138649770720896</v>
      </c>
      <c r="L185" s="459">
        <f>L83*Calc_SEC_death_rates!$G130</f>
        <v>1.1284685640006216</v>
      </c>
      <c r="M185" s="459">
        <f>M83*Calc_SEC_death_rates!$G130</f>
        <v>1.1407424127481489</v>
      </c>
      <c r="N185" s="459">
        <f>N83*Calc_SEC_death_rates!$G130</f>
        <v>1.1504110994070984</v>
      </c>
    </row>
    <row r="186" spans="1:14">
      <c r="B186" s="338" t="str">
        <f t="shared" si="64"/>
        <v>55-59</v>
      </c>
      <c r="C186" s="459">
        <f>C84*Calc_SEC_death_rates!$G131</f>
        <v>0.58210587564978311</v>
      </c>
      <c r="D186" s="459">
        <f>D84*Calc_SEC_death_rates!$G131</f>
        <v>0.52874479180092115</v>
      </c>
      <c r="E186" s="459">
        <f>E84*Calc_SEC_death_rates!$G131</f>
        <v>0.50051858729297605</v>
      </c>
      <c r="F186" s="459">
        <f>F84*Calc_SEC_death_rates!$G131</f>
        <v>0.48967598382760513</v>
      </c>
      <c r="G186" s="459">
        <f>G84*Calc_SEC_death_rates!$G131</f>
        <v>0.48816776561216768</v>
      </c>
      <c r="H186" s="459">
        <f>H84*Calc_SEC_death_rates!$G131</f>
        <v>0.49104539796816954</v>
      </c>
      <c r="I186" s="459">
        <f>I84*Calc_SEC_death_rates!$G131</f>
        <v>0.4970725926362623</v>
      </c>
      <c r="J186" s="459">
        <f>J84*Calc_SEC_death_rates!$G131</f>
        <v>0.50484268716899372</v>
      </c>
      <c r="K186" s="459">
        <f>K84*Calc_SEC_death_rates!$G131</f>
        <v>0.51261419970357747</v>
      </c>
      <c r="L186" s="459">
        <f>L84*Calc_SEC_death_rates!$G131</f>
        <v>0.51860744189617836</v>
      </c>
      <c r="M186" s="459">
        <f>M84*Calc_SEC_death_rates!$G131</f>
        <v>0.52427578316328771</v>
      </c>
      <c r="N186" s="459">
        <f>N84*Calc_SEC_death_rates!$G131</f>
        <v>0.52910632789200895</v>
      </c>
    </row>
    <row r="187" spans="1:14">
      <c r="B187" s="338" t="str">
        <f t="shared" si="64"/>
        <v>60-64</v>
      </c>
      <c r="C187" s="459">
        <f>C85*Calc_SEC_death_rates!$G132</f>
        <v>0.56487387983527826</v>
      </c>
      <c r="D187" s="459">
        <f>D85*Calc_SEC_death_rates!$G132</f>
        <v>0.48980060736279213</v>
      </c>
      <c r="E187" s="459">
        <f>E85*Calc_SEC_death_rates!$G132</f>
        <v>0.43560720287930121</v>
      </c>
      <c r="F187" s="459">
        <f>F85*Calc_SEC_death_rates!$G132</f>
        <v>0.40224502330616818</v>
      </c>
      <c r="G187" s="459">
        <f>G85*Calc_SEC_death_rates!$G132</f>
        <v>0.38290457838932063</v>
      </c>
      <c r="H187" s="459">
        <f>H85*Calc_SEC_death_rates!$G132</f>
        <v>0.37212275731496514</v>
      </c>
      <c r="I187" s="459">
        <f>I85*Calc_SEC_death_rates!$G132</f>
        <v>0.36795820305553234</v>
      </c>
      <c r="J187" s="459">
        <f>J85*Calc_SEC_death_rates!$G132</f>
        <v>0.36810020736025328</v>
      </c>
      <c r="K187" s="459">
        <f>K85*Calc_SEC_death_rates!$G132</f>
        <v>0.37000342434058914</v>
      </c>
      <c r="L187" s="459">
        <f>L85*Calc_SEC_death_rates!$G132</f>
        <v>0.37132817154150588</v>
      </c>
      <c r="M187" s="459">
        <f>M85*Calc_SEC_death_rates!$G132</f>
        <v>0.37351074431739895</v>
      </c>
      <c r="N187" s="459">
        <f>N85*Calc_SEC_death_rates!$G132</f>
        <v>0.37571500405546271</v>
      </c>
    </row>
    <row r="188" spans="1:14">
      <c r="B188" s="338" t="str">
        <f t="shared" si="64"/>
        <v>65 plus</v>
      </c>
      <c r="C188" s="459">
        <f>C86*Calc_SEC_death_rates!$G133</f>
        <v>0.51189494329291474</v>
      </c>
      <c r="D188" s="459">
        <f>D86*Calc_SEC_death_rates!$G133</f>
        <v>0.55046083574138771</v>
      </c>
      <c r="E188" s="459">
        <f>E86*Calc_SEC_death_rates!$G133</f>
        <v>0.5391522402521487</v>
      </c>
      <c r="F188" s="459">
        <f>F86*Calc_SEC_death_rates!$G133</f>
        <v>0.51322399825314524</v>
      </c>
      <c r="G188" s="459">
        <f>G86*Calc_SEC_death_rates!$G133</f>
        <v>0.48616038119264676</v>
      </c>
      <c r="H188" s="459">
        <f>H86*Calc_SEC_death_rates!$G133</f>
        <v>0.4627983387870423</v>
      </c>
      <c r="I188" s="459">
        <f>I86*Calc_SEC_death_rates!$G133</f>
        <v>0.44622558875963853</v>
      </c>
      <c r="J188" s="459">
        <f>J86*Calc_SEC_death_rates!$G133</f>
        <v>0.43611586852108097</v>
      </c>
      <c r="K188" s="459">
        <f>K86*Calc_SEC_death_rates!$G133</f>
        <v>0.43015616430646209</v>
      </c>
      <c r="L188" s="459">
        <f>L86*Calc_SEC_death_rates!$G133</f>
        <v>0.42538235185613898</v>
      </c>
      <c r="M188" s="459">
        <f>M86*Calc_SEC_death_rates!$G133</f>
        <v>0.42304411256089808</v>
      </c>
      <c r="N188" s="459">
        <f>N86*Calc_SEC_death_rates!$G133</f>
        <v>0.42199278018181607</v>
      </c>
    </row>
    <row r="189" spans="1:14">
      <c r="B189" s="338" t="str">
        <f t="shared" si="64"/>
        <v>Total</v>
      </c>
      <c r="C189" s="459">
        <f>SUM(C179:C188)</f>
        <v>4.5860429976984873</v>
      </c>
      <c r="D189" s="459">
        <f t="shared" ref="D189:N189" si="66">SUM(D179:D188)</f>
        <v>4.5828425635173096</v>
      </c>
      <c r="E189" s="459">
        <f t="shared" si="66"/>
        <v>4.5584545839208426</v>
      </c>
      <c r="F189" s="459">
        <f t="shared" si="66"/>
        <v>4.5572241983059447</v>
      </c>
      <c r="G189" s="459">
        <f t="shared" si="66"/>
        <v>4.5719516451157478</v>
      </c>
      <c r="H189" s="459">
        <f t="shared" si="66"/>
        <v>4.5924416876962475</v>
      </c>
      <c r="I189" s="459">
        <f t="shared" si="66"/>
        <v>4.6250039700945322</v>
      </c>
      <c r="J189" s="459">
        <f t="shared" si="66"/>
        <v>4.6668889780576608</v>
      </c>
      <c r="K189" s="459">
        <f t="shared" si="66"/>
        <v>4.7076972478343624</v>
      </c>
      <c r="L189" s="459">
        <f t="shared" si="66"/>
        <v>4.7336047898958427</v>
      </c>
      <c r="M189" s="459">
        <f t="shared" si="66"/>
        <v>4.7577003004947596</v>
      </c>
      <c r="N189" s="459">
        <f t="shared" si="66"/>
        <v>4.7764511788643853</v>
      </c>
    </row>
    <row r="190" spans="1:14">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4">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8"/>
        <v>30-34</v>
      </c>
      <c r="C197" s="459">
        <f>C95*Calc_SEC_death_rates!$G142</f>
        <v>0.29467285488892825</v>
      </c>
      <c r="D197" s="459">
        <f>D95*Calc_SEC_death_rates!$G142</f>
        <v>0.29344808564875607</v>
      </c>
      <c r="E197" s="459">
        <f>E95*Calc_SEC_death_rates!$G142</f>
        <v>0.28979132815694997</v>
      </c>
      <c r="F197" s="459">
        <f>F95*Calc_SEC_death_rates!$G142</f>
        <v>0.28735972023076689</v>
      </c>
      <c r="G197" s="459">
        <f>G95*Calc_SEC_death_rates!$G142</f>
        <v>0.2858088059990786</v>
      </c>
      <c r="H197" s="459">
        <f>H95*Calc_SEC_death_rates!$G142</f>
        <v>0.28445144149714774</v>
      </c>
      <c r="I197" s="459">
        <f>I95*Calc_SEC_death_rates!$G142</f>
        <v>0.28398975126507531</v>
      </c>
      <c r="J197" s="459">
        <f>J95*Calc_SEC_death_rates!$G142</f>
        <v>0.28438445281097474</v>
      </c>
      <c r="K197" s="459">
        <f>K95*Calc_SEC_death_rates!$G142</f>
        <v>0.28484358763837569</v>
      </c>
      <c r="L197" s="459">
        <f>L95*Calc_SEC_death_rates!$G142</f>
        <v>0.28413477511675211</v>
      </c>
      <c r="M197" s="459">
        <f>M95*Calc_SEC_death_rates!$G142</f>
        <v>0.28333206890447438</v>
      </c>
      <c r="N197" s="459">
        <f>N95*Calc_SEC_death_rates!$G142</f>
        <v>0.28219797004861819</v>
      </c>
    </row>
    <row r="198" spans="1:14">
      <c r="B198" s="338" t="str">
        <f t="shared" si="68"/>
        <v>35-39</v>
      </c>
      <c r="C198" s="459">
        <f>C96*Calc_SEC_death_rates!$G143</f>
        <v>0.9929218964122275</v>
      </c>
      <c r="D198" s="459">
        <f>D96*Calc_SEC_death_rates!$G143</f>
        <v>1.013259877500666</v>
      </c>
      <c r="E198" s="459">
        <f>E96*Calc_SEC_death_rates!$G143</f>
        <v>1.0236018868294119</v>
      </c>
      <c r="F198" s="459">
        <f>F96*Calc_SEC_death_rates!$G143</f>
        <v>1.0308200812397659</v>
      </c>
      <c r="G198" s="459">
        <f>G96*Calc_SEC_death_rates!$G143</f>
        <v>1.0344123396475338</v>
      </c>
      <c r="H198" s="459">
        <f>H96*Calc_SEC_death_rates!$G143</f>
        <v>1.0341681588119398</v>
      </c>
      <c r="I198" s="459">
        <f>I96*Calc_SEC_death_rates!$G143</f>
        <v>1.0333739819999253</v>
      </c>
      <c r="J198" s="459">
        <f>J96*Calc_SEC_death_rates!$G143</f>
        <v>1.0331145317977215</v>
      </c>
      <c r="K198" s="459">
        <f>K96*Calc_SEC_death_rates!$G143</f>
        <v>1.0323320762377499</v>
      </c>
      <c r="L198" s="459">
        <f>L96*Calc_SEC_death_rates!$G143</f>
        <v>1.0286286834904486</v>
      </c>
      <c r="M198" s="459">
        <f>M96*Calc_SEC_death_rates!$G143</f>
        <v>1.0249795909529331</v>
      </c>
      <c r="N198" s="459">
        <f>N96*Calc_SEC_death_rates!$G143</f>
        <v>1.0207712602254608</v>
      </c>
    </row>
    <row r="199" spans="1:14">
      <c r="B199" s="338" t="str">
        <f t="shared" si="68"/>
        <v>40-44</v>
      </c>
      <c r="C199" s="459">
        <f>C97*Calc_SEC_death_rates!$G144</f>
        <v>0.93467075980924319</v>
      </c>
      <c r="D199" s="459">
        <f>D97*Calc_SEC_death_rates!$G144</f>
        <v>0.9696507041946355</v>
      </c>
      <c r="E199" s="459">
        <f>E97*Calc_SEC_death_rates!$G144</f>
        <v>0.9962189204356553</v>
      </c>
      <c r="F199" s="459">
        <f>F97*Calc_SEC_death_rates!$G144</f>
        <v>1.0200067761572069</v>
      </c>
      <c r="G199" s="459">
        <f>G97*Calc_SEC_death_rates!$G144</f>
        <v>1.0390629241422251</v>
      </c>
      <c r="H199" s="459">
        <f>H97*Calc_SEC_death_rates!$G144</f>
        <v>1.0522112448184797</v>
      </c>
      <c r="I199" s="459">
        <f>I97*Calc_SEC_death_rates!$G144</f>
        <v>1.062187030259873</v>
      </c>
      <c r="J199" s="459">
        <f>J97*Calc_SEC_death_rates!$G144</f>
        <v>1.0699987292443736</v>
      </c>
      <c r="K199" s="459">
        <f>K97*Calc_SEC_death_rates!$G144</f>
        <v>1.0749143345578989</v>
      </c>
      <c r="L199" s="459">
        <f>L97*Calc_SEC_death_rates!$G144</f>
        <v>1.0751772690650787</v>
      </c>
      <c r="M199" s="459">
        <f>M97*Calc_SEC_death_rates!$G144</f>
        <v>1.0742013200956593</v>
      </c>
      <c r="N199" s="459">
        <f>N97*Calc_SEC_death_rates!$G144</f>
        <v>1.0718234980730448</v>
      </c>
    </row>
    <row r="200" spans="1:14">
      <c r="B200" s="338" t="str">
        <f t="shared" si="68"/>
        <v>45-49</v>
      </c>
      <c r="C200" s="459">
        <f>C98*Calc_SEC_death_rates!$G145</f>
        <v>1.0759523375929152</v>
      </c>
      <c r="D200" s="459">
        <f>D98*Calc_SEC_death_rates!$G145</f>
        <v>1.1308670446722182</v>
      </c>
      <c r="E200" s="459">
        <f>E98*Calc_SEC_death_rates!$G145</f>
        <v>1.176452712250077</v>
      </c>
      <c r="F200" s="459">
        <f>F98*Calc_SEC_death_rates!$G145</f>
        <v>1.2194884586937</v>
      </c>
      <c r="G200" s="459">
        <f>G98*Calc_SEC_death_rates!$G145</f>
        <v>1.2574712037301272</v>
      </c>
      <c r="H200" s="459">
        <f>H98*Calc_SEC_death_rates!$G145</f>
        <v>1.2884783184294837</v>
      </c>
      <c r="I200" s="459">
        <f>I98*Calc_SEC_death_rates!$G145</f>
        <v>1.3151412443031587</v>
      </c>
      <c r="J200" s="459">
        <f>J98*Calc_SEC_death_rates!$G145</f>
        <v>1.3381103050749059</v>
      </c>
      <c r="K200" s="459">
        <f>K98*Calc_SEC_death_rates!$G145</f>
        <v>1.3561029687867625</v>
      </c>
      <c r="L200" s="459">
        <f>L98*Calc_SEC_death_rates!$G145</f>
        <v>1.3667885221822869</v>
      </c>
      <c r="M200" s="459">
        <f>M98*Calc_SEC_death_rates!$G145</f>
        <v>1.3742046262733394</v>
      </c>
      <c r="N200" s="459">
        <f>N98*Calc_SEC_death_rates!$G145</f>
        <v>1.378293776614276</v>
      </c>
    </row>
    <row r="201" spans="1:14">
      <c r="B201" s="338" t="str">
        <f t="shared" si="68"/>
        <v>50-54</v>
      </c>
      <c r="C201" s="459">
        <f>C99*Calc_SEC_death_rates!$G146</f>
        <v>1.2015553508143249</v>
      </c>
      <c r="D201" s="459">
        <f>D99*Calc_SEC_death_rates!$G146</f>
        <v>1.2114968579245899</v>
      </c>
      <c r="E201" s="459">
        <f>E99*Calc_SEC_death_rates!$G146</f>
        <v>1.2279052500501553</v>
      </c>
      <c r="F201" s="459">
        <f>F99*Calc_SEC_death_rates!$G146</f>
        <v>1.2532247258741573</v>
      </c>
      <c r="G201" s="459">
        <f>G99*Calc_SEC_death_rates!$G146</f>
        <v>1.281865585121861</v>
      </c>
      <c r="H201" s="459">
        <f>H99*Calc_SEC_death_rates!$G146</f>
        <v>1.3096578975686828</v>
      </c>
      <c r="I201" s="459">
        <f>I99*Calc_SEC_death_rates!$G146</f>
        <v>1.3375065948412121</v>
      </c>
      <c r="J201" s="459">
        <f>J99*Calc_SEC_death_rates!$G146</f>
        <v>1.3646827350618225</v>
      </c>
      <c r="K201" s="459">
        <f>K99*Calc_SEC_death_rates!$G146</f>
        <v>1.3887914401147019</v>
      </c>
      <c r="L201" s="459">
        <f>L99*Calc_SEC_death_rates!$G146</f>
        <v>1.4066136090322372</v>
      </c>
      <c r="M201" s="459">
        <f>M99*Calc_SEC_death_rates!$G146</f>
        <v>1.4214969687857888</v>
      </c>
      <c r="N201" s="459">
        <f>N99*Calc_SEC_death_rates!$G146</f>
        <v>1.4328823883503055</v>
      </c>
    </row>
    <row r="202" spans="1:14">
      <c r="B202" s="338" t="str">
        <f t="shared" si="68"/>
        <v>55-59</v>
      </c>
      <c r="C202" s="459">
        <f>C100*Calc_SEC_death_rates!$G147</f>
        <v>2.6503232292627539</v>
      </c>
      <c r="D202" s="459">
        <f>D100*Calc_SEC_death_rates!$G147</f>
        <v>2.3575453734031457</v>
      </c>
      <c r="E202" s="459">
        <f>E100*Calc_SEC_death_rates!$G147</f>
        <v>2.1780013597368511</v>
      </c>
      <c r="F202" s="459">
        <f>F100*Calc_SEC_death_rates!$G147</f>
        <v>2.0824499692834979</v>
      </c>
      <c r="G202" s="459">
        <f>G100*Calc_SEC_death_rates!$G147</f>
        <v>2.0372767706967227</v>
      </c>
      <c r="H202" s="459">
        <f>H100*Calc_SEC_death_rates!$G147</f>
        <v>2.0203127982049041</v>
      </c>
      <c r="I202" s="459">
        <f>I100*Calc_SEC_death_rates!$G147</f>
        <v>2.0244690886287944</v>
      </c>
      <c r="J202" s="459">
        <f>J100*Calc_SEC_death_rates!$G147</f>
        <v>2.0420567713656559</v>
      </c>
      <c r="K202" s="459">
        <f>K100*Calc_SEC_death_rates!$G147</f>
        <v>2.0641991186342912</v>
      </c>
      <c r="L202" s="459">
        <f>L100*Calc_SEC_death_rates!$G147</f>
        <v>2.0820903872643006</v>
      </c>
      <c r="M202" s="459">
        <f>M100*Calc_SEC_death_rates!$G147</f>
        <v>2.1007227549685363</v>
      </c>
      <c r="N202" s="459">
        <f>N100*Calc_SEC_death_rates!$G147</f>
        <v>2.1172200965467418</v>
      </c>
    </row>
    <row r="203" spans="1:14">
      <c r="B203" s="338" t="str">
        <f t="shared" si="68"/>
        <v>60-64</v>
      </c>
      <c r="C203" s="459">
        <f>C101*Calc_SEC_death_rates!$G148</f>
        <v>1.6118683332164556</v>
      </c>
      <c r="D203" s="459">
        <f>D101*Calc_SEC_death_rates!$G148</f>
        <v>1.4836696540282759</v>
      </c>
      <c r="E203" s="459">
        <f>E101*Calc_SEC_death_rates!$G148</f>
        <v>1.3514213241355342</v>
      </c>
      <c r="F203" s="459">
        <f>F101*Calc_SEC_death_rates!$G148</f>
        <v>1.2533917102072369</v>
      </c>
      <c r="G203" s="459">
        <f>G101*Calc_SEC_death_rates!$G148</f>
        <v>1.1864606529826343</v>
      </c>
      <c r="H203" s="459">
        <f>H101*Calc_SEC_death_rates!$G148</f>
        <v>1.1422216136163685</v>
      </c>
      <c r="I203" s="459">
        <f>I101*Calc_SEC_death_rates!$G148</f>
        <v>1.1185656794809749</v>
      </c>
      <c r="J203" s="459">
        <f>J101*Calc_SEC_death_rates!$G148</f>
        <v>1.109747078907378</v>
      </c>
      <c r="K203" s="459">
        <f>K101*Calc_SEC_death_rates!$G148</f>
        <v>1.1081917950306224</v>
      </c>
      <c r="L203" s="459">
        <f>L101*Calc_SEC_death_rates!$G148</f>
        <v>1.1065287315528769</v>
      </c>
      <c r="M203" s="459">
        <f>M101*Calc_SEC_death_rates!$G148</f>
        <v>1.1090826193246572</v>
      </c>
      <c r="N203" s="459">
        <f>N101*Calc_SEC_death_rates!$G148</f>
        <v>1.1128177463324493</v>
      </c>
    </row>
    <row r="204" spans="1:14">
      <c r="B204" s="338" t="str">
        <f t="shared" si="68"/>
        <v>65 plus</v>
      </c>
      <c r="C204" s="459">
        <f>C102*Calc_SEC_death_rates!$G149</f>
        <v>2.2241950269307678</v>
      </c>
      <c r="D204" s="459">
        <f>D102*Calc_SEC_death_rates!$G149</f>
        <v>2.5538974984491327</v>
      </c>
      <c r="E204" s="459">
        <f>E102*Calc_SEC_death_rates!$G149</f>
        <v>2.6126132960981274</v>
      </c>
      <c r="F204" s="459">
        <f>F102*Calc_SEC_death_rates!$G149</f>
        <v>2.5572806934303087</v>
      </c>
      <c r="G204" s="459">
        <f>G102*Calc_SEC_death_rates!$G149</f>
        <v>2.460709736453996</v>
      </c>
      <c r="H204" s="459">
        <f>H102*Calc_SEC_death_rates!$G149</f>
        <v>2.3584570997734207</v>
      </c>
      <c r="I204" s="459">
        <f>I102*Calc_SEC_death_rates!$G149</f>
        <v>2.2778182748933875</v>
      </c>
      <c r="J204" s="459">
        <f>J102*Calc_SEC_death_rates!$G149</f>
        <v>2.2236614076210826</v>
      </c>
      <c r="K204" s="459">
        <f>K102*Calc_SEC_death_rates!$G149</f>
        <v>2.1871114922120705</v>
      </c>
      <c r="L204" s="459">
        <f>L102*Calc_SEC_death_rates!$G149</f>
        <v>2.1541792863548452</v>
      </c>
      <c r="M204" s="459">
        <f>M102*Calc_SEC_death_rates!$G149</f>
        <v>2.1349152003997207</v>
      </c>
      <c r="N204" s="459">
        <f>N102*Calc_SEC_death_rates!$G149</f>
        <v>2.1232916012582961</v>
      </c>
    </row>
    <row r="205" spans="1:14">
      <c r="B205" s="338" t="str">
        <f t="shared" si="68"/>
        <v>Total</v>
      </c>
      <c r="C205" s="459">
        <f>SUM(C195:C204)</f>
        <v>10.986159788927615</v>
      </c>
      <c r="D205" s="459">
        <f t="shared" ref="D205:N205" si="70">SUM(D195:D204)</f>
        <v>11.01383509582142</v>
      </c>
      <c r="E205" s="459">
        <f t="shared" si="70"/>
        <v>10.856006077692761</v>
      </c>
      <c r="F205" s="459">
        <f t="shared" si="70"/>
        <v>10.704022135116642</v>
      </c>
      <c r="G205" s="459">
        <f t="shared" si="70"/>
        <v>10.583068018774178</v>
      </c>
      <c r="H205" s="459">
        <f t="shared" si="70"/>
        <v>10.489958572720429</v>
      </c>
      <c r="I205" s="459">
        <f t="shared" si="70"/>
        <v>10.453051645672401</v>
      </c>
      <c r="J205" s="459">
        <f t="shared" si="70"/>
        <v>10.465756011883915</v>
      </c>
      <c r="K205" s="459">
        <f t="shared" si="70"/>
        <v>10.496486813212472</v>
      </c>
      <c r="L205" s="459">
        <f t="shared" si="70"/>
        <v>10.504141264058825</v>
      </c>
      <c r="M205" s="459">
        <f t="shared" si="70"/>
        <v>10.522935149705109</v>
      </c>
      <c r="N205" s="459">
        <f t="shared" si="70"/>
        <v>10.539298337449193</v>
      </c>
    </row>
    <row r="206" spans="1:14">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25.483805069061756</v>
      </c>
      <c r="D213" s="459">
        <f t="shared" ref="D213:N213" si="75">D111+D145+D179</f>
        <v>37.983224135390458</v>
      </c>
      <c r="E213" s="459">
        <f t="shared" si="75"/>
        <v>45.786661018031765</v>
      </c>
      <c r="F213" s="459">
        <f t="shared" si="75"/>
        <v>51.801742505256669</v>
      </c>
      <c r="G213" s="459">
        <f t="shared" si="75"/>
        <v>56.009716372281076</v>
      </c>
      <c r="H213" s="459">
        <f t="shared" si="75"/>
        <v>58.498456599001244</v>
      </c>
      <c r="I213" s="459">
        <f t="shared" si="75"/>
        <v>60.325059175817948</v>
      </c>
      <c r="J213" s="459">
        <f t="shared" si="75"/>
        <v>61.76832783306687</v>
      </c>
      <c r="K213" s="459">
        <f t="shared" si="75"/>
        <v>62.559288220278518</v>
      </c>
      <c r="L213" s="459">
        <f t="shared" si="75"/>
        <v>62.237420484028675</v>
      </c>
      <c r="M213" s="459">
        <f t="shared" si="75"/>
        <v>61.901081456776886</v>
      </c>
      <c r="N213" s="459">
        <f t="shared" si="75"/>
        <v>61.418947566933639</v>
      </c>
    </row>
    <row r="214" spans="1:14">
      <c r="B214" s="338" t="str">
        <f t="shared" si="72"/>
        <v>25-29</v>
      </c>
      <c r="C214" s="459">
        <f t="shared" si="74"/>
        <v>93.712793817702135</v>
      </c>
      <c r="D214" s="459">
        <f t="shared" ref="D214:N214" si="76">D112+D146+D180</f>
        <v>93.209018698311951</v>
      </c>
      <c r="E214" s="459">
        <f t="shared" si="76"/>
        <v>93.68941038567165</v>
      </c>
      <c r="F214" s="459">
        <f t="shared" si="76"/>
        <v>95.832368252709301</v>
      </c>
      <c r="G214" s="459">
        <f t="shared" si="76"/>
        <v>98.270747872997759</v>
      </c>
      <c r="H214" s="459">
        <f t="shared" si="76"/>
        <v>100.13894245807516</v>
      </c>
      <c r="I214" s="459">
        <f t="shared" si="76"/>
        <v>101.94363201884315</v>
      </c>
      <c r="J214" s="459">
        <f t="shared" si="76"/>
        <v>103.69204396217684</v>
      </c>
      <c r="K214" s="459">
        <f t="shared" si="76"/>
        <v>104.91368856995429</v>
      </c>
      <c r="L214" s="459">
        <f t="shared" si="76"/>
        <v>104.92828518309595</v>
      </c>
      <c r="M214" s="459">
        <f t="shared" si="76"/>
        <v>104.76598572302017</v>
      </c>
      <c r="N214" s="459">
        <f t="shared" si="76"/>
        <v>104.32388637951568</v>
      </c>
    </row>
    <row r="215" spans="1:14">
      <c r="B215" s="338" t="str">
        <f t="shared" si="72"/>
        <v>30-34</v>
      </c>
      <c r="C215" s="459">
        <f t="shared" si="74"/>
        <v>78.413968059685715</v>
      </c>
      <c r="D215" s="459">
        <f t="shared" ref="D215:N215" si="77">D113+D147+D181</f>
        <v>78.18063955845912</v>
      </c>
      <c r="E215" s="459">
        <f t="shared" si="77"/>
        <v>77.527057337151476</v>
      </c>
      <c r="F215" s="459">
        <f t="shared" si="77"/>
        <v>77.340637479374607</v>
      </c>
      <c r="G215" s="459">
        <f t="shared" si="77"/>
        <v>77.451679493062514</v>
      </c>
      <c r="H215" s="459">
        <f t="shared" si="77"/>
        <v>77.618008072399959</v>
      </c>
      <c r="I215" s="459">
        <f t="shared" si="77"/>
        <v>77.998076392356779</v>
      </c>
      <c r="J215" s="459">
        <f t="shared" si="77"/>
        <v>78.565067184655064</v>
      </c>
      <c r="K215" s="459">
        <f t="shared" si="77"/>
        <v>79.094634325412045</v>
      </c>
      <c r="L215" s="459">
        <f t="shared" si="77"/>
        <v>79.244461903899904</v>
      </c>
      <c r="M215" s="459">
        <f t="shared" si="77"/>
        <v>79.308475536119118</v>
      </c>
      <c r="N215" s="459">
        <f t="shared" si="77"/>
        <v>79.227951588656666</v>
      </c>
    </row>
    <row r="216" spans="1:14">
      <c r="B216" s="338" t="str">
        <f t="shared" si="72"/>
        <v>35-39</v>
      </c>
      <c r="C216" s="459">
        <f t="shared" si="74"/>
        <v>65.068251427540062</v>
      </c>
      <c r="D216" s="459">
        <f t="shared" ref="D216:N216" si="78">D114+D148+D182</f>
        <v>66.422058825023115</v>
      </c>
      <c r="E216" s="459">
        <f t="shared" si="78"/>
        <v>67.166347451882288</v>
      </c>
      <c r="F216" s="459">
        <f t="shared" si="78"/>
        <v>67.7547123176074</v>
      </c>
      <c r="G216" s="459">
        <f t="shared" si="78"/>
        <v>68.164931354923766</v>
      </c>
      <c r="H216" s="459">
        <f t="shared" si="78"/>
        <v>68.37783428546436</v>
      </c>
      <c r="I216" s="459">
        <f t="shared" si="78"/>
        <v>68.584912750473876</v>
      </c>
      <c r="J216" s="459">
        <f t="shared" si="78"/>
        <v>68.841850938801059</v>
      </c>
      <c r="K216" s="459">
        <f t="shared" si="78"/>
        <v>69.071915821733668</v>
      </c>
      <c r="L216" s="459">
        <f t="shared" si="78"/>
        <v>69.114436559621524</v>
      </c>
      <c r="M216" s="459">
        <f t="shared" si="78"/>
        <v>69.143213240287622</v>
      </c>
      <c r="N216" s="459">
        <f t="shared" si="78"/>
        <v>69.114478888535643</v>
      </c>
    </row>
    <row r="217" spans="1:14">
      <c r="B217" s="338" t="str">
        <f t="shared" si="72"/>
        <v>40-44</v>
      </c>
      <c r="C217" s="459">
        <f t="shared" si="74"/>
        <v>61.880260450449306</v>
      </c>
      <c r="D217" s="459">
        <f t="shared" ref="D217:N217" si="79">D115+D149+D183</f>
        <v>63.665787089311998</v>
      </c>
      <c r="E217" s="459">
        <f t="shared" si="79"/>
        <v>65.063864659578798</v>
      </c>
      <c r="F217" s="459">
        <f t="shared" si="79"/>
        <v>66.377260654776009</v>
      </c>
      <c r="G217" s="459">
        <f t="shared" si="79"/>
        <v>67.475351559314788</v>
      </c>
      <c r="H217" s="459">
        <f t="shared" si="79"/>
        <v>68.278089172621819</v>
      </c>
      <c r="I217" s="459">
        <f t="shared" si="79"/>
        <v>68.938695601403481</v>
      </c>
      <c r="J217" s="459">
        <f t="shared" si="79"/>
        <v>69.50947105478231</v>
      </c>
      <c r="K217" s="459">
        <f t="shared" si="79"/>
        <v>69.939516747128152</v>
      </c>
      <c r="L217" s="459">
        <f t="shared" si="79"/>
        <v>70.116141288519458</v>
      </c>
      <c r="M217" s="459">
        <f t="shared" si="79"/>
        <v>70.232479949724834</v>
      </c>
      <c r="N217" s="459">
        <f t="shared" si="79"/>
        <v>70.271466987771063</v>
      </c>
    </row>
    <row r="218" spans="1:14">
      <c r="B218" s="338" t="str">
        <f t="shared" si="72"/>
        <v>45-49</v>
      </c>
      <c r="C218" s="459">
        <f t="shared" si="74"/>
        <v>56.943840308695492</v>
      </c>
      <c r="D218" s="459">
        <f t="shared" ref="D218:N218" si="80">D116+D150+D184</f>
        <v>59.345504728953728</v>
      </c>
      <c r="E218" s="459">
        <f t="shared" si="80"/>
        <v>61.31031720867572</v>
      </c>
      <c r="F218" s="459">
        <f t="shared" si="80"/>
        <v>63.171884404467392</v>
      </c>
      <c r="G218" s="459">
        <f t="shared" si="80"/>
        <v>64.827385176131486</v>
      </c>
      <c r="H218" s="459">
        <f t="shared" si="80"/>
        <v>66.193312823417102</v>
      </c>
      <c r="I218" s="459">
        <f t="shared" si="80"/>
        <v>67.391389652160356</v>
      </c>
      <c r="J218" s="459">
        <f t="shared" si="80"/>
        <v>68.451265466551192</v>
      </c>
      <c r="K218" s="459">
        <f t="shared" si="80"/>
        <v>69.312483060131115</v>
      </c>
      <c r="L218" s="459">
        <f t="shared" si="80"/>
        <v>69.86467835032515</v>
      </c>
      <c r="M218" s="459">
        <f t="shared" si="80"/>
        <v>70.288447856697871</v>
      </c>
      <c r="N218" s="459">
        <f t="shared" si="80"/>
        <v>70.577055473743073</v>
      </c>
    </row>
    <row r="219" spans="1:14">
      <c r="B219" s="338" t="str">
        <f t="shared" si="72"/>
        <v>50-54</v>
      </c>
      <c r="C219" s="459">
        <f t="shared" si="74"/>
        <v>59.087426920616743</v>
      </c>
      <c r="D219" s="459">
        <f t="shared" ref="D219:N219" si="81">D117+D151+D185</f>
        <v>61.169501454018821</v>
      </c>
      <c r="E219" s="459">
        <f t="shared" si="81"/>
        <v>63.07923905650533</v>
      </c>
      <c r="F219" s="459">
        <f t="shared" si="81"/>
        <v>65.066954135874553</v>
      </c>
      <c r="G219" s="459">
        <f t="shared" si="81"/>
        <v>66.968158138575149</v>
      </c>
      <c r="H219" s="459">
        <f t="shared" si="81"/>
        <v>68.659696054228448</v>
      </c>
      <c r="I219" s="459">
        <f t="shared" si="81"/>
        <v>70.23991748212346</v>
      </c>
      <c r="J219" s="459">
        <f t="shared" si="81"/>
        <v>71.714081574746302</v>
      </c>
      <c r="K219" s="459">
        <f t="shared" si="81"/>
        <v>72.996555558837969</v>
      </c>
      <c r="L219" s="459">
        <f t="shared" si="81"/>
        <v>73.953593949064611</v>
      </c>
      <c r="M219" s="459">
        <f t="shared" si="81"/>
        <v>74.757954172666174</v>
      </c>
      <c r="N219" s="459">
        <f t="shared" si="81"/>
        <v>75.391586468688445</v>
      </c>
    </row>
    <row r="220" spans="1:14">
      <c r="B220" s="338" t="str">
        <f t="shared" si="72"/>
        <v>55-59</v>
      </c>
      <c r="C220" s="459">
        <f t="shared" si="74"/>
        <v>106.68620952447826</v>
      </c>
      <c r="D220" s="459">
        <f t="shared" ref="D220:N220" si="82">D118+D152+D186</f>
        <v>96.906387656852914</v>
      </c>
      <c r="E220" s="459">
        <f t="shared" si="82"/>
        <v>91.733193407861776</v>
      </c>
      <c r="F220" s="459">
        <f t="shared" si="82"/>
        <v>89.746001191658593</v>
      </c>
      <c r="G220" s="459">
        <f t="shared" si="82"/>
        <v>89.469580541615869</v>
      </c>
      <c r="H220" s="459">
        <f t="shared" si="82"/>
        <v>89.9969823448087</v>
      </c>
      <c r="I220" s="459">
        <f t="shared" si="82"/>
        <v>91.10162426667074</v>
      </c>
      <c r="J220" s="459">
        <f t="shared" si="82"/>
        <v>92.525698422284876</v>
      </c>
      <c r="K220" s="459">
        <f t="shared" si="82"/>
        <v>93.950032464028041</v>
      </c>
      <c r="L220" s="459">
        <f t="shared" si="82"/>
        <v>95.048451701897832</v>
      </c>
      <c r="M220" s="459">
        <f t="shared" si="82"/>
        <v>96.087324301154865</v>
      </c>
      <c r="N220" s="459">
        <f t="shared" si="82"/>
        <v>96.972648652967067</v>
      </c>
    </row>
    <row r="221" spans="1:14">
      <c r="B221" s="338" t="str">
        <f t="shared" si="72"/>
        <v>60-64</v>
      </c>
      <c r="C221" s="459">
        <f t="shared" si="74"/>
        <v>77.24722744476243</v>
      </c>
      <c r="D221" s="459">
        <f t="shared" ref="D221:N221" si="83">D119+D153+D187</f>
        <v>66.980861162441414</v>
      </c>
      <c r="E221" s="459">
        <f t="shared" si="83"/>
        <v>59.569843603330717</v>
      </c>
      <c r="F221" s="459">
        <f t="shared" si="83"/>
        <v>55.007522764048268</v>
      </c>
      <c r="G221" s="459">
        <f t="shared" si="83"/>
        <v>52.362692120064018</v>
      </c>
      <c r="H221" s="459">
        <f t="shared" si="83"/>
        <v>50.888264261862567</v>
      </c>
      <c r="I221" s="459">
        <f t="shared" si="83"/>
        <v>50.318756126385907</v>
      </c>
      <c r="J221" s="459">
        <f t="shared" si="83"/>
        <v>50.338175397158551</v>
      </c>
      <c r="K221" s="459">
        <f t="shared" si="83"/>
        <v>50.598442759847735</v>
      </c>
      <c r="L221" s="459">
        <f t="shared" si="83"/>
        <v>50.779603638389105</v>
      </c>
      <c r="M221" s="459">
        <f t="shared" si="83"/>
        <v>51.07807326435821</v>
      </c>
      <c r="N221" s="459">
        <f t="shared" si="83"/>
        <v>51.379508610214884</v>
      </c>
    </row>
    <row r="222" spans="1:14">
      <c r="B222" s="338" t="str">
        <f t="shared" si="72"/>
        <v>65 plus</v>
      </c>
      <c r="C222" s="459">
        <f t="shared" si="74"/>
        <v>25.045676264034501</v>
      </c>
      <c r="D222" s="459">
        <f t="shared" ref="D222:N222" si="84">D120+D154+D188</f>
        <v>26.932604177181162</v>
      </c>
      <c r="E222" s="459">
        <f t="shared" si="84"/>
        <v>26.379304275833377</v>
      </c>
      <c r="F222" s="459">
        <f t="shared" si="84"/>
        <v>25.110703435541438</v>
      </c>
      <c r="G222" s="459">
        <f t="shared" si="84"/>
        <v>23.786551672934198</v>
      </c>
      <c r="H222" s="459">
        <f t="shared" si="84"/>
        <v>22.643508244543462</v>
      </c>
      <c r="I222" s="459">
        <f t="shared" si="84"/>
        <v>21.832647075802416</v>
      </c>
      <c r="J222" s="459">
        <f t="shared" si="84"/>
        <v>21.338004994390058</v>
      </c>
      <c r="K222" s="459">
        <f t="shared" si="84"/>
        <v>21.04641230658471</v>
      </c>
      <c r="L222" s="459">
        <f t="shared" si="84"/>
        <v>20.812842190797117</v>
      </c>
      <c r="M222" s="459">
        <f t="shared" si="84"/>
        <v>20.698438278072903</v>
      </c>
      <c r="N222" s="459">
        <f t="shared" si="84"/>
        <v>20.646999343663825</v>
      </c>
    </row>
    <row r="223" spans="1:14">
      <c r="B223" s="338" t="str">
        <f t="shared" si="72"/>
        <v>Total</v>
      </c>
      <c r="C223" s="459">
        <f>SUM(C213:C222)</f>
        <v>649.56945928702635</v>
      </c>
      <c r="D223" s="459">
        <f t="shared" ref="D223:K223" si="85">SUM(D213:D222)</f>
        <v>650.79558748594468</v>
      </c>
      <c r="E223" s="459">
        <f t="shared" si="85"/>
        <v>651.30523840452292</v>
      </c>
      <c r="F223" s="459">
        <f t="shared" si="85"/>
        <v>657.20978714131434</v>
      </c>
      <c r="G223" s="459">
        <f t="shared" si="85"/>
        <v>664.78679430190073</v>
      </c>
      <c r="H223" s="459">
        <f t="shared" si="85"/>
        <v>671.29309431642275</v>
      </c>
      <c r="I223" s="459">
        <f t="shared" si="85"/>
        <v>678.67471054203804</v>
      </c>
      <c r="J223" s="459">
        <f t="shared" si="85"/>
        <v>686.74398682861317</v>
      </c>
      <c r="K223" s="459">
        <f t="shared" si="85"/>
        <v>693.48296983393618</v>
      </c>
      <c r="L223" s="459">
        <f>SUM(L213:L222)</f>
        <v>696.09991524963937</v>
      </c>
      <c r="M223" s="459">
        <f>SUM(M213:M222)</f>
        <v>698.26147377887855</v>
      </c>
      <c r="N223" s="459">
        <f>SUM(N213:N222)</f>
        <v>699.32452996069014</v>
      </c>
    </row>
    <row r="224" spans="1:14">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111.48549381294339</v>
      </c>
      <c r="D229" s="459">
        <f t="shared" ref="D229:N229" si="90">D195+D161+D127</f>
        <v>145.25307497143189</v>
      </c>
      <c r="E229" s="459">
        <f t="shared" si="90"/>
        <v>166.30483979994597</v>
      </c>
      <c r="F229" s="459">
        <f t="shared" si="90"/>
        <v>183.14744580082237</v>
      </c>
      <c r="G229" s="459">
        <f t="shared" si="90"/>
        <v>195.17542595144764</v>
      </c>
      <c r="H229" s="459">
        <f t="shared" si="90"/>
        <v>202.28447824214427</v>
      </c>
      <c r="I229" s="459">
        <f t="shared" si="90"/>
        <v>207.63991160282094</v>
      </c>
      <c r="J229" s="459">
        <f t="shared" si="90"/>
        <v>212.00307796068779</v>
      </c>
      <c r="K229" s="459">
        <f t="shared" si="90"/>
        <v>214.40756469120439</v>
      </c>
      <c r="L229" s="459">
        <f t="shared" si="90"/>
        <v>213.27664171490204</v>
      </c>
      <c r="M229" s="459">
        <f t="shared" si="90"/>
        <v>212.10696860051729</v>
      </c>
      <c r="N229" s="459">
        <f t="shared" si="90"/>
        <v>210.46809417978136</v>
      </c>
    </row>
    <row r="230" spans="1:14">
      <c r="B230" s="338" t="str">
        <f t="shared" si="87"/>
        <v>25-29</v>
      </c>
      <c r="C230" s="459">
        <f t="shared" si="89"/>
        <v>385.62987453562079</v>
      </c>
      <c r="D230" s="459">
        <f t="shared" ref="D230:N230" si="91">D196+D162+D128</f>
        <v>375.49938263209924</v>
      </c>
      <c r="E230" s="459">
        <f t="shared" si="91"/>
        <v>370.13465185812413</v>
      </c>
      <c r="F230" s="459">
        <f t="shared" si="91"/>
        <v>371.95757280378405</v>
      </c>
      <c r="G230" s="459">
        <f t="shared" si="91"/>
        <v>376.07670005193108</v>
      </c>
      <c r="H230" s="459">
        <f t="shared" si="91"/>
        <v>379.26297383853563</v>
      </c>
      <c r="I230" s="459">
        <f t="shared" si="91"/>
        <v>383.07847591859337</v>
      </c>
      <c r="J230" s="459">
        <f t="shared" si="91"/>
        <v>387.36862233999784</v>
      </c>
      <c r="K230" s="459">
        <f t="shared" si="91"/>
        <v>390.32842043098788</v>
      </c>
      <c r="L230" s="459">
        <f t="shared" si="91"/>
        <v>389.42780924553074</v>
      </c>
      <c r="M230" s="459">
        <f t="shared" si="91"/>
        <v>388.15417969377552</v>
      </c>
      <c r="N230" s="459">
        <f t="shared" si="91"/>
        <v>386.07311188070196</v>
      </c>
    </row>
    <row r="231" spans="1:14">
      <c r="B231" s="338" t="str">
        <f t="shared" si="87"/>
        <v>30-34</v>
      </c>
      <c r="C231" s="459">
        <f t="shared" si="89"/>
        <v>402.67144875381103</v>
      </c>
      <c r="D231" s="459">
        <f t="shared" ref="D231:N231" si="92">D197+D163+D129</f>
        <v>400.99779746171924</v>
      </c>
      <c r="E231" s="459">
        <f t="shared" si="92"/>
        <v>396.00082603209114</v>
      </c>
      <c r="F231" s="459">
        <f t="shared" si="92"/>
        <v>392.67802561056453</v>
      </c>
      <c r="G231" s="459">
        <f t="shared" si="92"/>
        <v>390.55869608901008</v>
      </c>
      <c r="H231" s="459">
        <f t="shared" si="92"/>
        <v>388.70385292510372</v>
      </c>
      <c r="I231" s="459">
        <f t="shared" si="92"/>
        <v>388.07295166786321</v>
      </c>
      <c r="J231" s="459">
        <f t="shared" si="92"/>
        <v>388.61231265981002</v>
      </c>
      <c r="K231" s="459">
        <f t="shared" si="92"/>
        <v>389.23972194795965</v>
      </c>
      <c r="L231" s="459">
        <f t="shared" si="92"/>
        <v>388.27112724966406</v>
      </c>
      <c r="M231" s="459">
        <f t="shared" si="92"/>
        <v>387.17422650682715</v>
      </c>
      <c r="N231" s="459">
        <f t="shared" si="92"/>
        <v>385.62447660030858</v>
      </c>
    </row>
    <row r="232" spans="1:14">
      <c r="B232" s="338" t="str">
        <f t="shared" si="87"/>
        <v>35-39</v>
      </c>
      <c r="C232" s="459">
        <f t="shared" si="89"/>
        <v>313.52399058032393</v>
      </c>
      <c r="D232" s="459">
        <f t="shared" ref="D232:N232" si="93">D198+D164+D130</f>
        <v>319.94589044398367</v>
      </c>
      <c r="E232" s="459">
        <f t="shared" si="93"/>
        <v>323.21147260818356</v>
      </c>
      <c r="F232" s="459">
        <f t="shared" si="93"/>
        <v>325.49068220613492</v>
      </c>
      <c r="G232" s="459">
        <f t="shared" si="93"/>
        <v>326.62497000386469</v>
      </c>
      <c r="H232" s="459">
        <f t="shared" si="93"/>
        <v>326.54786771588488</v>
      </c>
      <c r="I232" s="459">
        <f t="shared" si="93"/>
        <v>326.29709926750144</v>
      </c>
      <c r="J232" s="459">
        <f t="shared" si="93"/>
        <v>326.21517554012098</v>
      </c>
      <c r="K232" s="459">
        <f t="shared" si="93"/>
        <v>325.96810818215408</v>
      </c>
      <c r="L232" s="459">
        <f t="shared" si="93"/>
        <v>324.79872872037004</v>
      </c>
      <c r="M232" s="459">
        <f t="shared" si="93"/>
        <v>323.64649503664049</v>
      </c>
      <c r="N232" s="459">
        <f t="shared" si="93"/>
        <v>322.31767688072478</v>
      </c>
    </row>
    <row r="233" spans="1:14">
      <c r="B233" s="338" t="str">
        <f t="shared" si="87"/>
        <v>40-44</v>
      </c>
      <c r="C233" s="459">
        <f t="shared" si="89"/>
        <v>243.68215007759977</v>
      </c>
      <c r="D233" s="459">
        <f t="shared" ref="D233:N233" si="94">D199+D165+D131</f>
        <v>252.80192617840228</v>
      </c>
      <c r="E233" s="459">
        <f t="shared" si="94"/>
        <v>259.72864340946199</v>
      </c>
      <c r="F233" s="459">
        <f t="shared" si="94"/>
        <v>265.93048054529623</v>
      </c>
      <c r="G233" s="459">
        <f t="shared" si="94"/>
        <v>270.89869321746107</v>
      </c>
      <c r="H233" s="459">
        <f t="shared" si="94"/>
        <v>274.32665008748592</v>
      </c>
      <c r="I233" s="459">
        <f t="shared" si="94"/>
        <v>276.92748125670715</v>
      </c>
      <c r="J233" s="459">
        <f t="shared" si="94"/>
        <v>278.96410386881337</v>
      </c>
      <c r="K233" s="459">
        <f t="shared" si="94"/>
        <v>280.24567308360002</v>
      </c>
      <c r="L233" s="459">
        <f t="shared" si="94"/>
        <v>280.31422390255608</v>
      </c>
      <c r="M233" s="459">
        <f t="shared" si="94"/>
        <v>280.05977992777861</v>
      </c>
      <c r="N233" s="459">
        <f t="shared" si="94"/>
        <v>279.43984742546002</v>
      </c>
    </row>
    <row r="234" spans="1:14">
      <c r="B234" s="338" t="str">
        <f t="shared" si="87"/>
        <v>45-49</v>
      </c>
      <c r="C234" s="459">
        <f t="shared" si="89"/>
        <v>211.17003587197627</v>
      </c>
      <c r="D234" s="459">
        <f t="shared" ref="D234:N234" si="95">D200+D166+D132</f>
        <v>221.94778155704853</v>
      </c>
      <c r="E234" s="459">
        <f t="shared" si="95"/>
        <v>230.89457847483777</v>
      </c>
      <c r="F234" s="459">
        <f t="shared" si="95"/>
        <v>239.34091926778424</v>
      </c>
      <c r="G234" s="459">
        <f t="shared" si="95"/>
        <v>246.79554095651292</v>
      </c>
      <c r="H234" s="459">
        <f t="shared" si="95"/>
        <v>252.88110190059527</v>
      </c>
      <c r="I234" s="459">
        <f t="shared" si="95"/>
        <v>258.11405768913141</v>
      </c>
      <c r="J234" s="459">
        <f t="shared" si="95"/>
        <v>262.6220430502363</v>
      </c>
      <c r="K234" s="459">
        <f t="shared" si="95"/>
        <v>266.15334393477673</v>
      </c>
      <c r="L234" s="459">
        <f t="shared" si="95"/>
        <v>268.25052669557903</v>
      </c>
      <c r="M234" s="459">
        <f t="shared" si="95"/>
        <v>269.70603630527171</v>
      </c>
      <c r="N234" s="459">
        <f t="shared" si="95"/>
        <v>270.50858674734178</v>
      </c>
    </row>
    <row r="235" spans="1:14">
      <c r="B235" s="338" t="str">
        <f t="shared" si="87"/>
        <v>50-54</v>
      </c>
      <c r="C235" s="459">
        <f t="shared" si="89"/>
        <v>221.9480074290783</v>
      </c>
      <c r="D235" s="459">
        <f t="shared" ref="D235:N235" si="96">D201+D167+D133</f>
        <v>223.78437534377315</v>
      </c>
      <c r="E235" s="459">
        <f t="shared" si="96"/>
        <v>226.81528851387063</v>
      </c>
      <c r="F235" s="459">
        <f t="shared" si="96"/>
        <v>231.49223261343076</v>
      </c>
      <c r="G235" s="459">
        <f t="shared" si="96"/>
        <v>236.78269354540231</v>
      </c>
      <c r="H235" s="459">
        <f t="shared" si="96"/>
        <v>241.91641324066057</v>
      </c>
      <c r="I235" s="459">
        <f t="shared" si="96"/>
        <v>247.06054818620805</v>
      </c>
      <c r="J235" s="459">
        <f t="shared" si="96"/>
        <v>252.08045023856863</v>
      </c>
      <c r="K235" s="459">
        <f t="shared" si="96"/>
        <v>256.53374408354676</v>
      </c>
      <c r="L235" s="459">
        <f t="shared" si="96"/>
        <v>259.82580622336462</v>
      </c>
      <c r="M235" s="459">
        <f t="shared" si="96"/>
        <v>262.57501959827255</v>
      </c>
      <c r="N235" s="459">
        <f t="shared" si="96"/>
        <v>264.67810305953458</v>
      </c>
    </row>
    <row r="236" spans="1:14">
      <c r="B236" s="338" t="str">
        <f t="shared" si="87"/>
        <v>55-59</v>
      </c>
      <c r="C236" s="459">
        <f t="shared" si="89"/>
        <v>414.12369244642713</v>
      </c>
      <c r="D236" s="459">
        <f t="shared" ref="D236:N236" si="97">D202+D168+D134</f>
        <v>368.37597179242368</v>
      </c>
      <c r="E236" s="459">
        <f t="shared" si="97"/>
        <v>340.32149561563642</v>
      </c>
      <c r="F236" s="459">
        <f t="shared" si="97"/>
        <v>325.39120553024935</v>
      </c>
      <c r="G236" s="459">
        <f t="shared" si="97"/>
        <v>318.3327110825457</v>
      </c>
      <c r="H236" s="459">
        <f t="shared" si="97"/>
        <v>315.6820219706272</v>
      </c>
      <c r="I236" s="459">
        <f t="shared" si="97"/>
        <v>316.3314591103001</v>
      </c>
      <c r="J236" s="459">
        <f t="shared" si="97"/>
        <v>319.07960546322306</v>
      </c>
      <c r="K236" s="459">
        <f t="shared" si="97"/>
        <v>322.53943651668629</v>
      </c>
      <c r="L236" s="459">
        <f t="shared" si="97"/>
        <v>325.33501938967481</v>
      </c>
      <c r="M236" s="459">
        <f t="shared" si="97"/>
        <v>328.24640198161779</v>
      </c>
      <c r="N236" s="459">
        <f t="shared" si="97"/>
        <v>330.82417813151665</v>
      </c>
    </row>
    <row r="237" spans="1:14">
      <c r="B237" s="338" t="str">
        <f t="shared" si="87"/>
        <v>60-64</v>
      </c>
      <c r="C237" s="459">
        <f t="shared" si="89"/>
        <v>286.8504195155773</v>
      </c>
      <c r="D237" s="459">
        <f t="shared" ref="D237:N237" si="98">D203+D169+D135</f>
        <v>264.03599717805878</v>
      </c>
      <c r="E237" s="459">
        <f t="shared" si="98"/>
        <v>240.50089314492237</v>
      </c>
      <c r="F237" s="459">
        <f t="shared" si="98"/>
        <v>223.05540128879198</v>
      </c>
      <c r="G237" s="459">
        <f t="shared" si="98"/>
        <v>211.14425355553595</v>
      </c>
      <c r="H237" s="459">
        <f t="shared" si="98"/>
        <v>203.27141013546773</v>
      </c>
      <c r="I237" s="459">
        <f t="shared" si="98"/>
        <v>199.06156588768744</v>
      </c>
      <c r="J237" s="459">
        <f t="shared" si="98"/>
        <v>197.49219497695756</v>
      </c>
      <c r="K237" s="459">
        <f t="shared" si="98"/>
        <v>197.21541440914098</v>
      </c>
      <c r="L237" s="459">
        <f t="shared" si="98"/>
        <v>196.91945322767134</v>
      </c>
      <c r="M237" s="459">
        <f t="shared" si="98"/>
        <v>197.37394678873596</v>
      </c>
      <c r="N237" s="459">
        <f t="shared" si="98"/>
        <v>198.03865539244129</v>
      </c>
    </row>
    <row r="238" spans="1:14">
      <c r="B238" s="338" t="str">
        <f t="shared" si="87"/>
        <v>65 plus</v>
      </c>
      <c r="C238" s="459">
        <f t="shared" si="89"/>
        <v>76.651974174414377</v>
      </c>
      <c r="D238" s="459">
        <f t="shared" ref="D238:N238" si="99">D204+D170+D136</f>
        <v>88.014442404972542</v>
      </c>
      <c r="E238" s="459">
        <f t="shared" si="99"/>
        <v>90.0379528213372</v>
      </c>
      <c r="F238" s="459">
        <f t="shared" si="99"/>
        <v>88.131036755370843</v>
      </c>
      <c r="G238" s="459">
        <f t="shared" si="99"/>
        <v>84.802931795815397</v>
      </c>
      <c r="H238" s="459">
        <f t="shared" si="99"/>
        <v>81.279020281220866</v>
      </c>
      <c r="I238" s="459">
        <f t="shared" si="99"/>
        <v>78.499981101959264</v>
      </c>
      <c r="J238" s="459">
        <f t="shared" si="99"/>
        <v>76.633584162275298</v>
      </c>
      <c r="K238" s="459">
        <f t="shared" si="99"/>
        <v>75.373971970859387</v>
      </c>
      <c r="L238" s="459">
        <f t="shared" si="99"/>
        <v>74.239036157088634</v>
      </c>
      <c r="M238" s="459">
        <f t="shared" si="99"/>
        <v>73.57514193862005</v>
      </c>
      <c r="N238" s="459">
        <f t="shared" si="99"/>
        <v>73.174560240336291</v>
      </c>
    </row>
    <row r="239" spans="1:14">
      <c r="B239" s="338" t="str">
        <f t="shared" si="87"/>
        <v>Total</v>
      </c>
      <c r="C239" s="459">
        <f>SUM(C229:C238)</f>
        <v>2667.7370871977723</v>
      </c>
      <c r="D239" s="459">
        <f t="shared" ref="D239:N239" si="100">SUM(D229:D238)</f>
        <v>2660.6566399639128</v>
      </c>
      <c r="E239" s="459">
        <f t="shared" si="100"/>
        <v>2643.9506422784111</v>
      </c>
      <c r="F239" s="459">
        <f t="shared" si="100"/>
        <v>2646.6150024222293</v>
      </c>
      <c r="G239" s="459">
        <f t="shared" si="100"/>
        <v>2657.192616249527</v>
      </c>
      <c r="H239" s="459">
        <f t="shared" si="100"/>
        <v>2666.1557903377261</v>
      </c>
      <c r="I239" s="459">
        <f t="shared" si="100"/>
        <v>2681.0835316887724</v>
      </c>
      <c r="J239" s="459">
        <f t="shared" si="100"/>
        <v>2701.0711702606909</v>
      </c>
      <c r="K239" s="459">
        <f t="shared" si="100"/>
        <v>2718.0053992509161</v>
      </c>
      <c r="L239" s="459">
        <f t="shared" si="100"/>
        <v>2720.6583725264018</v>
      </c>
      <c r="M239" s="459">
        <f t="shared" si="100"/>
        <v>2722.6181963780573</v>
      </c>
      <c r="N239" s="459">
        <f t="shared" si="100"/>
        <v>2721.1472905381465</v>
      </c>
    </row>
    <row r="240" spans="1:14">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179.37182271897922</v>
      </c>
      <c r="D247" s="459">
        <f t="shared" ref="D247:N247" si="105">D77-D213</f>
        <v>267.35097554877626</v>
      </c>
      <c r="E247" s="459">
        <f t="shared" si="105"/>
        <v>322.27670949308379</v>
      </c>
      <c r="F247" s="459">
        <f t="shared" si="105"/>
        <v>364.61481901961542</v>
      </c>
      <c r="G247" s="459">
        <f t="shared" si="105"/>
        <v>394.23331360613793</v>
      </c>
      <c r="H247" s="459">
        <f t="shared" si="105"/>
        <v>411.75070826251124</v>
      </c>
      <c r="I247" s="459">
        <f t="shared" si="105"/>
        <v>424.60754156110539</v>
      </c>
      <c r="J247" s="459">
        <f t="shared" si="105"/>
        <v>434.76621798412532</v>
      </c>
      <c r="K247" s="459">
        <f t="shared" si="105"/>
        <v>440.33351870582584</v>
      </c>
      <c r="L247" s="459">
        <f t="shared" si="105"/>
        <v>438.06800135592044</v>
      </c>
      <c r="M247" s="459">
        <f t="shared" si="105"/>
        <v>435.70062551835673</v>
      </c>
      <c r="N247" s="459">
        <f t="shared" si="105"/>
        <v>432.30704930862629</v>
      </c>
    </row>
    <row r="248" spans="2:14">
      <c r="B248" s="338" t="str">
        <f t="shared" si="102"/>
        <v>25-29</v>
      </c>
      <c r="C248" s="459">
        <f t="shared" si="104"/>
        <v>773.08041675057268</v>
      </c>
      <c r="D248" s="459">
        <f t="shared" ref="D248:N248" si="106">D78-D214</f>
        <v>768.92454151325614</v>
      </c>
      <c r="E248" s="459">
        <f t="shared" si="106"/>
        <v>772.88751594543442</v>
      </c>
      <c r="F248" s="459">
        <f t="shared" si="106"/>
        <v>790.56577195977434</v>
      </c>
      <c r="G248" s="459">
        <f t="shared" si="106"/>
        <v>810.68109940071781</v>
      </c>
      <c r="H248" s="459">
        <f t="shared" si="106"/>
        <v>826.09270532522271</v>
      </c>
      <c r="I248" s="459">
        <f t="shared" si="106"/>
        <v>840.98042877158503</v>
      </c>
      <c r="J248" s="459">
        <f t="shared" si="106"/>
        <v>855.40389198017806</v>
      </c>
      <c r="K248" s="459">
        <f t="shared" si="106"/>
        <v>865.48180646791457</v>
      </c>
      <c r="L248" s="459">
        <f t="shared" si="106"/>
        <v>865.60222071778367</v>
      </c>
      <c r="M248" s="459">
        <f t="shared" si="106"/>
        <v>864.26333699527015</v>
      </c>
      <c r="N248" s="459">
        <f t="shared" si="106"/>
        <v>860.61625391516861</v>
      </c>
    </row>
    <row r="249" spans="2:14">
      <c r="B249" s="338" t="str">
        <f t="shared" si="102"/>
        <v>30-34</v>
      </c>
      <c r="C249" s="459">
        <f t="shared" si="104"/>
        <v>1021.8901751752758</v>
      </c>
      <c r="D249" s="459">
        <f t="shared" ref="D249:N249" si="107">D79-D215</f>
        <v>1018.8494401010049</v>
      </c>
      <c r="E249" s="459">
        <f t="shared" si="107"/>
        <v>1010.3319620655209</v>
      </c>
      <c r="F249" s="459">
        <f t="shared" si="107"/>
        <v>1007.90254003991</v>
      </c>
      <c r="G249" s="459">
        <f t="shared" si="107"/>
        <v>1009.3496386325098</v>
      </c>
      <c r="H249" s="459">
        <f t="shared" si="107"/>
        <v>1011.5172312857271</v>
      </c>
      <c r="I249" s="459">
        <f t="shared" si="107"/>
        <v>1016.4702784490034</v>
      </c>
      <c r="J249" s="459">
        <f t="shared" si="107"/>
        <v>1023.8592977066877</v>
      </c>
      <c r="K249" s="459">
        <f t="shared" si="107"/>
        <v>1030.760612250843</v>
      </c>
      <c r="L249" s="459">
        <f t="shared" si="107"/>
        <v>1032.7131639991551</v>
      </c>
      <c r="M249" s="459">
        <f t="shared" si="107"/>
        <v>1033.5473891182348</v>
      </c>
      <c r="N249" s="459">
        <f t="shared" si="107"/>
        <v>1032.49800170915</v>
      </c>
    </row>
    <row r="250" spans="2:14">
      <c r="B250" s="338" t="str">
        <f t="shared" si="102"/>
        <v>35-39</v>
      </c>
      <c r="C250" s="459">
        <f t="shared" si="104"/>
        <v>987.64854098638205</v>
      </c>
      <c r="D250" s="459">
        <f t="shared" ref="D250:N250" si="108">D80-D216</f>
        <v>1008.1975164324136</v>
      </c>
      <c r="E250" s="459">
        <f t="shared" si="108"/>
        <v>1019.4948167326809</v>
      </c>
      <c r="F250" s="459">
        <f t="shared" si="108"/>
        <v>1028.4254040537212</v>
      </c>
      <c r="G250" s="459">
        <f t="shared" si="108"/>
        <v>1034.6519773026046</v>
      </c>
      <c r="H250" s="459">
        <f t="shared" si="108"/>
        <v>1037.8835574374161</v>
      </c>
      <c r="I250" s="459">
        <f t="shared" si="108"/>
        <v>1041.0267300192718</v>
      </c>
      <c r="J250" s="459">
        <f t="shared" si="108"/>
        <v>1044.926706140616</v>
      </c>
      <c r="K250" s="459">
        <f t="shared" si="108"/>
        <v>1048.4187816302062</v>
      </c>
      <c r="L250" s="459">
        <f t="shared" si="108"/>
        <v>1049.0641892416797</v>
      </c>
      <c r="M250" s="459">
        <f t="shared" si="108"/>
        <v>1049.5009805500483</v>
      </c>
      <c r="N250" s="459">
        <f t="shared" si="108"/>
        <v>1049.0648317376645</v>
      </c>
    </row>
    <row r="251" spans="2:14">
      <c r="B251" s="338" t="str">
        <f t="shared" si="102"/>
        <v>40-44</v>
      </c>
      <c r="C251" s="459">
        <f t="shared" si="104"/>
        <v>875.10920782002927</v>
      </c>
      <c r="D251" s="459">
        <f t="shared" ref="D251:N251" si="109">D81-D217</f>
        <v>900.36008412698823</v>
      </c>
      <c r="E251" s="459">
        <f t="shared" si="109"/>
        <v>920.13166469373164</v>
      </c>
      <c r="F251" s="459">
        <f t="shared" si="109"/>
        <v>938.70568039024567</v>
      </c>
      <c r="G251" s="459">
        <f t="shared" si="109"/>
        <v>954.23485648921837</v>
      </c>
      <c r="H251" s="459">
        <f t="shared" si="109"/>
        <v>965.58715319506314</v>
      </c>
      <c r="I251" s="459">
        <f t="shared" si="109"/>
        <v>974.92943398644502</v>
      </c>
      <c r="J251" s="459">
        <f t="shared" si="109"/>
        <v>983.001327207538</v>
      </c>
      <c r="K251" s="459">
        <f t="shared" si="109"/>
        <v>989.08302341268814</v>
      </c>
      <c r="L251" s="459">
        <f t="shared" si="109"/>
        <v>991.58084357978805</v>
      </c>
      <c r="M251" s="459">
        <f t="shared" si="109"/>
        <v>993.2261022277828</v>
      </c>
      <c r="N251" s="459">
        <f t="shared" si="109"/>
        <v>993.77745601542904</v>
      </c>
    </row>
    <row r="252" spans="2:14">
      <c r="B252" s="338" t="str">
        <f t="shared" si="102"/>
        <v>45-49</v>
      </c>
      <c r="C252" s="459">
        <f t="shared" si="104"/>
        <v>700.33919989252388</v>
      </c>
      <c r="D252" s="459">
        <f t="shared" ref="D252:N252" si="110">D82-D218</f>
        <v>729.876718426151</v>
      </c>
      <c r="E252" s="459">
        <f t="shared" si="110"/>
        <v>754.04149538056413</v>
      </c>
      <c r="F252" s="459">
        <f t="shared" si="110"/>
        <v>776.93648232523333</v>
      </c>
      <c r="G252" s="459">
        <f t="shared" si="110"/>
        <v>797.29710569667191</v>
      </c>
      <c r="H252" s="459">
        <f t="shared" si="110"/>
        <v>814.09633578767443</v>
      </c>
      <c r="I252" s="459">
        <f t="shared" si="110"/>
        <v>828.83120725231822</v>
      </c>
      <c r="J252" s="459">
        <f t="shared" si="110"/>
        <v>841.86637621549335</v>
      </c>
      <c r="K252" s="459">
        <f t="shared" si="110"/>
        <v>852.45829339479587</v>
      </c>
      <c r="L252" s="459">
        <f t="shared" si="110"/>
        <v>859.24961631264716</v>
      </c>
      <c r="M252" s="459">
        <f t="shared" si="110"/>
        <v>864.46146004189086</v>
      </c>
      <c r="N252" s="459">
        <f t="shared" si="110"/>
        <v>868.01097876961637</v>
      </c>
    </row>
    <row r="253" spans="2:14">
      <c r="B253" s="338" t="str">
        <f t="shared" si="102"/>
        <v>50-54</v>
      </c>
      <c r="C253" s="459">
        <f t="shared" si="104"/>
        <v>506.62506567616197</v>
      </c>
      <c r="D253" s="459">
        <f t="shared" ref="D253:N253" si="111">D83-D219</f>
        <v>524.47710632509131</v>
      </c>
      <c r="E253" s="459">
        <f t="shared" si="111"/>
        <v>540.85150251573634</v>
      </c>
      <c r="F253" s="459">
        <f t="shared" si="111"/>
        <v>557.89449008708311</v>
      </c>
      <c r="G253" s="459">
        <f t="shared" si="111"/>
        <v>574.19571782587116</v>
      </c>
      <c r="H253" s="459">
        <f t="shared" si="111"/>
        <v>588.69923494065279</v>
      </c>
      <c r="I253" s="459">
        <f t="shared" si="111"/>
        <v>602.24830665375612</v>
      </c>
      <c r="J253" s="459">
        <f t="shared" si="111"/>
        <v>614.88802578124285</v>
      </c>
      <c r="K253" s="459">
        <f t="shared" si="111"/>
        <v>625.8841632047139</v>
      </c>
      <c r="L253" s="459">
        <f t="shared" si="111"/>
        <v>634.08996370360137</v>
      </c>
      <c r="M253" s="459">
        <f t="shared" si="111"/>
        <v>640.98667713904888</v>
      </c>
      <c r="N253" s="459">
        <f t="shared" si="111"/>
        <v>646.41954196861911</v>
      </c>
    </row>
    <row r="254" spans="2:14">
      <c r="B254" s="338" t="str">
        <f t="shared" si="102"/>
        <v>55-59</v>
      </c>
      <c r="C254" s="459">
        <f t="shared" si="104"/>
        <v>298.72829353517955</v>
      </c>
      <c r="D254" s="459">
        <f t="shared" ref="D254:N254" si="112">D84-D220</f>
        <v>271.34415916002928</v>
      </c>
      <c r="E254" s="459">
        <f t="shared" si="112"/>
        <v>256.85888035018883</v>
      </c>
      <c r="F254" s="459">
        <f t="shared" si="112"/>
        <v>251.29461349396905</v>
      </c>
      <c r="G254" s="459">
        <f t="shared" si="112"/>
        <v>250.52061777837287</v>
      </c>
      <c r="H254" s="459">
        <f t="shared" si="112"/>
        <v>251.99737697131258</v>
      </c>
      <c r="I254" s="459">
        <f t="shared" si="112"/>
        <v>255.0904458670592</v>
      </c>
      <c r="J254" s="459">
        <f t="shared" si="112"/>
        <v>259.07794569735881</v>
      </c>
      <c r="K254" s="459">
        <f t="shared" si="112"/>
        <v>263.06617322564472</v>
      </c>
      <c r="L254" s="459">
        <f t="shared" si="112"/>
        <v>266.14181820335637</v>
      </c>
      <c r="M254" s="459">
        <f t="shared" si="112"/>
        <v>269.05072873790209</v>
      </c>
      <c r="N254" s="459">
        <f t="shared" si="112"/>
        <v>271.52969423888669</v>
      </c>
    </row>
    <row r="255" spans="2:14">
      <c r="B255" s="338" t="str">
        <f t="shared" si="102"/>
        <v>60-64</v>
      </c>
      <c r="C255" s="459">
        <f t="shared" si="104"/>
        <v>117.43319976214825</v>
      </c>
      <c r="D255" s="459">
        <f t="shared" ref="D255:N255" si="113">D85-D221</f>
        <v>101.82600863900674</v>
      </c>
      <c r="E255" s="459">
        <f t="shared" si="113"/>
        <v>90.559591263934436</v>
      </c>
      <c r="F255" s="459">
        <f t="shared" si="113"/>
        <v>83.623835092211891</v>
      </c>
      <c r="G255" s="459">
        <f t="shared" si="113"/>
        <v>79.603096282211879</v>
      </c>
      <c r="H255" s="459">
        <f t="shared" si="113"/>
        <v>77.361633553586984</v>
      </c>
      <c r="I255" s="459">
        <f t="shared" si="113"/>
        <v>76.495852801942206</v>
      </c>
      <c r="J255" s="459">
        <f t="shared" si="113"/>
        <v>76.525374471254025</v>
      </c>
      <c r="K255" s="459">
        <f t="shared" si="113"/>
        <v>76.921039535299229</v>
      </c>
      <c r="L255" s="459">
        <f t="shared" si="113"/>
        <v>77.196444910256503</v>
      </c>
      <c r="M255" s="459">
        <f t="shared" si="113"/>
        <v>77.650186026524125</v>
      </c>
      <c r="N255" s="459">
        <f t="shared" si="113"/>
        <v>78.108435705590864</v>
      </c>
    </row>
    <row r="256" spans="2:14">
      <c r="B256" s="338" t="str">
        <f t="shared" si="102"/>
        <v>65 plus</v>
      </c>
      <c r="C256" s="459">
        <f t="shared" si="104"/>
        <v>29.095329451685767</v>
      </c>
      <c r="D256" s="459">
        <f t="shared" ref="D256:N256" si="114">D86-D222</f>
        <v>31.287356079588065</v>
      </c>
      <c r="E256" s="459">
        <f t="shared" si="114"/>
        <v>30.64459272412553</v>
      </c>
      <c r="F256" s="459">
        <f t="shared" si="114"/>
        <v>29.170870912749152</v>
      </c>
      <c r="G256" s="459">
        <f t="shared" si="114"/>
        <v>27.632616110964779</v>
      </c>
      <c r="H256" s="459">
        <f t="shared" si="114"/>
        <v>26.304753178616245</v>
      </c>
      <c r="I256" s="459">
        <f t="shared" si="114"/>
        <v>25.362783291463384</v>
      </c>
      <c r="J256" s="459">
        <f t="shared" si="114"/>
        <v>24.78816218051232</v>
      </c>
      <c r="K256" s="459">
        <f t="shared" si="114"/>
        <v>24.449421663867451</v>
      </c>
      <c r="L256" s="459">
        <f t="shared" si="114"/>
        <v>24.17808543012929</v>
      </c>
      <c r="M256" s="459">
        <f t="shared" si="114"/>
        <v>24.045183467483835</v>
      </c>
      <c r="N256" s="459">
        <f t="shared" si="114"/>
        <v>23.985427335227779</v>
      </c>
    </row>
    <row r="257" spans="1:14">
      <c r="B257" s="338" t="str">
        <f t="shared" si="102"/>
        <v>Total</v>
      </c>
      <c r="C257" s="459">
        <f>SUM(C247:C256)</f>
        <v>5489.3212517689381</v>
      </c>
      <c r="D257" s="459">
        <f t="shared" ref="D257:N257" si="115">SUM(D247:D256)</f>
        <v>5622.4939063523043</v>
      </c>
      <c r="E257" s="459">
        <f t="shared" si="115"/>
        <v>5718.078731165002</v>
      </c>
      <c r="F257" s="459">
        <f t="shared" si="115"/>
        <v>5829.1345073745133</v>
      </c>
      <c r="G257" s="459">
        <f t="shared" si="115"/>
        <v>5932.4000391252803</v>
      </c>
      <c r="H257" s="459">
        <f t="shared" si="115"/>
        <v>6011.2906899377831</v>
      </c>
      <c r="I257" s="459">
        <f t="shared" si="115"/>
        <v>6086.04300865395</v>
      </c>
      <c r="J257" s="459">
        <f t="shared" si="115"/>
        <v>6159.1033253650066</v>
      </c>
      <c r="K257" s="459">
        <f t="shared" si="115"/>
        <v>6216.8568334918</v>
      </c>
      <c r="L257" s="459">
        <f t="shared" si="115"/>
        <v>6237.8843474543173</v>
      </c>
      <c r="M257" s="459">
        <f t="shared" si="115"/>
        <v>6252.4326698225432</v>
      </c>
      <c r="N257" s="459">
        <f t="shared" si="115"/>
        <v>6256.3176707039793</v>
      </c>
    </row>
    <row r="258" spans="1:14">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4">
      <c r="B263" s="338" t="str">
        <f t="shared" si="117"/>
        <v>20-24</v>
      </c>
      <c r="C263" s="459">
        <f t="shared" ref="C263:C272" si="119">C93-C229</f>
        <v>940.24183700418894</v>
      </c>
      <c r="D263" s="459">
        <f t="shared" ref="D263:N263" si="120">D93-D229</f>
        <v>1225.029493709703</v>
      </c>
      <c r="E263" s="459">
        <f t="shared" si="120"/>
        <v>1402.575014275395</v>
      </c>
      <c r="F263" s="459">
        <f t="shared" si="120"/>
        <v>1544.6215018011403</v>
      </c>
      <c r="G263" s="459">
        <f t="shared" si="120"/>
        <v>1646.0625930631932</v>
      </c>
      <c r="H263" s="459">
        <f t="shared" si="120"/>
        <v>1706.0186300017622</v>
      </c>
      <c r="I263" s="459">
        <f t="shared" si="120"/>
        <v>1751.1850667172403</v>
      </c>
      <c r="J263" s="459">
        <f t="shared" si="120"/>
        <v>1787.982962220658</v>
      </c>
      <c r="K263" s="459">
        <f t="shared" si="120"/>
        <v>1808.2618249070126</v>
      </c>
      <c r="L263" s="459">
        <f t="shared" si="120"/>
        <v>1798.7238925681838</v>
      </c>
      <c r="M263" s="459">
        <f t="shared" si="120"/>
        <v>1788.8591508861066</v>
      </c>
      <c r="N263" s="459">
        <f t="shared" si="120"/>
        <v>1775.0372782525478</v>
      </c>
    </row>
    <row r="264" spans="1:14">
      <c r="B264" s="338" t="str">
        <f t="shared" si="117"/>
        <v>25-29</v>
      </c>
      <c r="C264" s="459">
        <f t="shared" si="119"/>
        <v>3489.1033418355878</v>
      </c>
      <c r="D264" s="459">
        <f t="shared" ref="D264:N264" si="121">D94-D230</f>
        <v>3397.4446413845926</v>
      </c>
      <c r="E264" s="459">
        <f t="shared" si="121"/>
        <v>3348.9056113261322</v>
      </c>
      <c r="F264" s="459">
        <f t="shared" si="121"/>
        <v>3365.3990419014044</v>
      </c>
      <c r="G264" s="459">
        <f t="shared" si="121"/>
        <v>3402.6680959762807</v>
      </c>
      <c r="H264" s="459">
        <f t="shared" si="121"/>
        <v>3431.4968752046339</v>
      </c>
      <c r="I264" s="459">
        <f t="shared" si="121"/>
        <v>3466.0187884105062</v>
      </c>
      <c r="J264" s="459">
        <f t="shared" si="121"/>
        <v>3504.8351903656499</v>
      </c>
      <c r="K264" s="459">
        <f t="shared" si="121"/>
        <v>3531.6148619947421</v>
      </c>
      <c r="L264" s="459">
        <f t="shared" si="121"/>
        <v>3523.4663089277451</v>
      </c>
      <c r="M264" s="459">
        <f t="shared" si="121"/>
        <v>3511.9427589677193</v>
      </c>
      <c r="N264" s="459">
        <f t="shared" si="121"/>
        <v>3493.1136662530394</v>
      </c>
    </row>
    <row r="265" spans="1:14">
      <c r="B265" s="338" t="str">
        <f t="shared" si="117"/>
        <v>30-34</v>
      </c>
      <c r="C265" s="459">
        <f t="shared" si="119"/>
        <v>3951.3654227245006</v>
      </c>
      <c r="D265" s="459">
        <f t="shared" ref="D265:N265" si="122">D95-D231</f>
        <v>3934.9420883516864</v>
      </c>
      <c r="E265" s="459">
        <f t="shared" si="122"/>
        <v>3885.9074220338207</v>
      </c>
      <c r="F265" s="459">
        <f t="shared" si="122"/>
        <v>3853.3011899980797</v>
      </c>
      <c r="G265" s="459">
        <f t="shared" si="122"/>
        <v>3832.5044699506411</v>
      </c>
      <c r="H265" s="459">
        <f t="shared" si="122"/>
        <v>3814.3031220151993</v>
      </c>
      <c r="I265" s="459">
        <f t="shared" si="122"/>
        <v>3808.1121655400666</v>
      </c>
      <c r="J265" s="459">
        <f t="shared" si="122"/>
        <v>3813.4048486457118</v>
      </c>
      <c r="K265" s="459">
        <f t="shared" si="122"/>
        <v>3819.5615388574533</v>
      </c>
      <c r="L265" s="459">
        <f t="shared" si="122"/>
        <v>3810.0568381608341</v>
      </c>
      <c r="M265" s="459">
        <f t="shared" si="122"/>
        <v>3799.2930860229053</v>
      </c>
      <c r="N265" s="459">
        <f t="shared" si="122"/>
        <v>3784.0855807144476</v>
      </c>
    </row>
    <row r="266" spans="1:14">
      <c r="B266" s="338" t="str">
        <f t="shared" si="117"/>
        <v>35-39</v>
      </c>
      <c r="C266" s="459">
        <f t="shared" si="119"/>
        <v>3521.056365132481</v>
      </c>
      <c r="D266" s="459">
        <f t="shared" ref="D266:N266" si="123">D96-D232</f>
        <v>3593.1780274949961</v>
      </c>
      <c r="E266" s="459">
        <f t="shared" si="123"/>
        <v>3629.8524103511086</v>
      </c>
      <c r="F266" s="459">
        <f t="shared" si="123"/>
        <v>3655.4492568555283</v>
      </c>
      <c r="G266" s="459">
        <f t="shared" si="123"/>
        <v>3668.1879670980711</v>
      </c>
      <c r="H266" s="459">
        <f t="shared" si="123"/>
        <v>3667.3220636584169</v>
      </c>
      <c r="I266" s="459">
        <f t="shared" si="123"/>
        <v>3664.5057884517882</v>
      </c>
      <c r="J266" s="459">
        <f t="shared" si="123"/>
        <v>3663.5857374495845</v>
      </c>
      <c r="K266" s="459">
        <f t="shared" si="123"/>
        <v>3660.8110276362281</v>
      </c>
      <c r="L266" s="459">
        <f t="shared" si="123"/>
        <v>3647.6782176412139</v>
      </c>
      <c r="M266" s="459">
        <f t="shared" si="123"/>
        <v>3634.7379646841555</v>
      </c>
      <c r="N266" s="459">
        <f t="shared" si="123"/>
        <v>3619.8145656251859</v>
      </c>
    </row>
    <row r="267" spans="1:14">
      <c r="B267" s="338" t="str">
        <f t="shared" si="117"/>
        <v>40-44</v>
      </c>
      <c r="C267" s="459">
        <f t="shared" si="119"/>
        <v>2969.5233374662685</v>
      </c>
      <c r="D267" s="459">
        <f t="shared" ref="D267:N267" si="124">D97-D233</f>
        <v>3080.6574027032016</v>
      </c>
      <c r="E267" s="459">
        <f t="shared" si="124"/>
        <v>3165.0667386480432</v>
      </c>
      <c r="F267" s="459">
        <f t="shared" si="124"/>
        <v>3240.6426481028811</v>
      </c>
      <c r="G267" s="459">
        <f t="shared" si="124"/>
        <v>3301.1855457701531</v>
      </c>
      <c r="H267" s="459">
        <f t="shared" si="124"/>
        <v>3342.9588062331177</v>
      </c>
      <c r="I267" s="459">
        <f t="shared" si="124"/>
        <v>3374.652669945961</v>
      </c>
      <c r="J267" s="459">
        <f t="shared" si="124"/>
        <v>3399.4710588773423</v>
      </c>
      <c r="K267" s="459">
        <f t="shared" si="124"/>
        <v>3415.0883278922256</v>
      </c>
      <c r="L267" s="459">
        <f t="shared" si="124"/>
        <v>3415.9236917324893</v>
      </c>
      <c r="M267" s="459">
        <f t="shared" si="124"/>
        <v>3412.8230242402715</v>
      </c>
      <c r="N267" s="459">
        <f t="shared" si="124"/>
        <v>3405.2684945683081</v>
      </c>
    </row>
    <row r="268" spans="1:14">
      <c r="B268" s="338" t="str">
        <f t="shared" si="117"/>
        <v>45-49</v>
      </c>
      <c r="C268" s="459">
        <f t="shared" si="119"/>
        <v>2302.1327665461095</v>
      </c>
      <c r="D268" s="459">
        <f t="shared" ref="D268:N268" si="125">D98-D234</f>
        <v>2419.6295571710266</v>
      </c>
      <c r="E268" s="459">
        <f t="shared" si="125"/>
        <v>2517.1657168587735</v>
      </c>
      <c r="F268" s="459">
        <f t="shared" si="125"/>
        <v>2609.2460056959912</v>
      </c>
      <c r="G268" s="459">
        <f t="shared" si="125"/>
        <v>2690.5147746336061</v>
      </c>
      <c r="H268" s="459">
        <f t="shared" si="125"/>
        <v>2756.8583218813742</v>
      </c>
      <c r="I268" s="459">
        <f t="shared" si="125"/>
        <v>2813.9069411939154</v>
      </c>
      <c r="J268" s="459">
        <f t="shared" si="125"/>
        <v>2863.052080408655</v>
      </c>
      <c r="K268" s="459">
        <f t="shared" si="125"/>
        <v>2901.5496041755323</v>
      </c>
      <c r="L268" s="459">
        <f t="shared" si="125"/>
        <v>2924.4126639422389</v>
      </c>
      <c r="M268" s="459">
        <f t="shared" si="125"/>
        <v>2940.2803335699882</v>
      </c>
      <c r="N268" s="459">
        <f t="shared" si="125"/>
        <v>2949.0295752029988</v>
      </c>
    </row>
    <row r="269" spans="1:14">
      <c r="B269" s="338" t="str">
        <f t="shared" si="117"/>
        <v>50-54</v>
      </c>
      <c r="C269" s="459">
        <f t="shared" si="119"/>
        <v>1874.8161141027658</v>
      </c>
      <c r="D269" s="459">
        <f t="shared" ref="D269:N269" si="126">D99-D235</f>
        <v>1890.3280900730447</v>
      </c>
      <c r="E269" s="459">
        <f t="shared" si="126"/>
        <v>1915.9305044293023</v>
      </c>
      <c r="F269" s="459">
        <f t="shared" si="126"/>
        <v>1955.4370999792316</v>
      </c>
      <c r="G269" s="459">
        <f t="shared" si="126"/>
        <v>2000.1261310779259</v>
      </c>
      <c r="H269" s="459">
        <f t="shared" si="126"/>
        <v>2043.4911539111788</v>
      </c>
      <c r="I269" s="459">
        <f t="shared" si="126"/>
        <v>2086.9441553629413</v>
      </c>
      <c r="J269" s="459">
        <f t="shared" si="126"/>
        <v>2129.3477496461228</v>
      </c>
      <c r="K269" s="459">
        <f t="shared" si="126"/>
        <v>2166.9651500369214</v>
      </c>
      <c r="L269" s="459">
        <f t="shared" si="126"/>
        <v>2194.7735147969902</v>
      </c>
      <c r="M269" s="459">
        <f t="shared" si="126"/>
        <v>2217.9963839548991</v>
      </c>
      <c r="N269" s="459">
        <f t="shared" si="126"/>
        <v>2235.7613317377127</v>
      </c>
    </row>
    <row r="270" spans="1:14">
      <c r="B270" s="338" t="str">
        <f t="shared" si="117"/>
        <v>55-59</v>
      </c>
      <c r="C270" s="459">
        <f t="shared" si="119"/>
        <v>1265.5596186429034</v>
      </c>
      <c r="D270" s="459">
        <f t="shared" ref="D270:N270" si="127">D100-D236</f>
        <v>1125.7548478444969</v>
      </c>
      <c r="E270" s="459">
        <f t="shared" si="127"/>
        <v>1040.0205302502086</v>
      </c>
      <c r="F270" s="459">
        <f t="shared" si="127"/>
        <v>994.39364975209537</v>
      </c>
      <c r="G270" s="459">
        <f t="shared" si="127"/>
        <v>972.82293137890201</v>
      </c>
      <c r="H270" s="459">
        <f t="shared" si="127"/>
        <v>964.72244072162243</v>
      </c>
      <c r="I270" s="459">
        <f t="shared" si="127"/>
        <v>966.7071168795153</v>
      </c>
      <c r="J270" s="459">
        <f t="shared" si="127"/>
        <v>975.10543630392249</v>
      </c>
      <c r="K270" s="459">
        <f t="shared" si="127"/>
        <v>985.67866007366911</v>
      </c>
      <c r="L270" s="459">
        <f t="shared" si="127"/>
        <v>994.22194523014844</v>
      </c>
      <c r="M270" s="459">
        <f t="shared" si="127"/>
        <v>1003.1191136607124</v>
      </c>
      <c r="N270" s="459">
        <f t="shared" si="127"/>
        <v>1010.99678272606</v>
      </c>
    </row>
    <row r="271" spans="1:14">
      <c r="B271" s="338" t="str">
        <f t="shared" si="117"/>
        <v>60-64</v>
      </c>
      <c r="C271" s="459">
        <f t="shared" si="119"/>
        <v>388.50872782083411</v>
      </c>
      <c r="D271" s="459">
        <f t="shared" ref="D271:N271" si="128">D101-D237</f>
        <v>357.60899194704643</v>
      </c>
      <c r="E271" s="459">
        <f t="shared" si="128"/>
        <v>325.73316850399141</v>
      </c>
      <c r="F271" s="459">
        <f t="shared" si="128"/>
        <v>302.10508436634251</v>
      </c>
      <c r="G271" s="459">
        <f t="shared" si="128"/>
        <v>285.97268734719847</v>
      </c>
      <c r="H271" s="459">
        <f t="shared" si="128"/>
        <v>275.30974884904776</v>
      </c>
      <c r="I271" s="459">
        <f t="shared" si="128"/>
        <v>269.60795752592179</v>
      </c>
      <c r="J271" s="459">
        <f t="shared" si="128"/>
        <v>267.48240966360265</v>
      </c>
      <c r="K271" s="459">
        <f t="shared" si="128"/>
        <v>267.10753949095465</v>
      </c>
      <c r="L271" s="459">
        <f t="shared" si="128"/>
        <v>266.70669119416181</v>
      </c>
      <c r="M271" s="459">
        <f t="shared" si="128"/>
        <v>267.32225492772784</v>
      </c>
      <c r="N271" s="459">
        <f t="shared" si="128"/>
        <v>268.22253283017341</v>
      </c>
    </row>
    <row r="272" spans="1:14">
      <c r="B272" s="338" t="str">
        <f t="shared" si="117"/>
        <v>65 plus</v>
      </c>
      <c r="C272" s="459">
        <f t="shared" si="119"/>
        <v>75.690840324951878</v>
      </c>
      <c r="D272" s="459">
        <f t="shared" ref="D272:N272" si="129">D102-D238</f>
        <v>86.910835345296519</v>
      </c>
      <c r="E272" s="459">
        <f t="shared" si="129"/>
        <v>88.908973103267783</v>
      </c>
      <c r="F272" s="459">
        <f t="shared" si="129"/>
        <v>87.025967727128034</v>
      </c>
      <c r="G272" s="459">
        <f t="shared" si="129"/>
        <v>83.739593647509452</v>
      </c>
      <c r="H272" s="459">
        <f t="shared" si="129"/>
        <v>80.259868217822273</v>
      </c>
      <c r="I272" s="459">
        <f t="shared" si="129"/>
        <v>77.5156752203184</v>
      </c>
      <c r="J272" s="459">
        <f t="shared" si="129"/>
        <v>75.672680903914312</v>
      </c>
      <c r="K272" s="459">
        <f t="shared" si="129"/>
        <v>74.428862903416572</v>
      </c>
      <c r="L272" s="459">
        <f t="shared" si="129"/>
        <v>73.308157972011628</v>
      </c>
      <c r="M272" s="459">
        <f t="shared" si="129"/>
        <v>72.652588277636596</v>
      </c>
      <c r="N272" s="459">
        <f t="shared" si="129"/>
        <v>72.257029445806609</v>
      </c>
    </row>
    <row r="273" spans="1:14">
      <c r="B273" s="338" t="str">
        <f t="shared" si="117"/>
        <v>Total</v>
      </c>
      <c r="C273" s="459">
        <f>SUM(C263:C272)</f>
        <v>20777.998371600592</v>
      </c>
      <c r="D273" s="459">
        <f t="shared" ref="D273:N273" si="130">SUM(D263:D272)</f>
        <v>21111.483976025091</v>
      </c>
      <c r="E273" s="459">
        <f t="shared" si="130"/>
        <v>21320.066089780041</v>
      </c>
      <c r="F273" s="459">
        <f t="shared" si="130"/>
        <v>21607.621446179823</v>
      </c>
      <c r="G273" s="459">
        <f t="shared" si="130"/>
        <v>21883.784789943482</v>
      </c>
      <c r="H273" s="459">
        <f t="shared" si="130"/>
        <v>22082.741030694175</v>
      </c>
      <c r="I273" s="459">
        <f t="shared" si="130"/>
        <v>22279.156325248172</v>
      </c>
      <c r="J273" s="459">
        <f t="shared" si="130"/>
        <v>22479.940154485164</v>
      </c>
      <c r="K273" s="459">
        <f t="shared" si="130"/>
        <v>22631.067397968156</v>
      </c>
      <c r="L273" s="459">
        <f t="shared" si="130"/>
        <v>22649.271922166015</v>
      </c>
      <c r="M273" s="459">
        <f t="shared" si="130"/>
        <v>22649.026659192121</v>
      </c>
      <c r="N273" s="459">
        <f t="shared" si="130"/>
        <v>22613.586837356273</v>
      </c>
    </row>
    <row r="274" spans="1:14">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4">
      <c r="B279" s="326" t="s">
        <v>200</v>
      </c>
      <c r="C279" s="459">
        <f>C223+C239</f>
        <v>3317.3065464847987</v>
      </c>
      <c r="D279" s="459">
        <f t="shared" ref="D279:K279" si="133">D223+D239</f>
        <v>3311.4522274498577</v>
      </c>
      <c r="E279" s="459">
        <f t="shared" si="133"/>
        <v>3295.2558806829338</v>
      </c>
      <c r="F279" s="459">
        <f t="shared" si="133"/>
        <v>3303.8247895635436</v>
      </c>
      <c r="G279" s="459">
        <f t="shared" si="133"/>
        <v>3321.9794105514275</v>
      </c>
      <c r="H279" s="459">
        <f t="shared" si="133"/>
        <v>3337.448884654149</v>
      </c>
      <c r="I279" s="459">
        <f t="shared" si="133"/>
        <v>3359.7582422308105</v>
      </c>
      <c r="J279" s="459">
        <f t="shared" si="133"/>
        <v>3387.8151570893042</v>
      </c>
      <c r="K279" s="459">
        <f t="shared" si="133"/>
        <v>3411.4883690848524</v>
      </c>
      <c r="L279" s="459">
        <f>L223+L239</f>
        <v>3416.758287776041</v>
      </c>
      <c r="M279" s="459">
        <f>M223+M239</f>
        <v>3420.8796701569358</v>
      </c>
      <c r="N279" s="459">
        <f>N223+N239</f>
        <v>3420.4718204988367</v>
      </c>
    </row>
    <row r="280" spans="1:14">
      <c r="B280" s="326" t="s">
        <v>201</v>
      </c>
      <c r="C280" s="459">
        <f>C155+C171</f>
        <v>921.80210407337415</v>
      </c>
      <c r="D280" s="459">
        <f t="shared" ref="D280:N280" si="134">D155+D171</f>
        <v>859.98163534127684</v>
      </c>
      <c r="E280" s="459">
        <f t="shared" si="134"/>
        <v>807.27101160221309</v>
      </c>
      <c r="F280" s="459">
        <f t="shared" si="134"/>
        <v>772.05234296830895</v>
      </c>
      <c r="G280" s="459">
        <f t="shared" si="134"/>
        <v>750.18706038436812</v>
      </c>
      <c r="H280" s="459">
        <f t="shared" si="134"/>
        <v>737.21017101814687</v>
      </c>
      <c r="I280" s="459">
        <f t="shared" si="134"/>
        <v>732.53728730045168</v>
      </c>
      <c r="J280" s="459">
        <f t="shared" si="134"/>
        <v>733.86622232532352</v>
      </c>
      <c r="K280" s="459">
        <f t="shared" si="134"/>
        <v>737.73549607424729</v>
      </c>
      <c r="L280" s="459">
        <f t="shared" si="134"/>
        <v>740.50251116703294</v>
      </c>
      <c r="M280" s="459">
        <f t="shared" si="134"/>
        <v>744.48970345570172</v>
      </c>
      <c r="N280" s="459">
        <f t="shared" si="134"/>
        <v>748.38039312297042</v>
      </c>
    </row>
    <row r="281" spans="1:14">
      <c r="B281" s="326" t="s">
        <v>523</v>
      </c>
      <c r="C281" s="459">
        <f>C189+C205</f>
        <v>15.572202786626104</v>
      </c>
      <c r="D281" s="459">
        <f t="shared" ref="D281:N281" si="135">D189+D205</f>
        <v>15.596677659338731</v>
      </c>
      <c r="E281" s="459">
        <f t="shared" si="135"/>
        <v>15.414460661613603</v>
      </c>
      <c r="F281" s="459">
        <f t="shared" si="135"/>
        <v>15.261246333422587</v>
      </c>
      <c r="G281" s="459">
        <f t="shared" si="135"/>
        <v>15.155019663889925</v>
      </c>
      <c r="H281" s="459">
        <f t="shared" si="135"/>
        <v>15.082400260416676</v>
      </c>
      <c r="I281" s="459">
        <f t="shared" si="135"/>
        <v>15.078055615766933</v>
      </c>
      <c r="J281" s="459">
        <f t="shared" si="135"/>
        <v>15.132644989941575</v>
      </c>
      <c r="K281" s="459">
        <f t="shared" si="135"/>
        <v>15.204184061046835</v>
      </c>
      <c r="L281" s="459">
        <f t="shared" si="135"/>
        <v>15.237746053954668</v>
      </c>
      <c r="M281" s="459">
        <f t="shared" si="135"/>
        <v>15.280635450199869</v>
      </c>
      <c r="N281" s="459">
        <f t="shared" si="135"/>
        <v>15.315749516313577</v>
      </c>
    </row>
    <row r="282" spans="1:14">
      <c r="B282" s="326" t="s">
        <v>202</v>
      </c>
      <c r="C282" s="459">
        <f>C121+C137</f>
        <v>2379.9322396247985</v>
      </c>
      <c r="D282" s="459">
        <f t="shared" ref="D282:N282" si="136">D121+D137</f>
        <v>2435.873914449242</v>
      </c>
      <c r="E282" s="459">
        <f t="shared" si="136"/>
        <v>2472.5704084191075</v>
      </c>
      <c r="F282" s="459">
        <f t="shared" si="136"/>
        <v>2516.5112002618121</v>
      </c>
      <c r="G282" s="459">
        <f t="shared" si="136"/>
        <v>2556.6373305031693</v>
      </c>
      <c r="H282" s="459">
        <f t="shared" si="136"/>
        <v>2585.1563133755853</v>
      </c>
      <c r="I282" s="459">
        <f t="shared" si="136"/>
        <v>2612.1428993145919</v>
      </c>
      <c r="J282" s="459">
        <f t="shared" si="136"/>
        <v>2638.816289774039</v>
      </c>
      <c r="K282" s="459">
        <f t="shared" si="136"/>
        <v>2658.5486889495587</v>
      </c>
      <c r="L282" s="459">
        <f t="shared" si="136"/>
        <v>2661.018030555053</v>
      </c>
      <c r="M282" s="459">
        <f t="shared" si="136"/>
        <v>2661.1093312510347</v>
      </c>
      <c r="N282" s="459">
        <f t="shared" si="136"/>
        <v>2656.7756778595531</v>
      </c>
    </row>
    <row r="283" spans="1:14"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4" ht="15.75">
      <c r="B290" s="340"/>
      <c r="C290" s="313">
        <f>C53+C69-C15</f>
        <v>0</v>
      </c>
      <c r="D290" s="313">
        <f>D53+D69-D15</f>
        <v>0</v>
      </c>
      <c r="E290" s="313">
        <f>E53+E69-E15</f>
        <v>0</v>
      </c>
      <c r="F290" s="313">
        <f t="shared" ref="F290:N290" si="139">F53+F69-F15</f>
        <v>0</v>
      </c>
      <c r="G290" s="313">
        <f t="shared" si="139"/>
        <v>0</v>
      </c>
      <c r="H290" s="313">
        <f t="shared" si="139"/>
        <v>0</v>
      </c>
      <c r="I290" s="313">
        <f t="shared" si="139"/>
        <v>0</v>
      </c>
      <c r="J290" s="313">
        <f t="shared" si="139"/>
        <v>0</v>
      </c>
      <c r="K290" s="313">
        <f t="shared" si="139"/>
        <v>0</v>
      </c>
      <c r="L290" s="313">
        <f t="shared" si="139"/>
        <v>0</v>
      </c>
      <c r="M290" s="313">
        <f t="shared" si="139"/>
        <v>0</v>
      </c>
      <c r="N290" s="313">
        <f t="shared" si="139"/>
        <v>0</v>
      </c>
    </row>
    <row r="291" spans="2:14" ht="15.75">
      <c r="B291" s="340"/>
      <c r="H291" s="327"/>
    </row>
    <row r="292" spans="2:14" ht="15.75">
      <c r="B292" s="340" t="s">
        <v>263</v>
      </c>
      <c r="H292" s="327"/>
    </row>
    <row r="293" spans="2:14"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4">
      <c r="B294" s="363" t="s">
        <v>266</v>
      </c>
      <c r="C294" s="459">
        <f>C36-C15+C279-C290</f>
        <v>3778.1104864577228</v>
      </c>
      <c r="D294" s="459">
        <f t="shared" ref="D294:N294" si="141">D36-D15+D279-D290</f>
        <v>3599.4228192505816</v>
      </c>
      <c r="E294" s="459">
        <f t="shared" si="141"/>
        <v>3702.4359221728346</v>
      </c>
      <c r="F294" s="459">
        <f t="shared" si="141"/>
        <v>3701.4082860658532</v>
      </c>
      <c r="G294" s="459">
        <f t="shared" si="141"/>
        <v>3615.2957762173473</v>
      </c>
      <c r="H294" s="459">
        <f t="shared" si="141"/>
        <v>3630.9258555009756</v>
      </c>
      <c r="I294" s="459">
        <f t="shared" si="141"/>
        <v>3661.6593030373506</v>
      </c>
      <c r="J294" s="459">
        <f t="shared" si="141"/>
        <v>3620.3691206946369</v>
      </c>
      <c r="K294" s="459">
        <f t="shared" si="141"/>
        <v>3455.9903259364196</v>
      </c>
      <c r="L294" s="459">
        <f t="shared" si="141"/>
        <v>3435.1827295512644</v>
      </c>
      <c r="M294" s="459">
        <f t="shared" si="141"/>
        <v>3388.9169995444304</v>
      </c>
      <c r="N294" s="459">
        <f t="shared" si="141"/>
        <v>3324.7251138627344</v>
      </c>
    </row>
    <row r="295" spans="2:14" ht="12.75" customHeight="1">
      <c r="B295" s="1243" t="s">
        <v>264</v>
      </c>
      <c r="C295" s="1243"/>
      <c r="D295" s="1243"/>
      <c r="E295" s="1243"/>
      <c r="F295" s="1243"/>
      <c r="G295" s="1243"/>
      <c r="H295" s="1243"/>
      <c r="I295" s="1243"/>
      <c r="J295" s="1243"/>
      <c r="K295" s="1243"/>
      <c r="L295" s="1243"/>
      <c r="M295" s="1243"/>
      <c r="N295" s="1243"/>
    </row>
    <row r="296" spans="2:14">
      <c r="B296" s="326" t="s">
        <v>1</v>
      </c>
      <c r="C296" s="282">
        <f>IF(C294&lt;0,0,C294)</f>
        <v>3778.1104864577228</v>
      </c>
      <c r="D296" s="282">
        <f t="shared" ref="D296:N296" si="142">IF(D294&lt;0,0,D294)</f>
        <v>3599.4228192505816</v>
      </c>
      <c r="E296" s="282">
        <f t="shared" si="142"/>
        <v>3702.4359221728346</v>
      </c>
      <c r="F296" s="282">
        <f t="shared" si="142"/>
        <v>3701.4082860658532</v>
      </c>
      <c r="G296" s="282">
        <f t="shared" si="142"/>
        <v>3615.2957762173473</v>
      </c>
      <c r="H296" s="282">
        <f t="shared" si="142"/>
        <v>3630.9258555009756</v>
      </c>
      <c r="I296" s="282">
        <f t="shared" si="142"/>
        <v>3661.6593030373506</v>
      </c>
      <c r="J296" s="282">
        <f t="shared" si="142"/>
        <v>3620.3691206946369</v>
      </c>
      <c r="K296" s="282">
        <f t="shared" si="142"/>
        <v>3455.9903259364196</v>
      </c>
      <c r="L296" s="282">
        <f t="shared" si="142"/>
        <v>3435.1827295512644</v>
      </c>
      <c r="M296" s="282">
        <f t="shared" si="142"/>
        <v>3388.9169995444304</v>
      </c>
      <c r="N296" s="282">
        <f t="shared" si="142"/>
        <v>3324.7251138627344</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4">
      <c r="B303" s="338" t="str">
        <f t="shared" si="143"/>
        <v>20-24</v>
      </c>
      <c r="C303" s="459">
        <f>C$296*Entrant_age_breakdowns!$K76*$G$31</f>
        <v>202.29592688622921</v>
      </c>
      <c r="D303" s="459">
        <f>D$296*Entrant_age_breakdowns!$K76*$G$31</f>
        <v>192.72823759011808</v>
      </c>
      <c r="E303" s="459">
        <f>E$296*Entrant_age_breakdowns!$K76*$G$31</f>
        <v>198.24399241300631</v>
      </c>
      <c r="F303" s="459">
        <f>F$296*Entrant_age_breakdowns!$K76*$G$31</f>
        <v>198.18896845340834</v>
      </c>
      <c r="G303" s="459">
        <f>G$296*Entrant_age_breakdowns!$K76*$G$31</f>
        <v>193.57814247075268</v>
      </c>
      <c r="H303" s="459">
        <f>H$296*Entrant_age_breakdowns!$K76*$G$31</f>
        <v>194.41504265864299</v>
      </c>
      <c r="I303" s="459">
        <f>I$296*Entrant_age_breakdowns!$K76*$G$31</f>
        <v>196.06064071038483</v>
      </c>
      <c r="J303" s="459">
        <f>J$296*Entrant_age_breakdowns!$K76*$G$31</f>
        <v>193.84979067350514</v>
      </c>
      <c r="K303" s="459">
        <f>K$296*Entrant_age_breakdowns!$K76*$G$31</f>
        <v>185.04825859411054</v>
      </c>
      <c r="L303" s="459">
        <f>L$296*Entrant_age_breakdowns!$K76*$G$31</f>
        <v>183.93413236299651</v>
      </c>
      <c r="M303" s="459">
        <f>M$296*Entrant_age_breakdowns!$K76*$G$31</f>
        <v>181.45687057609314</v>
      </c>
      <c r="N303" s="459">
        <f>N$296*Entrant_age_breakdowns!$K76*$G$31</f>
        <v>178.01976701358493</v>
      </c>
    </row>
    <row r="304" spans="2:14">
      <c r="B304" s="338" t="str">
        <f t="shared" si="143"/>
        <v>25-29</v>
      </c>
      <c r="C304" s="459">
        <f>C$296*Entrant_age_breakdowns!$K77*$G$31</f>
        <v>209.16959611258548</v>
      </c>
      <c r="D304" s="459">
        <f>D$296*Entrant_age_breakdowns!$K77*$G$31</f>
        <v>199.27681311590271</v>
      </c>
      <c r="E304" s="459">
        <f>E$296*Entrant_age_breakdowns!$K77*$G$31</f>
        <v>204.97998384364766</v>
      </c>
      <c r="F304" s="459">
        <f>F$296*Entrant_age_breakdowns!$K77*$G$31</f>
        <v>204.92309026411405</v>
      </c>
      <c r="G304" s="459">
        <f>G$296*Entrant_age_breakdowns!$K77*$G$31</f>
        <v>200.15559630918187</v>
      </c>
      <c r="H304" s="459">
        <f>H$296*Entrant_age_breakdowns!$K77*$G$31</f>
        <v>201.02093293252383</v>
      </c>
      <c r="I304" s="459">
        <f>I$296*Entrant_age_breakdowns!$K77*$G$31</f>
        <v>202.72244558848595</v>
      </c>
      <c r="J304" s="459">
        <f>J$296*Entrant_age_breakdowns!$K77*$G$31</f>
        <v>200.43647465275029</v>
      </c>
      <c r="K304" s="459">
        <f>K$296*Entrant_age_breakdowns!$K77*$G$31</f>
        <v>191.33588158320069</v>
      </c>
      <c r="L304" s="459">
        <f>L$296*Entrant_age_breakdowns!$K77*$G$31</f>
        <v>190.18389925035012</v>
      </c>
      <c r="M304" s="459">
        <f>M$296*Entrant_age_breakdowns!$K77*$G$31</f>
        <v>187.62246434947281</v>
      </c>
      <c r="N304" s="459">
        <f>N$296*Entrant_age_breakdowns!$K77*$G$31</f>
        <v>184.06857389288788</v>
      </c>
    </row>
    <row r="305" spans="1:14">
      <c r="B305" s="338" t="str">
        <f t="shared" si="143"/>
        <v>30-34</v>
      </c>
      <c r="C305" s="459">
        <f>C$296*Entrant_age_breakdowns!$K78*$G$31</f>
        <v>103.83492118326474</v>
      </c>
      <c r="D305" s="459">
        <f>D$296*Entrant_age_breakdowns!$K78*$G$31</f>
        <v>98.923995495045716</v>
      </c>
      <c r="E305" s="459">
        <f>E$296*Entrant_age_breakdowns!$K78*$G$31</f>
        <v>101.75513488631438</v>
      </c>
      <c r="F305" s="459">
        <f>F$296*Entrant_age_breakdowns!$K78*$G$31</f>
        <v>101.72689206108309</v>
      </c>
      <c r="G305" s="459">
        <f>G$296*Entrant_age_breakdowns!$K78*$G$31</f>
        <v>99.360236637674333</v>
      </c>
      <c r="H305" s="459">
        <f>H$296*Entrant_age_breakdowns!$K78*$G$31</f>
        <v>99.789802701536416</v>
      </c>
      <c r="I305" s="459">
        <f>I$296*Entrant_age_breakdowns!$K78*$G$31</f>
        <v>100.63445907515705</v>
      </c>
      <c r="J305" s="459">
        <f>J$296*Entrant_age_breakdowns!$K78*$G$31</f>
        <v>99.499668855398809</v>
      </c>
      <c r="K305" s="459">
        <f>K$296*Entrant_age_breakdowns!$K78*$G$31</f>
        <v>94.981998115197044</v>
      </c>
      <c r="L305" s="459">
        <f>L$296*Entrant_age_breakdowns!$K78*$G$31</f>
        <v>94.410136826754012</v>
      </c>
      <c r="M305" s="459">
        <f>M$296*Entrant_age_breakdowns!$K78*$G$31</f>
        <v>93.138602167837803</v>
      </c>
      <c r="N305" s="459">
        <f>N$296*Entrant_age_breakdowns!$K78*$G$31</f>
        <v>91.374397702601712</v>
      </c>
    </row>
    <row r="306" spans="1:14">
      <c r="B306" s="338" t="str">
        <f t="shared" si="143"/>
        <v>35-39</v>
      </c>
      <c r="C306" s="459">
        <f>C$296*Entrant_age_breakdowns!$K79*$G$31</f>
        <v>74.194653995778495</v>
      </c>
      <c r="D306" s="459">
        <f>D$296*Entrant_age_breakdowns!$K79*$G$31</f>
        <v>70.685579899277741</v>
      </c>
      <c r="E306" s="459">
        <f>E$296*Entrant_age_breakdowns!$K79*$G$31</f>
        <v>72.708554493521021</v>
      </c>
      <c r="F306" s="459">
        <f>F$296*Entrant_age_breakdowns!$K79*$G$31</f>
        <v>72.688373742940968</v>
      </c>
      <c r="G306" s="459">
        <f>G$296*Entrant_age_breakdowns!$K79*$G$31</f>
        <v>70.997293533450261</v>
      </c>
      <c r="H306" s="459">
        <f>H$296*Entrant_age_breakdowns!$K79*$G$31</f>
        <v>71.304237527950178</v>
      </c>
      <c r="I306" s="459">
        <f>I$296*Entrant_age_breakdowns!$K79*$G$31</f>
        <v>71.90778194895961</v>
      </c>
      <c r="J306" s="459">
        <f>J$296*Entrant_age_breakdowns!$K79*$G$31</f>
        <v>71.096924033787161</v>
      </c>
      <c r="K306" s="459">
        <f>K$296*Entrant_age_breakdowns!$K79*$G$31</f>
        <v>67.868848029910495</v>
      </c>
      <c r="L306" s="459">
        <f>L$296*Entrant_age_breakdowns!$K79*$G$31</f>
        <v>67.460227789762925</v>
      </c>
      <c r="M306" s="459">
        <f>M$296*Entrant_age_breakdowns!$K79*$G$31</f>
        <v>66.551659911183606</v>
      </c>
      <c r="N306" s="459">
        <f>N$296*Entrant_age_breakdowns!$K79*$G$31</f>
        <v>65.29105761684589</v>
      </c>
    </row>
    <row r="307" spans="1:14">
      <c r="B307" s="338" t="str">
        <f t="shared" si="143"/>
        <v>40-44</v>
      </c>
      <c r="C307" s="459">
        <f>C$296*Entrant_age_breakdowns!$K80*$G$31</f>
        <v>64.462332454805761</v>
      </c>
      <c r="D307" s="459">
        <f>D$296*Entrant_age_breakdowns!$K80*$G$31</f>
        <v>61.413553481727064</v>
      </c>
      <c r="E307" s="459">
        <f>E$296*Entrant_age_breakdowns!$K80*$G$31</f>
        <v>63.171168805994974</v>
      </c>
      <c r="F307" s="459">
        <f>F$296*Entrant_age_breakdowns!$K80*$G$31</f>
        <v>63.153635221255144</v>
      </c>
      <c r="G307" s="459">
        <f>G$296*Entrant_age_breakdowns!$K80*$G$31</f>
        <v>61.684378761374148</v>
      </c>
      <c r="H307" s="459">
        <f>H$296*Entrant_age_breakdowns!$K80*$G$31</f>
        <v>61.951060048405765</v>
      </c>
      <c r="I307" s="459">
        <f>I$296*Entrant_age_breakdowns!$K80*$G$31</f>
        <v>62.475435849397662</v>
      </c>
      <c r="J307" s="459">
        <f>J$296*Entrant_age_breakdowns!$K80*$G$31</f>
        <v>61.770940448631578</v>
      </c>
      <c r="K307" s="459">
        <f>K$296*Entrant_age_breakdowns!$K80*$G$31</f>
        <v>58.966300257666887</v>
      </c>
      <c r="L307" s="459">
        <f>L$296*Entrant_age_breakdowns!$K80*$G$31</f>
        <v>58.611279884236033</v>
      </c>
      <c r="M307" s="459">
        <f>M$296*Entrant_age_breakdowns!$K80*$G$31</f>
        <v>57.821891410909238</v>
      </c>
      <c r="N307" s="459">
        <f>N$296*Entrant_age_breakdowns!$K80*$G$31</f>
        <v>56.726645866728752</v>
      </c>
    </row>
    <row r="308" spans="1:14">
      <c r="B308" s="338" t="str">
        <f t="shared" si="143"/>
        <v>45-49</v>
      </c>
      <c r="C308" s="459">
        <f>C$296*Entrant_age_breakdowns!$K81*$G$31</f>
        <v>51.295693982648203</v>
      </c>
      <c r="D308" s="459">
        <f>D$296*Entrant_age_breakdowns!$K81*$G$31</f>
        <v>48.86963790822022</v>
      </c>
      <c r="E308" s="459">
        <f>E$296*Entrant_age_breakdowns!$K81*$G$31</f>
        <v>50.268254656630141</v>
      </c>
      <c r="F308" s="459">
        <f>F$296*Entrant_age_breakdowns!$K81*$G$31</f>
        <v>50.254302362895437</v>
      </c>
      <c r="G308" s="459">
        <f>G$296*Entrant_age_breakdowns!$K81*$G$31</f>
        <v>49.085146254544512</v>
      </c>
      <c r="H308" s="459">
        <f>H$296*Entrant_age_breakdowns!$K81*$G$31</f>
        <v>49.297357032056539</v>
      </c>
      <c r="I308" s="459">
        <f>I$296*Entrant_age_breakdowns!$K81*$G$31</f>
        <v>49.714627391276693</v>
      </c>
      <c r="J308" s="459">
        <f>J$296*Entrant_age_breakdowns!$K81*$G$31</f>
        <v>49.154027439122999</v>
      </c>
      <c r="K308" s="459">
        <f>K$296*Entrant_age_breakdowns!$K81*$G$31</f>
        <v>46.922244016330708</v>
      </c>
      <c r="L308" s="459">
        <f>L$296*Entrant_age_breakdowns!$K81*$G$31</f>
        <v>46.639737694582536</v>
      </c>
      <c r="M308" s="459">
        <f>M$296*Entrant_age_breakdowns!$K81*$G$31</f>
        <v>46.011584352635282</v>
      </c>
      <c r="N308" s="459">
        <f>N$296*Entrant_age_breakdowns!$K81*$G$31</f>
        <v>45.140046229041481</v>
      </c>
    </row>
    <row r="309" spans="1:14">
      <c r="B309" s="338" t="str">
        <f t="shared" si="143"/>
        <v>50-54</v>
      </c>
      <c r="C309" s="459">
        <f>C$296*Entrant_age_breakdowns!$K82*$G$31</f>
        <v>37.524470578932693</v>
      </c>
      <c r="D309" s="459">
        <f>D$296*Entrant_age_breakdowns!$K82*$G$31</f>
        <v>35.749731556618102</v>
      </c>
      <c r="E309" s="459">
        <f>E$296*Entrant_age_breakdowns!$K82*$G$31</f>
        <v>36.772865253662218</v>
      </c>
      <c r="F309" s="459">
        <f>F$296*Entrant_age_breakdowns!$K82*$G$31</f>
        <v>36.76265869644255</v>
      </c>
      <c r="G309" s="459">
        <f>G$296*Entrant_age_breakdowns!$K82*$G$31</f>
        <v>35.907382929926271</v>
      </c>
      <c r="H309" s="459">
        <f>H$296*Entrant_age_breakdowns!$K82*$G$31</f>
        <v>36.062622024263824</v>
      </c>
      <c r="I309" s="459">
        <f>I$296*Entrant_age_breakdowns!$K82*$G$31</f>
        <v>36.367868880331592</v>
      </c>
      <c r="J309" s="459">
        <f>J$296*Entrant_age_breakdowns!$K82*$G$31</f>
        <v>35.957771759542887</v>
      </c>
      <c r="K309" s="459">
        <f>K$296*Entrant_age_breakdowns!$K82*$G$31</f>
        <v>34.325149508337006</v>
      </c>
      <c r="L309" s="459">
        <f>L$296*Entrant_age_breakdowns!$K82*$G$31</f>
        <v>34.118486934235015</v>
      </c>
      <c r="M309" s="459">
        <f>M$296*Entrant_age_breakdowns!$K82*$G$31</f>
        <v>33.658972308954162</v>
      </c>
      <c r="N309" s="459">
        <f>N$296*Entrant_age_breakdowns!$K82*$G$31</f>
        <v>33.021413790138205</v>
      </c>
    </row>
    <row r="310" spans="1:14">
      <c r="B310" s="338" t="str">
        <f t="shared" si="143"/>
        <v>55-59</v>
      </c>
      <c r="C310" s="459">
        <f>C$296*Entrant_age_breakdowns!$K83*$G$31</f>
        <v>25.547505922149551</v>
      </c>
      <c r="D310" s="459">
        <f>D$296*Entrant_age_breakdowns!$K83*$G$31</f>
        <v>24.339223567106622</v>
      </c>
      <c r="E310" s="459">
        <f>E$296*Entrant_age_breakdowns!$K83*$G$31</f>
        <v>25.035796064496108</v>
      </c>
      <c r="F310" s="459">
        <f>F$296*Entrant_age_breakdowns!$K83*$G$31</f>
        <v>25.028847210135435</v>
      </c>
      <c r="G310" s="459">
        <f>G$296*Entrant_age_breakdowns!$K83*$G$31</f>
        <v>24.446556177829361</v>
      </c>
      <c r="H310" s="459">
        <f>H$296*Entrant_age_breakdowns!$K83*$G$31</f>
        <v>24.55224645462075</v>
      </c>
      <c r="I310" s="459">
        <f>I$296*Entrant_age_breakdowns!$K83*$G$31</f>
        <v>24.760065398973477</v>
      </c>
      <c r="J310" s="459">
        <f>J$296*Entrant_age_breakdowns!$K83*$G$31</f>
        <v>24.480862029535722</v>
      </c>
      <c r="K310" s="459">
        <f>K$296*Entrant_age_breakdowns!$K83*$G$31</f>
        <v>23.369335977660331</v>
      </c>
      <c r="L310" s="459">
        <f>L$296*Entrant_age_breakdowns!$K83*$G$31</f>
        <v>23.228635436005753</v>
      </c>
      <c r="M310" s="459">
        <f>M$296*Entrant_age_breakdowns!$K83*$G$31</f>
        <v>22.915787514914289</v>
      </c>
      <c r="N310" s="459">
        <f>N$296*Entrant_age_breakdowns!$K83*$G$31</f>
        <v>22.481723295383045</v>
      </c>
    </row>
    <row r="311" spans="1:14">
      <c r="B311" s="338" t="str">
        <f t="shared" si="143"/>
        <v>60-64</v>
      </c>
      <c r="C311" s="459">
        <f>C$296*Entrant_age_breakdowns!$K84*$G$31</f>
        <v>12.50643762532966</v>
      </c>
      <c r="D311" s="459">
        <f>D$296*Entrant_age_breakdowns!$K84*$G$31</f>
        <v>11.914939263290748</v>
      </c>
      <c r="E311" s="459">
        <f>E$296*Entrant_age_breakdowns!$K84*$G$31</f>
        <v>12.255936952719551</v>
      </c>
      <c r="F311" s="459">
        <f>F$296*Entrant_age_breakdowns!$K84*$G$31</f>
        <v>12.252535234606871</v>
      </c>
      <c r="G311" s="459">
        <f>G$296*Entrant_age_breakdowns!$K84*$G$31</f>
        <v>11.967482498049486</v>
      </c>
      <c r="H311" s="459">
        <f>H$296*Entrant_age_breakdowns!$K84*$G$31</f>
        <v>12.019221750339836</v>
      </c>
      <c r="I311" s="459">
        <f>I$296*Entrant_age_breakdowns!$K84*$G$31</f>
        <v>12.120956717065329</v>
      </c>
      <c r="J311" s="459">
        <f>J$296*Entrant_age_breakdowns!$K84*$G$31</f>
        <v>11.984276465956052</v>
      </c>
      <c r="K311" s="459">
        <f>K$296*Entrant_age_breakdowns!$K84*$G$31</f>
        <v>11.440143849681514</v>
      </c>
      <c r="L311" s="459">
        <f>L$296*Entrant_age_breakdowns!$K84*$G$31</f>
        <v>11.371265793505883</v>
      </c>
      <c r="M311" s="459">
        <f>M$296*Entrant_age_breakdowns!$K84*$G$31</f>
        <v>11.218115305028952</v>
      </c>
      <c r="N311" s="459">
        <f>N$296*Entrant_age_breakdowns!$K84*$G$31</f>
        <v>11.005625009361838</v>
      </c>
    </row>
    <row r="312" spans="1:14">
      <c r="B312" s="338" t="str">
        <f t="shared" si="143"/>
        <v>65 plus</v>
      </c>
      <c r="C312" s="459">
        <f>C$296*Entrant_age_breakdowns!$K85*$G$31</f>
        <v>3.1367033275878793</v>
      </c>
      <c r="D312" s="459">
        <f>D$296*Entrant_age_breakdowns!$K85*$G$31</f>
        <v>2.9883513399113464</v>
      </c>
      <c r="E312" s="459">
        <f>E$296*Entrant_age_breakdowns!$K85*$G$31</f>
        <v>3.0738759808342579</v>
      </c>
      <c r="F312" s="459">
        <f>F$296*Entrant_age_breakdowns!$K85*$G$31</f>
        <v>3.0730228057860769</v>
      </c>
      <c r="G312" s="459">
        <f>G$296*Entrant_age_breakdowns!$K85*$G$31</f>
        <v>3.0015295561426547</v>
      </c>
      <c r="H312" s="459">
        <f>H$296*Entrant_age_breakdowns!$K85*$G$31</f>
        <v>3.0145061278641943</v>
      </c>
      <c r="I312" s="459">
        <f>I$296*Entrant_age_breakdowns!$K85*$G$31</f>
        <v>3.040021979637491</v>
      </c>
      <c r="J312" s="459">
        <f>J$296*Entrant_age_breakdowns!$K85*$G$31</f>
        <v>3.005741602497825</v>
      </c>
      <c r="K312" s="459">
        <f>K$296*Entrant_age_breakdowns!$K85*$G$31</f>
        <v>2.8692692800628059</v>
      </c>
      <c r="L312" s="459">
        <f>L$296*Entrant_age_breakdowns!$K85*$G$31</f>
        <v>2.8519941746749757</v>
      </c>
      <c r="M312" s="459">
        <f>M$296*Entrant_age_breakdowns!$K85*$G$31</f>
        <v>2.8135829450971501</v>
      </c>
      <c r="N312" s="459">
        <f>N$296*Entrant_age_breakdowns!$K85*$G$31</f>
        <v>2.7602888706798878</v>
      </c>
    </row>
    <row r="313" spans="1:14">
      <c r="B313" s="338" t="str">
        <f t="shared" si="143"/>
        <v>Total</v>
      </c>
      <c r="C313" s="459">
        <f>C$296*Entrant_age_breakdowns!$K86*$G$31</f>
        <v>783.9682420693116</v>
      </c>
      <c r="D313" s="459">
        <f>D$296*Entrant_age_breakdowns!$K86*$G$31</f>
        <v>746.89006321721831</v>
      </c>
      <c r="E313" s="459">
        <f>E$296*Entrant_age_breakdowns!$K86*$G$31</f>
        <v>768.2655633508266</v>
      </c>
      <c r="F313" s="459">
        <f>F$296*Entrant_age_breakdowns!$K86*$G$31</f>
        <v>768.05232605266792</v>
      </c>
      <c r="G313" s="459">
        <f>G$296*Entrant_age_breakdowns!$K86*$G$31</f>
        <v>750.18374512892558</v>
      </c>
      <c r="H313" s="459">
        <f>H$296*Entrant_age_breakdowns!$K86*$G$31</f>
        <v>753.42702925820424</v>
      </c>
      <c r="I313" s="459">
        <f>I$296*Entrant_age_breakdowns!$K86*$G$31</f>
        <v>759.8043035396696</v>
      </c>
      <c r="J313" s="459">
        <f>J$296*Entrant_age_breakdowns!$K86*$G$31</f>
        <v>751.23647796072839</v>
      </c>
      <c r="K313" s="459">
        <f>K$296*Entrant_age_breakdowns!$K86*$G$31</f>
        <v>717.12742921215795</v>
      </c>
      <c r="L313" s="459">
        <f>L$296*Entrant_age_breakdowns!$K86*$G$31</f>
        <v>712.80979614710373</v>
      </c>
      <c r="M313" s="459">
        <f>M$296*Entrant_age_breakdowns!$K86*$G$31</f>
        <v>703.20953084212636</v>
      </c>
      <c r="N313" s="459">
        <f>N$296*Entrant_age_breakdowns!$K86*$G$31</f>
        <v>689.88953928725357</v>
      </c>
    </row>
    <row r="314" spans="1:14">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4">
      <c r="B316" s="341" t="s">
        <v>50</v>
      </c>
      <c r="H316" s="325"/>
    </row>
    <row r="317" spans="1:14">
      <c r="H317" s="325"/>
    </row>
    <row r="318" spans="1:14">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4">
      <c r="B319" s="338" t="str">
        <f t="shared" si="146"/>
        <v>20-24</v>
      </c>
      <c r="C319" s="459">
        <f>C$296*Entrant_age_breakdowns!$K76*$H$31</f>
        <v>772.61137384722963</v>
      </c>
      <c r="D319" s="459">
        <f>D$296*Entrant_age_breakdowns!$K76*$H$31</f>
        <v>736.07032388447305</v>
      </c>
      <c r="E319" s="459">
        <f>E$296*Entrant_age_breakdowns!$K76*$H$31</f>
        <v>757.13617022705819</v>
      </c>
      <c r="F319" s="459">
        <f>F$296*Entrant_age_breakdowns!$K76*$H$31</f>
        <v>756.92602196716064</v>
      </c>
      <c r="G319" s="459">
        <f>G$296*Entrant_age_breakdowns!$K76*$H$31</f>
        <v>739.31629224169001</v>
      </c>
      <c r="H319" s="459">
        <f>H$296*Entrant_age_breakdowns!$K76*$H$31</f>
        <v>742.51259289831455</v>
      </c>
      <c r="I319" s="459">
        <f>I$296*Entrant_age_breakdowns!$K76*$H$31</f>
        <v>748.79748350944203</v>
      </c>
      <c r="J319" s="459">
        <f>J$296*Entrant_age_breakdowns!$K76*$H$31</f>
        <v>740.35377477711313</v>
      </c>
      <c r="K319" s="459">
        <f>K$296*Entrant_age_breakdowns!$K76*$H$31</f>
        <v>706.73884294684478</v>
      </c>
      <c r="L319" s="459">
        <f>L$296*Entrant_age_breakdowns!$K76*$H$31</f>
        <v>702.48375679009609</v>
      </c>
      <c r="M319" s="459">
        <f>M$296*Entrant_age_breakdowns!$K76*$H$31</f>
        <v>693.02256465430457</v>
      </c>
      <c r="N319" s="459">
        <f>N$296*Entrant_age_breakdowns!$K76*$H$31</f>
        <v>679.89553166674398</v>
      </c>
    </row>
    <row r="320" spans="1:14">
      <c r="B320" s="338" t="str">
        <f t="shared" si="146"/>
        <v>25-29</v>
      </c>
      <c r="C320" s="459">
        <f>C$296*Entrant_age_breakdowns!$K77*$H$31</f>
        <v>798.86338547242292</v>
      </c>
      <c r="D320" s="459">
        <f>D$296*Entrant_age_breakdowns!$K77*$H$31</f>
        <v>761.0807331971838</v>
      </c>
      <c r="E320" s="459">
        <f>E$296*Entrant_age_breakdowns!$K77*$H$31</f>
        <v>782.86236092974036</v>
      </c>
      <c r="F320" s="459">
        <f>F$296*Entrant_age_breakdowns!$K77*$H$31</f>
        <v>782.6450721917854</v>
      </c>
      <c r="G320" s="459">
        <f>G$296*Entrant_age_breakdowns!$K77*$H$31</f>
        <v>764.43699400146147</v>
      </c>
      <c r="H320" s="459">
        <f>H$296*Entrant_age_breakdowns!$K77*$H$31</f>
        <v>767.74189948172136</v>
      </c>
      <c r="I320" s="459">
        <f>I$296*Entrant_age_breakdowns!$K77*$H$31</f>
        <v>774.24033991488272</v>
      </c>
      <c r="J320" s="459">
        <f>J$296*Entrant_age_breakdowns!$K77*$H$31</f>
        <v>765.50972841707016</v>
      </c>
      <c r="K320" s="459">
        <f>K$296*Entrant_age_breakdowns!$K77*$H$31</f>
        <v>730.75261875838862</v>
      </c>
      <c r="L320" s="459">
        <f>L$296*Entrant_age_breakdowns!$K77*$H$31</f>
        <v>726.3529520595531</v>
      </c>
      <c r="M320" s="459">
        <f>M$296*Entrant_age_breakdowns!$K77*$H$31</f>
        <v>716.57028481435418</v>
      </c>
      <c r="N320" s="459">
        <f>N$296*Entrant_age_breakdowns!$K77*$H$31</f>
        <v>702.99721772186228</v>
      </c>
    </row>
    <row r="321" spans="1:14">
      <c r="B321" s="338" t="str">
        <f t="shared" si="146"/>
        <v>30-34</v>
      </c>
      <c r="C321" s="459">
        <f>C$296*Entrant_age_breakdowns!$K78*$H$31</f>
        <v>396.56775271525265</v>
      </c>
      <c r="D321" s="459">
        <f>D$296*Entrant_age_breakdowns!$K78*$H$31</f>
        <v>377.81187808525863</v>
      </c>
      <c r="E321" s="459">
        <f>E$296*Entrant_age_breakdowns!$K78*$H$31</f>
        <v>388.62460441301738</v>
      </c>
      <c r="F321" s="459">
        <f>F$296*Entrant_age_breakdowns!$K78*$H$31</f>
        <v>388.51673902818669</v>
      </c>
      <c r="G321" s="459">
        <f>G$296*Entrant_age_breakdowns!$K78*$H$31</f>
        <v>379.47797623030203</v>
      </c>
      <c r="H321" s="459">
        <f>H$296*Entrant_age_breakdowns!$K78*$H$31</f>
        <v>381.11858082312352</v>
      </c>
      <c r="I321" s="459">
        <f>I$296*Entrant_age_breakdowns!$K78*$H$31</f>
        <v>384.34450401048889</v>
      </c>
      <c r="J321" s="459">
        <f>J$296*Entrant_age_breakdowns!$K78*$H$31</f>
        <v>380.01049766537398</v>
      </c>
      <c r="K321" s="459">
        <f>K$296*Entrant_age_breakdowns!$K78*$H$31</f>
        <v>362.75654771738658</v>
      </c>
      <c r="L321" s="459">
        <f>L$296*Entrant_age_breakdowns!$K78*$H$31</f>
        <v>360.57248725450592</v>
      </c>
      <c r="M321" s="459">
        <f>M$296*Entrant_age_breakdowns!$K78*$H$31</f>
        <v>355.71622467502192</v>
      </c>
      <c r="N321" s="459">
        <f>N$296*Entrant_age_breakdowns!$K78*$H$31</f>
        <v>348.97835082549034</v>
      </c>
    </row>
    <row r="322" spans="1:14">
      <c r="B322" s="338" t="str">
        <f t="shared" si="146"/>
        <v>35-39</v>
      </c>
      <c r="C322" s="459">
        <f>C$296*Entrant_age_breakdowns!$K79*$H$31</f>
        <v>283.36523843130539</v>
      </c>
      <c r="D322" s="459">
        <f>D$296*Entrant_age_breakdowns!$K79*$H$31</f>
        <v>269.96333459488301</v>
      </c>
      <c r="E322" s="459">
        <f>E$296*Entrant_age_breakdowns!$K79*$H$31</f>
        <v>277.68950686426024</v>
      </c>
      <c r="F322" s="459">
        <f>F$296*Entrant_age_breakdowns!$K79*$H$31</f>
        <v>277.61243226532531</v>
      </c>
      <c r="G322" s="459">
        <f>G$296*Entrant_age_breakdowns!$K79*$H$31</f>
        <v>271.15383557457102</v>
      </c>
      <c r="H322" s="459">
        <f>H$296*Entrant_age_breakdowns!$K79*$H$31</f>
        <v>272.32612028111436</v>
      </c>
      <c r="I322" s="459">
        <f>I$296*Entrant_age_breakdowns!$K79*$H$31</f>
        <v>274.63118539770551</v>
      </c>
      <c r="J322" s="459">
        <f>J$296*Entrant_age_breakdowns!$K79*$H$31</f>
        <v>271.53434574562192</v>
      </c>
      <c r="K322" s="459">
        <f>K$296*Entrant_age_breakdowns!$K79*$H$31</f>
        <v>259.20563367204136</v>
      </c>
      <c r="L322" s="459">
        <f>L$296*Entrant_age_breakdowns!$K79*$H$31</f>
        <v>257.64502565594546</v>
      </c>
      <c r="M322" s="459">
        <f>M$296*Entrant_age_breakdowns!$K79*$H$31</f>
        <v>254.17501077375053</v>
      </c>
      <c r="N322" s="459">
        <f>N$296*Entrant_age_breakdowns!$K79*$H$31</f>
        <v>249.36050123075324</v>
      </c>
    </row>
    <row r="323" spans="1:14">
      <c r="B323" s="338" t="str">
        <f t="shared" si="146"/>
        <v>40-44</v>
      </c>
      <c r="C323" s="459">
        <f>C$296*Entrant_age_breakdowns!$K80*$H$31</f>
        <v>246.19542274479005</v>
      </c>
      <c r="D323" s="459">
        <f>D$296*Entrant_age_breakdowns!$K80*$H$31</f>
        <v>234.55148434621012</v>
      </c>
      <c r="E323" s="459">
        <f>E$296*Entrant_age_breakdowns!$K80*$H$31</f>
        <v>241.26419285833595</v>
      </c>
      <c r="F323" s="459">
        <f>F$296*Entrant_age_breakdowns!$K80*$H$31</f>
        <v>241.19722835142363</v>
      </c>
      <c r="G323" s="459">
        <f>G$296*Entrant_age_breakdowns!$K80*$H$31</f>
        <v>235.58582396244159</v>
      </c>
      <c r="H323" s="459">
        <f>H$296*Entrant_age_breakdowns!$K80*$H$31</f>
        <v>236.60433678533556</v>
      </c>
      <c r="I323" s="459">
        <f>I$296*Entrant_age_breakdowns!$K80*$H$31</f>
        <v>238.60704002436043</v>
      </c>
      <c r="J323" s="459">
        <f>J$296*Entrant_age_breakdowns!$K80*$H$31</f>
        <v>235.91642154363814</v>
      </c>
      <c r="K323" s="459">
        <f>K$296*Entrant_age_breakdowns!$K80*$H$31</f>
        <v>225.20490132451357</v>
      </c>
      <c r="L323" s="459">
        <f>L$296*Entrant_age_breakdowns!$K80*$H$31</f>
        <v>223.84900265328412</v>
      </c>
      <c r="M323" s="459">
        <f>M$296*Entrant_age_breakdowns!$K80*$H$31</f>
        <v>220.83415938746205</v>
      </c>
      <c r="N323" s="459">
        <f>N$296*Entrant_age_breakdowns!$K80*$H$31</f>
        <v>216.65118260876869</v>
      </c>
    </row>
    <row r="324" spans="1:14">
      <c r="B324" s="338" t="str">
        <f t="shared" si="146"/>
        <v>45-49</v>
      </c>
      <c r="C324" s="459">
        <f>C$296*Entrant_age_breakdowns!$K81*$H$31</f>
        <v>195.90921681121955</v>
      </c>
      <c r="D324" s="459">
        <f>D$296*Entrant_age_breakdowns!$K81*$H$31</f>
        <v>186.64359023363465</v>
      </c>
      <c r="E324" s="459">
        <f>E$296*Entrant_age_breakdowns!$K81*$H$31</f>
        <v>191.98520646935083</v>
      </c>
      <c r="F324" s="459">
        <f>F$296*Entrant_age_breakdowns!$K81*$H$31</f>
        <v>191.93191967808113</v>
      </c>
      <c r="G324" s="459">
        <f>G$296*Entrant_age_breakdowns!$K81*$H$31</f>
        <v>187.46666266070724</v>
      </c>
      <c r="H324" s="459">
        <f>H$296*Entrant_age_breakdowns!$K81*$H$31</f>
        <v>188.277140967821</v>
      </c>
      <c r="I324" s="459">
        <f>I$296*Entrant_age_breakdowns!$K81*$H$31</f>
        <v>189.87078563711836</v>
      </c>
      <c r="J324" s="459">
        <f>J$296*Entrant_age_breakdowns!$K81*$H$31</f>
        <v>187.72973462398676</v>
      </c>
      <c r="K324" s="459">
        <f>K$296*Entrant_age_breakdowns!$K81*$H$31</f>
        <v>179.20607681755567</v>
      </c>
      <c r="L324" s="459">
        <f>L$296*Entrant_age_breakdowns!$K81*$H$31</f>
        <v>178.12712480539213</v>
      </c>
      <c r="M324" s="459">
        <f>M$296*Entrant_age_breakdowns!$K81*$H$31</f>
        <v>175.7280729610041</v>
      </c>
      <c r="N324" s="459">
        <f>N$296*Entrant_age_breakdowns!$K81*$H$31</f>
        <v>172.39948262606998</v>
      </c>
    </row>
    <row r="325" spans="1:14">
      <c r="B325" s="338" t="str">
        <f t="shared" si="146"/>
        <v>50-54</v>
      </c>
      <c r="C325" s="459">
        <f>C$296*Entrant_age_breakdowns!$K82*$H$31</f>
        <v>143.31397182892405</v>
      </c>
      <c r="D325" s="459">
        <f>D$296*Entrant_age_breakdowns!$K82*$H$31</f>
        <v>136.53586425475666</v>
      </c>
      <c r="E325" s="459">
        <f>E$296*Entrant_age_breakdowns!$K82*$H$31</f>
        <v>140.44343047949442</v>
      </c>
      <c r="F325" s="459">
        <f>F$296*Entrant_age_breakdowns!$K82*$H$31</f>
        <v>140.40444945641048</v>
      </c>
      <c r="G325" s="459">
        <f>G$296*Entrant_age_breakdowns!$K82*$H$31</f>
        <v>137.13796853829487</v>
      </c>
      <c r="H325" s="459">
        <f>H$296*Entrant_age_breakdowns!$K82*$H$31</f>
        <v>137.73085981295895</v>
      </c>
      <c r="I325" s="459">
        <f>I$296*Entrant_age_breakdowns!$K82*$H$31</f>
        <v>138.89666278516464</v>
      </c>
      <c r="J325" s="459">
        <f>J$296*Entrant_age_breakdowns!$K82*$H$31</f>
        <v>137.3304142463023</v>
      </c>
      <c r="K325" s="459">
        <f>K$296*Entrant_age_breakdowns!$K82*$H$31</f>
        <v>131.0950809902495</v>
      </c>
      <c r="L325" s="459">
        <f>L$296*Entrant_age_breakdowns!$K82*$H$31</f>
        <v>130.3057924575667</v>
      </c>
      <c r="M325" s="459">
        <f>M$296*Entrant_age_breakdowns!$K82*$H$31</f>
        <v>128.55080790891188</v>
      </c>
      <c r="N325" s="459">
        <f>N$296*Entrant_age_breakdowns!$K82*$H$31</f>
        <v>126.11583568424901</v>
      </c>
    </row>
    <row r="326" spans="1:14">
      <c r="B326" s="338" t="str">
        <f t="shared" si="146"/>
        <v>55-59</v>
      </c>
      <c r="C326" s="459">
        <f>C$296*Entrant_age_breakdowns!$K83*$H$31</f>
        <v>97.571384420324847</v>
      </c>
      <c r="D326" s="459">
        <f>D$296*Entrant_age_breakdowns!$K83*$H$31</f>
        <v>92.956695905859107</v>
      </c>
      <c r="E326" s="459">
        <f>E$296*Entrant_age_breakdowns!$K83*$H$31</f>
        <v>95.617055125523265</v>
      </c>
      <c r="F326" s="459">
        <f>F$296*Entrant_age_breakdowns!$K83*$H$31</f>
        <v>95.590515965803633</v>
      </c>
      <c r="G326" s="459">
        <f>G$296*Entrant_age_breakdowns!$K83*$H$31</f>
        <v>93.366622082354709</v>
      </c>
      <c r="H326" s="459">
        <f>H$296*Entrant_age_breakdowns!$K83*$H$31</f>
        <v>93.770275834612463</v>
      </c>
      <c r="I326" s="459">
        <f>I$296*Entrant_age_breakdowns!$K83*$H$31</f>
        <v>94.563980792390197</v>
      </c>
      <c r="J326" s="459">
        <f>J$296*Entrant_age_breakdowns!$K83*$H$31</f>
        <v>93.497643460915413</v>
      </c>
      <c r="K326" s="459">
        <f>K$296*Entrant_age_breakdowns!$K83*$H$31</f>
        <v>89.252487944317167</v>
      </c>
      <c r="L326" s="459">
        <f>L$296*Entrant_age_breakdowns!$K83*$H$31</f>
        <v>88.715122509125138</v>
      </c>
      <c r="M326" s="459">
        <f>M$296*Entrant_age_breakdowns!$K83*$H$31</f>
        <v>87.520289445305394</v>
      </c>
      <c r="N326" s="459">
        <f>N$296*Entrant_age_breakdowns!$K83*$H$31</f>
        <v>85.86250543476244</v>
      </c>
    </row>
    <row r="327" spans="1:14">
      <c r="B327" s="338" t="str">
        <f t="shared" si="146"/>
        <v>60-64</v>
      </c>
      <c r="C327" s="459">
        <f>C$296*Entrant_age_breakdowns!$K84*$H$31</f>
        <v>47.764757819740318</v>
      </c>
      <c r="D327" s="459">
        <f>D$296*Entrant_age_breakdowns!$K84*$H$31</f>
        <v>45.505699176506809</v>
      </c>
      <c r="E327" s="459">
        <f>E$296*Entrant_age_breakdowns!$K84*$H$31</f>
        <v>46.808042220993748</v>
      </c>
      <c r="F327" s="459">
        <f>F$296*Entrant_age_breakdowns!$K84*$H$31</f>
        <v>46.795050332600674</v>
      </c>
      <c r="G327" s="459">
        <f>G$296*Entrant_age_breakdowns!$K84*$H$31</f>
        <v>45.706373018131693</v>
      </c>
      <c r="H327" s="459">
        <f>H$296*Entrant_age_breakdowns!$K84*$H$31</f>
        <v>45.903976278904992</v>
      </c>
      <c r="I327" s="459">
        <f>I$296*Entrant_age_breakdowns!$K84*$H$31</f>
        <v>46.292523856802056</v>
      </c>
      <c r="J327" s="459">
        <f>J$296*Entrant_age_breakdowns!$K84*$H$31</f>
        <v>45.770512770307398</v>
      </c>
      <c r="K327" s="459">
        <f>K$296*Entrant_age_breakdowns!$K84*$H$31</f>
        <v>43.692354031840104</v>
      </c>
      <c r="L327" s="459">
        <f>L$296*Entrant_age_breakdowns!$K84*$H$31</f>
        <v>43.429294016599613</v>
      </c>
      <c r="M327" s="459">
        <f>M$296*Entrant_age_breakdowns!$K84*$H$31</f>
        <v>42.844379574036061</v>
      </c>
      <c r="N327" s="459">
        <f>N$296*Entrant_age_breakdowns!$K84*$H$31</f>
        <v>42.032833727357186</v>
      </c>
    </row>
    <row r="328" spans="1:14">
      <c r="B328" s="338" t="str">
        <f t="shared" si="146"/>
        <v>65 plus</v>
      </c>
      <c r="C328" s="459">
        <f>C$296*Entrant_age_breakdowns!$K85*$H$31</f>
        <v>11.979740297202289</v>
      </c>
      <c r="D328" s="459">
        <f>D$296*Entrant_age_breakdowns!$K85*$H$31</f>
        <v>11.413152354597818</v>
      </c>
      <c r="E328" s="459">
        <f>E$296*Entrant_age_breakdowns!$K85*$H$31</f>
        <v>11.73978923423407</v>
      </c>
      <c r="F328" s="459">
        <f>F$296*Entrant_age_breakdowns!$K85*$H$31</f>
        <v>11.736530776408184</v>
      </c>
      <c r="G328" s="459">
        <f>G$296*Entrant_age_breakdowns!$K85*$H$31</f>
        <v>11.463482778467661</v>
      </c>
      <c r="H328" s="459">
        <f>H$296*Entrant_age_breakdowns!$K85*$H$31</f>
        <v>11.513043078864833</v>
      </c>
      <c r="I328" s="459">
        <f>I$296*Entrant_age_breakdowns!$K85*$H$31</f>
        <v>11.610493569326444</v>
      </c>
      <c r="J328" s="459">
        <f>J$296*Entrant_age_breakdowns!$K85*$H$31</f>
        <v>11.479569483579654</v>
      </c>
      <c r="K328" s="459">
        <f>K$296*Entrant_age_breakdowns!$K85*$H$31</f>
        <v>10.958352521124739</v>
      </c>
      <c r="L328" s="459">
        <f>L$296*Entrant_age_breakdowns!$K85*$H$31</f>
        <v>10.892375202092738</v>
      </c>
      <c r="M328" s="459">
        <f>M$296*Entrant_age_breakdowns!$K85*$H$31</f>
        <v>10.745674508153529</v>
      </c>
      <c r="N328" s="459">
        <f>N$296*Entrant_age_breakdowns!$K85*$H$31</f>
        <v>10.542133049424139</v>
      </c>
    </row>
    <row r="329" spans="1:14">
      <c r="B329" s="338" t="str">
        <f t="shared" si="146"/>
        <v>Total</v>
      </c>
      <c r="C329" s="459">
        <f>C$296*Entrant_age_breakdowns!$K86*$H$31</f>
        <v>2994.1422443884112</v>
      </c>
      <c r="D329" s="459">
        <f>D$296*Entrant_age_breakdowns!$K86*$H$31</f>
        <v>2852.5327560333635</v>
      </c>
      <c r="E329" s="459">
        <f>E$296*Entrant_age_breakdowns!$K86*$H$31</f>
        <v>2934.1703588220084</v>
      </c>
      <c r="F329" s="459">
        <f>F$296*Entrant_age_breakdowns!$K86*$H$31</f>
        <v>2933.3559600131857</v>
      </c>
      <c r="G329" s="459">
        <f>G$296*Entrant_age_breakdowns!$K86*$H$31</f>
        <v>2865.1120310884221</v>
      </c>
      <c r="H329" s="459">
        <f>H$296*Entrant_age_breakdowns!$K86*$H$31</f>
        <v>2877.4988262427714</v>
      </c>
      <c r="I329" s="459">
        <f>I$296*Entrant_age_breakdowns!$K86*$H$31</f>
        <v>2901.8549994976811</v>
      </c>
      <c r="J329" s="459">
        <f>J$296*Entrant_age_breakdowns!$K86*$H$31</f>
        <v>2869.1326427339086</v>
      </c>
      <c r="K329" s="459">
        <f>K$296*Entrant_age_breakdowns!$K86*$H$31</f>
        <v>2738.8628967242616</v>
      </c>
      <c r="L329" s="459">
        <f>L$296*Entrant_age_breakdowns!$K86*$H$31</f>
        <v>2722.3729334041609</v>
      </c>
      <c r="M329" s="459">
        <f>M$296*Entrant_age_breakdowns!$K86*$H$31</f>
        <v>2685.7074687023041</v>
      </c>
      <c r="N329" s="459">
        <f>N$296*Entrant_age_breakdowns!$K86*$H$31</f>
        <v>2634.8355745754811</v>
      </c>
    </row>
    <row r="330" spans="1:14">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4">
      <c r="C331" s="329">
        <f>C296</f>
        <v>3778.1104864577228</v>
      </c>
      <c r="D331" s="329">
        <f t="shared" ref="D331:N331" si="149">D296</f>
        <v>3599.4228192505816</v>
      </c>
      <c r="E331" s="329">
        <f t="shared" si="149"/>
        <v>3702.4359221728346</v>
      </c>
      <c r="F331" s="329">
        <f t="shared" si="149"/>
        <v>3701.4082860658532</v>
      </c>
      <c r="G331" s="329">
        <f t="shared" si="149"/>
        <v>3615.2957762173473</v>
      </c>
      <c r="H331" s="329">
        <f t="shared" si="149"/>
        <v>3630.9258555009756</v>
      </c>
      <c r="I331" s="329">
        <f t="shared" si="149"/>
        <v>3661.6593030373506</v>
      </c>
      <c r="J331" s="329">
        <f t="shared" si="149"/>
        <v>3620.3691206946369</v>
      </c>
      <c r="K331" s="329">
        <f t="shared" si="149"/>
        <v>3455.9903259364196</v>
      </c>
      <c r="L331" s="329">
        <f t="shared" si="149"/>
        <v>3435.1827295512644</v>
      </c>
      <c r="M331" s="329">
        <f t="shared" si="149"/>
        <v>3388.9169995444304</v>
      </c>
      <c r="N331" s="329">
        <f t="shared" si="149"/>
        <v>3324.7251138627344</v>
      </c>
    </row>
    <row r="332" spans="1:14">
      <c r="C332" s="329">
        <f>C313+C329</f>
        <v>3778.1104864577228</v>
      </c>
      <c r="D332" s="329">
        <f t="shared" ref="D332:N332" si="150">D313+D329</f>
        <v>3599.4228192505816</v>
      </c>
      <c r="E332" s="329">
        <f t="shared" si="150"/>
        <v>3702.435922172835</v>
      </c>
      <c r="F332" s="329">
        <f t="shared" si="150"/>
        <v>3701.4082860658536</v>
      </c>
      <c r="G332" s="329">
        <f t="shared" si="150"/>
        <v>3615.2957762173478</v>
      </c>
      <c r="H332" s="329">
        <f t="shared" si="150"/>
        <v>3630.9258555009756</v>
      </c>
      <c r="I332" s="329">
        <f t="shared" si="150"/>
        <v>3661.6593030373506</v>
      </c>
      <c r="J332" s="329">
        <f t="shared" si="150"/>
        <v>3620.3691206946369</v>
      </c>
      <c r="K332" s="329">
        <f t="shared" si="150"/>
        <v>3455.9903259364196</v>
      </c>
      <c r="L332" s="329">
        <f t="shared" si="150"/>
        <v>3435.1827295512649</v>
      </c>
      <c r="M332" s="329">
        <f t="shared" si="150"/>
        <v>3388.9169995444304</v>
      </c>
      <c r="N332" s="329">
        <f t="shared" si="150"/>
        <v>3324.7251138627348</v>
      </c>
    </row>
    <row r="333" spans="1:14">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381.66774960520843</v>
      </c>
      <c r="D340" s="459">
        <f t="shared" si="154"/>
        <v>460.07921313889437</v>
      </c>
      <c r="E340" s="459">
        <f t="shared" si="154"/>
        <v>520.52070190609015</v>
      </c>
      <c r="F340" s="459">
        <f t="shared" si="154"/>
        <v>562.8037874730237</v>
      </c>
      <c r="G340" s="459">
        <f t="shared" si="154"/>
        <v>587.81145607689064</v>
      </c>
      <c r="H340" s="459">
        <f t="shared" si="154"/>
        <v>606.1657509211542</v>
      </c>
      <c r="I340" s="459">
        <f t="shared" si="154"/>
        <v>620.6681822714902</v>
      </c>
      <c r="J340" s="459">
        <f t="shared" si="154"/>
        <v>628.61600865763046</v>
      </c>
      <c r="K340" s="459">
        <f t="shared" si="154"/>
        <v>625.3817772999364</v>
      </c>
      <c r="L340" s="459">
        <f t="shared" si="154"/>
        <v>622.00213371891698</v>
      </c>
      <c r="M340" s="459">
        <f t="shared" si="154"/>
        <v>617.15749609444993</v>
      </c>
      <c r="N340" s="459">
        <f t="shared" si="154"/>
        <v>610.32681632221124</v>
      </c>
    </row>
    <row r="341" spans="1:14">
      <c r="B341" s="338" t="str">
        <f t="shared" si="153"/>
        <v>25-29</v>
      </c>
      <c r="C341" s="459">
        <f t="shared" ref="C341:N341" si="155">C304+C248</f>
        <v>982.25001286315819</v>
      </c>
      <c r="D341" s="459">
        <f t="shared" si="155"/>
        <v>968.20135462915891</v>
      </c>
      <c r="E341" s="459">
        <f t="shared" si="155"/>
        <v>977.8674997890821</v>
      </c>
      <c r="F341" s="459">
        <f t="shared" si="155"/>
        <v>995.48886222388842</v>
      </c>
      <c r="G341" s="459">
        <f t="shared" si="155"/>
        <v>1010.8366957098997</v>
      </c>
      <c r="H341" s="459">
        <f t="shared" si="155"/>
        <v>1027.1136382577465</v>
      </c>
      <c r="I341" s="459">
        <f t="shared" si="155"/>
        <v>1043.7028743600711</v>
      </c>
      <c r="J341" s="459">
        <f t="shared" si="155"/>
        <v>1055.8403666329284</v>
      </c>
      <c r="K341" s="459">
        <f t="shared" si="155"/>
        <v>1056.8176880511153</v>
      </c>
      <c r="L341" s="459">
        <f t="shared" si="155"/>
        <v>1055.7861199681338</v>
      </c>
      <c r="M341" s="459">
        <f t="shared" si="155"/>
        <v>1051.885801344743</v>
      </c>
      <c r="N341" s="459">
        <f t="shared" si="155"/>
        <v>1044.6848278080565</v>
      </c>
    </row>
    <row r="342" spans="1:14">
      <c r="B342" s="338" t="str">
        <f t="shared" si="153"/>
        <v>30-34</v>
      </c>
      <c r="C342" s="459">
        <f t="shared" ref="C342:N342" si="156">C305+C249</f>
        <v>1125.7250963585404</v>
      </c>
      <c r="D342" s="459">
        <f t="shared" si="156"/>
        <v>1117.7734355960506</v>
      </c>
      <c r="E342" s="459">
        <f t="shared" si="156"/>
        <v>1112.0870969518353</v>
      </c>
      <c r="F342" s="459">
        <f t="shared" si="156"/>
        <v>1109.6294321009932</v>
      </c>
      <c r="G342" s="459">
        <f t="shared" si="156"/>
        <v>1108.7098752701841</v>
      </c>
      <c r="H342" s="459">
        <f t="shared" si="156"/>
        <v>1111.3070339872636</v>
      </c>
      <c r="I342" s="459">
        <f t="shared" si="156"/>
        <v>1117.1047375241606</v>
      </c>
      <c r="J342" s="459">
        <f t="shared" si="156"/>
        <v>1123.3589665620866</v>
      </c>
      <c r="K342" s="459">
        <f t="shared" si="156"/>
        <v>1125.74261036604</v>
      </c>
      <c r="L342" s="459">
        <f t="shared" si="156"/>
        <v>1127.1233008259092</v>
      </c>
      <c r="M342" s="459">
        <f t="shared" si="156"/>
        <v>1126.6859912860727</v>
      </c>
      <c r="N342" s="459">
        <f t="shared" si="156"/>
        <v>1123.8723994117518</v>
      </c>
    </row>
    <row r="343" spans="1:14">
      <c r="B343" s="338" t="str">
        <f t="shared" si="153"/>
        <v>35-39</v>
      </c>
      <c r="C343" s="459">
        <f t="shared" ref="C343:N343" si="157">C306+C250</f>
        <v>1061.8431949821606</v>
      </c>
      <c r="D343" s="459">
        <f t="shared" si="157"/>
        <v>1078.8830963316914</v>
      </c>
      <c r="E343" s="459">
        <f t="shared" si="157"/>
        <v>1092.2033712262019</v>
      </c>
      <c r="F343" s="459">
        <f t="shared" si="157"/>
        <v>1101.1137777966621</v>
      </c>
      <c r="G343" s="459">
        <f t="shared" si="157"/>
        <v>1105.6492708360547</v>
      </c>
      <c r="H343" s="459">
        <f t="shared" si="157"/>
        <v>1109.1877949653663</v>
      </c>
      <c r="I343" s="459">
        <f t="shared" si="157"/>
        <v>1112.9345119682314</v>
      </c>
      <c r="J343" s="459">
        <f t="shared" si="157"/>
        <v>1116.0236301744033</v>
      </c>
      <c r="K343" s="459">
        <f t="shared" si="157"/>
        <v>1116.2876296601166</v>
      </c>
      <c r="L343" s="459">
        <f t="shared" si="157"/>
        <v>1116.5244170314427</v>
      </c>
      <c r="M343" s="459">
        <f t="shared" si="157"/>
        <v>1116.0526404612319</v>
      </c>
      <c r="N343" s="459">
        <f t="shared" si="157"/>
        <v>1114.3558893545103</v>
      </c>
    </row>
    <row r="344" spans="1:14">
      <c r="B344" s="338" t="str">
        <f t="shared" si="153"/>
        <v>40-44</v>
      </c>
      <c r="C344" s="459">
        <f t="shared" ref="C344:N344" si="158">C307+C251</f>
        <v>939.571540274835</v>
      </c>
      <c r="D344" s="459">
        <f t="shared" si="158"/>
        <v>961.77363760871526</v>
      </c>
      <c r="E344" s="459">
        <f t="shared" si="158"/>
        <v>983.3028334997266</v>
      </c>
      <c r="F344" s="459">
        <f t="shared" si="158"/>
        <v>1001.8593156115008</v>
      </c>
      <c r="G344" s="459">
        <f t="shared" si="158"/>
        <v>1015.9192352505925</v>
      </c>
      <c r="H344" s="459">
        <f t="shared" si="158"/>
        <v>1027.5382132434688</v>
      </c>
      <c r="I344" s="459">
        <f t="shared" si="158"/>
        <v>1037.4048698358426</v>
      </c>
      <c r="J344" s="459">
        <f t="shared" si="158"/>
        <v>1044.7722676561696</v>
      </c>
      <c r="K344" s="459">
        <f t="shared" si="158"/>
        <v>1048.0493236703551</v>
      </c>
      <c r="L344" s="459">
        <f t="shared" si="158"/>
        <v>1050.192123464024</v>
      </c>
      <c r="M344" s="459">
        <f t="shared" si="158"/>
        <v>1051.0479936386921</v>
      </c>
      <c r="N344" s="459">
        <f t="shared" si="158"/>
        <v>1050.5041018821578</v>
      </c>
    </row>
    <row r="345" spans="1:14">
      <c r="B345" s="338" t="str">
        <f t="shared" si="153"/>
        <v>45-49</v>
      </c>
      <c r="C345" s="459">
        <f t="shared" ref="C345:N345" si="159">C308+C252</f>
        <v>751.63489387517211</v>
      </c>
      <c r="D345" s="459">
        <f t="shared" si="159"/>
        <v>778.74635633437117</v>
      </c>
      <c r="E345" s="459">
        <f t="shared" si="159"/>
        <v>804.30975003719425</v>
      </c>
      <c r="F345" s="459">
        <f t="shared" si="159"/>
        <v>827.19078468812882</v>
      </c>
      <c r="G345" s="459">
        <f t="shared" si="159"/>
        <v>846.3822519512164</v>
      </c>
      <c r="H345" s="459">
        <f t="shared" si="159"/>
        <v>863.39369281973097</v>
      </c>
      <c r="I345" s="459">
        <f t="shared" si="159"/>
        <v>878.54583464359496</v>
      </c>
      <c r="J345" s="459">
        <f t="shared" si="159"/>
        <v>891.0204036546163</v>
      </c>
      <c r="K345" s="459">
        <f t="shared" si="159"/>
        <v>899.38053741112662</v>
      </c>
      <c r="L345" s="459">
        <f t="shared" si="159"/>
        <v>905.88935400722971</v>
      </c>
      <c r="M345" s="459">
        <f t="shared" si="159"/>
        <v>910.47304439452614</v>
      </c>
      <c r="N345" s="459">
        <f t="shared" si="159"/>
        <v>913.15102499865782</v>
      </c>
    </row>
    <row r="346" spans="1:14">
      <c r="B346" s="338" t="str">
        <f t="shared" si="153"/>
        <v>50-54</v>
      </c>
      <c r="C346" s="459">
        <f t="shared" ref="C346:N346" si="160">C309+C253</f>
        <v>544.14953625509463</v>
      </c>
      <c r="D346" s="459">
        <f t="shared" si="160"/>
        <v>560.22683788170946</v>
      </c>
      <c r="E346" s="459">
        <f t="shared" si="160"/>
        <v>577.62436776939853</v>
      </c>
      <c r="F346" s="459">
        <f t="shared" si="160"/>
        <v>594.65714878352571</v>
      </c>
      <c r="G346" s="459">
        <f t="shared" si="160"/>
        <v>610.10310075579741</v>
      </c>
      <c r="H346" s="459">
        <f t="shared" si="160"/>
        <v>624.76185696491666</v>
      </c>
      <c r="I346" s="459">
        <f t="shared" si="160"/>
        <v>638.61617553408769</v>
      </c>
      <c r="J346" s="459">
        <f t="shared" si="160"/>
        <v>650.84579754078572</v>
      </c>
      <c r="K346" s="459">
        <f t="shared" si="160"/>
        <v>660.20931271305085</v>
      </c>
      <c r="L346" s="459">
        <f t="shared" si="160"/>
        <v>668.20845063783634</v>
      </c>
      <c r="M346" s="459">
        <f t="shared" si="160"/>
        <v>674.64564944800304</v>
      </c>
      <c r="N346" s="459">
        <f t="shared" si="160"/>
        <v>679.44095575875735</v>
      </c>
    </row>
    <row r="347" spans="1:14">
      <c r="B347" s="338" t="str">
        <f t="shared" si="153"/>
        <v>55-59</v>
      </c>
      <c r="C347" s="459">
        <f t="shared" ref="C347:N347" si="161">C310+C254</f>
        <v>324.27579945732907</v>
      </c>
      <c r="D347" s="459">
        <f t="shared" si="161"/>
        <v>295.68338272713589</v>
      </c>
      <c r="E347" s="459">
        <f t="shared" si="161"/>
        <v>281.89467641468491</v>
      </c>
      <c r="F347" s="459">
        <f t="shared" si="161"/>
        <v>276.32346070410449</v>
      </c>
      <c r="G347" s="459">
        <f t="shared" si="161"/>
        <v>274.9671739562022</v>
      </c>
      <c r="H347" s="459">
        <f t="shared" si="161"/>
        <v>276.54962342593331</v>
      </c>
      <c r="I347" s="459">
        <f t="shared" si="161"/>
        <v>279.8505112660327</v>
      </c>
      <c r="J347" s="459">
        <f t="shared" si="161"/>
        <v>283.55880772689454</v>
      </c>
      <c r="K347" s="459">
        <f t="shared" si="161"/>
        <v>286.43550920330506</v>
      </c>
      <c r="L347" s="459">
        <f t="shared" si="161"/>
        <v>289.3704536393621</v>
      </c>
      <c r="M347" s="459">
        <f t="shared" si="161"/>
        <v>291.9665162528164</v>
      </c>
      <c r="N347" s="459">
        <f t="shared" si="161"/>
        <v>294.01141753426975</v>
      </c>
    </row>
    <row r="348" spans="1:14">
      <c r="B348" s="338" t="str">
        <f t="shared" si="153"/>
        <v>60-64</v>
      </c>
      <c r="C348" s="459">
        <f t="shared" ref="C348:N348" si="162">C311+C255</f>
        <v>129.93963738747792</v>
      </c>
      <c r="D348" s="459">
        <f t="shared" si="162"/>
        <v>113.74094790229749</v>
      </c>
      <c r="E348" s="459">
        <f t="shared" si="162"/>
        <v>102.81552821665399</v>
      </c>
      <c r="F348" s="459">
        <f t="shared" si="162"/>
        <v>95.876370326818758</v>
      </c>
      <c r="G348" s="459">
        <f t="shared" si="162"/>
        <v>91.570578780261371</v>
      </c>
      <c r="H348" s="459">
        <f t="shared" si="162"/>
        <v>89.380855303926822</v>
      </c>
      <c r="I348" s="459">
        <f t="shared" si="162"/>
        <v>88.616809519007532</v>
      </c>
      <c r="J348" s="459">
        <f t="shared" si="162"/>
        <v>88.509650937210083</v>
      </c>
      <c r="K348" s="459">
        <f t="shared" si="162"/>
        <v>88.361183384980748</v>
      </c>
      <c r="L348" s="459">
        <f t="shared" si="162"/>
        <v>88.567710703762387</v>
      </c>
      <c r="M348" s="459">
        <f t="shared" si="162"/>
        <v>88.868301331553084</v>
      </c>
      <c r="N348" s="459">
        <f t="shared" si="162"/>
        <v>89.1140607149527</v>
      </c>
    </row>
    <row r="349" spans="1:14">
      <c r="B349" s="338" t="str">
        <f t="shared" si="153"/>
        <v>65 plus</v>
      </c>
      <c r="C349" s="459">
        <f t="shared" ref="C349:N349" si="163">C312+C256</f>
        <v>32.232032779273645</v>
      </c>
      <c r="D349" s="459">
        <f t="shared" si="163"/>
        <v>34.275707419499412</v>
      </c>
      <c r="E349" s="459">
        <f t="shared" si="163"/>
        <v>33.71846870495979</v>
      </c>
      <c r="F349" s="459">
        <f t="shared" si="163"/>
        <v>32.243893718535226</v>
      </c>
      <c r="G349" s="459">
        <f t="shared" si="163"/>
        <v>30.634145667107433</v>
      </c>
      <c r="H349" s="459">
        <f t="shared" si="163"/>
        <v>29.31925930648044</v>
      </c>
      <c r="I349" s="459">
        <f t="shared" si="163"/>
        <v>28.402805271100874</v>
      </c>
      <c r="J349" s="459">
        <f t="shared" si="163"/>
        <v>27.793903783010144</v>
      </c>
      <c r="K349" s="459">
        <f t="shared" si="163"/>
        <v>27.318690943930257</v>
      </c>
      <c r="L349" s="459">
        <f t="shared" si="163"/>
        <v>27.030079604804264</v>
      </c>
      <c r="M349" s="459">
        <f t="shared" si="163"/>
        <v>26.858766412580984</v>
      </c>
      <c r="N349" s="459">
        <f t="shared" si="163"/>
        <v>26.745716205907666</v>
      </c>
    </row>
    <row r="350" spans="1:14">
      <c r="B350" s="338" t="str">
        <f t="shared" si="153"/>
        <v>Total</v>
      </c>
      <c r="C350" s="459">
        <f t="shared" ref="C350:N350" si="164">SUM(C340:C349)</f>
        <v>6273.2894938382515</v>
      </c>
      <c r="D350" s="459">
        <f t="shared" si="164"/>
        <v>6369.3839695695233</v>
      </c>
      <c r="E350" s="459">
        <f t="shared" si="164"/>
        <v>6486.3442945158258</v>
      </c>
      <c r="F350" s="459">
        <f t="shared" si="164"/>
        <v>6597.1868334271803</v>
      </c>
      <c r="G350" s="459">
        <f t="shared" si="164"/>
        <v>6682.583784254206</v>
      </c>
      <c r="H350" s="459">
        <f t="shared" si="164"/>
        <v>6764.7177191959881</v>
      </c>
      <c r="I350" s="459">
        <f t="shared" si="164"/>
        <v>6845.8473121936204</v>
      </c>
      <c r="J350" s="459">
        <f t="shared" si="164"/>
        <v>6910.3398033257354</v>
      </c>
      <c r="K350" s="459">
        <f t="shared" si="164"/>
        <v>6933.9842627039579</v>
      </c>
      <c r="L350" s="459">
        <f t="shared" si="164"/>
        <v>6950.6941436014213</v>
      </c>
      <c r="M350" s="459">
        <f t="shared" si="164"/>
        <v>6955.6422006646699</v>
      </c>
      <c r="N350" s="459">
        <f t="shared" si="164"/>
        <v>6946.207209991232</v>
      </c>
    </row>
    <row r="351" spans="1:14">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4">
      <c r="B356" s="338" t="str">
        <f t="shared" si="166"/>
        <v>20-24</v>
      </c>
      <c r="C356" s="459">
        <f t="shared" ref="C356:N356" si="168">C319+C263</f>
        <v>1712.8532108514187</v>
      </c>
      <c r="D356" s="459">
        <f t="shared" si="168"/>
        <v>1961.0998175941761</v>
      </c>
      <c r="E356" s="459">
        <f t="shared" si="168"/>
        <v>2159.7111845024533</v>
      </c>
      <c r="F356" s="459">
        <f t="shared" si="168"/>
        <v>2301.5475237683008</v>
      </c>
      <c r="G356" s="459">
        <f t="shared" si="168"/>
        <v>2385.3788853048832</v>
      </c>
      <c r="H356" s="459">
        <f t="shared" si="168"/>
        <v>2448.5312229000765</v>
      </c>
      <c r="I356" s="459">
        <f t="shared" si="168"/>
        <v>2499.9825502266822</v>
      </c>
      <c r="J356" s="459">
        <f t="shared" si="168"/>
        <v>2528.3367369977714</v>
      </c>
      <c r="K356" s="459">
        <f t="shared" si="168"/>
        <v>2515.0006678538575</v>
      </c>
      <c r="L356" s="459">
        <f t="shared" si="168"/>
        <v>2501.2076493582799</v>
      </c>
      <c r="M356" s="459">
        <f t="shared" si="168"/>
        <v>2481.8817155404113</v>
      </c>
      <c r="N356" s="459">
        <f t="shared" si="168"/>
        <v>2454.9328099192917</v>
      </c>
    </row>
    <row r="357" spans="1:14">
      <c r="B357" s="338" t="str">
        <f t="shared" si="166"/>
        <v>25-29</v>
      </c>
      <c r="C357" s="459">
        <f t="shared" ref="C357:N357" si="169">C320+C264</f>
        <v>4287.9667273080104</v>
      </c>
      <c r="D357" s="459">
        <f t="shared" si="169"/>
        <v>4158.5253745817763</v>
      </c>
      <c r="E357" s="459">
        <f t="shared" si="169"/>
        <v>4131.7679722558723</v>
      </c>
      <c r="F357" s="459">
        <f t="shared" si="169"/>
        <v>4148.0441140931898</v>
      </c>
      <c r="G357" s="459">
        <f t="shared" si="169"/>
        <v>4167.105089977742</v>
      </c>
      <c r="H357" s="459">
        <f t="shared" si="169"/>
        <v>4199.2387746863551</v>
      </c>
      <c r="I357" s="459">
        <f t="shared" si="169"/>
        <v>4240.2591283253887</v>
      </c>
      <c r="J357" s="459">
        <f t="shared" si="169"/>
        <v>4270.34491878272</v>
      </c>
      <c r="K357" s="459">
        <f t="shared" si="169"/>
        <v>4262.3674807531306</v>
      </c>
      <c r="L357" s="459">
        <f t="shared" si="169"/>
        <v>4249.8192609872985</v>
      </c>
      <c r="M357" s="459">
        <f t="shared" si="169"/>
        <v>4228.5130437820735</v>
      </c>
      <c r="N357" s="459">
        <f t="shared" si="169"/>
        <v>4196.1108839749013</v>
      </c>
    </row>
    <row r="358" spans="1:14">
      <c r="B358" s="338" t="str">
        <f t="shared" si="166"/>
        <v>30-34</v>
      </c>
      <c r="C358" s="459">
        <f t="shared" ref="C358:N358" si="170">C321+C265</f>
        <v>4347.9331754397535</v>
      </c>
      <c r="D358" s="459">
        <f t="shared" si="170"/>
        <v>4312.7539664369451</v>
      </c>
      <c r="E358" s="459">
        <f t="shared" si="170"/>
        <v>4274.5320264468382</v>
      </c>
      <c r="F358" s="459">
        <f t="shared" si="170"/>
        <v>4241.817929026266</v>
      </c>
      <c r="G358" s="459">
        <f t="shared" si="170"/>
        <v>4211.982446180943</v>
      </c>
      <c r="H358" s="459">
        <f t="shared" si="170"/>
        <v>4195.4217028383227</v>
      </c>
      <c r="I358" s="459">
        <f t="shared" si="170"/>
        <v>4192.4566695505555</v>
      </c>
      <c r="J358" s="459">
        <f t="shared" si="170"/>
        <v>4193.4153463110861</v>
      </c>
      <c r="K358" s="459">
        <f t="shared" si="170"/>
        <v>4182.31808657484</v>
      </c>
      <c r="L358" s="459">
        <f t="shared" si="170"/>
        <v>4170.6293254153397</v>
      </c>
      <c r="M358" s="459">
        <f t="shared" si="170"/>
        <v>4155.0093106979275</v>
      </c>
      <c r="N358" s="459">
        <f t="shared" si="170"/>
        <v>4133.0639315399376</v>
      </c>
    </row>
    <row r="359" spans="1:14">
      <c r="B359" s="338" t="str">
        <f t="shared" si="166"/>
        <v>35-39</v>
      </c>
      <c r="C359" s="459">
        <f t="shared" ref="C359:N359" si="171">C322+C266</f>
        <v>3804.4216035637864</v>
      </c>
      <c r="D359" s="459">
        <f t="shared" si="171"/>
        <v>3863.1413620898793</v>
      </c>
      <c r="E359" s="459">
        <f t="shared" si="171"/>
        <v>3907.5419172153688</v>
      </c>
      <c r="F359" s="459">
        <f t="shared" si="171"/>
        <v>3933.0616891208538</v>
      </c>
      <c r="G359" s="459">
        <f t="shared" si="171"/>
        <v>3939.3418026726422</v>
      </c>
      <c r="H359" s="459">
        <f t="shared" si="171"/>
        <v>3939.6481839395315</v>
      </c>
      <c r="I359" s="459">
        <f t="shared" si="171"/>
        <v>3939.1369738494936</v>
      </c>
      <c r="J359" s="459">
        <f t="shared" si="171"/>
        <v>3935.1200831952065</v>
      </c>
      <c r="K359" s="459">
        <f t="shared" si="171"/>
        <v>3920.0166613082692</v>
      </c>
      <c r="L359" s="459">
        <f t="shared" si="171"/>
        <v>3905.3232432971595</v>
      </c>
      <c r="M359" s="459">
        <f t="shared" si="171"/>
        <v>3888.9129754579062</v>
      </c>
      <c r="N359" s="459">
        <f t="shared" si="171"/>
        <v>3869.1750668559389</v>
      </c>
    </row>
    <row r="360" spans="1:14">
      <c r="B360" s="338" t="str">
        <f t="shared" si="166"/>
        <v>40-44</v>
      </c>
      <c r="C360" s="459">
        <f t="shared" ref="C360:N360" si="172">C323+C267</f>
        <v>3215.7187602110585</v>
      </c>
      <c r="D360" s="459">
        <f t="shared" si="172"/>
        <v>3315.2088870494117</v>
      </c>
      <c r="E360" s="459">
        <f t="shared" si="172"/>
        <v>3406.3309315063789</v>
      </c>
      <c r="F360" s="459">
        <f t="shared" si="172"/>
        <v>3481.8398764543049</v>
      </c>
      <c r="G360" s="459">
        <f t="shared" si="172"/>
        <v>3536.7713697325948</v>
      </c>
      <c r="H360" s="459">
        <f t="shared" si="172"/>
        <v>3579.563143018453</v>
      </c>
      <c r="I360" s="459">
        <f t="shared" si="172"/>
        <v>3613.2597099703212</v>
      </c>
      <c r="J360" s="459">
        <f t="shared" si="172"/>
        <v>3635.3874804209804</v>
      </c>
      <c r="K360" s="459">
        <f t="shared" si="172"/>
        <v>3640.2932292167393</v>
      </c>
      <c r="L360" s="459">
        <f t="shared" si="172"/>
        <v>3639.7726943857733</v>
      </c>
      <c r="M360" s="459">
        <f t="shared" si="172"/>
        <v>3633.6571836277335</v>
      </c>
      <c r="N360" s="459">
        <f t="shared" si="172"/>
        <v>3621.9196771770767</v>
      </c>
    </row>
    <row r="361" spans="1:14">
      <c r="B361" s="338" t="str">
        <f t="shared" si="166"/>
        <v>45-49</v>
      </c>
      <c r="C361" s="459">
        <f t="shared" ref="C361:N361" si="173">C324+C268</f>
        <v>2498.0419833573292</v>
      </c>
      <c r="D361" s="459">
        <f t="shared" si="173"/>
        <v>2606.2731474046614</v>
      </c>
      <c r="E361" s="459">
        <f t="shared" si="173"/>
        <v>2709.1509233281245</v>
      </c>
      <c r="F361" s="459">
        <f t="shared" si="173"/>
        <v>2801.1779253740724</v>
      </c>
      <c r="G361" s="459">
        <f t="shared" si="173"/>
        <v>2877.9814372943133</v>
      </c>
      <c r="H361" s="459">
        <f t="shared" si="173"/>
        <v>2945.1354628491954</v>
      </c>
      <c r="I361" s="459">
        <f t="shared" si="173"/>
        <v>3003.7777268310338</v>
      </c>
      <c r="J361" s="459">
        <f t="shared" si="173"/>
        <v>3050.7818150326416</v>
      </c>
      <c r="K361" s="459">
        <f t="shared" si="173"/>
        <v>3080.7556809930879</v>
      </c>
      <c r="L361" s="459">
        <f t="shared" si="173"/>
        <v>3102.5397887476311</v>
      </c>
      <c r="M361" s="459">
        <f t="shared" si="173"/>
        <v>3116.0084065309925</v>
      </c>
      <c r="N361" s="459">
        <f t="shared" si="173"/>
        <v>3121.4290578290688</v>
      </c>
    </row>
    <row r="362" spans="1:14">
      <c r="B362" s="338" t="str">
        <f t="shared" si="166"/>
        <v>50-54</v>
      </c>
      <c r="C362" s="459">
        <f t="shared" ref="C362:N362" si="174">C325+C269</f>
        <v>2018.1300859316898</v>
      </c>
      <c r="D362" s="459">
        <f t="shared" si="174"/>
        <v>2026.8639543278014</v>
      </c>
      <c r="E362" s="459">
        <f t="shared" si="174"/>
        <v>2056.3739349087969</v>
      </c>
      <c r="F362" s="459">
        <f t="shared" si="174"/>
        <v>2095.8415494356423</v>
      </c>
      <c r="G362" s="459">
        <f t="shared" si="174"/>
        <v>2137.2640996162208</v>
      </c>
      <c r="H362" s="459">
        <f t="shared" si="174"/>
        <v>2181.2220137241379</v>
      </c>
      <c r="I362" s="459">
        <f t="shared" si="174"/>
        <v>2225.8408181481059</v>
      </c>
      <c r="J362" s="459">
        <f t="shared" si="174"/>
        <v>2266.6781638924249</v>
      </c>
      <c r="K362" s="459">
        <f t="shared" si="174"/>
        <v>2298.0602310271711</v>
      </c>
      <c r="L362" s="459">
        <f t="shared" si="174"/>
        <v>2325.0793072545571</v>
      </c>
      <c r="M362" s="459">
        <f t="shared" si="174"/>
        <v>2346.5471918638109</v>
      </c>
      <c r="N362" s="459">
        <f t="shared" si="174"/>
        <v>2361.8771674219615</v>
      </c>
    </row>
    <row r="363" spans="1:14">
      <c r="B363" s="338" t="str">
        <f t="shared" si="166"/>
        <v>55-59</v>
      </c>
      <c r="C363" s="459">
        <f t="shared" ref="C363:N363" si="175">C326+C270</f>
        <v>1363.1310030632283</v>
      </c>
      <c r="D363" s="459">
        <f t="shared" si="175"/>
        <v>1218.711543750356</v>
      </c>
      <c r="E363" s="459">
        <f t="shared" si="175"/>
        <v>1135.6375853757318</v>
      </c>
      <c r="F363" s="459">
        <f t="shared" si="175"/>
        <v>1089.984165717899</v>
      </c>
      <c r="G363" s="459">
        <f t="shared" si="175"/>
        <v>1066.1895534612568</v>
      </c>
      <c r="H363" s="459">
        <f t="shared" si="175"/>
        <v>1058.4927165562349</v>
      </c>
      <c r="I363" s="459">
        <f t="shared" si="175"/>
        <v>1061.2710976719054</v>
      </c>
      <c r="J363" s="459">
        <f t="shared" si="175"/>
        <v>1068.603079764838</v>
      </c>
      <c r="K363" s="459">
        <f t="shared" si="175"/>
        <v>1074.9311480179863</v>
      </c>
      <c r="L363" s="459">
        <f t="shared" si="175"/>
        <v>1082.9370677392735</v>
      </c>
      <c r="M363" s="459">
        <f t="shared" si="175"/>
        <v>1090.6394031060179</v>
      </c>
      <c r="N363" s="459">
        <f t="shared" si="175"/>
        <v>1096.8592881608224</v>
      </c>
    </row>
    <row r="364" spans="1:14">
      <c r="B364" s="338" t="str">
        <f t="shared" si="166"/>
        <v>60-64</v>
      </c>
      <c r="C364" s="459">
        <f t="shared" ref="C364:N364" si="176">C327+C271</f>
        <v>436.27348564057445</v>
      </c>
      <c r="D364" s="459">
        <f t="shared" si="176"/>
        <v>403.11469112355326</v>
      </c>
      <c r="E364" s="459">
        <f t="shared" si="176"/>
        <v>372.54121072498515</v>
      </c>
      <c r="F364" s="459">
        <f t="shared" si="176"/>
        <v>348.90013469894319</v>
      </c>
      <c r="G364" s="459">
        <f t="shared" si="176"/>
        <v>331.67906036533014</v>
      </c>
      <c r="H364" s="459">
        <f t="shared" si="176"/>
        <v>321.21372512795278</v>
      </c>
      <c r="I364" s="459">
        <f t="shared" si="176"/>
        <v>315.90048138272385</v>
      </c>
      <c r="J364" s="459">
        <f t="shared" si="176"/>
        <v>313.25292243391004</v>
      </c>
      <c r="K364" s="459">
        <f t="shared" si="176"/>
        <v>310.79989352279478</v>
      </c>
      <c r="L364" s="459">
        <f t="shared" si="176"/>
        <v>310.13598521076142</v>
      </c>
      <c r="M364" s="459">
        <f t="shared" si="176"/>
        <v>310.16663450176389</v>
      </c>
      <c r="N364" s="459">
        <f t="shared" si="176"/>
        <v>310.25536655753058</v>
      </c>
    </row>
    <row r="365" spans="1:14">
      <c r="B365" s="338" t="str">
        <f t="shared" si="166"/>
        <v>65 plus</v>
      </c>
      <c r="C365" s="459">
        <f t="shared" ref="C365:N365" si="177">C328+C272</f>
        <v>87.670580622154162</v>
      </c>
      <c r="D365" s="459">
        <f t="shared" si="177"/>
        <v>98.323987699894332</v>
      </c>
      <c r="E365" s="459">
        <f t="shared" si="177"/>
        <v>100.64876233750185</v>
      </c>
      <c r="F365" s="459">
        <f t="shared" si="177"/>
        <v>98.762498503536222</v>
      </c>
      <c r="G365" s="459">
        <f t="shared" si="177"/>
        <v>95.203076425977116</v>
      </c>
      <c r="H365" s="459">
        <f t="shared" si="177"/>
        <v>91.772911296687113</v>
      </c>
      <c r="I365" s="459">
        <f t="shared" si="177"/>
        <v>89.126168789644851</v>
      </c>
      <c r="J365" s="459">
        <f t="shared" si="177"/>
        <v>87.152250387493964</v>
      </c>
      <c r="K365" s="459">
        <f t="shared" si="177"/>
        <v>85.38721542454131</v>
      </c>
      <c r="L365" s="459">
        <f t="shared" si="177"/>
        <v>84.200533174104365</v>
      </c>
      <c r="M365" s="459">
        <f t="shared" si="177"/>
        <v>83.398262785790124</v>
      </c>
      <c r="N365" s="459">
        <f t="shared" si="177"/>
        <v>82.799162495230746</v>
      </c>
    </row>
    <row r="366" spans="1:14">
      <c r="B366" s="338" t="str">
        <f t="shared" si="166"/>
        <v>Total</v>
      </c>
      <c r="C366" s="459">
        <f t="shared" ref="C366:N366" si="178">SUM(C356:C365)</f>
        <v>23772.140615988999</v>
      </c>
      <c r="D366" s="459">
        <f t="shared" si="178"/>
        <v>23964.016732058451</v>
      </c>
      <c r="E366" s="459">
        <f t="shared" si="178"/>
        <v>24254.236448602052</v>
      </c>
      <c r="F366" s="459">
        <f t="shared" si="178"/>
        <v>24540.977406193004</v>
      </c>
      <c r="G366" s="459">
        <f t="shared" si="178"/>
        <v>24748.896821031904</v>
      </c>
      <c r="H366" s="459">
        <f t="shared" si="178"/>
        <v>24960.239856936947</v>
      </c>
      <c r="I366" s="459">
        <f t="shared" si="178"/>
        <v>25181.011324745854</v>
      </c>
      <c r="J366" s="459">
        <f t="shared" si="178"/>
        <v>25349.072797219073</v>
      </c>
      <c r="K366" s="459">
        <f t="shared" si="178"/>
        <v>25369.930294692414</v>
      </c>
      <c r="L366" s="459">
        <f t="shared" si="178"/>
        <v>25371.644855570179</v>
      </c>
      <c r="M366" s="459">
        <f t="shared" si="178"/>
        <v>25334.734127894433</v>
      </c>
      <c r="N366" s="459">
        <f t="shared" si="178"/>
        <v>25248.422411931762</v>
      </c>
    </row>
    <row r="367" spans="1:14">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4">
      <c r="C368" s="329">
        <f>C350+C366</f>
        <v>30045.430109827252</v>
      </c>
      <c r="D368" s="329">
        <f t="shared" ref="D368:N368" si="180">D350+D366</f>
        <v>30333.400701627976</v>
      </c>
      <c r="E368" s="329">
        <f t="shared" si="180"/>
        <v>30740.580743117876</v>
      </c>
      <c r="F368" s="329">
        <f t="shared" si="180"/>
        <v>31138.164239620186</v>
      </c>
      <c r="G368" s="329">
        <f t="shared" si="180"/>
        <v>31431.480605286109</v>
      </c>
      <c r="H368" s="329">
        <f t="shared" si="180"/>
        <v>31724.957576132936</v>
      </c>
      <c r="I368" s="329">
        <f t="shared" si="180"/>
        <v>32026.858636939476</v>
      </c>
      <c r="J368" s="329">
        <f t="shared" si="180"/>
        <v>32259.412600544809</v>
      </c>
      <c r="K368" s="329">
        <f t="shared" si="180"/>
        <v>32303.914557396372</v>
      </c>
      <c r="L368" s="329">
        <f t="shared" si="180"/>
        <v>32322.338999171599</v>
      </c>
      <c r="M368" s="329">
        <f t="shared" si="180"/>
        <v>32290.376328559105</v>
      </c>
      <c r="N368" s="329">
        <f t="shared" si="180"/>
        <v>32194.629621922995</v>
      </c>
    </row>
    <row r="369" spans="1:14">
      <c r="C369" s="329">
        <f t="shared" ref="C369:N369" si="181">C36</f>
        <v>30045.430109827248</v>
      </c>
      <c r="D369" s="329">
        <f t="shared" si="181"/>
        <v>30333.400701627972</v>
      </c>
      <c r="E369" s="329">
        <f t="shared" si="181"/>
        <v>30740.580743117873</v>
      </c>
      <c r="F369" s="329">
        <f t="shared" si="181"/>
        <v>31138.164239620182</v>
      </c>
      <c r="G369" s="329">
        <f t="shared" si="181"/>
        <v>31431.480605286102</v>
      </c>
      <c r="H369" s="329">
        <f t="shared" si="181"/>
        <v>31724.957576132929</v>
      </c>
      <c r="I369" s="329">
        <f t="shared" si="181"/>
        <v>32026.858636939469</v>
      </c>
      <c r="J369" s="329">
        <f t="shared" si="181"/>
        <v>32259.412600544802</v>
      </c>
      <c r="K369" s="329">
        <f t="shared" si="181"/>
        <v>32303.914557396369</v>
      </c>
      <c r="L369" s="329">
        <f t="shared" si="181"/>
        <v>32322.338999171592</v>
      </c>
      <c r="M369" s="329">
        <f t="shared" si="181"/>
        <v>32290.376328559087</v>
      </c>
      <c r="N369" s="329">
        <f t="shared" si="181"/>
        <v>32194.629621922984</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S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566" customFormat="1">
      <c r="A5" s="706" t="s">
        <v>1696</v>
      </c>
      <c r="B5" s="706"/>
      <c r="C5" s="706"/>
      <c r="D5" s="706"/>
      <c r="E5" s="706"/>
      <c r="F5" s="706"/>
      <c r="G5" s="706"/>
      <c r="H5" s="706"/>
      <c r="I5" s="706"/>
      <c r="J5" s="706"/>
      <c r="K5" s="706"/>
      <c r="L5" s="706"/>
      <c r="M5" s="706"/>
      <c r="N5" s="706"/>
      <c r="O5" s="565"/>
      <c r="P5" s="565"/>
      <c r="Q5" s="565"/>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Forecast_stock_figures!B25</f>
        <v>Food</v>
      </c>
      <c r="C15" s="307">
        <f>Forecast_stock_figures!C49</f>
        <v>2132.1912790445504</v>
      </c>
      <c r="D15" s="307">
        <f>Forecast_stock_figures!D49</f>
        <v>2075.8992087342663</v>
      </c>
      <c r="E15" s="307">
        <f>Forecast_stock_figures!E49</f>
        <v>2088.5494776737537</v>
      </c>
      <c r="F15" s="307">
        <f>Forecast_stock_figures!F49</f>
        <v>2020.5594005340956</v>
      </c>
      <c r="G15" s="307">
        <f>Forecast_stock_figures!G49</f>
        <v>1945.3740580544352</v>
      </c>
      <c r="H15" s="307">
        <f>Forecast_stock_figures!H49</f>
        <v>1944.7047009758676</v>
      </c>
      <c r="I15" s="307">
        <f>Forecast_stock_figures!I49</f>
        <v>1964.7747432789229</v>
      </c>
      <c r="J15" s="307">
        <f>Forecast_stock_figures!J49</f>
        <v>1987.6196856729764</v>
      </c>
      <c r="K15" s="307">
        <f>Forecast_stock_figures!K49</f>
        <v>2001.6146928070627</v>
      </c>
      <c r="L15" s="307">
        <f>Forecast_stock_figures!L49</f>
        <v>2005.2494063786851</v>
      </c>
      <c r="M15" s="307">
        <f>Forecast_stock_figures!M49</f>
        <v>2012.3431150457295</v>
      </c>
      <c r="N15" s="307">
        <f>Forecast_stock_figures!N49</f>
        <v>2016.9028684008081</v>
      </c>
    </row>
    <row r="17" spans="1:9" ht="15.75">
      <c r="B17" s="340" t="s">
        <v>149</v>
      </c>
    </row>
    <row r="19" spans="1:9">
      <c r="B19" s="1243" t="str">
        <f>Stock_ages_breakdowns!B73</f>
        <v>Age group</v>
      </c>
      <c r="C19" s="1244" t="str">
        <f>Stock_ages_breakdowns!U73</f>
        <v>Food</v>
      </c>
      <c r="D19" s="1245"/>
      <c r="H19" s="325" t="s">
        <v>120</v>
      </c>
    </row>
    <row r="20" spans="1:9">
      <c r="B20" s="1243"/>
      <c r="C20" s="363" t="str">
        <f>Stock_ages_breakdowns!S74</f>
        <v>Male</v>
      </c>
      <c r="D20" s="363" t="str">
        <f>Stock_ages_breakdowns!T74</f>
        <v>Female</v>
      </c>
    </row>
    <row r="21" spans="1:9">
      <c r="B21" s="363" t="str">
        <f>Stock_ages_breakdowns!B75</f>
        <v>20-24</v>
      </c>
      <c r="C21" s="331">
        <f>Stock_ages_breakdowns!U20</f>
        <v>5.2592428911729998</v>
      </c>
      <c r="D21" s="331">
        <f>Stock_ages_breakdowns!V20</f>
        <v>41.034139017909588</v>
      </c>
    </row>
    <row r="22" spans="1:9">
      <c r="B22" s="363" t="str">
        <f>Stock_ages_breakdowns!B76</f>
        <v>25-29</v>
      </c>
      <c r="C22" s="331">
        <f>Stock_ages_breakdowns!U21</f>
        <v>16.124080579926002</v>
      </c>
      <c r="D22" s="331">
        <f>Stock_ages_breakdowns!V21</f>
        <v>211.45730988086808</v>
      </c>
    </row>
    <row r="23" spans="1:9">
      <c r="B23" s="363" t="str">
        <f>Stock_ages_breakdowns!B77</f>
        <v>30-34</v>
      </c>
      <c r="C23" s="331">
        <f>Stock_ages_breakdowns!U22</f>
        <v>44.032401572863009</v>
      </c>
      <c r="D23" s="331">
        <f>Stock_ages_breakdowns!V22</f>
        <v>210.88014182961322</v>
      </c>
    </row>
    <row r="24" spans="1:9">
      <c r="B24" s="363" t="str">
        <f>Stock_ages_breakdowns!B78</f>
        <v>35-39</v>
      </c>
      <c r="C24" s="331">
        <f>Stock_ages_breakdowns!U23</f>
        <v>32.206981030544199</v>
      </c>
      <c r="D24" s="331">
        <f>Stock_ages_breakdowns!V23</f>
        <v>218.20766665423994</v>
      </c>
    </row>
    <row r="25" spans="1:9">
      <c r="B25" s="363" t="str">
        <f>Stock_ages_breakdowns!B79</f>
        <v>40-44</v>
      </c>
      <c r="C25" s="331">
        <f>Stock_ages_breakdowns!U24</f>
        <v>37.832111046600104</v>
      </c>
      <c r="D25" s="331">
        <f>Stock_ages_breakdowns!V24</f>
        <v>263.00694890737896</v>
      </c>
    </row>
    <row r="26" spans="1:9">
      <c r="B26" s="363" t="str">
        <f>Stock_ages_breakdowns!B80</f>
        <v>45-49</v>
      </c>
      <c r="C26" s="331">
        <f>Stock_ages_breakdowns!U25</f>
        <v>30.402201628533405</v>
      </c>
      <c r="D26" s="331">
        <f>Stock_ages_breakdowns!V25</f>
        <v>300.43253289179086</v>
      </c>
    </row>
    <row r="27" spans="1:9">
      <c r="B27" s="363" t="str">
        <f>Stock_ages_breakdowns!B81</f>
        <v>50-54</v>
      </c>
      <c r="C27" s="331">
        <f>Stock_ages_breakdowns!U26</f>
        <v>27.281479069661561</v>
      </c>
      <c r="D27" s="331">
        <f>Stock_ages_breakdowns!V26</f>
        <v>314.38695071534715</v>
      </c>
    </row>
    <row r="28" spans="1:9">
      <c r="B28" s="363" t="str">
        <f>Stock_ages_breakdowns!B82</f>
        <v>55-59</v>
      </c>
      <c r="C28" s="331">
        <f>Stock_ages_breakdowns!U27</f>
        <v>7.9862939221474996</v>
      </c>
      <c r="D28" s="331">
        <f>Stock_ages_breakdowns!V27</f>
        <v>273.16309906841639</v>
      </c>
    </row>
    <row r="29" spans="1:9">
      <c r="B29" s="363" t="str">
        <f>Stock_ages_breakdowns!B83</f>
        <v>60-64</v>
      </c>
      <c r="C29" s="331">
        <f>Stock_ages_breakdowns!U28</f>
        <v>5.8956334033392102</v>
      </c>
      <c r="D29" s="331">
        <f>Stock_ages_breakdowns!V28</f>
        <v>73.788174983990984</v>
      </c>
      <c r="F29" s="325"/>
    </row>
    <row r="30" spans="1:9">
      <c r="B30" s="363" t="str">
        <f>Stock_ages_breakdowns!B84</f>
        <v>65 plus</v>
      </c>
      <c r="C30" s="331">
        <f>Stock_ages_breakdowns!U29</f>
        <v>5.33827066656153</v>
      </c>
      <c r="D30" s="331">
        <f>Stock_ages_breakdowns!V29</f>
        <v>13.475619283645701</v>
      </c>
      <c r="G30" s="326" t="s">
        <v>49</v>
      </c>
      <c r="H30" s="326" t="s">
        <v>50</v>
      </c>
    </row>
    <row r="31" spans="1:9">
      <c r="A31" s="309">
        <f>I31</f>
        <v>0</v>
      </c>
      <c r="B31" s="363" t="str">
        <f>Stock_ages_breakdowns!B85</f>
        <v>Total</v>
      </c>
      <c r="C31" s="331">
        <f>Stock_ages_breakdowns!U30</f>
        <v>212.35869581134955</v>
      </c>
      <c r="D31" s="331">
        <f>Stock_ages_breakdowns!V30</f>
        <v>1919.8325832332009</v>
      </c>
      <c r="E31" s="327">
        <f>SUM(C31:D31)</f>
        <v>2132.1912790445504</v>
      </c>
      <c r="G31" s="366">
        <f>C31/$E$31</f>
        <v>9.9596456424167035E-2</v>
      </c>
      <c r="H31" s="366">
        <f>D31/$E$31</f>
        <v>0.90040354357583297</v>
      </c>
      <c r="I31" s="309">
        <f>(G31+H31)-1</f>
        <v>0</v>
      </c>
    </row>
    <row r="33" spans="2:15" ht="15.75">
      <c r="B33" s="340" t="s">
        <v>262</v>
      </c>
      <c r="H33" s="325"/>
    </row>
    <row r="34" spans="2:15">
      <c r="H34" s="325"/>
    </row>
    <row r="35" spans="2:15">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5">
      <c r="B36" s="326" t="str">
        <f>B15</f>
        <v>Food</v>
      </c>
      <c r="C36" s="307">
        <f>Teacher_need_by_subject!C629</f>
        <v>2075.8992087342663</v>
      </c>
      <c r="D36" s="307">
        <f>Teacher_need_by_subject!D629</f>
        <v>2088.5494776737537</v>
      </c>
      <c r="E36" s="307">
        <f>Teacher_need_by_subject!E629</f>
        <v>2020.5594005340956</v>
      </c>
      <c r="F36" s="307">
        <f>Teacher_need_by_subject!F629</f>
        <v>1945.3740580544352</v>
      </c>
      <c r="G36" s="307">
        <f>Teacher_need_by_subject!G629</f>
        <v>1944.7047009758676</v>
      </c>
      <c r="H36" s="307">
        <f>Teacher_need_by_subject!H629</f>
        <v>1964.7747432789229</v>
      </c>
      <c r="I36" s="307">
        <f>Teacher_need_by_subject!I629</f>
        <v>1987.6196856729764</v>
      </c>
      <c r="J36" s="307">
        <f>Teacher_need_by_subject!J629</f>
        <v>2001.6146928070627</v>
      </c>
      <c r="K36" s="307">
        <f>Teacher_need_by_subject!K629</f>
        <v>2005.2494063786851</v>
      </c>
      <c r="L36" s="307">
        <f>Teacher_need_by_subject!L629</f>
        <v>2012.3431150457295</v>
      </c>
      <c r="M36" s="307">
        <f>Teacher_need_by_subject!M629</f>
        <v>2016.9028684008081</v>
      </c>
      <c r="N36" s="307">
        <f>Teacher_need_by_subject!N629</f>
        <v>2010.1952409179387</v>
      </c>
    </row>
    <row r="37" spans="2:15">
      <c r="H37" s="325"/>
    </row>
    <row r="38" spans="2:15" ht="15.75">
      <c r="B38" s="340" t="s">
        <v>157</v>
      </c>
      <c r="H38" s="325"/>
    </row>
    <row r="39" spans="2:15">
      <c r="H39" s="325"/>
    </row>
    <row r="40" spans="2:15">
      <c r="B40" s="341" t="s">
        <v>49</v>
      </c>
      <c r="H40" s="325"/>
    </row>
    <row r="41" spans="2:15">
      <c r="H41" s="325"/>
    </row>
    <row r="42" spans="2:15">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5">
      <c r="B43" s="363" t="str">
        <f>B21</f>
        <v>20-24</v>
      </c>
      <c r="C43" s="307">
        <f>C21</f>
        <v>5.2592428911729998</v>
      </c>
      <c r="D43" s="307">
        <f t="shared" ref="D43:N43" si="2">C340</f>
        <v>9.7654122251174478</v>
      </c>
      <c r="E43" s="307">
        <f t="shared" si="2"/>
        <v>14.268479245752927</v>
      </c>
      <c r="F43" s="307">
        <f t="shared" si="2"/>
        <v>15.1633859233691</v>
      </c>
      <c r="G43" s="307">
        <f t="shared" si="2"/>
        <v>15.201514782767802</v>
      </c>
      <c r="H43" s="307">
        <f t="shared" si="2"/>
        <v>16.759133129468196</v>
      </c>
      <c r="I43" s="307">
        <f t="shared" si="2"/>
        <v>18.263516753176859</v>
      </c>
      <c r="J43" s="307">
        <f t="shared" si="2"/>
        <v>19.35274380323299</v>
      </c>
      <c r="K43" s="307">
        <f t="shared" si="2"/>
        <v>19.875233340151478</v>
      </c>
      <c r="L43" s="307">
        <f t="shared" si="2"/>
        <v>19.946539700605939</v>
      </c>
      <c r="M43" s="307">
        <f t="shared" si="2"/>
        <v>20.03619407969116</v>
      </c>
      <c r="N43" s="307">
        <f t="shared" si="2"/>
        <v>20.005628681479436</v>
      </c>
      <c r="O43" s="327"/>
    </row>
    <row r="44" spans="2:15">
      <c r="B44" s="363" t="str">
        <f t="shared" ref="B44:C53" si="3">B22</f>
        <v>25-29</v>
      </c>
      <c r="C44" s="307">
        <f t="shared" si="3"/>
        <v>16.124080579926002</v>
      </c>
      <c r="D44" s="307">
        <f t="shared" ref="D44:K53" si="4">C341</f>
        <v>18.994680032886095</v>
      </c>
      <c r="E44" s="307">
        <f t="shared" si="4"/>
        <v>23.256809377969805</v>
      </c>
      <c r="F44" s="307">
        <f t="shared" si="4"/>
        <v>24.809244819113808</v>
      </c>
      <c r="G44" s="307">
        <f t="shared" si="4"/>
        <v>25.490038128649694</v>
      </c>
      <c r="H44" s="307">
        <f t="shared" si="4"/>
        <v>27.578161409810949</v>
      </c>
      <c r="I44" s="307">
        <f t="shared" si="4"/>
        <v>29.80024818175356</v>
      </c>
      <c r="J44" s="307">
        <f t="shared" si="4"/>
        <v>31.720701355693038</v>
      </c>
      <c r="K44" s="307">
        <f t="shared" si="4"/>
        <v>33.064231170578431</v>
      </c>
      <c r="L44" s="307">
        <f t="shared" ref="L44:N53" si="5">K341</f>
        <v>33.832645932827802</v>
      </c>
      <c r="M44" s="307">
        <f t="shared" si="5"/>
        <v>34.448729388184404</v>
      </c>
      <c r="N44" s="307">
        <f t="shared" si="5"/>
        <v>34.818753730786007</v>
      </c>
      <c r="O44" s="327"/>
    </row>
    <row r="45" spans="2:15">
      <c r="B45" s="363" t="str">
        <f t="shared" si="3"/>
        <v>30-34</v>
      </c>
      <c r="C45" s="307">
        <f t="shared" si="3"/>
        <v>44.032401572863009</v>
      </c>
      <c r="D45" s="307">
        <f t="shared" si="4"/>
        <v>39.13440291693037</v>
      </c>
      <c r="E45" s="307">
        <f t="shared" si="4"/>
        <v>36.661474393943635</v>
      </c>
      <c r="F45" s="307">
        <f t="shared" si="4"/>
        <v>34.417339367349655</v>
      </c>
      <c r="G45" s="307">
        <f t="shared" si="4"/>
        <v>32.717422716648244</v>
      </c>
      <c r="H45" s="307">
        <f t="shared" si="4"/>
        <v>32.355706544938535</v>
      </c>
      <c r="I45" s="307">
        <f t="shared" si="4"/>
        <v>32.678083132915006</v>
      </c>
      <c r="J45" s="307">
        <f t="shared" si="4"/>
        <v>33.34502353008309</v>
      </c>
      <c r="K45" s="307">
        <f t="shared" si="4"/>
        <v>34.074860898702319</v>
      </c>
      <c r="L45" s="307">
        <f t="shared" si="5"/>
        <v>34.719519716870771</v>
      </c>
      <c r="M45" s="307">
        <f t="shared" si="5"/>
        <v>35.366998638829216</v>
      </c>
      <c r="N45" s="307">
        <f t="shared" si="5"/>
        <v>35.919609799858748</v>
      </c>
      <c r="O45" s="327"/>
    </row>
    <row r="46" spans="2:15">
      <c r="B46" s="363" t="str">
        <f t="shared" si="3"/>
        <v>35-39</v>
      </c>
      <c r="C46" s="307">
        <f t="shared" si="3"/>
        <v>32.206981030544199</v>
      </c>
      <c r="D46" s="307">
        <f t="shared" si="4"/>
        <v>34.602697467595071</v>
      </c>
      <c r="E46" s="307">
        <f t="shared" si="4"/>
        <v>35.95391633155333</v>
      </c>
      <c r="F46" s="307">
        <f t="shared" si="4"/>
        <v>35.654085742085435</v>
      </c>
      <c r="G46" s="307">
        <f t="shared" si="4"/>
        <v>34.788704273592046</v>
      </c>
      <c r="H46" s="307">
        <f t="shared" si="4"/>
        <v>34.382685813115565</v>
      </c>
      <c r="I46" s="307">
        <f t="shared" si="4"/>
        <v>34.154962263857797</v>
      </c>
      <c r="J46" s="307">
        <f t="shared" si="4"/>
        <v>34.050763227345513</v>
      </c>
      <c r="K46" s="307">
        <f t="shared" si="4"/>
        <v>34.004444481033531</v>
      </c>
      <c r="L46" s="307">
        <f t="shared" si="5"/>
        <v>33.996026265673279</v>
      </c>
      <c r="M46" s="307">
        <f t="shared" si="5"/>
        <v>34.124768901401225</v>
      </c>
      <c r="N46" s="307">
        <f t="shared" si="5"/>
        <v>34.307973205371127</v>
      </c>
      <c r="O46" s="327"/>
    </row>
    <row r="47" spans="2:15">
      <c r="B47" s="363" t="str">
        <f t="shared" si="3"/>
        <v>40-44</v>
      </c>
      <c r="C47" s="307">
        <f t="shared" si="3"/>
        <v>37.832111046600104</v>
      </c>
      <c r="D47" s="307">
        <f t="shared" si="4"/>
        <v>36.03504306382284</v>
      </c>
      <c r="E47" s="307">
        <f t="shared" si="4"/>
        <v>35.555274320341177</v>
      </c>
      <c r="F47" s="307">
        <f t="shared" si="4"/>
        <v>34.711803253338076</v>
      </c>
      <c r="G47" s="307">
        <f t="shared" si="4"/>
        <v>33.837713096934621</v>
      </c>
      <c r="H47" s="307">
        <f t="shared" si="4"/>
        <v>33.514569478654529</v>
      </c>
      <c r="I47" s="307">
        <f t="shared" si="4"/>
        <v>33.324305120119718</v>
      </c>
      <c r="J47" s="307">
        <f t="shared" si="4"/>
        <v>33.14579406531935</v>
      </c>
      <c r="K47" s="307">
        <f t="shared" si="4"/>
        <v>32.912713569708238</v>
      </c>
      <c r="L47" s="307">
        <f t="shared" si="5"/>
        <v>32.634805039988883</v>
      </c>
      <c r="M47" s="307">
        <f t="shared" si="5"/>
        <v>32.438962264403841</v>
      </c>
      <c r="N47" s="307">
        <f t="shared" si="5"/>
        <v>32.287161940770865</v>
      </c>
      <c r="O47" s="327"/>
    </row>
    <row r="48" spans="2:15">
      <c r="B48" s="363" t="str">
        <f t="shared" si="3"/>
        <v>45-49</v>
      </c>
      <c r="C48" s="307">
        <f t="shared" si="3"/>
        <v>30.402201628533405</v>
      </c>
      <c r="D48" s="307">
        <f t="shared" si="4"/>
        <v>30.896073559158168</v>
      </c>
      <c r="E48" s="307">
        <f t="shared" si="4"/>
        <v>31.256102540763322</v>
      </c>
      <c r="F48" s="307">
        <f t="shared" si="4"/>
        <v>30.845819091780015</v>
      </c>
      <c r="G48" s="307">
        <f t="shared" si="4"/>
        <v>30.236006849365843</v>
      </c>
      <c r="H48" s="307">
        <f t="shared" si="4"/>
        <v>30.013723070292013</v>
      </c>
      <c r="I48" s="307">
        <f t="shared" si="4"/>
        <v>29.890269882403448</v>
      </c>
      <c r="J48" s="307">
        <f t="shared" si="4"/>
        <v>29.768471046086894</v>
      </c>
      <c r="K48" s="307">
        <f t="shared" si="4"/>
        <v>29.581406114339568</v>
      </c>
      <c r="L48" s="307">
        <f t="shared" si="5"/>
        <v>29.324253062489738</v>
      </c>
      <c r="M48" s="307">
        <f t="shared" si="5"/>
        <v>29.093420137599963</v>
      </c>
      <c r="N48" s="307">
        <f t="shared" si="5"/>
        <v>28.863297393742368</v>
      </c>
      <c r="O48" s="327"/>
    </row>
    <row r="49" spans="1:16">
      <c r="B49" s="363" t="str">
        <f t="shared" si="3"/>
        <v>50-54</v>
      </c>
      <c r="C49" s="307">
        <f t="shared" si="3"/>
        <v>27.281479069661561</v>
      </c>
      <c r="D49" s="307">
        <f t="shared" si="4"/>
        <v>25.961019399035944</v>
      </c>
      <c r="E49" s="307">
        <f t="shared" si="4"/>
        <v>25.347777006407608</v>
      </c>
      <c r="F49" s="307">
        <f t="shared" si="4"/>
        <v>24.545548015469976</v>
      </c>
      <c r="G49" s="307">
        <f t="shared" si="4"/>
        <v>23.789811031863927</v>
      </c>
      <c r="H49" s="307">
        <f t="shared" si="4"/>
        <v>23.426825961204706</v>
      </c>
      <c r="I49" s="307">
        <f t="shared" si="4"/>
        <v>23.201756071007672</v>
      </c>
      <c r="J49" s="307">
        <f t="shared" si="4"/>
        <v>23.022548173593194</v>
      </c>
      <c r="K49" s="307">
        <f t="shared" si="4"/>
        <v>22.82608079488152</v>
      </c>
      <c r="L49" s="307">
        <f t="shared" si="5"/>
        <v>22.596960304126362</v>
      </c>
      <c r="M49" s="307">
        <f t="shared" si="5"/>
        <v>22.395176006493124</v>
      </c>
      <c r="N49" s="307">
        <f t="shared" si="5"/>
        <v>22.19282244551097</v>
      </c>
      <c r="O49" s="327"/>
    </row>
    <row r="50" spans="1:16">
      <c r="B50" s="363" t="str">
        <f t="shared" si="3"/>
        <v>55-59</v>
      </c>
      <c r="C50" s="307">
        <f t="shared" si="3"/>
        <v>7.9862939221474996</v>
      </c>
      <c r="D50" s="307">
        <f t="shared" si="4"/>
        <v>9.5310034488437108</v>
      </c>
      <c r="E50" s="307">
        <f t="shared" si="4"/>
        <v>10.413456675911354</v>
      </c>
      <c r="F50" s="307">
        <f t="shared" si="4"/>
        <v>10.552946374822685</v>
      </c>
      <c r="G50" s="307">
        <f t="shared" si="4"/>
        <v>10.441007313116657</v>
      </c>
      <c r="H50" s="307">
        <f t="shared" si="4"/>
        <v>10.456048379270188</v>
      </c>
      <c r="I50" s="307">
        <f t="shared" si="4"/>
        <v>10.460936804886114</v>
      </c>
      <c r="J50" s="307">
        <f t="shared" si="4"/>
        <v>10.432599885110109</v>
      </c>
      <c r="K50" s="307">
        <f t="shared" si="4"/>
        <v>10.357181879672977</v>
      </c>
      <c r="L50" s="307">
        <f t="shared" si="5"/>
        <v>10.245368337356696</v>
      </c>
      <c r="M50" s="307">
        <f t="shared" si="5"/>
        <v>10.150100900268638</v>
      </c>
      <c r="N50" s="307">
        <f t="shared" si="5"/>
        <v>10.051849232281334</v>
      </c>
      <c r="O50" s="327"/>
    </row>
    <row r="51" spans="1:16">
      <c r="B51" s="363" t="str">
        <f t="shared" si="3"/>
        <v>60-64</v>
      </c>
      <c r="C51" s="307">
        <f t="shared" si="3"/>
        <v>5.8956334033392102</v>
      </c>
      <c r="D51" s="307">
        <f t="shared" si="4"/>
        <v>4.1735008555172612</v>
      </c>
      <c r="E51" s="307">
        <f t="shared" si="4"/>
        <v>3.6097500460525</v>
      </c>
      <c r="F51" s="307">
        <f t="shared" si="4"/>
        <v>3.3013010172661552</v>
      </c>
      <c r="G51" s="307">
        <f t="shared" si="4"/>
        <v>3.1324329409171647</v>
      </c>
      <c r="H51" s="307">
        <f t="shared" si="4"/>
        <v>3.1322260460491589</v>
      </c>
      <c r="I51" s="307">
        <f t="shared" si="4"/>
        <v>3.158284931795972</v>
      </c>
      <c r="J51" s="307">
        <f t="shared" si="4"/>
        <v>3.1724536726807675</v>
      </c>
      <c r="K51" s="307">
        <f t="shared" si="4"/>
        <v>3.1601563224793421</v>
      </c>
      <c r="L51" s="307">
        <f t="shared" si="5"/>
        <v>3.1265285649584396</v>
      </c>
      <c r="M51" s="307">
        <f t="shared" si="5"/>
        <v>3.0992651145794108</v>
      </c>
      <c r="N51" s="307">
        <f t="shared" si="5"/>
        <v>3.0688187732991943</v>
      </c>
      <c r="O51" s="327"/>
    </row>
    <row r="52" spans="1:16">
      <c r="B52" s="363" t="str">
        <f t="shared" si="3"/>
        <v>65 plus</v>
      </c>
      <c r="C52" s="307">
        <f t="shared" si="3"/>
        <v>5.33827066656153</v>
      </c>
      <c r="D52" s="307">
        <f t="shared" si="4"/>
        <v>3.5954500021361366</v>
      </c>
      <c r="E52" s="307">
        <f t="shared" si="4"/>
        <v>2.4938572710015126</v>
      </c>
      <c r="F52" s="307">
        <f t="shared" si="4"/>
        <v>1.8054143487593244</v>
      </c>
      <c r="G52" s="307">
        <f t="shared" si="4"/>
        <v>1.3930225229474735</v>
      </c>
      <c r="H52" s="307">
        <f t="shared" si="4"/>
        <v>1.177002208483783</v>
      </c>
      <c r="I52" s="307">
        <f t="shared" si="4"/>
        <v>1.0670062415493173</v>
      </c>
      <c r="J52" s="307">
        <f t="shared" si="4"/>
        <v>1.0109574098802143</v>
      </c>
      <c r="K52" s="307">
        <f t="shared" si="4"/>
        <v>0.9784217187451113</v>
      </c>
      <c r="L52" s="307">
        <f t="shared" si="5"/>
        <v>0.95494621211590147</v>
      </c>
      <c r="M52" s="307">
        <f t="shared" si="5"/>
        <v>0.93931926999764659</v>
      </c>
      <c r="N52" s="307">
        <f t="shared" si="5"/>
        <v>0.92652688606120737</v>
      </c>
      <c r="O52" s="327"/>
    </row>
    <row r="53" spans="1:16">
      <c r="B53" s="363" t="str">
        <f t="shared" si="3"/>
        <v>Total</v>
      </c>
      <c r="C53" s="307">
        <f t="shared" si="3"/>
        <v>212.35869581134955</v>
      </c>
      <c r="D53" s="307">
        <f t="shared" si="4"/>
        <v>212.68928297104301</v>
      </c>
      <c r="E53" s="307">
        <f t="shared" si="4"/>
        <v>218.81689720969717</v>
      </c>
      <c r="F53" s="307">
        <f t="shared" si="4"/>
        <v>215.80688795335419</v>
      </c>
      <c r="G53" s="307">
        <f t="shared" si="4"/>
        <v>211.0276736568035</v>
      </c>
      <c r="H53" s="307">
        <f t="shared" si="4"/>
        <v>212.7960820412876</v>
      </c>
      <c r="I53" s="307">
        <f t="shared" si="4"/>
        <v>215.99936938346545</v>
      </c>
      <c r="J53" s="307">
        <f t="shared" si="4"/>
        <v>219.02205616902515</v>
      </c>
      <c r="K53" s="307">
        <f t="shared" si="4"/>
        <v>220.83473029029247</v>
      </c>
      <c r="L53" s="307">
        <f t="shared" si="5"/>
        <v>221.3775931370138</v>
      </c>
      <c r="M53" s="307">
        <f t="shared" si="5"/>
        <v>222.09293470144863</v>
      </c>
      <c r="N53" s="307">
        <f t="shared" si="5"/>
        <v>222.44244208916123</v>
      </c>
      <c r="O53" s="327"/>
    </row>
    <row r="54" spans="1:16">
      <c r="A54" s="309">
        <f>SUM(C54:N54)</f>
        <v>0</v>
      </c>
      <c r="C54" s="309">
        <f>SUM(C43:C52)-C53</f>
        <v>0</v>
      </c>
      <c r="D54" s="309">
        <f t="shared" ref="D54:N54" si="6">SUM(D43:D52)-D53</f>
        <v>0</v>
      </c>
      <c r="E54" s="309">
        <f t="shared" si="6"/>
        <v>0</v>
      </c>
      <c r="F54" s="309">
        <f t="shared" si="6"/>
        <v>0</v>
      </c>
      <c r="G54" s="309">
        <f t="shared" si="6"/>
        <v>0</v>
      </c>
      <c r="H54" s="309">
        <f t="shared" si="6"/>
        <v>0</v>
      </c>
      <c r="I54" s="309">
        <f t="shared" si="6"/>
        <v>0</v>
      </c>
      <c r="J54" s="309">
        <f t="shared" si="6"/>
        <v>0</v>
      </c>
      <c r="K54" s="309">
        <f t="shared" si="6"/>
        <v>0</v>
      </c>
      <c r="L54" s="309">
        <f t="shared" si="6"/>
        <v>0</v>
      </c>
      <c r="M54" s="309">
        <f t="shared" si="6"/>
        <v>0</v>
      </c>
      <c r="N54" s="309">
        <f t="shared" si="6"/>
        <v>0</v>
      </c>
    </row>
    <row r="56" spans="1:16">
      <c r="B56" s="341" t="s">
        <v>50</v>
      </c>
      <c r="H56" s="325"/>
    </row>
    <row r="57" spans="1:16">
      <c r="H57" s="325"/>
    </row>
    <row r="58" spans="1:16">
      <c r="B58" s="338" t="str">
        <f t="shared" ref="B58:B69" si="7">B42</f>
        <v>Age group</v>
      </c>
      <c r="C58" s="338" t="str">
        <f t="shared" ref="C58:N58" si="8">C42</f>
        <v>2016/17</v>
      </c>
      <c r="D58" s="338" t="str">
        <f t="shared" si="8"/>
        <v>2017/18</v>
      </c>
      <c r="E58" s="338" t="str">
        <f t="shared" si="8"/>
        <v>2018/19</v>
      </c>
      <c r="F58" s="338" t="str">
        <f t="shared" si="8"/>
        <v>2019/20</v>
      </c>
      <c r="G58" s="338" t="str">
        <f t="shared" si="8"/>
        <v>2020/21</v>
      </c>
      <c r="H58" s="338" t="str">
        <f t="shared" si="8"/>
        <v>2021/22</v>
      </c>
      <c r="I58" s="338" t="str">
        <f t="shared" si="8"/>
        <v>2022/23</v>
      </c>
      <c r="J58" s="338" t="str">
        <f t="shared" si="8"/>
        <v>2023/24</v>
      </c>
      <c r="K58" s="338" t="str">
        <f t="shared" si="8"/>
        <v>2024/25</v>
      </c>
      <c r="L58" s="338" t="str">
        <f t="shared" si="8"/>
        <v>2025/26</v>
      </c>
      <c r="M58" s="338" t="str">
        <f t="shared" si="8"/>
        <v>2026/27</v>
      </c>
      <c r="N58" s="338" t="str">
        <f t="shared" si="8"/>
        <v>2027/28</v>
      </c>
    </row>
    <row r="59" spans="1:16">
      <c r="B59" s="338" t="str">
        <f t="shared" si="7"/>
        <v>20-24</v>
      </c>
      <c r="C59" s="307">
        <f t="shared" ref="C59:C69" si="9">D21</f>
        <v>41.034139017909588</v>
      </c>
      <c r="D59" s="307">
        <f t="shared" ref="D59:N59" si="10">C356</f>
        <v>83.658110131632839</v>
      </c>
      <c r="E59" s="307">
        <f t="shared" si="10"/>
        <v>125.73019658624615</v>
      </c>
      <c r="F59" s="307">
        <f t="shared" si="10"/>
        <v>134.80893060417594</v>
      </c>
      <c r="G59" s="307">
        <f t="shared" si="10"/>
        <v>135.86200171624978</v>
      </c>
      <c r="H59" s="307">
        <f t="shared" si="10"/>
        <v>150.44916351000211</v>
      </c>
      <c r="I59" s="307">
        <f t="shared" si="10"/>
        <v>164.41594038345733</v>
      </c>
      <c r="J59" s="307">
        <f t="shared" si="10"/>
        <v>174.5300458706551</v>
      </c>
      <c r="K59" s="307">
        <f t="shared" si="10"/>
        <v>179.44807501308316</v>
      </c>
      <c r="L59" s="307">
        <f t="shared" si="10"/>
        <v>180.23337517557246</v>
      </c>
      <c r="M59" s="307">
        <f t="shared" si="10"/>
        <v>181.14450238183534</v>
      </c>
      <c r="N59" s="307">
        <f t="shared" si="10"/>
        <v>180.94027800256148</v>
      </c>
      <c r="O59" s="327"/>
      <c r="P59" s="327"/>
    </row>
    <row r="60" spans="1:16">
      <c r="B60" s="338" t="str">
        <f t="shared" si="7"/>
        <v>25-29</v>
      </c>
      <c r="C60" s="307">
        <f t="shared" si="9"/>
        <v>211.45730988086808</v>
      </c>
      <c r="D60" s="307">
        <f t="shared" ref="D60:K69" si="11">C357</f>
        <v>217.3235633656754</v>
      </c>
      <c r="E60" s="307">
        <f t="shared" si="11"/>
        <v>241.38879857173629</v>
      </c>
      <c r="F60" s="307">
        <f t="shared" si="11"/>
        <v>244.86921783312454</v>
      </c>
      <c r="G60" s="307">
        <f t="shared" si="11"/>
        <v>243.43911526968975</v>
      </c>
      <c r="H60" s="307">
        <f t="shared" si="11"/>
        <v>256.89736123264299</v>
      </c>
      <c r="I60" s="307">
        <f t="shared" si="11"/>
        <v>273.00664950750263</v>
      </c>
      <c r="J60" s="307">
        <f t="shared" si="11"/>
        <v>287.40344415768232</v>
      </c>
      <c r="K60" s="307">
        <f t="shared" si="11"/>
        <v>297.32542621915098</v>
      </c>
      <c r="L60" s="307">
        <f t="shared" ref="L60:N69" si="12">K357</f>
        <v>302.61199139340067</v>
      </c>
      <c r="M60" s="307">
        <f t="shared" si="12"/>
        <v>306.95849152878543</v>
      </c>
      <c r="N60" s="307">
        <f t="shared" si="12"/>
        <v>309.39876472658699</v>
      </c>
      <c r="O60" s="327"/>
      <c r="P60" s="327"/>
    </row>
    <row r="61" spans="1:16">
      <c r="B61" s="338" t="str">
        <f t="shared" si="7"/>
        <v>30-34</v>
      </c>
      <c r="C61" s="307">
        <f t="shared" si="9"/>
        <v>210.88014182961322</v>
      </c>
      <c r="D61" s="307">
        <f t="shared" si="11"/>
        <v>220.55918940100378</v>
      </c>
      <c r="E61" s="307">
        <f t="shared" si="11"/>
        <v>234.68731251260959</v>
      </c>
      <c r="F61" s="307">
        <f t="shared" si="11"/>
        <v>238.65554531666794</v>
      </c>
      <c r="G61" s="307">
        <f t="shared" si="11"/>
        <v>239.40570972906684</v>
      </c>
      <c r="H61" s="307">
        <f t="shared" si="11"/>
        <v>246.79422788177402</v>
      </c>
      <c r="I61" s="307">
        <f t="shared" si="11"/>
        <v>256.47598703483499</v>
      </c>
      <c r="J61" s="307">
        <f t="shared" si="11"/>
        <v>266.56653199104107</v>
      </c>
      <c r="K61" s="307">
        <f t="shared" si="11"/>
        <v>275.38664043733598</v>
      </c>
      <c r="L61" s="307">
        <f t="shared" si="12"/>
        <v>282.24307417892311</v>
      </c>
      <c r="M61" s="307">
        <f t="shared" si="12"/>
        <v>288.39662315979837</v>
      </c>
      <c r="N61" s="307">
        <f t="shared" si="12"/>
        <v>293.24654477941806</v>
      </c>
      <c r="O61" s="327"/>
      <c r="P61" s="327"/>
    </row>
    <row r="62" spans="1:16">
      <c r="B62" s="338" t="str">
        <f t="shared" si="7"/>
        <v>35-39</v>
      </c>
      <c r="C62" s="307">
        <f t="shared" si="9"/>
        <v>218.20766665423994</v>
      </c>
      <c r="D62" s="307">
        <f t="shared" si="11"/>
        <v>219.31269282948517</v>
      </c>
      <c r="E62" s="307">
        <f t="shared" si="11"/>
        <v>226.18453606703628</v>
      </c>
      <c r="F62" s="307">
        <f t="shared" si="11"/>
        <v>226.16212235968081</v>
      </c>
      <c r="G62" s="307">
        <f t="shared" si="11"/>
        <v>224.88645949624924</v>
      </c>
      <c r="H62" s="307">
        <f t="shared" si="11"/>
        <v>229.1602462835715</v>
      </c>
      <c r="I62" s="307">
        <f t="shared" si="11"/>
        <v>234.97023665849616</v>
      </c>
      <c r="J62" s="307">
        <f t="shared" si="11"/>
        <v>241.0818504791909</v>
      </c>
      <c r="K62" s="307">
        <f t="shared" si="11"/>
        <v>246.59293100167605</v>
      </c>
      <c r="L62" s="307">
        <f t="shared" si="12"/>
        <v>251.27218492780997</v>
      </c>
      <c r="M62" s="307">
        <f t="shared" si="12"/>
        <v>256.10553842089956</v>
      </c>
      <c r="N62" s="307">
        <f t="shared" si="12"/>
        <v>260.48098944585473</v>
      </c>
      <c r="O62" s="327"/>
      <c r="P62" s="327"/>
    </row>
    <row r="63" spans="1:16">
      <c r="B63" s="338" t="str">
        <f t="shared" si="7"/>
        <v>40-44</v>
      </c>
      <c r="C63" s="307">
        <f t="shared" si="9"/>
        <v>263.00694890737896</v>
      </c>
      <c r="D63" s="307">
        <f t="shared" si="11"/>
        <v>251.82074463646421</v>
      </c>
      <c r="E63" s="307">
        <f t="shared" si="11"/>
        <v>247.48155826477011</v>
      </c>
      <c r="F63" s="307">
        <f t="shared" si="11"/>
        <v>238.87491176006296</v>
      </c>
      <c r="G63" s="307">
        <f t="shared" si="11"/>
        <v>230.7872159601844</v>
      </c>
      <c r="H63" s="307">
        <f t="shared" si="11"/>
        <v>228.98849253866186</v>
      </c>
      <c r="I63" s="307">
        <f t="shared" si="11"/>
        <v>229.58377331258768</v>
      </c>
      <c r="J63" s="307">
        <f t="shared" si="11"/>
        <v>231.1437790362202</v>
      </c>
      <c r="K63" s="307">
        <f t="shared" si="11"/>
        <v>232.69189716435991</v>
      </c>
      <c r="L63" s="307">
        <f t="shared" si="12"/>
        <v>233.98466809830987</v>
      </c>
      <c r="M63" s="307">
        <f t="shared" si="12"/>
        <v>235.91489770803949</v>
      </c>
      <c r="N63" s="307">
        <f t="shared" si="12"/>
        <v>237.96027059433248</v>
      </c>
      <c r="O63" s="327"/>
      <c r="P63" s="327"/>
    </row>
    <row r="64" spans="1:16">
      <c r="B64" s="338" t="str">
        <f t="shared" si="7"/>
        <v>45-49</v>
      </c>
      <c r="C64" s="307">
        <f t="shared" si="9"/>
        <v>300.43253289179086</v>
      </c>
      <c r="D64" s="307">
        <f t="shared" si="11"/>
        <v>283.01519245812864</v>
      </c>
      <c r="E64" s="307">
        <f t="shared" si="11"/>
        <v>271.11130486740376</v>
      </c>
      <c r="F64" s="307">
        <f t="shared" si="11"/>
        <v>256.25330182697508</v>
      </c>
      <c r="G64" s="307">
        <f t="shared" si="11"/>
        <v>242.3722417722403</v>
      </c>
      <c r="H64" s="307">
        <f t="shared" si="11"/>
        <v>234.18843037849598</v>
      </c>
      <c r="I64" s="307">
        <f t="shared" si="11"/>
        <v>228.74373561086114</v>
      </c>
      <c r="J64" s="307">
        <f t="shared" si="11"/>
        <v>224.88822615483946</v>
      </c>
      <c r="K64" s="307">
        <f t="shared" si="11"/>
        <v>221.7578007642889</v>
      </c>
      <c r="L64" s="307">
        <f t="shared" si="12"/>
        <v>219.05029539901784</v>
      </c>
      <c r="M64" s="307">
        <f t="shared" si="12"/>
        <v>217.38628404160428</v>
      </c>
      <c r="N64" s="307">
        <f t="shared" si="12"/>
        <v>216.30105688157244</v>
      </c>
      <c r="O64" s="327"/>
      <c r="P64" s="327"/>
    </row>
    <row r="65" spans="1:16">
      <c r="B65" s="338" t="str">
        <f t="shared" si="7"/>
        <v>50-54</v>
      </c>
      <c r="C65" s="307">
        <f t="shared" si="9"/>
        <v>314.38695071534715</v>
      </c>
      <c r="D65" s="307">
        <f t="shared" si="11"/>
        <v>286.65154841088611</v>
      </c>
      <c r="E65" s="307">
        <f t="shared" si="11"/>
        <v>266.02968120769839</v>
      </c>
      <c r="F65" s="307">
        <f t="shared" si="11"/>
        <v>245.39053913032544</v>
      </c>
      <c r="G65" s="307">
        <f t="shared" si="11"/>
        <v>227.09202486383433</v>
      </c>
      <c r="H65" s="307">
        <f t="shared" si="11"/>
        <v>214.20142111147194</v>
      </c>
      <c r="I65" s="307">
        <f t="shared" si="11"/>
        <v>204.25604563621363</v>
      </c>
      <c r="J65" s="307">
        <f t="shared" si="11"/>
        <v>196.2556330211454</v>
      </c>
      <c r="K65" s="307">
        <f t="shared" si="11"/>
        <v>189.46434385058166</v>
      </c>
      <c r="L65" s="307">
        <f t="shared" si="12"/>
        <v>183.58131583262553</v>
      </c>
      <c r="M65" s="307">
        <f t="shared" si="12"/>
        <v>178.98850118447422</v>
      </c>
      <c r="N65" s="307">
        <f t="shared" si="12"/>
        <v>175.27350562896927</v>
      </c>
      <c r="O65" s="327"/>
      <c r="P65" s="327"/>
    </row>
    <row r="66" spans="1:16">
      <c r="B66" s="338" t="str">
        <f t="shared" si="7"/>
        <v>55-59</v>
      </c>
      <c r="C66" s="307">
        <f t="shared" si="9"/>
        <v>273.16309906841639</v>
      </c>
      <c r="D66" s="307">
        <f t="shared" si="11"/>
        <v>217.45268398539329</v>
      </c>
      <c r="E66" s="307">
        <f t="shared" si="11"/>
        <v>181.42313497555395</v>
      </c>
      <c r="F66" s="307">
        <f t="shared" si="11"/>
        <v>154.12344548736488</v>
      </c>
      <c r="G66" s="307">
        <f t="shared" si="11"/>
        <v>134.00631377351661</v>
      </c>
      <c r="H66" s="307">
        <f t="shared" si="11"/>
        <v>120.97164876270131</v>
      </c>
      <c r="I66" s="307">
        <f t="shared" si="11"/>
        <v>111.68867583561034</v>
      </c>
      <c r="J66" s="307">
        <f t="shared" si="11"/>
        <v>104.66183577999554</v>
      </c>
      <c r="K66" s="307">
        <f t="shared" si="11"/>
        <v>98.967642793017276</v>
      </c>
      <c r="L66" s="307">
        <f t="shared" si="12"/>
        <v>94.198432459515757</v>
      </c>
      <c r="M66" s="307">
        <f t="shared" si="12"/>
        <v>90.507127355563654</v>
      </c>
      <c r="N66" s="307">
        <f t="shared" si="12"/>
        <v>87.502029475814993</v>
      </c>
      <c r="O66" s="327"/>
      <c r="P66" s="327"/>
    </row>
    <row r="67" spans="1:16">
      <c r="B67" s="338" t="str">
        <f t="shared" si="7"/>
        <v>60-64</v>
      </c>
      <c r="C67" s="307">
        <f t="shared" si="9"/>
        <v>73.788174983990984</v>
      </c>
      <c r="D67" s="307">
        <f t="shared" si="11"/>
        <v>68.537633220500638</v>
      </c>
      <c r="E67" s="307">
        <f t="shared" si="11"/>
        <v>60.461223869841035</v>
      </c>
      <c r="F67" s="307">
        <f t="shared" si="11"/>
        <v>51.330157839520943</v>
      </c>
      <c r="G67" s="307">
        <f t="shared" si="11"/>
        <v>43.675413085624648</v>
      </c>
      <c r="H67" s="307">
        <f t="shared" si="11"/>
        <v>38.712278131592775</v>
      </c>
      <c r="I67" s="307">
        <f t="shared" si="11"/>
        <v>35.160828296203462</v>
      </c>
      <c r="J67" s="307">
        <f t="shared" si="11"/>
        <v>32.476386597762158</v>
      </c>
      <c r="K67" s="307">
        <f t="shared" si="11"/>
        <v>30.297085138308393</v>
      </c>
      <c r="L67" s="307">
        <f t="shared" si="12"/>
        <v>28.47600643560191</v>
      </c>
      <c r="M67" s="307">
        <f t="shared" si="12"/>
        <v>27.115380708078867</v>
      </c>
      <c r="N67" s="307">
        <f t="shared" si="12"/>
        <v>26.015089945466336</v>
      </c>
      <c r="O67" s="327"/>
      <c r="P67" s="327"/>
    </row>
    <row r="68" spans="1:16">
      <c r="B68" s="338" t="str">
        <f t="shared" si="7"/>
        <v>65 plus</v>
      </c>
      <c r="C68" s="307">
        <f t="shared" si="9"/>
        <v>13.475619283645701</v>
      </c>
      <c r="D68" s="307">
        <f t="shared" si="11"/>
        <v>14.878567324053162</v>
      </c>
      <c r="E68" s="307">
        <f t="shared" si="11"/>
        <v>15.234833541160961</v>
      </c>
      <c r="F68" s="307">
        <f t="shared" si="11"/>
        <v>14.284340422842828</v>
      </c>
      <c r="G68" s="307">
        <f t="shared" si="11"/>
        <v>12.8198887309758</v>
      </c>
      <c r="H68" s="307">
        <f t="shared" si="11"/>
        <v>11.545349103665515</v>
      </c>
      <c r="I68" s="307">
        <f t="shared" si="11"/>
        <v>10.473501619690071</v>
      </c>
      <c r="J68" s="307">
        <f t="shared" si="11"/>
        <v>9.5898964154191972</v>
      </c>
      <c r="K68" s="307">
        <f t="shared" si="11"/>
        <v>8.8481201349680472</v>
      </c>
      <c r="L68" s="307">
        <f t="shared" si="12"/>
        <v>8.2204693408941267</v>
      </c>
      <c r="M68" s="307">
        <f t="shared" si="12"/>
        <v>7.732833855201692</v>
      </c>
      <c r="N68" s="307">
        <f t="shared" si="12"/>
        <v>7.3418968310701054</v>
      </c>
      <c r="O68" s="327"/>
      <c r="P68" s="327"/>
    </row>
    <row r="69" spans="1:16">
      <c r="B69" s="338" t="str">
        <f t="shared" si="7"/>
        <v>Total</v>
      </c>
      <c r="C69" s="307">
        <f t="shared" si="9"/>
        <v>1919.8325832332009</v>
      </c>
      <c r="D69" s="307">
        <f t="shared" si="11"/>
        <v>1863.2099257632233</v>
      </c>
      <c r="E69" s="307">
        <f t="shared" si="11"/>
        <v>1869.7325804640566</v>
      </c>
      <c r="F69" s="307">
        <f t="shared" si="11"/>
        <v>1804.7525125807415</v>
      </c>
      <c r="G69" s="307">
        <f t="shared" si="11"/>
        <v>1734.3463843976317</v>
      </c>
      <c r="H69" s="307">
        <f t="shared" si="11"/>
        <v>1731.9086189345799</v>
      </c>
      <c r="I69" s="307">
        <f t="shared" si="11"/>
        <v>1748.7753738954575</v>
      </c>
      <c r="J69" s="307">
        <f t="shared" si="11"/>
        <v>1768.5976295039516</v>
      </c>
      <c r="K69" s="307">
        <f t="shared" si="11"/>
        <v>1780.7799625167704</v>
      </c>
      <c r="L69" s="307">
        <f t="shared" si="12"/>
        <v>1783.8718132416711</v>
      </c>
      <c r="M69" s="307">
        <f t="shared" si="12"/>
        <v>1790.250180344281</v>
      </c>
      <c r="N69" s="307">
        <f t="shared" si="12"/>
        <v>1794.4604263116471</v>
      </c>
      <c r="O69" s="327"/>
      <c r="P69" s="327"/>
    </row>
    <row r="70" spans="1:16">
      <c r="A70" s="309">
        <f>SUM(C70:N70)</f>
        <v>0</v>
      </c>
      <c r="C70" s="309">
        <f>SUM(C59:C68)-C69</f>
        <v>0</v>
      </c>
      <c r="D70" s="309">
        <f t="shared" ref="D70:N70" si="13">SUM(D59:D68)-D69</f>
        <v>0</v>
      </c>
      <c r="E70" s="309">
        <f t="shared" si="13"/>
        <v>0</v>
      </c>
      <c r="F70" s="309">
        <f t="shared" si="13"/>
        <v>0</v>
      </c>
      <c r="G70" s="309">
        <f t="shared" si="13"/>
        <v>0</v>
      </c>
      <c r="H70" s="309">
        <f t="shared" si="13"/>
        <v>0</v>
      </c>
      <c r="I70" s="309">
        <f t="shared" si="13"/>
        <v>0</v>
      </c>
      <c r="J70" s="309">
        <f t="shared" si="13"/>
        <v>0</v>
      </c>
      <c r="K70" s="309">
        <f t="shared" si="13"/>
        <v>0</v>
      </c>
      <c r="L70" s="309">
        <f t="shared" si="13"/>
        <v>0</v>
      </c>
      <c r="M70" s="309">
        <f t="shared" si="13"/>
        <v>0</v>
      </c>
      <c r="N70" s="309">
        <f t="shared" si="13"/>
        <v>0</v>
      </c>
    </row>
    <row r="72" spans="1:16" ht="15.75">
      <c r="B72" s="340" t="s">
        <v>150</v>
      </c>
      <c r="H72" s="325"/>
    </row>
    <row r="73" spans="1:16">
      <c r="H73" s="325"/>
    </row>
    <row r="74" spans="1:16">
      <c r="B74" s="341" t="s">
        <v>49</v>
      </c>
      <c r="C74" s="262" t="s">
        <v>453</v>
      </c>
      <c r="H74" s="325"/>
    </row>
    <row r="75" spans="1:16">
      <c r="H75" s="325"/>
    </row>
    <row r="76" spans="1:16">
      <c r="B76" s="338" t="str">
        <f t="shared" ref="B76:B87" si="14">B42</f>
        <v>Age group</v>
      </c>
      <c r="C76" s="338" t="str">
        <f t="shared" ref="C76:N76" si="15">C42</f>
        <v>2016/17</v>
      </c>
      <c r="D76" s="338" t="str">
        <f t="shared" si="15"/>
        <v>2017/18</v>
      </c>
      <c r="E76" s="338" t="str">
        <f t="shared" si="15"/>
        <v>2018/19</v>
      </c>
      <c r="F76" s="338" t="str">
        <f t="shared" si="15"/>
        <v>2019/20</v>
      </c>
      <c r="G76" s="338" t="str">
        <f t="shared" si="15"/>
        <v>2020/21</v>
      </c>
      <c r="H76" s="338" t="str">
        <f t="shared" si="15"/>
        <v>2021/22</v>
      </c>
      <c r="I76" s="338" t="str">
        <f t="shared" si="15"/>
        <v>2022/23</v>
      </c>
      <c r="J76" s="338" t="str">
        <f t="shared" si="15"/>
        <v>2023/24</v>
      </c>
      <c r="K76" s="338" t="str">
        <f t="shared" si="15"/>
        <v>2024/25</v>
      </c>
      <c r="L76" s="338" t="str">
        <f t="shared" si="15"/>
        <v>2025/26</v>
      </c>
      <c r="M76" s="338" t="str">
        <f t="shared" si="15"/>
        <v>2026/27</v>
      </c>
      <c r="N76" s="338" t="str">
        <f t="shared" si="15"/>
        <v>2027/28</v>
      </c>
    </row>
    <row r="77" spans="1:16">
      <c r="B77" s="338" t="str">
        <f t="shared" si="14"/>
        <v>20-24</v>
      </c>
      <c r="C77" s="459">
        <f>C43-(0.2*C43)</f>
        <v>4.2073943129383995</v>
      </c>
      <c r="D77" s="459">
        <f>D43-(0.2*D43)</f>
        <v>7.8123297800939584</v>
      </c>
      <c r="E77" s="459">
        <f t="shared" ref="E77:N77" si="16">E43-(0.2*E43)</f>
        <v>11.414783396602342</v>
      </c>
      <c r="F77" s="459">
        <f t="shared" si="16"/>
        <v>12.130708738695279</v>
      </c>
      <c r="G77" s="459">
        <f t="shared" si="16"/>
        <v>12.161211826214242</v>
      </c>
      <c r="H77" s="459">
        <f t="shared" si="16"/>
        <v>13.407306503574556</v>
      </c>
      <c r="I77" s="459">
        <f t="shared" si="16"/>
        <v>14.610813402541487</v>
      </c>
      <c r="J77" s="459">
        <f t="shared" si="16"/>
        <v>15.482195042586392</v>
      </c>
      <c r="K77" s="459">
        <f t="shared" si="16"/>
        <v>15.900186672121183</v>
      </c>
      <c r="L77" s="459">
        <f t="shared" si="16"/>
        <v>15.957231760484751</v>
      </c>
      <c r="M77" s="459">
        <f t="shared" si="16"/>
        <v>16.028955263752927</v>
      </c>
      <c r="N77" s="459">
        <f t="shared" si="16"/>
        <v>16.00450294518355</v>
      </c>
    </row>
    <row r="78" spans="1:16">
      <c r="B78" s="338" t="str">
        <f t="shared" si="14"/>
        <v>25-29</v>
      </c>
      <c r="C78" s="459">
        <f t="shared" ref="C78:C85" si="17">C44+(0.2*C43)-(0.2*C44)</f>
        <v>13.951113042175402</v>
      </c>
      <c r="D78" s="459">
        <f t="shared" ref="D78:N78" si="18">D44+(0.2*D43)-(0.2*D44)</f>
        <v>17.148826471332367</v>
      </c>
      <c r="E78" s="459">
        <f t="shared" si="18"/>
        <v>21.459143351526428</v>
      </c>
      <c r="F78" s="459">
        <f t="shared" si="18"/>
        <v>22.880073039964863</v>
      </c>
      <c r="G78" s="459">
        <f t="shared" si="18"/>
        <v>23.432333459473316</v>
      </c>
      <c r="H78" s="459">
        <f t="shared" si="18"/>
        <v>25.414355753742399</v>
      </c>
      <c r="I78" s="459">
        <f t="shared" si="18"/>
        <v>27.492901896038219</v>
      </c>
      <c r="J78" s="459">
        <f t="shared" si="18"/>
        <v>29.247109845201031</v>
      </c>
      <c r="K78" s="459">
        <f t="shared" si="18"/>
        <v>30.42643160449304</v>
      </c>
      <c r="L78" s="459">
        <f t="shared" si="18"/>
        <v>31.055424686383429</v>
      </c>
      <c r="M78" s="459">
        <f t="shared" si="18"/>
        <v>31.566222326485754</v>
      </c>
      <c r="N78" s="459">
        <f t="shared" si="18"/>
        <v>31.856128720924694</v>
      </c>
    </row>
    <row r="79" spans="1:16">
      <c r="B79" s="338" t="str">
        <f t="shared" si="14"/>
        <v>30-34</v>
      </c>
      <c r="C79" s="459">
        <f t="shared" si="17"/>
        <v>38.450737374275604</v>
      </c>
      <c r="D79" s="459">
        <f t="shared" ref="D79:N79" si="19">D45+(0.2*D44)-(0.2*D45)</f>
        <v>35.10645834012152</v>
      </c>
      <c r="E79" s="459">
        <f t="shared" si="19"/>
        <v>33.980541390748868</v>
      </c>
      <c r="F79" s="459">
        <f t="shared" si="19"/>
        <v>32.495720457702483</v>
      </c>
      <c r="G79" s="459">
        <f t="shared" si="19"/>
        <v>31.271945799048538</v>
      </c>
      <c r="H79" s="459">
        <f t="shared" si="19"/>
        <v>31.400197517913018</v>
      </c>
      <c r="I79" s="459">
        <f t="shared" si="19"/>
        <v>32.102516142682717</v>
      </c>
      <c r="J79" s="459">
        <f t="shared" si="19"/>
        <v>33.020159095205074</v>
      </c>
      <c r="K79" s="459">
        <f t="shared" si="19"/>
        <v>33.87273495307754</v>
      </c>
      <c r="L79" s="459">
        <f t="shared" si="19"/>
        <v>34.542144960062181</v>
      </c>
      <c r="M79" s="459">
        <f t="shared" si="19"/>
        <v>35.183344788700254</v>
      </c>
      <c r="N79" s="459">
        <f t="shared" si="19"/>
        <v>35.699438586044202</v>
      </c>
    </row>
    <row r="80" spans="1:16">
      <c r="B80" s="338" t="str">
        <f t="shared" si="14"/>
        <v>35-39</v>
      </c>
      <c r="C80" s="459">
        <f t="shared" si="17"/>
        <v>34.572065139007961</v>
      </c>
      <c r="D80" s="459">
        <f t="shared" ref="D80:N80" si="20">D46+(0.2*D45)-(0.2*D46)</f>
        <v>35.509038557462134</v>
      </c>
      <c r="E80" s="459">
        <f t="shared" si="20"/>
        <v>36.095427944031393</v>
      </c>
      <c r="F80" s="459">
        <f t="shared" si="20"/>
        <v>35.40673646713828</v>
      </c>
      <c r="G80" s="459">
        <f t="shared" si="20"/>
        <v>34.374447962203284</v>
      </c>
      <c r="H80" s="459">
        <f t="shared" si="20"/>
        <v>33.977289959480153</v>
      </c>
      <c r="I80" s="459">
        <f t="shared" si="20"/>
        <v>33.859586437669236</v>
      </c>
      <c r="J80" s="459">
        <f t="shared" si="20"/>
        <v>33.909615287893033</v>
      </c>
      <c r="K80" s="459">
        <f t="shared" si="20"/>
        <v>34.018527764567288</v>
      </c>
      <c r="L80" s="459">
        <f t="shared" si="20"/>
        <v>34.140724955912773</v>
      </c>
      <c r="M80" s="459">
        <f t="shared" si="20"/>
        <v>34.373214848886825</v>
      </c>
      <c r="N80" s="459">
        <f t="shared" si="20"/>
        <v>34.630300524268648</v>
      </c>
    </row>
    <row r="81" spans="1:15">
      <c r="B81" s="338" t="str">
        <f t="shared" si="14"/>
        <v>40-44</v>
      </c>
      <c r="C81" s="459">
        <f t="shared" si="17"/>
        <v>36.707085043388922</v>
      </c>
      <c r="D81" s="459">
        <f t="shared" ref="D81:N81" si="21">D47+(0.2*D46)-(0.2*D47)</f>
        <v>35.748573944577288</v>
      </c>
      <c r="E81" s="459">
        <f t="shared" si="21"/>
        <v>35.635002722583607</v>
      </c>
      <c r="F81" s="459">
        <f t="shared" si="21"/>
        <v>34.900259751087546</v>
      </c>
      <c r="G81" s="459">
        <f t="shared" si="21"/>
        <v>34.027911332266108</v>
      </c>
      <c r="H81" s="459">
        <f t="shared" si="21"/>
        <v>33.688192745546736</v>
      </c>
      <c r="I81" s="459">
        <f t="shared" si="21"/>
        <v>33.490436548867336</v>
      </c>
      <c r="J81" s="459">
        <f t="shared" si="21"/>
        <v>33.326787897724586</v>
      </c>
      <c r="K81" s="459">
        <f t="shared" si="21"/>
        <v>33.131059751973297</v>
      </c>
      <c r="L81" s="459">
        <f t="shared" si="21"/>
        <v>32.907049285125765</v>
      </c>
      <c r="M81" s="459">
        <f t="shared" si="21"/>
        <v>32.776123591803319</v>
      </c>
      <c r="N81" s="459">
        <f t="shared" si="21"/>
        <v>32.691324193690917</v>
      </c>
    </row>
    <row r="82" spans="1:15">
      <c r="B82" s="338" t="str">
        <f t="shared" si="14"/>
        <v>45-49</v>
      </c>
      <c r="C82" s="459">
        <f t="shared" si="17"/>
        <v>31.888183512146746</v>
      </c>
      <c r="D82" s="459">
        <f t="shared" ref="D82:N82" si="22">D48+(0.2*D47)-(0.2*D48)</f>
        <v>31.923867460091103</v>
      </c>
      <c r="E82" s="459">
        <f t="shared" si="22"/>
        <v>32.115936896678896</v>
      </c>
      <c r="F82" s="459">
        <f t="shared" si="22"/>
        <v>31.619015924091627</v>
      </c>
      <c r="G82" s="459">
        <f t="shared" si="22"/>
        <v>30.956348098879598</v>
      </c>
      <c r="H82" s="459">
        <f t="shared" si="22"/>
        <v>30.713892351964514</v>
      </c>
      <c r="I82" s="459">
        <f t="shared" si="22"/>
        <v>30.577076929946703</v>
      </c>
      <c r="J82" s="459">
        <f t="shared" si="22"/>
        <v>30.44393564993339</v>
      </c>
      <c r="K82" s="459">
        <f t="shared" si="22"/>
        <v>30.247667605413298</v>
      </c>
      <c r="L82" s="459">
        <f t="shared" si="22"/>
        <v>29.986363457989569</v>
      </c>
      <c r="M82" s="459">
        <f t="shared" si="22"/>
        <v>29.762528562960739</v>
      </c>
      <c r="N82" s="459">
        <f t="shared" si="22"/>
        <v>29.548070303148066</v>
      </c>
    </row>
    <row r="83" spans="1:15">
      <c r="B83" s="338" t="str">
        <f t="shared" si="14"/>
        <v>50-54</v>
      </c>
      <c r="C83" s="459">
        <f t="shared" si="17"/>
        <v>27.905623581435925</v>
      </c>
      <c r="D83" s="459">
        <f t="shared" ref="D83:N83" si="23">D49+(0.2*D48)-(0.2*D49)</f>
        <v>26.948030231060393</v>
      </c>
      <c r="E83" s="459">
        <f t="shared" si="23"/>
        <v>26.529442113278751</v>
      </c>
      <c r="F83" s="459">
        <f t="shared" si="23"/>
        <v>25.805602230731985</v>
      </c>
      <c r="G83" s="459">
        <f t="shared" si="23"/>
        <v>25.07905019536431</v>
      </c>
      <c r="H83" s="459">
        <f t="shared" si="23"/>
        <v>24.74420538302217</v>
      </c>
      <c r="I83" s="459">
        <f t="shared" si="23"/>
        <v>24.53945883328683</v>
      </c>
      <c r="J83" s="459">
        <f t="shared" si="23"/>
        <v>24.371732748091933</v>
      </c>
      <c r="K83" s="459">
        <f t="shared" si="23"/>
        <v>24.17714585877313</v>
      </c>
      <c r="L83" s="459">
        <f t="shared" si="23"/>
        <v>23.942418855799037</v>
      </c>
      <c r="M83" s="459">
        <f t="shared" si="23"/>
        <v>23.734824832714491</v>
      </c>
      <c r="N83" s="459">
        <f t="shared" si="23"/>
        <v>23.526917435157248</v>
      </c>
    </row>
    <row r="84" spans="1:15">
      <c r="B84" s="338" t="str">
        <f t="shared" si="14"/>
        <v>55-59</v>
      </c>
      <c r="C84" s="459">
        <f t="shared" si="17"/>
        <v>11.845330951650311</v>
      </c>
      <c r="D84" s="459">
        <f t="shared" ref="D84:N84" si="24">D50+(0.2*D49)-(0.2*D50)</f>
        <v>12.817006638882159</v>
      </c>
      <c r="E84" s="459">
        <f t="shared" si="24"/>
        <v>13.400320742010603</v>
      </c>
      <c r="F84" s="459">
        <f t="shared" si="24"/>
        <v>13.351466702952143</v>
      </c>
      <c r="G84" s="459">
        <f t="shared" si="24"/>
        <v>13.11076805686611</v>
      </c>
      <c r="H84" s="459">
        <f t="shared" si="24"/>
        <v>13.050203895657091</v>
      </c>
      <c r="I84" s="459">
        <f t="shared" si="24"/>
        <v>13.009100658110425</v>
      </c>
      <c r="J84" s="459">
        <f t="shared" si="24"/>
        <v>12.950589542806727</v>
      </c>
      <c r="K84" s="459">
        <f t="shared" si="24"/>
        <v>12.850961662714685</v>
      </c>
      <c r="L84" s="459">
        <f t="shared" si="24"/>
        <v>12.71568673071063</v>
      </c>
      <c r="M84" s="459">
        <f t="shared" si="24"/>
        <v>12.599115921513533</v>
      </c>
      <c r="N84" s="459">
        <f t="shared" si="24"/>
        <v>12.480043874927262</v>
      </c>
    </row>
    <row r="85" spans="1:15">
      <c r="B85" s="338" t="str">
        <f t="shared" si="14"/>
        <v>60-64</v>
      </c>
      <c r="C85" s="459">
        <f t="shared" si="17"/>
        <v>6.313765507100868</v>
      </c>
      <c r="D85" s="459">
        <f t="shared" ref="D85:N85" si="25">D51+(0.2*D50)-(0.2*D51)</f>
        <v>5.245001374182551</v>
      </c>
      <c r="E85" s="459">
        <f t="shared" si="25"/>
        <v>4.97049137202427</v>
      </c>
      <c r="F85" s="459">
        <f t="shared" si="25"/>
        <v>4.7516300887774614</v>
      </c>
      <c r="G85" s="459">
        <f t="shared" si="25"/>
        <v>4.5941478153570632</v>
      </c>
      <c r="H85" s="459">
        <f t="shared" si="25"/>
        <v>4.596990512693365</v>
      </c>
      <c r="I85" s="459">
        <f t="shared" si="25"/>
        <v>4.6188153064139996</v>
      </c>
      <c r="J85" s="459">
        <f t="shared" si="25"/>
        <v>4.6244829151666362</v>
      </c>
      <c r="K85" s="459">
        <f t="shared" si="25"/>
        <v>4.599561433918069</v>
      </c>
      <c r="L85" s="459">
        <f t="shared" si="25"/>
        <v>4.5502965194380911</v>
      </c>
      <c r="M85" s="459">
        <f t="shared" si="25"/>
        <v>4.5094322717172561</v>
      </c>
      <c r="N85" s="459">
        <f t="shared" si="25"/>
        <v>4.4654248650956223</v>
      </c>
    </row>
    <row r="86" spans="1:15">
      <c r="B86" s="338" t="str">
        <f t="shared" si="14"/>
        <v>65 plus</v>
      </c>
      <c r="C86" s="459">
        <f>C52+(0.2*C51)</f>
        <v>6.5173973472293723</v>
      </c>
      <c r="D86" s="459">
        <f t="shared" ref="D86:N86" si="26">D52+(0.2*D51)</f>
        <v>4.4301501732395892</v>
      </c>
      <c r="E86" s="459">
        <f t="shared" si="26"/>
        <v>3.2158072802120126</v>
      </c>
      <c r="F86" s="459">
        <f t="shared" si="26"/>
        <v>2.4656745522125556</v>
      </c>
      <c r="G86" s="459">
        <f t="shared" si="26"/>
        <v>2.0195091111309065</v>
      </c>
      <c r="H86" s="459">
        <f t="shared" si="26"/>
        <v>1.8034474176936148</v>
      </c>
      <c r="I86" s="459">
        <f t="shared" si="26"/>
        <v>1.6986632279085119</v>
      </c>
      <c r="J86" s="459">
        <f t="shared" si="26"/>
        <v>1.6454481444163678</v>
      </c>
      <c r="K86" s="459">
        <f t="shared" si="26"/>
        <v>1.6104529832409797</v>
      </c>
      <c r="L86" s="459">
        <f t="shared" si="26"/>
        <v>1.5802519251075893</v>
      </c>
      <c r="M86" s="459">
        <f t="shared" si="26"/>
        <v>1.5591722929135288</v>
      </c>
      <c r="N86" s="459">
        <f t="shared" si="26"/>
        <v>1.5402906407210462</v>
      </c>
    </row>
    <row r="87" spans="1:15">
      <c r="B87" s="338" t="str">
        <f t="shared" si="14"/>
        <v>Total</v>
      </c>
      <c r="C87" s="459">
        <f>SUM(C77:C86)</f>
        <v>212.35869581134952</v>
      </c>
      <c r="D87" s="459">
        <f t="shared" ref="D87:N87" si="27">SUM(D77:D86)</f>
        <v>212.68928297104307</v>
      </c>
      <c r="E87" s="459">
        <f t="shared" si="27"/>
        <v>218.81689720969715</v>
      </c>
      <c r="F87" s="459">
        <f t="shared" si="27"/>
        <v>215.80688795335422</v>
      </c>
      <c r="G87" s="459">
        <f t="shared" si="27"/>
        <v>211.0276736568035</v>
      </c>
      <c r="H87" s="459">
        <f t="shared" si="27"/>
        <v>212.7960820412876</v>
      </c>
      <c r="I87" s="459">
        <f t="shared" si="27"/>
        <v>215.99936938346548</v>
      </c>
      <c r="J87" s="459">
        <f t="shared" si="27"/>
        <v>219.02205616902521</v>
      </c>
      <c r="K87" s="459">
        <f t="shared" si="27"/>
        <v>220.83473029029255</v>
      </c>
      <c r="L87" s="459">
        <f t="shared" si="27"/>
        <v>221.37759313701383</v>
      </c>
      <c r="M87" s="459">
        <f t="shared" si="27"/>
        <v>222.09293470144863</v>
      </c>
      <c r="N87" s="459">
        <f t="shared" si="27"/>
        <v>222.44244208916132</v>
      </c>
    </row>
    <row r="88" spans="1:15">
      <c r="A88" s="309">
        <f>SUM(C88:N88)</f>
        <v>0</v>
      </c>
      <c r="C88" s="309">
        <f>SUM(C77:C86)-C87</f>
        <v>0</v>
      </c>
      <c r="D88" s="309">
        <f t="shared" ref="D88:N88" si="28">SUM(D77:D86)-D87</f>
        <v>0</v>
      </c>
      <c r="E88" s="309">
        <f t="shared" si="28"/>
        <v>0</v>
      </c>
      <c r="F88" s="309">
        <f t="shared" si="28"/>
        <v>0</v>
      </c>
      <c r="G88" s="309">
        <f t="shared" si="28"/>
        <v>0</v>
      </c>
      <c r="H88" s="309">
        <f t="shared" si="28"/>
        <v>0</v>
      </c>
      <c r="I88" s="309">
        <f t="shared" si="28"/>
        <v>0</v>
      </c>
      <c r="J88" s="309">
        <f t="shared" si="28"/>
        <v>0</v>
      </c>
      <c r="K88" s="309">
        <f t="shared" si="28"/>
        <v>0</v>
      </c>
      <c r="L88" s="309">
        <f t="shared" si="28"/>
        <v>0</v>
      </c>
      <c r="M88" s="309">
        <f t="shared" si="28"/>
        <v>0</v>
      </c>
      <c r="N88" s="309">
        <f t="shared" si="28"/>
        <v>0</v>
      </c>
    </row>
    <row r="90" spans="1:15">
      <c r="B90" s="341" t="s">
        <v>50</v>
      </c>
      <c r="H90" s="325"/>
    </row>
    <row r="91" spans="1:15">
      <c r="H91" s="325"/>
    </row>
    <row r="92" spans="1:15">
      <c r="B92" s="338" t="str">
        <f t="shared" ref="B92:B103" si="29">B76</f>
        <v>Age group</v>
      </c>
      <c r="C92" s="338" t="str">
        <f t="shared" ref="C92:N92" si="30">C76</f>
        <v>2016/17</v>
      </c>
      <c r="D92" s="338" t="str">
        <f t="shared" si="30"/>
        <v>2017/18</v>
      </c>
      <c r="E92" s="338" t="str">
        <f t="shared" si="30"/>
        <v>2018/19</v>
      </c>
      <c r="F92" s="338" t="str">
        <f t="shared" si="30"/>
        <v>2019/20</v>
      </c>
      <c r="G92" s="338" t="str">
        <f t="shared" si="30"/>
        <v>2020/21</v>
      </c>
      <c r="H92" s="338" t="str">
        <f t="shared" si="30"/>
        <v>2021/22</v>
      </c>
      <c r="I92" s="338" t="str">
        <f t="shared" si="30"/>
        <v>2022/23</v>
      </c>
      <c r="J92" s="338" t="str">
        <f t="shared" si="30"/>
        <v>2023/24</v>
      </c>
      <c r="K92" s="338" t="str">
        <f t="shared" si="30"/>
        <v>2024/25</v>
      </c>
      <c r="L92" s="338" t="str">
        <f t="shared" si="30"/>
        <v>2025/26</v>
      </c>
      <c r="M92" s="338" t="str">
        <f t="shared" si="30"/>
        <v>2026/27</v>
      </c>
      <c r="N92" s="338" t="str">
        <f t="shared" si="30"/>
        <v>2027/28</v>
      </c>
    </row>
    <row r="93" spans="1:15">
      <c r="B93" s="338" t="str">
        <f t="shared" si="29"/>
        <v>20-24</v>
      </c>
      <c r="C93" s="459">
        <f>C59-(0.2*C59)</f>
        <v>32.827311214327672</v>
      </c>
      <c r="D93" s="459">
        <f t="shared" ref="D93:N93" si="31">D59-(0.2*D59)</f>
        <v>66.926488105306277</v>
      </c>
      <c r="E93" s="459">
        <f t="shared" si="31"/>
        <v>100.58415726899692</v>
      </c>
      <c r="F93" s="459">
        <f t="shared" si="31"/>
        <v>107.84714448334076</v>
      </c>
      <c r="G93" s="459">
        <f t="shared" si="31"/>
        <v>108.68960137299982</v>
      </c>
      <c r="H93" s="459">
        <f t="shared" si="31"/>
        <v>120.35933080800169</v>
      </c>
      <c r="I93" s="459">
        <f t="shared" si="31"/>
        <v>131.53275230676587</v>
      </c>
      <c r="J93" s="459">
        <f t="shared" si="31"/>
        <v>139.62403669652409</v>
      </c>
      <c r="K93" s="459">
        <f t="shared" si="31"/>
        <v>143.55846001046652</v>
      </c>
      <c r="L93" s="459">
        <f t="shared" si="31"/>
        <v>144.18670014045796</v>
      </c>
      <c r="M93" s="459">
        <f t="shared" si="31"/>
        <v>144.91560190546826</v>
      </c>
      <c r="N93" s="459">
        <f t="shared" si="31"/>
        <v>144.7522224020492</v>
      </c>
      <c r="O93" s="327"/>
    </row>
    <row r="94" spans="1:15">
      <c r="B94" s="338" t="str">
        <f t="shared" si="29"/>
        <v>25-29</v>
      </c>
      <c r="C94" s="459">
        <f t="shared" ref="C94:C101" si="32">C60+(0.2*C59)-(0.2*C60)</f>
        <v>177.37267570827638</v>
      </c>
      <c r="D94" s="459">
        <f t="shared" ref="D94:N94" si="33">D60+(0.2*D59)-(0.2*D60)</f>
        <v>190.59047271886686</v>
      </c>
      <c r="E94" s="459">
        <f t="shared" si="33"/>
        <v>218.25707817463825</v>
      </c>
      <c r="F94" s="459">
        <f t="shared" si="33"/>
        <v>222.85716038733483</v>
      </c>
      <c r="G94" s="459">
        <f t="shared" si="33"/>
        <v>221.92369255900172</v>
      </c>
      <c r="H94" s="459">
        <f t="shared" si="33"/>
        <v>235.60772168811482</v>
      </c>
      <c r="I94" s="459">
        <f t="shared" si="33"/>
        <v>251.28850768269356</v>
      </c>
      <c r="J94" s="459">
        <f t="shared" si="33"/>
        <v>264.82876450027686</v>
      </c>
      <c r="K94" s="459">
        <f t="shared" si="33"/>
        <v>273.74995597793736</v>
      </c>
      <c r="L94" s="459">
        <f t="shared" si="33"/>
        <v>278.13626814983502</v>
      </c>
      <c r="M94" s="459">
        <f t="shared" si="33"/>
        <v>281.79569369939543</v>
      </c>
      <c r="N94" s="459">
        <f t="shared" si="33"/>
        <v>283.70706738178188</v>
      </c>
      <c r="O94" s="327"/>
    </row>
    <row r="95" spans="1:15">
      <c r="B95" s="338" t="str">
        <f t="shared" si="29"/>
        <v>30-34</v>
      </c>
      <c r="C95" s="459">
        <f t="shared" si="32"/>
        <v>210.99557543986418</v>
      </c>
      <c r="D95" s="459">
        <f t="shared" ref="D95:N95" si="34">D61+(0.2*D60)-(0.2*D61)</f>
        <v>219.91206419393808</v>
      </c>
      <c r="E95" s="459">
        <f t="shared" si="34"/>
        <v>236.02760972443494</v>
      </c>
      <c r="F95" s="459">
        <f t="shared" si="34"/>
        <v>239.89827981995927</v>
      </c>
      <c r="G95" s="459">
        <f t="shared" si="34"/>
        <v>240.21239083719141</v>
      </c>
      <c r="H95" s="459">
        <f t="shared" si="34"/>
        <v>248.81485455194783</v>
      </c>
      <c r="I95" s="459">
        <f t="shared" si="34"/>
        <v>259.78211952936852</v>
      </c>
      <c r="J95" s="459">
        <f t="shared" si="34"/>
        <v>270.73391442436929</v>
      </c>
      <c r="K95" s="459">
        <f t="shared" si="34"/>
        <v>279.77439759369895</v>
      </c>
      <c r="L95" s="459">
        <f t="shared" si="34"/>
        <v>286.31685762181866</v>
      </c>
      <c r="M95" s="459">
        <f t="shared" si="34"/>
        <v>292.10899683359577</v>
      </c>
      <c r="N95" s="459">
        <f t="shared" si="34"/>
        <v>296.47698876885187</v>
      </c>
      <c r="O95" s="327"/>
    </row>
    <row r="96" spans="1:15">
      <c r="B96" s="338" t="str">
        <f t="shared" si="29"/>
        <v>35-39</v>
      </c>
      <c r="C96" s="459">
        <f t="shared" si="32"/>
        <v>216.74216168931457</v>
      </c>
      <c r="D96" s="459">
        <f t="shared" ref="D96:N96" si="35">D62+(0.2*D61)-(0.2*D62)</f>
        <v>219.5619921437889</v>
      </c>
      <c r="E96" s="459">
        <f t="shared" si="35"/>
        <v>227.88509135615092</v>
      </c>
      <c r="F96" s="459">
        <f t="shared" si="35"/>
        <v>228.66080695107826</v>
      </c>
      <c r="G96" s="459">
        <f t="shared" si="35"/>
        <v>227.79030954281279</v>
      </c>
      <c r="H96" s="459">
        <f t="shared" si="35"/>
        <v>232.68704260321203</v>
      </c>
      <c r="I96" s="459">
        <f t="shared" si="35"/>
        <v>239.27138673376396</v>
      </c>
      <c r="J96" s="459">
        <f t="shared" si="35"/>
        <v>246.17878678156094</v>
      </c>
      <c r="K96" s="459">
        <f t="shared" si="35"/>
        <v>252.35167288880805</v>
      </c>
      <c r="L96" s="459">
        <f t="shared" si="35"/>
        <v>257.46636277803259</v>
      </c>
      <c r="M96" s="459">
        <f t="shared" si="35"/>
        <v>262.56375536867932</v>
      </c>
      <c r="N96" s="459">
        <f t="shared" si="35"/>
        <v>267.03410051256742</v>
      </c>
      <c r="O96" s="327"/>
    </row>
    <row r="97" spans="1:15">
      <c r="B97" s="338" t="str">
        <f t="shared" si="29"/>
        <v>40-44</v>
      </c>
      <c r="C97" s="459">
        <f t="shared" si="32"/>
        <v>254.04709245675116</v>
      </c>
      <c r="D97" s="459">
        <f t="shared" ref="D97:N97" si="36">D63+(0.2*D62)-(0.2*D63)</f>
        <v>245.31913427506845</v>
      </c>
      <c r="E97" s="459">
        <f t="shared" si="36"/>
        <v>243.22215382522336</v>
      </c>
      <c r="F97" s="459">
        <f t="shared" si="36"/>
        <v>236.33235387998653</v>
      </c>
      <c r="G97" s="459">
        <f t="shared" si="36"/>
        <v>229.6070646673974</v>
      </c>
      <c r="H97" s="459">
        <f t="shared" si="36"/>
        <v>229.02284328764375</v>
      </c>
      <c r="I97" s="459">
        <f t="shared" si="36"/>
        <v>230.66106598176938</v>
      </c>
      <c r="J97" s="459">
        <f t="shared" si="36"/>
        <v>233.13139332481433</v>
      </c>
      <c r="K97" s="459">
        <f t="shared" si="36"/>
        <v>235.47210393182314</v>
      </c>
      <c r="L97" s="459">
        <f t="shared" si="36"/>
        <v>237.44217146420991</v>
      </c>
      <c r="M97" s="459">
        <f t="shared" si="36"/>
        <v>239.95302585061154</v>
      </c>
      <c r="N97" s="459">
        <f t="shared" si="36"/>
        <v>242.46441436463692</v>
      </c>
      <c r="O97" s="327"/>
    </row>
    <row r="98" spans="1:15">
      <c r="B98" s="338" t="str">
        <f t="shared" si="29"/>
        <v>45-49</v>
      </c>
      <c r="C98" s="459">
        <f t="shared" si="32"/>
        <v>292.94741609490848</v>
      </c>
      <c r="D98" s="459">
        <f t="shared" ref="D98:N98" si="37">D64+(0.2*D63)-(0.2*D64)</f>
        <v>276.77630289379573</v>
      </c>
      <c r="E98" s="459">
        <f t="shared" si="37"/>
        <v>266.38535554687701</v>
      </c>
      <c r="F98" s="459">
        <f t="shared" si="37"/>
        <v>252.77762381359267</v>
      </c>
      <c r="G98" s="459">
        <f t="shared" si="37"/>
        <v>240.05523660982911</v>
      </c>
      <c r="H98" s="459">
        <f t="shared" si="37"/>
        <v>233.14844281052916</v>
      </c>
      <c r="I98" s="459">
        <f t="shared" si="37"/>
        <v>228.91174315120645</v>
      </c>
      <c r="J98" s="459">
        <f t="shared" si="37"/>
        <v>226.13933673111563</v>
      </c>
      <c r="K98" s="459">
        <f t="shared" si="37"/>
        <v>223.94462004430309</v>
      </c>
      <c r="L98" s="459">
        <f t="shared" si="37"/>
        <v>222.03716993887622</v>
      </c>
      <c r="M98" s="459">
        <f t="shared" si="37"/>
        <v>221.09200677489133</v>
      </c>
      <c r="N98" s="459">
        <f t="shared" si="37"/>
        <v>220.63289962412443</v>
      </c>
      <c r="O98" s="327"/>
    </row>
    <row r="99" spans="1:15">
      <c r="B99" s="338" t="str">
        <f t="shared" si="29"/>
        <v>50-54</v>
      </c>
      <c r="C99" s="459">
        <f t="shared" si="32"/>
        <v>311.59606715063592</v>
      </c>
      <c r="D99" s="459">
        <f t="shared" ref="D99:N99" si="38">D65+(0.2*D64)-(0.2*D65)</f>
        <v>285.9242772203346</v>
      </c>
      <c r="E99" s="459">
        <f t="shared" si="38"/>
        <v>267.04600593963949</v>
      </c>
      <c r="F99" s="459">
        <f t="shared" si="38"/>
        <v>247.56309166965536</v>
      </c>
      <c r="G99" s="459">
        <f t="shared" si="38"/>
        <v>230.14806824551553</v>
      </c>
      <c r="H99" s="459">
        <f t="shared" si="38"/>
        <v>218.19882296487671</v>
      </c>
      <c r="I99" s="459">
        <f t="shared" si="38"/>
        <v>209.15358363114314</v>
      </c>
      <c r="J99" s="459">
        <f t="shared" si="38"/>
        <v>201.98215164788419</v>
      </c>
      <c r="K99" s="459">
        <f t="shared" si="38"/>
        <v>195.92303523332311</v>
      </c>
      <c r="L99" s="459">
        <f t="shared" si="38"/>
        <v>190.67511174590402</v>
      </c>
      <c r="M99" s="459">
        <f t="shared" si="38"/>
        <v>186.66805775590024</v>
      </c>
      <c r="N99" s="459">
        <f t="shared" si="38"/>
        <v>183.47901587948991</v>
      </c>
      <c r="O99" s="327"/>
    </row>
    <row r="100" spans="1:15">
      <c r="B100" s="338" t="str">
        <f t="shared" si="29"/>
        <v>55-59</v>
      </c>
      <c r="C100" s="459">
        <f t="shared" si="32"/>
        <v>281.40786939780253</v>
      </c>
      <c r="D100" s="459">
        <f t="shared" ref="D100:N100" si="39">D66+(0.2*D65)-(0.2*D66)</f>
        <v>231.29245687049183</v>
      </c>
      <c r="E100" s="459">
        <f t="shared" si="39"/>
        <v>198.34444422198285</v>
      </c>
      <c r="F100" s="459">
        <f t="shared" si="39"/>
        <v>172.376864215957</v>
      </c>
      <c r="G100" s="459">
        <f t="shared" si="39"/>
        <v>152.62345599158016</v>
      </c>
      <c r="H100" s="459">
        <f t="shared" si="39"/>
        <v>139.61760323245545</v>
      </c>
      <c r="I100" s="459">
        <f t="shared" si="39"/>
        <v>130.202149795731</v>
      </c>
      <c r="J100" s="459">
        <f t="shared" si="39"/>
        <v>122.9805952282255</v>
      </c>
      <c r="K100" s="459">
        <f t="shared" si="39"/>
        <v>117.06698300453014</v>
      </c>
      <c r="L100" s="459">
        <f t="shared" si="39"/>
        <v>112.07500913413772</v>
      </c>
      <c r="M100" s="459">
        <f t="shared" si="39"/>
        <v>108.20340212134577</v>
      </c>
      <c r="N100" s="459">
        <f t="shared" si="39"/>
        <v>105.05632470644585</v>
      </c>
      <c r="O100" s="327"/>
    </row>
    <row r="101" spans="1:15">
      <c r="B101" s="338" t="str">
        <f t="shared" si="29"/>
        <v>60-64</v>
      </c>
      <c r="C101" s="459">
        <f t="shared" si="32"/>
        <v>113.66315980087606</v>
      </c>
      <c r="D101" s="459">
        <f t="shared" ref="D101:N101" si="40">D67+(0.2*D66)-(0.2*D67)</f>
        <v>98.320643373479172</v>
      </c>
      <c r="E101" s="459">
        <f t="shared" si="40"/>
        <v>84.653606090983615</v>
      </c>
      <c r="F101" s="459">
        <f t="shared" si="40"/>
        <v>71.888815369089727</v>
      </c>
      <c r="G101" s="459">
        <f t="shared" si="40"/>
        <v>61.74159322320304</v>
      </c>
      <c r="H101" s="459">
        <f t="shared" si="40"/>
        <v>55.164152257814479</v>
      </c>
      <c r="I101" s="459">
        <f t="shared" si="40"/>
        <v>50.466397804084835</v>
      </c>
      <c r="J101" s="459">
        <f t="shared" si="40"/>
        <v>46.913476434208832</v>
      </c>
      <c r="K101" s="459">
        <f t="shared" si="40"/>
        <v>44.031196669250164</v>
      </c>
      <c r="L101" s="459">
        <f t="shared" si="40"/>
        <v>41.620491640384678</v>
      </c>
      <c r="M101" s="459">
        <f t="shared" si="40"/>
        <v>39.79373003757582</v>
      </c>
      <c r="N101" s="459">
        <f t="shared" si="40"/>
        <v>38.312477851536066</v>
      </c>
      <c r="O101" s="327"/>
    </row>
    <row r="102" spans="1:15">
      <c r="B102" s="338" t="str">
        <f t="shared" si="29"/>
        <v>65 plus</v>
      </c>
      <c r="C102" s="459">
        <f>C68+(0.2*C67)</f>
        <v>28.233254280443898</v>
      </c>
      <c r="D102" s="459">
        <f t="shared" ref="D102:N102" si="41">D68+(0.2*D67)</f>
        <v>28.586093968153289</v>
      </c>
      <c r="E102" s="459">
        <f t="shared" si="41"/>
        <v>27.327078315129171</v>
      </c>
      <c r="F102" s="459">
        <f t="shared" si="41"/>
        <v>24.550371990747017</v>
      </c>
      <c r="G102" s="459">
        <f t="shared" si="41"/>
        <v>21.554971348100729</v>
      </c>
      <c r="H102" s="459">
        <f t="shared" si="41"/>
        <v>19.287804729984071</v>
      </c>
      <c r="I102" s="459">
        <f t="shared" si="41"/>
        <v>17.505667278930765</v>
      </c>
      <c r="J102" s="459">
        <f t="shared" si="41"/>
        <v>16.08517373497163</v>
      </c>
      <c r="K102" s="459">
        <f t="shared" si="41"/>
        <v>14.907537162629726</v>
      </c>
      <c r="L102" s="459">
        <f t="shared" si="41"/>
        <v>13.91567062801451</v>
      </c>
      <c r="M102" s="459">
        <f t="shared" si="41"/>
        <v>13.155909996817465</v>
      </c>
      <c r="N102" s="459">
        <f t="shared" si="41"/>
        <v>12.544914820163374</v>
      </c>
      <c r="O102" s="327"/>
    </row>
    <row r="103" spans="1:15">
      <c r="B103" s="338" t="str">
        <f t="shared" si="29"/>
        <v>Total</v>
      </c>
      <c r="C103" s="459">
        <f>SUM(C93:C102)</f>
        <v>1919.8325832332005</v>
      </c>
      <c r="D103" s="459">
        <f t="shared" ref="D103:N103" si="42">SUM(D93:D102)</f>
        <v>1863.2099257632235</v>
      </c>
      <c r="E103" s="459">
        <f t="shared" si="42"/>
        <v>1869.7325804640566</v>
      </c>
      <c r="F103" s="459">
        <f t="shared" si="42"/>
        <v>1804.7525125807417</v>
      </c>
      <c r="G103" s="459">
        <f t="shared" si="42"/>
        <v>1734.3463843976317</v>
      </c>
      <c r="H103" s="459">
        <f t="shared" si="42"/>
        <v>1731.9086189345799</v>
      </c>
      <c r="I103" s="459">
        <f t="shared" si="42"/>
        <v>1748.7753738954575</v>
      </c>
      <c r="J103" s="459">
        <f t="shared" si="42"/>
        <v>1768.5976295039513</v>
      </c>
      <c r="K103" s="459">
        <f t="shared" si="42"/>
        <v>1780.7799625167704</v>
      </c>
      <c r="L103" s="459">
        <f t="shared" si="42"/>
        <v>1783.8718132416711</v>
      </c>
      <c r="M103" s="459">
        <f t="shared" si="42"/>
        <v>1790.250180344281</v>
      </c>
      <c r="N103" s="459">
        <f t="shared" si="42"/>
        <v>1794.4604263116466</v>
      </c>
      <c r="O103" s="327"/>
    </row>
    <row r="104" spans="1:15">
      <c r="A104" s="309">
        <f>SUM(C104:N104)</f>
        <v>0</v>
      </c>
      <c r="C104" s="309">
        <f>SUM(C93:C102)-C103</f>
        <v>0</v>
      </c>
      <c r="D104" s="309">
        <f t="shared" ref="D104:N104" si="43">SUM(D93:D102)-D103</f>
        <v>0</v>
      </c>
      <c r="E104" s="309">
        <f t="shared" si="43"/>
        <v>0</v>
      </c>
      <c r="F104" s="309">
        <f t="shared" si="43"/>
        <v>0</v>
      </c>
      <c r="G104" s="309">
        <f t="shared" si="43"/>
        <v>0</v>
      </c>
      <c r="H104" s="309">
        <f t="shared" si="43"/>
        <v>0</v>
      </c>
      <c r="I104" s="309">
        <f t="shared" si="43"/>
        <v>0</v>
      </c>
      <c r="J104" s="309">
        <f t="shared" si="43"/>
        <v>0</v>
      </c>
      <c r="K104" s="309">
        <f t="shared" si="43"/>
        <v>0</v>
      </c>
      <c r="L104" s="309">
        <f t="shared" si="43"/>
        <v>0</v>
      </c>
      <c r="M104" s="309">
        <f t="shared" si="43"/>
        <v>0</v>
      </c>
      <c r="N104" s="309">
        <f t="shared" si="43"/>
        <v>0</v>
      </c>
    </row>
    <row r="106" spans="1:15" ht="15.75">
      <c r="B106" s="340" t="s">
        <v>151</v>
      </c>
      <c r="H106" s="325"/>
    </row>
    <row r="107" spans="1:15">
      <c r="H107" s="325"/>
    </row>
    <row r="108" spans="1:15">
      <c r="B108" s="341" t="s">
        <v>49</v>
      </c>
      <c r="H108" s="325"/>
    </row>
    <row r="109" spans="1:15">
      <c r="H109" s="325"/>
    </row>
    <row r="110" spans="1:15">
      <c r="B110" s="338" t="str">
        <f t="shared" ref="B110:B121" si="44">B76</f>
        <v>Age group</v>
      </c>
      <c r="C110" s="338" t="str">
        <f t="shared" ref="C110:N110" si="45">C76</f>
        <v>2016/17</v>
      </c>
      <c r="D110" s="338" t="str">
        <f t="shared" si="45"/>
        <v>2017/18</v>
      </c>
      <c r="E110" s="338" t="str">
        <f t="shared" si="45"/>
        <v>2018/19</v>
      </c>
      <c r="F110" s="338" t="str">
        <f t="shared" si="45"/>
        <v>2019/20</v>
      </c>
      <c r="G110" s="338" t="str">
        <f t="shared" si="45"/>
        <v>2020/21</v>
      </c>
      <c r="H110" s="338" t="str">
        <f t="shared" si="45"/>
        <v>2021/22</v>
      </c>
      <c r="I110" s="338" t="str">
        <f t="shared" si="45"/>
        <v>2022/23</v>
      </c>
      <c r="J110" s="338" t="str">
        <f t="shared" si="45"/>
        <v>2023/24</v>
      </c>
      <c r="K110" s="338" t="str">
        <f t="shared" si="45"/>
        <v>2024/25</v>
      </c>
      <c r="L110" s="338" t="str">
        <f t="shared" si="45"/>
        <v>2025/26</v>
      </c>
      <c r="M110" s="338" t="str">
        <f t="shared" si="45"/>
        <v>2026/27</v>
      </c>
      <c r="N110" s="338" t="str">
        <f t="shared" si="45"/>
        <v>2027/28</v>
      </c>
    </row>
    <row r="111" spans="1:15">
      <c r="B111" s="338" t="str">
        <f t="shared" si="44"/>
        <v>20-24</v>
      </c>
      <c r="C111" s="459">
        <f>C77*Group_3_rates!E74</f>
        <v>0.45763375551663349</v>
      </c>
      <c r="D111" s="459">
        <f>D77*Group_3_rates!F74</f>
        <v>0.84973871015715707</v>
      </c>
      <c r="E111" s="459">
        <f>E77*Group_3_rates!G74</f>
        <v>1.2415737165713387</v>
      </c>
      <c r="F111" s="459">
        <f>F77*Group_3_rates!H74</f>
        <v>1.3194441462489193</v>
      </c>
      <c r="G111" s="459">
        <f>G77*Group_3_rates!I74</f>
        <v>1.32276193428063</v>
      </c>
      <c r="H111" s="459">
        <f>H77*Group_3_rates!J74</f>
        <v>1.4582983125031477</v>
      </c>
      <c r="I111" s="459">
        <f>I77*Group_3_rates!K74</f>
        <v>1.5892024638613229</v>
      </c>
      <c r="J111" s="459">
        <f>J77*Group_3_rates!L74</f>
        <v>1.6839817079164145</v>
      </c>
      <c r="K111" s="459">
        <f>K77*Group_3_rates!M74</f>
        <v>1.7294462080252555</v>
      </c>
      <c r="L111" s="459">
        <f>L77*Group_3_rates!N74</f>
        <v>1.7356509409501724</v>
      </c>
      <c r="M111" s="459">
        <f>M77*Group_3_rates!O74</f>
        <v>1.7434522292816437</v>
      </c>
      <c r="N111" s="459">
        <f>N77*Group_3_rates!P74</f>
        <v>1.7407925768826324</v>
      </c>
    </row>
    <row r="112" spans="1:15">
      <c r="B112" s="338" t="str">
        <f t="shared" si="44"/>
        <v>25-29</v>
      </c>
      <c r="C112" s="459">
        <f>C78*Group_3_rates!E75</f>
        <v>1.176486220709466</v>
      </c>
      <c r="D112" s="459">
        <f>D78*Group_3_rates!F75</f>
        <v>1.4461468403179329</v>
      </c>
      <c r="E112" s="459">
        <f>E78*Group_3_rates!G75</f>
        <v>1.8096324203651721</v>
      </c>
      <c r="F112" s="459">
        <f>F78*Group_3_rates!H75</f>
        <v>1.9294582861574647</v>
      </c>
      <c r="G112" s="459">
        <f>G78*Group_3_rates!I75</f>
        <v>1.9760299662686318</v>
      </c>
      <c r="H112" s="459">
        <f>H78*Group_3_rates!J75</f>
        <v>2.1431723233907656</v>
      </c>
      <c r="I112" s="459">
        <f>I78*Group_3_rates!K75</f>
        <v>2.3184544595276639</v>
      </c>
      <c r="J112" s="459">
        <f>J78*Group_3_rates!L75</f>
        <v>2.4663854148722315</v>
      </c>
      <c r="K112" s="459">
        <f>K78*Group_3_rates!M75</f>
        <v>2.5658366769611769</v>
      </c>
      <c r="L112" s="459">
        <f>L78*Group_3_rates!N75</f>
        <v>2.618879161208028</v>
      </c>
      <c r="M112" s="459">
        <f>M78*Group_3_rates!O75</f>
        <v>2.661954318246365</v>
      </c>
      <c r="N112" s="459">
        <f>N78*Group_3_rates!P75</f>
        <v>2.686401892953981</v>
      </c>
    </row>
    <row r="113" spans="1:16">
      <c r="B113" s="338" t="str">
        <f t="shared" si="44"/>
        <v>30-34</v>
      </c>
      <c r="C113" s="459">
        <f>C79*Group_3_rates!E76</f>
        <v>2.395121929756769</v>
      </c>
      <c r="D113" s="459">
        <f>D79*Group_3_rates!F76</f>
        <v>2.1868045709513937</v>
      </c>
      <c r="E113" s="459">
        <f>E79*Group_3_rates!G76</f>
        <v>2.1166704575200233</v>
      </c>
      <c r="F113" s="459">
        <f>F79*Group_3_rates!H76</f>
        <v>2.0241799769374436</v>
      </c>
      <c r="G113" s="459">
        <f>G79*Group_3_rates!I76</f>
        <v>1.9479502419003298</v>
      </c>
      <c r="H113" s="459">
        <f>H79*Group_3_rates!J76</f>
        <v>1.9559391265188815</v>
      </c>
      <c r="I113" s="459">
        <f>I79*Group_3_rates!K76</f>
        <v>1.99968701940033</v>
      </c>
      <c r="J113" s="459">
        <f>J79*Group_3_rates!L76</f>
        <v>2.0568476074504169</v>
      </c>
      <c r="K113" s="459">
        <f>K79*Group_3_rates!M76</f>
        <v>2.1099551230253377</v>
      </c>
      <c r="L113" s="459">
        <f>L79*Group_3_rates!N76</f>
        <v>2.1516531162815142</v>
      </c>
      <c r="M113" s="459">
        <f>M79*Group_3_rates!O76</f>
        <v>2.1915938788208242</v>
      </c>
      <c r="N113" s="459">
        <f>N79*Group_3_rates!P76</f>
        <v>2.2237417037064122</v>
      </c>
    </row>
    <row r="114" spans="1:16">
      <c r="B114" s="338" t="str">
        <f t="shared" si="44"/>
        <v>35-39</v>
      </c>
      <c r="C114" s="459">
        <f>C80*Group_3_rates!E77</f>
        <v>2.1472660609887599</v>
      </c>
      <c r="D114" s="459">
        <f>D80*Group_3_rates!F77</f>
        <v>2.2054613470790079</v>
      </c>
      <c r="E114" s="459">
        <f>E80*Group_3_rates!G77</f>
        <v>2.24188190868681</v>
      </c>
      <c r="F114" s="459">
        <f>F80*Group_3_rates!H77</f>
        <v>2.1991073787627573</v>
      </c>
      <c r="G114" s="459">
        <f>G80*Group_3_rates!I77</f>
        <v>2.1349920861736913</v>
      </c>
      <c r="H114" s="459">
        <f>H80*Group_3_rates!J77</f>
        <v>2.1103246589700082</v>
      </c>
      <c r="I114" s="459">
        <f>I80*Group_3_rates!K77</f>
        <v>2.1030141099291222</v>
      </c>
      <c r="J114" s="459">
        <f>J80*Group_3_rates!L77</f>
        <v>2.1061213947188477</v>
      </c>
      <c r="K114" s="459">
        <f>K80*Group_3_rates!M77</f>
        <v>2.1128859331934957</v>
      </c>
      <c r="L114" s="459">
        <f>L80*Group_3_rates!N77</f>
        <v>2.12047558341165</v>
      </c>
      <c r="M114" s="459">
        <f>M80*Group_3_rates!O77</f>
        <v>2.1349154976805496</v>
      </c>
      <c r="N114" s="459">
        <f>N80*Group_3_rates!P77</f>
        <v>2.1508830525053524</v>
      </c>
    </row>
    <row r="115" spans="1:16">
      <c r="B115" s="338" t="str">
        <f t="shared" si="44"/>
        <v>40-44</v>
      </c>
      <c r="C115" s="459">
        <f>C81*Group_3_rates!E78</f>
        <v>2.5423354633822743</v>
      </c>
      <c r="D115" s="459">
        <f>D81*Group_3_rates!F78</f>
        <v>2.4759489127838301</v>
      </c>
      <c r="E115" s="459">
        <f>E81*Group_3_rates!G78</f>
        <v>2.4680829614299458</v>
      </c>
      <c r="F115" s="459">
        <f>F81*Group_3_rates!H78</f>
        <v>2.4171946081134861</v>
      </c>
      <c r="G115" s="459">
        <f>G81*Group_3_rates!I78</f>
        <v>2.356775691193941</v>
      </c>
      <c r="H115" s="459">
        <f>H81*Group_3_rates!J78</f>
        <v>2.3332467563965884</v>
      </c>
      <c r="I115" s="459">
        <f>I81*Group_3_rates!K78</f>
        <v>2.3195501473815345</v>
      </c>
      <c r="J115" s="459">
        <f>J81*Group_3_rates!L78</f>
        <v>2.3082158295286428</v>
      </c>
      <c r="K115" s="459">
        <f>K81*Group_3_rates!M78</f>
        <v>2.2946596834729873</v>
      </c>
      <c r="L115" s="459">
        <f>L81*Group_3_rates!N78</f>
        <v>2.2791447017368425</v>
      </c>
      <c r="M115" s="459">
        <f>M81*Group_3_rates!O78</f>
        <v>2.2700767783970259</v>
      </c>
      <c r="N115" s="459">
        <f>N81*Group_3_rates!P78</f>
        <v>2.2642035657232382</v>
      </c>
    </row>
    <row r="116" spans="1:16">
      <c r="B116" s="338" t="str">
        <f t="shared" si="44"/>
        <v>45-49</v>
      </c>
      <c r="C116" s="459">
        <f>C82*Group_3_rates!E79</f>
        <v>2.4516510234749918</v>
      </c>
      <c r="D116" s="459">
        <f>D82*Group_3_rates!F79</f>
        <v>2.4543945032804841</v>
      </c>
      <c r="E116" s="459">
        <f>E82*Group_3_rates!G79</f>
        <v>2.469161328446595</v>
      </c>
      <c r="F116" s="459">
        <f>F82*Group_3_rates!H79</f>
        <v>2.4309566809298837</v>
      </c>
      <c r="G116" s="459">
        <f>G82*Group_3_rates!I79</f>
        <v>2.3800089607097537</v>
      </c>
      <c r="H116" s="459">
        <f>H82*Group_3_rates!J79</f>
        <v>2.3613682977869082</v>
      </c>
      <c r="I116" s="459">
        <f>I82*Group_3_rates!K79</f>
        <v>2.3508495528327042</v>
      </c>
      <c r="J116" s="459">
        <f>J82*Group_3_rates!L79</f>
        <v>2.3406132859946425</v>
      </c>
      <c r="K116" s="459">
        <f>K82*Group_3_rates!M79</f>
        <v>2.3255236603331548</v>
      </c>
      <c r="L116" s="459">
        <f>L82*Group_3_rates!N79</f>
        <v>2.3054338806746295</v>
      </c>
      <c r="M116" s="459">
        <f>M82*Group_3_rates!O79</f>
        <v>2.2882248399251681</v>
      </c>
      <c r="N116" s="459">
        <f>N82*Group_3_rates!P79</f>
        <v>2.2717367006129323</v>
      </c>
    </row>
    <row r="117" spans="1:16">
      <c r="B117" s="338" t="str">
        <f t="shared" si="44"/>
        <v>50-54</v>
      </c>
      <c r="C117" s="459">
        <f>C83*Group_3_rates!E80</f>
        <v>2.2309393295341851</v>
      </c>
      <c r="D117" s="459">
        <f>D83*Group_3_rates!F80</f>
        <v>2.1543836969098575</v>
      </c>
      <c r="E117" s="459">
        <f>E83*Group_3_rates!G80</f>
        <v>2.1209193060457885</v>
      </c>
      <c r="F117" s="459">
        <f>F83*Group_3_rates!H80</f>
        <v>2.0630512975583075</v>
      </c>
      <c r="G117" s="459">
        <f>G83*Group_3_rates!I80</f>
        <v>2.0049664636564715</v>
      </c>
      <c r="H117" s="459">
        <f>H83*Group_3_rates!J80</f>
        <v>1.9781970041256862</v>
      </c>
      <c r="I117" s="459">
        <f>I83*Group_3_rates!K80</f>
        <v>1.9618283632652518</v>
      </c>
      <c r="J117" s="459">
        <f>J83*Group_3_rates!L80</f>
        <v>1.9484193556163769</v>
      </c>
      <c r="K117" s="459">
        <f>K83*Group_3_rates!M80</f>
        <v>1.9328629376375355</v>
      </c>
      <c r="L117" s="459">
        <f>L83*Group_3_rates!N80</f>
        <v>1.9140974833874123</v>
      </c>
      <c r="M117" s="459">
        <f>M83*Group_3_rates!O80</f>
        <v>1.8975011987953836</v>
      </c>
      <c r="N117" s="459">
        <f>N83*Group_3_rates!P80</f>
        <v>1.8808798612087865</v>
      </c>
    </row>
    <row r="118" spans="1:16">
      <c r="B118" s="338" t="str">
        <f t="shared" si="44"/>
        <v>55-59</v>
      </c>
      <c r="C118" s="459">
        <f>C84*Group_3_rates!E81</f>
        <v>0.57822707790399419</v>
      </c>
      <c r="D118" s="459">
        <f>D84*Group_3_rates!F81</f>
        <v>0.62565920078783388</v>
      </c>
      <c r="E118" s="459">
        <f>E84*Group_3_rates!G81</f>
        <v>0.65413354318728856</v>
      </c>
      <c r="F118" s="459">
        <f>F84*Group_3_rates!H81</f>
        <v>0.65174874462286803</v>
      </c>
      <c r="G118" s="459">
        <f>G84*Group_3_rates!I81</f>
        <v>0.63999909614534845</v>
      </c>
      <c r="H118" s="459">
        <f>H84*Group_3_rates!J81</f>
        <v>0.63704267068923071</v>
      </c>
      <c r="I118" s="459">
        <f>I84*Group_3_rates!K81</f>
        <v>0.63503622569955387</v>
      </c>
      <c r="J118" s="459">
        <f>J84*Group_3_rates!L81</f>
        <v>0.63218001920223799</v>
      </c>
      <c r="K118" s="459">
        <f>K84*Group_3_rates!M81</f>
        <v>0.62731670738608603</v>
      </c>
      <c r="L118" s="459">
        <f>L84*Group_3_rates!N81</f>
        <v>0.62071329301415845</v>
      </c>
      <c r="M118" s="459">
        <f>M84*Group_3_rates!O81</f>
        <v>0.61502291605077364</v>
      </c>
      <c r="N118" s="459">
        <f>N84*Group_3_rates!P81</f>
        <v>0.60921044176544892</v>
      </c>
    </row>
    <row r="119" spans="1:16">
      <c r="B119" s="338" t="str">
        <f t="shared" si="44"/>
        <v>60-64</v>
      </c>
      <c r="C119" s="459">
        <f>C85*Group_3_rates!E82</f>
        <v>0.12507102349432464</v>
      </c>
      <c r="D119" s="459">
        <f>D85*Group_3_rates!F82</f>
        <v>0.10389959673991275</v>
      </c>
      <c r="E119" s="459">
        <f>E85*Group_3_rates!G82</f>
        <v>9.8461756691727229E-2</v>
      </c>
      <c r="F119" s="459">
        <f>F85*Group_3_rates!H82</f>
        <v>9.4126276593808803E-2</v>
      </c>
      <c r="G119" s="459">
        <f>G85*Group_3_rates!I82</f>
        <v>9.1006669269661208E-2</v>
      </c>
      <c r="H119" s="459">
        <f>H85*Group_3_rates!J82</f>
        <v>9.1062981000740867E-2</v>
      </c>
      <c r="I119" s="459">
        <f>I85*Group_3_rates!K82</f>
        <v>9.1495314017404586E-2</v>
      </c>
      <c r="J119" s="459">
        <f>J85*Group_3_rates!L82</f>
        <v>9.1607585153648155E-2</v>
      </c>
      <c r="K119" s="459">
        <f>K85*Group_3_rates!M82</f>
        <v>9.111390904812168E-2</v>
      </c>
      <c r="L119" s="459">
        <f>L85*Group_3_rates!N82</f>
        <v>9.0138007540623274E-2</v>
      </c>
      <c r="M119" s="459">
        <f>M85*Group_3_rates!O82</f>
        <v>8.9328517026440832E-2</v>
      </c>
      <c r="N119" s="459">
        <f>N85*Group_3_rates!P82</f>
        <v>8.845676285988073E-2</v>
      </c>
    </row>
    <row r="120" spans="1:16">
      <c r="B120" s="338" t="str">
        <f t="shared" si="44"/>
        <v>65 plus</v>
      </c>
      <c r="C120" s="459">
        <f>C86*Group_3_rates!E83</f>
        <v>0.14915331155368211</v>
      </c>
      <c r="D120" s="459">
        <f>D86*Group_3_rates!F83</f>
        <v>0.10138580384387727</v>
      </c>
      <c r="E120" s="459">
        <f>E86*Group_3_rates!G83</f>
        <v>7.359506864591675E-2</v>
      </c>
      <c r="F120" s="459">
        <f>F86*Group_3_rates!H83</f>
        <v>5.6427973481237237E-2</v>
      </c>
      <c r="G120" s="459">
        <f>G86*Group_3_rates!I83</f>
        <v>4.6217294356935078E-2</v>
      </c>
      <c r="H120" s="459">
        <f>H86*Group_3_rates!J83</f>
        <v>4.1272633879886167E-2</v>
      </c>
      <c r="I120" s="459">
        <f>I86*Group_3_rates!K83</f>
        <v>3.8874604716977804E-2</v>
      </c>
      <c r="J120" s="459">
        <f>J86*Group_3_rates!L83</f>
        <v>3.7656755703854003E-2</v>
      </c>
      <c r="K120" s="459">
        <f>K86*Group_3_rates!M83</f>
        <v>3.6855877086274719E-2</v>
      </c>
      <c r="L120" s="459">
        <f>L86*Group_3_rates!N83</f>
        <v>3.616471348322458E-2</v>
      </c>
      <c r="M120" s="459">
        <f>M86*Group_3_rates!O83</f>
        <v>3.5682297454161335E-2</v>
      </c>
      <c r="N120" s="459">
        <f>N86*Group_3_rates!P83</f>
        <v>3.5250183098986893E-2</v>
      </c>
    </row>
    <row r="121" spans="1:16">
      <c r="B121" s="338" t="str">
        <f t="shared" si="44"/>
        <v>Total</v>
      </c>
      <c r="C121" s="459">
        <f>SUM(C111:C120)</f>
        <v>14.25388519631508</v>
      </c>
      <c r="D121" s="459">
        <f t="shared" ref="D121:N121" si="46">SUM(D111:D120)</f>
        <v>14.603823182851286</v>
      </c>
      <c r="E121" s="459">
        <f t="shared" si="46"/>
        <v>15.294112467590606</v>
      </c>
      <c r="F121" s="459">
        <f t="shared" si="46"/>
        <v>15.185695369406176</v>
      </c>
      <c r="G121" s="459">
        <f t="shared" si="46"/>
        <v>14.900708403955397</v>
      </c>
      <c r="H121" s="459">
        <f t="shared" si="46"/>
        <v>15.109924765261846</v>
      </c>
      <c r="I121" s="459">
        <f t="shared" si="46"/>
        <v>15.407992260631866</v>
      </c>
      <c r="J121" s="459">
        <f t="shared" si="46"/>
        <v>15.672028956157311</v>
      </c>
      <c r="K121" s="459">
        <f t="shared" si="46"/>
        <v>15.826456716169426</v>
      </c>
      <c r="L121" s="459">
        <f t="shared" si="46"/>
        <v>15.872350881688254</v>
      </c>
      <c r="M121" s="459">
        <f t="shared" si="46"/>
        <v>15.927752471678339</v>
      </c>
      <c r="N121" s="459">
        <f t="shared" si="46"/>
        <v>15.951556741317649</v>
      </c>
    </row>
    <row r="122" spans="1:16">
      <c r="A122" s="309">
        <f>SUM(C122:N122)</f>
        <v>0</v>
      </c>
      <c r="C122" s="309">
        <f>SUM(C111:C120)-C121</f>
        <v>0</v>
      </c>
      <c r="D122" s="309">
        <f t="shared" ref="D122:N122" si="47">SUM(D111:D120)-D121</f>
        <v>0</v>
      </c>
      <c r="E122" s="309">
        <f t="shared" si="47"/>
        <v>0</v>
      </c>
      <c r="F122" s="309">
        <f t="shared" si="47"/>
        <v>0</v>
      </c>
      <c r="G122" s="309">
        <f t="shared" si="47"/>
        <v>0</v>
      </c>
      <c r="H122" s="309">
        <f t="shared" si="47"/>
        <v>0</v>
      </c>
      <c r="I122" s="309">
        <f t="shared" si="47"/>
        <v>0</v>
      </c>
      <c r="J122" s="309">
        <f t="shared" si="47"/>
        <v>0</v>
      </c>
      <c r="K122" s="309">
        <f t="shared" si="47"/>
        <v>0</v>
      </c>
      <c r="L122" s="309">
        <f t="shared" si="47"/>
        <v>0</v>
      </c>
      <c r="M122" s="309">
        <f t="shared" si="47"/>
        <v>0</v>
      </c>
      <c r="N122" s="309">
        <f t="shared" si="47"/>
        <v>0</v>
      </c>
    </row>
    <row r="124" spans="1:16">
      <c r="B124" s="341" t="s">
        <v>50</v>
      </c>
      <c r="C124" s="329"/>
      <c r="D124" s="329"/>
      <c r="E124" s="329"/>
      <c r="F124" s="329"/>
      <c r="G124" s="329"/>
      <c r="H124" s="339"/>
      <c r="I124" s="329"/>
      <c r="J124" s="329"/>
      <c r="K124" s="329"/>
      <c r="L124" s="329"/>
    </row>
    <row r="125" spans="1:16">
      <c r="C125" s="329"/>
      <c r="D125" s="329"/>
      <c r="E125" s="329"/>
      <c r="F125" s="329"/>
      <c r="G125" s="329"/>
      <c r="H125" s="339"/>
      <c r="I125" s="329"/>
      <c r="J125" s="329"/>
      <c r="K125" s="329"/>
      <c r="L125" s="329"/>
    </row>
    <row r="126" spans="1:16">
      <c r="B126" s="338" t="str">
        <f t="shared" ref="B126:B137" si="48">B110</f>
        <v>Age group</v>
      </c>
      <c r="C126" s="338" t="str">
        <f t="shared" ref="C126:N126" si="49">C110</f>
        <v>2016/17</v>
      </c>
      <c r="D126" s="338" t="str">
        <f t="shared" si="49"/>
        <v>2017/18</v>
      </c>
      <c r="E126" s="338" t="str">
        <f t="shared" si="49"/>
        <v>2018/19</v>
      </c>
      <c r="F126" s="338" t="str">
        <f t="shared" si="49"/>
        <v>2019/20</v>
      </c>
      <c r="G126" s="338" t="str">
        <f t="shared" si="49"/>
        <v>2020/21</v>
      </c>
      <c r="H126" s="338" t="str">
        <f t="shared" si="49"/>
        <v>2021/22</v>
      </c>
      <c r="I126" s="338" t="str">
        <f t="shared" si="49"/>
        <v>2022/23</v>
      </c>
      <c r="J126" s="338" t="str">
        <f t="shared" si="49"/>
        <v>2023/24</v>
      </c>
      <c r="K126" s="338" t="str">
        <f t="shared" si="49"/>
        <v>2024/25</v>
      </c>
      <c r="L126" s="338" t="str">
        <f t="shared" si="49"/>
        <v>2025/26</v>
      </c>
      <c r="M126" s="338" t="str">
        <f t="shared" si="49"/>
        <v>2026/27</v>
      </c>
      <c r="N126" s="338" t="str">
        <f t="shared" si="49"/>
        <v>2027/28</v>
      </c>
    </row>
    <row r="127" spans="1:16">
      <c r="B127" s="338" t="str">
        <f t="shared" si="48"/>
        <v>20-24</v>
      </c>
      <c r="C127" s="459">
        <f>C93*Group_3_rates!E89</f>
        <v>3.5538074530550841</v>
      </c>
      <c r="D127" s="459">
        <f>D93*Group_3_rates!F89</f>
        <v>7.2453040909311976</v>
      </c>
      <c r="E127" s="459">
        <f>E93*Group_3_rates!G89</f>
        <v>10.889004141338626</v>
      </c>
      <c r="F127" s="459">
        <f>F93*Group_3_rates!H89</f>
        <v>11.675278043738329</v>
      </c>
      <c r="G127" s="459">
        <f>G93*Group_3_rates!I89</f>
        <v>11.766480443892297</v>
      </c>
      <c r="H127" s="459">
        <f>H93*Group_3_rates!J89</f>
        <v>13.029817887841872</v>
      </c>
      <c r="I127" s="459">
        <f>I93*Group_3_rates!K89</f>
        <v>14.239426202674041</v>
      </c>
      <c r="J127" s="459">
        <f>J93*Group_3_rates!L89</f>
        <v>15.115369607888439</v>
      </c>
      <c r="K127" s="459">
        <f>K93*Group_3_rates!M89</f>
        <v>15.541301016198839</v>
      </c>
      <c r="L127" s="459">
        <f>L93*Group_3_rates!N89</f>
        <v>15.609312814109884</v>
      </c>
      <c r="M127" s="459">
        <f>M93*Group_3_rates!O89</f>
        <v>15.688222003721126</v>
      </c>
      <c r="N127" s="459">
        <f>N93*Group_3_rates!P89</f>
        <v>15.670534923194296</v>
      </c>
      <c r="O127" s="327"/>
      <c r="P127" s="327"/>
    </row>
    <row r="128" spans="1:16">
      <c r="B128" s="338" t="str">
        <f t="shared" si="48"/>
        <v>25-29</v>
      </c>
      <c r="C128" s="459">
        <f>C94*Group_3_rates!E90</f>
        <v>16.281614520599909</v>
      </c>
      <c r="D128" s="459">
        <f>D94*Group_3_rates!F90</f>
        <v>17.494919077677924</v>
      </c>
      <c r="E128" s="459">
        <f>E94*Group_3_rates!G90</f>
        <v>20.034526733285823</v>
      </c>
      <c r="F128" s="459">
        <f>F94*Group_3_rates!H90</f>
        <v>20.456783233905885</v>
      </c>
      <c r="G128" s="459">
        <f>G94*Group_3_rates!I90</f>
        <v>20.371097187351015</v>
      </c>
      <c r="H128" s="459">
        <f>H94*Group_3_rates!J90</f>
        <v>21.627198706253029</v>
      </c>
      <c r="I128" s="459">
        <f>I94*Group_3_rates!K90</f>
        <v>23.066589029053688</v>
      </c>
      <c r="J128" s="459">
        <f>J94*Group_3_rates!L90</f>
        <v>24.309493220093806</v>
      </c>
      <c r="K128" s="459">
        <f>K94*Group_3_rates!M90</f>
        <v>25.12839838755389</v>
      </c>
      <c r="L128" s="459">
        <f>L94*Group_3_rates!N90</f>
        <v>25.531032241188207</v>
      </c>
      <c r="M128" s="459">
        <f>M94*Group_3_rates!O90</f>
        <v>25.866942808736784</v>
      </c>
      <c r="N128" s="459">
        <f>N94*Group_3_rates!P90</f>
        <v>26.042394012690085</v>
      </c>
      <c r="O128" s="327"/>
      <c r="P128" s="327"/>
    </row>
    <row r="129" spans="1:16">
      <c r="B129" s="338" t="str">
        <f t="shared" si="48"/>
        <v>30-34</v>
      </c>
      <c r="C129" s="459">
        <f>C95*Group_3_rates!E91</f>
        <v>18.311281680663615</v>
      </c>
      <c r="D129" s="459">
        <f>D95*Group_3_rates!F91</f>
        <v>19.08510045310916</v>
      </c>
      <c r="E129" s="459">
        <f>E95*Group_3_rates!G91</f>
        <v>20.483690414208095</v>
      </c>
      <c r="F129" s="459">
        <f>F95*Group_3_rates!H91</f>
        <v>20.819607081011696</v>
      </c>
      <c r="G129" s="459">
        <f>G95*Group_3_rates!I91</f>
        <v>20.846867251295112</v>
      </c>
      <c r="H129" s="459">
        <f>H95*Group_3_rates!J91</f>
        <v>21.593433315063059</v>
      </c>
      <c r="I129" s="459">
        <f>I95*Group_3_rates!K91</f>
        <v>22.545229000111746</v>
      </c>
      <c r="J129" s="459">
        <f>J95*Group_3_rates!L91</f>
        <v>23.495682111809195</v>
      </c>
      <c r="K129" s="459">
        <f>K95*Group_3_rates!M91</f>
        <v>24.28026175760407</v>
      </c>
      <c r="L129" s="459">
        <f>L95*Group_3_rates!N91</f>
        <v>24.848050102026136</v>
      </c>
      <c r="M129" s="459">
        <f>M95*Group_3_rates!O91</f>
        <v>25.350721745350224</v>
      </c>
      <c r="N129" s="459">
        <f>N95*Group_3_rates!P91</f>
        <v>25.729798560295745</v>
      </c>
      <c r="O129" s="327"/>
      <c r="P129" s="327"/>
    </row>
    <row r="130" spans="1:16">
      <c r="B130" s="338" t="str">
        <f t="shared" si="48"/>
        <v>35-39</v>
      </c>
      <c r="C130" s="459">
        <f>C96*Group_3_rates!E92</f>
        <v>17.245568509315515</v>
      </c>
      <c r="D130" s="459">
        <f>D96*Group_3_rates!F92</f>
        <v>17.469934543631435</v>
      </c>
      <c r="E130" s="459">
        <f>E96*Group_3_rates!G92</f>
        <v>18.132180304021929</v>
      </c>
      <c r="F130" s="459">
        <f>F96*Group_3_rates!H92</f>
        <v>18.193901827567679</v>
      </c>
      <c r="G130" s="459">
        <f>G96*Group_3_rates!I92</f>
        <v>18.12463877983199</v>
      </c>
      <c r="H130" s="459">
        <f>H96*Group_3_rates!J92</f>
        <v>18.514258154330957</v>
      </c>
      <c r="I130" s="459">
        <f>I96*Group_3_rates!K92</f>
        <v>19.038156028686895</v>
      </c>
      <c r="J130" s="459">
        <f>J96*Group_3_rates!L92</f>
        <v>19.587758560179065</v>
      </c>
      <c r="K130" s="459">
        <f>K96*Group_3_rates!M92</f>
        <v>20.078917868700348</v>
      </c>
      <c r="L130" s="459">
        <f>L96*Group_3_rates!N92</f>
        <v>20.485879459380438</v>
      </c>
      <c r="M130" s="459">
        <f>M96*Group_3_rates!O92</f>
        <v>20.8914647523189</v>
      </c>
      <c r="N130" s="459">
        <f>N96*Group_3_rates!P92</f>
        <v>21.247157631075531</v>
      </c>
      <c r="O130" s="327"/>
      <c r="P130" s="327"/>
    </row>
    <row r="131" spans="1:16">
      <c r="B131" s="338" t="str">
        <f t="shared" si="48"/>
        <v>40-44</v>
      </c>
      <c r="C131" s="459">
        <f>C97*Group_3_rates!E93</f>
        <v>19.342675248763744</v>
      </c>
      <c r="D131" s="459">
        <f>D97*Group_3_rates!F93</f>
        <v>18.678144672717814</v>
      </c>
      <c r="E131" s="459">
        <f>E97*Group_3_rates!G93</f>
        <v>18.51848446384821</v>
      </c>
      <c r="F131" s="459">
        <f>F97*Group_3_rates!H93</f>
        <v>17.993907852555743</v>
      </c>
      <c r="G131" s="459">
        <f>G97*Group_3_rates!I93</f>
        <v>17.481856783853704</v>
      </c>
      <c r="H131" s="459">
        <f>H97*Group_3_rates!J93</f>
        <v>17.437375249691357</v>
      </c>
      <c r="I131" s="459">
        <f>I97*Group_3_rates!K93</f>
        <v>17.562106492435344</v>
      </c>
      <c r="J131" s="459">
        <f>J97*Group_3_rates!L93</f>
        <v>17.750192642497439</v>
      </c>
      <c r="K131" s="459">
        <f>K97*Group_3_rates!M93</f>
        <v>17.928410014264511</v>
      </c>
      <c r="L131" s="459">
        <f>L97*Group_3_rates!N93</f>
        <v>18.078407308579454</v>
      </c>
      <c r="M131" s="459">
        <f>M97*Group_3_rates!O93</f>
        <v>18.269579112686475</v>
      </c>
      <c r="N131" s="459">
        <f>N97*Group_3_rates!P93</f>
        <v>18.460791584281829</v>
      </c>
      <c r="O131" s="327"/>
      <c r="P131" s="327"/>
    </row>
    <row r="132" spans="1:16">
      <c r="B132" s="338" t="str">
        <f t="shared" si="48"/>
        <v>45-49</v>
      </c>
      <c r="C132" s="459">
        <f>C98*Group_3_rates!E94</f>
        <v>23.270571683977899</v>
      </c>
      <c r="D132" s="459">
        <f>D98*Group_3_rates!F94</f>
        <v>21.986003094936994</v>
      </c>
      <c r="E132" s="459">
        <f>E98*Group_3_rates!G94</f>
        <v>21.160587775272344</v>
      </c>
      <c r="F132" s="459">
        <f>F98*Group_3_rates!H94</f>
        <v>20.079643962976885</v>
      </c>
      <c r="G132" s="459">
        <f>G98*Group_3_rates!I94</f>
        <v>19.069028380962035</v>
      </c>
      <c r="H132" s="459">
        <f>H98*Group_3_rates!J94</f>
        <v>18.520380291296028</v>
      </c>
      <c r="I132" s="459">
        <f>I98*Group_3_rates!K94</f>
        <v>18.183833806469508</v>
      </c>
      <c r="J132" s="459">
        <f>J98*Group_3_rates!L94</f>
        <v>17.963604923088806</v>
      </c>
      <c r="K132" s="459">
        <f>K98*Group_3_rates!M94</f>
        <v>17.78926540281822</v>
      </c>
      <c r="L132" s="459">
        <f>L98*Group_3_rates!N94</f>
        <v>17.637745191431318</v>
      </c>
      <c r="M132" s="459">
        <f>M98*Group_3_rates!O94</f>
        <v>17.562665207952509</v>
      </c>
      <c r="N132" s="459">
        <f>N98*Group_3_rates!P94</f>
        <v>17.526195571165928</v>
      </c>
      <c r="O132" s="327"/>
      <c r="P132" s="327"/>
    </row>
    <row r="133" spans="1:16">
      <c r="B133" s="338" t="str">
        <f t="shared" si="48"/>
        <v>50-54</v>
      </c>
      <c r="C133" s="459">
        <f>C99*Group_3_rates!E95</f>
        <v>27.392047086676726</v>
      </c>
      <c r="D133" s="459">
        <f>D99*Group_3_rates!F95</f>
        <v>25.135269955307685</v>
      </c>
      <c r="E133" s="459">
        <f>E99*Group_3_rates!G95</f>
        <v>23.47570313033275</v>
      </c>
      <c r="F133" s="459">
        <f>F99*Group_3_rates!H95</f>
        <v>21.762982844902787</v>
      </c>
      <c r="G133" s="459">
        <f>G99*Group_3_rates!I95</f>
        <v>20.232048433529094</v>
      </c>
      <c r="H133" s="459">
        <f>H99*Group_3_rates!J95</f>
        <v>19.181604208187593</v>
      </c>
      <c r="I133" s="459">
        <f>I99*Group_3_rates!K95</f>
        <v>18.386447760914105</v>
      </c>
      <c r="J133" s="459">
        <f>J99*Group_3_rates!L95</f>
        <v>17.756015533830308</v>
      </c>
      <c r="K133" s="459">
        <f>K99*Group_3_rates!M95</f>
        <v>17.223365671946535</v>
      </c>
      <c r="L133" s="459">
        <f>L99*Group_3_rates!N95</f>
        <v>16.762026834812989</v>
      </c>
      <c r="M133" s="459">
        <f>M99*Group_3_rates!O95</f>
        <v>16.409771388918749</v>
      </c>
      <c r="N133" s="459">
        <f>N99*Group_3_rates!P95</f>
        <v>16.129426434507671</v>
      </c>
      <c r="O133" s="327"/>
      <c r="P133" s="327"/>
    </row>
    <row r="134" spans="1:16">
      <c r="B134" s="338" t="str">
        <f t="shared" si="48"/>
        <v>55-59</v>
      </c>
      <c r="C134" s="459">
        <f>C100*Group_3_rates!E96</f>
        <v>15.637353870593717</v>
      </c>
      <c r="D134" s="459">
        <f>D100*Group_3_rates!F96</f>
        <v>12.852526133766887</v>
      </c>
      <c r="E134" s="459">
        <f>E100*Group_3_rates!G96</f>
        <v>11.021661438262548</v>
      </c>
      <c r="F134" s="459">
        <f>F100*Group_3_rates!H96</f>
        <v>9.5786874425952053</v>
      </c>
      <c r="G134" s="459">
        <f>G100*Group_3_rates!I96</f>
        <v>8.4810243416453748</v>
      </c>
      <c r="H134" s="459">
        <f>H100*Group_3_rates!J96</f>
        <v>7.7583113541994777</v>
      </c>
      <c r="I134" s="459">
        <f>I100*Group_3_rates!K96</f>
        <v>7.2351107146536542</v>
      </c>
      <c r="J134" s="459">
        <f>J100*Group_3_rates!L96</f>
        <v>6.8338212819539166</v>
      </c>
      <c r="K134" s="459">
        <f>K100*Group_3_rates!M96</f>
        <v>6.5052119676753906</v>
      </c>
      <c r="L134" s="459">
        <f>L100*Group_3_rates!N96</f>
        <v>6.2278165199534401</v>
      </c>
      <c r="M134" s="459">
        <f>M100*Group_3_rates!O96</f>
        <v>6.0126779417876772</v>
      </c>
      <c r="N134" s="459">
        <f>N100*Group_3_rates!P96</f>
        <v>5.8378002338534456</v>
      </c>
      <c r="O134" s="327"/>
      <c r="P134" s="327"/>
    </row>
    <row r="135" spans="1:16">
      <c r="B135" s="338" t="str">
        <f t="shared" si="48"/>
        <v>60-64</v>
      </c>
      <c r="C135" s="459">
        <f>C101*Group_3_rates!E97</f>
        <v>2.7035760647715499</v>
      </c>
      <c r="D135" s="459">
        <f>D101*Group_3_rates!F97</f>
        <v>2.3386411090731354</v>
      </c>
      <c r="E135" s="459">
        <f>E101*Group_3_rates!G97</f>
        <v>2.0135588666119273</v>
      </c>
      <c r="F135" s="459">
        <f>F101*Group_3_rates!H97</f>
        <v>1.7099373349917562</v>
      </c>
      <c r="G135" s="459">
        <f>G101*Group_3_rates!I97</f>
        <v>1.4685769244101774</v>
      </c>
      <c r="H135" s="459">
        <f>H101*Group_3_rates!J97</f>
        <v>1.3121268310586873</v>
      </c>
      <c r="I135" s="459">
        <f>I101*Group_3_rates!K97</f>
        <v>1.2003866988863321</v>
      </c>
      <c r="J135" s="459">
        <f>J101*Group_3_rates!L97</f>
        <v>1.1158774067600186</v>
      </c>
      <c r="K135" s="459">
        <f>K101*Group_3_rates!M97</f>
        <v>1.0473199023041415</v>
      </c>
      <c r="L135" s="459">
        <f>L101*Group_3_rates!N97</f>
        <v>0.98997920874359779</v>
      </c>
      <c r="M135" s="459">
        <f>M101*Group_3_rates!O97</f>
        <v>0.94652811206416454</v>
      </c>
      <c r="N135" s="459">
        <f>N101*Group_3_rates!P97</f>
        <v>0.91129525417878354</v>
      </c>
      <c r="O135" s="327"/>
      <c r="P135" s="327"/>
    </row>
    <row r="136" spans="1:16">
      <c r="B136" s="338" t="str">
        <f t="shared" si="48"/>
        <v>65 plus</v>
      </c>
      <c r="C136" s="459">
        <f>C102*Group_3_rates!E98</f>
        <v>0.98403914340607967</v>
      </c>
      <c r="D136" s="459">
        <f>D102*Group_3_rates!F98</f>
        <v>0.99633698412271698</v>
      </c>
      <c r="E136" s="459">
        <f>E102*Group_3_rates!G98</f>
        <v>0.95245537301156524</v>
      </c>
      <c r="F136" s="459">
        <f>F102*Group_3_rates!H98</f>
        <v>0.85567631644960596</v>
      </c>
      <c r="G136" s="459">
        <f>G102*Group_3_rates!I98</f>
        <v>0.75127490904297345</v>
      </c>
      <c r="H136" s="459">
        <f>H102*Group_3_rates!J98</f>
        <v>0.67225530065175487</v>
      </c>
      <c r="I136" s="459">
        <f>I102*Group_3_rates!K98</f>
        <v>0.61014085244303007</v>
      </c>
      <c r="J136" s="459">
        <f>J102*Group_3_rates!L98</f>
        <v>0.56063110637101488</v>
      </c>
      <c r="K136" s="459">
        <f>K102*Group_3_rates!M98</f>
        <v>0.51958587395182176</v>
      </c>
      <c r="L136" s="459">
        <f>L102*Group_3_rates!N98</f>
        <v>0.48501545265355939</v>
      </c>
      <c r="M136" s="459">
        <f>M102*Group_3_rates!O98</f>
        <v>0.45853482830574344</v>
      </c>
      <c r="N136" s="459">
        <f>N102*Group_3_rates!P98</f>
        <v>0.43723926087707488</v>
      </c>
      <c r="O136" s="327"/>
      <c r="P136" s="327"/>
    </row>
    <row r="137" spans="1:16">
      <c r="B137" s="338" t="str">
        <f t="shared" si="48"/>
        <v>Total</v>
      </c>
      <c r="C137" s="459">
        <f>SUM(C127:C136)</f>
        <v>144.72253526182382</v>
      </c>
      <c r="D137" s="459">
        <f t="shared" ref="D137:N137" si="50">SUM(D127:D136)</f>
        <v>143.28218011527491</v>
      </c>
      <c r="E137" s="459">
        <f t="shared" si="50"/>
        <v>146.68185264019382</v>
      </c>
      <c r="F137" s="459">
        <f t="shared" si="50"/>
        <v>143.12640594069555</v>
      </c>
      <c r="G137" s="459">
        <f t="shared" si="50"/>
        <v>138.59289343581375</v>
      </c>
      <c r="H137" s="459">
        <f t="shared" si="50"/>
        <v>139.64676129857384</v>
      </c>
      <c r="I137" s="459">
        <f t="shared" si="50"/>
        <v>142.06742658632834</v>
      </c>
      <c r="J137" s="459">
        <f t="shared" si="50"/>
        <v>144.48844639447202</v>
      </c>
      <c r="K137" s="459">
        <f t="shared" si="50"/>
        <v>146.04203786301775</v>
      </c>
      <c r="L137" s="459">
        <f t="shared" si="50"/>
        <v>146.65526513287904</v>
      </c>
      <c r="M137" s="459">
        <f t="shared" si="50"/>
        <v>147.45710790184233</v>
      </c>
      <c r="N137" s="459">
        <f t="shared" si="50"/>
        <v>147.99263346612037</v>
      </c>
      <c r="O137" s="327"/>
      <c r="P137" s="327"/>
    </row>
    <row r="138" spans="1:16">
      <c r="A138" s="309">
        <f>SUM(C138:N138)</f>
        <v>0</v>
      </c>
      <c r="C138" s="309">
        <f>SUM(C127:C136)-C137</f>
        <v>0</v>
      </c>
      <c r="D138" s="309">
        <f t="shared" ref="D138:N138" si="51">SUM(D127:D136)-D137</f>
        <v>0</v>
      </c>
      <c r="E138" s="309">
        <f t="shared" si="51"/>
        <v>0</v>
      </c>
      <c r="F138" s="309">
        <f t="shared" si="51"/>
        <v>0</v>
      </c>
      <c r="G138" s="309">
        <f t="shared" si="51"/>
        <v>0</v>
      </c>
      <c r="H138" s="309">
        <f t="shared" si="51"/>
        <v>0</v>
      </c>
      <c r="I138" s="309">
        <f t="shared" si="51"/>
        <v>0</v>
      </c>
      <c r="J138" s="309">
        <f t="shared" si="51"/>
        <v>0</v>
      </c>
      <c r="K138" s="309">
        <f t="shared" si="51"/>
        <v>0</v>
      </c>
      <c r="L138" s="309">
        <f t="shared" si="51"/>
        <v>0</v>
      </c>
      <c r="M138" s="309">
        <f t="shared" si="51"/>
        <v>0</v>
      </c>
      <c r="N138" s="309">
        <f t="shared" si="51"/>
        <v>0</v>
      </c>
    </row>
    <row r="140" spans="1:16" ht="15.75">
      <c r="B140" s="340" t="s">
        <v>152</v>
      </c>
      <c r="H140" s="325"/>
    </row>
    <row r="141" spans="1:16">
      <c r="H141" s="325"/>
    </row>
    <row r="142" spans="1:16">
      <c r="B142" s="341" t="s">
        <v>49</v>
      </c>
      <c r="H142" s="325"/>
    </row>
    <row r="143" spans="1:16">
      <c r="H143" s="325"/>
    </row>
    <row r="144" spans="1:16">
      <c r="B144" s="338" t="str">
        <f t="shared" ref="B144:B155" si="52">B110</f>
        <v>Age group</v>
      </c>
      <c r="C144" s="338" t="str">
        <f t="shared" ref="C144:N144" si="53">C110</f>
        <v>2016/17</v>
      </c>
      <c r="D144" s="338" t="str">
        <f t="shared" si="53"/>
        <v>2017/18</v>
      </c>
      <c r="E144" s="338" t="str">
        <f t="shared" si="53"/>
        <v>2018/19</v>
      </c>
      <c r="F144" s="338" t="str">
        <f t="shared" si="53"/>
        <v>2019/20</v>
      </c>
      <c r="G144" s="338" t="str">
        <f t="shared" si="53"/>
        <v>2020/21</v>
      </c>
      <c r="H144" s="338" t="str">
        <f t="shared" si="53"/>
        <v>2021/22</v>
      </c>
      <c r="I144" s="338" t="str">
        <f t="shared" si="53"/>
        <v>2022/23</v>
      </c>
      <c r="J144" s="338" t="str">
        <f t="shared" si="53"/>
        <v>2023/24</v>
      </c>
      <c r="K144" s="338" t="str">
        <f t="shared" si="53"/>
        <v>2024/25</v>
      </c>
      <c r="L144" s="338" t="str">
        <f t="shared" si="53"/>
        <v>2025/26</v>
      </c>
      <c r="M144" s="338" t="str">
        <f t="shared" si="53"/>
        <v>2026/27</v>
      </c>
      <c r="N144" s="338" t="str">
        <f t="shared" si="53"/>
        <v>2027/28</v>
      </c>
    </row>
    <row r="145" spans="1:17">
      <c r="B145" s="338" t="str">
        <f t="shared" si="52"/>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c r="O145" s="327"/>
      <c r="P145" s="327"/>
      <c r="Q145" s="327"/>
    </row>
    <row r="146" spans="1:17">
      <c r="B146" s="338" t="str">
        <f t="shared" si="52"/>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c r="O146" s="327"/>
      <c r="P146" s="327"/>
      <c r="Q146" s="327"/>
    </row>
    <row r="147" spans="1:17">
      <c r="B147" s="338" t="str">
        <f t="shared" si="52"/>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c r="O147" s="327"/>
      <c r="P147" s="327"/>
      <c r="Q147" s="327"/>
    </row>
    <row r="148" spans="1:17">
      <c r="B148" s="338" t="str">
        <f t="shared" si="52"/>
        <v>35-39</v>
      </c>
      <c r="C148" s="459">
        <f>C80*Calc_SEC_retirement_rates!$G127</f>
        <v>1.3817996046504263E-2</v>
      </c>
      <c r="D148" s="459">
        <f>D80*Calc_SEC_retirement_rates!$G127</f>
        <v>1.419249189856926E-2</v>
      </c>
      <c r="E148" s="459">
        <f>E80*Calc_SEC_retirement_rates!$G127</f>
        <v>1.4426863961468786E-2</v>
      </c>
      <c r="F148" s="459">
        <f>F80*Calc_SEC_retirement_rates!$G127</f>
        <v>1.4151603109485928E-2</v>
      </c>
      <c r="G148" s="459">
        <f>G80*Calc_SEC_retirement_rates!$G127</f>
        <v>1.3739011081133267E-2</v>
      </c>
      <c r="H148" s="459">
        <f>H80*Calc_SEC_retirement_rates!$G127</f>
        <v>1.3580272293346083E-2</v>
      </c>
      <c r="I148" s="459">
        <f>I80*Calc_SEC_retirement_rates!$G127</f>
        <v>1.3533227756304302E-2</v>
      </c>
      <c r="J148" s="459">
        <f>J80*Calc_SEC_retirement_rates!$G127</f>
        <v>1.3553223624408334E-2</v>
      </c>
      <c r="K148" s="459">
        <f>K80*Calc_SEC_retirement_rates!$G127</f>
        <v>1.3596754497269088E-2</v>
      </c>
      <c r="L148" s="459">
        <f>L80*Calc_SEC_retirement_rates!$G127</f>
        <v>1.3645595094442459E-2</v>
      </c>
      <c r="M148" s="459">
        <f>M80*Calc_SEC_retirement_rates!$G127</f>
        <v>1.3738518222090476E-2</v>
      </c>
      <c r="N148" s="459">
        <f>N80*Calc_SEC_retirement_rates!$G127</f>
        <v>1.3841271957852437E-2</v>
      </c>
      <c r="O148" s="327"/>
      <c r="P148" s="327"/>
      <c r="Q148" s="327"/>
    </row>
    <row r="149" spans="1:17">
      <c r="B149" s="338" t="str">
        <f t="shared" si="52"/>
        <v>40-44</v>
      </c>
      <c r="C149" s="459">
        <f>C81*Calc_SEC_retirement_rates!$G128</f>
        <v>1.8739412366601354E-2</v>
      </c>
      <c r="D149" s="459">
        <f>D81*Calc_SEC_retirement_rates!$G128</f>
        <v>1.8250080818826207E-2</v>
      </c>
      <c r="E149" s="459">
        <f>E81*Calc_SEC_retirement_rates!$G128</f>
        <v>1.8192101331776154E-2</v>
      </c>
      <c r="F149" s="459">
        <f>F81*Calc_SEC_retirement_rates!$G128</f>
        <v>1.781700612849178E-2</v>
      </c>
      <c r="G149" s="459">
        <f>G81*Calc_SEC_retirement_rates!$G128</f>
        <v>1.7371661674462687E-2</v>
      </c>
      <c r="H149" s="459">
        <f>H81*Calc_SEC_retirement_rates!$G128</f>
        <v>1.7198231213351203E-2</v>
      </c>
      <c r="I149" s="459">
        <f>I81*Calc_SEC_retirement_rates!$G128</f>
        <v>1.7097274275113108E-2</v>
      </c>
      <c r="J149" s="459">
        <f>J81*Calc_SEC_retirement_rates!$G128</f>
        <v>1.7013729652777195E-2</v>
      </c>
      <c r="K149" s="459">
        <f>K81*Calc_SEC_retirement_rates!$G128</f>
        <v>1.6913808059148931E-2</v>
      </c>
      <c r="L149" s="459">
        <f>L81*Calc_SEC_retirement_rates!$G128</f>
        <v>1.6799447997386228E-2</v>
      </c>
      <c r="M149" s="459">
        <f>M81*Calc_SEC_retirement_rates!$G128</f>
        <v>1.6732608842120904E-2</v>
      </c>
      <c r="N149" s="459">
        <f>N81*Calc_SEC_retirement_rates!$G128</f>
        <v>1.6689317720317318E-2</v>
      </c>
      <c r="O149" s="327"/>
      <c r="P149" s="327"/>
      <c r="Q149" s="327"/>
    </row>
    <row r="150" spans="1:17">
      <c r="B150" s="338" t="str">
        <f t="shared" si="52"/>
        <v>45-49</v>
      </c>
      <c r="C150" s="459">
        <f>C82*Calc_SEC_retirement_rates!$G129</f>
        <v>3.9999090871093421E-2</v>
      </c>
      <c r="D150" s="459">
        <f>D82*Calc_SEC_retirement_rates!$G129</f>
        <v>4.0043851196683057E-2</v>
      </c>
      <c r="E150" s="459">
        <f>E82*Calc_SEC_retirement_rates!$G129</f>
        <v>4.0284774385196086E-2</v>
      </c>
      <c r="F150" s="459">
        <f>F82*Calc_SEC_retirement_rates!$G129</f>
        <v>3.966145925874183E-2</v>
      </c>
      <c r="G150" s="459">
        <f>G82*Calc_SEC_retirement_rates!$G129</f>
        <v>3.8830238799040531E-2</v>
      </c>
      <c r="H150" s="459">
        <f>H82*Calc_SEC_retirement_rates!$G129</f>
        <v>3.8526113308500087E-2</v>
      </c>
      <c r="I150" s="459">
        <f>I82*Calc_SEC_retirement_rates!$G129</f>
        <v>3.8354498249405462E-2</v>
      </c>
      <c r="J150" s="459">
        <f>J82*Calc_SEC_retirement_rates!$G129</f>
        <v>3.8187491867373149E-2</v>
      </c>
      <c r="K150" s="459">
        <f>K82*Calc_SEC_retirement_rates!$G129</f>
        <v>3.7941302135529043E-2</v>
      </c>
      <c r="L150" s="459">
        <f>L82*Calc_SEC_retirement_rates!$G129</f>
        <v>3.7613534066400424E-2</v>
      </c>
      <c r="M150" s="459">
        <f>M82*Calc_SEC_retirement_rates!$G129</f>
        <v>3.7332765727778397E-2</v>
      </c>
      <c r="N150" s="459">
        <f>N82*Calc_SEC_retirement_rates!$G129</f>
        <v>3.7063759015024247E-2</v>
      </c>
      <c r="O150" s="327"/>
      <c r="P150" s="327"/>
      <c r="Q150" s="327"/>
    </row>
    <row r="151" spans="1:17">
      <c r="B151" s="338" t="str">
        <f t="shared" si="52"/>
        <v>50-54</v>
      </c>
      <c r="C151" s="459">
        <f>C83*Calc_SEC_retirement_rates!$G130</f>
        <v>0.78505035694816105</v>
      </c>
      <c r="D151" s="459">
        <f>D83*Calc_SEC_retirement_rates!$G130</f>
        <v>0.75811101981671625</v>
      </c>
      <c r="E151" s="459">
        <f>E83*Calc_SEC_retirement_rates!$G130</f>
        <v>0.74633515857069332</v>
      </c>
      <c r="F151" s="459">
        <f>F83*Calc_SEC_retirement_rates!$G130</f>
        <v>0.72597185235363815</v>
      </c>
      <c r="G151" s="459">
        <f>G83*Calc_SEC_retirement_rates!$G130</f>
        <v>0.70553224694427374</v>
      </c>
      <c r="H151" s="459">
        <f>H83*Calc_SEC_retirement_rates!$G130</f>
        <v>0.69611228043880169</v>
      </c>
      <c r="I151" s="459">
        <f>I83*Calc_SEC_retirement_rates!$G130</f>
        <v>0.69035228186774078</v>
      </c>
      <c r="J151" s="459">
        <f>J83*Calc_SEC_retirement_rates!$G130</f>
        <v>0.68563375541490901</v>
      </c>
      <c r="K151" s="459">
        <f>K83*Calc_SEC_retirement_rates!$G130</f>
        <v>0.68015957181634645</v>
      </c>
      <c r="L151" s="459">
        <f>L83*Calc_SEC_retirement_rates!$G130</f>
        <v>0.67355615308490591</v>
      </c>
      <c r="M151" s="459">
        <f>M83*Calc_SEC_retirement_rates!$G130</f>
        <v>0.66771604843907228</v>
      </c>
      <c r="N151" s="459">
        <f>N83*Calc_SEC_retirement_rates!$G130</f>
        <v>0.66186712783752522</v>
      </c>
      <c r="O151" s="327"/>
      <c r="P151" s="327"/>
      <c r="Q151" s="327"/>
    </row>
    <row r="152" spans="1:17">
      <c r="B152" s="338" t="str">
        <f t="shared" si="52"/>
        <v>55-59</v>
      </c>
      <c r="C152" s="459">
        <f>C84*Calc_SEC_retirement_rates!$G131</f>
        <v>2.4787959220452507</v>
      </c>
      <c r="D152" s="459">
        <f>D84*Calc_SEC_retirement_rates!$G131</f>
        <v>2.682132218928138</v>
      </c>
      <c r="E152" s="459">
        <f>E84*Calc_SEC_retirement_rates!$G131</f>
        <v>2.8041985947861146</v>
      </c>
      <c r="F152" s="459">
        <f>F84*Calc_SEC_retirement_rates!$G131</f>
        <v>2.7939752254866117</v>
      </c>
      <c r="G152" s="459">
        <f>G84*Calc_SEC_retirement_rates!$G131</f>
        <v>2.7436057740297284</v>
      </c>
      <c r="H152" s="459">
        <f>H84*Calc_SEC_retirement_rates!$G131</f>
        <v>2.7309319030809314</v>
      </c>
      <c r="I152" s="459">
        <f>I84*Calc_SEC_retirement_rates!$G131</f>
        <v>2.7223304939662842</v>
      </c>
      <c r="J152" s="459">
        <f>J84*Calc_SEC_retirement_rates!$G131</f>
        <v>2.7100862506774193</v>
      </c>
      <c r="K152" s="459">
        <f>K84*Calc_SEC_retirement_rates!$G131</f>
        <v>2.6892377675153885</v>
      </c>
      <c r="L152" s="459">
        <f>L84*Calc_SEC_retirement_rates!$G131</f>
        <v>2.6609296559754672</v>
      </c>
      <c r="M152" s="459">
        <f>M84*Calc_SEC_retirement_rates!$G131</f>
        <v>2.6365356354414082</v>
      </c>
      <c r="N152" s="459">
        <f>N84*Calc_SEC_retirement_rates!$G131</f>
        <v>2.611618197109598</v>
      </c>
      <c r="O152" s="327"/>
      <c r="P152" s="327"/>
      <c r="Q152" s="327"/>
    </row>
    <row r="153" spans="1:17">
      <c r="B153" s="338" t="str">
        <f t="shared" si="52"/>
        <v>60-64</v>
      </c>
      <c r="C153" s="459">
        <f>C85*Calc_SEC_retirement_rates!$G132</f>
        <v>2.3687765142991983</v>
      </c>
      <c r="D153" s="459">
        <f>D85*Calc_SEC_retirement_rates!$G132</f>
        <v>1.9678013158166154</v>
      </c>
      <c r="E153" s="459">
        <f>E85*Calc_SEC_retirement_rates!$G132</f>
        <v>1.8648116109690975</v>
      </c>
      <c r="F153" s="459">
        <f>F85*Calc_SEC_retirement_rates!$G132</f>
        <v>1.7826999983250484</v>
      </c>
      <c r="G153" s="459">
        <f>G85*Calc_SEC_retirement_rates!$G132</f>
        <v>1.7236163484370157</v>
      </c>
      <c r="H153" s="459">
        <f>H85*Calc_SEC_retirement_rates!$G132</f>
        <v>1.7246828617055114</v>
      </c>
      <c r="I153" s="459">
        <f>I85*Calc_SEC_retirement_rates!$G132</f>
        <v>1.732871011667166</v>
      </c>
      <c r="J153" s="459">
        <f>J85*Calc_SEC_retirement_rates!$G132</f>
        <v>1.7349973653447588</v>
      </c>
      <c r="K153" s="459">
        <f>K85*Calc_SEC_retirement_rates!$G132</f>
        <v>1.7256474109606814</v>
      </c>
      <c r="L153" s="459">
        <f>L85*Calc_SEC_retirement_rates!$G132</f>
        <v>1.7071643722308008</v>
      </c>
      <c r="M153" s="459">
        <f>M85*Calc_SEC_retirement_rates!$G132</f>
        <v>1.6918330663457859</v>
      </c>
      <c r="N153" s="459">
        <f>N85*Calc_SEC_retirement_rates!$G132</f>
        <v>1.6753225210708147</v>
      </c>
      <c r="O153" s="327"/>
      <c r="P153" s="327"/>
      <c r="Q153" s="327"/>
    </row>
    <row r="154" spans="1:17">
      <c r="B154" s="338" t="str">
        <f t="shared" si="52"/>
        <v>65 plus</v>
      </c>
      <c r="C154" s="459">
        <f>C86*Calc_SEC_retirement_rates!$G133</f>
        <v>2.8044488375600847</v>
      </c>
      <c r="D154" s="459">
        <f>D86*Calc_SEC_retirement_rates!$G133</f>
        <v>1.9063022924081845</v>
      </c>
      <c r="E154" s="459">
        <f>E86*Calc_SEC_retirement_rates!$G133</f>
        <v>1.3837681682307956</v>
      </c>
      <c r="F154" s="459">
        <f>F86*Calc_SEC_retirement_rates!$G133</f>
        <v>1.0609845868448664</v>
      </c>
      <c r="G154" s="459">
        <f>G86*Calc_SEC_retirement_rates!$G133</f>
        <v>0.86899872409355894</v>
      </c>
      <c r="H154" s="459">
        <f>H86*Calc_SEC_retirement_rates!$G133</f>
        <v>0.77602695442555392</v>
      </c>
      <c r="I154" s="459">
        <f>I86*Calc_SEC_retirement_rates!$G133</f>
        <v>0.73093811242600459</v>
      </c>
      <c r="J154" s="459">
        <f>J86*Calc_SEC_retirement_rates!$G133</f>
        <v>0.70803955782066819</v>
      </c>
      <c r="K154" s="459">
        <f>K86*Calc_SEC_retirement_rates!$G133</f>
        <v>0.69298107145720189</v>
      </c>
      <c r="L154" s="459">
        <f>L86*Calc_SEC_retirement_rates!$G133</f>
        <v>0.67998549701807753</v>
      </c>
      <c r="M154" s="459">
        <f>M86*Calc_SEC_retirement_rates!$G133</f>
        <v>0.6709148900175762</v>
      </c>
      <c r="N154" s="459">
        <f>N86*Calc_SEC_retirement_rates!$G133</f>
        <v>0.66279007811471868</v>
      </c>
      <c r="O154" s="327"/>
      <c r="P154" s="327"/>
      <c r="Q154" s="327"/>
    </row>
    <row r="155" spans="1:17">
      <c r="B155" s="338" t="str">
        <f t="shared" si="52"/>
        <v>Total</v>
      </c>
      <c r="C155" s="459">
        <f>SUM(C145:C154)</f>
        <v>8.5096281301368943</v>
      </c>
      <c r="D155" s="459">
        <f t="shared" ref="D155:N155" si="54">SUM(D145:D154)</f>
        <v>7.3868332708837325</v>
      </c>
      <c r="E155" s="459">
        <f t="shared" si="54"/>
        <v>6.8720172722351416</v>
      </c>
      <c r="F155" s="459">
        <f t="shared" si="54"/>
        <v>6.4352617315068841</v>
      </c>
      <c r="G155" s="459">
        <f t="shared" si="54"/>
        <v>6.1116940050592135</v>
      </c>
      <c r="H155" s="459">
        <f t="shared" si="54"/>
        <v>5.9970586164659956</v>
      </c>
      <c r="I155" s="459">
        <f t="shared" si="54"/>
        <v>5.9454769002080186</v>
      </c>
      <c r="J155" s="459">
        <f t="shared" si="54"/>
        <v>5.907511374402314</v>
      </c>
      <c r="K155" s="459">
        <f t="shared" si="54"/>
        <v>5.8564776864415649</v>
      </c>
      <c r="L155" s="459">
        <f t="shared" si="54"/>
        <v>5.7896942554674808</v>
      </c>
      <c r="M155" s="459">
        <f t="shared" si="54"/>
        <v>5.7348035330358318</v>
      </c>
      <c r="N155" s="459">
        <f t="shared" si="54"/>
        <v>5.6791922728258504</v>
      </c>
      <c r="O155" s="327"/>
      <c r="P155" s="327"/>
      <c r="Q155" s="327"/>
    </row>
    <row r="156" spans="1:17">
      <c r="A156" s="309">
        <f>SUM(C156:N156)</f>
        <v>0</v>
      </c>
      <c r="C156" s="309">
        <f>SUM(C145:C154)-C155</f>
        <v>0</v>
      </c>
      <c r="D156" s="309">
        <f t="shared" ref="D156:N156" si="55">SUM(D145:D154)-D155</f>
        <v>0</v>
      </c>
      <c r="E156" s="309">
        <f t="shared" si="55"/>
        <v>0</v>
      </c>
      <c r="F156" s="309">
        <f t="shared" si="55"/>
        <v>0</v>
      </c>
      <c r="G156" s="309">
        <f t="shared" si="55"/>
        <v>0</v>
      </c>
      <c r="H156" s="309">
        <f t="shared" si="55"/>
        <v>0</v>
      </c>
      <c r="I156" s="309">
        <f t="shared" si="55"/>
        <v>0</v>
      </c>
      <c r="J156" s="309">
        <f t="shared" si="55"/>
        <v>0</v>
      </c>
      <c r="K156" s="309">
        <f t="shared" si="55"/>
        <v>0</v>
      </c>
      <c r="L156" s="309">
        <f t="shared" si="55"/>
        <v>0</v>
      </c>
      <c r="M156" s="309">
        <f t="shared" si="55"/>
        <v>0</v>
      </c>
      <c r="N156" s="309">
        <f t="shared" si="55"/>
        <v>0</v>
      </c>
    </row>
    <row r="158" spans="1:17">
      <c r="B158" s="341" t="s">
        <v>50</v>
      </c>
      <c r="C158" s="329"/>
      <c r="D158" s="329"/>
      <c r="E158" s="329"/>
      <c r="F158" s="329"/>
      <c r="G158" s="329"/>
      <c r="H158" s="339"/>
      <c r="I158" s="329"/>
      <c r="J158" s="329"/>
      <c r="K158" s="329"/>
      <c r="L158" s="329"/>
    </row>
    <row r="159" spans="1:17">
      <c r="C159" s="329"/>
      <c r="D159" s="329"/>
      <c r="E159" s="329"/>
      <c r="F159" s="329"/>
      <c r="G159" s="329"/>
      <c r="H159" s="339"/>
      <c r="I159" s="329"/>
      <c r="J159" s="329"/>
      <c r="K159" s="329"/>
      <c r="L159" s="329"/>
    </row>
    <row r="160" spans="1:17">
      <c r="B160" s="338" t="str">
        <f t="shared" ref="B160:B171" si="56">B144</f>
        <v>Age group</v>
      </c>
      <c r="C160" s="338" t="str">
        <f t="shared" ref="C160:N160" si="57">C144</f>
        <v>2016/17</v>
      </c>
      <c r="D160" s="338" t="str">
        <f t="shared" si="57"/>
        <v>2017/18</v>
      </c>
      <c r="E160" s="338" t="str">
        <f t="shared" si="57"/>
        <v>2018/19</v>
      </c>
      <c r="F160" s="338" t="str">
        <f t="shared" si="57"/>
        <v>2019/20</v>
      </c>
      <c r="G160" s="338" t="str">
        <f t="shared" si="57"/>
        <v>2020/21</v>
      </c>
      <c r="H160" s="338" t="str">
        <f t="shared" si="57"/>
        <v>2021/22</v>
      </c>
      <c r="I160" s="338" t="str">
        <f t="shared" si="57"/>
        <v>2022/23</v>
      </c>
      <c r="J160" s="338" t="str">
        <f t="shared" si="57"/>
        <v>2023/24</v>
      </c>
      <c r="K160" s="338" t="str">
        <f t="shared" si="57"/>
        <v>2024/25</v>
      </c>
      <c r="L160" s="338" t="str">
        <f t="shared" si="57"/>
        <v>2025/26</v>
      </c>
      <c r="M160" s="338" t="str">
        <f t="shared" si="57"/>
        <v>2026/27</v>
      </c>
      <c r="N160" s="338" t="str">
        <f t="shared" si="57"/>
        <v>2027/28</v>
      </c>
    </row>
    <row r="161" spans="1:15">
      <c r="B161" s="338" t="str">
        <f t="shared" si="56"/>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c r="O161" s="327"/>
    </row>
    <row r="162" spans="1:15">
      <c r="B162" s="338" t="str">
        <f t="shared" si="56"/>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c r="O162" s="327"/>
    </row>
    <row r="163" spans="1:15">
      <c r="B163" s="338" t="str">
        <f t="shared" si="56"/>
        <v>30-34</v>
      </c>
      <c r="C163" s="459">
        <f>C95*Calc_SEC_retirement_rates!$G142</f>
        <v>2.5481110835716057E-2</v>
      </c>
      <c r="D163" s="459">
        <f>D95*Calc_SEC_retirement_rates!$G142</f>
        <v>2.6557920326788668E-2</v>
      </c>
      <c r="E163" s="459">
        <f>E95*Calc_SEC_retirement_rates!$G142</f>
        <v>2.8504131762666175E-2</v>
      </c>
      <c r="F163" s="459">
        <f>F95*Calc_SEC_retirement_rates!$G142</f>
        <v>2.8971577459131297E-2</v>
      </c>
      <c r="G163" s="459">
        <f>G95*Calc_SEC_retirement_rates!$G142</f>
        <v>2.9009511418780103E-2</v>
      </c>
      <c r="H163" s="459">
        <f>H95*Calc_SEC_retirement_rates!$G142</f>
        <v>3.0048397333420563E-2</v>
      </c>
      <c r="I163" s="459">
        <f>I95*Calc_SEC_retirement_rates!$G142</f>
        <v>3.137287105222597E-2</v>
      </c>
      <c r="J163" s="459">
        <f>J95*Calc_SEC_retirement_rates!$G142</f>
        <v>3.2695476509652162E-2</v>
      </c>
      <c r="K163" s="459">
        <f>K95*Calc_SEC_retirement_rates!$G142</f>
        <v>3.3787260321544318E-2</v>
      </c>
      <c r="L163" s="459">
        <f>L95*Calc_SEC_retirement_rates!$G142</f>
        <v>3.4577367643781859E-2</v>
      </c>
      <c r="M163" s="459">
        <f>M95*Calc_SEC_retirement_rates!$G142</f>
        <v>3.5276861654134954E-2</v>
      </c>
      <c r="N163" s="459">
        <f>N95*Calc_SEC_retirement_rates!$G142</f>
        <v>3.5804366965086355E-2</v>
      </c>
      <c r="O163" s="327"/>
    </row>
    <row r="164" spans="1:15">
      <c r="B164" s="338" t="str">
        <f t="shared" si="56"/>
        <v>35-39</v>
      </c>
      <c r="C164" s="459">
        <f>C96*Calc_SEC_retirement_rates!$G143</f>
        <v>7.4036874988972948E-2</v>
      </c>
      <c r="D164" s="459">
        <f>D96*Calc_SEC_retirement_rates!$G143</f>
        <v>7.5000099832818856E-2</v>
      </c>
      <c r="E164" s="459">
        <f>E96*Calc_SEC_retirement_rates!$G143</f>
        <v>7.784318421983244E-2</v>
      </c>
      <c r="F164" s="459">
        <f>F96*Calc_SEC_retirement_rates!$G143</f>
        <v>7.810816062350491E-2</v>
      </c>
      <c r="G164" s="459">
        <f>G96*Calc_SEC_retirement_rates!$G143</f>
        <v>7.7810807735208279E-2</v>
      </c>
      <c r="H164" s="459">
        <f>H96*Calc_SEC_retirement_rates!$G143</f>
        <v>7.9483480973407433E-2</v>
      </c>
      <c r="I164" s="459">
        <f>I96*Calc_SEC_retirement_rates!$G143</f>
        <v>8.1732624653984107E-2</v>
      </c>
      <c r="J164" s="459">
        <f>J96*Calc_SEC_retirement_rates!$G143</f>
        <v>8.4092120886058386E-2</v>
      </c>
      <c r="K164" s="459">
        <f>K96*Calc_SEC_retirement_rates!$G143</f>
        <v>8.6200714772367085E-2</v>
      </c>
      <c r="L164" s="459">
        <f>L96*Calc_SEC_retirement_rates!$G143</f>
        <v>8.7947839803253727E-2</v>
      </c>
      <c r="M164" s="459">
        <f>M96*Calc_SEC_retirement_rates!$G143</f>
        <v>8.9689056256305438E-2</v>
      </c>
      <c r="N164" s="459">
        <f>N96*Calc_SEC_retirement_rates!$G143</f>
        <v>9.1216079803528471E-2</v>
      </c>
      <c r="O164" s="327"/>
    </row>
    <row r="165" spans="1:15">
      <c r="B165" s="338" t="str">
        <f t="shared" si="56"/>
        <v>40-44</v>
      </c>
      <c r="C165" s="459">
        <f>C97*Calc_SEC_retirement_rates!$G144</f>
        <v>0.13962679194154223</v>
      </c>
      <c r="D165" s="459">
        <f>D97*Calc_SEC_retirement_rates!$G144</f>
        <v>0.1348298198946539</v>
      </c>
      <c r="E165" s="459">
        <f>E97*Calc_SEC_retirement_rates!$G144</f>
        <v>0.13367729872173062</v>
      </c>
      <c r="F165" s="459">
        <f>F97*Calc_SEC_retirement_rates!$G144</f>
        <v>0.12989059660217692</v>
      </c>
      <c r="G165" s="459">
        <f>G97*Calc_SEC_retirement_rates!$G144</f>
        <v>0.12619431120661492</v>
      </c>
      <c r="H165" s="459">
        <f>H97*Calc_SEC_retirement_rates!$G144</f>
        <v>0.12587321736432835</v>
      </c>
      <c r="I165" s="459">
        <f>I97*Calc_SEC_retirement_rates!$G144</f>
        <v>0.12677360074228627</v>
      </c>
      <c r="J165" s="459">
        <f>J97*Calc_SEC_retirement_rates!$G144</f>
        <v>0.1281313170562943</v>
      </c>
      <c r="K165" s="459">
        <f>K97*Calc_SEC_retirement_rates!$G144</f>
        <v>0.12941779473159309</v>
      </c>
      <c r="L165" s="459">
        <f>L97*Calc_SEC_retirement_rates!$G144</f>
        <v>0.1305005633112106</v>
      </c>
      <c r="M165" s="459">
        <f>M97*Calc_SEC_retirement_rates!$G144</f>
        <v>0.13188055368864543</v>
      </c>
      <c r="N165" s="459">
        <f>N97*Calc_SEC_retirement_rates!$G144</f>
        <v>0.13326083762789931</v>
      </c>
      <c r="O165" s="327"/>
    </row>
    <row r="166" spans="1:15">
      <c r="B166" s="338" t="str">
        <f t="shared" si="56"/>
        <v>45-49</v>
      </c>
      <c r="C166" s="459">
        <f>C98*Calc_SEC_retirement_rates!$G145</f>
        <v>0.32641476759887</v>
      </c>
      <c r="D166" s="459">
        <f>D98*Calc_SEC_retirement_rates!$G145</f>
        <v>0.30839620908853949</v>
      </c>
      <c r="E166" s="459">
        <f>E98*Calc_SEC_retirement_rates!$G145</f>
        <v>0.29681816307403663</v>
      </c>
      <c r="F166" s="459">
        <f>F98*Calc_SEC_retirement_rates!$G145</f>
        <v>0.28165583581927517</v>
      </c>
      <c r="G166" s="459">
        <f>G98*Calc_SEC_retirement_rates!$G145</f>
        <v>0.26747999799220962</v>
      </c>
      <c r="H166" s="459">
        <f>H98*Calc_SEC_retirement_rates!$G145</f>
        <v>0.25978414758019774</v>
      </c>
      <c r="I166" s="459">
        <f>I98*Calc_SEC_retirement_rates!$G145</f>
        <v>0.25506343232993595</v>
      </c>
      <c r="J166" s="459">
        <f>J98*Calc_SEC_retirement_rates!$G145</f>
        <v>0.25197429637042851</v>
      </c>
      <c r="K166" s="459">
        <f>K98*Calc_SEC_retirement_rates!$G145</f>
        <v>0.24952884746761525</v>
      </c>
      <c r="L166" s="459">
        <f>L98*Calc_SEC_retirement_rates!$G145</f>
        <v>0.24740348349899216</v>
      </c>
      <c r="M166" s="459">
        <f>M98*Calc_SEC_retirement_rates!$G145</f>
        <v>0.24635034154393498</v>
      </c>
      <c r="N166" s="459">
        <f>N98*Calc_SEC_retirement_rates!$G145</f>
        <v>0.24583878436443077</v>
      </c>
      <c r="O166" s="327"/>
    </row>
    <row r="167" spans="1:15">
      <c r="B167" s="338" t="str">
        <f t="shared" si="56"/>
        <v>50-54</v>
      </c>
      <c r="C167" s="459">
        <f>C99*Calc_SEC_retirement_rates!$G146</f>
        <v>7.4618725286797334</v>
      </c>
      <c r="D167" s="459">
        <f>D99*Calc_SEC_retirement_rates!$G146</f>
        <v>6.8471034598828986</v>
      </c>
      <c r="E167" s="459">
        <f>E99*Calc_SEC_retirement_rates!$G146</f>
        <v>6.3950205592656628</v>
      </c>
      <c r="F167" s="459">
        <f>F99*Calc_SEC_retirement_rates!$G146</f>
        <v>5.9284581148188407</v>
      </c>
      <c r="G167" s="459">
        <f>G99*Calc_SEC_retirement_rates!$G146</f>
        <v>5.5114159933851274</v>
      </c>
      <c r="H167" s="459">
        <f>H99*Calc_SEC_retirement_rates!$G146</f>
        <v>5.2252642909153071</v>
      </c>
      <c r="I167" s="459">
        <f>I99*Calc_SEC_retirement_rates!$G146</f>
        <v>5.0086555784982441</v>
      </c>
      <c r="J167" s="459">
        <f>J99*Calc_SEC_retirement_rates!$G146</f>
        <v>4.836919420861487</v>
      </c>
      <c r="K167" s="459">
        <f>K99*Calc_SEC_retirement_rates!$G146</f>
        <v>4.6918201751125714</v>
      </c>
      <c r="L167" s="459">
        <f>L99*Calc_SEC_retirement_rates!$G146</f>
        <v>4.5661467785852183</v>
      </c>
      <c r="M167" s="459">
        <f>M99*Calc_SEC_retirement_rates!$G146</f>
        <v>4.4701888085043864</v>
      </c>
      <c r="N167" s="459">
        <f>N99*Calc_SEC_retirement_rates!$G146</f>
        <v>4.393819988486861</v>
      </c>
      <c r="O167" s="327"/>
    </row>
    <row r="168" spans="1:15">
      <c r="B168" s="338" t="str">
        <f t="shared" si="56"/>
        <v>55-59</v>
      </c>
      <c r="C168" s="459">
        <f>C100*Calc_SEC_retirement_rates!$G147</f>
        <v>54.741918138540491</v>
      </c>
      <c r="D168" s="459">
        <f>D100*Calc_SEC_retirement_rates!$G147</f>
        <v>44.993030106659987</v>
      </c>
      <c r="E168" s="459">
        <f>E100*Calc_SEC_retirement_rates!$G147</f>
        <v>38.583694734866867</v>
      </c>
      <c r="F168" s="459">
        <f>F100*Calc_SEC_retirement_rates!$G147</f>
        <v>33.532254126657037</v>
      </c>
      <c r="G168" s="459">
        <f>G100*Calc_SEC_retirement_rates!$G147</f>
        <v>29.689648522591956</v>
      </c>
      <c r="H168" s="459">
        <f>H100*Calc_SEC_retirement_rates!$G147</f>
        <v>27.159636378349216</v>
      </c>
      <c r="I168" s="459">
        <f>I100*Calc_SEC_retirement_rates!$G147</f>
        <v>25.328060088839685</v>
      </c>
      <c r="J168" s="459">
        <f>J100*Calc_SEC_retirement_rates!$G147</f>
        <v>23.923260181099518</v>
      </c>
      <c r="K168" s="459">
        <f>K100*Calc_SEC_retirement_rates!$G147</f>
        <v>22.772892648928682</v>
      </c>
      <c r="L168" s="459">
        <f>L100*Calc_SEC_retirement_rates!$G147</f>
        <v>21.801810263963617</v>
      </c>
      <c r="M168" s="459">
        <f>M100*Calc_SEC_retirement_rates!$G147</f>
        <v>21.048671431661614</v>
      </c>
      <c r="N168" s="459">
        <f>N100*Calc_SEC_retirement_rates!$G147</f>
        <v>20.436474428817434</v>
      </c>
      <c r="O168" s="327"/>
    </row>
    <row r="169" spans="1:15">
      <c r="B169" s="338" t="str">
        <f t="shared" si="56"/>
        <v>60-64</v>
      </c>
      <c r="C169" s="459">
        <f>C101*Calc_SEC_retirement_rates!$G148</f>
        <v>45.51286426634401</v>
      </c>
      <c r="D169" s="459">
        <f>D101*Calc_SEC_retirement_rates!$G148</f>
        <v>39.369432490493573</v>
      </c>
      <c r="E169" s="459">
        <f>E101*Calc_SEC_retirement_rates!$G148</f>
        <v>33.896894036952453</v>
      </c>
      <c r="F169" s="459">
        <f>F101*Calc_SEC_retirement_rates!$G148</f>
        <v>28.785632054339811</v>
      </c>
      <c r="G169" s="459">
        <f>G101*Calc_SEC_retirement_rates!$G148</f>
        <v>24.722493698734976</v>
      </c>
      <c r="H169" s="459">
        <f>H101*Calc_SEC_retirement_rates!$G148</f>
        <v>22.088762783616488</v>
      </c>
      <c r="I169" s="459">
        <f>I101*Calc_SEC_retirement_rates!$G148</f>
        <v>20.20769365634802</v>
      </c>
      <c r="J169" s="459">
        <f>J101*Calc_SEC_retirement_rates!$G148</f>
        <v>18.785037200734394</v>
      </c>
      <c r="K169" s="459">
        <f>K101*Calc_SEC_retirement_rates!$G148</f>
        <v>17.630918241257934</v>
      </c>
      <c r="L169" s="459">
        <f>L101*Calc_SEC_retirement_rates!$G148</f>
        <v>16.665626664311098</v>
      </c>
      <c r="M169" s="459">
        <f>M101*Calc_SEC_retirement_rates!$G148</f>
        <v>15.934157004121625</v>
      </c>
      <c r="N169" s="459">
        <f>N101*Calc_SEC_retirement_rates!$G148</f>
        <v>15.341035804556547</v>
      </c>
      <c r="O169" s="327"/>
    </row>
    <row r="170" spans="1:15">
      <c r="B170" s="338" t="str">
        <f t="shared" si="56"/>
        <v>65 plus</v>
      </c>
      <c r="C170" s="459">
        <f>C102*Calc_SEC_retirement_rates!$G149</f>
        <v>12.801705710358634</v>
      </c>
      <c r="D170" s="459">
        <f>D102*Calc_SEC_retirement_rates!$G149</f>
        <v>12.961692575497279</v>
      </c>
      <c r="E170" s="459">
        <f>E102*Calc_SEC_retirement_rates!$G149</f>
        <v>12.39082151279043</v>
      </c>
      <c r="F170" s="459">
        <f>F102*Calc_SEC_retirement_rates!$G149</f>
        <v>11.131789278824622</v>
      </c>
      <c r="G170" s="459">
        <f>G102*Calc_SEC_retirement_rates!$G149</f>
        <v>9.7735952452612338</v>
      </c>
      <c r="H170" s="459">
        <f>H102*Calc_SEC_retirement_rates!$G149</f>
        <v>8.7456018176108454</v>
      </c>
      <c r="I170" s="459">
        <f>I102*Calc_SEC_retirement_rates!$G149</f>
        <v>7.9375334682390291</v>
      </c>
      <c r="J170" s="459">
        <f>J102*Calc_SEC_retirement_rates!$G149</f>
        <v>7.293444050398695</v>
      </c>
      <c r="K170" s="459">
        <f>K102*Calc_SEC_retirement_rates!$G149</f>
        <v>6.759472419529386</v>
      </c>
      <c r="L170" s="459">
        <f>L102*Calc_SEC_retirement_rates!$G149</f>
        <v>6.3097338469238053</v>
      </c>
      <c r="M170" s="459">
        <f>M102*Calc_SEC_retirement_rates!$G149</f>
        <v>5.9652382420498791</v>
      </c>
      <c r="N170" s="459">
        <f>N102*Calc_SEC_retirement_rates!$G149</f>
        <v>5.6881968367524349</v>
      </c>
      <c r="O170" s="327"/>
    </row>
    <row r="171" spans="1:15">
      <c r="B171" s="338" t="str">
        <f t="shared" si="56"/>
        <v>Total</v>
      </c>
      <c r="C171" s="459">
        <f>SUM(C161:C170)</f>
        <v>121.08392018928797</v>
      </c>
      <c r="D171" s="459">
        <f t="shared" ref="D171:N171" si="58">SUM(D161:D170)</f>
        <v>104.71604268167654</v>
      </c>
      <c r="E171" s="459">
        <f t="shared" si="58"/>
        <v>91.803273621653673</v>
      </c>
      <c r="F171" s="459">
        <f t="shared" si="58"/>
        <v>79.896759745144408</v>
      </c>
      <c r="G171" s="459">
        <f t="shared" si="58"/>
        <v>70.197648088326105</v>
      </c>
      <c r="H171" s="459">
        <f t="shared" si="58"/>
        <v>63.714454513743213</v>
      </c>
      <c r="I171" s="459">
        <f t="shared" si="58"/>
        <v>58.97688532070341</v>
      </c>
      <c r="J171" s="459">
        <f t="shared" si="58"/>
        <v>55.335554063916526</v>
      </c>
      <c r="K171" s="459">
        <f t="shared" si="58"/>
        <v>52.354038102121692</v>
      </c>
      <c r="L171" s="459">
        <f t="shared" si="58"/>
        <v>49.843746808040976</v>
      </c>
      <c r="M171" s="459">
        <f t="shared" si="58"/>
        <v>47.921452299480521</v>
      </c>
      <c r="N171" s="459">
        <f t="shared" si="58"/>
        <v>46.365647127374217</v>
      </c>
      <c r="O171" s="327"/>
    </row>
    <row r="172" spans="1:15">
      <c r="A172" s="309">
        <f>SUM(C172:N172)</f>
        <v>0</v>
      </c>
      <c r="C172" s="309">
        <f>SUM(C161:C170)-C171</f>
        <v>0</v>
      </c>
      <c r="D172" s="309">
        <f t="shared" ref="D172:N172" si="59">SUM(D161:D170)-D171</f>
        <v>0</v>
      </c>
      <c r="E172" s="309">
        <f t="shared" si="59"/>
        <v>0</v>
      </c>
      <c r="F172" s="309">
        <f t="shared" si="59"/>
        <v>0</v>
      </c>
      <c r="G172" s="309">
        <f t="shared" si="59"/>
        <v>0</v>
      </c>
      <c r="H172" s="309">
        <f t="shared" si="59"/>
        <v>0</v>
      </c>
      <c r="I172" s="309">
        <f t="shared" si="59"/>
        <v>0</v>
      </c>
      <c r="J172" s="309">
        <f t="shared" si="59"/>
        <v>0</v>
      </c>
      <c r="K172" s="309">
        <f t="shared" si="59"/>
        <v>0</v>
      </c>
      <c r="L172" s="309">
        <f t="shared" si="59"/>
        <v>0</v>
      </c>
      <c r="M172" s="309">
        <f t="shared" si="59"/>
        <v>0</v>
      </c>
      <c r="N172" s="309">
        <f t="shared" si="59"/>
        <v>0</v>
      </c>
    </row>
    <row r="174" spans="1:15" ht="15.75">
      <c r="B174" s="340" t="s">
        <v>516</v>
      </c>
      <c r="H174" s="325"/>
    </row>
    <row r="175" spans="1:15">
      <c r="H175" s="325"/>
    </row>
    <row r="176" spans="1:15">
      <c r="B176" s="341" t="s">
        <v>49</v>
      </c>
      <c r="H176" s="325"/>
    </row>
    <row r="177" spans="1:15">
      <c r="H177" s="325"/>
    </row>
    <row r="178" spans="1:15">
      <c r="B178" s="338" t="str">
        <f t="shared" ref="B178:B189" si="60">B144</f>
        <v>Age group</v>
      </c>
      <c r="C178" s="338" t="str">
        <f t="shared" ref="C178:N178" si="61">C144</f>
        <v>2016/17</v>
      </c>
      <c r="D178" s="338" t="str">
        <f t="shared" si="61"/>
        <v>2017/18</v>
      </c>
      <c r="E178" s="338" t="str">
        <f t="shared" si="61"/>
        <v>2018/19</v>
      </c>
      <c r="F178" s="338" t="str">
        <f t="shared" si="61"/>
        <v>2019/20</v>
      </c>
      <c r="G178" s="338" t="str">
        <f t="shared" si="61"/>
        <v>2020/21</v>
      </c>
      <c r="H178" s="338" t="str">
        <f t="shared" si="61"/>
        <v>2021/22</v>
      </c>
      <c r="I178" s="338" t="str">
        <f t="shared" si="61"/>
        <v>2022/23</v>
      </c>
      <c r="J178" s="338" t="str">
        <f t="shared" si="61"/>
        <v>2023/24</v>
      </c>
      <c r="K178" s="338" t="str">
        <f t="shared" si="61"/>
        <v>2024/25</v>
      </c>
      <c r="L178" s="338" t="str">
        <f t="shared" si="61"/>
        <v>2025/26</v>
      </c>
      <c r="M178" s="338" t="str">
        <f t="shared" si="61"/>
        <v>2026/27</v>
      </c>
      <c r="N178" s="338" t="str">
        <f t="shared" si="61"/>
        <v>2027/28</v>
      </c>
    </row>
    <row r="179" spans="1:15">
      <c r="B179" s="338" t="str">
        <f t="shared" si="60"/>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c r="O179" s="327"/>
    </row>
    <row r="180" spans="1:15">
      <c r="B180" s="338" t="str">
        <f t="shared" si="60"/>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c r="O180" s="327"/>
    </row>
    <row r="181" spans="1:15">
      <c r="B181" s="338" t="str">
        <f t="shared" si="60"/>
        <v>30-34</v>
      </c>
      <c r="C181" s="459">
        <f>C79*Calc_SEC_death_rates!$G126</f>
        <v>8.9401274251625935E-3</v>
      </c>
      <c r="D181" s="459">
        <f>D79*Calc_SEC_death_rates!$G126</f>
        <v>8.1625537620203144E-3</v>
      </c>
      <c r="E181" s="459">
        <f>E79*Calc_SEC_death_rates!$G126</f>
        <v>7.9007683793484041E-3</v>
      </c>
      <c r="F181" s="459">
        <f>F79*Calc_SEC_death_rates!$G126</f>
        <v>7.5555347310110278E-3</v>
      </c>
      <c r="G181" s="459">
        <f>G79*Calc_SEC_death_rates!$G126</f>
        <v>7.2709965885677389E-3</v>
      </c>
      <c r="H181" s="459">
        <f>H79*Calc_SEC_death_rates!$G126</f>
        <v>7.300816217200184E-3</v>
      </c>
      <c r="I181" s="459">
        <f>I79*Calc_SEC_death_rates!$G126</f>
        <v>7.4641113430488426E-3</v>
      </c>
      <c r="J181" s="459">
        <f>J79*Calc_SEC_death_rates!$G126</f>
        <v>7.6774712286213067E-3</v>
      </c>
      <c r="K181" s="459">
        <f>K79*Calc_SEC_death_rates!$G126</f>
        <v>7.8757024545872498E-3</v>
      </c>
      <c r="L181" s="459">
        <f>L79*Calc_SEC_death_rates!$G126</f>
        <v>8.0313460435220488E-3</v>
      </c>
      <c r="M181" s="459">
        <f>M79*Calc_SEC_death_rates!$G126</f>
        <v>8.180430523156812E-3</v>
      </c>
      <c r="N181" s="459">
        <f>N79*Calc_SEC_death_rates!$G126</f>
        <v>8.3004267735974531E-3</v>
      </c>
      <c r="O181" s="327"/>
    </row>
    <row r="182" spans="1:15">
      <c r="B182" s="338" t="str">
        <f t="shared" si="60"/>
        <v>35-39</v>
      </c>
      <c r="C182" s="459">
        <f>C80*Calc_SEC_death_rates!$G127</f>
        <v>1.4601857724283908E-2</v>
      </c>
      <c r="D182" s="459">
        <f>D80*Calc_SEC_death_rates!$G127</f>
        <v>1.4997597825220683E-2</v>
      </c>
      <c r="E182" s="459">
        <f>E80*Calc_SEC_death_rates!$G127</f>
        <v>1.524526525148772E-2</v>
      </c>
      <c r="F182" s="459">
        <f>F80*Calc_SEC_death_rates!$G127</f>
        <v>1.4954389513486934E-2</v>
      </c>
      <c r="G182" s="459">
        <f>G80*Calc_SEC_death_rates!$G127</f>
        <v>1.4518392131818599E-2</v>
      </c>
      <c r="H182" s="459">
        <f>H80*Calc_SEC_death_rates!$G127</f>
        <v>1.4350648474432031E-2</v>
      </c>
      <c r="I182" s="459">
        <f>I80*Calc_SEC_death_rates!$G127</f>
        <v>1.4300935213965246E-2</v>
      </c>
      <c r="J182" s="459">
        <f>J80*Calc_SEC_death_rates!$G127</f>
        <v>1.4322065399568568E-2</v>
      </c>
      <c r="K182" s="459">
        <f>K80*Calc_SEC_death_rates!$G127</f>
        <v>1.4368065674137138E-2</v>
      </c>
      <c r="L182" s="459">
        <f>L80*Calc_SEC_death_rates!$G127</f>
        <v>1.4419676880906519E-2</v>
      </c>
      <c r="M182" s="459">
        <f>M80*Calc_SEC_death_rates!$G127</f>
        <v>1.4517871314067839E-2</v>
      </c>
      <c r="N182" s="459">
        <f>N80*Calc_SEC_death_rates!$G127</f>
        <v>1.4626454022094766E-2</v>
      </c>
      <c r="O182" s="327"/>
    </row>
    <row r="183" spans="1:15">
      <c r="B183" s="338" t="str">
        <f t="shared" si="60"/>
        <v>40-44</v>
      </c>
      <c r="C183" s="459">
        <f>C81*Calc_SEC_death_rates!$G128</f>
        <v>2.7876374824893763E-2</v>
      </c>
      <c r="D183" s="459">
        <f>D81*Calc_SEC_death_rates!$G128</f>
        <v>2.7148455006888322E-2</v>
      </c>
      <c r="E183" s="459">
        <f>E81*Calc_SEC_death_rates!$G128</f>
        <v>2.7062205882233646E-2</v>
      </c>
      <c r="F183" s="459">
        <f>F81*Calc_SEC_death_rates!$G128</f>
        <v>2.6504221764203841E-2</v>
      </c>
      <c r="G183" s="459">
        <f>G81*Calc_SEC_death_rates!$G128</f>
        <v>2.5841736266588727E-2</v>
      </c>
      <c r="H183" s="459">
        <f>H81*Calc_SEC_death_rates!$G128</f>
        <v>2.5583744583316182E-2</v>
      </c>
      <c r="I183" s="459">
        <f>I81*Calc_SEC_death_rates!$G128</f>
        <v>2.543356306233558E-2</v>
      </c>
      <c r="J183" s="459">
        <f>J81*Calc_SEC_death_rates!$G128</f>
        <v>2.5309283754037164E-2</v>
      </c>
      <c r="K183" s="459">
        <f>K81*Calc_SEC_death_rates!$G128</f>
        <v>2.5160642390978916E-2</v>
      </c>
      <c r="L183" s="459">
        <f>L81*Calc_SEC_death_rates!$G128</f>
        <v>2.4990522651665376E-2</v>
      </c>
      <c r="M183" s="459">
        <f>M81*Calc_SEC_death_rates!$G128</f>
        <v>2.4891094061872655E-2</v>
      </c>
      <c r="N183" s="459">
        <f>N81*Calc_SEC_death_rates!$G128</f>
        <v>2.4826695055416206E-2</v>
      </c>
      <c r="O183" s="327"/>
    </row>
    <row r="184" spans="1:15">
      <c r="B184" s="338" t="str">
        <f t="shared" si="60"/>
        <v>45-49</v>
      </c>
      <c r="C184" s="459">
        <f>C82*Calc_SEC_death_rates!$G129</f>
        <v>2.5834233480744928E-2</v>
      </c>
      <c r="D184" s="459">
        <f>D82*Calc_SEC_death_rates!$G129</f>
        <v>2.5863142855352551E-2</v>
      </c>
      <c r="E184" s="459">
        <f>E82*Calc_SEC_death_rates!$G129</f>
        <v>2.6018748039556099E-2</v>
      </c>
      <c r="F184" s="459">
        <f>F82*Calc_SEC_death_rates!$G129</f>
        <v>2.5616167176886129E-2</v>
      </c>
      <c r="G184" s="459">
        <f>G82*Calc_SEC_death_rates!$G129</f>
        <v>2.5079306389247224E-2</v>
      </c>
      <c r="H184" s="459">
        <f>H82*Calc_SEC_death_rates!$G129</f>
        <v>2.4882880701588762E-2</v>
      </c>
      <c r="I184" s="459">
        <f>I82*Calc_SEC_death_rates!$G129</f>
        <v>2.4772039594730844E-2</v>
      </c>
      <c r="J184" s="459">
        <f>J82*Calc_SEC_death_rates!$G129</f>
        <v>2.4664175096507576E-2</v>
      </c>
      <c r="K184" s="459">
        <f>K82*Calc_SEC_death_rates!$G129</f>
        <v>2.4505168407242574E-2</v>
      </c>
      <c r="L184" s="459">
        <f>L82*Calc_SEC_death_rates!$G129</f>
        <v>2.4293472675139798E-2</v>
      </c>
      <c r="M184" s="459">
        <f>M82*Calc_SEC_death_rates!$G129</f>
        <v>2.4112132683255023E-2</v>
      </c>
      <c r="N184" s="459">
        <f>N82*Calc_SEC_death_rates!$G129</f>
        <v>2.3938389178744506E-2</v>
      </c>
      <c r="O184" s="327"/>
    </row>
    <row r="185" spans="1:15">
      <c r="B185" s="338" t="str">
        <f t="shared" si="60"/>
        <v>50-54</v>
      </c>
      <c r="C185" s="459">
        <f>C83*Calc_SEC_death_rates!$G130</f>
        <v>4.4475539153104968E-2</v>
      </c>
      <c r="D185" s="459">
        <f>D83*Calc_SEC_death_rates!$G130</f>
        <v>4.2949342097407833E-2</v>
      </c>
      <c r="E185" s="459">
        <f>E83*Calc_SEC_death_rates!$G130</f>
        <v>4.2282203011012119E-2</v>
      </c>
      <c r="F185" s="459">
        <f>F83*Calc_SEC_death_rates!$G130</f>
        <v>4.11285585155634E-2</v>
      </c>
      <c r="G185" s="459">
        <f>G83*Calc_SEC_death_rates!$G130</f>
        <v>3.9970591434073069E-2</v>
      </c>
      <c r="H185" s="459">
        <f>H83*Calc_SEC_death_rates!$G130</f>
        <v>3.9436921096333538E-2</v>
      </c>
      <c r="I185" s="459">
        <f>I83*Calc_SEC_death_rates!$G130</f>
        <v>3.9110599300920409E-2</v>
      </c>
      <c r="J185" s="459">
        <f>J83*Calc_SEC_death_rates!$G130</f>
        <v>3.8843280133251092E-2</v>
      </c>
      <c r="K185" s="459">
        <f>K83*Calc_SEC_death_rates!$G130</f>
        <v>3.8533150643067018E-2</v>
      </c>
      <c r="L185" s="459">
        <f>L83*Calc_SEC_death_rates!$G130</f>
        <v>3.8159046477983599E-2</v>
      </c>
      <c r="M185" s="459">
        <f>M83*Calc_SEC_death_rates!$G130</f>
        <v>3.782818642482251E-2</v>
      </c>
      <c r="N185" s="459">
        <f>N83*Calc_SEC_death_rates!$G130</f>
        <v>3.7496826920409621E-2</v>
      </c>
      <c r="O185" s="327"/>
    </row>
    <row r="186" spans="1:15">
      <c r="B186" s="338" t="str">
        <f t="shared" si="60"/>
        <v>55-59</v>
      </c>
      <c r="C186" s="459">
        <f>C84*Calc_SEC_death_rates!$G131</f>
        <v>1.7007868968509081E-2</v>
      </c>
      <c r="D186" s="459">
        <f>D84*Calc_SEC_death_rates!$G131</f>
        <v>1.8403029039239127E-2</v>
      </c>
      <c r="E186" s="459">
        <f>E84*Calc_SEC_death_rates!$G131</f>
        <v>1.9240568308845584E-2</v>
      </c>
      <c r="F186" s="459">
        <f>F84*Calc_SEC_death_rates!$G131</f>
        <v>1.9170422265794507E-2</v>
      </c>
      <c r="G186" s="459">
        <f>G84*Calc_SEC_death_rates!$G131</f>
        <v>1.8824820184245371E-2</v>
      </c>
      <c r="H186" s="459">
        <f>H84*Calc_SEC_death_rates!$G131</f>
        <v>1.8737860408935155E-2</v>
      </c>
      <c r="I186" s="459">
        <f>I84*Calc_SEC_death_rates!$G131</f>
        <v>1.8678843190992601E-2</v>
      </c>
      <c r="J186" s="459">
        <f>J84*Calc_SEC_death_rates!$G131</f>
        <v>1.8594831238405666E-2</v>
      </c>
      <c r="K186" s="459">
        <f>K84*Calc_SEC_death_rates!$G131</f>
        <v>1.8451782645071114E-2</v>
      </c>
      <c r="L186" s="459">
        <f>L84*Calc_SEC_death_rates!$G131</f>
        <v>1.8257550983023008E-2</v>
      </c>
      <c r="M186" s="459">
        <f>M84*Calc_SEC_death_rates!$G131</f>
        <v>1.8090175241773577E-2</v>
      </c>
      <c r="N186" s="459">
        <f>N84*Calc_SEC_death_rates!$G131</f>
        <v>1.7919208151498285E-2</v>
      </c>
      <c r="O186" s="327"/>
    </row>
    <row r="187" spans="1:15">
      <c r="B187" s="338" t="str">
        <f t="shared" si="60"/>
        <v>60-64</v>
      </c>
      <c r="C187" s="459">
        <f>C85*Calc_SEC_death_rates!$G132</f>
        <v>1.8319670187366525E-2</v>
      </c>
      <c r="D187" s="459">
        <f>D85*Calc_SEC_death_rates!$G132</f>
        <v>1.5218603731678541E-2</v>
      </c>
      <c r="E187" s="459">
        <f>E85*Calc_SEC_death_rates!$G132</f>
        <v>1.4422100805331798E-2</v>
      </c>
      <c r="F187" s="459">
        <f>F85*Calc_SEC_death_rates!$G132</f>
        <v>1.3787065100987688E-2</v>
      </c>
      <c r="G187" s="459">
        <f>G85*Calc_SEC_death_rates!$G132</f>
        <v>1.333012331146863E-2</v>
      </c>
      <c r="H187" s="459">
        <f>H85*Calc_SEC_death_rates!$G132</f>
        <v>1.3338371523662287E-2</v>
      </c>
      <c r="I187" s="459">
        <f>I85*Calc_SEC_death_rates!$G132</f>
        <v>1.340169712902721E-2</v>
      </c>
      <c r="J187" s="459">
        <f>J85*Calc_SEC_death_rates!$G132</f>
        <v>1.341814194678019E-2</v>
      </c>
      <c r="K187" s="459">
        <f>K85*Calc_SEC_death_rates!$G132</f>
        <v>1.3345831165434112E-2</v>
      </c>
      <c r="L187" s="459">
        <f>L85*Calc_SEC_death_rates!$G132</f>
        <v>1.3202886834659238E-2</v>
      </c>
      <c r="M187" s="459">
        <f>M85*Calc_SEC_death_rates!$G132</f>
        <v>1.3084317410460858E-2</v>
      </c>
      <c r="N187" s="459">
        <f>N85*Calc_SEC_death_rates!$G132</f>
        <v>1.2956627971535236E-2</v>
      </c>
      <c r="O187" s="327"/>
    </row>
    <row r="188" spans="1:15">
      <c r="B188" s="338" t="str">
        <f t="shared" si="60"/>
        <v>65 plus</v>
      </c>
      <c r="C188" s="459">
        <f>C86*Calc_SEC_death_rates!$G133</f>
        <v>6.1620996901959532E-2</v>
      </c>
      <c r="D188" s="459">
        <f>D86*Calc_SEC_death_rates!$G133</f>
        <v>4.1886393533526668E-2</v>
      </c>
      <c r="E188" s="459">
        <f>E86*Calc_SEC_death_rates!$G133</f>
        <v>3.0404966874619695E-2</v>
      </c>
      <c r="F188" s="459">
        <f>F86*Calc_SEC_death_rates!$G133</f>
        <v>2.3312576454728638E-2</v>
      </c>
      <c r="G188" s="459">
        <f>G86*Calc_SEC_death_rates!$G133</f>
        <v>1.9094150325724642E-2</v>
      </c>
      <c r="H188" s="459">
        <f>H86*Calc_SEC_death_rates!$G133</f>
        <v>1.7051320000580909E-2</v>
      </c>
      <c r="I188" s="459">
        <f>I86*Calc_SEC_death_rates!$G133</f>
        <v>1.6060601483646065E-2</v>
      </c>
      <c r="J188" s="459">
        <f>J86*Calc_SEC_death_rates!$G133</f>
        <v>1.5557460993615803E-2</v>
      </c>
      <c r="K188" s="459">
        <f>K86*Calc_SEC_death_rates!$G133</f>
        <v>1.5226587087440834E-2</v>
      </c>
      <c r="L188" s="459">
        <f>L86*Calc_SEC_death_rates!$G133</f>
        <v>1.4941040693608533E-2</v>
      </c>
      <c r="M188" s="459">
        <f>M86*Calc_SEC_death_rates!$G133</f>
        <v>1.4741735989457442E-2</v>
      </c>
      <c r="N188" s="459">
        <f>N86*Calc_SEC_death_rates!$G133</f>
        <v>1.4563212850653965E-2</v>
      </c>
      <c r="O188" s="327"/>
    </row>
    <row r="189" spans="1:15">
      <c r="B189" s="338" t="str">
        <f t="shared" si="60"/>
        <v>Total</v>
      </c>
      <c r="C189" s="459">
        <f>SUM(C179:C188)</f>
        <v>0.21867666866602531</v>
      </c>
      <c r="D189" s="459">
        <f t="shared" ref="D189:N189" si="62">SUM(D179:D188)</f>
        <v>0.19462911785133405</v>
      </c>
      <c r="E189" s="459">
        <f t="shared" si="62"/>
        <v>0.18257682655243504</v>
      </c>
      <c r="F189" s="459">
        <f t="shared" si="62"/>
        <v>0.17202893552266216</v>
      </c>
      <c r="G189" s="459">
        <f t="shared" si="62"/>
        <v>0.16393011663173401</v>
      </c>
      <c r="H189" s="459">
        <f t="shared" si="62"/>
        <v>0.16068256300604905</v>
      </c>
      <c r="I189" s="459">
        <f t="shared" si="62"/>
        <v>0.15922239031866681</v>
      </c>
      <c r="J189" s="459">
        <f t="shared" si="62"/>
        <v>0.15838670979078737</v>
      </c>
      <c r="K189" s="459">
        <f t="shared" si="62"/>
        <v>0.15746693046795898</v>
      </c>
      <c r="L189" s="459">
        <f t="shared" si="62"/>
        <v>0.15629554324050809</v>
      </c>
      <c r="M189" s="459">
        <f t="shared" si="62"/>
        <v>0.15544594364886671</v>
      </c>
      <c r="N189" s="459">
        <f t="shared" si="62"/>
        <v>0.15462784092395004</v>
      </c>
      <c r="O189" s="327"/>
    </row>
    <row r="190" spans="1:15">
      <c r="A190" s="309">
        <f>SUM(C190:N190)</f>
        <v>0</v>
      </c>
      <c r="C190" s="309">
        <f>SUM(C179:C188)-C189</f>
        <v>0</v>
      </c>
      <c r="D190" s="309">
        <f t="shared" ref="D190:N190" si="63">SUM(D179:D188)-D189</f>
        <v>0</v>
      </c>
      <c r="E190" s="309">
        <f t="shared" si="63"/>
        <v>0</v>
      </c>
      <c r="F190" s="309">
        <f t="shared" si="63"/>
        <v>0</v>
      </c>
      <c r="G190" s="309">
        <f t="shared" si="63"/>
        <v>0</v>
      </c>
      <c r="H190" s="309">
        <f t="shared" si="63"/>
        <v>0</v>
      </c>
      <c r="I190" s="309">
        <f t="shared" si="63"/>
        <v>0</v>
      </c>
      <c r="J190" s="309">
        <f t="shared" si="63"/>
        <v>0</v>
      </c>
      <c r="K190" s="309">
        <f t="shared" si="63"/>
        <v>0</v>
      </c>
      <c r="L190" s="309">
        <f t="shared" si="63"/>
        <v>0</v>
      </c>
      <c r="M190" s="309">
        <f t="shared" si="63"/>
        <v>0</v>
      </c>
      <c r="N190" s="309">
        <f t="shared" si="63"/>
        <v>0</v>
      </c>
    </row>
    <row r="192" spans="1:15">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4">B178</f>
        <v>Age group</v>
      </c>
      <c r="C194" s="338" t="str">
        <f t="shared" ref="C194:N194" si="65">C178</f>
        <v>2016/17</v>
      </c>
      <c r="D194" s="338" t="str">
        <f t="shared" si="65"/>
        <v>2017/18</v>
      </c>
      <c r="E194" s="338" t="str">
        <f t="shared" si="65"/>
        <v>2018/19</v>
      </c>
      <c r="F194" s="338" t="str">
        <f t="shared" si="65"/>
        <v>2019/20</v>
      </c>
      <c r="G194" s="338" t="str">
        <f t="shared" si="65"/>
        <v>2020/21</v>
      </c>
      <c r="H194" s="338" t="str">
        <f t="shared" si="65"/>
        <v>2021/22</v>
      </c>
      <c r="I194" s="338" t="str">
        <f t="shared" si="65"/>
        <v>2022/23</v>
      </c>
      <c r="J194" s="338" t="str">
        <f t="shared" si="65"/>
        <v>2023/24</v>
      </c>
      <c r="K194" s="338" t="str">
        <f t="shared" si="65"/>
        <v>2024/25</v>
      </c>
      <c r="L194" s="338" t="str">
        <f t="shared" si="65"/>
        <v>2025/26</v>
      </c>
      <c r="M194" s="338" t="str">
        <f t="shared" si="65"/>
        <v>2026/27</v>
      </c>
      <c r="N194" s="338" t="str">
        <f t="shared" si="65"/>
        <v>2027/28</v>
      </c>
    </row>
    <row r="195" spans="1:14">
      <c r="B195" s="338" t="str">
        <f t="shared" si="64"/>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4"/>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4"/>
        <v>30-34</v>
      </c>
      <c r="C197" s="459">
        <f>C95*Calc_SEC_death_rates!$G142</f>
        <v>1.4279775394434601E-2</v>
      </c>
      <c r="D197" s="459">
        <f>D95*Calc_SEC_death_rates!$G142</f>
        <v>1.4883226231968711E-2</v>
      </c>
      <c r="E197" s="459">
        <f>E95*Calc_SEC_death_rates!$G142</f>
        <v>1.5973895408583117E-2</v>
      </c>
      <c r="F197" s="459">
        <f>F95*Calc_SEC_death_rates!$G142</f>
        <v>1.6235854928230938E-2</v>
      </c>
      <c r="G197" s="459">
        <f>G95*Calc_SEC_death_rates!$G142</f>
        <v>1.6257113358724758E-2</v>
      </c>
      <c r="H197" s="459">
        <f>H95*Calc_SEC_death_rates!$G142</f>
        <v>1.6839311584585216E-2</v>
      </c>
      <c r="I197" s="459">
        <f>I95*Calc_SEC_death_rates!$G142</f>
        <v>1.7581555019037954E-2</v>
      </c>
      <c r="J197" s="459">
        <f>J95*Calc_SEC_death_rates!$G142</f>
        <v>1.8322751468017987E-2</v>
      </c>
      <c r="K197" s="459">
        <f>K95*Calc_SEC_death_rates!$G142</f>
        <v>1.8934594009483923E-2</v>
      </c>
      <c r="L197" s="459">
        <f>L95*Calc_SEC_death_rates!$G142</f>
        <v>1.937737514142876E-2</v>
      </c>
      <c r="M197" s="459">
        <f>M95*Calc_SEC_death_rates!$G142</f>
        <v>1.9769376001281144E-2</v>
      </c>
      <c r="N197" s="459">
        <f>N95*Calc_SEC_death_rates!$G142</f>
        <v>2.0064993308090195E-2</v>
      </c>
    </row>
    <row r="198" spans="1:14">
      <c r="B198" s="338" t="str">
        <f t="shared" si="64"/>
        <v>35-39</v>
      </c>
      <c r="C198" s="459">
        <f>C96*Calc_SEC_death_rates!$G143</f>
        <v>5.612296998716438E-2</v>
      </c>
      <c r="D198" s="459">
        <f>D96*Calc_SEC_death_rates!$G143</f>
        <v>5.685313369288679E-2</v>
      </c>
      <c r="E198" s="459">
        <f>E96*Calc_SEC_death_rates!$G143</f>
        <v>5.9008307580859572E-2</v>
      </c>
      <c r="F198" s="459">
        <f>F96*Calc_SEC_death_rates!$G143</f>
        <v>5.9209170498869437E-2</v>
      </c>
      <c r="G198" s="459">
        <f>G96*Calc_SEC_death_rates!$G143</f>
        <v>5.8983764885410538E-2</v>
      </c>
      <c r="H198" s="459">
        <f>H96*Calc_SEC_death_rates!$G143</f>
        <v>6.0251719400775561E-2</v>
      </c>
      <c r="I198" s="459">
        <f>I96*Calc_SEC_death_rates!$G143</f>
        <v>6.1956662016203701E-2</v>
      </c>
      <c r="J198" s="459">
        <f>J96*Calc_SEC_death_rates!$G143</f>
        <v>6.3745256365131245E-2</v>
      </c>
      <c r="K198" s="459">
        <f>K96*Calc_SEC_death_rates!$G143</f>
        <v>6.534365650579152E-2</v>
      </c>
      <c r="L198" s="459">
        <f>L96*Calc_SEC_death_rates!$G143</f>
        <v>6.6668048515676842E-2</v>
      </c>
      <c r="M198" s="459">
        <f>M96*Calc_SEC_death_rates!$G143</f>
        <v>6.7987961582649664E-2</v>
      </c>
      <c r="N198" s="459">
        <f>N96*Calc_SEC_death_rates!$G143</f>
        <v>6.9145507693601213E-2</v>
      </c>
    </row>
    <row r="199" spans="1:14">
      <c r="B199" s="338" t="str">
        <f t="shared" si="64"/>
        <v>40-44</v>
      </c>
      <c r="C199" s="459">
        <f>C97*Calc_SEC_death_rates!$G144</f>
        <v>7.3898289373140774E-2</v>
      </c>
      <c r="D199" s="459">
        <f>D97*Calc_SEC_death_rates!$G144</f>
        <v>7.1359464098230532E-2</v>
      </c>
      <c r="E199" s="459">
        <f>E97*Calc_SEC_death_rates!$G144</f>
        <v>7.0749485583641344E-2</v>
      </c>
      <c r="F199" s="459">
        <f>F97*Calc_SEC_death_rates!$G144</f>
        <v>6.8745351526634427E-2</v>
      </c>
      <c r="G199" s="459">
        <f>G97*Calc_SEC_death_rates!$G144</f>
        <v>6.678907104515408E-2</v>
      </c>
      <c r="H199" s="459">
        <f>H97*Calc_SEC_death_rates!$G144</f>
        <v>6.6619130267003432E-2</v>
      </c>
      <c r="I199" s="459">
        <f>I97*Calc_SEC_death_rates!$G144</f>
        <v>6.7095663391383717E-2</v>
      </c>
      <c r="J199" s="459">
        <f>J97*Calc_SEC_death_rates!$G144</f>
        <v>6.7814242624380822E-2</v>
      </c>
      <c r="K199" s="459">
        <f>K97*Calc_SEC_death_rates!$G144</f>
        <v>6.8495118394706608E-2</v>
      </c>
      <c r="L199" s="459">
        <f>L97*Calc_SEC_death_rates!$G144</f>
        <v>6.9068179944772295E-2</v>
      </c>
      <c r="M199" s="459">
        <f>M97*Calc_SEC_death_rates!$G144</f>
        <v>6.9798547855012064E-2</v>
      </c>
      <c r="N199" s="459">
        <f>N97*Calc_SEC_death_rates!$G144</f>
        <v>7.0529071134547039E-2</v>
      </c>
    </row>
    <row r="200" spans="1:14">
      <c r="B200" s="338" t="str">
        <f t="shared" si="64"/>
        <v>45-49</v>
      </c>
      <c r="C200" s="459">
        <f>C98*Calc_SEC_death_rates!$G145</f>
        <v>0.12541165228314913</v>
      </c>
      <c r="D200" s="459">
        <f>D98*Calc_SEC_death_rates!$G145</f>
        <v>0.11848875105792597</v>
      </c>
      <c r="E200" s="459">
        <f>E98*Calc_SEC_death_rates!$G145</f>
        <v>0.11404035587173293</v>
      </c>
      <c r="F200" s="459">
        <f>F98*Calc_SEC_death_rates!$G145</f>
        <v>0.1082148458083701</v>
      </c>
      <c r="G200" s="459">
        <f>G98*Calc_SEC_death_rates!$G145</f>
        <v>0.10276835434761912</v>
      </c>
      <c r="H200" s="459">
        <f>H98*Calc_SEC_death_rates!$G145</f>
        <v>9.9811535564590201E-2</v>
      </c>
      <c r="I200" s="459">
        <f>I98*Calc_SEC_death_rates!$G145</f>
        <v>9.7997791952900593E-2</v>
      </c>
      <c r="J200" s="459">
        <f>J98*Calc_SEC_death_rates!$G145</f>
        <v>9.6810916592882559E-2</v>
      </c>
      <c r="K200" s="459">
        <f>K98*Calc_SEC_death_rates!$G145</f>
        <v>9.5871351910402511E-2</v>
      </c>
      <c r="L200" s="459">
        <f>L98*Calc_SEC_death_rates!$G145</f>
        <v>9.5054766898122534E-2</v>
      </c>
      <c r="M200" s="459">
        <f>M98*Calc_SEC_death_rates!$G145</f>
        <v>9.4650139761783117E-2</v>
      </c>
      <c r="N200" s="459">
        <f>N98*Calc_SEC_death_rates!$G145</f>
        <v>9.4453594637336505E-2</v>
      </c>
    </row>
    <row r="201" spans="1:14">
      <c r="B201" s="338" t="str">
        <f t="shared" si="64"/>
        <v>50-54</v>
      </c>
      <c r="C201" s="459">
        <f>C99*Calc_SEC_death_rates!$G146</f>
        <v>0.1785608204245783</v>
      </c>
      <c r="D201" s="459">
        <f>D99*Calc_SEC_death_rates!$G146</f>
        <v>0.16384954401586166</v>
      </c>
      <c r="E201" s="459">
        <f>E99*Calc_SEC_death_rates!$G146</f>
        <v>0.15303130860325276</v>
      </c>
      <c r="F201" s="459">
        <f>F99*Calc_SEC_death_rates!$G146</f>
        <v>0.14186658117866599</v>
      </c>
      <c r="G201" s="459">
        <f>G99*Calc_SEC_death_rates!$G146</f>
        <v>0.13188686320993964</v>
      </c>
      <c r="H201" s="459">
        <f>H99*Calc_SEC_death_rates!$G146</f>
        <v>0.12503932158248418</v>
      </c>
      <c r="I201" s="459">
        <f>I99*Calc_SEC_death_rates!$G146</f>
        <v>0.11985592703216938</v>
      </c>
      <c r="J201" s="459">
        <f>J99*Calc_SEC_death_rates!$G146</f>
        <v>0.1157463219583328</v>
      </c>
      <c r="K201" s="459">
        <f>K99*Calc_SEC_death_rates!$G146</f>
        <v>0.11227413179904873</v>
      </c>
      <c r="L201" s="459">
        <f>L99*Calc_SEC_death_rates!$G146</f>
        <v>0.10926679755376137</v>
      </c>
      <c r="M201" s="459">
        <f>M99*Calc_SEC_death_rates!$G146</f>
        <v>0.1069705463382582</v>
      </c>
      <c r="N201" s="459">
        <f>N99*Calc_SEC_death_rates!$G146</f>
        <v>0.10514305878673888</v>
      </c>
    </row>
    <row r="202" spans="1:14">
      <c r="B202" s="338" t="str">
        <f t="shared" si="64"/>
        <v>55-59</v>
      </c>
      <c r="C202" s="459">
        <f>C100*Calc_SEC_death_rates!$G147</f>
        <v>0.44402525656973096</v>
      </c>
      <c r="D202" s="459">
        <f>D100*Calc_SEC_death_rates!$G147</f>
        <v>0.36494961112613983</v>
      </c>
      <c r="E202" s="459">
        <f>E100*Calc_SEC_death_rates!$G147</f>
        <v>0.31296190445317501</v>
      </c>
      <c r="F202" s="459">
        <f>F100*Calc_SEC_death_rates!$G147</f>
        <v>0.27198841853273942</v>
      </c>
      <c r="G202" s="459">
        <f>G100*Calc_SEC_death_rates!$G147</f>
        <v>0.24082009273671584</v>
      </c>
      <c r="H202" s="459">
        <f>H100*Calc_SEC_death_rates!$G147</f>
        <v>0.2202985375981317</v>
      </c>
      <c r="I202" s="459">
        <f>I100*Calc_SEC_death_rates!$G147</f>
        <v>0.20544216866677098</v>
      </c>
      <c r="J202" s="459">
        <f>J100*Calc_SEC_death_rates!$G147</f>
        <v>0.19404748867245955</v>
      </c>
      <c r="K202" s="459">
        <f>K100*Calc_SEC_death_rates!$G147</f>
        <v>0.18471657269452588</v>
      </c>
      <c r="L202" s="459">
        <f>L100*Calc_SEC_death_rates!$G147</f>
        <v>0.17683988295115191</v>
      </c>
      <c r="M202" s="459">
        <f>M100*Calc_SEC_death_rates!$G147</f>
        <v>0.17073098734396483</v>
      </c>
      <c r="N202" s="459">
        <f>N100*Calc_SEC_death_rates!$G147</f>
        <v>0.16576530582416205</v>
      </c>
    </row>
    <row r="203" spans="1:14">
      <c r="B203" s="338" t="str">
        <f t="shared" si="64"/>
        <v>60-64</v>
      </c>
      <c r="C203" s="459">
        <f>C101*Calc_SEC_death_rates!$G148</f>
        <v>0.27127795434314705</v>
      </c>
      <c r="D203" s="459">
        <f>D101*Calc_SEC_death_rates!$G148</f>
        <v>0.23466022808785181</v>
      </c>
      <c r="E203" s="459">
        <f>E101*Calc_SEC_death_rates!$G148</f>
        <v>0.20204133976535471</v>
      </c>
      <c r="F203" s="459">
        <f>F101*Calc_SEC_death_rates!$G148</f>
        <v>0.17157582815437916</v>
      </c>
      <c r="G203" s="459">
        <f>G101*Calc_SEC_death_rates!$G148</f>
        <v>0.14735762349753131</v>
      </c>
      <c r="H203" s="459">
        <f>H101*Calc_SEC_death_rates!$G148</f>
        <v>0.13165935562402398</v>
      </c>
      <c r="I203" s="459">
        <f>I101*Calc_SEC_death_rates!$G148</f>
        <v>0.12044730397556749</v>
      </c>
      <c r="J203" s="459">
        <f>J101*Calc_SEC_death_rates!$G148</f>
        <v>0.11196760621905144</v>
      </c>
      <c r="K203" s="459">
        <f>K101*Calc_SEC_death_rates!$G148</f>
        <v>0.10508851751649886</v>
      </c>
      <c r="L203" s="459">
        <f>L101*Calc_SEC_death_rates!$G148</f>
        <v>9.9334928315731943E-2</v>
      </c>
      <c r="M203" s="459">
        <f>M101*Calc_SEC_death_rates!$G148</f>
        <v>9.4975027081675489E-2</v>
      </c>
      <c r="N203" s="459">
        <f>N101*Calc_SEC_death_rates!$G148</f>
        <v>9.14397473692415E-2</v>
      </c>
    </row>
    <row r="204" spans="1:14">
      <c r="B204" s="338" t="str">
        <f t="shared" si="64"/>
        <v>65 plus</v>
      </c>
      <c r="C204" s="459">
        <f>C102*Calc_SEC_death_rates!$G149</f>
        <v>0.41220364722155217</v>
      </c>
      <c r="D204" s="459">
        <f>D102*Calc_SEC_death_rates!$G149</f>
        <v>0.41735508335121813</v>
      </c>
      <c r="E204" s="459">
        <f>E102*Calc_SEC_death_rates!$G149</f>
        <v>0.39897353799585195</v>
      </c>
      <c r="F204" s="459">
        <f>F102*Calc_SEC_death_rates!$G149</f>
        <v>0.35843380910720329</v>
      </c>
      <c r="G204" s="459">
        <f>G102*Calc_SEC_death_rates!$G149</f>
        <v>0.3147011576202714</v>
      </c>
      <c r="H204" s="459">
        <f>H102*Calc_SEC_death_rates!$G149</f>
        <v>0.28160067477958256</v>
      </c>
      <c r="I204" s="459">
        <f>I102*Calc_SEC_death_rates!$G149</f>
        <v>0.25558158573382828</v>
      </c>
      <c r="J204" s="459">
        <f>J102*Calc_SEC_death_rates!$G149</f>
        <v>0.23484247383909354</v>
      </c>
      <c r="K204" s="459">
        <f>K102*Calc_SEC_death_rates!$G149</f>
        <v>0.21764905768525486</v>
      </c>
      <c r="L204" s="459">
        <f>L102*Calc_SEC_death_rates!$G149</f>
        <v>0.20316787180904541</v>
      </c>
      <c r="M204" s="459">
        <f>M102*Calc_SEC_death_rates!$G149</f>
        <v>0.19207541678831139</v>
      </c>
      <c r="N204" s="459">
        <f>N102*Calc_SEC_death_rates!$G149</f>
        <v>0.18315492757548821</v>
      </c>
    </row>
    <row r="205" spans="1:14">
      <c r="B205" s="338" t="str">
        <f t="shared" si="64"/>
        <v>Total</v>
      </c>
      <c r="C205" s="459">
        <f>SUM(C195:C204)</f>
        <v>1.5757803655968976</v>
      </c>
      <c r="D205" s="459">
        <f t="shared" ref="D205:N205" si="66">SUM(D195:D204)</f>
        <v>1.4423990416620833</v>
      </c>
      <c r="E205" s="459">
        <f t="shared" si="66"/>
        <v>1.3267801352624513</v>
      </c>
      <c r="F205" s="459">
        <f t="shared" si="66"/>
        <v>1.1962698597350927</v>
      </c>
      <c r="G205" s="459">
        <f t="shared" si="66"/>
        <v>1.0795640407013667</v>
      </c>
      <c r="H205" s="459">
        <f t="shared" si="66"/>
        <v>1.0021195864011767</v>
      </c>
      <c r="I205" s="459">
        <f t="shared" si="66"/>
        <v>0.94595865778786203</v>
      </c>
      <c r="J205" s="459">
        <f t="shared" si="66"/>
        <v>0.90329705773934987</v>
      </c>
      <c r="K205" s="459">
        <f t="shared" si="66"/>
        <v>0.86837300051571287</v>
      </c>
      <c r="L205" s="459">
        <f t="shared" si="66"/>
        <v>0.83877785112969105</v>
      </c>
      <c r="M205" s="459">
        <f t="shared" si="66"/>
        <v>0.81695800275293595</v>
      </c>
      <c r="N205" s="459">
        <f t="shared" si="66"/>
        <v>0.79969620632920568</v>
      </c>
    </row>
    <row r="206" spans="1:14">
      <c r="A206" s="309">
        <f>SUM(C206:N206)</f>
        <v>0</v>
      </c>
      <c r="C206" s="309">
        <f>SUM(C195:C204)-C205</f>
        <v>0</v>
      </c>
      <c r="D206" s="309">
        <f t="shared" ref="D206:N206" si="67">SUM(D195:D204)-D205</f>
        <v>0</v>
      </c>
      <c r="E206" s="309">
        <f t="shared" si="67"/>
        <v>0</v>
      </c>
      <c r="F206" s="309">
        <f t="shared" si="67"/>
        <v>0</v>
      </c>
      <c r="G206" s="309">
        <f t="shared" si="67"/>
        <v>0</v>
      </c>
      <c r="H206" s="309">
        <f t="shared" si="67"/>
        <v>0</v>
      </c>
      <c r="I206" s="309">
        <f t="shared" si="67"/>
        <v>0</v>
      </c>
      <c r="J206" s="309">
        <f t="shared" si="67"/>
        <v>0</v>
      </c>
      <c r="K206" s="309">
        <f t="shared" si="67"/>
        <v>0</v>
      </c>
      <c r="L206" s="309">
        <f t="shared" si="67"/>
        <v>0</v>
      </c>
      <c r="M206" s="309">
        <f t="shared" si="67"/>
        <v>0</v>
      </c>
      <c r="N206" s="309">
        <f t="shared" si="67"/>
        <v>0</v>
      </c>
    </row>
    <row r="208" spans="1:14" ht="15.75">
      <c r="B208" s="340" t="s">
        <v>153</v>
      </c>
      <c r="C208" s="329"/>
      <c r="D208" s="329"/>
      <c r="E208" s="329"/>
      <c r="F208" s="329"/>
      <c r="G208" s="329"/>
      <c r="H208" s="339"/>
      <c r="I208" s="329"/>
      <c r="J208" s="329"/>
      <c r="K208" s="329"/>
      <c r="L208" s="329"/>
    </row>
    <row r="209" spans="1:19">
      <c r="C209" s="329"/>
      <c r="D209" s="329"/>
      <c r="E209" s="329"/>
      <c r="F209" s="329"/>
      <c r="G209" s="329"/>
      <c r="H209" s="339"/>
      <c r="I209" s="329"/>
      <c r="J209" s="329"/>
      <c r="K209" s="329"/>
      <c r="L209" s="329"/>
    </row>
    <row r="210" spans="1:19">
      <c r="B210" s="341" t="s">
        <v>49</v>
      </c>
      <c r="C210" s="329"/>
      <c r="D210" s="329"/>
      <c r="E210" s="329"/>
      <c r="F210" s="329"/>
      <c r="G210" s="329"/>
      <c r="H210" s="339"/>
      <c r="I210" s="329"/>
      <c r="J210" s="329"/>
      <c r="K210" s="329"/>
      <c r="L210" s="329"/>
    </row>
    <row r="211" spans="1:19">
      <c r="C211" s="329"/>
      <c r="D211" s="329"/>
      <c r="E211" s="329"/>
      <c r="F211" s="329"/>
      <c r="G211" s="329"/>
      <c r="H211" s="339"/>
      <c r="I211" s="329"/>
      <c r="J211" s="329"/>
      <c r="K211" s="329"/>
      <c r="L211" s="329"/>
    </row>
    <row r="212" spans="1:19">
      <c r="B212" s="338" t="str">
        <f t="shared" ref="B212:B223" si="68">B178</f>
        <v>Age group</v>
      </c>
      <c r="C212" s="338" t="str">
        <f t="shared" ref="C212:N212" si="69">C178</f>
        <v>2016/17</v>
      </c>
      <c r="D212" s="338" t="str">
        <f t="shared" si="69"/>
        <v>2017/18</v>
      </c>
      <c r="E212" s="338" t="str">
        <f t="shared" si="69"/>
        <v>2018/19</v>
      </c>
      <c r="F212" s="338" t="str">
        <f t="shared" si="69"/>
        <v>2019/20</v>
      </c>
      <c r="G212" s="338" t="str">
        <f t="shared" si="69"/>
        <v>2020/21</v>
      </c>
      <c r="H212" s="338" t="str">
        <f t="shared" si="69"/>
        <v>2021/22</v>
      </c>
      <c r="I212" s="338" t="str">
        <f t="shared" si="69"/>
        <v>2022/23</v>
      </c>
      <c r="J212" s="338" t="str">
        <f t="shared" si="69"/>
        <v>2023/24</v>
      </c>
      <c r="K212" s="338" t="str">
        <f t="shared" si="69"/>
        <v>2024/25</v>
      </c>
      <c r="L212" s="338" t="str">
        <f t="shared" si="69"/>
        <v>2025/26</v>
      </c>
      <c r="M212" s="338" t="str">
        <f t="shared" si="69"/>
        <v>2026/27</v>
      </c>
      <c r="N212" s="338" t="str">
        <f t="shared" si="69"/>
        <v>2027/28</v>
      </c>
    </row>
    <row r="213" spans="1:19">
      <c r="B213" s="338" t="str">
        <f t="shared" si="68"/>
        <v>20-24</v>
      </c>
      <c r="C213" s="459">
        <f t="shared" ref="C213:C222" si="70">C111+C145+C179</f>
        <v>0.45763375551663349</v>
      </c>
      <c r="D213" s="459">
        <f t="shared" ref="D213:N213" si="71">D111+D145+D179</f>
        <v>0.84973871015715707</v>
      </c>
      <c r="E213" s="459">
        <f t="shared" si="71"/>
        <v>1.2415737165713387</v>
      </c>
      <c r="F213" s="459">
        <f t="shared" si="71"/>
        <v>1.3194441462489193</v>
      </c>
      <c r="G213" s="459">
        <f t="shared" si="71"/>
        <v>1.32276193428063</v>
      </c>
      <c r="H213" s="459">
        <f t="shared" si="71"/>
        <v>1.4582983125031477</v>
      </c>
      <c r="I213" s="459">
        <f t="shared" si="71"/>
        <v>1.5892024638613229</v>
      </c>
      <c r="J213" s="459">
        <f t="shared" si="71"/>
        <v>1.6839817079164145</v>
      </c>
      <c r="K213" s="459">
        <f t="shared" si="71"/>
        <v>1.7294462080252555</v>
      </c>
      <c r="L213" s="459">
        <f t="shared" si="71"/>
        <v>1.7356509409501724</v>
      </c>
      <c r="M213" s="459">
        <f t="shared" si="71"/>
        <v>1.7434522292816437</v>
      </c>
      <c r="N213" s="459">
        <f t="shared" si="71"/>
        <v>1.7407925768826324</v>
      </c>
      <c r="O213" s="327"/>
      <c r="P213" s="327"/>
      <c r="Q213" s="327"/>
      <c r="R213" s="327"/>
      <c r="S213" s="327"/>
    </row>
    <row r="214" spans="1:19">
      <c r="B214" s="338" t="str">
        <f t="shared" si="68"/>
        <v>25-29</v>
      </c>
      <c r="C214" s="459">
        <f t="shared" si="70"/>
        <v>1.176486220709466</v>
      </c>
      <c r="D214" s="459">
        <f t="shared" ref="D214:N214" si="72">D112+D146+D180</f>
        <v>1.4461468403179329</v>
      </c>
      <c r="E214" s="459">
        <f t="shared" si="72"/>
        <v>1.8096324203651721</v>
      </c>
      <c r="F214" s="459">
        <f t="shared" si="72"/>
        <v>1.9294582861574647</v>
      </c>
      <c r="G214" s="459">
        <f t="shared" si="72"/>
        <v>1.9760299662686318</v>
      </c>
      <c r="H214" s="459">
        <f t="shared" si="72"/>
        <v>2.1431723233907656</v>
      </c>
      <c r="I214" s="459">
        <f t="shared" si="72"/>
        <v>2.3184544595276639</v>
      </c>
      <c r="J214" s="459">
        <f t="shared" si="72"/>
        <v>2.4663854148722315</v>
      </c>
      <c r="K214" s="459">
        <f t="shared" si="72"/>
        <v>2.5658366769611769</v>
      </c>
      <c r="L214" s="459">
        <f t="shared" si="72"/>
        <v>2.618879161208028</v>
      </c>
      <c r="M214" s="459">
        <f t="shared" si="72"/>
        <v>2.661954318246365</v>
      </c>
      <c r="N214" s="459">
        <f t="shared" si="72"/>
        <v>2.686401892953981</v>
      </c>
      <c r="O214" s="327"/>
      <c r="P214" s="327"/>
      <c r="Q214" s="327"/>
      <c r="R214" s="327"/>
      <c r="S214" s="327"/>
    </row>
    <row r="215" spans="1:19">
      <c r="B215" s="338" t="str">
        <f t="shared" si="68"/>
        <v>30-34</v>
      </c>
      <c r="C215" s="459">
        <f t="shared" si="70"/>
        <v>2.4040620571819318</v>
      </c>
      <c r="D215" s="459">
        <f t="shared" ref="D215:N215" si="73">D113+D147+D181</f>
        <v>2.1949671247134139</v>
      </c>
      <c r="E215" s="459">
        <f t="shared" si="73"/>
        <v>2.1245712258993716</v>
      </c>
      <c r="F215" s="459">
        <f t="shared" si="73"/>
        <v>2.0317355116684546</v>
      </c>
      <c r="G215" s="459">
        <f t="shared" si="73"/>
        <v>1.9552212384888976</v>
      </c>
      <c r="H215" s="459">
        <f t="shared" si="73"/>
        <v>1.9632399427360816</v>
      </c>
      <c r="I215" s="459">
        <f t="shared" si="73"/>
        <v>2.0071511307433787</v>
      </c>
      <c r="J215" s="459">
        <f t="shared" si="73"/>
        <v>2.0645250786790381</v>
      </c>
      <c r="K215" s="459">
        <f t="shared" si="73"/>
        <v>2.117830825479925</v>
      </c>
      <c r="L215" s="459">
        <f t="shared" si="73"/>
        <v>2.1596844623250364</v>
      </c>
      <c r="M215" s="459">
        <f t="shared" si="73"/>
        <v>2.1997743093439812</v>
      </c>
      <c r="N215" s="459">
        <f t="shared" si="73"/>
        <v>2.2320421304800098</v>
      </c>
      <c r="O215" s="327"/>
      <c r="P215" s="327"/>
      <c r="Q215" s="327"/>
      <c r="R215" s="327"/>
      <c r="S215" s="327"/>
    </row>
    <row r="216" spans="1:19">
      <c r="B216" s="338" t="str">
        <f t="shared" si="68"/>
        <v>35-39</v>
      </c>
      <c r="C216" s="459">
        <f t="shared" si="70"/>
        <v>2.1756859147595482</v>
      </c>
      <c r="D216" s="459">
        <f t="shared" ref="D216:N216" si="74">D114+D148+D182</f>
        <v>2.2346514368027979</v>
      </c>
      <c r="E216" s="459">
        <f t="shared" si="74"/>
        <v>2.2715540378997665</v>
      </c>
      <c r="F216" s="459">
        <f t="shared" si="74"/>
        <v>2.2282133713857304</v>
      </c>
      <c r="G216" s="459">
        <f t="shared" si="74"/>
        <v>2.1632494893866427</v>
      </c>
      <c r="H216" s="459">
        <f t="shared" si="74"/>
        <v>2.1382555797377867</v>
      </c>
      <c r="I216" s="459">
        <f t="shared" si="74"/>
        <v>2.1308482728993918</v>
      </c>
      <c r="J216" s="459">
        <f t="shared" si="74"/>
        <v>2.1339966837428244</v>
      </c>
      <c r="K216" s="459">
        <f t="shared" si="74"/>
        <v>2.1408507533649019</v>
      </c>
      <c r="L216" s="459">
        <f t="shared" si="74"/>
        <v>2.1485408553869991</v>
      </c>
      <c r="M216" s="459">
        <f t="shared" si="74"/>
        <v>2.1631718872167078</v>
      </c>
      <c r="N216" s="459">
        <f t="shared" si="74"/>
        <v>2.1793507784852997</v>
      </c>
      <c r="O216" s="327"/>
      <c r="P216" s="327"/>
      <c r="Q216" s="327"/>
      <c r="R216" s="327"/>
      <c r="S216" s="327"/>
    </row>
    <row r="217" spans="1:19">
      <c r="B217" s="338" t="str">
        <f t="shared" si="68"/>
        <v>40-44</v>
      </c>
      <c r="C217" s="459">
        <f t="shared" si="70"/>
        <v>2.5889512505737695</v>
      </c>
      <c r="D217" s="459">
        <f t="shared" ref="D217:N217" si="75">D115+D149+D183</f>
        <v>2.5213474486095446</v>
      </c>
      <c r="E217" s="459">
        <f t="shared" si="75"/>
        <v>2.5133372686439559</v>
      </c>
      <c r="F217" s="459">
        <f t="shared" si="75"/>
        <v>2.461515836006182</v>
      </c>
      <c r="G217" s="459">
        <f t="shared" si="75"/>
        <v>2.3999890891349924</v>
      </c>
      <c r="H217" s="459">
        <f t="shared" si="75"/>
        <v>2.3760287321932556</v>
      </c>
      <c r="I217" s="459">
        <f t="shared" si="75"/>
        <v>2.362080984718983</v>
      </c>
      <c r="J217" s="459">
        <f t="shared" si="75"/>
        <v>2.3505388429354572</v>
      </c>
      <c r="K217" s="459">
        <f t="shared" si="75"/>
        <v>2.3367341339231151</v>
      </c>
      <c r="L217" s="459">
        <f t="shared" si="75"/>
        <v>2.3209346723858939</v>
      </c>
      <c r="M217" s="459">
        <f t="shared" si="75"/>
        <v>2.3117004813010196</v>
      </c>
      <c r="N217" s="459">
        <f t="shared" si="75"/>
        <v>2.3057195784989717</v>
      </c>
      <c r="O217" s="327"/>
      <c r="P217" s="327"/>
      <c r="Q217" s="327"/>
      <c r="R217" s="327"/>
      <c r="S217" s="327"/>
    </row>
    <row r="218" spans="1:19">
      <c r="B218" s="338" t="str">
        <f t="shared" si="68"/>
        <v>45-49</v>
      </c>
      <c r="C218" s="459">
        <f t="shared" si="70"/>
        <v>2.5174843478268301</v>
      </c>
      <c r="D218" s="459">
        <f t="shared" ref="D218:N218" si="76">D116+D150+D184</f>
        <v>2.52030149733252</v>
      </c>
      <c r="E218" s="459">
        <f t="shared" si="76"/>
        <v>2.5354648508713473</v>
      </c>
      <c r="F218" s="459">
        <f t="shared" si="76"/>
        <v>2.4962343073655116</v>
      </c>
      <c r="G218" s="459">
        <f t="shared" si="76"/>
        <v>2.4439185058980413</v>
      </c>
      <c r="H218" s="459">
        <f t="shared" si="76"/>
        <v>2.424777291796997</v>
      </c>
      <c r="I218" s="459">
        <f t="shared" si="76"/>
        <v>2.4139760906768402</v>
      </c>
      <c r="J218" s="459">
        <f t="shared" si="76"/>
        <v>2.4034649529585232</v>
      </c>
      <c r="K218" s="459">
        <f t="shared" si="76"/>
        <v>2.3879701308759262</v>
      </c>
      <c r="L218" s="459">
        <f t="shared" si="76"/>
        <v>2.3673408874161694</v>
      </c>
      <c r="M218" s="459">
        <f t="shared" si="76"/>
        <v>2.3496697383362015</v>
      </c>
      <c r="N218" s="459">
        <f t="shared" si="76"/>
        <v>2.3327388488067013</v>
      </c>
      <c r="O218" s="327"/>
      <c r="P218" s="327"/>
      <c r="Q218" s="327"/>
      <c r="R218" s="327"/>
      <c r="S218" s="327"/>
    </row>
    <row r="219" spans="1:19">
      <c r="B219" s="338" t="str">
        <f t="shared" si="68"/>
        <v>50-54</v>
      </c>
      <c r="C219" s="459">
        <f t="shared" si="70"/>
        <v>3.060465225635451</v>
      </c>
      <c r="D219" s="459">
        <f t="shared" ref="D219:N219" si="77">D117+D151+D185</f>
        <v>2.9554440588239816</v>
      </c>
      <c r="E219" s="459">
        <f t="shared" si="77"/>
        <v>2.9095366676274939</v>
      </c>
      <c r="F219" s="459">
        <f t="shared" si="77"/>
        <v>2.830151708427509</v>
      </c>
      <c r="G219" s="459">
        <f t="shared" si="77"/>
        <v>2.7504693020348183</v>
      </c>
      <c r="H219" s="459">
        <f t="shared" si="77"/>
        <v>2.7137462056608217</v>
      </c>
      <c r="I219" s="459">
        <f t="shared" si="77"/>
        <v>2.6912912444339132</v>
      </c>
      <c r="J219" s="459">
        <f t="shared" si="77"/>
        <v>2.6728963911645374</v>
      </c>
      <c r="K219" s="459">
        <f t="shared" si="77"/>
        <v>2.6515556600969488</v>
      </c>
      <c r="L219" s="459">
        <f t="shared" si="77"/>
        <v>2.6258126829503015</v>
      </c>
      <c r="M219" s="459">
        <f t="shared" si="77"/>
        <v>2.6030454336592781</v>
      </c>
      <c r="N219" s="459">
        <f t="shared" si="77"/>
        <v>2.5802438159667211</v>
      </c>
      <c r="O219" s="327"/>
      <c r="P219" s="327"/>
      <c r="Q219" s="327"/>
      <c r="R219" s="327"/>
      <c r="S219" s="327"/>
    </row>
    <row r="220" spans="1:19">
      <c r="B220" s="338" t="str">
        <f t="shared" si="68"/>
        <v>55-59</v>
      </c>
      <c r="C220" s="459">
        <f t="shared" si="70"/>
        <v>3.0740308689177542</v>
      </c>
      <c r="D220" s="459">
        <f t="shared" ref="D220:N220" si="78">D118+D152+D186</f>
        <v>3.3261944487552113</v>
      </c>
      <c r="E220" s="459">
        <f t="shared" si="78"/>
        <v>3.4775727062822486</v>
      </c>
      <c r="F220" s="459">
        <f t="shared" si="78"/>
        <v>3.4648943923752746</v>
      </c>
      <c r="G220" s="459">
        <f t="shared" si="78"/>
        <v>3.4024296903593223</v>
      </c>
      <c r="H220" s="459">
        <f t="shared" si="78"/>
        <v>3.3867124341790973</v>
      </c>
      <c r="I220" s="459">
        <f t="shared" si="78"/>
        <v>3.3760455628568304</v>
      </c>
      <c r="J220" s="459">
        <f t="shared" si="78"/>
        <v>3.3608611011180631</v>
      </c>
      <c r="K220" s="459">
        <f t="shared" si="78"/>
        <v>3.3350062575465458</v>
      </c>
      <c r="L220" s="459">
        <f t="shared" si="78"/>
        <v>3.2999004999726487</v>
      </c>
      <c r="M220" s="459">
        <f t="shared" si="78"/>
        <v>3.2696487267339553</v>
      </c>
      <c r="N220" s="459">
        <f t="shared" si="78"/>
        <v>3.2387478470265454</v>
      </c>
      <c r="O220" s="327"/>
      <c r="P220" s="327"/>
      <c r="Q220" s="327"/>
      <c r="R220" s="327"/>
      <c r="S220" s="327"/>
    </row>
    <row r="221" spans="1:19">
      <c r="B221" s="338" t="str">
        <f t="shared" si="68"/>
        <v>60-64</v>
      </c>
      <c r="C221" s="459">
        <f t="shared" si="70"/>
        <v>2.5121672079808897</v>
      </c>
      <c r="D221" s="459">
        <f t="shared" ref="D221:N221" si="79">D119+D153+D187</f>
        <v>2.0869195162882064</v>
      </c>
      <c r="E221" s="459">
        <f t="shared" si="79"/>
        <v>1.9776954684661565</v>
      </c>
      <c r="F221" s="459">
        <f t="shared" si="79"/>
        <v>1.890613340019845</v>
      </c>
      <c r="G221" s="459">
        <f t="shared" si="79"/>
        <v>1.8279531410181455</v>
      </c>
      <c r="H221" s="459">
        <f t="shared" si="79"/>
        <v>1.8290842142299146</v>
      </c>
      <c r="I221" s="459">
        <f t="shared" si="79"/>
        <v>1.8377680228135977</v>
      </c>
      <c r="J221" s="459">
        <f t="shared" si="79"/>
        <v>1.8400230924451872</v>
      </c>
      <c r="K221" s="459">
        <f t="shared" si="79"/>
        <v>1.8301071511742373</v>
      </c>
      <c r="L221" s="459">
        <f t="shared" si="79"/>
        <v>1.8105052666060832</v>
      </c>
      <c r="M221" s="459">
        <f t="shared" si="79"/>
        <v>1.7942459007826876</v>
      </c>
      <c r="N221" s="459">
        <f t="shared" si="79"/>
        <v>1.7767359119022306</v>
      </c>
      <c r="O221" s="327"/>
      <c r="P221" s="327"/>
      <c r="Q221" s="327"/>
      <c r="R221" s="327"/>
      <c r="S221" s="327"/>
    </row>
    <row r="222" spans="1:19">
      <c r="B222" s="338" t="str">
        <f t="shared" si="68"/>
        <v>65 plus</v>
      </c>
      <c r="C222" s="459">
        <f t="shared" si="70"/>
        <v>3.0152231460157264</v>
      </c>
      <c r="D222" s="459">
        <f t="shared" ref="D222:N222" si="80">D120+D154+D188</f>
        <v>2.0495744897855883</v>
      </c>
      <c r="E222" s="459">
        <f t="shared" si="80"/>
        <v>1.4877682037513322</v>
      </c>
      <c r="F222" s="459">
        <f t="shared" si="80"/>
        <v>1.1407251367808322</v>
      </c>
      <c r="G222" s="459">
        <f t="shared" si="80"/>
        <v>0.93431016877621864</v>
      </c>
      <c r="H222" s="459">
        <f t="shared" si="80"/>
        <v>0.8343509083060211</v>
      </c>
      <c r="I222" s="459">
        <f t="shared" si="80"/>
        <v>0.78587331862662846</v>
      </c>
      <c r="J222" s="459">
        <f t="shared" si="80"/>
        <v>0.76125377451813792</v>
      </c>
      <c r="K222" s="459">
        <f t="shared" si="80"/>
        <v>0.74506353563091743</v>
      </c>
      <c r="L222" s="459">
        <f t="shared" si="80"/>
        <v>0.7310912511949107</v>
      </c>
      <c r="M222" s="459">
        <f t="shared" si="80"/>
        <v>0.72133892346119499</v>
      </c>
      <c r="N222" s="459">
        <f t="shared" si="80"/>
        <v>0.71260347406435953</v>
      </c>
      <c r="O222" s="327"/>
      <c r="P222" s="327"/>
      <c r="Q222" s="327"/>
      <c r="R222" s="327"/>
      <c r="S222" s="327"/>
    </row>
    <row r="223" spans="1:19">
      <c r="B223" s="338" t="str">
        <f t="shared" si="68"/>
        <v>Total</v>
      </c>
      <c r="C223" s="459">
        <f>SUM(C213:C222)</f>
        <v>22.982189995117999</v>
      </c>
      <c r="D223" s="459">
        <f t="shared" ref="D223:K223" si="81">SUM(D213:D222)</f>
        <v>22.185285571586352</v>
      </c>
      <c r="E223" s="459">
        <f t="shared" si="81"/>
        <v>22.348706566378183</v>
      </c>
      <c r="F223" s="459">
        <f t="shared" si="81"/>
        <v>21.792986036435721</v>
      </c>
      <c r="G223" s="459">
        <f t="shared" si="81"/>
        <v>21.176332525646341</v>
      </c>
      <c r="H223" s="459">
        <f t="shared" si="81"/>
        <v>21.267665944733892</v>
      </c>
      <c r="I223" s="459">
        <f t="shared" si="81"/>
        <v>21.51269155115855</v>
      </c>
      <c r="J223" s="459">
        <f t="shared" si="81"/>
        <v>21.737927040350414</v>
      </c>
      <c r="K223" s="459">
        <f t="shared" si="81"/>
        <v>21.840401333078951</v>
      </c>
      <c r="L223" s="459">
        <f>SUM(L213:L222)</f>
        <v>21.818340680396243</v>
      </c>
      <c r="M223" s="459">
        <f>SUM(M213:M222)</f>
        <v>21.818001948363037</v>
      </c>
      <c r="N223" s="459">
        <f>SUM(N213:N222)</f>
        <v>21.785376855067447</v>
      </c>
      <c r="O223" s="327"/>
      <c r="P223" s="327"/>
      <c r="Q223" s="327"/>
      <c r="R223" s="327"/>
      <c r="S223" s="327"/>
    </row>
    <row r="224" spans="1:19">
      <c r="A224" s="309">
        <f>SUM(C224:N224)</f>
        <v>0</v>
      </c>
      <c r="C224" s="309">
        <f>SUM(C213:C222)-C223</f>
        <v>0</v>
      </c>
      <c r="D224" s="309">
        <f t="shared" ref="D224:N224" si="82">SUM(D213:D222)-D223</f>
        <v>0</v>
      </c>
      <c r="E224" s="309">
        <f t="shared" si="82"/>
        <v>0</v>
      </c>
      <c r="F224" s="309">
        <f t="shared" si="82"/>
        <v>0</v>
      </c>
      <c r="G224" s="309">
        <f t="shared" si="82"/>
        <v>0</v>
      </c>
      <c r="H224" s="309">
        <f t="shared" si="82"/>
        <v>0</v>
      </c>
      <c r="I224" s="309">
        <f t="shared" si="82"/>
        <v>0</v>
      </c>
      <c r="J224" s="309">
        <f t="shared" si="82"/>
        <v>0</v>
      </c>
      <c r="K224" s="309">
        <f t="shared" si="82"/>
        <v>0</v>
      </c>
      <c r="L224" s="309">
        <f t="shared" si="82"/>
        <v>0</v>
      </c>
      <c r="M224" s="309">
        <f t="shared" si="82"/>
        <v>0</v>
      </c>
      <c r="N224" s="309">
        <f t="shared" si="82"/>
        <v>0</v>
      </c>
    </row>
    <row r="226" spans="1:15">
      <c r="B226" s="341" t="s">
        <v>50</v>
      </c>
      <c r="C226" s="329"/>
      <c r="D226" s="329"/>
      <c r="E226" s="329"/>
      <c r="F226" s="329"/>
      <c r="G226" s="329"/>
      <c r="H226" s="339"/>
      <c r="I226" s="329"/>
      <c r="J226" s="329"/>
      <c r="K226" s="329"/>
      <c r="L226" s="329"/>
    </row>
    <row r="227" spans="1:15">
      <c r="C227" s="329"/>
      <c r="D227" s="329"/>
      <c r="E227" s="329"/>
      <c r="F227" s="329"/>
      <c r="G227" s="329"/>
      <c r="H227" s="339"/>
      <c r="I227" s="329"/>
      <c r="J227" s="329"/>
      <c r="K227" s="329"/>
      <c r="L227" s="329"/>
    </row>
    <row r="228" spans="1:15">
      <c r="B228" s="338" t="str">
        <f t="shared" ref="B228:B239" si="83">B212</f>
        <v>Age group</v>
      </c>
      <c r="C228" s="338" t="str">
        <f t="shared" ref="C228:N228" si="84">C212</f>
        <v>2016/17</v>
      </c>
      <c r="D228" s="338" t="str">
        <f t="shared" si="84"/>
        <v>2017/18</v>
      </c>
      <c r="E228" s="338" t="str">
        <f t="shared" si="84"/>
        <v>2018/19</v>
      </c>
      <c r="F228" s="338" t="str">
        <f t="shared" si="84"/>
        <v>2019/20</v>
      </c>
      <c r="G228" s="338" t="str">
        <f t="shared" si="84"/>
        <v>2020/21</v>
      </c>
      <c r="H228" s="338" t="str">
        <f t="shared" si="84"/>
        <v>2021/22</v>
      </c>
      <c r="I228" s="338" t="str">
        <f t="shared" si="84"/>
        <v>2022/23</v>
      </c>
      <c r="J228" s="338" t="str">
        <f t="shared" si="84"/>
        <v>2023/24</v>
      </c>
      <c r="K228" s="338" t="str">
        <f t="shared" si="84"/>
        <v>2024/25</v>
      </c>
      <c r="L228" s="338" t="str">
        <f t="shared" si="84"/>
        <v>2025/26</v>
      </c>
      <c r="M228" s="338" t="str">
        <f t="shared" si="84"/>
        <v>2026/27</v>
      </c>
      <c r="N228" s="338" t="str">
        <f t="shared" si="84"/>
        <v>2027/28</v>
      </c>
    </row>
    <row r="229" spans="1:15">
      <c r="B229" s="338" t="str">
        <f t="shared" si="83"/>
        <v>20-24</v>
      </c>
      <c r="C229" s="459">
        <f t="shared" ref="C229:C238" si="85">C195+C161+C127</f>
        <v>3.5538074530550841</v>
      </c>
      <c r="D229" s="459">
        <f t="shared" ref="D229:N229" si="86">D195+D161+D127</f>
        <v>7.2453040909311976</v>
      </c>
      <c r="E229" s="459">
        <f t="shared" si="86"/>
        <v>10.889004141338626</v>
      </c>
      <c r="F229" s="459">
        <f t="shared" si="86"/>
        <v>11.675278043738329</v>
      </c>
      <c r="G229" s="459">
        <f t="shared" si="86"/>
        <v>11.766480443892297</v>
      </c>
      <c r="H229" s="459">
        <f t="shared" si="86"/>
        <v>13.029817887841872</v>
      </c>
      <c r="I229" s="459">
        <f t="shared" si="86"/>
        <v>14.239426202674041</v>
      </c>
      <c r="J229" s="459">
        <f t="shared" si="86"/>
        <v>15.115369607888439</v>
      </c>
      <c r="K229" s="459">
        <f t="shared" si="86"/>
        <v>15.541301016198839</v>
      </c>
      <c r="L229" s="459">
        <f t="shared" si="86"/>
        <v>15.609312814109884</v>
      </c>
      <c r="M229" s="459">
        <f t="shared" si="86"/>
        <v>15.688222003721126</v>
      </c>
      <c r="N229" s="459">
        <f t="shared" si="86"/>
        <v>15.670534923194296</v>
      </c>
      <c r="O229" s="327"/>
    </row>
    <row r="230" spans="1:15">
      <c r="B230" s="338" t="str">
        <f t="shared" si="83"/>
        <v>25-29</v>
      </c>
      <c r="C230" s="459">
        <f t="shared" si="85"/>
        <v>16.281614520599909</v>
      </c>
      <c r="D230" s="459">
        <f t="shared" ref="D230:N230" si="87">D196+D162+D128</f>
        <v>17.494919077677924</v>
      </c>
      <c r="E230" s="459">
        <f t="shared" si="87"/>
        <v>20.034526733285823</v>
      </c>
      <c r="F230" s="459">
        <f t="shared" si="87"/>
        <v>20.456783233905885</v>
      </c>
      <c r="G230" s="459">
        <f t="shared" si="87"/>
        <v>20.371097187351015</v>
      </c>
      <c r="H230" s="459">
        <f t="shared" si="87"/>
        <v>21.627198706253029</v>
      </c>
      <c r="I230" s="459">
        <f t="shared" si="87"/>
        <v>23.066589029053688</v>
      </c>
      <c r="J230" s="459">
        <f t="shared" si="87"/>
        <v>24.309493220093806</v>
      </c>
      <c r="K230" s="459">
        <f t="shared" si="87"/>
        <v>25.12839838755389</v>
      </c>
      <c r="L230" s="459">
        <f t="shared" si="87"/>
        <v>25.531032241188207</v>
      </c>
      <c r="M230" s="459">
        <f t="shared" si="87"/>
        <v>25.866942808736784</v>
      </c>
      <c r="N230" s="459">
        <f t="shared" si="87"/>
        <v>26.042394012690085</v>
      </c>
      <c r="O230" s="327"/>
    </row>
    <row r="231" spans="1:15">
      <c r="B231" s="338" t="str">
        <f t="shared" si="83"/>
        <v>30-34</v>
      </c>
      <c r="C231" s="459">
        <f t="shared" si="85"/>
        <v>18.351042566893767</v>
      </c>
      <c r="D231" s="459">
        <f t="shared" ref="D231:N231" si="88">D197+D163+D129</f>
        <v>19.126541599667917</v>
      </c>
      <c r="E231" s="459">
        <f t="shared" si="88"/>
        <v>20.528168441379343</v>
      </c>
      <c r="F231" s="459">
        <f t="shared" si="88"/>
        <v>20.864814513399057</v>
      </c>
      <c r="G231" s="459">
        <f t="shared" si="88"/>
        <v>20.892133876072617</v>
      </c>
      <c r="H231" s="459">
        <f t="shared" si="88"/>
        <v>21.640321023981066</v>
      </c>
      <c r="I231" s="459">
        <f t="shared" si="88"/>
        <v>22.594183426183012</v>
      </c>
      <c r="J231" s="459">
        <f t="shared" si="88"/>
        <v>23.546700339786867</v>
      </c>
      <c r="K231" s="459">
        <f t="shared" si="88"/>
        <v>24.332983611935099</v>
      </c>
      <c r="L231" s="459">
        <f t="shared" si="88"/>
        <v>24.902004844811348</v>
      </c>
      <c r="M231" s="459">
        <f t="shared" si="88"/>
        <v>25.405767983005639</v>
      </c>
      <c r="N231" s="459">
        <f t="shared" si="88"/>
        <v>25.785667920568923</v>
      </c>
      <c r="O231" s="327"/>
    </row>
    <row r="232" spans="1:15">
      <c r="B232" s="338" t="str">
        <f t="shared" si="83"/>
        <v>35-39</v>
      </c>
      <c r="C232" s="459">
        <f t="shared" si="85"/>
        <v>17.375728354291653</v>
      </c>
      <c r="D232" s="459">
        <f t="shared" ref="D232:N232" si="89">D198+D164+D130</f>
        <v>17.601787777157142</v>
      </c>
      <c r="E232" s="459">
        <f t="shared" si="89"/>
        <v>18.26903179582262</v>
      </c>
      <c r="F232" s="459">
        <f t="shared" si="89"/>
        <v>18.331219158690054</v>
      </c>
      <c r="G232" s="459">
        <f t="shared" si="89"/>
        <v>18.26143335245261</v>
      </c>
      <c r="H232" s="459">
        <f t="shared" si="89"/>
        <v>18.65399335470514</v>
      </c>
      <c r="I232" s="459">
        <f t="shared" si="89"/>
        <v>19.181845315357084</v>
      </c>
      <c r="J232" s="459">
        <f t="shared" si="89"/>
        <v>19.735595937430254</v>
      </c>
      <c r="K232" s="459">
        <f t="shared" si="89"/>
        <v>20.230462239978507</v>
      </c>
      <c r="L232" s="459">
        <f t="shared" si="89"/>
        <v>20.640495347699368</v>
      </c>
      <c r="M232" s="459">
        <f t="shared" si="89"/>
        <v>21.049141770157856</v>
      </c>
      <c r="N232" s="459">
        <f t="shared" si="89"/>
        <v>21.407519218572659</v>
      </c>
      <c r="O232" s="327"/>
    </row>
    <row r="233" spans="1:15">
      <c r="B233" s="338" t="str">
        <f t="shared" si="83"/>
        <v>40-44</v>
      </c>
      <c r="C233" s="459">
        <f t="shared" si="85"/>
        <v>19.556200330078426</v>
      </c>
      <c r="D233" s="459">
        <f t="shared" ref="D233:N233" si="90">D199+D165+D131</f>
        <v>18.884333956710698</v>
      </c>
      <c r="E233" s="459">
        <f t="shared" si="90"/>
        <v>18.722911248153583</v>
      </c>
      <c r="F233" s="459">
        <f t="shared" si="90"/>
        <v>18.192543800684554</v>
      </c>
      <c r="G233" s="459">
        <f t="shared" si="90"/>
        <v>17.674840166105472</v>
      </c>
      <c r="H233" s="459">
        <f t="shared" si="90"/>
        <v>17.62986759732269</v>
      </c>
      <c r="I233" s="459">
        <f t="shared" si="90"/>
        <v>17.755975756569015</v>
      </c>
      <c r="J233" s="459">
        <f t="shared" si="90"/>
        <v>17.946138202178112</v>
      </c>
      <c r="K233" s="459">
        <f t="shared" si="90"/>
        <v>18.12632292739081</v>
      </c>
      <c r="L233" s="459">
        <f t="shared" si="90"/>
        <v>18.277976051835438</v>
      </c>
      <c r="M233" s="459">
        <f t="shared" si="90"/>
        <v>18.471258214230133</v>
      </c>
      <c r="N233" s="459">
        <f t="shared" si="90"/>
        <v>18.664581493044274</v>
      </c>
      <c r="O233" s="327"/>
    </row>
    <row r="234" spans="1:15">
      <c r="B234" s="338" t="str">
        <f t="shared" si="83"/>
        <v>45-49</v>
      </c>
      <c r="C234" s="459">
        <f t="shared" si="85"/>
        <v>23.722398103859916</v>
      </c>
      <c r="D234" s="459">
        <f t="shared" ref="D234:N234" si="91">D200+D166+D132</f>
        <v>22.41288805508346</v>
      </c>
      <c r="E234" s="459">
        <f t="shared" si="91"/>
        <v>21.571446294218113</v>
      </c>
      <c r="F234" s="459">
        <f t="shared" si="91"/>
        <v>20.46951464460453</v>
      </c>
      <c r="G234" s="459">
        <f t="shared" si="91"/>
        <v>19.439276733301863</v>
      </c>
      <c r="H234" s="459">
        <f t="shared" si="91"/>
        <v>18.879975974440818</v>
      </c>
      <c r="I234" s="459">
        <f t="shared" si="91"/>
        <v>18.536895030752344</v>
      </c>
      <c r="J234" s="459">
        <f t="shared" si="91"/>
        <v>18.312390136052116</v>
      </c>
      <c r="K234" s="459">
        <f t="shared" si="91"/>
        <v>18.134665602196236</v>
      </c>
      <c r="L234" s="459">
        <f t="shared" si="91"/>
        <v>17.980203441828433</v>
      </c>
      <c r="M234" s="459">
        <f t="shared" si="91"/>
        <v>17.903665689258226</v>
      </c>
      <c r="N234" s="459">
        <f t="shared" si="91"/>
        <v>17.866487950167695</v>
      </c>
      <c r="O234" s="327"/>
    </row>
    <row r="235" spans="1:15">
      <c r="B235" s="338" t="str">
        <f t="shared" si="83"/>
        <v>50-54</v>
      </c>
      <c r="C235" s="459">
        <f t="shared" si="85"/>
        <v>35.032480435781039</v>
      </c>
      <c r="D235" s="459">
        <f t="shared" ref="D235:N235" si="92">D201+D167+D133</f>
        <v>32.146222959206447</v>
      </c>
      <c r="E235" s="459">
        <f t="shared" si="92"/>
        <v>30.023754998201667</v>
      </c>
      <c r="F235" s="459">
        <f t="shared" si="92"/>
        <v>27.833307540900293</v>
      </c>
      <c r="G235" s="459">
        <f t="shared" si="92"/>
        <v>25.875351290124161</v>
      </c>
      <c r="H235" s="459">
        <f t="shared" si="92"/>
        <v>24.531907820685383</v>
      </c>
      <c r="I235" s="459">
        <f t="shared" si="92"/>
        <v>23.514959266444521</v>
      </c>
      <c r="J235" s="459">
        <f t="shared" si="92"/>
        <v>22.708681276650125</v>
      </c>
      <c r="K235" s="459">
        <f t="shared" si="92"/>
        <v>22.027459978858154</v>
      </c>
      <c r="L235" s="459">
        <f t="shared" si="92"/>
        <v>21.437440410951968</v>
      </c>
      <c r="M235" s="459">
        <f t="shared" si="92"/>
        <v>20.986930743761391</v>
      </c>
      <c r="N235" s="459">
        <f t="shared" si="92"/>
        <v>20.628389481781269</v>
      </c>
      <c r="O235" s="327"/>
    </row>
    <row r="236" spans="1:15">
      <c r="B236" s="338" t="str">
        <f t="shared" si="83"/>
        <v>55-59</v>
      </c>
      <c r="C236" s="459">
        <f t="shared" si="85"/>
        <v>70.823297265703943</v>
      </c>
      <c r="D236" s="459">
        <f t="shared" ref="D236:N236" si="93">D202+D168+D134</f>
        <v>58.210505851553016</v>
      </c>
      <c r="E236" s="459">
        <f t="shared" si="93"/>
        <v>49.91831807758259</v>
      </c>
      <c r="F236" s="459">
        <f t="shared" si="93"/>
        <v>43.382929987784976</v>
      </c>
      <c r="G236" s="459">
        <f t="shared" si="93"/>
        <v>38.411492956974044</v>
      </c>
      <c r="H236" s="459">
        <f t="shared" si="93"/>
        <v>35.138246270146823</v>
      </c>
      <c r="I236" s="459">
        <f t="shared" si="93"/>
        <v>32.768612972160113</v>
      </c>
      <c r="J236" s="459">
        <f t="shared" si="93"/>
        <v>30.951128951725895</v>
      </c>
      <c r="K236" s="459">
        <f t="shared" si="93"/>
        <v>29.462821189298598</v>
      </c>
      <c r="L236" s="459">
        <f t="shared" si="93"/>
        <v>28.206466666868209</v>
      </c>
      <c r="M236" s="459">
        <f t="shared" si="93"/>
        <v>27.232080360793255</v>
      </c>
      <c r="N236" s="459">
        <f t="shared" si="93"/>
        <v>26.440039968495043</v>
      </c>
      <c r="O236" s="327"/>
    </row>
    <row r="237" spans="1:15">
      <c r="B237" s="338" t="str">
        <f t="shared" si="83"/>
        <v>60-64</v>
      </c>
      <c r="C237" s="459">
        <f t="shared" si="85"/>
        <v>48.487718285458712</v>
      </c>
      <c r="D237" s="459">
        <f t="shared" ref="D237:N237" si="94">D203+D169+D135</f>
        <v>41.942733827654564</v>
      </c>
      <c r="E237" s="459">
        <f t="shared" si="94"/>
        <v>36.112494243329735</v>
      </c>
      <c r="F237" s="459">
        <f t="shared" si="94"/>
        <v>30.667145217485945</v>
      </c>
      <c r="G237" s="459">
        <f t="shared" si="94"/>
        <v>26.338428246642685</v>
      </c>
      <c r="H237" s="459">
        <f t="shared" si="94"/>
        <v>23.532548970299199</v>
      </c>
      <c r="I237" s="459">
        <f t="shared" si="94"/>
        <v>21.528527659209921</v>
      </c>
      <c r="J237" s="459">
        <f t="shared" si="94"/>
        <v>20.012882213713461</v>
      </c>
      <c r="K237" s="459">
        <f t="shared" si="94"/>
        <v>18.783326661078576</v>
      </c>
      <c r="L237" s="459">
        <f t="shared" si="94"/>
        <v>17.754940801370427</v>
      </c>
      <c r="M237" s="459">
        <f t="shared" si="94"/>
        <v>16.975660143267465</v>
      </c>
      <c r="N237" s="459">
        <f t="shared" si="94"/>
        <v>16.343770806104573</v>
      </c>
      <c r="O237" s="327"/>
    </row>
    <row r="238" spans="1:15">
      <c r="B238" s="338" t="str">
        <f t="shared" si="83"/>
        <v>65 plus</v>
      </c>
      <c r="C238" s="459">
        <f t="shared" si="85"/>
        <v>14.197948500986266</v>
      </c>
      <c r="D238" s="459">
        <f t="shared" ref="D238:N238" si="95">D204+D170+D136</f>
        <v>14.375384642971214</v>
      </c>
      <c r="E238" s="459">
        <f t="shared" si="95"/>
        <v>13.742250423797847</v>
      </c>
      <c r="F238" s="459">
        <f t="shared" si="95"/>
        <v>12.345899404381431</v>
      </c>
      <c r="G238" s="459">
        <f t="shared" si="95"/>
        <v>10.839571311924479</v>
      </c>
      <c r="H238" s="459">
        <f t="shared" si="95"/>
        <v>9.6994577930421819</v>
      </c>
      <c r="I238" s="459">
        <f t="shared" si="95"/>
        <v>8.8032559064158864</v>
      </c>
      <c r="J238" s="459">
        <f t="shared" si="95"/>
        <v>8.0889176306088029</v>
      </c>
      <c r="K238" s="459">
        <f t="shared" si="95"/>
        <v>7.4967073511664619</v>
      </c>
      <c r="L238" s="459">
        <f t="shared" si="95"/>
        <v>6.9979171713864101</v>
      </c>
      <c r="M238" s="459">
        <f t="shared" si="95"/>
        <v>6.6158484871439338</v>
      </c>
      <c r="N238" s="459">
        <f t="shared" si="95"/>
        <v>6.3085910252049979</v>
      </c>
      <c r="O238" s="327"/>
    </row>
    <row r="239" spans="1:15">
      <c r="B239" s="338" t="str">
        <f t="shared" si="83"/>
        <v>Total</v>
      </c>
      <c r="C239" s="459">
        <f>SUM(C229:C238)</f>
        <v>267.38223581670871</v>
      </c>
      <c r="D239" s="459">
        <f t="shared" ref="D239:N239" si="96">SUM(D229:D238)</f>
        <v>249.44062183861359</v>
      </c>
      <c r="E239" s="459">
        <f t="shared" si="96"/>
        <v>239.81190639710996</v>
      </c>
      <c r="F239" s="459">
        <f t="shared" si="96"/>
        <v>224.21943554557504</v>
      </c>
      <c r="G239" s="459">
        <f t="shared" si="96"/>
        <v>209.87010556484123</v>
      </c>
      <c r="H239" s="459">
        <f t="shared" si="96"/>
        <v>204.36333539871816</v>
      </c>
      <c r="I239" s="459">
        <f t="shared" si="96"/>
        <v>201.99027056481964</v>
      </c>
      <c r="J239" s="459">
        <f t="shared" si="96"/>
        <v>200.72729751612786</v>
      </c>
      <c r="K239" s="459">
        <f t="shared" si="96"/>
        <v>199.26444896565519</v>
      </c>
      <c r="L239" s="459">
        <f t="shared" si="96"/>
        <v>197.3377897920497</v>
      </c>
      <c r="M239" s="459">
        <f t="shared" si="96"/>
        <v>196.19551820407582</v>
      </c>
      <c r="N239" s="459">
        <f t="shared" si="96"/>
        <v>195.15797679982381</v>
      </c>
      <c r="O239" s="327"/>
    </row>
    <row r="240" spans="1:15">
      <c r="A240" s="309">
        <f>SUM(C240:N240)</f>
        <v>0</v>
      </c>
      <c r="C240" s="309">
        <f>SUM(C229:C238)-C239</f>
        <v>0</v>
      </c>
      <c r="D240" s="309">
        <f t="shared" ref="D240:N240" si="97">SUM(D229:D238)-D239</f>
        <v>0</v>
      </c>
      <c r="E240" s="309">
        <f t="shared" si="97"/>
        <v>0</v>
      </c>
      <c r="F240" s="309">
        <f t="shared" si="97"/>
        <v>0</v>
      </c>
      <c r="G240" s="309">
        <f t="shared" si="97"/>
        <v>0</v>
      </c>
      <c r="H240" s="309">
        <f t="shared" si="97"/>
        <v>0</v>
      </c>
      <c r="I240" s="309">
        <f t="shared" si="97"/>
        <v>0</v>
      </c>
      <c r="J240" s="309">
        <f t="shared" si="97"/>
        <v>0</v>
      </c>
      <c r="K240" s="309">
        <f t="shared" si="97"/>
        <v>0</v>
      </c>
      <c r="L240" s="309">
        <f t="shared" si="97"/>
        <v>0</v>
      </c>
      <c r="M240" s="309">
        <f t="shared" si="97"/>
        <v>0</v>
      </c>
      <c r="N240" s="309">
        <f t="shared" si="97"/>
        <v>0</v>
      </c>
    </row>
    <row r="242" spans="2:15" ht="15.75">
      <c r="B242" s="340" t="s">
        <v>154</v>
      </c>
      <c r="C242" s="329"/>
      <c r="D242" s="329"/>
      <c r="E242" s="329"/>
      <c r="F242" s="329"/>
      <c r="G242" s="329"/>
      <c r="H242" s="339"/>
      <c r="I242" s="329"/>
      <c r="J242" s="329"/>
      <c r="K242" s="329"/>
      <c r="L242" s="329"/>
    </row>
    <row r="243" spans="2:15">
      <c r="C243" s="329"/>
      <c r="D243" s="329"/>
      <c r="E243" s="329"/>
      <c r="F243" s="329"/>
      <c r="G243" s="329"/>
      <c r="H243" s="339"/>
      <c r="I243" s="329"/>
      <c r="J243" s="329"/>
      <c r="K243" s="329"/>
      <c r="L243" s="329"/>
    </row>
    <row r="244" spans="2:15">
      <c r="B244" s="341" t="s">
        <v>49</v>
      </c>
      <c r="C244" s="329"/>
      <c r="D244" s="329"/>
      <c r="E244" s="329"/>
      <c r="F244" s="329"/>
      <c r="G244" s="329"/>
      <c r="H244" s="339"/>
      <c r="I244" s="329"/>
      <c r="J244" s="329"/>
      <c r="K244" s="329"/>
      <c r="L244" s="329"/>
    </row>
    <row r="245" spans="2:15">
      <c r="C245" s="329"/>
      <c r="D245" s="329"/>
      <c r="E245" s="329"/>
      <c r="F245" s="329"/>
      <c r="G245" s="329"/>
      <c r="H245" s="339"/>
      <c r="I245" s="329"/>
      <c r="J245" s="329"/>
      <c r="K245" s="329"/>
      <c r="L245" s="329"/>
    </row>
    <row r="246" spans="2:15">
      <c r="B246" s="338" t="str">
        <f t="shared" ref="B246:B257" si="98">B212</f>
        <v>Age group</v>
      </c>
      <c r="C246" s="338" t="str">
        <f t="shared" ref="C246:N246" si="99">C212</f>
        <v>2016/17</v>
      </c>
      <c r="D246" s="338" t="str">
        <f t="shared" si="99"/>
        <v>2017/18</v>
      </c>
      <c r="E246" s="338" t="str">
        <f t="shared" si="99"/>
        <v>2018/19</v>
      </c>
      <c r="F246" s="338" t="str">
        <f t="shared" si="99"/>
        <v>2019/20</v>
      </c>
      <c r="G246" s="338" t="str">
        <f t="shared" si="99"/>
        <v>2020/21</v>
      </c>
      <c r="H246" s="338" t="str">
        <f t="shared" si="99"/>
        <v>2021/22</v>
      </c>
      <c r="I246" s="338" t="str">
        <f t="shared" si="99"/>
        <v>2022/23</v>
      </c>
      <c r="J246" s="338" t="str">
        <f t="shared" si="99"/>
        <v>2023/24</v>
      </c>
      <c r="K246" s="338" t="str">
        <f t="shared" si="99"/>
        <v>2024/25</v>
      </c>
      <c r="L246" s="338" t="str">
        <f t="shared" si="99"/>
        <v>2025/26</v>
      </c>
      <c r="M246" s="338" t="str">
        <f t="shared" si="99"/>
        <v>2026/27</v>
      </c>
      <c r="N246" s="338" t="str">
        <f t="shared" si="99"/>
        <v>2027/28</v>
      </c>
    </row>
    <row r="247" spans="2:15">
      <c r="B247" s="338" t="str">
        <f t="shared" si="98"/>
        <v>20-24</v>
      </c>
      <c r="C247" s="459">
        <f t="shared" ref="C247:C256" si="100">C77-C213</f>
        <v>3.7497605574217658</v>
      </c>
      <c r="D247" s="459">
        <f t="shared" ref="D247:N247" si="101">D77-D213</f>
        <v>6.962591069936801</v>
      </c>
      <c r="E247" s="459">
        <f t="shared" si="101"/>
        <v>10.173209680031004</v>
      </c>
      <c r="F247" s="459">
        <f t="shared" si="101"/>
        <v>10.81126459244636</v>
      </c>
      <c r="G247" s="459">
        <f t="shared" si="101"/>
        <v>10.838449891933612</v>
      </c>
      <c r="H247" s="459">
        <f t="shared" si="101"/>
        <v>11.949008191071409</v>
      </c>
      <c r="I247" s="459">
        <f t="shared" si="101"/>
        <v>13.021610938680164</v>
      </c>
      <c r="J247" s="459">
        <f t="shared" si="101"/>
        <v>13.798213334669978</v>
      </c>
      <c r="K247" s="459">
        <f t="shared" si="101"/>
        <v>14.170740464095928</v>
      </c>
      <c r="L247" s="459">
        <f t="shared" si="101"/>
        <v>14.221580819534578</v>
      </c>
      <c r="M247" s="459">
        <f t="shared" si="101"/>
        <v>14.285503034471283</v>
      </c>
      <c r="N247" s="459">
        <f t="shared" si="101"/>
        <v>14.263710368300917</v>
      </c>
      <c r="O247" s="327"/>
    </row>
    <row r="248" spans="2:15">
      <c r="B248" s="338" t="str">
        <f t="shared" si="98"/>
        <v>25-29</v>
      </c>
      <c r="C248" s="459">
        <f t="shared" si="100"/>
        <v>12.774626821465937</v>
      </c>
      <c r="D248" s="459">
        <f t="shared" ref="D248:N248" si="102">D78-D214</f>
        <v>15.702679631014433</v>
      </c>
      <c r="E248" s="459">
        <f t="shared" si="102"/>
        <v>19.649510931161256</v>
      </c>
      <c r="F248" s="459">
        <f t="shared" si="102"/>
        <v>20.950614753807397</v>
      </c>
      <c r="G248" s="459">
        <f t="shared" si="102"/>
        <v>21.456303493204686</v>
      </c>
      <c r="H248" s="459">
        <f t="shared" si="102"/>
        <v>23.271183430351634</v>
      </c>
      <c r="I248" s="459">
        <f t="shared" si="102"/>
        <v>25.174447436510555</v>
      </c>
      <c r="J248" s="459">
        <f t="shared" si="102"/>
        <v>26.780724430328799</v>
      </c>
      <c r="K248" s="459">
        <f t="shared" si="102"/>
        <v>27.860594927531864</v>
      </c>
      <c r="L248" s="459">
        <f t="shared" si="102"/>
        <v>28.436545525175401</v>
      </c>
      <c r="M248" s="459">
        <f t="shared" si="102"/>
        <v>28.904268008239388</v>
      </c>
      <c r="N248" s="459">
        <f t="shared" si="102"/>
        <v>29.169726827970713</v>
      </c>
      <c r="O248" s="327"/>
    </row>
    <row r="249" spans="2:15">
      <c r="B249" s="338" t="str">
        <f t="shared" si="98"/>
        <v>30-34</v>
      </c>
      <c r="C249" s="459">
        <f t="shared" si="100"/>
        <v>36.046675317093673</v>
      </c>
      <c r="D249" s="459">
        <f t="shared" ref="D249:N249" si="103">D79-D215</f>
        <v>32.911491215408105</v>
      </c>
      <c r="E249" s="459">
        <f t="shared" si="103"/>
        <v>31.855970164849495</v>
      </c>
      <c r="F249" s="459">
        <f t="shared" si="103"/>
        <v>30.463984946034028</v>
      </c>
      <c r="G249" s="459">
        <f t="shared" si="103"/>
        <v>29.316724560559642</v>
      </c>
      <c r="H249" s="459">
        <f t="shared" si="103"/>
        <v>29.436957575176937</v>
      </c>
      <c r="I249" s="459">
        <f t="shared" si="103"/>
        <v>30.095365011939339</v>
      </c>
      <c r="J249" s="459">
        <f t="shared" si="103"/>
        <v>30.955634016526034</v>
      </c>
      <c r="K249" s="459">
        <f t="shared" si="103"/>
        <v>31.754904127597616</v>
      </c>
      <c r="L249" s="459">
        <f t="shared" si="103"/>
        <v>32.382460497737142</v>
      </c>
      <c r="M249" s="459">
        <f t="shared" si="103"/>
        <v>32.983570479356274</v>
      </c>
      <c r="N249" s="459">
        <f t="shared" si="103"/>
        <v>33.467396455564192</v>
      </c>
      <c r="O249" s="327"/>
    </row>
    <row r="250" spans="2:15">
      <c r="B250" s="338" t="str">
        <f t="shared" si="98"/>
        <v>35-39</v>
      </c>
      <c r="C250" s="459">
        <f t="shared" si="100"/>
        <v>32.396379224248413</v>
      </c>
      <c r="D250" s="459">
        <f t="shared" ref="D250:N250" si="104">D80-D216</f>
        <v>33.274387120659334</v>
      </c>
      <c r="E250" s="459">
        <f t="shared" si="104"/>
        <v>33.823873906131624</v>
      </c>
      <c r="F250" s="459">
        <f t="shared" si="104"/>
        <v>33.178523095752553</v>
      </c>
      <c r="G250" s="459">
        <f t="shared" si="104"/>
        <v>32.211198472816641</v>
      </c>
      <c r="H250" s="459">
        <f t="shared" si="104"/>
        <v>31.839034379742365</v>
      </c>
      <c r="I250" s="459">
        <f t="shared" si="104"/>
        <v>31.728738164769844</v>
      </c>
      <c r="J250" s="459">
        <f t="shared" si="104"/>
        <v>31.775618604150207</v>
      </c>
      <c r="K250" s="459">
        <f t="shared" si="104"/>
        <v>31.877677011202387</v>
      </c>
      <c r="L250" s="459">
        <f t="shared" si="104"/>
        <v>31.992184100525776</v>
      </c>
      <c r="M250" s="459">
        <f t="shared" si="104"/>
        <v>32.210042961670119</v>
      </c>
      <c r="N250" s="459">
        <f t="shared" si="104"/>
        <v>32.450949745783348</v>
      </c>
      <c r="O250" s="327"/>
    </row>
    <row r="251" spans="2:15">
      <c r="B251" s="338" t="str">
        <f t="shared" si="98"/>
        <v>40-44</v>
      </c>
      <c r="C251" s="459">
        <f t="shared" si="100"/>
        <v>34.118133792815151</v>
      </c>
      <c r="D251" s="459">
        <f t="shared" ref="D251:N251" si="105">D81-D217</f>
        <v>33.227226495967741</v>
      </c>
      <c r="E251" s="459">
        <f t="shared" si="105"/>
        <v>33.121665453939649</v>
      </c>
      <c r="F251" s="459">
        <f t="shared" si="105"/>
        <v>32.438743915081361</v>
      </c>
      <c r="G251" s="459">
        <f t="shared" si="105"/>
        <v>31.627922243131117</v>
      </c>
      <c r="H251" s="459">
        <f t="shared" si="105"/>
        <v>31.312164013353481</v>
      </c>
      <c r="I251" s="459">
        <f t="shared" si="105"/>
        <v>31.128355564148354</v>
      </c>
      <c r="J251" s="459">
        <f t="shared" si="105"/>
        <v>30.976249054789129</v>
      </c>
      <c r="K251" s="459">
        <f t="shared" si="105"/>
        <v>30.794325618050181</v>
      </c>
      <c r="L251" s="459">
        <f t="shared" si="105"/>
        <v>30.58611461273987</v>
      </c>
      <c r="M251" s="459">
        <f t="shared" si="105"/>
        <v>30.464423110502299</v>
      </c>
      <c r="N251" s="459">
        <f t="shared" si="105"/>
        <v>30.385604615191944</v>
      </c>
      <c r="O251" s="327"/>
    </row>
    <row r="252" spans="2:15">
      <c r="B252" s="338" t="str">
        <f t="shared" si="98"/>
        <v>45-49</v>
      </c>
      <c r="C252" s="459">
        <f t="shared" si="100"/>
        <v>29.370699164319916</v>
      </c>
      <c r="D252" s="459">
        <f t="shared" ref="D252:N252" si="106">D82-D218</f>
        <v>29.403565962758584</v>
      </c>
      <c r="E252" s="459">
        <f t="shared" si="106"/>
        <v>29.58047204580755</v>
      </c>
      <c r="F252" s="459">
        <f t="shared" si="106"/>
        <v>29.122781616726115</v>
      </c>
      <c r="G252" s="459">
        <f t="shared" si="106"/>
        <v>28.512429592981558</v>
      </c>
      <c r="H252" s="459">
        <f t="shared" si="106"/>
        <v>28.289115060167518</v>
      </c>
      <c r="I252" s="459">
        <f t="shared" si="106"/>
        <v>28.163100839269863</v>
      </c>
      <c r="J252" s="459">
        <f t="shared" si="106"/>
        <v>28.040470696974868</v>
      </c>
      <c r="K252" s="459">
        <f t="shared" si="106"/>
        <v>27.85969747453737</v>
      </c>
      <c r="L252" s="459">
        <f t="shared" si="106"/>
        <v>27.619022570573399</v>
      </c>
      <c r="M252" s="459">
        <f t="shared" si="106"/>
        <v>27.412858824624536</v>
      </c>
      <c r="N252" s="459">
        <f t="shared" si="106"/>
        <v>27.215331454341364</v>
      </c>
      <c r="O252" s="327"/>
    </row>
    <row r="253" spans="2:15">
      <c r="B253" s="338" t="str">
        <f t="shared" si="98"/>
        <v>50-54</v>
      </c>
      <c r="C253" s="459">
        <f t="shared" si="100"/>
        <v>24.845158355800475</v>
      </c>
      <c r="D253" s="459">
        <f t="shared" ref="D253:N253" si="107">D83-D219</f>
        <v>23.992586172236411</v>
      </c>
      <c r="E253" s="459">
        <f t="shared" si="107"/>
        <v>23.619905445651256</v>
      </c>
      <c r="F253" s="459">
        <f t="shared" si="107"/>
        <v>22.975450522304477</v>
      </c>
      <c r="G253" s="459">
        <f t="shared" si="107"/>
        <v>22.328580893329491</v>
      </c>
      <c r="H253" s="459">
        <f t="shared" si="107"/>
        <v>22.030459177361347</v>
      </c>
      <c r="I253" s="459">
        <f t="shared" si="107"/>
        <v>21.848167588852917</v>
      </c>
      <c r="J253" s="459">
        <f t="shared" si="107"/>
        <v>21.698836356927394</v>
      </c>
      <c r="K253" s="459">
        <f t="shared" si="107"/>
        <v>21.525590198676181</v>
      </c>
      <c r="L253" s="459">
        <f t="shared" si="107"/>
        <v>21.316606172848736</v>
      </c>
      <c r="M253" s="459">
        <f t="shared" si="107"/>
        <v>21.131779399055212</v>
      </c>
      <c r="N253" s="459">
        <f t="shared" si="107"/>
        <v>20.946673619190527</v>
      </c>
      <c r="O253" s="327"/>
    </row>
    <row r="254" spans="2:15">
      <c r="B254" s="338" t="str">
        <f t="shared" si="98"/>
        <v>55-59</v>
      </c>
      <c r="C254" s="459">
        <f t="shared" si="100"/>
        <v>8.7713000827325569</v>
      </c>
      <c r="D254" s="459">
        <f t="shared" ref="D254:N254" si="108">D84-D220</f>
        <v>9.4908121901269471</v>
      </c>
      <c r="E254" s="459">
        <f t="shared" si="108"/>
        <v>9.922748035728354</v>
      </c>
      <c r="F254" s="459">
        <f t="shared" si="108"/>
        <v>9.8865723105768684</v>
      </c>
      <c r="G254" s="459">
        <f t="shared" si="108"/>
        <v>9.7083383665067871</v>
      </c>
      <c r="H254" s="459">
        <f t="shared" si="108"/>
        <v>9.6634914614779941</v>
      </c>
      <c r="I254" s="459">
        <f t="shared" si="108"/>
        <v>9.633055095253594</v>
      </c>
      <c r="J254" s="459">
        <f t="shared" si="108"/>
        <v>9.5897284416886635</v>
      </c>
      <c r="K254" s="459">
        <f t="shared" si="108"/>
        <v>9.515955405168139</v>
      </c>
      <c r="L254" s="459">
        <f t="shared" si="108"/>
        <v>9.4157862307379805</v>
      </c>
      <c r="M254" s="459">
        <f t="shared" si="108"/>
        <v>9.3294671947795784</v>
      </c>
      <c r="N254" s="459">
        <f t="shared" si="108"/>
        <v>9.2412960279007166</v>
      </c>
      <c r="O254" s="327"/>
    </row>
    <row r="255" spans="2:15">
      <c r="B255" s="338" t="str">
        <f t="shared" si="98"/>
        <v>60-64</v>
      </c>
      <c r="C255" s="459">
        <f t="shared" si="100"/>
        <v>3.8015982991199784</v>
      </c>
      <c r="D255" s="459">
        <f t="shared" ref="D255:N255" si="109">D85-D221</f>
        <v>3.1580818578943446</v>
      </c>
      <c r="E255" s="459">
        <f t="shared" si="109"/>
        <v>2.9927959035581138</v>
      </c>
      <c r="F255" s="459">
        <f t="shared" si="109"/>
        <v>2.8610167487576161</v>
      </c>
      <c r="G255" s="459">
        <f t="shared" si="109"/>
        <v>2.7661946743389176</v>
      </c>
      <c r="H255" s="459">
        <f t="shared" si="109"/>
        <v>2.7679062984634504</v>
      </c>
      <c r="I255" s="459">
        <f t="shared" si="109"/>
        <v>2.7810472836004019</v>
      </c>
      <c r="J255" s="459">
        <f t="shared" si="109"/>
        <v>2.7844598227214492</v>
      </c>
      <c r="K255" s="459">
        <f t="shared" si="109"/>
        <v>2.7694542827438315</v>
      </c>
      <c r="L255" s="459">
        <f t="shared" si="109"/>
        <v>2.7397912528320081</v>
      </c>
      <c r="M255" s="459">
        <f t="shared" si="109"/>
        <v>2.7151863709345685</v>
      </c>
      <c r="N255" s="459">
        <f t="shared" si="109"/>
        <v>2.6886889531933917</v>
      </c>
      <c r="O255" s="327"/>
    </row>
    <row r="256" spans="2:15">
      <c r="B256" s="338" t="str">
        <f t="shared" si="98"/>
        <v>65 plus</v>
      </c>
      <c r="C256" s="459">
        <f t="shared" si="100"/>
        <v>3.5021742012136459</v>
      </c>
      <c r="D256" s="459">
        <f t="shared" ref="D256:N256" si="110">D86-D222</f>
        <v>2.3805756834540008</v>
      </c>
      <c r="E256" s="459">
        <f t="shared" si="110"/>
        <v>1.7280390764606803</v>
      </c>
      <c r="F256" s="459">
        <f t="shared" si="110"/>
        <v>1.3249494154317234</v>
      </c>
      <c r="G256" s="459">
        <f t="shared" si="110"/>
        <v>1.0851989423546877</v>
      </c>
      <c r="H256" s="459">
        <f t="shared" si="110"/>
        <v>0.96909650938759373</v>
      </c>
      <c r="I256" s="459">
        <f t="shared" si="110"/>
        <v>0.91278990928188342</v>
      </c>
      <c r="J256" s="459">
        <f t="shared" si="110"/>
        <v>0.88419436989822986</v>
      </c>
      <c r="K256" s="459">
        <f t="shared" si="110"/>
        <v>0.86538944761006231</v>
      </c>
      <c r="L256" s="459">
        <f t="shared" si="110"/>
        <v>0.84916067391267858</v>
      </c>
      <c r="M256" s="459">
        <f t="shared" si="110"/>
        <v>0.83783336945233378</v>
      </c>
      <c r="N256" s="459">
        <f t="shared" si="110"/>
        <v>0.82768716665668662</v>
      </c>
      <c r="O256" s="327"/>
    </row>
    <row r="257" spans="1:15">
      <c r="B257" s="338" t="str">
        <f t="shared" si="98"/>
        <v>Total</v>
      </c>
      <c r="C257" s="459">
        <f>SUM(C247:C256)</f>
        <v>189.37650581623149</v>
      </c>
      <c r="D257" s="459">
        <f t="shared" ref="D257:N257" si="111">SUM(D247:D256)</f>
        <v>190.50399739945667</v>
      </c>
      <c r="E257" s="459">
        <f t="shared" si="111"/>
        <v>196.46819064331896</v>
      </c>
      <c r="F257" s="459">
        <f t="shared" si="111"/>
        <v>194.01390191691848</v>
      </c>
      <c r="G257" s="459">
        <f t="shared" si="111"/>
        <v>189.85134113115714</v>
      </c>
      <c r="H257" s="459">
        <f t="shared" si="111"/>
        <v>191.52841609655371</v>
      </c>
      <c r="I257" s="459">
        <f t="shared" si="111"/>
        <v>194.4866778323069</v>
      </c>
      <c r="J257" s="459">
        <f t="shared" si="111"/>
        <v>197.28412912867478</v>
      </c>
      <c r="K257" s="459">
        <f t="shared" si="111"/>
        <v>198.99432895721355</v>
      </c>
      <c r="L257" s="459">
        <f t="shared" si="111"/>
        <v>199.55925245661757</v>
      </c>
      <c r="M257" s="459">
        <f t="shared" si="111"/>
        <v>200.27493275308561</v>
      </c>
      <c r="N257" s="459">
        <f t="shared" si="111"/>
        <v>200.65706523409381</v>
      </c>
      <c r="O257" s="327"/>
    </row>
    <row r="258" spans="1:15">
      <c r="A258" s="309">
        <f>SUM(C258:N258)</f>
        <v>0</v>
      </c>
      <c r="C258" s="309">
        <f>SUM(C247:C256)-C257</f>
        <v>0</v>
      </c>
      <c r="D258" s="309">
        <f t="shared" ref="D258:N258" si="112">SUM(D247:D256)-D257</f>
        <v>0</v>
      </c>
      <c r="E258" s="309">
        <f t="shared" si="112"/>
        <v>0</v>
      </c>
      <c r="F258" s="309">
        <f t="shared" si="112"/>
        <v>0</v>
      </c>
      <c r="G258" s="309">
        <f t="shared" si="112"/>
        <v>0</v>
      </c>
      <c r="H258" s="309">
        <f t="shared" si="112"/>
        <v>0</v>
      </c>
      <c r="I258" s="309">
        <f t="shared" si="112"/>
        <v>0</v>
      </c>
      <c r="J258" s="309">
        <f t="shared" si="112"/>
        <v>0</v>
      </c>
      <c r="K258" s="309">
        <f t="shared" si="112"/>
        <v>0</v>
      </c>
      <c r="L258" s="309">
        <f t="shared" si="112"/>
        <v>0</v>
      </c>
      <c r="M258" s="309">
        <f t="shared" si="112"/>
        <v>0</v>
      </c>
      <c r="N258" s="309">
        <f t="shared" si="112"/>
        <v>0</v>
      </c>
    </row>
    <row r="260" spans="1:15">
      <c r="B260" s="341" t="s">
        <v>50</v>
      </c>
      <c r="C260" s="329"/>
      <c r="D260" s="329"/>
      <c r="E260" s="329"/>
      <c r="F260" s="329"/>
      <c r="G260" s="329"/>
      <c r="H260" s="339"/>
      <c r="I260" s="329"/>
      <c r="J260" s="329"/>
      <c r="K260" s="329"/>
      <c r="L260" s="329"/>
    </row>
    <row r="261" spans="1:15">
      <c r="C261" s="329"/>
      <c r="D261" s="329"/>
      <c r="E261" s="329"/>
      <c r="F261" s="329"/>
      <c r="G261" s="329"/>
      <c r="H261" s="339"/>
      <c r="I261" s="329"/>
      <c r="J261" s="329"/>
      <c r="K261" s="329"/>
      <c r="L261" s="329"/>
    </row>
    <row r="262" spans="1:15">
      <c r="B262" s="338" t="str">
        <f t="shared" ref="B262:B273" si="113">B246</f>
        <v>Age group</v>
      </c>
      <c r="C262" s="338" t="str">
        <f t="shared" ref="C262:N262" si="114">C246</f>
        <v>2016/17</v>
      </c>
      <c r="D262" s="338" t="str">
        <f t="shared" si="114"/>
        <v>2017/18</v>
      </c>
      <c r="E262" s="338" t="str">
        <f t="shared" si="114"/>
        <v>2018/19</v>
      </c>
      <c r="F262" s="338" t="str">
        <f t="shared" si="114"/>
        <v>2019/20</v>
      </c>
      <c r="G262" s="338" t="str">
        <f t="shared" si="114"/>
        <v>2020/21</v>
      </c>
      <c r="H262" s="338" t="str">
        <f t="shared" si="114"/>
        <v>2021/22</v>
      </c>
      <c r="I262" s="338" t="str">
        <f t="shared" si="114"/>
        <v>2022/23</v>
      </c>
      <c r="J262" s="338" t="str">
        <f t="shared" si="114"/>
        <v>2023/24</v>
      </c>
      <c r="K262" s="338" t="str">
        <f t="shared" si="114"/>
        <v>2024/25</v>
      </c>
      <c r="L262" s="338" t="str">
        <f t="shared" si="114"/>
        <v>2025/26</v>
      </c>
      <c r="M262" s="338" t="str">
        <f t="shared" si="114"/>
        <v>2026/27</v>
      </c>
      <c r="N262" s="338" t="str">
        <f t="shared" si="114"/>
        <v>2027/28</v>
      </c>
    </row>
    <row r="263" spans="1:15">
      <c r="B263" s="338" t="str">
        <f t="shared" si="113"/>
        <v>20-24</v>
      </c>
      <c r="C263" s="459">
        <f t="shared" ref="C263:C272" si="115">C93-C229</f>
        <v>29.273503761272586</v>
      </c>
      <c r="D263" s="459">
        <f t="shared" ref="D263:N263" si="116">D93-D229</f>
        <v>59.681184014375077</v>
      </c>
      <c r="E263" s="459">
        <f t="shared" si="116"/>
        <v>89.695153127658287</v>
      </c>
      <c r="F263" s="459">
        <f t="shared" si="116"/>
        <v>96.171866439602425</v>
      </c>
      <c r="G263" s="459">
        <f t="shared" si="116"/>
        <v>96.923120929107526</v>
      </c>
      <c r="H263" s="459">
        <f t="shared" si="116"/>
        <v>107.32951292015981</v>
      </c>
      <c r="I263" s="459">
        <f t="shared" si="116"/>
        <v>117.29332610409183</v>
      </c>
      <c r="J263" s="459">
        <f t="shared" si="116"/>
        <v>124.50866708863565</v>
      </c>
      <c r="K263" s="459">
        <f t="shared" si="116"/>
        <v>128.01715899426767</v>
      </c>
      <c r="L263" s="459">
        <f t="shared" si="116"/>
        <v>128.57738732634806</v>
      </c>
      <c r="M263" s="459">
        <f t="shared" si="116"/>
        <v>129.22737990174713</v>
      </c>
      <c r="N263" s="459">
        <f t="shared" si="116"/>
        <v>129.08168747885492</v>
      </c>
    </row>
    <row r="264" spans="1:15">
      <c r="B264" s="338" t="str">
        <f t="shared" si="113"/>
        <v>25-29</v>
      </c>
      <c r="C264" s="459">
        <f t="shared" si="115"/>
        <v>161.09106118767647</v>
      </c>
      <c r="D264" s="459">
        <f t="shared" ref="D264:N264" si="117">D94-D230</f>
        <v>173.09555364118893</v>
      </c>
      <c r="E264" s="459">
        <f t="shared" si="117"/>
        <v>198.22255144135244</v>
      </c>
      <c r="F264" s="459">
        <f t="shared" si="117"/>
        <v>202.40037715342893</v>
      </c>
      <c r="G264" s="459">
        <f t="shared" si="117"/>
        <v>201.55259537165071</v>
      </c>
      <c r="H264" s="459">
        <f t="shared" si="117"/>
        <v>213.98052298186178</v>
      </c>
      <c r="I264" s="459">
        <f t="shared" si="117"/>
        <v>228.22191865363988</v>
      </c>
      <c r="J264" s="459">
        <f t="shared" si="117"/>
        <v>240.51927128018306</v>
      </c>
      <c r="K264" s="459">
        <f t="shared" si="117"/>
        <v>248.62155759038347</v>
      </c>
      <c r="L264" s="459">
        <f t="shared" si="117"/>
        <v>252.60523590864682</v>
      </c>
      <c r="M264" s="459">
        <f t="shared" si="117"/>
        <v>255.92875089065865</v>
      </c>
      <c r="N264" s="459">
        <f t="shared" si="117"/>
        <v>257.66467336909182</v>
      </c>
    </row>
    <row r="265" spans="1:15">
      <c r="B265" s="338" t="str">
        <f t="shared" si="113"/>
        <v>30-34</v>
      </c>
      <c r="C265" s="459">
        <f t="shared" si="115"/>
        <v>192.64453287297042</v>
      </c>
      <c r="D265" s="459">
        <f t="shared" ref="D265:N265" si="118">D95-D231</f>
        <v>200.78552259427016</v>
      </c>
      <c r="E265" s="459">
        <f t="shared" si="118"/>
        <v>215.4994412830556</v>
      </c>
      <c r="F265" s="459">
        <f t="shared" si="118"/>
        <v>219.0334653065602</v>
      </c>
      <c r="G265" s="459">
        <f t="shared" si="118"/>
        <v>219.32025696111879</v>
      </c>
      <c r="H265" s="459">
        <f t="shared" si="118"/>
        <v>227.17453352796676</v>
      </c>
      <c r="I265" s="459">
        <f t="shared" si="118"/>
        <v>237.18793610318551</v>
      </c>
      <c r="J265" s="459">
        <f t="shared" si="118"/>
        <v>247.18721408458242</v>
      </c>
      <c r="K265" s="459">
        <f t="shared" si="118"/>
        <v>255.44141398176384</v>
      </c>
      <c r="L265" s="459">
        <f t="shared" si="118"/>
        <v>261.4148527770073</v>
      </c>
      <c r="M265" s="459">
        <f t="shared" si="118"/>
        <v>266.70322885059011</v>
      </c>
      <c r="N265" s="459">
        <f t="shared" si="118"/>
        <v>270.69132084828294</v>
      </c>
    </row>
    <row r="266" spans="1:15">
      <c r="B266" s="338" t="str">
        <f t="shared" si="113"/>
        <v>35-39</v>
      </c>
      <c r="C266" s="459">
        <f t="shared" si="115"/>
        <v>199.36643333502292</v>
      </c>
      <c r="D266" s="459">
        <f t="shared" ref="D266:N266" si="119">D96-D232</f>
        <v>201.96020436663176</v>
      </c>
      <c r="E266" s="459">
        <f t="shared" si="119"/>
        <v>209.6160595603283</v>
      </c>
      <c r="F266" s="459">
        <f t="shared" si="119"/>
        <v>210.3295877923882</v>
      </c>
      <c r="G266" s="459">
        <f t="shared" si="119"/>
        <v>209.52887619036019</v>
      </c>
      <c r="H266" s="459">
        <f t="shared" si="119"/>
        <v>214.0330492485069</v>
      </c>
      <c r="I266" s="459">
        <f t="shared" si="119"/>
        <v>220.08954141840687</v>
      </c>
      <c r="J266" s="459">
        <f t="shared" si="119"/>
        <v>226.4431908441307</v>
      </c>
      <c r="K266" s="459">
        <f t="shared" si="119"/>
        <v>232.12121064882956</v>
      </c>
      <c r="L266" s="459">
        <f t="shared" si="119"/>
        <v>236.82586743033323</v>
      </c>
      <c r="M266" s="459">
        <f t="shared" si="119"/>
        <v>241.51461359852146</v>
      </c>
      <c r="N266" s="459">
        <f t="shared" si="119"/>
        <v>245.62658129399478</v>
      </c>
    </row>
    <row r="267" spans="1:15">
      <c r="B267" s="338" t="str">
        <f t="shared" si="113"/>
        <v>40-44</v>
      </c>
      <c r="C267" s="459">
        <f t="shared" si="115"/>
        <v>234.49089212667275</v>
      </c>
      <c r="D267" s="459">
        <f t="shared" ref="D267:N267" si="120">D97-D233</f>
        <v>226.43480031835776</v>
      </c>
      <c r="E267" s="459">
        <f t="shared" si="120"/>
        <v>224.49924257706977</v>
      </c>
      <c r="F267" s="459">
        <f t="shared" si="120"/>
        <v>218.13981007930198</v>
      </c>
      <c r="G267" s="459">
        <f t="shared" si="120"/>
        <v>211.93222450129193</v>
      </c>
      <c r="H267" s="459">
        <f t="shared" si="120"/>
        <v>211.39297569032107</v>
      </c>
      <c r="I267" s="459">
        <f t="shared" si="120"/>
        <v>212.90509022520035</v>
      </c>
      <c r="J267" s="459">
        <f t="shared" si="120"/>
        <v>215.18525512263622</v>
      </c>
      <c r="K267" s="459">
        <f t="shared" si="120"/>
        <v>217.34578100443233</v>
      </c>
      <c r="L267" s="459">
        <f t="shared" si="120"/>
        <v>219.16419541237445</v>
      </c>
      <c r="M267" s="459">
        <f t="shared" si="120"/>
        <v>221.48176763638139</v>
      </c>
      <c r="N267" s="459">
        <f t="shared" si="120"/>
        <v>223.79983287159266</v>
      </c>
    </row>
    <row r="268" spans="1:15">
      <c r="B268" s="338" t="str">
        <f t="shared" si="113"/>
        <v>45-49</v>
      </c>
      <c r="C268" s="459">
        <f t="shared" si="115"/>
        <v>269.22501799104856</v>
      </c>
      <c r="D268" s="459">
        <f t="shared" ref="D268:N268" si="121">D98-D234</f>
        <v>254.36341483871226</v>
      </c>
      <c r="E268" s="459">
        <f t="shared" si="121"/>
        <v>244.8139092526589</v>
      </c>
      <c r="F268" s="459">
        <f t="shared" si="121"/>
        <v>232.30810916898815</v>
      </c>
      <c r="G268" s="459">
        <f t="shared" si="121"/>
        <v>220.61595987652726</v>
      </c>
      <c r="H268" s="459">
        <f t="shared" si="121"/>
        <v>214.26846683608835</v>
      </c>
      <c r="I268" s="459">
        <f t="shared" si="121"/>
        <v>210.37484812045412</v>
      </c>
      <c r="J268" s="459">
        <f t="shared" si="121"/>
        <v>207.82694659506353</v>
      </c>
      <c r="K268" s="459">
        <f t="shared" si="121"/>
        <v>205.80995444210686</v>
      </c>
      <c r="L268" s="459">
        <f t="shared" si="121"/>
        <v>204.0569664970478</v>
      </c>
      <c r="M268" s="459">
        <f t="shared" si="121"/>
        <v>203.18834108563311</v>
      </c>
      <c r="N268" s="459">
        <f t="shared" si="121"/>
        <v>202.76641167395672</v>
      </c>
    </row>
    <row r="269" spans="1:15">
      <c r="B269" s="338" t="str">
        <f t="shared" si="113"/>
        <v>50-54</v>
      </c>
      <c r="C269" s="459">
        <f t="shared" si="115"/>
        <v>276.56358671485486</v>
      </c>
      <c r="D269" s="459">
        <f t="shared" ref="D269:N269" si="122">D99-D235</f>
        <v>253.77805426112815</v>
      </c>
      <c r="E269" s="459">
        <f t="shared" si="122"/>
        <v>237.02225094143782</v>
      </c>
      <c r="F269" s="459">
        <f t="shared" si="122"/>
        <v>219.72978412875506</v>
      </c>
      <c r="G269" s="459">
        <f t="shared" si="122"/>
        <v>204.27271695539136</v>
      </c>
      <c r="H269" s="459">
        <f t="shared" si="122"/>
        <v>193.66691514419134</v>
      </c>
      <c r="I269" s="459">
        <f t="shared" si="122"/>
        <v>185.63862436469861</v>
      </c>
      <c r="J269" s="459">
        <f t="shared" si="122"/>
        <v>179.27347037123405</v>
      </c>
      <c r="K269" s="459">
        <f t="shared" si="122"/>
        <v>173.89557525446494</v>
      </c>
      <c r="L269" s="459">
        <f t="shared" si="122"/>
        <v>169.23767133495204</v>
      </c>
      <c r="M269" s="459">
        <f t="shared" si="122"/>
        <v>165.68112701213886</v>
      </c>
      <c r="N269" s="459">
        <f t="shared" si="122"/>
        <v>162.85062639770865</v>
      </c>
    </row>
    <row r="270" spans="1:15">
      <c r="B270" s="338" t="str">
        <f t="shared" si="113"/>
        <v>55-59</v>
      </c>
      <c r="C270" s="459">
        <f t="shared" si="115"/>
        <v>210.58457213209857</v>
      </c>
      <c r="D270" s="459">
        <f t="shared" ref="D270:N270" si="123">D100-D236</f>
        <v>173.08195101893881</v>
      </c>
      <c r="E270" s="459">
        <f t="shared" si="123"/>
        <v>148.42612614440026</v>
      </c>
      <c r="F270" s="459">
        <f t="shared" si="123"/>
        <v>128.99393422817201</v>
      </c>
      <c r="G270" s="459">
        <f t="shared" si="123"/>
        <v>114.21196303460611</v>
      </c>
      <c r="H270" s="459">
        <f t="shared" si="123"/>
        <v>104.47935696230863</v>
      </c>
      <c r="I270" s="459">
        <f t="shared" si="123"/>
        <v>97.43353682357089</v>
      </c>
      <c r="J270" s="459">
        <f t="shared" si="123"/>
        <v>92.029466276499605</v>
      </c>
      <c r="K270" s="459">
        <f t="shared" si="123"/>
        <v>87.604161815231549</v>
      </c>
      <c r="L270" s="459">
        <f t="shared" si="123"/>
        <v>83.868542467269506</v>
      </c>
      <c r="M270" s="459">
        <f t="shared" si="123"/>
        <v>80.971321760552513</v>
      </c>
      <c r="N270" s="459">
        <f t="shared" si="123"/>
        <v>78.616284737950807</v>
      </c>
    </row>
    <row r="271" spans="1:15">
      <c r="B271" s="338" t="str">
        <f t="shared" si="113"/>
        <v>60-64</v>
      </c>
      <c r="C271" s="459">
        <f t="shared" si="115"/>
        <v>65.175441515417347</v>
      </c>
      <c r="D271" s="459">
        <f t="shared" ref="D271:N271" si="124">D101-D237</f>
        <v>56.377909545824608</v>
      </c>
      <c r="E271" s="459">
        <f t="shared" si="124"/>
        <v>48.54111184765388</v>
      </c>
      <c r="F271" s="459">
        <f t="shared" si="124"/>
        <v>41.221670151603782</v>
      </c>
      <c r="G271" s="459">
        <f t="shared" si="124"/>
        <v>35.403164976560355</v>
      </c>
      <c r="H271" s="459">
        <f t="shared" si="124"/>
        <v>31.631603287515279</v>
      </c>
      <c r="I271" s="459">
        <f t="shared" si="124"/>
        <v>28.937870144874914</v>
      </c>
      <c r="J271" s="459">
        <f t="shared" si="124"/>
        <v>26.900594220495371</v>
      </c>
      <c r="K271" s="459">
        <f t="shared" si="124"/>
        <v>25.247870008171589</v>
      </c>
      <c r="L271" s="459">
        <f t="shared" si="124"/>
        <v>23.865550839014251</v>
      </c>
      <c r="M271" s="459">
        <f t="shared" si="124"/>
        <v>22.818069894308355</v>
      </c>
      <c r="N271" s="459">
        <f t="shared" si="124"/>
        <v>21.968707045431493</v>
      </c>
    </row>
    <row r="272" spans="1:15">
      <c r="B272" s="338" t="str">
        <f t="shared" si="113"/>
        <v>65 plus</v>
      </c>
      <c r="C272" s="459">
        <f t="shared" si="115"/>
        <v>14.035305779457632</v>
      </c>
      <c r="D272" s="459">
        <f t="shared" ref="D272:N272" si="125">D102-D238</f>
        <v>14.210709325182075</v>
      </c>
      <c r="E272" s="459">
        <f t="shared" si="125"/>
        <v>13.584827891331324</v>
      </c>
      <c r="F272" s="459">
        <f t="shared" si="125"/>
        <v>12.204472586365586</v>
      </c>
      <c r="G272" s="459">
        <f t="shared" si="125"/>
        <v>10.71540003617625</v>
      </c>
      <c r="H272" s="459">
        <f t="shared" si="125"/>
        <v>9.588346936941889</v>
      </c>
      <c r="I272" s="459">
        <f t="shared" si="125"/>
        <v>8.7024113725148791</v>
      </c>
      <c r="J272" s="459">
        <f t="shared" si="125"/>
        <v>7.9962561043628266</v>
      </c>
      <c r="K272" s="459">
        <f t="shared" si="125"/>
        <v>7.4108298114632642</v>
      </c>
      <c r="L272" s="459">
        <f t="shared" si="125"/>
        <v>6.9177534566281</v>
      </c>
      <c r="M272" s="459">
        <f t="shared" si="125"/>
        <v>6.5400615096735315</v>
      </c>
      <c r="N272" s="459">
        <f t="shared" si="125"/>
        <v>6.2363237949583761</v>
      </c>
    </row>
    <row r="273" spans="1:16">
      <c r="B273" s="338" t="str">
        <f t="shared" si="113"/>
        <v>Total</v>
      </c>
      <c r="C273" s="459">
        <f>SUM(C263:C272)</f>
        <v>1652.4503474164919</v>
      </c>
      <c r="D273" s="459">
        <f t="shared" ref="D273:N273" si="126">SUM(D263:D272)</f>
        <v>1613.7693039246094</v>
      </c>
      <c r="E273" s="459">
        <f t="shared" si="126"/>
        <v>1629.9206740669465</v>
      </c>
      <c r="F273" s="459">
        <f t="shared" si="126"/>
        <v>1580.5330770351666</v>
      </c>
      <c r="G273" s="459">
        <f t="shared" si="126"/>
        <v>1524.4762788327905</v>
      </c>
      <c r="H273" s="459">
        <f t="shared" si="126"/>
        <v>1527.5452835358619</v>
      </c>
      <c r="I273" s="459">
        <f t="shared" si="126"/>
        <v>1546.7851033306379</v>
      </c>
      <c r="J273" s="459">
        <f t="shared" si="126"/>
        <v>1567.870331987823</v>
      </c>
      <c r="K273" s="459">
        <f t="shared" si="126"/>
        <v>1581.515513551115</v>
      </c>
      <c r="L273" s="459">
        <f t="shared" si="126"/>
        <v>1586.5340234496216</v>
      </c>
      <c r="M273" s="459">
        <f t="shared" si="126"/>
        <v>1594.054662140205</v>
      </c>
      <c r="N273" s="459">
        <f t="shared" si="126"/>
        <v>1599.3024495118232</v>
      </c>
    </row>
    <row r="274" spans="1:16">
      <c r="A274" s="309">
        <f>SUM(C274:N274)</f>
        <v>0</v>
      </c>
      <c r="C274" s="309">
        <f>SUM(C263:C272)-C273</f>
        <v>0</v>
      </c>
      <c r="D274" s="309">
        <f t="shared" ref="D274:N274" si="127">SUM(D263:D272)-D273</f>
        <v>0</v>
      </c>
      <c r="E274" s="309">
        <f t="shared" si="127"/>
        <v>0</v>
      </c>
      <c r="F274" s="309">
        <f t="shared" si="127"/>
        <v>0</v>
      </c>
      <c r="G274" s="309">
        <f t="shared" si="127"/>
        <v>0</v>
      </c>
      <c r="H274" s="309">
        <f t="shared" si="127"/>
        <v>0</v>
      </c>
      <c r="I274" s="309">
        <f t="shared" si="127"/>
        <v>0</v>
      </c>
      <c r="J274" s="309">
        <f t="shared" si="127"/>
        <v>0</v>
      </c>
      <c r="K274" s="309">
        <f t="shared" si="127"/>
        <v>0</v>
      </c>
      <c r="L274" s="309">
        <f t="shared" si="127"/>
        <v>0</v>
      </c>
      <c r="M274" s="309">
        <f t="shared" si="127"/>
        <v>0</v>
      </c>
      <c r="N274" s="309">
        <f t="shared" si="127"/>
        <v>0</v>
      </c>
    </row>
    <row r="275" spans="1:16" ht="15.75">
      <c r="B275" s="340"/>
      <c r="H275" s="327"/>
    </row>
    <row r="276" spans="1:16" ht="15.75">
      <c r="B276" s="340" t="s">
        <v>1621</v>
      </c>
      <c r="H276" s="327"/>
    </row>
    <row r="277" spans="1:16" ht="15.75">
      <c r="B277" s="340"/>
      <c r="H277" s="327"/>
    </row>
    <row r="278" spans="1:16" ht="15.75">
      <c r="B278" s="340"/>
      <c r="C278" s="326" t="str">
        <f>C262</f>
        <v>2016/17</v>
      </c>
      <c r="D278" s="326" t="str">
        <f t="shared" ref="D278:N278" si="128">D262</f>
        <v>2017/18</v>
      </c>
      <c r="E278" s="326" t="str">
        <f t="shared" si="128"/>
        <v>2018/19</v>
      </c>
      <c r="F278" s="326" t="str">
        <f t="shared" si="128"/>
        <v>2019/20</v>
      </c>
      <c r="G278" s="326" t="str">
        <f t="shared" si="128"/>
        <v>2020/21</v>
      </c>
      <c r="H278" s="326" t="str">
        <f t="shared" si="128"/>
        <v>2021/22</v>
      </c>
      <c r="I278" s="326" t="str">
        <f t="shared" si="128"/>
        <v>2022/23</v>
      </c>
      <c r="J278" s="326" t="str">
        <f t="shared" si="128"/>
        <v>2023/24</v>
      </c>
      <c r="K278" s="326" t="str">
        <f t="shared" si="128"/>
        <v>2024/25</v>
      </c>
      <c r="L278" s="326" t="str">
        <f t="shared" si="128"/>
        <v>2025/26</v>
      </c>
      <c r="M278" s="326" t="str">
        <f t="shared" si="128"/>
        <v>2026/27</v>
      </c>
      <c r="N278" s="326" t="str">
        <f t="shared" si="128"/>
        <v>2027/28</v>
      </c>
    </row>
    <row r="279" spans="1:16">
      <c r="B279" s="326" t="s">
        <v>401</v>
      </c>
      <c r="C279" s="459">
        <f>C223+C239</f>
        <v>290.36442581182672</v>
      </c>
      <c r="D279" s="459">
        <f t="shared" ref="D279:K279" si="129">D223+D239</f>
        <v>271.62590741019994</v>
      </c>
      <c r="E279" s="459">
        <f t="shared" si="129"/>
        <v>262.16061296348812</v>
      </c>
      <c r="F279" s="459">
        <f t="shared" si="129"/>
        <v>246.01242158201075</v>
      </c>
      <c r="G279" s="459">
        <f t="shared" si="129"/>
        <v>231.04643809048756</v>
      </c>
      <c r="H279" s="459">
        <f t="shared" si="129"/>
        <v>225.63100134345206</v>
      </c>
      <c r="I279" s="459">
        <f t="shared" si="129"/>
        <v>223.50296211597819</v>
      </c>
      <c r="J279" s="459">
        <f t="shared" si="129"/>
        <v>222.46522455647829</v>
      </c>
      <c r="K279" s="459">
        <f t="shared" si="129"/>
        <v>221.10485029873414</v>
      </c>
      <c r="L279" s="459">
        <f>L223+L239</f>
        <v>219.15613047244594</v>
      </c>
      <c r="M279" s="459">
        <f>M223+M239</f>
        <v>218.01352015243887</v>
      </c>
      <c r="N279" s="459">
        <f>N223+N239</f>
        <v>216.94335365489127</v>
      </c>
      <c r="O279" s="327"/>
      <c r="P279" s="327"/>
    </row>
    <row r="280" spans="1:16">
      <c r="B280" s="326" t="s">
        <v>402</v>
      </c>
      <c r="C280" s="459">
        <f>C155+C171</f>
        <v>129.59354831942485</v>
      </c>
      <c r="D280" s="459">
        <f t="shared" ref="D280:N280" si="130">D155+D171</f>
        <v>112.10287595256027</v>
      </c>
      <c r="E280" s="459">
        <f t="shared" si="130"/>
        <v>98.675290893888814</v>
      </c>
      <c r="F280" s="459">
        <f t="shared" si="130"/>
        <v>86.332021476651292</v>
      </c>
      <c r="G280" s="459">
        <f t="shared" si="130"/>
        <v>76.309342093385311</v>
      </c>
      <c r="H280" s="459">
        <f t="shared" si="130"/>
        <v>69.711513130209212</v>
      </c>
      <c r="I280" s="459">
        <f t="shared" si="130"/>
        <v>64.922362220911424</v>
      </c>
      <c r="J280" s="459">
        <f t="shared" si="130"/>
        <v>61.243065438318837</v>
      </c>
      <c r="K280" s="459">
        <f t="shared" si="130"/>
        <v>58.210515788563256</v>
      </c>
      <c r="L280" s="459">
        <f t="shared" si="130"/>
        <v>55.633441063508457</v>
      </c>
      <c r="M280" s="459">
        <f t="shared" si="130"/>
        <v>53.656255832516351</v>
      </c>
      <c r="N280" s="459">
        <f t="shared" si="130"/>
        <v>52.044839400200068</v>
      </c>
      <c r="O280" s="327"/>
      <c r="P280" s="327"/>
    </row>
    <row r="281" spans="1:16">
      <c r="B281" s="326" t="s">
        <v>524</v>
      </c>
      <c r="C281" s="459">
        <f>C189+C205</f>
        <v>1.7944570342629229</v>
      </c>
      <c r="D281" s="459">
        <f t="shared" ref="D281:N281" si="131">D189+D205</f>
        <v>1.6370281595134173</v>
      </c>
      <c r="E281" s="459">
        <f t="shared" si="131"/>
        <v>1.5093569618148863</v>
      </c>
      <c r="F281" s="459">
        <f t="shared" si="131"/>
        <v>1.3682987952577548</v>
      </c>
      <c r="G281" s="459">
        <f t="shared" si="131"/>
        <v>1.2434941573331006</v>
      </c>
      <c r="H281" s="459">
        <f t="shared" si="131"/>
        <v>1.1628021494072258</v>
      </c>
      <c r="I281" s="459">
        <f t="shared" si="131"/>
        <v>1.105181048106529</v>
      </c>
      <c r="J281" s="459">
        <f t="shared" si="131"/>
        <v>1.0616837675301372</v>
      </c>
      <c r="K281" s="459">
        <f t="shared" si="131"/>
        <v>1.0258399309836719</v>
      </c>
      <c r="L281" s="459">
        <f t="shared" si="131"/>
        <v>0.99507339437019915</v>
      </c>
      <c r="M281" s="459">
        <f t="shared" si="131"/>
        <v>0.97240394640180261</v>
      </c>
      <c r="N281" s="459">
        <f t="shared" si="131"/>
        <v>0.95432404725315578</v>
      </c>
      <c r="O281" s="327"/>
      <c r="P281" s="327"/>
    </row>
    <row r="282" spans="1:16">
      <c r="B282" s="326" t="s">
        <v>403</v>
      </c>
      <c r="C282" s="459">
        <f>C121+C137</f>
        <v>158.9764204581389</v>
      </c>
      <c r="D282" s="459">
        <f t="shared" ref="D282:N282" si="132">D121+D137</f>
        <v>157.88600329812618</v>
      </c>
      <c r="E282" s="459">
        <f t="shared" si="132"/>
        <v>161.97596510778442</v>
      </c>
      <c r="F282" s="459">
        <f t="shared" si="132"/>
        <v>158.31210131010172</v>
      </c>
      <c r="G282" s="459">
        <f t="shared" si="132"/>
        <v>153.49360183976916</v>
      </c>
      <c r="H282" s="459">
        <f t="shared" si="132"/>
        <v>154.75668606383567</v>
      </c>
      <c r="I282" s="459">
        <f t="shared" si="132"/>
        <v>157.4754188469602</v>
      </c>
      <c r="J282" s="459">
        <f t="shared" si="132"/>
        <v>160.16047535062933</v>
      </c>
      <c r="K282" s="459">
        <f t="shared" si="132"/>
        <v>161.86849457918717</v>
      </c>
      <c r="L282" s="459">
        <f t="shared" si="132"/>
        <v>162.52761601456729</v>
      </c>
      <c r="M282" s="459">
        <f t="shared" si="132"/>
        <v>163.38486037352067</v>
      </c>
      <c r="N282" s="459">
        <f t="shared" si="132"/>
        <v>163.94419020743803</v>
      </c>
      <c r="O282" s="327"/>
      <c r="P282" s="327"/>
    </row>
    <row r="283" spans="1:16" ht="15.75">
      <c r="A283" s="309">
        <f>SUM(C283:N283)</f>
        <v>0</v>
      </c>
      <c r="B283" s="340"/>
      <c r="C283" s="309">
        <f>C279-C280-C281-C282</f>
        <v>0</v>
      </c>
      <c r="D283" s="309">
        <f t="shared" ref="D283:N283" si="133">D279-D280-D281-D282</f>
        <v>0</v>
      </c>
      <c r="E283" s="309">
        <f t="shared" si="133"/>
        <v>0</v>
      </c>
      <c r="F283" s="309">
        <f t="shared" si="133"/>
        <v>0</v>
      </c>
      <c r="G283" s="309">
        <f t="shared" si="133"/>
        <v>0</v>
      </c>
      <c r="H283" s="309">
        <f t="shared" si="133"/>
        <v>0</v>
      </c>
      <c r="I283" s="309">
        <f t="shared" si="133"/>
        <v>0</v>
      </c>
      <c r="J283" s="309">
        <f t="shared" si="133"/>
        <v>0</v>
      </c>
      <c r="K283" s="309">
        <f t="shared" si="133"/>
        <v>0</v>
      </c>
      <c r="L283" s="309">
        <f t="shared" si="133"/>
        <v>0</v>
      </c>
      <c r="M283" s="309">
        <f t="shared" si="133"/>
        <v>0</v>
      </c>
      <c r="N283" s="309">
        <f t="shared" si="133"/>
        <v>0</v>
      </c>
    </row>
    <row r="284" spans="1:16" ht="15.75">
      <c r="B284" s="340"/>
      <c r="H284" s="327"/>
    </row>
    <row r="285" spans="1:16" ht="15.75">
      <c r="B285" s="340" t="s">
        <v>1622</v>
      </c>
      <c r="F285" s="364"/>
      <c r="G285" s="364" t="s">
        <v>265</v>
      </c>
      <c r="H285" s="327"/>
    </row>
    <row r="286" spans="1:16" ht="15.75">
      <c r="B286" s="340"/>
      <c r="H286" s="327"/>
    </row>
    <row r="287" spans="1:16" ht="15.75">
      <c r="B287" s="340" t="s">
        <v>199</v>
      </c>
      <c r="H287" s="327"/>
    </row>
    <row r="288" spans="1:16" ht="15.75">
      <c r="B288" s="340"/>
      <c r="H288" s="327"/>
    </row>
    <row r="289" spans="2:16" ht="15.75">
      <c r="B289" s="340"/>
      <c r="C289" s="326" t="str">
        <f>C278</f>
        <v>2016/17</v>
      </c>
      <c r="D289" s="326" t="str">
        <f t="shared" ref="D289:N289" si="134">D278</f>
        <v>2017/18</v>
      </c>
      <c r="E289" s="326" t="str">
        <f t="shared" si="134"/>
        <v>2018/19</v>
      </c>
      <c r="F289" s="326" t="str">
        <f t="shared" si="134"/>
        <v>2019/20</v>
      </c>
      <c r="G289" s="326" t="str">
        <f t="shared" si="134"/>
        <v>2020/21</v>
      </c>
      <c r="H289" s="326" t="str">
        <f t="shared" si="134"/>
        <v>2021/22</v>
      </c>
      <c r="I289" s="326" t="str">
        <f t="shared" si="134"/>
        <v>2022/23</v>
      </c>
      <c r="J289" s="326" t="str">
        <f t="shared" si="134"/>
        <v>2023/24</v>
      </c>
      <c r="K289" s="326" t="str">
        <f t="shared" si="134"/>
        <v>2024/25</v>
      </c>
      <c r="L289" s="326" t="str">
        <f t="shared" si="134"/>
        <v>2025/26</v>
      </c>
      <c r="M289" s="326" t="str">
        <f t="shared" si="134"/>
        <v>2026/27</v>
      </c>
      <c r="N289" s="326" t="str">
        <f t="shared" si="134"/>
        <v>2027/28</v>
      </c>
    </row>
    <row r="290" spans="2:16" ht="15.75">
      <c r="B290" s="340"/>
      <c r="C290" s="459">
        <f>C53+C69-C15</f>
        <v>0</v>
      </c>
      <c r="D290" s="459">
        <f>D53+D69-D15</f>
        <v>0</v>
      </c>
      <c r="E290" s="459">
        <f>E53+E69-E15</f>
        <v>0</v>
      </c>
      <c r="F290" s="459">
        <f t="shared" ref="F290:N290" si="135">F53+F69-F15</f>
        <v>0</v>
      </c>
      <c r="G290" s="459">
        <f t="shared" si="135"/>
        <v>0</v>
      </c>
      <c r="H290" s="459">
        <f t="shared" si="135"/>
        <v>0</v>
      </c>
      <c r="I290" s="459">
        <f t="shared" si="135"/>
        <v>0</v>
      </c>
      <c r="J290" s="459">
        <f t="shared" si="135"/>
        <v>0</v>
      </c>
      <c r="K290" s="459">
        <f t="shared" si="135"/>
        <v>0</v>
      </c>
      <c r="L290" s="459">
        <f t="shared" si="135"/>
        <v>0</v>
      </c>
      <c r="M290" s="459">
        <f t="shared" si="135"/>
        <v>0</v>
      </c>
      <c r="N290" s="459">
        <f t="shared" si="135"/>
        <v>0</v>
      </c>
    </row>
    <row r="291" spans="2:16" ht="15.75">
      <c r="B291" s="340"/>
      <c r="C291" s="327"/>
      <c r="D291" s="327"/>
      <c r="E291" s="327"/>
      <c r="F291" s="327"/>
      <c r="G291" s="327"/>
      <c r="H291" s="327"/>
      <c r="I291" s="327"/>
      <c r="J291" s="327"/>
      <c r="K291" s="327"/>
      <c r="L291" s="327"/>
      <c r="M291" s="327"/>
      <c r="N291" s="327"/>
    </row>
    <row r="292" spans="2:16" ht="15.75">
      <c r="B292" s="340" t="s">
        <v>263</v>
      </c>
      <c r="H292" s="327"/>
    </row>
    <row r="293" spans="2:16" ht="15.75">
      <c r="B293" s="340"/>
      <c r="C293" s="365" t="str">
        <f t="shared" ref="C293:N293" si="136">C262</f>
        <v>2016/17</v>
      </c>
      <c r="D293" s="365" t="str">
        <f t="shared" si="136"/>
        <v>2017/18</v>
      </c>
      <c r="E293" s="365" t="str">
        <f t="shared" si="136"/>
        <v>2018/19</v>
      </c>
      <c r="F293" s="365" t="str">
        <f t="shared" si="136"/>
        <v>2019/20</v>
      </c>
      <c r="G293" s="365" t="str">
        <f t="shared" si="136"/>
        <v>2020/21</v>
      </c>
      <c r="H293" s="365" t="str">
        <f t="shared" si="136"/>
        <v>2021/22</v>
      </c>
      <c r="I293" s="365" t="str">
        <f t="shared" si="136"/>
        <v>2022/23</v>
      </c>
      <c r="J293" s="365" t="str">
        <f t="shared" si="136"/>
        <v>2023/24</v>
      </c>
      <c r="K293" s="365" t="str">
        <f t="shared" si="136"/>
        <v>2024/25</v>
      </c>
      <c r="L293" s="365" t="str">
        <f t="shared" si="136"/>
        <v>2025/26</v>
      </c>
      <c r="M293" s="365" t="str">
        <f t="shared" si="136"/>
        <v>2026/27</v>
      </c>
      <c r="N293" s="365" t="str">
        <f t="shared" si="136"/>
        <v>2027/28</v>
      </c>
    </row>
    <row r="294" spans="2:16">
      <c r="B294" s="363" t="s">
        <v>266</v>
      </c>
      <c r="C294" s="459">
        <f>C36-C15+C279-C290</f>
        <v>234.07235550154263</v>
      </c>
      <c r="D294" s="459">
        <f t="shared" ref="D294:N294" si="137">D36-D15+D279-D290</f>
        <v>284.27617634968738</v>
      </c>
      <c r="E294" s="459">
        <f t="shared" si="137"/>
        <v>194.17053582383005</v>
      </c>
      <c r="F294" s="459">
        <f t="shared" si="137"/>
        <v>170.8270791023503</v>
      </c>
      <c r="G294" s="459">
        <f t="shared" si="137"/>
        <v>230.37708101191996</v>
      </c>
      <c r="H294" s="459">
        <f t="shared" si="137"/>
        <v>245.70104364650734</v>
      </c>
      <c r="I294" s="459">
        <f t="shared" si="137"/>
        <v>246.34790451003173</v>
      </c>
      <c r="J294" s="459">
        <f t="shared" si="137"/>
        <v>236.46023169056463</v>
      </c>
      <c r="K294" s="459">
        <f t="shared" si="137"/>
        <v>224.73956387035648</v>
      </c>
      <c r="L294" s="459">
        <f t="shared" si="137"/>
        <v>226.24983913949038</v>
      </c>
      <c r="M294" s="459">
        <f t="shared" si="137"/>
        <v>222.57327350751743</v>
      </c>
      <c r="N294" s="459">
        <f t="shared" si="137"/>
        <v>210.23572617202188</v>
      </c>
    </row>
    <row r="295" spans="2:16" ht="12.75" customHeight="1">
      <c r="B295" s="1243" t="s">
        <v>264</v>
      </c>
      <c r="C295" s="1243"/>
      <c r="D295" s="1243"/>
      <c r="E295" s="1243"/>
      <c r="F295" s="1243"/>
      <c r="G295" s="1243"/>
      <c r="H295" s="1243"/>
      <c r="I295" s="1243"/>
      <c r="J295" s="1243"/>
      <c r="K295" s="1243"/>
      <c r="L295" s="1243"/>
      <c r="M295" s="1243"/>
      <c r="N295" s="1243"/>
    </row>
    <row r="296" spans="2:16">
      <c r="B296" s="326" t="s">
        <v>396</v>
      </c>
      <c r="C296" s="282">
        <f>IF(C294&lt;0,0,C294)</f>
        <v>234.07235550154263</v>
      </c>
      <c r="D296" s="282">
        <f t="shared" ref="D296:N296" si="138">IF(D294&lt;0,0,D294)</f>
        <v>284.27617634968738</v>
      </c>
      <c r="E296" s="282">
        <f t="shared" si="138"/>
        <v>194.17053582383005</v>
      </c>
      <c r="F296" s="282">
        <f t="shared" si="138"/>
        <v>170.8270791023503</v>
      </c>
      <c r="G296" s="282">
        <f t="shared" si="138"/>
        <v>230.37708101191996</v>
      </c>
      <c r="H296" s="282">
        <f t="shared" si="138"/>
        <v>245.70104364650734</v>
      </c>
      <c r="I296" s="282">
        <f t="shared" si="138"/>
        <v>246.34790451003173</v>
      </c>
      <c r="J296" s="282">
        <f t="shared" si="138"/>
        <v>236.46023169056463</v>
      </c>
      <c r="K296" s="282">
        <f t="shared" si="138"/>
        <v>224.73956387035648</v>
      </c>
      <c r="L296" s="282">
        <f t="shared" si="138"/>
        <v>226.24983913949038</v>
      </c>
      <c r="M296" s="282">
        <f t="shared" si="138"/>
        <v>222.57327350751743</v>
      </c>
      <c r="N296" s="282">
        <f t="shared" si="138"/>
        <v>210.23572617202188</v>
      </c>
    </row>
    <row r="297" spans="2:16" ht="15.75">
      <c r="B297" s="340"/>
      <c r="H297" s="327"/>
    </row>
    <row r="298" spans="2:16" ht="15.75">
      <c r="B298" s="340" t="s">
        <v>162</v>
      </c>
      <c r="H298" s="327"/>
    </row>
    <row r="299" spans="2:16" ht="15.75">
      <c r="B299" s="340"/>
      <c r="H299" s="327"/>
    </row>
    <row r="300" spans="2:16">
      <c r="B300" s="341" t="s">
        <v>49</v>
      </c>
      <c r="H300" s="325"/>
    </row>
    <row r="301" spans="2:16">
      <c r="H301" s="325"/>
    </row>
    <row r="302" spans="2:16">
      <c r="B302" s="338" t="str">
        <f t="shared" ref="B302:B313" si="139">B262</f>
        <v>Age group</v>
      </c>
      <c r="C302" s="338" t="str">
        <f>C293</f>
        <v>2016/17</v>
      </c>
      <c r="D302" s="338" t="str">
        <f t="shared" ref="D302:N302" si="140">D293</f>
        <v>2017/18</v>
      </c>
      <c r="E302" s="338" t="str">
        <f t="shared" si="140"/>
        <v>2018/19</v>
      </c>
      <c r="F302" s="338" t="str">
        <f t="shared" si="140"/>
        <v>2019/20</v>
      </c>
      <c r="G302" s="338" t="str">
        <f t="shared" si="140"/>
        <v>2020/21</v>
      </c>
      <c r="H302" s="338" t="str">
        <f t="shared" si="140"/>
        <v>2021/22</v>
      </c>
      <c r="I302" s="338" t="str">
        <f t="shared" si="140"/>
        <v>2022/23</v>
      </c>
      <c r="J302" s="338" t="str">
        <f t="shared" si="140"/>
        <v>2023/24</v>
      </c>
      <c r="K302" s="338" t="str">
        <f t="shared" si="140"/>
        <v>2024/25</v>
      </c>
      <c r="L302" s="338" t="str">
        <f t="shared" si="140"/>
        <v>2025/26</v>
      </c>
      <c r="M302" s="338" t="str">
        <f t="shared" si="140"/>
        <v>2026/27</v>
      </c>
      <c r="N302" s="338" t="str">
        <f t="shared" si="140"/>
        <v>2027/28</v>
      </c>
    </row>
    <row r="303" spans="2:16">
      <c r="B303" s="338" t="str">
        <f t="shared" si="139"/>
        <v>20-24</v>
      </c>
      <c r="C303" s="459">
        <f>C$296*Entrant_age_breakdowns!$K76*$G$31</f>
        <v>6.0156516676956828</v>
      </c>
      <c r="D303" s="459">
        <f>D$296*Entrant_age_breakdowns!$K76*$G$31</f>
        <v>7.3058881758161256</v>
      </c>
      <c r="E303" s="459">
        <f>E$296*Entrant_age_breakdowns!$K76*$G$31</f>
        <v>4.9901762433380963</v>
      </c>
      <c r="F303" s="459">
        <f>F$296*Entrant_age_breakdowns!$K76*$G$31</f>
        <v>4.3902501903214421</v>
      </c>
      <c r="G303" s="459">
        <f>G$296*Entrant_age_breakdowns!$K76*$G$31</f>
        <v>5.9206832375345844</v>
      </c>
      <c r="H303" s="459">
        <f>H$296*Entrant_age_breakdowns!$K76*$G$31</f>
        <v>6.3145085621054493</v>
      </c>
      <c r="I303" s="459">
        <f>I$296*Entrant_age_breakdowns!$K76*$G$31</f>
        <v>6.331132864552826</v>
      </c>
      <c r="J303" s="459">
        <f>J$296*Entrant_age_breakdowns!$K76*$G$31</f>
        <v>6.0770200054815016</v>
      </c>
      <c r="K303" s="459">
        <f>K$296*Entrant_age_breakdowns!$K76*$G$31</f>
        <v>5.7757992365100126</v>
      </c>
      <c r="L303" s="459">
        <f>L$296*Entrant_age_breakdowns!$K76*$G$31</f>
        <v>5.8146132601565821</v>
      </c>
      <c r="M303" s="459">
        <f>M$296*Entrant_age_breakdowns!$K76*$G$31</f>
        <v>5.720125647008155</v>
      </c>
      <c r="N303" s="459">
        <f>N$296*Entrant_age_breakdowns!$K76*$G$31</f>
        <v>5.4030510952311133</v>
      </c>
      <c r="O303" s="327"/>
      <c r="P303" s="327"/>
    </row>
    <row r="304" spans="2:16">
      <c r="B304" s="338" t="str">
        <f t="shared" si="139"/>
        <v>25-29</v>
      </c>
      <c r="C304" s="459">
        <f>C$296*Entrant_age_breakdowns!$K77*$G$31</f>
        <v>6.2200532114201561</v>
      </c>
      <c r="D304" s="459">
        <f>D$296*Entrant_age_breakdowns!$K77*$G$31</f>
        <v>7.554129746955371</v>
      </c>
      <c r="E304" s="459">
        <f>E$296*Entrant_age_breakdowns!$K77*$G$31</f>
        <v>5.1597338879525534</v>
      </c>
      <c r="F304" s="459">
        <f>F$296*Entrant_age_breakdowns!$K77*$G$31</f>
        <v>4.5394233748422987</v>
      </c>
      <c r="G304" s="459">
        <f>G$296*Entrant_age_breakdowns!$K77*$G$31</f>
        <v>6.1218579166062623</v>
      </c>
      <c r="H304" s="459">
        <f>H$296*Entrant_age_breakdowns!$K77*$G$31</f>
        <v>6.5290647514019238</v>
      </c>
      <c r="I304" s="459">
        <f>I$296*Entrant_age_breakdowns!$K77*$G$31</f>
        <v>6.5462539191824831</v>
      </c>
      <c r="J304" s="459">
        <f>J$296*Entrant_age_breakdowns!$K77*$G$31</f>
        <v>6.2835067402496296</v>
      </c>
      <c r="K304" s="459">
        <f>K$296*Entrant_age_breakdowns!$K77*$G$31</f>
        <v>5.9720510052959392</v>
      </c>
      <c r="L304" s="459">
        <f>L$296*Entrant_age_breakdowns!$K77*$G$31</f>
        <v>6.0121838630090014</v>
      </c>
      <c r="M304" s="459">
        <f>M$296*Entrant_age_breakdowns!$K77*$G$31</f>
        <v>5.9144857225466199</v>
      </c>
      <c r="N304" s="459">
        <f>N$296*Entrant_age_breakdowns!$K77*$G$31</f>
        <v>5.586637520392344</v>
      </c>
      <c r="O304" s="327"/>
      <c r="P304" s="327"/>
    </row>
    <row r="305" spans="1:16">
      <c r="B305" s="338" t="str">
        <f t="shared" si="139"/>
        <v>30-34</v>
      </c>
      <c r="C305" s="459">
        <f>C$296*Entrant_age_breakdowns!$K78*$G$31</f>
        <v>3.0877275998366964</v>
      </c>
      <c r="D305" s="459">
        <f>D$296*Entrant_age_breakdowns!$K78*$G$31</f>
        <v>3.7499831785355311</v>
      </c>
      <c r="E305" s="459">
        <f>E$296*Entrant_age_breakdowns!$K78*$G$31</f>
        <v>2.5613692025001598</v>
      </c>
      <c r="F305" s="459">
        <f>F$296*Entrant_age_breakdowns!$K78*$G$31</f>
        <v>2.2534377706142124</v>
      </c>
      <c r="G305" s="459">
        <f>G$296*Entrant_age_breakdowns!$K78*$G$31</f>
        <v>3.0389819843788932</v>
      </c>
      <c r="H305" s="459">
        <f>H$296*Entrant_age_breakdowns!$K78*$G$31</f>
        <v>3.241125557738072</v>
      </c>
      <c r="I305" s="459">
        <f>I$296*Entrant_age_breakdowns!$K78*$G$31</f>
        <v>3.2496585181437494</v>
      </c>
      <c r="J305" s="459">
        <f>J$296*Entrant_age_breakdowns!$K78*$G$31</f>
        <v>3.119226882176287</v>
      </c>
      <c r="K305" s="459">
        <f>K$296*Entrant_age_breakdowns!$K78*$G$31</f>
        <v>2.9646155892731572</v>
      </c>
      <c r="L305" s="459">
        <f>L$296*Entrant_age_breakdowns!$K78*$G$31</f>
        <v>2.9845381410920746</v>
      </c>
      <c r="M305" s="459">
        <f>M$296*Entrant_age_breakdowns!$K78*$G$31</f>
        <v>2.9360393205024766</v>
      </c>
      <c r="N305" s="459">
        <f>N$296*Entrant_age_breakdowns!$K78*$G$31</f>
        <v>2.7732905612973329</v>
      </c>
      <c r="O305" s="327"/>
      <c r="P305" s="327"/>
    </row>
    <row r="306" spans="1:16">
      <c r="B306" s="338" t="str">
        <f t="shared" si="139"/>
        <v>35-39</v>
      </c>
      <c r="C306" s="459">
        <f>C$296*Entrant_age_breakdowns!$K79*$G$31</f>
        <v>2.206318243346657</v>
      </c>
      <c r="D306" s="459">
        <f>D$296*Entrant_age_breakdowns!$K79*$G$31</f>
        <v>2.679529210893993</v>
      </c>
      <c r="E306" s="459">
        <f>E$296*Entrant_age_breakdowns!$K79*$G$31</f>
        <v>1.8302118359538126</v>
      </c>
      <c r="F306" s="459">
        <f>F$296*Entrant_age_breakdowns!$K79*$G$31</f>
        <v>1.6101811778394908</v>
      </c>
      <c r="G306" s="459">
        <f>G$296*Entrant_age_breakdowns!$K79*$G$31</f>
        <v>2.1714873402989272</v>
      </c>
      <c r="H306" s="459">
        <f>H$296*Entrant_age_breakdowns!$K79*$G$31</f>
        <v>2.3159278841154305</v>
      </c>
      <c r="I306" s="459">
        <f>I$296*Entrant_age_breakdowns!$K79*$G$31</f>
        <v>2.3220250625756669</v>
      </c>
      <c r="J306" s="459">
        <f>J$296*Entrant_age_breakdowns!$K79*$G$31</f>
        <v>2.2288258768833207</v>
      </c>
      <c r="K306" s="459">
        <f>K$296*Entrant_age_breakdowns!$K79*$G$31</f>
        <v>2.1183492544708935</v>
      </c>
      <c r="L306" s="459">
        <f>L$296*Entrant_age_breakdowns!$K79*$G$31</f>
        <v>2.1325848008754469</v>
      </c>
      <c r="M306" s="459">
        <f>M$296*Entrant_age_breakdowns!$K79*$G$31</f>
        <v>2.0979302437010103</v>
      </c>
      <c r="N306" s="459">
        <f>N$296*Entrant_age_breakdowns!$K79*$G$31</f>
        <v>1.9816390408969382</v>
      </c>
      <c r="O306" s="327"/>
      <c r="P306" s="327"/>
    </row>
    <row r="307" spans="1:16">
      <c r="B307" s="338" t="str">
        <f t="shared" si="139"/>
        <v>40-44</v>
      </c>
      <c r="C307" s="459">
        <f>C$296*Entrant_age_breakdowns!$K80*$G$31</f>
        <v>1.916909271007686</v>
      </c>
      <c r="D307" s="459">
        <f>D$296*Entrant_age_breakdowns!$K80*$G$31</f>
        <v>2.3280478243734355</v>
      </c>
      <c r="E307" s="459">
        <f>E$296*Entrant_age_breakdowns!$K80*$G$31</f>
        <v>1.5901377993984296</v>
      </c>
      <c r="F307" s="459">
        <f>F$296*Entrant_age_breakdowns!$K80*$G$31</f>
        <v>1.3989691818532606</v>
      </c>
      <c r="G307" s="459">
        <f>G$296*Entrant_age_breakdowns!$K80*$G$31</f>
        <v>1.8866472355234094</v>
      </c>
      <c r="H307" s="459">
        <f>H$296*Entrant_age_breakdowns!$K80*$G$31</f>
        <v>2.0121411067662369</v>
      </c>
      <c r="I307" s="459">
        <f>I$296*Entrant_age_breakdowns!$K80*$G$31</f>
        <v>2.017438501170993</v>
      </c>
      <c r="J307" s="459">
        <f>J$296*Entrant_age_breakdowns!$K80*$G$31</f>
        <v>1.9364645149191124</v>
      </c>
      <c r="K307" s="459">
        <f>K$296*Entrant_age_breakdowns!$K80*$G$31</f>
        <v>1.8404794219387055</v>
      </c>
      <c r="L307" s="459">
        <f>L$296*Entrant_age_breakdowns!$K80*$G$31</f>
        <v>1.852847651663968</v>
      </c>
      <c r="M307" s="459">
        <f>M$296*Entrant_age_breakdowns!$K80*$G$31</f>
        <v>1.8227388302685652</v>
      </c>
      <c r="N307" s="459">
        <f>N$296*Entrant_age_breakdowns!$K80*$G$31</f>
        <v>1.7217018717681338</v>
      </c>
      <c r="O307" s="327"/>
      <c r="P307" s="327"/>
    </row>
    <row r="308" spans="1:16">
      <c r="B308" s="338" t="str">
        <f t="shared" si="139"/>
        <v>45-49</v>
      </c>
      <c r="C308" s="459">
        <f>C$296*Entrant_age_breakdowns!$K81*$G$31</f>
        <v>1.5253743948382514</v>
      </c>
      <c r="D308" s="459">
        <f>D$296*Entrant_age_breakdowns!$K81*$G$31</f>
        <v>1.8525365780047383</v>
      </c>
      <c r="E308" s="459">
        <f>E$296*Entrant_age_breakdowns!$K81*$G$31</f>
        <v>1.2653470459724656</v>
      </c>
      <c r="F308" s="459">
        <f>F$296*Entrant_age_breakdowns!$K81*$G$31</f>
        <v>1.1132252326397269</v>
      </c>
      <c r="G308" s="459">
        <f>G$296*Entrant_age_breakdowns!$K81*$G$31</f>
        <v>1.501293477310456</v>
      </c>
      <c r="H308" s="459">
        <f>H$296*Entrant_age_breakdowns!$K81*$G$31</f>
        <v>1.60115482223593</v>
      </c>
      <c r="I308" s="459">
        <f>I$296*Entrant_age_breakdowns!$K81*$G$31</f>
        <v>1.6053702068170304</v>
      </c>
      <c r="J308" s="459">
        <f>J$296*Entrant_age_breakdowns!$K81*$G$31</f>
        <v>1.5409354173646987</v>
      </c>
      <c r="K308" s="459">
        <f>K$296*Entrant_age_breakdowns!$K81*$G$31</f>
        <v>1.4645555879523684</v>
      </c>
      <c r="L308" s="459">
        <f>L$296*Entrant_age_breakdowns!$K81*$G$31</f>
        <v>1.4743975670265657</v>
      </c>
      <c r="M308" s="459">
        <f>M$296*Entrant_age_breakdowns!$K81*$G$31</f>
        <v>1.4504385691178321</v>
      </c>
      <c r="N308" s="459">
        <f>N$296*Entrant_age_breakdowns!$K81*$G$31</f>
        <v>1.3700387339457296</v>
      </c>
      <c r="O308" s="327"/>
      <c r="P308" s="327"/>
    </row>
    <row r="309" spans="1:16">
      <c r="B309" s="338" t="str">
        <f t="shared" si="139"/>
        <v>50-54</v>
      </c>
      <c r="C309" s="459">
        <f>C$296*Entrant_age_breakdowns!$K82*$G$31</f>
        <v>1.1158610432354699</v>
      </c>
      <c r="D309" s="459">
        <f>D$296*Entrant_age_breakdowns!$K82*$G$31</f>
        <v>1.3551908341711969</v>
      </c>
      <c r="E309" s="459">
        <f>E$296*Entrant_age_breakdowns!$K82*$G$31</f>
        <v>0.92564256981872095</v>
      </c>
      <c r="F309" s="459">
        <f>F$296*Entrant_age_breakdowns!$K82*$G$31</f>
        <v>0.81436050955944872</v>
      </c>
      <c r="G309" s="459">
        <f>G$296*Entrant_age_breakdowns!$K82*$G$31</f>
        <v>1.0982450678752158</v>
      </c>
      <c r="H309" s="459">
        <f>H$296*Entrant_age_breakdowns!$K82*$G$31</f>
        <v>1.1712968936463259</v>
      </c>
      <c r="I309" s="459">
        <f>I$296*Entrant_age_breakdowns!$K82*$G$31</f>
        <v>1.174380584740278</v>
      </c>
      <c r="J309" s="459">
        <f>J$296*Entrant_age_breakdowns!$K82*$G$31</f>
        <v>1.127244437954124</v>
      </c>
      <c r="K309" s="459">
        <f>K$296*Entrant_age_breakdowns!$K82*$G$31</f>
        <v>1.071370105450183</v>
      </c>
      <c r="L309" s="459">
        <f>L$296*Entrant_age_breakdowns!$K82*$G$31</f>
        <v>1.0785698336443883</v>
      </c>
      <c r="M309" s="459">
        <f>M$296*Entrant_age_breakdowns!$K82*$G$31</f>
        <v>1.0610430464557576</v>
      </c>
      <c r="N309" s="459">
        <f>N$296*Entrant_age_breakdowns!$K82*$G$31</f>
        <v>1.0022279488281256</v>
      </c>
      <c r="O309" s="327"/>
      <c r="P309" s="327"/>
    </row>
    <row r="310" spans="1:16">
      <c r="B310" s="338" t="str">
        <f t="shared" si="139"/>
        <v>55-59</v>
      </c>
      <c r="C310" s="459">
        <f>C$296*Entrant_age_breakdowns!$K83*$G$31</f>
        <v>0.7597033661111543</v>
      </c>
      <c r="D310" s="459">
        <f>D$296*Entrant_age_breakdowns!$K83*$G$31</f>
        <v>0.9226444857844065</v>
      </c>
      <c r="E310" s="459">
        <f>E$296*Entrant_age_breakdowns!$K83*$G$31</f>
        <v>0.63019833909433187</v>
      </c>
      <c r="F310" s="459">
        <f>F$296*Entrant_age_breakdowns!$K83*$G$31</f>
        <v>0.55443500253978795</v>
      </c>
      <c r="G310" s="459">
        <f>G$296*Entrant_age_breakdowns!$K83*$G$31</f>
        <v>0.74771001276340043</v>
      </c>
      <c r="H310" s="459">
        <f>H$296*Entrant_age_breakdowns!$K83*$G$31</f>
        <v>0.79744534340812023</v>
      </c>
      <c r="I310" s="459">
        <f>I$296*Entrant_age_breakdowns!$K83*$G$31</f>
        <v>0.79954478985651467</v>
      </c>
      <c r="J310" s="459">
        <f>J$296*Entrant_age_breakdowns!$K83*$G$31</f>
        <v>0.76745343798431365</v>
      </c>
      <c r="K310" s="459">
        <f>K$296*Entrant_age_breakdowns!$K83*$G$31</f>
        <v>0.72941293218855707</v>
      </c>
      <c r="L310" s="459">
        <f>L$296*Entrant_age_breakdowns!$K83*$G$31</f>
        <v>0.73431466953065816</v>
      </c>
      <c r="M310" s="459">
        <f>M$296*Entrant_age_breakdowns!$K83*$G$31</f>
        <v>0.72238203750175534</v>
      </c>
      <c r="N310" s="459">
        <f>N$296*Entrant_age_breakdowns!$K83*$G$31</f>
        <v>0.68233939248180597</v>
      </c>
      <c r="O310" s="327"/>
      <c r="P310" s="327"/>
    </row>
    <row r="311" spans="1:16">
      <c r="B311" s="338" t="str">
        <f t="shared" si="139"/>
        <v>60-64</v>
      </c>
      <c r="C311" s="459">
        <f>C$296*Entrant_age_breakdowns!$K84*$G$31</f>
        <v>0.37190255639728248</v>
      </c>
      <c r="D311" s="459">
        <f>D$296*Entrant_age_breakdowns!$K84*$G$31</f>
        <v>0.45166818815815551</v>
      </c>
      <c r="E311" s="459">
        <f>E$296*Entrant_age_breakdowns!$K84*$G$31</f>
        <v>0.30850511370804146</v>
      </c>
      <c r="F311" s="459">
        <f>F$296*Entrant_age_breakdowns!$K84*$G$31</f>
        <v>0.2714161921595486</v>
      </c>
      <c r="G311" s="459">
        <f>G$296*Entrant_age_breakdowns!$K84*$G$31</f>
        <v>0.36603137171024125</v>
      </c>
      <c r="H311" s="459">
        <f>H$296*Entrant_age_breakdowns!$K84*$G$31</f>
        <v>0.39037863333252165</v>
      </c>
      <c r="I311" s="459">
        <f>I$296*Entrant_age_breakdowns!$K84*$G$31</f>
        <v>0.39140638908036557</v>
      </c>
      <c r="J311" s="459">
        <f>J$296*Entrant_age_breakdowns!$K84*$G$31</f>
        <v>0.37569649975789271</v>
      </c>
      <c r="K311" s="459">
        <f>K$296*Entrant_age_breakdowns!$K84*$G$31</f>
        <v>0.35707428221460813</v>
      </c>
      <c r="L311" s="459">
        <f>L$296*Entrant_age_breakdowns!$K84*$G$31</f>
        <v>0.35947386174740265</v>
      </c>
      <c r="M311" s="459">
        <f>M$296*Entrant_age_breakdowns!$K84*$G$31</f>
        <v>0.3536324023646259</v>
      </c>
      <c r="N311" s="459">
        <f>N$296*Entrant_age_breakdowns!$K84*$G$31</f>
        <v>0.33403006451523798</v>
      </c>
      <c r="O311" s="327"/>
      <c r="P311" s="327"/>
    </row>
    <row r="312" spans="1:16">
      <c r="B312" s="338" t="str">
        <f t="shared" si="139"/>
        <v>65 plus</v>
      </c>
      <c r="C312" s="459">
        <f>C$296*Entrant_age_breakdowns!$K85*$G$31</f>
        <v>9.3275800922490562E-2</v>
      </c>
      <c r="D312" s="459">
        <f>D$296*Entrant_age_breakdowns!$K85*$G$31</f>
        <v>0.11328158754751159</v>
      </c>
      <c r="E312" s="459">
        <f>E$296*Entrant_age_breakdowns!$K85*$G$31</f>
        <v>7.7375272298644132E-2</v>
      </c>
      <c r="F312" s="459">
        <f>F$296*Entrant_age_breakdowns!$K85*$G$31</f>
        <v>6.807310751575002E-2</v>
      </c>
      <c r="G312" s="459">
        <f>G$296*Entrant_age_breakdowns!$K85*$G$31</f>
        <v>9.1803266129095312E-2</v>
      </c>
      <c r="H312" s="459">
        <f>H$296*Entrant_age_breakdowns!$K85*$G$31</f>
        <v>9.7909732161723578E-2</v>
      </c>
      <c r="I312" s="459">
        <f>I$296*Entrant_age_breakdowns!$K85*$G$31</f>
        <v>9.8167500598331001E-2</v>
      </c>
      <c r="J312" s="459">
        <f>J$296*Entrant_age_breakdowns!$K85*$G$31</f>
        <v>9.4227348846881415E-2</v>
      </c>
      <c r="K312" s="459">
        <f>K$296*Entrant_age_breakdowns!$K85*$G$31</f>
        <v>8.9556764505839173E-2</v>
      </c>
      <c r="L312" s="459">
        <f>L$296*Entrant_age_breakdowns!$K85*$G$31</f>
        <v>9.0158596084967998E-2</v>
      </c>
      <c r="M312" s="459">
        <f>M$296*Entrant_age_breakdowns!$K85*$G$31</f>
        <v>8.8693516608873604E-2</v>
      </c>
      <c r="N312" s="459">
        <f>N$296*Entrant_age_breakdowns!$K85*$G$31</f>
        <v>8.3777111138130592E-2</v>
      </c>
      <c r="O312" s="327"/>
      <c r="P312" s="327"/>
    </row>
    <row r="313" spans="1:16">
      <c r="B313" s="338" t="str">
        <f t="shared" si="139"/>
        <v>Total</v>
      </c>
      <c r="C313" s="459">
        <f>C$296*Entrant_age_breakdowns!$K86*$G$31</f>
        <v>23.312777154811524</v>
      </c>
      <c r="D313" s="459">
        <f>D$296*Entrant_age_breakdowns!$K86*$G$31</f>
        <v>28.312899810240463</v>
      </c>
      <c r="E313" s="459">
        <f>E$296*Entrant_age_breakdowns!$K86*$G$31</f>
        <v>19.338697310035254</v>
      </c>
      <c r="F313" s="459">
        <f>F$296*Entrant_age_breakdowns!$K86*$G$31</f>
        <v>17.013771739884966</v>
      </c>
      <c r="G313" s="459">
        <f>G$296*Entrant_age_breakdowns!$K86*$G$31</f>
        <v>22.944740910130484</v>
      </c>
      <c r="H313" s="459">
        <f>H$296*Entrant_age_breakdowns!$K86*$G$31</f>
        <v>24.47095328691173</v>
      </c>
      <c r="I313" s="459">
        <f>I$296*Entrant_age_breakdowns!$K86*$G$31</f>
        <v>24.535378336718235</v>
      </c>
      <c r="J313" s="459">
        <f>J$296*Entrant_age_breakdowns!$K86*$G$31</f>
        <v>23.55060116161776</v>
      </c>
      <c r="K313" s="459">
        <f>K$296*Entrant_age_breakdowns!$K86*$G$31</f>
        <v>22.383264179800264</v>
      </c>
      <c r="L313" s="459">
        <f>L$296*Entrant_age_breakdowns!$K86*$G$31</f>
        <v>22.533682244831056</v>
      </c>
      <c r="M313" s="459">
        <f>M$296*Entrant_age_breakdowns!$K86*$G$31</f>
        <v>22.167509336075671</v>
      </c>
      <c r="N313" s="459">
        <f>N$296*Entrant_age_breakdowns!$K86*$G$31</f>
        <v>20.938733340494892</v>
      </c>
      <c r="O313" s="327"/>
      <c r="P313" s="327"/>
    </row>
    <row r="314" spans="1:16">
      <c r="A314" s="309">
        <f>SUM(C314:N314)</f>
        <v>0</v>
      </c>
      <c r="C314" s="309">
        <f>SUM(C303:C312)-C313</f>
        <v>0</v>
      </c>
      <c r="D314" s="309">
        <f t="shared" ref="D314:N314" si="141">SUM(D303:D312)-D313</f>
        <v>0</v>
      </c>
      <c r="E314" s="309">
        <f t="shared" si="141"/>
        <v>0</v>
      </c>
      <c r="F314" s="309">
        <f t="shared" si="141"/>
        <v>0</v>
      </c>
      <c r="G314" s="309">
        <f t="shared" si="141"/>
        <v>0</v>
      </c>
      <c r="H314" s="309">
        <f t="shared" si="141"/>
        <v>0</v>
      </c>
      <c r="I314" s="309">
        <f t="shared" si="141"/>
        <v>0</v>
      </c>
      <c r="J314" s="309">
        <f t="shared" si="141"/>
        <v>0</v>
      </c>
      <c r="K314" s="309">
        <f t="shared" si="141"/>
        <v>0</v>
      </c>
      <c r="L314" s="309">
        <f t="shared" si="141"/>
        <v>0</v>
      </c>
      <c r="M314" s="309">
        <f t="shared" si="141"/>
        <v>0</v>
      </c>
      <c r="N314" s="309">
        <f t="shared" si="141"/>
        <v>0</v>
      </c>
    </row>
    <row r="316" spans="1:16">
      <c r="B316" s="341" t="s">
        <v>50</v>
      </c>
      <c r="H316" s="325"/>
    </row>
    <row r="317" spans="1:16">
      <c r="H317" s="325"/>
    </row>
    <row r="318" spans="1:16">
      <c r="B318" s="338" t="str">
        <f t="shared" ref="B318:B329" si="142">B302</f>
        <v>Age group</v>
      </c>
      <c r="C318" s="338" t="str">
        <f>C293</f>
        <v>2016/17</v>
      </c>
      <c r="D318" s="338" t="str">
        <f t="shared" ref="D318:N318" si="143">D302</f>
        <v>2017/18</v>
      </c>
      <c r="E318" s="338" t="str">
        <f t="shared" si="143"/>
        <v>2018/19</v>
      </c>
      <c r="F318" s="338" t="str">
        <f t="shared" si="143"/>
        <v>2019/20</v>
      </c>
      <c r="G318" s="338" t="str">
        <f t="shared" si="143"/>
        <v>2020/21</v>
      </c>
      <c r="H318" s="338" t="str">
        <f t="shared" si="143"/>
        <v>2021/22</v>
      </c>
      <c r="I318" s="338" t="str">
        <f t="shared" si="143"/>
        <v>2022/23</v>
      </c>
      <c r="J318" s="338" t="str">
        <f t="shared" si="143"/>
        <v>2023/24</v>
      </c>
      <c r="K318" s="338" t="str">
        <f t="shared" si="143"/>
        <v>2024/25</v>
      </c>
      <c r="L318" s="338" t="str">
        <f t="shared" si="143"/>
        <v>2025/26</v>
      </c>
      <c r="M318" s="338" t="str">
        <f t="shared" si="143"/>
        <v>2026/27</v>
      </c>
      <c r="N318" s="338" t="str">
        <f t="shared" si="143"/>
        <v>2027/28</v>
      </c>
    </row>
    <row r="319" spans="1:16">
      <c r="B319" s="338" t="str">
        <f t="shared" si="142"/>
        <v>20-24</v>
      </c>
      <c r="C319" s="459">
        <f>C$296*Entrant_age_breakdowns!$K76*$H$31</f>
        <v>54.384606370360252</v>
      </c>
      <c r="D319" s="459">
        <f>D$296*Entrant_age_breakdowns!$K76*$H$31</f>
        <v>66.049012571871074</v>
      </c>
      <c r="E319" s="459">
        <f>E$296*Entrant_age_breakdowns!$K76*$H$31</f>
        <v>45.113777476517669</v>
      </c>
      <c r="F319" s="459">
        <f>F$296*Entrant_age_breakdowns!$K76*$H$31</f>
        <v>39.690135276647339</v>
      </c>
      <c r="G319" s="459">
        <f>G$296*Entrant_age_breakdowns!$K76*$H$31</f>
        <v>53.526042580894568</v>
      </c>
      <c r="H319" s="459">
        <f>H$296*Entrant_age_breakdowns!$K76*$H$31</f>
        <v>57.086427463297525</v>
      </c>
      <c r="I319" s="459">
        <f>I$296*Entrant_age_breakdowns!$K76*$H$31</f>
        <v>57.236719766563269</v>
      </c>
      <c r="J319" s="459">
        <f>J$296*Entrant_age_breakdowns!$K76*$H$31</f>
        <v>54.939407924447494</v>
      </c>
      <c r="K319" s="459">
        <f>K$296*Entrant_age_breakdowns!$K76*$H$31</f>
        <v>52.216216181304773</v>
      </c>
      <c r="L319" s="459">
        <f>L$296*Entrant_age_breakdowns!$K76*$H$31</f>
        <v>52.567115055487271</v>
      </c>
      <c r="M319" s="459">
        <f>M$296*Entrant_age_breakdowns!$K76*$H$31</f>
        <v>51.712898100814357</v>
      </c>
      <c r="N319" s="459">
        <f>N$296*Entrant_age_breakdowns!$K76*$H$31</f>
        <v>48.84637995099299</v>
      </c>
    </row>
    <row r="320" spans="1:16">
      <c r="B320" s="338" t="str">
        <f t="shared" si="142"/>
        <v>25-29</v>
      </c>
      <c r="C320" s="459">
        <f>C$296*Entrant_age_breakdowns!$K77*$H$31</f>
        <v>56.232502177998931</v>
      </c>
      <c r="D320" s="459">
        <f>D$296*Entrant_age_breakdowns!$K77*$H$31</f>
        <v>68.29324493054736</v>
      </c>
      <c r="E320" s="459">
        <f>E$296*Entrant_age_breakdowns!$K77*$H$31</f>
        <v>46.646666391772115</v>
      </c>
      <c r="F320" s="459">
        <f>F$296*Entrant_age_breakdowns!$K77*$H$31</f>
        <v>41.038738116260809</v>
      </c>
      <c r="G320" s="459">
        <f>G$296*Entrant_age_breakdowns!$K77*$H$31</f>
        <v>55.344765860992283</v>
      </c>
      <c r="H320" s="459">
        <f>H$296*Entrant_age_breakdowns!$K77*$H$31</f>
        <v>59.026126525640827</v>
      </c>
      <c r="I320" s="459">
        <f>I$296*Entrant_age_breakdowns!$K77*$H$31</f>
        <v>59.181525504042433</v>
      </c>
      <c r="J320" s="459">
        <f>J$296*Entrant_age_breakdowns!$K77*$H$31</f>
        <v>56.806154938967907</v>
      </c>
      <c r="K320" s="459">
        <f>K$296*Entrant_age_breakdowns!$K77*$H$31</f>
        <v>53.990433803017218</v>
      </c>
      <c r="L320" s="459">
        <f>L$296*Entrant_age_breakdowns!$K77*$H$31</f>
        <v>54.353255620138597</v>
      </c>
      <c r="M320" s="459">
        <f>M$296*Entrant_age_breakdowns!$K77*$H$31</f>
        <v>53.470013835928356</v>
      </c>
      <c r="N320" s="459">
        <f>N$296*Entrant_age_breakdowns!$K77*$H$31</f>
        <v>50.506096307402245</v>
      </c>
    </row>
    <row r="321" spans="1:14">
      <c r="B321" s="338" t="str">
        <f t="shared" si="142"/>
        <v>30-34</v>
      </c>
      <c r="C321" s="459">
        <f>C$296*Entrant_age_breakdowns!$K78*$H$31</f>
        <v>27.914656528033348</v>
      </c>
      <c r="D321" s="459">
        <f>D$296*Entrant_age_breakdowns!$K78*$H$31</f>
        <v>33.901789918339425</v>
      </c>
      <c r="E321" s="459">
        <f>E$296*Entrant_age_breakdowns!$K78*$H$31</f>
        <v>23.15610403361233</v>
      </c>
      <c r="F321" s="459">
        <f>F$296*Entrant_age_breakdowns!$K78*$H$31</f>
        <v>20.372244422506633</v>
      </c>
      <c r="G321" s="459">
        <f>G$296*Entrant_age_breakdowns!$K78*$H$31</f>
        <v>27.473970920655244</v>
      </c>
      <c r="H321" s="459">
        <f>H$296*Entrant_age_breakdowns!$K78*$H$31</f>
        <v>29.301453506868228</v>
      </c>
      <c r="I321" s="459">
        <f>I$296*Entrant_age_breakdowns!$K78*$H$31</f>
        <v>29.378595887855592</v>
      </c>
      <c r="J321" s="459">
        <f>J$296*Entrant_age_breakdowns!$K78*$H$31</f>
        <v>28.199426352753544</v>
      </c>
      <c r="K321" s="459">
        <f>K$296*Entrant_age_breakdowns!$K78*$H$31</f>
        <v>26.801660197159286</v>
      </c>
      <c r="L321" s="459">
        <f>L$296*Entrant_age_breakdowns!$K78*$H$31</f>
        <v>26.98177038279109</v>
      </c>
      <c r="M321" s="459">
        <f>M$296*Entrant_age_breakdowns!$K78*$H$31</f>
        <v>26.543315928827941</v>
      </c>
      <c r="N321" s="459">
        <f>N$296*Entrant_age_breakdowns!$K78*$H$31</f>
        <v>25.071982863755924</v>
      </c>
    </row>
    <row r="322" spans="1:14">
      <c r="B322" s="338" t="str">
        <f t="shared" si="142"/>
        <v>35-39</v>
      </c>
      <c r="C322" s="459">
        <f>C$296*Entrant_age_breakdowns!$K79*$H$31</f>
        <v>19.946259494462243</v>
      </c>
      <c r="D322" s="459">
        <f>D$296*Entrant_age_breakdowns!$K79*$H$31</f>
        <v>24.22433170040452</v>
      </c>
      <c r="E322" s="459">
        <f>E$296*Entrant_age_breakdowns!$K79*$H$31</f>
        <v>16.546062799352516</v>
      </c>
      <c r="F322" s="459">
        <f>F$296*Entrant_age_breakdowns!$K79*$H$31</f>
        <v>14.556871703861036</v>
      </c>
      <c r="G322" s="459">
        <f>G$296*Entrant_age_breakdowns!$K79*$H$31</f>
        <v>19.631370093211295</v>
      </c>
      <c r="H322" s="459">
        <f>H$296*Entrant_age_breakdowns!$K79*$H$31</f>
        <v>20.937187409989264</v>
      </c>
      <c r="I322" s="459">
        <f>I$296*Entrant_age_breakdowns!$K79*$H$31</f>
        <v>20.992309060784052</v>
      </c>
      <c r="J322" s="459">
        <f>J$296*Entrant_age_breakdowns!$K79*$H$31</f>
        <v>20.149740157545359</v>
      </c>
      <c r="K322" s="459">
        <f>K$296*Entrant_age_breakdowns!$K79*$H$31</f>
        <v>19.150974278980414</v>
      </c>
      <c r="L322" s="459">
        <f>L$296*Entrant_age_breakdowns!$K79*$H$31</f>
        <v>19.279670990566309</v>
      </c>
      <c r="M322" s="459">
        <f>M$296*Entrant_age_breakdowns!$K79*$H$31</f>
        <v>18.966375847333254</v>
      </c>
      <c r="N322" s="459">
        <f>N$296*Entrant_age_breakdowns!$K79*$H$31</f>
        <v>17.915043150861187</v>
      </c>
    </row>
    <row r="323" spans="1:14">
      <c r="B323" s="338" t="str">
        <f t="shared" si="142"/>
        <v>40-44</v>
      </c>
      <c r="C323" s="459">
        <f>C$296*Entrant_age_breakdowns!$K80*$H$31</f>
        <v>17.329852509791465</v>
      </c>
      <c r="D323" s="459">
        <f>D$296*Entrant_age_breakdowns!$K80*$H$31</f>
        <v>21.04675794641236</v>
      </c>
      <c r="E323" s="459">
        <f>E$296*Entrant_age_breakdowns!$K80*$H$31</f>
        <v>14.3756691829932</v>
      </c>
      <c r="F323" s="459">
        <f>F$296*Entrant_age_breakdowns!$K80*$H$31</f>
        <v>12.647405880882419</v>
      </c>
      <c r="G323" s="459">
        <f>G$296*Entrant_age_breakdowns!$K80*$H$31</f>
        <v>17.056268037369929</v>
      </c>
      <c r="H323" s="459">
        <f>H$296*Entrant_age_breakdowns!$K80*$H$31</f>
        <v>18.190797622266615</v>
      </c>
      <c r="I323" s="459">
        <f>I$296*Entrant_age_breakdowns!$K80*$H$31</f>
        <v>18.238688811019831</v>
      </c>
      <c r="J323" s="459">
        <f>J$296*Entrant_age_breakdowns!$K80*$H$31</f>
        <v>17.506642041723701</v>
      </c>
      <c r="K323" s="459">
        <f>K$296*Entrant_age_breakdowns!$K80*$H$31</f>
        <v>16.638887093877553</v>
      </c>
      <c r="L323" s="459">
        <f>L$296*Entrant_age_breakdowns!$K80*$H$31</f>
        <v>16.750702295665036</v>
      </c>
      <c r="M323" s="459">
        <f>M$296*Entrant_age_breakdowns!$K80*$H$31</f>
        <v>16.478502957951104</v>
      </c>
      <c r="N323" s="459">
        <f>N$296*Entrant_age_breakdowns!$K80*$H$31</f>
        <v>15.565076529620489</v>
      </c>
    </row>
    <row r="324" spans="1:14">
      <c r="B324" s="338" t="str">
        <f t="shared" si="142"/>
        <v>45-49</v>
      </c>
      <c r="C324" s="459">
        <f>C$296*Entrant_age_breakdowns!$K81*$H$31</f>
        <v>13.790174467080092</v>
      </c>
      <c r="D324" s="459">
        <f>D$296*Entrant_age_breakdowns!$K81*$H$31</f>
        <v>16.747890028691494</v>
      </c>
      <c r="E324" s="459">
        <f>E$296*Entrant_age_breakdowns!$K81*$H$31</f>
        <v>11.439392574316171</v>
      </c>
      <c r="F324" s="459">
        <f>F$296*Entrant_age_breakdowns!$K81*$H$31</f>
        <v>10.064132603252146</v>
      </c>
      <c r="G324" s="459">
        <f>G$296*Entrant_age_breakdowns!$K81*$H$31</f>
        <v>13.572470501968709</v>
      </c>
      <c r="H324" s="459">
        <f>H$296*Entrant_age_breakdowns!$K81*$H$31</f>
        <v>14.475268774772793</v>
      </c>
      <c r="I324" s="459">
        <f>I$296*Entrant_age_breakdowns!$K81*$H$31</f>
        <v>14.513378034385335</v>
      </c>
      <c r="J324" s="459">
        <f>J$296*Entrant_age_breakdowns!$K81*$H$31</f>
        <v>13.930854169225366</v>
      </c>
      <c r="K324" s="459">
        <f>K$296*Entrant_age_breakdowns!$K81*$H$31</f>
        <v>13.240340956910995</v>
      </c>
      <c r="L324" s="459">
        <f>L$296*Entrant_age_breakdowns!$K81*$H$31</f>
        <v>13.329317544556499</v>
      </c>
      <c r="M324" s="459">
        <f>M$296*Entrant_age_breakdowns!$K81*$H$31</f>
        <v>13.112715795939314</v>
      </c>
      <c r="N324" s="459">
        <f>N$296*Entrant_age_breakdowns!$K81*$H$31</f>
        <v>12.385859649737029</v>
      </c>
    </row>
    <row r="325" spans="1:14">
      <c r="B325" s="338" t="str">
        <f t="shared" si="142"/>
        <v>50-54</v>
      </c>
      <c r="C325" s="459">
        <f>C$296*Entrant_age_breakdowns!$K82*$H$31</f>
        <v>10.087961696031252</v>
      </c>
      <c r="D325" s="459">
        <f>D$296*Entrant_age_breakdowns!$K82*$H$31</f>
        <v>12.251626946570253</v>
      </c>
      <c r="E325" s="459">
        <f>E$296*Entrant_age_breakdowns!$K82*$H$31</f>
        <v>8.3682881888876111</v>
      </c>
      <c r="F325" s="459">
        <f>F$296*Entrant_age_breakdowns!$K82*$H$31</f>
        <v>7.3622407350792569</v>
      </c>
      <c r="G325" s="459">
        <f>G$296*Entrant_age_breakdowns!$K82*$H$31</f>
        <v>9.9287041560805793</v>
      </c>
      <c r="H325" s="459">
        <f>H$296*Entrant_age_breakdowns!$K82*$H$31</f>
        <v>10.589130492022299</v>
      </c>
      <c r="I325" s="459">
        <f>I$296*Entrant_age_breakdowns!$K82*$H$31</f>
        <v>10.617008656446771</v>
      </c>
      <c r="J325" s="459">
        <f>J$296*Entrant_age_breakdowns!$K82*$H$31</f>
        <v>10.190873479347587</v>
      </c>
      <c r="K325" s="459">
        <f>K$296*Entrant_age_breakdowns!$K82*$H$31</f>
        <v>9.6857405781605994</v>
      </c>
      <c r="L325" s="459">
        <f>L$296*Entrant_age_breakdowns!$K82*$H$31</f>
        <v>9.7508298495221872</v>
      </c>
      <c r="M325" s="459">
        <f>M$296*Entrant_age_breakdowns!$K82*$H$31</f>
        <v>9.5923786168304073</v>
      </c>
      <c r="N325" s="459">
        <f>N$296*Entrant_age_breakdowns!$K82*$H$31</f>
        <v>9.0606596760064413</v>
      </c>
    </row>
    <row r="326" spans="1:14">
      <c r="B326" s="338" t="str">
        <f t="shared" si="142"/>
        <v>55-59</v>
      </c>
      <c r="C326" s="459">
        <f>C$296*Entrant_age_breakdowns!$K83*$H$31</f>
        <v>6.8681118532947103</v>
      </c>
      <c r="D326" s="459">
        <f>D$296*Entrant_age_breakdowns!$K83*$H$31</f>
        <v>8.3411839566151489</v>
      </c>
      <c r="E326" s="459">
        <f>E$296*Entrant_age_breakdowns!$K83*$H$31</f>
        <v>5.6973193429646303</v>
      </c>
      <c r="F326" s="459">
        <f>F$296*Entrant_age_breakdowns!$K83*$H$31</f>
        <v>5.0123795453446141</v>
      </c>
      <c r="G326" s="459">
        <f>G$296*Entrant_age_breakdowns!$K83*$H$31</f>
        <v>6.7596857280951967</v>
      </c>
      <c r="H326" s="459">
        <f>H$296*Entrant_age_breakdowns!$K83*$H$31</f>
        <v>7.2093188733017071</v>
      </c>
      <c r="I326" s="459">
        <f>I$296*Entrant_age_breakdowns!$K83*$H$31</f>
        <v>7.2282989564246583</v>
      </c>
      <c r="J326" s="459">
        <f>J$296*Entrant_age_breakdowns!$K83*$H$31</f>
        <v>6.938176516517677</v>
      </c>
      <c r="K326" s="459">
        <f>K$296*Entrant_age_breakdowns!$K83*$H$31</f>
        <v>6.5942706442842036</v>
      </c>
      <c r="L326" s="459">
        <f>L$296*Entrant_age_breakdowns!$K83*$H$31</f>
        <v>6.6385848882941429</v>
      </c>
      <c r="M326" s="459">
        <f>M$296*Entrant_age_breakdowns!$K83*$H$31</f>
        <v>6.5307077152624773</v>
      </c>
      <c r="N326" s="459">
        <f>N$296*Entrant_age_breakdowns!$K83*$H$31</f>
        <v>6.1687014676048246</v>
      </c>
    </row>
    <row r="327" spans="1:14">
      <c r="B327" s="338" t="str">
        <f t="shared" si="142"/>
        <v>60-64</v>
      </c>
      <c r="C327" s="459">
        <f>C$296*Entrant_age_breakdowns!$K84*$H$31</f>
        <v>3.3621917050832946</v>
      </c>
      <c r="D327" s="459">
        <f>D$296*Entrant_age_breakdowns!$K84*$H$31</f>
        <v>4.0833143240164285</v>
      </c>
      <c r="E327" s="459">
        <f>E$296*Entrant_age_breakdowns!$K84*$H$31</f>
        <v>2.7890459918670647</v>
      </c>
      <c r="F327" s="459">
        <f>F$296*Entrant_age_breakdowns!$K84*$H$31</f>
        <v>2.4537429340208643</v>
      </c>
      <c r="G327" s="459">
        <f>G$296*Entrant_age_breakdowns!$K84*$H$31</f>
        <v>3.309113155032418</v>
      </c>
      <c r="H327" s="459">
        <f>H$296*Entrant_age_breakdowns!$K84*$H$31</f>
        <v>3.5292250086881842</v>
      </c>
      <c r="I327" s="459">
        <f>I$296*Entrant_age_breakdowns!$K84*$H$31</f>
        <v>3.5385164528872424</v>
      </c>
      <c r="J327" s="459">
        <f>J$296*Entrant_age_breakdowns!$K84*$H$31</f>
        <v>3.3964909178130211</v>
      </c>
      <c r="K327" s="459">
        <f>K$296*Entrant_age_breakdowns!$K84*$H$31</f>
        <v>3.228136427430321</v>
      </c>
      <c r="L327" s="459">
        <f>L$296*Entrant_age_breakdowns!$K84*$H$31</f>
        <v>3.249829869064615</v>
      </c>
      <c r="M327" s="459">
        <f>M$296*Entrant_age_breakdowns!$K84*$H$31</f>
        <v>3.1970200511579794</v>
      </c>
      <c r="N327" s="459">
        <f>N$296*Entrant_age_breakdowns!$K84*$H$31</f>
        <v>3.0198047656382747</v>
      </c>
    </row>
    <row r="328" spans="1:14">
      <c r="B328" s="338" t="str">
        <f t="shared" si="142"/>
        <v>65 plus</v>
      </c>
      <c r="C328" s="459">
        <f>C$296*Entrant_age_breakdowns!$K85*$H$31</f>
        <v>0.8432615445955296</v>
      </c>
      <c r="D328" s="459">
        <f>D$296*Entrant_age_breakdowns!$K85*$H$31</f>
        <v>1.0241242159788866</v>
      </c>
      <c r="E328" s="459">
        <f>E$296*Entrant_age_breakdowns!$K85*$H$31</f>
        <v>0.69951253151150283</v>
      </c>
      <c r="F328" s="459">
        <f>F$296*Entrant_age_breakdowns!$K85*$H$31</f>
        <v>0.61541614461021332</v>
      </c>
      <c r="G328" s="459">
        <f>G$296*Entrant_age_breakdowns!$K85*$H$31</f>
        <v>0.82994906748926522</v>
      </c>
      <c r="H328" s="459">
        <f>H$296*Entrant_age_breakdowns!$K85*$H$31</f>
        <v>0.88515468274818099</v>
      </c>
      <c r="I328" s="459">
        <f>I$296*Entrant_age_breakdowns!$K85*$H$31</f>
        <v>0.88748504290431818</v>
      </c>
      <c r="J328" s="459">
        <f>J$296*Entrant_age_breakdowns!$K85*$H$31</f>
        <v>0.8518640306052212</v>
      </c>
      <c r="K328" s="459">
        <f>K$296*Entrant_age_breakdowns!$K85*$H$31</f>
        <v>0.80963952943086226</v>
      </c>
      <c r="L328" s="459">
        <f>L$296*Entrant_age_breakdowns!$K85*$H$31</f>
        <v>0.81508039857359149</v>
      </c>
      <c r="M328" s="459">
        <f>M$296*Entrant_age_breakdowns!$K85*$H$31</f>
        <v>0.80183532139657343</v>
      </c>
      <c r="N328" s="459">
        <f>N$296*Entrant_age_breakdowns!$K85*$H$31</f>
        <v>0.75738846990760345</v>
      </c>
    </row>
    <row r="329" spans="1:14">
      <c r="B329" s="338" t="str">
        <f t="shared" si="142"/>
        <v>Total</v>
      </c>
      <c r="C329" s="459">
        <f>C$296*Entrant_age_breakdowns!$K86*$H$31</f>
        <v>210.7595783467311</v>
      </c>
      <c r="D329" s="459">
        <f>D$296*Entrant_age_breakdowns!$K86*$H$31</f>
        <v>255.96327653944692</v>
      </c>
      <c r="E329" s="459">
        <f>E$296*Entrant_age_breakdowns!$K86*$H$31</f>
        <v>174.83183851379479</v>
      </c>
      <c r="F329" s="459">
        <f>F$296*Entrant_age_breakdowns!$K86*$H$31</f>
        <v>153.81330736246534</v>
      </c>
      <c r="G329" s="459">
        <f>G$296*Entrant_age_breakdowns!$K86*$H$31</f>
        <v>207.43234010178946</v>
      </c>
      <c r="H329" s="459">
        <f>H$296*Entrant_age_breakdowns!$K86*$H$31</f>
        <v>221.23009035959561</v>
      </c>
      <c r="I329" s="459">
        <f>I$296*Entrant_age_breakdowns!$K86*$H$31</f>
        <v>221.8125261733135</v>
      </c>
      <c r="J329" s="459">
        <f>J$296*Entrant_age_breakdowns!$K86*$H$31</f>
        <v>212.90963052894688</v>
      </c>
      <c r="K329" s="459">
        <f>K$296*Entrant_age_breakdowns!$K86*$H$31</f>
        <v>202.35629969055623</v>
      </c>
      <c r="L329" s="459">
        <f>L$296*Entrant_age_breakdowns!$K86*$H$31</f>
        <v>203.71615689465932</v>
      </c>
      <c r="M329" s="459">
        <f>M$296*Entrant_age_breakdowns!$K86*$H$31</f>
        <v>200.40576417144175</v>
      </c>
      <c r="N329" s="459">
        <f>N$296*Entrant_age_breakdowns!$K86*$H$31</f>
        <v>189.29699283152701</v>
      </c>
    </row>
    <row r="330" spans="1:14">
      <c r="A330" s="309">
        <f>SUM(C330:N330)</f>
        <v>0</v>
      </c>
      <c r="C330" s="309">
        <f>SUM(C319:C328)-C329</f>
        <v>0</v>
      </c>
      <c r="D330" s="309">
        <f t="shared" ref="D330:N330" si="144">SUM(D319:D328)-D329</f>
        <v>0</v>
      </c>
      <c r="E330" s="309">
        <f t="shared" si="144"/>
        <v>0</v>
      </c>
      <c r="F330" s="309">
        <f t="shared" si="144"/>
        <v>0</v>
      </c>
      <c r="G330" s="309">
        <f t="shared" si="144"/>
        <v>0</v>
      </c>
      <c r="H330" s="309">
        <f t="shared" si="144"/>
        <v>0</v>
      </c>
      <c r="I330" s="309">
        <f t="shared" si="144"/>
        <v>0</v>
      </c>
      <c r="J330" s="309">
        <f t="shared" si="144"/>
        <v>0</v>
      </c>
      <c r="K330" s="309">
        <f t="shared" si="144"/>
        <v>0</v>
      </c>
      <c r="L330" s="309">
        <f t="shared" si="144"/>
        <v>0</v>
      </c>
      <c r="M330" s="309">
        <f t="shared" si="144"/>
        <v>0</v>
      </c>
      <c r="N330" s="309">
        <f t="shared" si="144"/>
        <v>0</v>
      </c>
    </row>
    <row r="331" spans="1:14">
      <c r="C331" s="329">
        <f>C296</f>
        <v>234.07235550154263</v>
      </c>
      <c r="D331" s="329">
        <f t="shared" ref="D331:N331" si="145">D296</f>
        <v>284.27617634968738</v>
      </c>
      <c r="E331" s="329">
        <f t="shared" si="145"/>
        <v>194.17053582383005</v>
      </c>
      <c r="F331" s="329">
        <f t="shared" si="145"/>
        <v>170.8270791023503</v>
      </c>
      <c r="G331" s="329">
        <f t="shared" si="145"/>
        <v>230.37708101191996</v>
      </c>
      <c r="H331" s="329">
        <f t="shared" si="145"/>
        <v>245.70104364650734</v>
      </c>
      <c r="I331" s="329">
        <f t="shared" si="145"/>
        <v>246.34790451003173</v>
      </c>
      <c r="J331" s="329">
        <f t="shared" si="145"/>
        <v>236.46023169056463</v>
      </c>
      <c r="K331" s="329">
        <f t="shared" si="145"/>
        <v>224.73956387035648</v>
      </c>
      <c r="L331" s="329">
        <f t="shared" si="145"/>
        <v>226.24983913949038</v>
      </c>
      <c r="M331" s="329">
        <f t="shared" si="145"/>
        <v>222.57327350751743</v>
      </c>
      <c r="N331" s="329">
        <f t="shared" si="145"/>
        <v>210.23572617202188</v>
      </c>
    </row>
    <row r="332" spans="1:14">
      <c r="C332" s="329">
        <f>C313+C329</f>
        <v>234.07235550154263</v>
      </c>
      <c r="D332" s="329">
        <f t="shared" ref="D332:N332" si="146">D313+D329</f>
        <v>284.27617634968738</v>
      </c>
      <c r="E332" s="329">
        <f t="shared" si="146"/>
        <v>194.17053582383005</v>
      </c>
      <c r="F332" s="329">
        <f t="shared" si="146"/>
        <v>170.8270791023503</v>
      </c>
      <c r="G332" s="329">
        <f t="shared" si="146"/>
        <v>230.37708101191996</v>
      </c>
      <c r="H332" s="329">
        <f t="shared" si="146"/>
        <v>245.70104364650734</v>
      </c>
      <c r="I332" s="329">
        <f t="shared" si="146"/>
        <v>246.34790451003173</v>
      </c>
      <c r="J332" s="329">
        <f t="shared" si="146"/>
        <v>236.46023169056463</v>
      </c>
      <c r="K332" s="329">
        <f t="shared" si="146"/>
        <v>224.73956387035651</v>
      </c>
      <c r="L332" s="329">
        <f t="shared" si="146"/>
        <v>226.24983913949038</v>
      </c>
      <c r="M332" s="329">
        <f t="shared" si="146"/>
        <v>222.57327350751743</v>
      </c>
      <c r="N332" s="329">
        <f t="shared" si="146"/>
        <v>210.23572617202188</v>
      </c>
    </row>
    <row r="333" spans="1:14">
      <c r="A333" s="309">
        <f>SUM(C333:L333)</f>
        <v>0</v>
      </c>
      <c r="C333" s="329">
        <f>C331-C332</f>
        <v>0</v>
      </c>
      <c r="D333" s="329">
        <f t="shared" ref="D333:K333" si="147">D331-D332</f>
        <v>0</v>
      </c>
      <c r="E333" s="329">
        <f t="shared" si="147"/>
        <v>0</v>
      </c>
      <c r="F333" s="329">
        <f t="shared" si="147"/>
        <v>0</v>
      </c>
      <c r="G333" s="329">
        <f t="shared" si="147"/>
        <v>0</v>
      </c>
      <c r="H333" s="329">
        <f t="shared" si="147"/>
        <v>0</v>
      </c>
      <c r="I333" s="329">
        <f t="shared" si="147"/>
        <v>0</v>
      </c>
      <c r="J333" s="329">
        <f t="shared" si="147"/>
        <v>0</v>
      </c>
      <c r="K333" s="329">
        <f t="shared" si="147"/>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5">
      <c r="B337" s="341" t="s">
        <v>49</v>
      </c>
      <c r="C337" s="329"/>
      <c r="D337" s="329"/>
      <c r="E337" s="329"/>
      <c r="F337" s="329"/>
      <c r="G337" s="329"/>
      <c r="H337" s="339"/>
      <c r="I337" s="329"/>
      <c r="J337" s="329"/>
      <c r="K337" s="329"/>
      <c r="L337" s="329"/>
    </row>
    <row r="338" spans="1:15">
      <c r="C338" s="329"/>
      <c r="D338" s="329"/>
      <c r="E338" s="329"/>
      <c r="F338" s="329"/>
      <c r="G338" s="329"/>
      <c r="H338" s="339"/>
      <c r="I338" s="329"/>
      <c r="J338" s="329"/>
      <c r="K338" s="329"/>
      <c r="L338" s="329"/>
    </row>
    <row r="339" spans="1:15">
      <c r="B339" s="338" t="str">
        <f>B318</f>
        <v>Age group</v>
      </c>
      <c r="C339" s="338" t="str">
        <f t="shared" ref="C339:N339" si="148">C318</f>
        <v>2016/17</v>
      </c>
      <c r="D339" s="338" t="str">
        <f t="shared" si="148"/>
        <v>2017/18</v>
      </c>
      <c r="E339" s="338" t="str">
        <f t="shared" si="148"/>
        <v>2018/19</v>
      </c>
      <c r="F339" s="338" t="str">
        <f t="shared" si="148"/>
        <v>2019/20</v>
      </c>
      <c r="G339" s="338" t="str">
        <f t="shared" si="148"/>
        <v>2020/21</v>
      </c>
      <c r="H339" s="338" t="str">
        <f t="shared" si="148"/>
        <v>2021/22</v>
      </c>
      <c r="I339" s="338" t="str">
        <f t="shared" si="148"/>
        <v>2022/23</v>
      </c>
      <c r="J339" s="338" t="str">
        <f t="shared" si="148"/>
        <v>2023/24</v>
      </c>
      <c r="K339" s="338" t="str">
        <f t="shared" si="148"/>
        <v>2024/25</v>
      </c>
      <c r="L339" s="338" t="str">
        <f t="shared" si="148"/>
        <v>2025/26</v>
      </c>
      <c r="M339" s="338" t="str">
        <f t="shared" si="148"/>
        <v>2026/27</v>
      </c>
      <c r="N339" s="338" t="str">
        <f t="shared" si="148"/>
        <v>2027/28</v>
      </c>
    </row>
    <row r="340" spans="1:15">
      <c r="B340" s="338" t="str">
        <f t="shared" ref="B340:B350" si="149">B319</f>
        <v>20-24</v>
      </c>
      <c r="C340" s="459">
        <f t="shared" ref="C340:N340" si="150">C303+C247</f>
        <v>9.7654122251174478</v>
      </c>
      <c r="D340" s="459">
        <f t="shared" si="150"/>
        <v>14.268479245752927</v>
      </c>
      <c r="E340" s="459">
        <f t="shared" si="150"/>
        <v>15.1633859233691</v>
      </c>
      <c r="F340" s="459">
        <f t="shared" si="150"/>
        <v>15.201514782767802</v>
      </c>
      <c r="G340" s="459">
        <f t="shared" si="150"/>
        <v>16.759133129468196</v>
      </c>
      <c r="H340" s="459">
        <f t="shared" si="150"/>
        <v>18.263516753176859</v>
      </c>
      <c r="I340" s="459">
        <f t="shared" si="150"/>
        <v>19.35274380323299</v>
      </c>
      <c r="J340" s="459">
        <f t="shared" si="150"/>
        <v>19.875233340151478</v>
      </c>
      <c r="K340" s="459">
        <f t="shared" si="150"/>
        <v>19.946539700605939</v>
      </c>
      <c r="L340" s="459">
        <f t="shared" si="150"/>
        <v>20.03619407969116</v>
      </c>
      <c r="M340" s="459">
        <f t="shared" si="150"/>
        <v>20.005628681479436</v>
      </c>
      <c r="N340" s="459">
        <f t="shared" si="150"/>
        <v>19.66676146353203</v>
      </c>
      <c r="O340" s="327"/>
    </row>
    <row r="341" spans="1:15">
      <c r="B341" s="338" t="str">
        <f t="shared" si="149"/>
        <v>25-29</v>
      </c>
      <c r="C341" s="459">
        <f t="shared" ref="C341:N341" si="151">C304+C248</f>
        <v>18.994680032886095</v>
      </c>
      <c r="D341" s="459">
        <f t="shared" si="151"/>
        <v>23.256809377969805</v>
      </c>
      <c r="E341" s="459">
        <f t="shared" si="151"/>
        <v>24.809244819113808</v>
      </c>
      <c r="F341" s="459">
        <f t="shared" si="151"/>
        <v>25.490038128649694</v>
      </c>
      <c r="G341" s="459">
        <f t="shared" si="151"/>
        <v>27.578161409810949</v>
      </c>
      <c r="H341" s="459">
        <f t="shared" si="151"/>
        <v>29.80024818175356</v>
      </c>
      <c r="I341" s="459">
        <f t="shared" si="151"/>
        <v>31.720701355693038</v>
      </c>
      <c r="J341" s="459">
        <f t="shared" si="151"/>
        <v>33.064231170578431</v>
      </c>
      <c r="K341" s="459">
        <f t="shared" si="151"/>
        <v>33.832645932827802</v>
      </c>
      <c r="L341" s="459">
        <f t="shared" si="151"/>
        <v>34.448729388184404</v>
      </c>
      <c r="M341" s="459">
        <f t="shared" si="151"/>
        <v>34.818753730786007</v>
      </c>
      <c r="N341" s="459">
        <f t="shared" si="151"/>
        <v>34.756364348363057</v>
      </c>
      <c r="O341" s="327"/>
    </row>
    <row r="342" spans="1:15">
      <c r="B342" s="338" t="str">
        <f t="shared" si="149"/>
        <v>30-34</v>
      </c>
      <c r="C342" s="459">
        <f t="shared" ref="C342:N342" si="152">C305+C249</f>
        <v>39.13440291693037</v>
      </c>
      <c r="D342" s="459">
        <f t="shared" si="152"/>
        <v>36.661474393943635</v>
      </c>
      <c r="E342" s="459">
        <f t="shared" si="152"/>
        <v>34.417339367349655</v>
      </c>
      <c r="F342" s="459">
        <f t="shared" si="152"/>
        <v>32.717422716648244</v>
      </c>
      <c r="G342" s="459">
        <f t="shared" si="152"/>
        <v>32.355706544938535</v>
      </c>
      <c r="H342" s="459">
        <f t="shared" si="152"/>
        <v>32.678083132915006</v>
      </c>
      <c r="I342" s="459">
        <f t="shared" si="152"/>
        <v>33.34502353008309</v>
      </c>
      <c r="J342" s="459">
        <f t="shared" si="152"/>
        <v>34.074860898702319</v>
      </c>
      <c r="K342" s="459">
        <f t="shared" si="152"/>
        <v>34.719519716870771</v>
      </c>
      <c r="L342" s="459">
        <f t="shared" si="152"/>
        <v>35.366998638829216</v>
      </c>
      <c r="M342" s="459">
        <f t="shared" si="152"/>
        <v>35.919609799858748</v>
      </c>
      <c r="N342" s="459">
        <f t="shared" si="152"/>
        <v>36.240687016861521</v>
      </c>
      <c r="O342" s="327"/>
    </row>
    <row r="343" spans="1:15">
      <c r="B343" s="338" t="str">
        <f t="shared" si="149"/>
        <v>35-39</v>
      </c>
      <c r="C343" s="459">
        <f t="shared" ref="C343:N343" si="153">C306+C250</f>
        <v>34.602697467595071</v>
      </c>
      <c r="D343" s="459">
        <f t="shared" si="153"/>
        <v>35.95391633155333</v>
      </c>
      <c r="E343" s="459">
        <f t="shared" si="153"/>
        <v>35.654085742085435</v>
      </c>
      <c r="F343" s="459">
        <f t="shared" si="153"/>
        <v>34.788704273592046</v>
      </c>
      <c r="G343" s="459">
        <f t="shared" si="153"/>
        <v>34.382685813115565</v>
      </c>
      <c r="H343" s="459">
        <f t="shared" si="153"/>
        <v>34.154962263857797</v>
      </c>
      <c r="I343" s="459">
        <f t="shared" si="153"/>
        <v>34.050763227345513</v>
      </c>
      <c r="J343" s="459">
        <f t="shared" si="153"/>
        <v>34.004444481033531</v>
      </c>
      <c r="K343" s="459">
        <f t="shared" si="153"/>
        <v>33.996026265673279</v>
      </c>
      <c r="L343" s="459">
        <f t="shared" si="153"/>
        <v>34.124768901401225</v>
      </c>
      <c r="M343" s="459">
        <f t="shared" si="153"/>
        <v>34.307973205371127</v>
      </c>
      <c r="N343" s="459">
        <f t="shared" si="153"/>
        <v>34.432588786680284</v>
      </c>
      <c r="O343" s="327"/>
    </row>
    <row r="344" spans="1:15">
      <c r="B344" s="338" t="str">
        <f t="shared" si="149"/>
        <v>40-44</v>
      </c>
      <c r="C344" s="459">
        <f t="shared" ref="C344:N344" si="154">C307+C251</f>
        <v>36.03504306382284</v>
      </c>
      <c r="D344" s="459">
        <f t="shared" si="154"/>
        <v>35.555274320341177</v>
      </c>
      <c r="E344" s="459">
        <f t="shared" si="154"/>
        <v>34.711803253338076</v>
      </c>
      <c r="F344" s="459">
        <f t="shared" si="154"/>
        <v>33.837713096934621</v>
      </c>
      <c r="G344" s="459">
        <f t="shared" si="154"/>
        <v>33.514569478654529</v>
      </c>
      <c r="H344" s="459">
        <f t="shared" si="154"/>
        <v>33.324305120119718</v>
      </c>
      <c r="I344" s="459">
        <f t="shared" si="154"/>
        <v>33.14579406531935</v>
      </c>
      <c r="J344" s="459">
        <f t="shared" si="154"/>
        <v>32.912713569708238</v>
      </c>
      <c r="K344" s="459">
        <f t="shared" si="154"/>
        <v>32.634805039988883</v>
      </c>
      <c r="L344" s="459">
        <f t="shared" si="154"/>
        <v>32.438962264403841</v>
      </c>
      <c r="M344" s="459">
        <f t="shared" si="154"/>
        <v>32.287161940770865</v>
      </c>
      <c r="N344" s="459">
        <f t="shared" si="154"/>
        <v>32.107306486960077</v>
      </c>
      <c r="O344" s="327"/>
    </row>
    <row r="345" spans="1:15">
      <c r="B345" s="338" t="str">
        <f t="shared" si="149"/>
        <v>45-49</v>
      </c>
      <c r="C345" s="459">
        <f t="shared" ref="C345:N345" si="155">C308+C252</f>
        <v>30.896073559158168</v>
      </c>
      <c r="D345" s="459">
        <f t="shared" si="155"/>
        <v>31.256102540763322</v>
      </c>
      <c r="E345" s="459">
        <f t="shared" si="155"/>
        <v>30.845819091780015</v>
      </c>
      <c r="F345" s="459">
        <f t="shared" si="155"/>
        <v>30.236006849365843</v>
      </c>
      <c r="G345" s="459">
        <f t="shared" si="155"/>
        <v>30.013723070292013</v>
      </c>
      <c r="H345" s="459">
        <f t="shared" si="155"/>
        <v>29.890269882403448</v>
      </c>
      <c r="I345" s="459">
        <f t="shared" si="155"/>
        <v>29.768471046086894</v>
      </c>
      <c r="J345" s="459">
        <f t="shared" si="155"/>
        <v>29.581406114339568</v>
      </c>
      <c r="K345" s="459">
        <f t="shared" si="155"/>
        <v>29.324253062489738</v>
      </c>
      <c r="L345" s="459">
        <f t="shared" si="155"/>
        <v>29.093420137599963</v>
      </c>
      <c r="M345" s="459">
        <f t="shared" si="155"/>
        <v>28.863297393742368</v>
      </c>
      <c r="N345" s="459">
        <f t="shared" si="155"/>
        <v>28.585370188287094</v>
      </c>
      <c r="O345" s="327"/>
    </row>
    <row r="346" spans="1:15">
      <c r="B346" s="338" t="str">
        <f t="shared" si="149"/>
        <v>50-54</v>
      </c>
      <c r="C346" s="459">
        <f t="shared" ref="C346:N346" si="156">C309+C253</f>
        <v>25.961019399035944</v>
      </c>
      <c r="D346" s="459">
        <f t="shared" si="156"/>
        <v>25.347777006407608</v>
      </c>
      <c r="E346" s="459">
        <f t="shared" si="156"/>
        <v>24.545548015469976</v>
      </c>
      <c r="F346" s="459">
        <f t="shared" si="156"/>
        <v>23.789811031863927</v>
      </c>
      <c r="G346" s="459">
        <f t="shared" si="156"/>
        <v>23.426825961204706</v>
      </c>
      <c r="H346" s="459">
        <f t="shared" si="156"/>
        <v>23.201756071007672</v>
      </c>
      <c r="I346" s="459">
        <f t="shared" si="156"/>
        <v>23.022548173593194</v>
      </c>
      <c r="J346" s="459">
        <f t="shared" si="156"/>
        <v>22.82608079488152</v>
      </c>
      <c r="K346" s="459">
        <f t="shared" si="156"/>
        <v>22.596960304126362</v>
      </c>
      <c r="L346" s="459">
        <f t="shared" si="156"/>
        <v>22.395176006493124</v>
      </c>
      <c r="M346" s="459">
        <f t="shared" si="156"/>
        <v>22.19282244551097</v>
      </c>
      <c r="N346" s="459">
        <f t="shared" si="156"/>
        <v>21.948901568018652</v>
      </c>
      <c r="O346" s="327"/>
    </row>
    <row r="347" spans="1:15">
      <c r="B347" s="338" t="str">
        <f t="shared" si="149"/>
        <v>55-59</v>
      </c>
      <c r="C347" s="459">
        <f t="shared" ref="C347:N347" si="157">C310+C254</f>
        <v>9.5310034488437108</v>
      </c>
      <c r="D347" s="459">
        <f t="shared" si="157"/>
        <v>10.413456675911354</v>
      </c>
      <c r="E347" s="459">
        <f t="shared" si="157"/>
        <v>10.552946374822685</v>
      </c>
      <c r="F347" s="459">
        <f t="shared" si="157"/>
        <v>10.441007313116657</v>
      </c>
      <c r="G347" s="459">
        <f t="shared" si="157"/>
        <v>10.456048379270188</v>
      </c>
      <c r="H347" s="459">
        <f t="shared" si="157"/>
        <v>10.460936804886114</v>
      </c>
      <c r="I347" s="459">
        <f t="shared" si="157"/>
        <v>10.432599885110109</v>
      </c>
      <c r="J347" s="459">
        <f t="shared" si="157"/>
        <v>10.357181879672977</v>
      </c>
      <c r="K347" s="459">
        <f t="shared" si="157"/>
        <v>10.245368337356696</v>
      </c>
      <c r="L347" s="459">
        <f t="shared" si="157"/>
        <v>10.150100900268638</v>
      </c>
      <c r="M347" s="459">
        <f t="shared" si="157"/>
        <v>10.051849232281334</v>
      </c>
      <c r="N347" s="459">
        <f t="shared" si="157"/>
        <v>9.9236354203825226</v>
      </c>
      <c r="O347" s="327"/>
    </row>
    <row r="348" spans="1:15">
      <c r="B348" s="338" t="str">
        <f t="shared" si="149"/>
        <v>60-64</v>
      </c>
      <c r="C348" s="459">
        <f t="shared" ref="C348:N348" si="158">C311+C255</f>
        <v>4.1735008555172612</v>
      </c>
      <c r="D348" s="459">
        <f t="shared" si="158"/>
        <v>3.6097500460525</v>
      </c>
      <c r="E348" s="459">
        <f t="shared" si="158"/>
        <v>3.3013010172661552</v>
      </c>
      <c r="F348" s="459">
        <f t="shared" si="158"/>
        <v>3.1324329409171647</v>
      </c>
      <c r="G348" s="459">
        <f t="shared" si="158"/>
        <v>3.1322260460491589</v>
      </c>
      <c r="H348" s="459">
        <f t="shared" si="158"/>
        <v>3.158284931795972</v>
      </c>
      <c r="I348" s="459">
        <f t="shared" si="158"/>
        <v>3.1724536726807675</v>
      </c>
      <c r="J348" s="459">
        <f t="shared" si="158"/>
        <v>3.1601563224793421</v>
      </c>
      <c r="K348" s="459">
        <f t="shared" si="158"/>
        <v>3.1265285649584396</v>
      </c>
      <c r="L348" s="459">
        <f t="shared" si="158"/>
        <v>3.0992651145794108</v>
      </c>
      <c r="M348" s="459">
        <f t="shared" si="158"/>
        <v>3.0688187732991943</v>
      </c>
      <c r="N348" s="459">
        <f t="shared" si="158"/>
        <v>3.0227190177086296</v>
      </c>
      <c r="O348" s="327"/>
    </row>
    <row r="349" spans="1:15">
      <c r="B349" s="338" t="str">
        <f t="shared" si="149"/>
        <v>65 plus</v>
      </c>
      <c r="C349" s="459">
        <f t="shared" ref="C349:N349" si="159">C312+C256</f>
        <v>3.5954500021361366</v>
      </c>
      <c r="D349" s="459">
        <f t="shared" si="159"/>
        <v>2.4938572710015126</v>
      </c>
      <c r="E349" s="459">
        <f t="shared" si="159"/>
        <v>1.8054143487593244</v>
      </c>
      <c r="F349" s="459">
        <f t="shared" si="159"/>
        <v>1.3930225229474735</v>
      </c>
      <c r="G349" s="459">
        <f t="shared" si="159"/>
        <v>1.177002208483783</v>
      </c>
      <c r="H349" s="459">
        <f t="shared" si="159"/>
        <v>1.0670062415493173</v>
      </c>
      <c r="I349" s="459">
        <f t="shared" si="159"/>
        <v>1.0109574098802143</v>
      </c>
      <c r="J349" s="459">
        <f t="shared" si="159"/>
        <v>0.9784217187451113</v>
      </c>
      <c r="K349" s="459">
        <f t="shared" si="159"/>
        <v>0.95494621211590147</v>
      </c>
      <c r="L349" s="459">
        <f t="shared" si="159"/>
        <v>0.93931926999764659</v>
      </c>
      <c r="M349" s="459">
        <f t="shared" si="159"/>
        <v>0.92652688606120737</v>
      </c>
      <c r="N349" s="459">
        <f t="shared" si="159"/>
        <v>0.9114642777948172</v>
      </c>
      <c r="O349" s="327"/>
    </row>
    <row r="350" spans="1:15">
      <c r="B350" s="338" t="str">
        <f t="shared" si="149"/>
        <v>Total</v>
      </c>
      <c r="C350" s="459">
        <f t="shared" ref="C350:N350" si="160">SUM(C340:C349)</f>
        <v>212.68928297104301</v>
      </c>
      <c r="D350" s="459">
        <f t="shared" si="160"/>
        <v>218.81689720969717</v>
      </c>
      <c r="E350" s="459">
        <f t="shared" si="160"/>
        <v>215.80688795335419</v>
      </c>
      <c r="F350" s="459">
        <f t="shared" si="160"/>
        <v>211.0276736568035</v>
      </c>
      <c r="G350" s="459">
        <f t="shared" si="160"/>
        <v>212.7960820412876</v>
      </c>
      <c r="H350" s="459">
        <f t="shared" si="160"/>
        <v>215.99936938346545</v>
      </c>
      <c r="I350" s="459">
        <f t="shared" si="160"/>
        <v>219.02205616902515</v>
      </c>
      <c r="J350" s="459">
        <f t="shared" si="160"/>
        <v>220.83473029029247</v>
      </c>
      <c r="K350" s="459">
        <f t="shared" si="160"/>
        <v>221.3775931370138</v>
      </c>
      <c r="L350" s="459">
        <f t="shared" si="160"/>
        <v>222.09293470144863</v>
      </c>
      <c r="M350" s="459">
        <f t="shared" si="160"/>
        <v>222.44244208916123</v>
      </c>
      <c r="N350" s="459">
        <f t="shared" si="160"/>
        <v>221.59579857458866</v>
      </c>
      <c r="O350" s="327"/>
    </row>
    <row r="351" spans="1:15">
      <c r="A351" s="309">
        <f>SUM(C351:N351)</f>
        <v>0</v>
      </c>
      <c r="C351" s="309">
        <f>SUM(C340:C349)-C350</f>
        <v>0</v>
      </c>
      <c r="D351" s="309">
        <f t="shared" ref="D351:N351" si="161">SUM(D340:D349)-D350</f>
        <v>0</v>
      </c>
      <c r="E351" s="309">
        <f t="shared" si="161"/>
        <v>0</v>
      </c>
      <c r="F351" s="309">
        <f t="shared" si="161"/>
        <v>0</v>
      </c>
      <c r="G351" s="309">
        <f t="shared" si="161"/>
        <v>0</v>
      </c>
      <c r="H351" s="309">
        <f t="shared" si="161"/>
        <v>0</v>
      </c>
      <c r="I351" s="309">
        <f t="shared" si="161"/>
        <v>0</v>
      </c>
      <c r="J351" s="309">
        <f t="shared" si="161"/>
        <v>0</v>
      </c>
      <c r="K351" s="309">
        <f t="shared" si="161"/>
        <v>0</v>
      </c>
      <c r="L351" s="309">
        <f t="shared" si="161"/>
        <v>0</v>
      </c>
      <c r="M351" s="309">
        <f t="shared" si="161"/>
        <v>0</v>
      </c>
      <c r="N351" s="309">
        <f t="shared" si="161"/>
        <v>0</v>
      </c>
    </row>
    <row r="353" spans="1:18">
      <c r="B353" s="341" t="s">
        <v>50</v>
      </c>
      <c r="C353" s="329"/>
      <c r="D353" s="329"/>
      <c r="E353" s="329"/>
      <c r="F353" s="329"/>
      <c r="G353" s="329"/>
      <c r="H353" s="339"/>
      <c r="I353" s="329"/>
      <c r="J353" s="329"/>
      <c r="K353" s="329"/>
      <c r="L353" s="329"/>
    </row>
    <row r="354" spans="1:18">
      <c r="C354" s="329"/>
      <c r="D354" s="329"/>
      <c r="E354" s="329"/>
      <c r="F354" s="329"/>
      <c r="G354" s="329"/>
      <c r="H354" s="339"/>
      <c r="I354" s="329"/>
      <c r="J354" s="329"/>
      <c r="K354" s="329"/>
      <c r="L354" s="329"/>
    </row>
    <row r="355" spans="1:18">
      <c r="B355" s="338" t="str">
        <f t="shared" ref="B355:B366" si="162">B339</f>
        <v>Age group</v>
      </c>
      <c r="C355" s="338" t="str">
        <f t="shared" ref="C355:N355" si="163">C339</f>
        <v>2016/17</v>
      </c>
      <c r="D355" s="338" t="str">
        <f t="shared" si="163"/>
        <v>2017/18</v>
      </c>
      <c r="E355" s="338" t="str">
        <f t="shared" si="163"/>
        <v>2018/19</v>
      </c>
      <c r="F355" s="338" t="str">
        <f t="shared" si="163"/>
        <v>2019/20</v>
      </c>
      <c r="G355" s="338" t="str">
        <f t="shared" si="163"/>
        <v>2020/21</v>
      </c>
      <c r="H355" s="338" t="str">
        <f t="shared" si="163"/>
        <v>2021/22</v>
      </c>
      <c r="I355" s="338" t="str">
        <f t="shared" si="163"/>
        <v>2022/23</v>
      </c>
      <c r="J355" s="338" t="str">
        <f t="shared" si="163"/>
        <v>2023/24</v>
      </c>
      <c r="K355" s="338" t="str">
        <f t="shared" si="163"/>
        <v>2024/25</v>
      </c>
      <c r="L355" s="338" t="str">
        <f t="shared" si="163"/>
        <v>2025/26</v>
      </c>
      <c r="M355" s="338" t="str">
        <f t="shared" si="163"/>
        <v>2026/27</v>
      </c>
      <c r="N355" s="338" t="str">
        <f t="shared" si="163"/>
        <v>2027/28</v>
      </c>
    </row>
    <row r="356" spans="1:18">
      <c r="B356" s="338" t="str">
        <f t="shared" si="162"/>
        <v>20-24</v>
      </c>
      <c r="C356" s="459">
        <f t="shared" ref="C356:N356" si="164">C319+C263</f>
        <v>83.658110131632839</v>
      </c>
      <c r="D356" s="459">
        <f t="shared" si="164"/>
        <v>125.73019658624615</v>
      </c>
      <c r="E356" s="459">
        <f t="shared" si="164"/>
        <v>134.80893060417594</v>
      </c>
      <c r="F356" s="459">
        <f t="shared" si="164"/>
        <v>135.86200171624978</v>
      </c>
      <c r="G356" s="459">
        <f t="shared" si="164"/>
        <v>150.44916351000211</v>
      </c>
      <c r="H356" s="459">
        <f t="shared" si="164"/>
        <v>164.41594038345733</v>
      </c>
      <c r="I356" s="459">
        <f t="shared" si="164"/>
        <v>174.5300458706551</v>
      </c>
      <c r="J356" s="459">
        <f t="shared" si="164"/>
        <v>179.44807501308316</v>
      </c>
      <c r="K356" s="459">
        <f t="shared" si="164"/>
        <v>180.23337517557246</v>
      </c>
      <c r="L356" s="459">
        <f t="shared" si="164"/>
        <v>181.14450238183534</v>
      </c>
      <c r="M356" s="459">
        <f t="shared" si="164"/>
        <v>180.94027800256148</v>
      </c>
      <c r="N356" s="459">
        <f t="shared" si="164"/>
        <v>177.92806742984791</v>
      </c>
      <c r="O356" s="327"/>
      <c r="P356" s="327"/>
      <c r="Q356" s="327"/>
      <c r="R356" s="327"/>
    </row>
    <row r="357" spans="1:18">
      <c r="B357" s="338" t="str">
        <f t="shared" si="162"/>
        <v>25-29</v>
      </c>
      <c r="C357" s="459">
        <f t="shared" ref="C357:N357" si="165">C320+C264</f>
        <v>217.3235633656754</v>
      </c>
      <c r="D357" s="459">
        <f t="shared" si="165"/>
        <v>241.38879857173629</v>
      </c>
      <c r="E357" s="459">
        <f t="shared" si="165"/>
        <v>244.86921783312454</v>
      </c>
      <c r="F357" s="459">
        <f t="shared" si="165"/>
        <v>243.43911526968975</v>
      </c>
      <c r="G357" s="459">
        <f t="shared" si="165"/>
        <v>256.89736123264299</v>
      </c>
      <c r="H357" s="459">
        <f t="shared" si="165"/>
        <v>273.00664950750263</v>
      </c>
      <c r="I357" s="459">
        <f t="shared" si="165"/>
        <v>287.40344415768232</v>
      </c>
      <c r="J357" s="459">
        <f t="shared" si="165"/>
        <v>297.32542621915098</v>
      </c>
      <c r="K357" s="459">
        <f t="shared" si="165"/>
        <v>302.61199139340067</v>
      </c>
      <c r="L357" s="459">
        <f t="shared" si="165"/>
        <v>306.95849152878543</v>
      </c>
      <c r="M357" s="459">
        <f t="shared" si="165"/>
        <v>309.39876472658699</v>
      </c>
      <c r="N357" s="459">
        <f t="shared" si="165"/>
        <v>308.17076967649405</v>
      </c>
      <c r="O357" s="327"/>
      <c r="P357" s="327"/>
      <c r="Q357" s="327"/>
      <c r="R357" s="327"/>
    </row>
    <row r="358" spans="1:18">
      <c r="B358" s="338" t="str">
        <f t="shared" si="162"/>
        <v>30-34</v>
      </c>
      <c r="C358" s="459">
        <f t="shared" ref="C358:N358" si="166">C321+C265</f>
        <v>220.55918940100378</v>
      </c>
      <c r="D358" s="459">
        <f t="shared" si="166"/>
        <v>234.68731251260959</v>
      </c>
      <c r="E358" s="459">
        <f t="shared" si="166"/>
        <v>238.65554531666794</v>
      </c>
      <c r="F358" s="459">
        <f t="shared" si="166"/>
        <v>239.40570972906684</v>
      </c>
      <c r="G358" s="459">
        <f t="shared" si="166"/>
        <v>246.79422788177402</v>
      </c>
      <c r="H358" s="459">
        <f t="shared" si="166"/>
        <v>256.47598703483499</v>
      </c>
      <c r="I358" s="459">
        <f t="shared" si="166"/>
        <v>266.56653199104107</v>
      </c>
      <c r="J358" s="459">
        <f t="shared" si="166"/>
        <v>275.38664043733598</v>
      </c>
      <c r="K358" s="459">
        <f t="shared" si="166"/>
        <v>282.24307417892311</v>
      </c>
      <c r="L358" s="459">
        <f t="shared" si="166"/>
        <v>288.39662315979837</v>
      </c>
      <c r="M358" s="459">
        <f t="shared" si="166"/>
        <v>293.24654477941806</v>
      </c>
      <c r="N358" s="459">
        <f t="shared" si="166"/>
        <v>295.76330371203886</v>
      </c>
      <c r="O358" s="327"/>
      <c r="P358" s="327"/>
      <c r="Q358" s="327"/>
      <c r="R358" s="327"/>
    </row>
    <row r="359" spans="1:18">
      <c r="B359" s="338" t="str">
        <f t="shared" si="162"/>
        <v>35-39</v>
      </c>
      <c r="C359" s="459">
        <f t="shared" ref="C359:N359" si="167">C322+C266</f>
        <v>219.31269282948517</v>
      </c>
      <c r="D359" s="459">
        <f t="shared" si="167"/>
        <v>226.18453606703628</v>
      </c>
      <c r="E359" s="459">
        <f t="shared" si="167"/>
        <v>226.16212235968081</v>
      </c>
      <c r="F359" s="459">
        <f t="shared" si="167"/>
        <v>224.88645949624924</v>
      </c>
      <c r="G359" s="459">
        <f t="shared" si="167"/>
        <v>229.1602462835715</v>
      </c>
      <c r="H359" s="459">
        <f t="shared" si="167"/>
        <v>234.97023665849616</v>
      </c>
      <c r="I359" s="459">
        <f t="shared" si="167"/>
        <v>241.0818504791909</v>
      </c>
      <c r="J359" s="459">
        <f t="shared" si="167"/>
        <v>246.59293100167605</v>
      </c>
      <c r="K359" s="459">
        <f t="shared" si="167"/>
        <v>251.27218492780997</v>
      </c>
      <c r="L359" s="459">
        <f t="shared" si="167"/>
        <v>256.10553842089956</v>
      </c>
      <c r="M359" s="459">
        <f t="shared" si="167"/>
        <v>260.48098944585473</v>
      </c>
      <c r="N359" s="459">
        <f t="shared" si="167"/>
        <v>263.54162444485598</v>
      </c>
      <c r="O359" s="327"/>
      <c r="P359" s="327"/>
      <c r="Q359" s="327"/>
      <c r="R359" s="327"/>
    </row>
    <row r="360" spans="1:18">
      <c r="B360" s="338" t="str">
        <f t="shared" si="162"/>
        <v>40-44</v>
      </c>
      <c r="C360" s="459">
        <f t="shared" ref="C360:N360" si="168">C323+C267</f>
        <v>251.82074463646421</v>
      </c>
      <c r="D360" s="459">
        <f t="shared" si="168"/>
        <v>247.48155826477011</v>
      </c>
      <c r="E360" s="459">
        <f t="shared" si="168"/>
        <v>238.87491176006296</v>
      </c>
      <c r="F360" s="459">
        <f t="shared" si="168"/>
        <v>230.7872159601844</v>
      </c>
      <c r="G360" s="459">
        <f t="shared" si="168"/>
        <v>228.98849253866186</v>
      </c>
      <c r="H360" s="459">
        <f t="shared" si="168"/>
        <v>229.58377331258768</v>
      </c>
      <c r="I360" s="459">
        <f t="shared" si="168"/>
        <v>231.1437790362202</v>
      </c>
      <c r="J360" s="459">
        <f t="shared" si="168"/>
        <v>232.69189716435991</v>
      </c>
      <c r="K360" s="459">
        <f t="shared" si="168"/>
        <v>233.98466809830987</v>
      </c>
      <c r="L360" s="459">
        <f t="shared" si="168"/>
        <v>235.91489770803949</v>
      </c>
      <c r="M360" s="459">
        <f t="shared" si="168"/>
        <v>237.96027059433248</v>
      </c>
      <c r="N360" s="459">
        <f t="shared" si="168"/>
        <v>239.36490940121314</v>
      </c>
      <c r="O360" s="327"/>
      <c r="P360" s="327"/>
      <c r="Q360" s="327"/>
      <c r="R360" s="327"/>
    </row>
    <row r="361" spans="1:18">
      <c r="B361" s="338" t="str">
        <f t="shared" si="162"/>
        <v>45-49</v>
      </c>
      <c r="C361" s="459">
        <f t="shared" ref="C361:N361" si="169">C324+C268</f>
        <v>283.01519245812864</v>
      </c>
      <c r="D361" s="459">
        <f t="shared" si="169"/>
        <v>271.11130486740376</v>
      </c>
      <c r="E361" s="459">
        <f t="shared" si="169"/>
        <v>256.25330182697508</v>
      </c>
      <c r="F361" s="459">
        <f t="shared" si="169"/>
        <v>242.3722417722403</v>
      </c>
      <c r="G361" s="459">
        <f t="shared" si="169"/>
        <v>234.18843037849598</v>
      </c>
      <c r="H361" s="459">
        <f t="shared" si="169"/>
        <v>228.74373561086114</v>
      </c>
      <c r="I361" s="459">
        <f t="shared" si="169"/>
        <v>224.88822615483946</v>
      </c>
      <c r="J361" s="459">
        <f t="shared" si="169"/>
        <v>221.7578007642889</v>
      </c>
      <c r="K361" s="459">
        <f t="shared" si="169"/>
        <v>219.05029539901784</v>
      </c>
      <c r="L361" s="459">
        <f t="shared" si="169"/>
        <v>217.38628404160428</v>
      </c>
      <c r="M361" s="459">
        <f t="shared" si="169"/>
        <v>216.30105688157244</v>
      </c>
      <c r="N361" s="459">
        <f t="shared" si="169"/>
        <v>215.15227132369375</v>
      </c>
      <c r="O361" s="327"/>
      <c r="P361" s="327"/>
      <c r="Q361" s="327"/>
      <c r="R361" s="327"/>
    </row>
    <row r="362" spans="1:18">
      <c r="B362" s="338" t="str">
        <f t="shared" si="162"/>
        <v>50-54</v>
      </c>
      <c r="C362" s="459">
        <f t="shared" ref="C362:N362" si="170">C325+C269</f>
        <v>286.65154841088611</v>
      </c>
      <c r="D362" s="459">
        <f t="shared" si="170"/>
        <v>266.02968120769839</v>
      </c>
      <c r="E362" s="459">
        <f t="shared" si="170"/>
        <v>245.39053913032544</v>
      </c>
      <c r="F362" s="459">
        <f t="shared" si="170"/>
        <v>227.09202486383433</v>
      </c>
      <c r="G362" s="459">
        <f t="shared" si="170"/>
        <v>214.20142111147194</v>
      </c>
      <c r="H362" s="459">
        <f t="shared" si="170"/>
        <v>204.25604563621363</v>
      </c>
      <c r="I362" s="459">
        <f t="shared" si="170"/>
        <v>196.2556330211454</v>
      </c>
      <c r="J362" s="459">
        <f t="shared" si="170"/>
        <v>189.46434385058166</v>
      </c>
      <c r="K362" s="459">
        <f t="shared" si="170"/>
        <v>183.58131583262553</v>
      </c>
      <c r="L362" s="459">
        <f t="shared" si="170"/>
        <v>178.98850118447422</v>
      </c>
      <c r="M362" s="459">
        <f t="shared" si="170"/>
        <v>175.27350562896927</v>
      </c>
      <c r="N362" s="459">
        <f t="shared" si="170"/>
        <v>171.9112860737151</v>
      </c>
      <c r="O362" s="327"/>
      <c r="P362" s="327"/>
      <c r="Q362" s="327"/>
      <c r="R362" s="327"/>
    </row>
    <row r="363" spans="1:18">
      <c r="B363" s="338" t="str">
        <f t="shared" si="162"/>
        <v>55-59</v>
      </c>
      <c r="C363" s="459">
        <f t="shared" ref="C363:N363" si="171">C326+C270</f>
        <v>217.45268398539329</v>
      </c>
      <c r="D363" s="459">
        <f t="shared" si="171"/>
        <v>181.42313497555395</v>
      </c>
      <c r="E363" s="459">
        <f t="shared" si="171"/>
        <v>154.12344548736488</v>
      </c>
      <c r="F363" s="459">
        <f t="shared" si="171"/>
        <v>134.00631377351661</v>
      </c>
      <c r="G363" s="459">
        <f t="shared" si="171"/>
        <v>120.97164876270131</v>
      </c>
      <c r="H363" s="459">
        <f t="shared" si="171"/>
        <v>111.68867583561034</v>
      </c>
      <c r="I363" s="459">
        <f t="shared" si="171"/>
        <v>104.66183577999554</v>
      </c>
      <c r="J363" s="459">
        <f t="shared" si="171"/>
        <v>98.967642793017276</v>
      </c>
      <c r="K363" s="459">
        <f t="shared" si="171"/>
        <v>94.198432459515757</v>
      </c>
      <c r="L363" s="459">
        <f t="shared" si="171"/>
        <v>90.507127355563654</v>
      </c>
      <c r="M363" s="459">
        <f t="shared" si="171"/>
        <v>87.502029475814993</v>
      </c>
      <c r="N363" s="459">
        <f t="shared" si="171"/>
        <v>84.784986205555626</v>
      </c>
      <c r="O363" s="327"/>
      <c r="P363" s="327"/>
      <c r="Q363" s="327"/>
      <c r="R363" s="327"/>
    </row>
    <row r="364" spans="1:18">
      <c r="B364" s="338" t="str">
        <f t="shared" si="162"/>
        <v>60-64</v>
      </c>
      <c r="C364" s="459">
        <f t="shared" ref="C364:N364" si="172">C327+C271</f>
        <v>68.537633220500638</v>
      </c>
      <c r="D364" s="459">
        <f t="shared" si="172"/>
        <v>60.461223869841035</v>
      </c>
      <c r="E364" s="459">
        <f t="shared" si="172"/>
        <v>51.330157839520943</v>
      </c>
      <c r="F364" s="459">
        <f t="shared" si="172"/>
        <v>43.675413085624648</v>
      </c>
      <c r="G364" s="459">
        <f t="shared" si="172"/>
        <v>38.712278131592775</v>
      </c>
      <c r="H364" s="459">
        <f t="shared" si="172"/>
        <v>35.160828296203462</v>
      </c>
      <c r="I364" s="459">
        <f t="shared" si="172"/>
        <v>32.476386597762158</v>
      </c>
      <c r="J364" s="459">
        <f t="shared" si="172"/>
        <v>30.297085138308393</v>
      </c>
      <c r="K364" s="459">
        <f t="shared" si="172"/>
        <v>28.47600643560191</v>
      </c>
      <c r="L364" s="459">
        <f t="shared" si="172"/>
        <v>27.115380708078867</v>
      </c>
      <c r="M364" s="459">
        <f t="shared" si="172"/>
        <v>26.015089945466336</v>
      </c>
      <c r="N364" s="459">
        <f t="shared" si="172"/>
        <v>24.988511811069767</v>
      </c>
      <c r="O364" s="327"/>
      <c r="P364" s="327"/>
      <c r="Q364" s="327"/>
      <c r="R364" s="327"/>
    </row>
    <row r="365" spans="1:18">
      <c r="B365" s="338" t="str">
        <f t="shared" si="162"/>
        <v>65 plus</v>
      </c>
      <c r="C365" s="459">
        <f t="shared" ref="C365:N365" si="173">C328+C272</f>
        <v>14.878567324053162</v>
      </c>
      <c r="D365" s="459">
        <f t="shared" si="173"/>
        <v>15.234833541160961</v>
      </c>
      <c r="E365" s="459">
        <f t="shared" si="173"/>
        <v>14.284340422842828</v>
      </c>
      <c r="F365" s="459">
        <f t="shared" si="173"/>
        <v>12.8198887309758</v>
      </c>
      <c r="G365" s="459">
        <f t="shared" si="173"/>
        <v>11.545349103665515</v>
      </c>
      <c r="H365" s="459">
        <f t="shared" si="173"/>
        <v>10.473501619690071</v>
      </c>
      <c r="I365" s="459">
        <f t="shared" si="173"/>
        <v>9.5898964154191972</v>
      </c>
      <c r="J365" s="459">
        <f t="shared" si="173"/>
        <v>8.8481201349680472</v>
      </c>
      <c r="K365" s="459">
        <f t="shared" si="173"/>
        <v>8.2204693408941267</v>
      </c>
      <c r="L365" s="459">
        <f t="shared" si="173"/>
        <v>7.732833855201692</v>
      </c>
      <c r="M365" s="459">
        <f t="shared" si="173"/>
        <v>7.3418968310701054</v>
      </c>
      <c r="N365" s="459">
        <f t="shared" si="173"/>
        <v>6.9937122648659793</v>
      </c>
      <c r="O365" s="327"/>
      <c r="P365" s="327"/>
      <c r="Q365" s="327"/>
      <c r="R365" s="327"/>
    </row>
    <row r="366" spans="1:18">
      <c r="B366" s="338" t="str">
        <f t="shared" si="162"/>
        <v>Total</v>
      </c>
      <c r="C366" s="459">
        <f t="shared" ref="C366:N366" si="174">SUM(C356:C365)</f>
        <v>1863.2099257632233</v>
      </c>
      <c r="D366" s="459">
        <f t="shared" si="174"/>
        <v>1869.7325804640566</v>
      </c>
      <c r="E366" s="459">
        <f t="shared" si="174"/>
        <v>1804.7525125807415</v>
      </c>
      <c r="F366" s="459">
        <f t="shared" si="174"/>
        <v>1734.3463843976317</v>
      </c>
      <c r="G366" s="459">
        <f t="shared" si="174"/>
        <v>1731.9086189345799</v>
      </c>
      <c r="H366" s="459">
        <f t="shared" si="174"/>
        <v>1748.7753738954575</v>
      </c>
      <c r="I366" s="459">
        <f t="shared" si="174"/>
        <v>1768.5976295039516</v>
      </c>
      <c r="J366" s="459">
        <f t="shared" si="174"/>
        <v>1780.7799625167704</v>
      </c>
      <c r="K366" s="459">
        <f t="shared" si="174"/>
        <v>1783.8718132416711</v>
      </c>
      <c r="L366" s="459">
        <f t="shared" si="174"/>
        <v>1790.250180344281</v>
      </c>
      <c r="M366" s="459">
        <f t="shared" si="174"/>
        <v>1794.4604263116471</v>
      </c>
      <c r="N366" s="459">
        <f t="shared" si="174"/>
        <v>1788.5994423433499</v>
      </c>
      <c r="O366" s="327"/>
      <c r="P366" s="327"/>
      <c r="Q366" s="327"/>
      <c r="R366" s="327"/>
    </row>
    <row r="367" spans="1:18">
      <c r="A367" s="309">
        <f>SUM(C367:N367)</f>
        <v>0</v>
      </c>
      <c r="C367" s="309">
        <f>SUM(C356:C365)-C366</f>
        <v>0</v>
      </c>
      <c r="D367" s="309">
        <f t="shared" ref="D367:N367" si="175">SUM(D356:D365)-D366</f>
        <v>0</v>
      </c>
      <c r="E367" s="309">
        <f t="shared" si="175"/>
        <v>0</v>
      </c>
      <c r="F367" s="309">
        <f t="shared" si="175"/>
        <v>0</v>
      </c>
      <c r="G367" s="309">
        <f t="shared" si="175"/>
        <v>0</v>
      </c>
      <c r="H367" s="309">
        <f t="shared" si="175"/>
        <v>0</v>
      </c>
      <c r="I367" s="309">
        <f t="shared" si="175"/>
        <v>0</v>
      </c>
      <c r="J367" s="309">
        <f t="shared" si="175"/>
        <v>0</v>
      </c>
      <c r="K367" s="309">
        <f t="shared" si="175"/>
        <v>0</v>
      </c>
      <c r="L367" s="309">
        <f t="shared" si="175"/>
        <v>0</v>
      </c>
      <c r="M367" s="309">
        <f t="shared" si="175"/>
        <v>0</v>
      </c>
      <c r="N367" s="309">
        <f t="shared" si="175"/>
        <v>0</v>
      </c>
    </row>
    <row r="368" spans="1:18">
      <c r="C368" s="329">
        <f>C350+C366</f>
        <v>2075.8992087342663</v>
      </c>
      <c r="D368" s="329">
        <f t="shared" ref="D368:N368" si="176">D350+D366</f>
        <v>2088.5494776737537</v>
      </c>
      <c r="E368" s="329">
        <f t="shared" si="176"/>
        <v>2020.5594005340956</v>
      </c>
      <c r="F368" s="329">
        <f t="shared" si="176"/>
        <v>1945.3740580544352</v>
      </c>
      <c r="G368" s="329">
        <f t="shared" si="176"/>
        <v>1944.7047009758676</v>
      </c>
      <c r="H368" s="329">
        <f t="shared" si="176"/>
        <v>1964.7747432789229</v>
      </c>
      <c r="I368" s="329">
        <f t="shared" si="176"/>
        <v>1987.6196856729766</v>
      </c>
      <c r="J368" s="329">
        <f t="shared" si="176"/>
        <v>2001.614692807063</v>
      </c>
      <c r="K368" s="329">
        <f t="shared" si="176"/>
        <v>2005.2494063786849</v>
      </c>
      <c r="L368" s="329">
        <f t="shared" si="176"/>
        <v>2012.3431150457297</v>
      </c>
      <c r="M368" s="329">
        <f t="shared" si="176"/>
        <v>2016.9028684008083</v>
      </c>
      <c r="N368" s="329">
        <f t="shared" si="176"/>
        <v>2010.1952409179385</v>
      </c>
    </row>
    <row r="369" spans="1:14">
      <c r="C369" s="329">
        <f t="shared" ref="C369:N369" si="177">C36</f>
        <v>2075.8992087342663</v>
      </c>
      <c r="D369" s="329">
        <f t="shared" si="177"/>
        <v>2088.5494776737537</v>
      </c>
      <c r="E369" s="329">
        <f t="shared" si="177"/>
        <v>2020.5594005340956</v>
      </c>
      <c r="F369" s="329">
        <f t="shared" si="177"/>
        <v>1945.3740580544352</v>
      </c>
      <c r="G369" s="329">
        <f t="shared" si="177"/>
        <v>1944.7047009758676</v>
      </c>
      <c r="H369" s="329">
        <f t="shared" si="177"/>
        <v>1964.7747432789229</v>
      </c>
      <c r="I369" s="329">
        <f t="shared" si="177"/>
        <v>1987.6196856729764</v>
      </c>
      <c r="J369" s="329">
        <f t="shared" si="177"/>
        <v>2001.6146928070627</v>
      </c>
      <c r="K369" s="329">
        <f t="shared" si="177"/>
        <v>2005.2494063786851</v>
      </c>
      <c r="L369" s="329">
        <f t="shared" si="177"/>
        <v>2012.3431150457295</v>
      </c>
      <c r="M369" s="329">
        <f t="shared" si="177"/>
        <v>2016.9028684008081</v>
      </c>
      <c r="N369" s="329">
        <f t="shared" si="177"/>
        <v>2010.1952409179387</v>
      </c>
    </row>
    <row r="370" spans="1:14">
      <c r="A370" s="309">
        <f>SUM(C370:L370)</f>
        <v>0</v>
      </c>
      <c r="C370" s="329">
        <f>C368-C369</f>
        <v>0</v>
      </c>
      <c r="D370" s="329">
        <f t="shared" ref="D370:N370" si="178">D368-D369</f>
        <v>0</v>
      </c>
      <c r="E370" s="329">
        <f t="shared" si="178"/>
        <v>0</v>
      </c>
      <c r="F370" s="329">
        <f t="shared" si="178"/>
        <v>0</v>
      </c>
      <c r="G370" s="329">
        <f t="shared" si="178"/>
        <v>0</v>
      </c>
      <c r="H370" s="329">
        <f t="shared" si="178"/>
        <v>0</v>
      </c>
      <c r="I370" s="329">
        <f t="shared" si="178"/>
        <v>0</v>
      </c>
      <c r="J370" s="329">
        <f t="shared" si="178"/>
        <v>0</v>
      </c>
      <c r="K370" s="329">
        <f t="shared" si="178"/>
        <v>0</v>
      </c>
      <c r="L370" s="329">
        <f t="shared" si="178"/>
        <v>0</v>
      </c>
      <c r="M370" s="329">
        <f t="shared" si="178"/>
        <v>0</v>
      </c>
      <c r="N370" s="329">
        <f t="shared" si="178"/>
        <v>0</v>
      </c>
    </row>
    <row r="371" spans="1:14">
      <c r="A371" s="309">
        <f>SUM(C371:L371)</f>
        <v>0</v>
      </c>
      <c r="C371" s="329">
        <f>IF(C294&gt;0,0,C294)</f>
        <v>0</v>
      </c>
      <c r="D371" s="329">
        <f t="shared" ref="D371:N371" si="179">IF(D294&gt;0,0,D294)</f>
        <v>0</v>
      </c>
      <c r="E371" s="329">
        <f t="shared" si="179"/>
        <v>0</v>
      </c>
      <c r="F371" s="329">
        <f t="shared" si="179"/>
        <v>0</v>
      </c>
      <c r="G371" s="329">
        <f t="shared" si="179"/>
        <v>0</v>
      </c>
      <c r="H371" s="329">
        <f t="shared" si="179"/>
        <v>0</v>
      </c>
      <c r="I371" s="329">
        <f t="shared" si="179"/>
        <v>0</v>
      </c>
      <c r="J371" s="329">
        <f t="shared" si="179"/>
        <v>0</v>
      </c>
      <c r="K371" s="329">
        <f t="shared" si="179"/>
        <v>0</v>
      </c>
      <c r="L371" s="329">
        <f t="shared" si="179"/>
        <v>0</v>
      </c>
      <c r="M371" s="329">
        <f t="shared" si="179"/>
        <v>0</v>
      </c>
      <c r="N371" s="329">
        <f t="shared" si="179"/>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0000"/>
  </sheetPr>
  <dimension ref="A1:U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1697</v>
      </c>
      <c r="B5" s="706"/>
      <c r="C5" s="706"/>
      <c r="D5" s="706"/>
      <c r="E5" s="706"/>
      <c r="F5" s="706"/>
      <c r="G5" s="706"/>
      <c r="H5" s="706"/>
      <c r="I5" s="706"/>
      <c r="J5" s="706"/>
      <c r="K5" s="706"/>
      <c r="L5" s="706"/>
      <c r="M5" s="706"/>
      <c r="N5" s="706"/>
      <c r="O5" s="349"/>
      <c r="P5" s="349"/>
      <c r="Q5" s="349"/>
    </row>
    <row r="6" spans="1:17" s="354" customFormat="1" ht="13.5" customHeight="1">
      <c r="A6" s="351" t="s">
        <v>1420</v>
      </c>
      <c r="B6" s="352"/>
      <c r="C6" s="352"/>
      <c r="D6" s="352"/>
      <c r="E6" s="347"/>
      <c r="F6" s="352"/>
      <c r="G6" s="352"/>
      <c r="H6" s="352"/>
      <c r="I6" s="352"/>
      <c r="J6" s="352"/>
      <c r="K6" s="352"/>
      <c r="L6" s="353"/>
      <c r="M6" s="353"/>
      <c r="N6" s="353"/>
      <c r="O6" s="353"/>
      <c r="P6" s="353"/>
      <c r="Q6" s="353"/>
    </row>
    <row r="7" spans="1:17" s="354" customFormat="1" ht="12" customHeight="1">
      <c r="A7" s="355" t="s">
        <v>1503</v>
      </c>
      <c r="B7" s="351"/>
      <c r="C7" s="352"/>
      <c r="D7" s="352"/>
      <c r="E7" s="347"/>
      <c r="F7" s="352"/>
      <c r="G7" s="352"/>
      <c r="H7" s="352"/>
      <c r="I7" s="352"/>
      <c r="J7" s="352"/>
      <c r="K7" s="352"/>
      <c r="L7" s="353"/>
      <c r="M7" s="353"/>
      <c r="N7" s="353"/>
      <c r="O7" s="353"/>
      <c r="P7" s="353"/>
      <c r="Q7" s="353"/>
    </row>
    <row r="8" spans="1:17" s="354" customFormat="1" ht="15.75" customHeight="1">
      <c r="A8" s="351" t="s">
        <v>24</v>
      </c>
      <c r="B8" s="352"/>
      <c r="C8" s="352"/>
      <c r="D8" s="352"/>
      <c r="E8" s="347"/>
      <c r="F8" s="352"/>
      <c r="G8" s="352"/>
      <c r="H8" s="352"/>
      <c r="I8" s="352"/>
      <c r="J8" s="352"/>
      <c r="K8" s="352"/>
      <c r="L8" s="353"/>
      <c r="M8" s="353"/>
      <c r="N8" s="353"/>
      <c r="O8" s="353"/>
      <c r="P8" s="353"/>
      <c r="Q8" s="353"/>
    </row>
    <row r="9" spans="1:17" s="354" customFormat="1" ht="15.75" customHeight="1">
      <c r="A9" s="355" t="s">
        <v>351</v>
      </c>
      <c r="B9" s="352"/>
      <c r="C9" s="352"/>
      <c r="D9" s="352"/>
      <c r="E9" s="347"/>
      <c r="F9" s="352"/>
      <c r="G9" s="352"/>
      <c r="H9" s="352"/>
      <c r="I9" s="352"/>
      <c r="J9" s="352"/>
      <c r="K9" s="352"/>
      <c r="L9" s="353"/>
      <c r="M9" s="353"/>
      <c r="N9" s="353"/>
      <c r="O9" s="353"/>
      <c r="P9" s="353"/>
      <c r="Q9" s="353"/>
    </row>
    <row r="10" spans="1:17" s="362" customFormat="1" ht="13.5" customHeigh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Forecast_stock_figures!B26</f>
        <v>Geography</v>
      </c>
      <c r="C15" s="307">
        <f>Forecast_stock_figures!C50</f>
        <v>10546.780943954087</v>
      </c>
      <c r="D15" s="307">
        <f>Forecast_stock_figures!D50</f>
        <v>10518.362186302702</v>
      </c>
      <c r="E15" s="307">
        <f>Forecast_stock_figures!E50</f>
        <v>10592.197160123502</v>
      </c>
      <c r="F15" s="307">
        <f>Forecast_stock_figures!F50</f>
        <v>10991.644935793051</v>
      </c>
      <c r="G15" s="307">
        <f>Forecast_stock_figures!G50</f>
        <v>11415.269146232955</v>
      </c>
      <c r="H15" s="307">
        <f>Forecast_stock_figures!H50</f>
        <v>11567.794354132981</v>
      </c>
      <c r="I15" s="307">
        <f>Forecast_stock_figures!I50</f>
        <v>11664.678552531093</v>
      </c>
      <c r="J15" s="307">
        <f>Forecast_stock_figures!J50</f>
        <v>11757.312130654836</v>
      </c>
      <c r="K15" s="307">
        <f>Forecast_stock_figures!K50</f>
        <v>11847.832710968347</v>
      </c>
      <c r="L15" s="307">
        <f>Forecast_stock_figures!L50</f>
        <v>11867.451639056904</v>
      </c>
      <c r="M15" s="307">
        <f>Forecast_stock_figures!M50</f>
        <v>11851.220190458745</v>
      </c>
      <c r="N15" s="307">
        <f>Forecast_stock_figures!N50</f>
        <v>11813.654322341292</v>
      </c>
    </row>
    <row r="17" spans="1:9" ht="15.75">
      <c r="B17" s="340" t="s">
        <v>149</v>
      </c>
    </row>
    <row r="19" spans="1:9">
      <c r="B19" s="1243" t="str">
        <f>Stock_ages_breakdowns!B73</f>
        <v>Age group</v>
      </c>
      <c r="C19" s="1244" t="str">
        <f>Stock_ages_breakdowns!W73</f>
        <v>Geography</v>
      </c>
      <c r="D19" s="1245"/>
      <c r="H19" s="325" t="s">
        <v>120</v>
      </c>
    </row>
    <row r="20" spans="1:9">
      <c r="B20" s="1243"/>
      <c r="C20" s="363" t="str">
        <f>Stock_ages_breakdowns!W74</f>
        <v>Male</v>
      </c>
      <c r="D20" s="363" t="str">
        <f>Stock_ages_breakdowns!X74</f>
        <v>Female</v>
      </c>
    </row>
    <row r="21" spans="1:9">
      <c r="B21" s="363" t="str">
        <f>Stock_ages_breakdowns!B75</f>
        <v>20-24</v>
      </c>
      <c r="C21" s="331">
        <f>Stock_ages_breakdowns!W20</f>
        <v>191.99308224724848</v>
      </c>
      <c r="D21" s="331">
        <f>Stock_ages_breakdowns!X20</f>
        <v>478.13009528320919</v>
      </c>
    </row>
    <row r="22" spans="1:9">
      <c r="B22" s="363" t="str">
        <f>Stock_ages_breakdowns!B76</f>
        <v>25-29</v>
      </c>
      <c r="C22" s="331">
        <f>Stock_ages_breakdowns!W21</f>
        <v>638.34647080583932</v>
      </c>
      <c r="D22" s="331">
        <f>Stock_ages_breakdowns!X21</f>
        <v>1256.0458638026651</v>
      </c>
    </row>
    <row r="23" spans="1:9">
      <c r="B23" s="363" t="str">
        <f>Stock_ages_breakdowns!B77</f>
        <v>30-34</v>
      </c>
      <c r="C23" s="331">
        <f>Stock_ages_breakdowns!W22</f>
        <v>834.17147351426013</v>
      </c>
      <c r="D23" s="331">
        <f>Stock_ages_breakdowns!X22</f>
        <v>1113.141468431746</v>
      </c>
    </row>
    <row r="24" spans="1:9">
      <c r="B24" s="363" t="str">
        <f>Stock_ages_breakdowns!B78</f>
        <v>35-39</v>
      </c>
      <c r="C24" s="331">
        <f>Stock_ages_breakdowns!W23</f>
        <v>854.46838103379923</v>
      </c>
      <c r="D24" s="331">
        <f>Stock_ages_breakdowns!X23</f>
        <v>1066.2655385413264</v>
      </c>
    </row>
    <row r="25" spans="1:9">
      <c r="B25" s="363" t="str">
        <f>Stock_ages_breakdowns!B79</f>
        <v>40-44</v>
      </c>
      <c r="C25" s="331">
        <f>Stock_ages_breakdowns!W24</f>
        <v>766.08579902490203</v>
      </c>
      <c r="D25" s="331">
        <f>Stock_ages_breakdowns!X24</f>
        <v>806.13390708864551</v>
      </c>
    </row>
    <row r="26" spans="1:9">
      <c r="B26" s="363" t="str">
        <f>Stock_ages_breakdowns!B80</f>
        <v>45-49</v>
      </c>
      <c r="C26" s="331">
        <f>Stock_ages_breakdowns!W25</f>
        <v>519.76045428457803</v>
      </c>
      <c r="D26" s="331">
        <f>Stock_ages_breakdowns!X25</f>
        <v>458.75600120459285</v>
      </c>
    </row>
    <row r="27" spans="1:9">
      <c r="B27" s="363" t="str">
        <f>Stock_ages_breakdowns!B81</f>
        <v>50-54</v>
      </c>
      <c r="C27" s="331">
        <f>Stock_ages_breakdowns!W26</f>
        <v>396.22217190305668</v>
      </c>
      <c r="D27" s="331">
        <f>Stock_ages_breakdowns!X26</f>
        <v>344.16252456503207</v>
      </c>
    </row>
    <row r="28" spans="1:9">
      <c r="B28" s="363" t="str">
        <f>Stock_ages_breakdowns!B82</f>
        <v>55-59</v>
      </c>
      <c r="C28" s="331">
        <f>Stock_ages_breakdowns!W27</f>
        <v>306.80603884032604</v>
      </c>
      <c r="D28" s="331">
        <f>Stock_ages_breakdowns!X27</f>
        <v>316.46814497582551</v>
      </c>
    </row>
    <row r="29" spans="1:9">
      <c r="B29" s="363" t="str">
        <f>Stock_ages_breakdowns!B83</f>
        <v>60-64</v>
      </c>
      <c r="C29" s="331">
        <f>Stock_ages_breakdowns!W28</f>
        <v>93.552332550369343</v>
      </c>
      <c r="D29" s="331">
        <f>Stock_ages_breakdowns!X28</f>
        <v>89.308388358276957</v>
      </c>
      <c r="F29" s="325"/>
    </row>
    <row r="30" spans="1:9">
      <c r="B30" s="363" t="str">
        <f>Stock_ages_breakdowns!B84</f>
        <v>65 plus</v>
      </c>
      <c r="C30" s="331">
        <f>Stock_ages_breakdowns!W29</f>
        <v>8.3063186044572603</v>
      </c>
      <c r="D30" s="331">
        <f>Stock_ages_breakdowns!X29</f>
        <v>8.656488893931737</v>
      </c>
      <c r="G30" s="326" t="s">
        <v>49</v>
      </c>
      <c r="H30" s="326" t="s">
        <v>50</v>
      </c>
    </row>
    <row r="31" spans="1:9">
      <c r="A31" s="309">
        <f>I31</f>
        <v>0</v>
      </c>
      <c r="B31" s="363" t="str">
        <f>Stock_ages_breakdowns!B85</f>
        <v>Total</v>
      </c>
      <c r="C31" s="331">
        <f>Stock_ages_breakdowns!W30</f>
        <v>4609.7125228088362</v>
      </c>
      <c r="D31" s="331">
        <f>Stock_ages_breakdowns!X30</f>
        <v>5937.0684211452508</v>
      </c>
      <c r="E31" s="327">
        <f>SUM(C31:D31)</f>
        <v>10546.780943954087</v>
      </c>
      <c r="G31" s="366">
        <f>C31/$E$31</f>
        <v>0.43707293697527122</v>
      </c>
      <c r="H31" s="366">
        <f>D31/$E$31</f>
        <v>0.56292706302472872</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6" t="str">
        <f>B15</f>
        <v>Geography</v>
      </c>
      <c r="C36" s="307">
        <f>Teacher_need_by_subject!C630</f>
        <v>10518.362186302702</v>
      </c>
      <c r="D36" s="307">
        <f>Teacher_need_by_subject!D630</f>
        <v>10592.197160123502</v>
      </c>
      <c r="E36" s="307">
        <f>Teacher_need_by_subject!E630</f>
        <v>10991.644935793051</v>
      </c>
      <c r="F36" s="307">
        <f>Teacher_need_by_subject!F630</f>
        <v>11415.269146232955</v>
      </c>
      <c r="G36" s="307">
        <f>Teacher_need_by_subject!G630</f>
        <v>11567.794354132981</v>
      </c>
      <c r="H36" s="307">
        <f>Teacher_need_by_subject!H630</f>
        <v>11664.678552531093</v>
      </c>
      <c r="I36" s="307">
        <f>Teacher_need_by_subject!I630</f>
        <v>11757.312130654836</v>
      </c>
      <c r="J36" s="307">
        <f>Teacher_need_by_subject!J630</f>
        <v>11847.832710968347</v>
      </c>
      <c r="K36" s="307">
        <f>Teacher_need_by_subject!K630</f>
        <v>11867.451639056904</v>
      </c>
      <c r="L36" s="307">
        <f>Teacher_need_by_subject!L630</f>
        <v>11851.220190458745</v>
      </c>
      <c r="M36" s="307">
        <f>Teacher_need_by_subject!M630</f>
        <v>11813.654322341292</v>
      </c>
      <c r="N36" s="307">
        <f>Teacher_need_by_subject!N630</f>
        <v>11789.047949016856</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191.99308224724848</v>
      </c>
      <c r="D43" s="307">
        <f>C340</f>
        <v>257.60764212945958</v>
      </c>
      <c r="E43" s="307">
        <f t="shared" ref="E43:L43" si="2">D340</f>
        <v>313.17743254742152</v>
      </c>
      <c r="F43" s="307">
        <f t="shared" si="2"/>
        <v>388.48988933642318</v>
      </c>
      <c r="G43" s="307">
        <f t="shared" si="2"/>
        <v>448.06444315909323</v>
      </c>
      <c r="H43" s="307">
        <f t="shared" si="2"/>
        <v>463.90557777894264</v>
      </c>
      <c r="I43" s="307">
        <f t="shared" si="2"/>
        <v>470.30725491727543</v>
      </c>
      <c r="J43" s="307">
        <f t="shared" si="2"/>
        <v>475.45473882144319</v>
      </c>
      <c r="K43" s="307">
        <f t="shared" si="2"/>
        <v>480.0864843321603</v>
      </c>
      <c r="L43" s="307">
        <f t="shared" si="2"/>
        <v>476.67127001904703</v>
      </c>
      <c r="M43" s="307">
        <f>L340</f>
        <v>470.74248838750293</v>
      </c>
      <c r="N43" s="307">
        <f>M340</f>
        <v>464.2757208767523</v>
      </c>
    </row>
    <row r="44" spans="2:14">
      <c r="B44" s="363" t="str">
        <f t="shared" ref="B44:C53" si="3">B22</f>
        <v>25-29</v>
      </c>
      <c r="C44" s="307">
        <f t="shared" si="3"/>
        <v>638.34647080583932</v>
      </c>
      <c r="D44" s="307">
        <f t="shared" ref="D44:K53" si="4">C341</f>
        <v>617.01637835767565</v>
      </c>
      <c r="E44" s="307">
        <f t="shared" si="4"/>
        <v>623.4358207326311</v>
      </c>
      <c r="F44" s="307">
        <f t="shared" si="4"/>
        <v>675.551769956876</v>
      </c>
      <c r="G44" s="307">
        <f t="shared" si="4"/>
        <v>733.22229685172056</v>
      </c>
      <c r="H44" s="307">
        <f t="shared" si="4"/>
        <v>758.22805513640833</v>
      </c>
      <c r="I44" s="307">
        <f t="shared" si="4"/>
        <v>774.04131815359847</v>
      </c>
      <c r="J44" s="307">
        <f t="shared" si="4"/>
        <v>787.15189537963192</v>
      </c>
      <c r="K44" s="307">
        <f t="shared" si="4"/>
        <v>798.48549126136493</v>
      </c>
      <c r="L44" s="307">
        <f t="shared" ref="L44:L53" si="5">K341</f>
        <v>800.51235822126193</v>
      </c>
      <c r="M44" s="307">
        <f t="shared" ref="M44:M53" si="6">L341</f>
        <v>797.69269590657291</v>
      </c>
      <c r="N44" s="307">
        <f t="shared" ref="N44:N53" si="7">M341</f>
        <v>792.23089678181123</v>
      </c>
    </row>
    <row r="45" spans="2:14">
      <c r="B45" s="363" t="str">
        <f t="shared" si="3"/>
        <v>30-34</v>
      </c>
      <c r="C45" s="307">
        <f t="shared" si="3"/>
        <v>834.17147351426013</v>
      </c>
      <c r="D45" s="307">
        <f t="shared" si="4"/>
        <v>801.54515966899692</v>
      </c>
      <c r="E45" s="307">
        <f t="shared" si="4"/>
        <v>778.27385988857577</v>
      </c>
      <c r="F45" s="307">
        <f t="shared" si="4"/>
        <v>780.85270946528237</v>
      </c>
      <c r="G45" s="307">
        <f t="shared" si="4"/>
        <v>795.94952371432055</v>
      </c>
      <c r="H45" s="307">
        <f t="shared" si="4"/>
        <v>804.58965897936685</v>
      </c>
      <c r="I45" s="307">
        <f t="shared" si="4"/>
        <v>813.24418716188381</v>
      </c>
      <c r="J45" s="307">
        <f t="shared" si="4"/>
        <v>822.95208149867403</v>
      </c>
      <c r="K45" s="307">
        <f t="shared" si="4"/>
        <v>833.12681709284436</v>
      </c>
      <c r="L45" s="307">
        <f t="shared" si="5"/>
        <v>839.37340990950429</v>
      </c>
      <c r="M45" s="307">
        <f t="shared" si="6"/>
        <v>842.5758166329814</v>
      </c>
      <c r="N45" s="307">
        <f t="shared" si="7"/>
        <v>843.24380438258561</v>
      </c>
    </row>
    <row r="46" spans="2:14">
      <c r="B46" s="363" t="str">
        <f t="shared" si="3"/>
        <v>35-39</v>
      </c>
      <c r="C46" s="307">
        <f t="shared" si="3"/>
        <v>854.46838103379923</v>
      </c>
      <c r="D46" s="307">
        <f t="shared" si="4"/>
        <v>843.00127133629951</v>
      </c>
      <c r="E46" s="307">
        <f t="shared" si="4"/>
        <v>831.79654480029762</v>
      </c>
      <c r="F46" s="307">
        <f t="shared" si="4"/>
        <v>832.36559213108399</v>
      </c>
      <c r="G46" s="307">
        <f t="shared" si="4"/>
        <v>835.77776428722791</v>
      </c>
      <c r="H46" s="307">
        <f t="shared" si="4"/>
        <v>831.67612947108512</v>
      </c>
      <c r="I46" s="307">
        <f t="shared" si="4"/>
        <v>828.49700163267755</v>
      </c>
      <c r="J46" s="307">
        <f t="shared" si="4"/>
        <v>827.97806775183187</v>
      </c>
      <c r="K46" s="307">
        <f t="shared" si="4"/>
        <v>829.78646128654827</v>
      </c>
      <c r="L46" s="307">
        <f t="shared" si="5"/>
        <v>830.61040429095851</v>
      </c>
      <c r="M46" s="307">
        <f t="shared" si="6"/>
        <v>831.10386160205258</v>
      </c>
      <c r="N46" s="307">
        <f t="shared" si="7"/>
        <v>831.22651551692218</v>
      </c>
    </row>
    <row r="47" spans="2:14">
      <c r="B47" s="363" t="str">
        <f t="shared" si="3"/>
        <v>40-44</v>
      </c>
      <c r="C47" s="307">
        <f t="shared" si="3"/>
        <v>766.08579902490203</v>
      </c>
      <c r="D47" s="307">
        <f t="shared" si="4"/>
        <v>771.23410138917905</v>
      </c>
      <c r="E47" s="307">
        <f t="shared" si="4"/>
        <v>776.00041885988583</v>
      </c>
      <c r="F47" s="307">
        <f t="shared" si="4"/>
        <v>789.06351425512344</v>
      </c>
      <c r="G47" s="307">
        <f t="shared" si="4"/>
        <v>801.10321306215485</v>
      </c>
      <c r="H47" s="307">
        <f t="shared" si="4"/>
        <v>802.48639281773387</v>
      </c>
      <c r="I47" s="307">
        <f t="shared" si="4"/>
        <v>801.25771295368293</v>
      </c>
      <c r="J47" s="307">
        <f t="shared" si="4"/>
        <v>799.95719062099442</v>
      </c>
      <c r="K47" s="307">
        <f t="shared" si="4"/>
        <v>799.21549964661153</v>
      </c>
      <c r="L47" s="307">
        <f t="shared" si="5"/>
        <v>796.87699966150342</v>
      </c>
      <c r="M47" s="307">
        <f t="shared" si="6"/>
        <v>794.15674082281146</v>
      </c>
      <c r="N47" s="307">
        <f t="shared" si="7"/>
        <v>791.47913667929379</v>
      </c>
    </row>
    <row r="48" spans="2:14">
      <c r="B48" s="363" t="str">
        <f t="shared" si="3"/>
        <v>45-49</v>
      </c>
      <c r="C48" s="307">
        <f t="shared" si="3"/>
        <v>519.76045428457803</v>
      </c>
      <c r="D48" s="307">
        <f t="shared" si="4"/>
        <v>557.4569746857228</v>
      </c>
      <c r="E48" s="307">
        <f t="shared" si="4"/>
        <v>588.73504520319182</v>
      </c>
      <c r="F48" s="307">
        <f t="shared" si="4"/>
        <v>621.98405665275743</v>
      </c>
      <c r="G48" s="307">
        <f t="shared" si="4"/>
        <v>650.72853714488929</v>
      </c>
      <c r="H48" s="307">
        <f t="shared" si="4"/>
        <v>667.6570550889287</v>
      </c>
      <c r="I48" s="307">
        <f t="shared" si="4"/>
        <v>679.24692007277781</v>
      </c>
      <c r="J48" s="307">
        <f t="shared" si="4"/>
        <v>687.76252893035689</v>
      </c>
      <c r="K48" s="307">
        <f t="shared" si="4"/>
        <v>694.08237393081788</v>
      </c>
      <c r="L48" s="307">
        <f t="shared" si="5"/>
        <v>696.93221483206355</v>
      </c>
      <c r="M48" s="307">
        <f t="shared" si="6"/>
        <v>697.71138227116035</v>
      </c>
      <c r="N48" s="307">
        <f t="shared" si="7"/>
        <v>697.19800594130515</v>
      </c>
    </row>
    <row r="49" spans="1:14">
      <c r="B49" s="363" t="str">
        <f t="shared" si="3"/>
        <v>50-54</v>
      </c>
      <c r="C49" s="307">
        <f t="shared" si="3"/>
        <v>396.22217190305668</v>
      </c>
      <c r="D49" s="307">
        <f t="shared" si="4"/>
        <v>399.80255418584767</v>
      </c>
      <c r="E49" s="307">
        <f t="shared" si="4"/>
        <v>410.9017542993542</v>
      </c>
      <c r="F49" s="307">
        <f t="shared" si="4"/>
        <v>431.2054236367286</v>
      </c>
      <c r="G49" s="307">
        <f t="shared" si="4"/>
        <v>452.97205581194265</v>
      </c>
      <c r="H49" s="307">
        <f t="shared" si="4"/>
        <v>468.91265877968738</v>
      </c>
      <c r="I49" s="307">
        <f t="shared" si="4"/>
        <v>482.49440630712695</v>
      </c>
      <c r="J49" s="307">
        <f t="shared" si="4"/>
        <v>494.42382791262423</v>
      </c>
      <c r="K49" s="307">
        <f t="shared" si="4"/>
        <v>504.6861197174714</v>
      </c>
      <c r="L49" s="307">
        <f t="shared" si="5"/>
        <v>511.93508357626951</v>
      </c>
      <c r="M49" s="307">
        <f t="shared" si="6"/>
        <v>516.98298639037955</v>
      </c>
      <c r="N49" s="307">
        <f t="shared" si="7"/>
        <v>520.30988389274091</v>
      </c>
    </row>
    <row r="50" spans="1:14">
      <c r="B50" s="363" t="str">
        <f t="shared" si="3"/>
        <v>55-59</v>
      </c>
      <c r="C50" s="307">
        <f t="shared" si="3"/>
        <v>306.80603884032604</v>
      </c>
      <c r="D50" s="307">
        <f t="shared" si="4"/>
        <v>254.7947496881539</v>
      </c>
      <c r="E50" s="307">
        <f t="shared" si="4"/>
        <v>225.87629397098792</v>
      </c>
      <c r="F50" s="307">
        <f t="shared" si="4"/>
        <v>215.06042176860177</v>
      </c>
      <c r="G50" s="307">
        <f t="shared" si="4"/>
        <v>212.53808295416388</v>
      </c>
      <c r="H50" s="307">
        <f t="shared" si="4"/>
        <v>210.98940179494161</v>
      </c>
      <c r="I50" s="307">
        <f t="shared" si="4"/>
        <v>211.83275747030817</v>
      </c>
      <c r="J50" s="307">
        <f t="shared" si="4"/>
        <v>214.41518734580998</v>
      </c>
      <c r="K50" s="307">
        <f t="shared" si="4"/>
        <v>217.82507700611191</v>
      </c>
      <c r="L50" s="307">
        <f t="shared" si="5"/>
        <v>220.50644217989216</v>
      </c>
      <c r="M50" s="307">
        <f t="shared" si="6"/>
        <v>222.70870545362362</v>
      </c>
      <c r="N50" s="307">
        <f t="shared" si="7"/>
        <v>224.45859479935621</v>
      </c>
    </row>
    <row r="51" spans="1:14">
      <c r="B51" s="363" t="str">
        <f t="shared" si="3"/>
        <v>60-64</v>
      </c>
      <c r="C51" s="307">
        <f t="shared" si="3"/>
        <v>93.552332550369343</v>
      </c>
      <c r="D51" s="307">
        <f t="shared" si="4"/>
        <v>89.770663798685703</v>
      </c>
      <c r="E51" s="307">
        <f t="shared" si="4"/>
        <v>82.264997344046805</v>
      </c>
      <c r="F51" s="307">
        <f t="shared" si="4"/>
        <v>77.403748803357445</v>
      </c>
      <c r="G51" s="307">
        <f t="shared" si="4"/>
        <v>74.174622332661087</v>
      </c>
      <c r="H51" s="307">
        <f t="shared" si="4"/>
        <v>70.711483025406309</v>
      </c>
      <c r="I51" s="307">
        <f t="shared" si="4"/>
        <v>68.56320629464264</v>
      </c>
      <c r="J51" s="307">
        <f t="shared" si="4"/>
        <v>67.669263256149648</v>
      </c>
      <c r="K51" s="307">
        <f t="shared" si="4"/>
        <v>67.61285624322413</v>
      </c>
      <c r="L51" s="307">
        <f t="shared" si="5"/>
        <v>67.585295014836717</v>
      </c>
      <c r="M51" s="307">
        <f t="shared" si="6"/>
        <v>67.67684559460892</v>
      </c>
      <c r="N51" s="307">
        <f t="shared" si="7"/>
        <v>67.843667507049659</v>
      </c>
    </row>
    <row r="52" spans="1:14">
      <c r="B52" s="363" t="str">
        <f t="shared" si="3"/>
        <v>65 plus</v>
      </c>
      <c r="C52" s="307">
        <f t="shared" si="3"/>
        <v>8.3063186044572603</v>
      </c>
      <c r="D52" s="307">
        <f t="shared" si="4"/>
        <v>16.42783870177098</v>
      </c>
      <c r="E52" s="307">
        <f t="shared" si="4"/>
        <v>20.534861145453764</v>
      </c>
      <c r="F52" s="307">
        <f t="shared" si="4"/>
        <v>22.49946115472245</v>
      </c>
      <c r="G52" s="307">
        <f t="shared" si="4"/>
        <v>23.138491013819369</v>
      </c>
      <c r="H52" s="307">
        <f t="shared" si="4"/>
        <v>22.733405864406382</v>
      </c>
      <c r="I52" s="307">
        <f t="shared" si="4"/>
        <v>22.070701537313056</v>
      </c>
      <c r="J52" s="307">
        <f t="shared" si="4"/>
        <v>21.493952141946835</v>
      </c>
      <c r="K52" s="307">
        <f t="shared" si="4"/>
        <v>21.103835822423097</v>
      </c>
      <c r="L52" s="307">
        <f t="shared" si="5"/>
        <v>20.784863494098179</v>
      </c>
      <c r="M52" s="307">
        <f t="shared" si="6"/>
        <v>20.555650665921348</v>
      </c>
      <c r="N52" s="307">
        <f t="shared" si="7"/>
        <v>20.406435540728769</v>
      </c>
    </row>
    <row r="53" spans="1:14">
      <c r="B53" s="363" t="str">
        <f t="shared" si="3"/>
        <v>Total</v>
      </c>
      <c r="C53" s="307">
        <f t="shared" si="3"/>
        <v>4609.7125228088362</v>
      </c>
      <c r="D53" s="307">
        <f t="shared" si="4"/>
        <v>4608.6573339417928</v>
      </c>
      <c r="E53" s="307">
        <f t="shared" si="4"/>
        <v>4650.9970287918459</v>
      </c>
      <c r="F53" s="307">
        <f t="shared" si="4"/>
        <v>4834.4765871609561</v>
      </c>
      <c r="G53" s="307">
        <f t="shared" si="4"/>
        <v>5027.6690303319929</v>
      </c>
      <c r="H53" s="307">
        <f t="shared" si="4"/>
        <v>5101.8898187369068</v>
      </c>
      <c r="I53" s="307">
        <f t="shared" si="4"/>
        <v>5151.555466501286</v>
      </c>
      <c r="J53" s="307">
        <f t="shared" si="4"/>
        <v>5199.2587336594634</v>
      </c>
      <c r="K53" s="307">
        <f t="shared" si="4"/>
        <v>5246.0110163395775</v>
      </c>
      <c r="L53" s="307">
        <f t="shared" si="5"/>
        <v>5261.7883411994362</v>
      </c>
      <c r="M53" s="307">
        <f t="shared" si="6"/>
        <v>5261.9071737276145</v>
      </c>
      <c r="N53" s="307">
        <f t="shared" si="7"/>
        <v>5252.6726619185465</v>
      </c>
    </row>
    <row r="54" spans="1:14">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4">
      <c r="B56" s="341" t="s">
        <v>50</v>
      </c>
      <c r="H56" s="325"/>
    </row>
    <row r="57" spans="1:14">
      <c r="H57" s="325"/>
    </row>
    <row r="58" spans="1:14">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4">
      <c r="B59" s="338" t="str">
        <f t="shared" si="9"/>
        <v>20-24</v>
      </c>
      <c r="C59" s="307">
        <f t="shared" ref="C59:C69" si="11">D21</f>
        <v>478.13009528320919</v>
      </c>
      <c r="D59" s="307">
        <f>C356</f>
        <v>500.53008274220406</v>
      </c>
      <c r="E59" s="307">
        <f t="shared" ref="E59:L59" si="12">D356</f>
        <v>528.92516973180943</v>
      </c>
      <c r="F59" s="307">
        <f t="shared" si="12"/>
        <v>596.09767955107952</v>
      </c>
      <c r="G59" s="307">
        <f t="shared" si="12"/>
        <v>652.92264319813853</v>
      </c>
      <c r="H59" s="307">
        <f t="shared" si="12"/>
        <v>660.21917073479085</v>
      </c>
      <c r="I59" s="307">
        <f t="shared" si="12"/>
        <v>659.39106051680051</v>
      </c>
      <c r="J59" s="307">
        <f t="shared" si="12"/>
        <v>659.65300469988279</v>
      </c>
      <c r="K59" s="307">
        <f t="shared" si="12"/>
        <v>661.16182125580769</v>
      </c>
      <c r="L59" s="307">
        <f t="shared" si="12"/>
        <v>653.66362593095005</v>
      </c>
      <c r="M59" s="307">
        <f>L356</f>
        <v>643.74611737459986</v>
      </c>
      <c r="N59" s="307">
        <f>M356</f>
        <v>633.67311984021774</v>
      </c>
    </row>
    <row r="60" spans="1:14">
      <c r="B60" s="338" t="str">
        <f t="shared" si="9"/>
        <v>25-29</v>
      </c>
      <c r="C60" s="307">
        <f t="shared" si="11"/>
        <v>1256.0458638026651</v>
      </c>
      <c r="D60" s="307">
        <f t="shared" ref="D60:K69" si="13">C357</f>
        <v>1154.9003222398069</v>
      </c>
      <c r="E60" s="307">
        <f t="shared" si="13"/>
        <v>1098.8662910254218</v>
      </c>
      <c r="F60" s="307">
        <f t="shared" si="13"/>
        <v>1112.0710463023979</v>
      </c>
      <c r="G60" s="307">
        <f t="shared" si="13"/>
        <v>1142.7626881505355</v>
      </c>
      <c r="H60" s="307">
        <f t="shared" si="13"/>
        <v>1140.6286775683245</v>
      </c>
      <c r="I60" s="307">
        <f t="shared" si="13"/>
        <v>1134.1534213416248</v>
      </c>
      <c r="J60" s="307">
        <f t="shared" si="13"/>
        <v>1130.2228652789443</v>
      </c>
      <c r="K60" s="307">
        <f t="shared" si="13"/>
        <v>1128.8049197834393</v>
      </c>
      <c r="L60" s="307">
        <f t="shared" ref="L60:L69" si="14">K357</f>
        <v>1119.1864498104362</v>
      </c>
      <c r="M60" s="307">
        <f t="shared" ref="M60:M69" si="15">L357</f>
        <v>1106.1975242523727</v>
      </c>
      <c r="N60" s="307">
        <f t="shared" ref="N60:N69" si="16">M357</f>
        <v>1091.9731896861649</v>
      </c>
    </row>
    <row r="61" spans="1:14">
      <c r="B61" s="338" t="str">
        <f t="shared" si="9"/>
        <v>30-34</v>
      </c>
      <c r="C61" s="307">
        <f t="shared" si="11"/>
        <v>1113.141468431746</v>
      </c>
      <c r="D61" s="307">
        <f t="shared" si="13"/>
        <v>1117.525573551851</v>
      </c>
      <c r="E61" s="307">
        <f t="shared" si="13"/>
        <v>1108.7019149588784</v>
      </c>
      <c r="F61" s="307">
        <f t="shared" si="13"/>
        <v>1116.1801045253669</v>
      </c>
      <c r="G61" s="307">
        <f t="shared" si="13"/>
        <v>1128.5144018357298</v>
      </c>
      <c r="H61" s="307">
        <f t="shared" si="13"/>
        <v>1125.9247329893942</v>
      </c>
      <c r="I61" s="307">
        <f t="shared" si="13"/>
        <v>1120.5536671389834</v>
      </c>
      <c r="J61" s="307">
        <f t="shared" si="13"/>
        <v>1115.9173648804551</v>
      </c>
      <c r="K61" s="307">
        <f t="shared" si="13"/>
        <v>1112.5162235741554</v>
      </c>
      <c r="L61" s="307">
        <f t="shared" si="14"/>
        <v>1105.3870093276762</v>
      </c>
      <c r="M61" s="307">
        <f t="shared" si="15"/>
        <v>1096.1274077546304</v>
      </c>
      <c r="N61" s="307">
        <f t="shared" si="16"/>
        <v>1085.5176819488788</v>
      </c>
    </row>
    <row r="62" spans="1:14">
      <c r="B62" s="338" t="str">
        <f t="shared" si="9"/>
        <v>35-39</v>
      </c>
      <c r="C62" s="307">
        <f t="shared" si="11"/>
        <v>1066.2655385413264</v>
      </c>
      <c r="D62" s="307">
        <f t="shared" si="13"/>
        <v>1045.8523489604415</v>
      </c>
      <c r="E62" s="307">
        <f t="shared" si="13"/>
        <v>1036.2007162216869</v>
      </c>
      <c r="F62" s="307">
        <f t="shared" si="13"/>
        <v>1044.678402904847</v>
      </c>
      <c r="G62" s="307">
        <f t="shared" si="13"/>
        <v>1055.50077124722</v>
      </c>
      <c r="H62" s="307">
        <f t="shared" si="13"/>
        <v>1053.4863821568761</v>
      </c>
      <c r="I62" s="307">
        <f t="shared" si="13"/>
        <v>1049.3133861804333</v>
      </c>
      <c r="J62" s="307">
        <f t="shared" si="13"/>
        <v>1045.5748527604303</v>
      </c>
      <c r="K62" s="307">
        <f t="shared" si="13"/>
        <v>1042.4617851971479</v>
      </c>
      <c r="L62" s="307">
        <f t="shared" si="14"/>
        <v>1036.4045097532107</v>
      </c>
      <c r="M62" s="307">
        <f t="shared" si="15"/>
        <v>1028.9750952666413</v>
      </c>
      <c r="N62" s="307">
        <f t="shared" si="16"/>
        <v>1020.7240586124236</v>
      </c>
    </row>
    <row r="63" spans="1:14">
      <c r="B63" s="338" t="str">
        <f t="shared" si="9"/>
        <v>40-44</v>
      </c>
      <c r="C63" s="307">
        <f t="shared" si="11"/>
        <v>806.13390708864551</v>
      </c>
      <c r="D63" s="307">
        <f t="shared" si="13"/>
        <v>843.6089684438798</v>
      </c>
      <c r="E63" s="307">
        <f t="shared" si="13"/>
        <v>871.48560859099348</v>
      </c>
      <c r="F63" s="307">
        <f t="shared" si="13"/>
        <v>905.2452151772892</v>
      </c>
      <c r="G63" s="307">
        <f t="shared" si="13"/>
        <v>934.57048380450976</v>
      </c>
      <c r="H63" s="307">
        <f t="shared" si="13"/>
        <v>947.62648210199507</v>
      </c>
      <c r="I63" s="307">
        <f t="shared" si="13"/>
        <v>954.9800840334035</v>
      </c>
      <c r="J63" s="307">
        <f t="shared" si="13"/>
        <v>959.91771240177798</v>
      </c>
      <c r="K63" s="307">
        <f t="shared" si="13"/>
        <v>963.29833869853508</v>
      </c>
      <c r="L63" s="307">
        <f t="shared" si="14"/>
        <v>962.48915339603241</v>
      </c>
      <c r="M63" s="307">
        <f t="shared" si="15"/>
        <v>959.319909758569</v>
      </c>
      <c r="N63" s="307">
        <f t="shared" si="16"/>
        <v>954.65400432388105</v>
      </c>
    </row>
    <row r="64" spans="1:14">
      <c r="B64" s="338" t="str">
        <f t="shared" si="9"/>
        <v>45-49</v>
      </c>
      <c r="C64" s="307">
        <f t="shared" si="11"/>
        <v>458.75600120459285</v>
      </c>
      <c r="D64" s="307">
        <f t="shared" si="13"/>
        <v>524.0578753668799</v>
      </c>
      <c r="E64" s="307">
        <f t="shared" si="13"/>
        <v>581.91308188333278</v>
      </c>
      <c r="F64" s="307">
        <f t="shared" si="13"/>
        <v>641.29858489914272</v>
      </c>
      <c r="G64" s="307">
        <f t="shared" si="13"/>
        <v>693.22706798589695</v>
      </c>
      <c r="H64" s="307">
        <f t="shared" si="13"/>
        <v>728.19655134731772</v>
      </c>
      <c r="I64" s="307">
        <f t="shared" si="13"/>
        <v>754.6801923502253</v>
      </c>
      <c r="J64" s="307">
        <f t="shared" si="13"/>
        <v>775.6507094035137</v>
      </c>
      <c r="K64" s="307">
        <f t="shared" si="13"/>
        <v>792.25718917853624</v>
      </c>
      <c r="L64" s="307">
        <f t="shared" si="14"/>
        <v>802.87053113312891</v>
      </c>
      <c r="M64" s="307">
        <f t="shared" si="15"/>
        <v>809.3446180446557</v>
      </c>
      <c r="N64" s="307">
        <f t="shared" si="16"/>
        <v>812.75249347939882</v>
      </c>
    </row>
    <row r="65" spans="1:14">
      <c r="B65" s="338" t="str">
        <f t="shared" si="9"/>
        <v>50-54</v>
      </c>
      <c r="C65" s="307">
        <f t="shared" si="11"/>
        <v>344.16252456503207</v>
      </c>
      <c r="D65" s="307">
        <f t="shared" si="13"/>
        <v>357.63875291999722</v>
      </c>
      <c r="E65" s="307">
        <f t="shared" si="13"/>
        <v>381.25185165591836</v>
      </c>
      <c r="F65" s="307">
        <f t="shared" si="13"/>
        <v>417.18195524278599</v>
      </c>
      <c r="G65" s="307">
        <f t="shared" si="13"/>
        <v>455.13252104755435</v>
      </c>
      <c r="H65" s="307">
        <f t="shared" si="13"/>
        <v>485.38039761347574</v>
      </c>
      <c r="I65" s="307">
        <f t="shared" si="13"/>
        <v>512.14922238506176</v>
      </c>
      <c r="J65" s="307">
        <f t="shared" si="13"/>
        <v>536.19194665817622</v>
      </c>
      <c r="K65" s="307">
        <f t="shared" si="13"/>
        <v>557.38540824272343</v>
      </c>
      <c r="L65" s="307">
        <f t="shared" si="14"/>
        <v>573.9241700920669</v>
      </c>
      <c r="M65" s="307">
        <f t="shared" si="15"/>
        <v>586.80773496205416</v>
      </c>
      <c r="N65" s="307">
        <f t="shared" si="16"/>
        <v>596.62856544718693</v>
      </c>
    </row>
    <row r="66" spans="1:14">
      <c r="B66" s="338" t="str">
        <f t="shared" si="9"/>
        <v>55-59</v>
      </c>
      <c r="C66" s="307">
        <f t="shared" si="11"/>
        <v>316.46814497582551</v>
      </c>
      <c r="D66" s="307">
        <f t="shared" si="13"/>
        <v>262.64236392166333</v>
      </c>
      <c r="E66" s="307">
        <f t="shared" si="13"/>
        <v>233.79178352696943</v>
      </c>
      <c r="F66" s="307">
        <f t="shared" si="13"/>
        <v>225.87844219864522</v>
      </c>
      <c r="G66" s="307">
        <f t="shared" si="13"/>
        <v>227.63212948131843</v>
      </c>
      <c r="H66" s="307">
        <f t="shared" si="13"/>
        <v>230.19695097426899</v>
      </c>
      <c r="I66" s="307">
        <f t="shared" si="13"/>
        <v>235.53737763801385</v>
      </c>
      <c r="J66" s="307">
        <f t="shared" si="13"/>
        <v>242.8980561152492</v>
      </c>
      <c r="K66" s="307">
        <f t="shared" si="13"/>
        <v>251.12467708681154</v>
      </c>
      <c r="L66" s="307">
        <f t="shared" si="14"/>
        <v>258.19380417404369</v>
      </c>
      <c r="M66" s="307">
        <f t="shared" si="15"/>
        <v>264.37181186110251</v>
      </c>
      <c r="N66" s="307">
        <f t="shared" si="16"/>
        <v>269.66076281379321</v>
      </c>
    </row>
    <row r="67" spans="1:14">
      <c r="B67" s="338" t="str">
        <f t="shared" si="9"/>
        <v>60-64</v>
      </c>
      <c r="C67" s="307">
        <f t="shared" si="11"/>
        <v>89.308388358276957</v>
      </c>
      <c r="D67" s="307">
        <f t="shared" si="13"/>
        <v>87.314386790122043</v>
      </c>
      <c r="E67" s="307">
        <f t="shared" si="13"/>
        <v>80.968969897255619</v>
      </c>
      <c r="F67" s="307">
        <f t="shared" si="13"/>
        <v>77.626688757378048</v>
      </c>
      <c r="G67" s="307">
        <f t="shared" si="13"/>
        <v>75.721094153959214</v>
      </c>
      <c r="H67" s="307">
        <f t="shared" si="13"/>
        <v>72.984441585522447</v>
      </c>
      <c r="I67" s="307">
        <f t="shared" si="13"/>
        <v>71.646281774414916</v>
      </c>
      <c r="J67" s="307">
        <f t="shared" si="13"/>
        <v>71.697685895450448</v>
      </c>
      <c r="K67" s="307">
        <f t="shared" si="13"/>
        <v>72.649903749300563</v>
      </c>
      <c r="L67" s="307">
        <f t="shared" si="14"/>
        <v>73.504347091924998</v>
      </c>
      <c r="M67" s="307">
        <f t="shared" si="15"/>
        <v>74.429301138848487</v>
      </c>
      <c r="N67" s="307">
        <f t="shared" si="16"/>
        <v>75.381537433714897</v>
      </c>
    </row>
    <row r="68" spans="1:14">
      <c r="B68" s="338" t="str">
        <f t="shared" si="9"/>
        <v>65 plus</v>
      </c>
      <c r="C68" s="307">
        <f t="shared" si="11"/>
        <v>8.656488893931737</v>
      </c>
      <c r="D68" s="307">
        <f t="shared" si="13"/>
        <v>15.63417742406493</v>
      </c>
      <c r="E68" s="307">
        <f t="shared" si="13"/>
        <v>19.094743839389668</v>
      </c>
      <c r="F68" s="307">
        <f t="shared" si="13"/>
        <v>20.910229073161801</v>
      </c>
      <c r="G68" s="307">
        <f t="shared" si="13"/>
        <v>21.616314996099696</v>
      </c>
      <c r="H68" s="307">
        <f t="shared" si="13"/>
        <v>21.260748324108846</v>
      </c>
      <c r="I68" s="307">
        <f t="shared" si="13"/>
        <v>20.718392670846242</v>
      </c>
      <c r="J68" s="307">
        <f t="shared" si="13"/>
        <v>20.329198901494546</v>
      </c>
      <c r="K68" s="307">
        <f t="shared" si="13"/>
        <v>20.161427862312536</v>
      </c>
      <c r="L68" s="307">
        <f t="shared" si="14"/>
        <v>20.039697147999398</v>
      </c>
      <c r="M68" s="307">
        <f t="shared" si="15"/>
        <v>19.993496317656515</v>
      </c>
      <c r="N68" s="307">
        <f t="shared" si="16"/>
        <v>20.016246837086239</v>
      </c>
    </row>
    <row r="69" spans="1:14">
      <c r="B69" s="338" t="str">
        <f t="shared" si="9"/>
        <v>Total</v>
      </c>
      <c r="C69" s="307">
        <f t="shared" si="11"/>
        <v>5937.0684211452508</v>
      </c>
      <c r="D69" s="307">
        <f t="shared" si="13"/>
        <v>5909.7048523609101</v>
      </c>
      <c r="E69" s="307">
        <f t="shared" si="13"/>
        <v>5941.200131331655</v>
      </c>
      <c r="F69" s="307">
        <f t="shared" si="13"/>
        <v>6157.1683486320953</v>
      </c>
      <c r="G69" s="307">
        <f t="shared" si="13"/>
        <v>6387.6001159009611</v>
      </c>
      <c r="H69" s="307">
        <f t="shared" si="13"/>
        <v>6465.9045353960755</v>
      </c>
      <c r="I69" s="307">
        <f t="shared" si="13"/>
        <v>6513.1230860298074</v>
      </c>
      <c r="J69" s="307">
        <f t="shared" si="13"/>
        <v>6558.0533969953749</v>
      </c>
      <c r="K69" s="307">
        <f t="shared" si="13"/>
        <v>6601.8216946287703</v>
      </c>
      <c r="L69" s="307">
        <f t="shared" si="14"/>
        <v>6605.6632978574698</v>
      </c>
      <c r="M69" s="307">
        <f t="shared" si="15"/>
        <v>6589.3130167311301</v>
      </c>
      <c r="N69" s="307">
        <f t="shared" si="16"/>
        <v>6560.9816604227462</v>
      </c>
    </row>
    <row r="70" spans="1:14">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4" ht="15.75">
      <c r="B72" s="340" t="s">
        <v>150</v>
      </c>
      <c r="H72" s="325"/>
    </row>
    <row r="73" spans="1:14">
      <c r="H73" s="325"/>
    </row>
    <row r="74" spans="1:14">
      <c r="B74" s="341" t="s">
        <v>49</v>
      </c>
      <c r="C74" s="262" t="s">
        <v>453</v>
      </c>
      <c r="H74" s="325"/>
    </row>
    <row r="75" spans="1:14">
      <c r="H75" s="325"/>
    </row>
    <row r="76" spans="1:14">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4">
      <c r="B77" s="338" t="str">
        <f t="shared" si="18"/>
        <v>20-24</v>
      </c>
      <c r="C77" s="459">
        <f>C43-(0.2*C43)</f>
        <v>153.59446579779879</v>
      </c>
      <c r="D77" s="459">
        <f>D43-(0.2*D43)</f>
        <v>206.08611370356766</v>
      </c>
      <c r="E77" s="459">
        <f t="shared" ref="E77:N77" si="20">E43-(0.2*E43)</f>
        <v>250.54194603793721</v>
      </c>
      <c r="F77" s="459">
        <f t="shared" si="20"/>
        <v>310.79191146913854</v>
      </c>
      <c r="G77" s="459">
        <f t="shared" si="20"/>
        <v>358.4515545272746</v>
      </c>
      <c r="H77" s="459">
        <f t="shared" si="20"/>
        <v>371.12446222315413</v>
      </c>
      <c r="I77" s="459">
        <f t="shared" si="20"/>
        <v>376.24580393382035</v>
      </c>
      <c r="J77" s="459">
        <f t="shared" si="20"/>
        <v>380.36379105715457</v>
      </c>
      <c r="K77" s="459">
        <f t="shared" si="20"/>
        <v>384.06918746572825</v>
      </c>
      <c r="L77" s="459">
        <f t="shared" si="20"/>
        <v>381.33701601523762</v>
      </c>
      <c r="M77" s="459">
        <f t="shared" si="20"/>
        <v>376.59399071000234</v>
      </c>
      <c r="N77" s="459">
        <f t="shared" si="20"/>
        <v>371.42057670140184</v>
      </c>
    </row>
    <row r="78" spans="1:14">
      <c r="B78" s="338" t="str">
        <f t="shared" si="18"/>
        <v>25-29</v>
      </c>
      <c r="C78" s="459">
        <f t="shared" ref="C78:C85" si="21">C44+(0.2*C43)-(0.2*C44)</f>
        <v>549.0757930941212</v>
      </c>
      <c r="D78" s="459">
        <f t="shared" ref="D78:N78" si="22">D44+(0.2*D43)-(0.2*D44)</f>
        <v>545.13463111203237</v>
      </c>
      <c r="E78" s="459">
        <f t="shared" si="22"/>
        <v>561.38414309558914</v>
      </c>
      <c r="F78" s="459">
        <f t="shared" si="22"/>
        <v>618.13939383278546</v>
      </c>
      <c r="G78" s="459">
        <f t="shared" si="22"/>
        <v>676.19072611319507</v>
      </c>
      <c r="H78" s="459">
        <f t="shared" si="22"/>
        <v>699.36355966491521</v>
      </c>
      <c r="I78" s="459">
        <f t="shared" si="22"/>
        <v>713.29450550633385</v>
      </c>
      <c r="J78" s="459">
        <f t="shared" si="22"/>
        <v>724.81246406799414</v>
      </c>
      <c r="K78" s="459">
        <f t="shared" si="22"/>
        <v>734.80568987552397</v>
      </c>
      <c r="L78" s="459">
        <f t="shared" si="22"/>
        <v>735.74414058081891</v>
      </c>
      <c r="M78" s="459">
        <f t="shared" si="22"/>
        <v>732.30265440275889</v>
      </c>
      <c r="N78" s="459">
        <f t="shared" si="22"/>
        <v>726.63986160079946</v>
      </c>
    </row>
    <row r="79" spans="1:14">
      <c r="B79" s="338" t="str">
        <f t="shared" si="18"/>
        <v>30-34</v>
      </c>
      <c r="C79" s="459">
        <f t="shared" si="21"/>
        <v>795.00647297257592</v>
      </c>
      <c r="D79" s="459">
        <f t="shared" ref="D79:N79" si="23">D45+(0.2*D44)-(0.2*D45)</f>
        <v>764.63940340673275</v>
      </c>
      <c r="E79" s="459">
        <f t="shared" si="23"/>
        <v>747.30625205738681</v>
      </c>
      <c r="F79" s="459">
        <f t="shared" si="23"/>
        <v>759.7925215636011</v>
      </c>
      <c r="G79" s="459">
        <f t="shared" si="23"/>
        <v>783.40407834180053</v>
      </c>
      <c r="H79" s="459">
        <f t="shared" si="23"/>
        <v>795.31733821077512</v>
      </c>
      <c r="I79" s="459">
        <f t="shared" si="23"/>
        <v>805.4036133602267</v>
      </c>
      <c r="J79" s="459">
        <f t="shared" si="23"/>
        <v>815.79204427486559</v>
      </c>
      <c r="K79" s="459">
        <f t="shared" si="23"/>
        <v>826.19855192654848</v>
      </c>
      <c r="L79" s="459">
        <f t="shared" si="23"/>
        <v>831.60119957185589</v>
      </c>
      <c r="M79" s="459">
        <f t="shared" si="23"/>
        <v>833.59919248769972</v>
      </c>
      <c r="N79" s="459">
        <f t="shared" si="23"/>
        <v>833.04122286243069</v>
      </c>
    </row>
    <row r="80" spans="1:14">
      <c r="B80" s="338" t="str">
        <f t="shared" si="18"/>
        <v>35-39</v>
      </c>
      <c r="C80" s="459">
        <f t="shared" si="21"/>
        <v>850.40899952989139</v>
      </c>
      <c r="D80" s="459">
        <f t="shared" ref="D80:N80" si="24">D46+(0.2*D45)-(0.2*D46)</f>
        <v>834.71004900283901</v>
      </c>
      <c r="E80" s="459">
        <f t="shared" si="24"/>
        <v>821.09200781795334</v>
      </c>
      <c r="F80" s="459">
        <f t="shared" si="24"/>
        <v>822.0630155979236</v>
      </c>
      <c r="G80" s="459">
        <f t="shared" si="24"/>
        <v>827.81211617264637</v>
      </c>
      <c r="H80" s="459">
        <f t="shared" si="24"/>
        <v>826.25883537274149</v>
      </c>
      <c r="I80" s="459">
        <f t="shared" si="24"/>
        <v>825.44643873851885</v>
      </c>
      <c r="J80" s="459">
        <f t="shared" si="24"/>
        <v>826.9728705012003</v>
      </c>
      <c r="K80" s="459">
        <f t="shared" si="24"/>
        <v>830.45453244780754</v>
      </c>
      <c r="L80" s="459">
        <f t="shared" si="24"/>
        <v>832.36300541466767</v>
      </c>
      <c r="M80" s="459">
        <f t="shared" si="24"/>
        <v>833.39825260823829</v>
      </c>
      <c r="N80" s="459">
        <f t="shared" si="24"/>
        <v>833.62997329005486</v>
      </c>
    </row>
    <row r="81" spans="1:14">
      <c r="B81" s="338" t="str">
        <f t="shared" si="18"/>
        <v>40-44</v>
      </c>
      <c r="C81" s="459">
        <f t="shared" si="21"/>
        <v>783.76231542668154</v>
      </c>
      <c r="D81" s="459">
        <f t="shared" ref="D81:N81" si="25">D47+(0.2*D46)-(0.2*D47)</f>
        <v>785.58753537860309</v>
      </c>
      <c r="E81" s="459">
        <f t="shared" si="25"/>
        <v>787.15964404796819</v>
      </c>
      <c r="F81" s="459">
        <f t="shared" si="25"/>
        <v>797.72392983031557</v>
      </c>
      <c r="G81" s="459">
        <f t="shared" si="25"/>
        <v>808.03812330716949</v>
      </c>
      <c r="H81" s="459">
        <f t="shared" si="25"/>
        <v>808.32434014840419</v>
      </c>
      <c r="I81" s="459">
        <f t="shared" si="25"/>
        <v>806.70557068948187</v>
      </c>
      <c r="J81" s="459">
        <f t="shared" si="25"/>
        <v>805.56136604716187</v>
      </c>
      <c r="K81" s="459">
        <f t="shared" si="25"/>
        <v>805.32969197459886</v>
      </c>
      <c r="L81" s="459">
        <f t="shared" si="25"/>
        <v>803.62368058739435</v>
      </c>
      <c r="M81" s="459">
        <f t="shared" si="25"/>
        <v>801.5461649786597</v>
      </c>
      <c r="N81" s="459">
        <f t="shared" si="25"/>
        <v>799.42861244681944</v>
      </c>
    </row>
    <row r="82" spans="1:14">
      <c r="B82" s="338" t="str">
        <f t="shared" si="18"/>
        <v>45-49</v>
      </c>
      <c r="C82" s="459">
        <f t="shared" si="21"/>
        <v>569.02552323264285</v>
      </c>
      <c r="D82" s="459">
        <f t="shared" ref="D82:N82" si="26">D48+(0.2*D47)-(0.2*D48)</f>
        <v>600.212400026414</v>
      </c>
      <c r="E82" s="459">
        <f t="shared" si="26"/>
        <v>626.1881199345305</v>
      </c>
      <c r="F82" s="459">
        <f t="shared" si="26"/>
        <v>655.39994817323065</v>
      </c>
      <c r="G82" s="459">
        <f t="shared" si="26"/>
        <v>680.80347232834242</v>
      </c>
      <c r="H82" s="459">
        <f t="shared" si="26"/>
        <v>694.62292263468976</v>
      </c>
      <c r="I82" s="459">
        <f t="shared" si="26"/>
        <v>703.64907864895883</v>
      </c>
      <c r="J82" s="459">
        <f t="shared" si="26"/>
        <v>710.20146126848442</v>
      </c>
      <c r="K82" s="459">
        <f t="shared" si="26"/>
        <v>715.10899907397663</v>
      </c>
      <c r="L82" s="459">
        <f t="shared" si="26"/>
        <v>716.9211717979515</v>
      </c>
      <c r="M82" s="459">
        <f t="shared" si="26"/>
        <v>717.00045398149064</v>
      </c>
      <c r="N82" s="459">
        <f t="shared" si="26"/>
        <v>716.05423208890295</v>
      </c>
    </row>
    <row r="83" spans="1:14">
      <c r="B83" s="338" t="str">
        <f t="shared" si="18"/>
        <v>50-54</v>
      </c>
      <c r="C83" s="459">
        <f t="shared" si="21"/>
        <v>420.92982837936097</v>
      </c>
      <c r="D83" s="459">
        <f t="shared" ref="D83:N83" si="27">D49+(0.2*D48)-(0.2*D49)</f>
        <v>431.33343828582269</v>
      </c>
      <c r="E83" s="459">
        <f t="shared" si="27"/>
        <v>446.46841248012174</v>
      </c>
      <c r="F83" s="459">
        <f t="shared" si="27"/>
        <v>469.36115023993437</v>
      </c>
      <c r="G83" s="459">
        <f t="shared" si="27"/>
        <v>492.52335207853201</v>
      </c>
      <c r="H83" s="459">
        <f t="shared" si="27"/>
        <v>508.66153804153566</v>
      </c>
      <c r="I83" s="459">
        <f t="shared" si="27"/>
        <v>521.84490906025712</v>
      </c>
      <c r="J83" s="459">
        <f t="shared" si="27"/>
        <v>533.09156811617072</v>
      </c>
      <c r="K83" s="459">
        <f t="shared" si="27"/>
        <v>542.56537056014076</v>
      </c>
      <c r="L83" s="459">
        <f t="shared" si="27"/>
        <v>548.93450982742831</v>
      </c>
      <c r="M83" s="459">
        <f t="shared" si="27"/>
        <v>553.1286655665358</v>
      </c>
      <c r="N83" s="459">
        <f t="shared" si="27"/>
        <v>555.68750830245369</v>
      </c>
    </row>
    <row r="84" spans="1:14">
      <c r="B84" s="338" t="str">
        <f t="shared" si="18"/>
        <v>55-59</v>
      </c>
      <c r="C84" s="459">
        <f t="shared" si="21"/>
        <v>324.68926545287218</v>
      </c>
      <c r="D84" s="459">
        <f t="shared" ref="D84:N84" si="28">D50+(0.2*D49)-(0.2*D50)</f>
        <v>283.79631058769263</v>
      </c>
      <c r="E84" s="459">
        <f t="shared" si="28"/>
        <v>262.88138603666118</v>
      </c>
      <c r="F84" s="459">
        <f t="shared" si="28"/>
        <v>258.28942214222712</v>
      </c>
      <c r="G84" s="459">
        <f t="shared" si="28"/>
        <v>260.62487752571963</v>
      </c>
      <c r="H84" s="459">
        <f t="shared" si="28"/>
        <v>262.57405319189081</v>
      </c>
      <c r="I84" s="459">
        <f t="shared" si="28"/>
        <v>265.96508723767192</v>
      </c>
      <c r="J84" s="459">
        <f t="shared" si="28"/>
        <v>270.41691545917286</v>
      </c>
      <c r="K84" s="459">
        <f t="shared" si="28"/>
        <v>275.19728554838377</v>
      </c>
      <c r="L84" s="459">
        <f t="shared" si="28"/>
        <v>278.79217045916766</v>
      </c>
      <c r="M84" s="459">
        <f t="shared" si="28"/>
        <v>281.56356164097485</v>
      </c>
      <c r="N84" s="459">
        <f t="shared" si="28"/>
        <v>283.62885261803314</v>
      </c>
    </row>
    <row r="85" spans="1:14">
      <c r="B85" s="338" t="str">
        <f t="shared" si="18"/>
        <v>60-64</v>
      </c>
      <c r="C85" s="459">
        <f t="shared" si="21"/>
        <v>136.2030738083607</v>
      </c>
      <c r="D85" s="459">
        <f t="shared" ref="D85:N85" si="29">D51+(0.2*D50)-(0.2*D51)</f>
        <v>122.77548097657933</v>
      </c>
      <c r="E85" s="459">
        <f t="shared" si="29"/>
        <v>110.98725666943503</v>
      </c>
      <c r="F85" s="459">
        <f t="shared" si="29"/>
        <v>104.93508339640631</v>
      </c>
      <c r="G85" s="459">
        <f t="shared" si="29"/>
        <v>101.84731445696166</v>
      </c>
      <c r="H85" s="459">
        <f t="shared" si="29"/>
        <v>98.767066779313382</v>
      </c>
      <c r="I85" s="459">
        <f t="shared" si="29"/>
        <v>97.217116529775751</v>
      </c>
      <c r="J85" s="459">
        <f t="shared" si="29"/>
        <v>97.018448074081718</v>
      </c>
      <c r="K85" s="459">
        <f t="shared" si="29"/>
        <v>97.655300395801689</v>
      </c>
      <c r="L85" s="459">
        <f t="shared" si="29"/>
        <v>98.169524447847806</v>
      </c>
      <c r="M85" s="459">
        <f t="shared" si="29"/>
        <v>98.683217566411855</v>
      </c>
      <c r="N85" s="459">
        <f t="shared" si="29"/>
        <v>99.166652965510963</v>
      </c>
    </row>
    <row r="86" spans="1:14">
      <c r="B86" s="338" t="str">
        <f t="shared" si="18"/>
        <v>65 plus</v>
      </c>
      <c r="C86" s="459">
        <f>C52+(0.2*C51)</f>
        <v>27.016785114531128</v>
      </c>
      <c r="D86" s="459">
        <f t="shared" ref="D86:N86" si="30">D52+(0.2*D51)</f>
        <v>34.381971461508122</v>
      </c>
      <c r="E86" s="459">
        <f t="shared" si="30"/>
        <v>36.987860614263127</v>
      </c>
      <c r="F86" s="459">
        <f t="shared" si="30"/>
        <v>37.98021091539394</v>
      </c>
      <c r="G86" s="459">
        <f t="shared" si="30"/>
        <v>37.973415480351591</v>
      </c>
      <c r="H86" s="459">
        <f t="shared" si="30"/>
        <v>36.875702469487649</v>
      </c>
      <c r="I86" s="459">
        <f t="shared" si="30"/>
        <v>35.783342796241584</v>
      </c>
      <c r="J86" s="459">
        <f t="shared" si="30"/>
        <v>35.027804793176763</v>
      </c>
      <c r="K86" s="459">
        <f t="shared" si="30"/>
        <v>34.626407071067923</v>
      </c>
      <c r="L86" s="459">
        <f t="shared" si="30"/>
        <v>34.301922497065519</v>
      </c>
      <c r="M86" s="459">
        <f t="shared" si="30"/>
        <v>34.091019784843134</v>
      </c>
      <c r="N86" s="459">
        <f t="shared" si="30"/>
        <v>33.975169042138702</v>
      </c>
    </row>
    <row r="87" spans="1:14">
      <c r="B87" s="338" t="str">
        <f t="shared" si="18"/>
        <v>Total</v>
      </c>
      <c r="C87" s="459">
        <f>SUM(C77:C86)</f>
        <v>4609.7125228088362</v>
      </c>
      <c r="D87" s="459">
        <f t="shared" ref="D87:N87" si="31">SUM(D77:D86)</f>
        <v>4608.6573339417919</v>
      </c>
      <c r="E87" s="459">
        <f t="shared" si="31"/>
        <v>4650.9970287918459</v>
      </c>
      <c r="F87" s="459">
        <f t="shared" si="31"/>
        <v>4834.4765871609579</v>
      </c>
      <c r="G87" s="459">
        <f t="shared" si="31"/>
        <v>5027.6690303319938</v>
      </c>
      <c r="H87" s="459">
        <f t="shared" si="31"/>
        <v>5101.8898187369086</v>
      </c>
      <c r="I87" s="459">
        <f t="shared" si="31"/>
        <v>5151.5554665012869</v>
      </c>
      <c r="J87" s="459">
        <f t="shared" si="31"/>
        <v>5199.2587336594625</v>
      </c>
      <c r="K87" s="459">
        <f t="shared" si="31"/>
        <v>5246.0110163395775</v>
      </c>
      <c r="L87" s="459">
        <f t="shared" si="31"/>
        <v>5261.7883411994353</v>
      </c>
      <c r="M87" s="459">
        <f t="shared" si="31"/>
        <v>5261.9071737276154</v>
      </c>
      <c r="N87" s="459">
        <f t="shared" si="31"/>
        <v>5252.6726619185465</v>
      </c>
    </row>
    <row r="88" spans="1:14">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4">
      <c r="B90" s="341" t="s">
        <v>50</v>
      </c>
      <c r="H90" s="325"/>
    </row>
    <row r="91" spans="1:14">
      <c r="H91" s="325"/>
    </row>
    <row r="92" spans="1:14">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4">
      <c r="B93" s="338" t="str">
        <f t="shared" si="33"/>
        <v>20-24</v>
      </c>
      <c r="C93" s="459">
        <f>C59-(0.2*C59)</f>
        <v>382.50407622656735</v>
      </c>
      <c r="D93" s="459">
        <f t="shared" ref="D93:N93" si="35">D59-(0.2*D59)</f>
        <v>400.42406619376322</v>
      </c>
      <c r="E93" s="459">
        <f t="shared" si="35"/>
        <v>423.14013578544757</v>
      </c>
      <c r="F93" s="459">
        <f t="shared" si="35"/>
        <v>476.87814364086364</v>
      </c>
      <c r="G93" s="459">
        <f t="shared" si="35"/>
        <v>522.33811455851082</v>
      </c>
      <c r="H93" s="459">
        <f t="shared" si="35"/>
        <v>528.1753365878327</v>
      </c>
      <c r="I93" s="459">
        <f t="shared" si="35"/>
        <v>527.51284841344045</v>
      </c>
      <c r="J93" s="459">
        <f t="shared" si="35"/>
        <v>527.72240375990623</v>
      </c>
      <c r="K93" s="459">
        <f t="shared" si="35"/>
        <v>528.92945700464611</v>
      </c>
      <c r="L93" s="459">
        <f t="shared" si="35"/>
        <v>522.93090074476004</v>
      </c>
      <c r="M93" s="459">
        <f t="shared" si="35"/>
        <v>514.99689389967989</v>
      </c>
      <c r="N93" s="459">
        <f t="shared" si="35"/>
        <v>506.9384958721742</v>
      </c>
    </row>
    <row r="94" spans="1:14">
      <c r="B94" s="338" t="str">
        <f t="shared" si="33"/>
        <v>25-29</v>
      </c>
      <c r="C94" s="459">
        <f t="shared" ref="C94:C101" si="36">C60+(0.2*C59)-(0.2*C60)</f>
        <v>1100.4627100987739</v>
      </c>
      <c r="D94" s="459">
        <f t="shared" ref="D94:N94" si="37">D60+(0.2*D59)-(0.2*D60)</f>
        <v>1024.0262743402861</v>
      </c>
      <c r="E94" s="459">
        <f t="shared" si="37"/>
        <v>984.87806676669925</v>
      </c>
      <c r="F94" s="459">
        <f t="shared" si="37"/>
        <v>1008.8763729521343</v>
      </c>
      <c r="G94" s="459">
        <f t="shared" si="37"/>
        <v>1044.7946791600561</v>
      </c>
      <c r="H94" s="459">
        <f t="shared" si="37"/>
        <v>1044.5467762016178</v>
      </c>
      <c r="I94" s="459">
        <f t="shared" si="37"/>
        <v>1039.2009491766598</v>
      </c>
      <c r="J94" s="459">
        <f t="shared" si="37"/>
        <v>1036.1088931631321</v>
      </c>
      <c r="K94" s="459">
        <f t="shared" si="37"/>
        <v>1035.276300077913</v>
      </c>
      <c r="L94" s="459">
        <f t="shared" si="37"/>
        <v>1026.081885034539</v>
      </c>
      <c r="M94" s="459">
        <f t="shared" si="37"/>
        <v>1013.7072428768181</v>
      </c>
      <c r="N94" s="459">
        <f t="shared" si="37"/>
        <v>1000.3131757169754</v>
      </c>
    </row>
    <row r="95" spans="1:14">
      <c r="B95" s="338" t="str">
        <f t="shared" si="33"/>
        <v>30-34</v>
      </c>
      <c r="C95" s="459">
        <f t="shared" si="36"/>
        <v>1141.7223475059297</v>
      </c>
      <c r="D95" s="459">
        <f t="shared" ref="D95:N95" si="38">D61+(0.2*D60)-(0.2*D61)</f>
        <v>1125.0005232894423</v>
      </c>
      <c r="E95" s="459">
        <f t="shared" si="38"/>
        <v>1106.7347901721871</v>
      </c>
      <c r="F95" s="459">
        <f t="shared" si="38"/>
        <v>1115.358292880773</v>
      </c>
      <c r="G95" s="459">
        <f t="shared" si="38"/>
        <v>1131.3640590986909</v>
      </c>
      <c r="H95" s="459">
        <f t="shared" si="38"/>
        <v>1128.8655219051802</v>
      </c>
      <c r="I95" s="459">
        <f t="shared" si="38"/>
        <v>1123.2736179795118</v>
      </c>
      <c r="J95" s="459">
        <f t="shared" si="38"/>
        <v>1118.7784649601529</v>
      </c>
      <c r="K95" s="459">
        <f t="shared" si="38"/>
        <v>1115.773962816012</v>
      </c>
      <c r="L95" s="459">
        <f t="shared" si="38"/>
        <v>1108.1468974242282</v>
      </c>
      <c r="M95" s="459">
        <f t="shared" si="38"/>
        <v>1098.1414310541788</v>
      </c>
      <c r="N95" s="459">
        <f t="shared" si="38"/>
        <v>1086.808783496336</v>
      </c>
    </row>
    <row r="96" spans="1:14">
      <c r="B96" s="338" t="str">
        <f t="shared" si="33"/>
        <v>35-39</v>
      </c>
      <c r="C96" s="459">
        <f t="shared" si="36"/>
        <v>1075.6407245194102</v>
      </c>
      <c r="D96" s="459">
        <f t="shared" ref="D96:N96" si="39">D62+(0.2*D61)-(0.2*D62)</f>
        <v>1060.1869938787233</v>
      </c>
      <c r="E96" s="459">
        <f t="shared" si="39"/>
        <v>1050.7009559691253</v>
      </c>
      <c r="F96" s="459">
        <f t="shared" si="39"/>
        <v>1058.9787432289511</v>
      </c>
      <c r="G96" s="459">
        <f t="shared" si="39"/>
        <v>1070.1034973649221</v>
      </c>
      <c r="H96" s="459">
        <f t="shared" si="39"/>
        <v>1067.9740523233797</v>
      </c>
      <c r="I96" s="459">
        <f t="shared" si="39"/>
        <v>1063.5614423721433</v>
      </c>
      <c r="J96" s="459">
        <f t="shared" si="39"/>
        <v>1059.6433551844352</v>
      </c>
      <c r="K96" s="459">
        <f t="shared" si="39"/>
        <v>1056.4726728725493</v>
      </c>
      <c r="L96" s="459">
        <f t="shared" si="39"/>
        <v>1050.2010096681038</v>
      </c>
      <c r="M96" s="459">
        <f t="shared" si="39"/>
        <v>1042.4055577642391</v>
      </c>
      <c r="N96" s="459">
        <f t="shared" si="39"/>
        <v>1033.6827832797146</v>
      </c>
    </row>
    <row r="97" spans="1:16">
      <c r="B97" s="338" t="str">
        <f t="shared" si="33"/>
        <v>40-44</v>
      </c>
      <c r="C97" s="459">
        <f t="shared" si="36"/>
        <v>858.16023337918159</v>
      </c>
      <c r="D97" s="459">
        <f t="shared" ref="D97:N97" si="40">D63+(0.2*D62)-(0.2*D63)</f>
        <v>884.05764454719224</v>
      </c>
      <c r="E97" s="459">
        <f t="shared" si="40"/>
        <v>904.42863011713212</v>
      </c>
      <c r="F97" s="459">
        <f t="shared" si="40"/>
        <v>933.13185272280077</v>
      </c>
      <c r="G97" s="459">
        <f t="shared" si="40"/>
        <v>958.75654129305178</v>
      </c>
      <c r="H97" s="459">
        <f t="shared" si="40"/>
        <v>968.79846211297115</v>
      </c>
      <c r="I97" s="459">
        <f t="shared" si="40"/>
        <v>973.84674446280951</v>
      </c>
      <c r="J97" s="459">
        <f t="shared" si="40"/>
        <v>977.04914047350837</v>
      </c>
      <c r="K97" s="459">
        <f t="shared" si="40"/>
        <v>979.13102799825754</v>
      </c>
      <c r="L97" s="459">
        <f t="shared" si="40"/>
        <v>977.27222466746809</v>
      </c>
      <c r="M97" s="459">
        <f t="shared" si="40"/>
        <v>973.25094686018338</v>
      </c>
      <c r="N97" s="459">
        <f t="shared" si="40"/>
        <v>967.86801518158961</v>
      </c>
    </row>
    <row r="98" spans="1:16">
      <c r="B98" s="338" t="str">
        <f t="shared" si="33"/>
        <v>45-49</v>
      </c>
      <c r="C98" s="459">
        <f t="shared" si="36"/>
        <v>528.23158238140343</v>
      </c>
      <c r="D98" s="459">
        <f t="shared" ref="D98:N98" si="41">D64+(0.2*D63)-(0.2*D64)</f>
        <v>587.96809398227992</v>
      </c>
      <c r="E98" s="459">
        <f t="shared" si="41"/>
        <v>639.82758722486494</v>
      </c>
      <c r="F98" s="459">
        <f t="shared" si="41"/>
        <v>694.08791095477204</v>
      </c>
      <c r="G98" s="459">
        <f t="shared" si="41"/>
        <v>741.49575114961954</v>
      </c>
      <c r="H98" s="459">
        <f t="shared" si="41"/>
        <v>772.08253749825326</v>
      </c>
      <c r="I98" s="459">
        <f t="shared" si="41"/>
        <v>794.74017068686089</v>
      </c>
      <c r="J98" s="459">
        <f t="shared" si="41"/>
        <v>812.50411000316649</v>
      </c>
      <c r="K98" s="459">
        <f t="shared" si="41"/>
        <v>826.46541908253607</v>
      </c>
      <c r="L98" s="459">
        <f t="shared" si="41"/>
        <v>834.79425558570961</v>
      </c>
      <c r="M98" s="459">
        <f t="shared" si="41"/>
        <v>839.33967638743832</v>
      </c>
      <c r="N98" s="459">
        <f t="shared" si="41"/>
        <v>841.1327956482952</v>
      </c>
    </row>
    <row r="99" spans="1:16">
      <c r="B99" s="338" t="str">
        <f t="shared" si="33"/>
        <v>50-54</v>
      </c>
      <c r="C99" s="459">
        <f t="shared" si="36"/>
        <v>367.08121989294426</v>
      </c>
      <c r="D99" s="459">
        <f t="shared" ref="D99:N99" si="42">D65+(0.2*D64)-(0.2*D65)</f>
        <v>390.92257740937373</v>
      </c>
      <c r="E99" s="459">
        <f t="shared" si="42"/>
        <v>421.38409770140123</v>
      </c>
      <c r="F99" s="459">
        <f t="shared" si="42"/>
        <v>462.00528117405736</v>
      </c>
      <c r="G99" s="459">
        <f t="shared" si="42"/>
        <v>502.7514304352228</v>
      </c>
      <c r="H99" s="459">
        <f t="shared" si="42"/>
        <v>533.94362836024413</v>
      </c>
      <c r="I99" s="459">
        <f t="shared" si="42"/>
        <v>560.65541637809451</v>
      </c>
      <c r="J99" s="459">
        <f t="shared" si="42"/>
        <v>584.08369920724363</v>
      </c>
      <c r="K99" s="459">
        <f t="shared" si="42"/>
        <v>604.3597644298859</v>
      </c>
      <c r="L99" s="459">
        <f t="shared" si="42"/>
        <v>619.71344230027921</v>
      </c>
      <c r="M99" s="459">
        <f t="shared" si="42"/>
        <v>631.31511157857449</v>
      </c>
      <c r="N99" s="459">
        <f t="shared" si="42"/>
        <v>639.85335105362935</v>
      </c>
    </row>
    <row r="100" spans="1:16">
      <c r="B100" s="338" t="str">
        <f t="shared" si="33"/>
        <v>55-59</v>
      </c>
      <c r="C100" s="459">
        <f t="shared" si="36"/>
        <v>322.00702089366678</v>
      </c>
      <c r="D100" s="459">
        <f t="shared" ref="D100:N100" si="43">D66+(0.2*D65)-(0.2*D66)</f>
        <v>281.64164172133013</v>
      </c>
      <c r="E100" s="459">
        <f t="shared" si="43"/>
        <v>263.28379715275918</v>
      </c>
      <c r="F100" s="459">
        <f t="shared" si="43"/>
        <v>264.13914480747337</v>
      </c>
      <c r="G100" s="459">
        <f t="shared" si="43"/>
        <v>273.13220779456566</v>
      </c>
      <c r="H100" s="459">
        <f t="shared" si="43"/>
        <v>281.2336403021103</v>
      </c>
      <c r="I100" s="459">
        <f t="shared" si="43"/>
        <v>290.85974658742339</v>
      </c>
      <c r="J100" s="459">
        <f t="shared" si="43"/>
        <v>301.55683422383464</v>
      </c>
      <c r="K100" s="459">
        <f t="shared" si="43"/>
        <v>312.37682331799397</v>
      </c>
      <c r="L100" s="459">
        <f t="shared" si="43"/>
        <v>321.33987735764833</v>
      </c>
      <c r="M100" s="459">
        <f t="shared" si="43"/>
        <v>328.85899648129282</v>
      </c>
      <c r="N100" s="459">
        <f t="shared" si="43"/>
        <v>335.05432334047197</v>
      </c>
    </row>
    <row r="101" spans="1:16">
      <c r="B101" s="338" t="str">
        <f t="shared" si="33"/>
        <v>60-64</v>
      </c>
      <c r="C101" s="459">
        <f t="shared" si="36"/>
        <v>134.74033968178668</v>
      </c>
      <c r="D101" s="459">
        <f t="shared" ref="D101:N101" si="44">D67+(0.2*D66)-(0.2*D67)</f>
        <v>122.37998221643029</v>
      </c>
      <c r="E101" s="459">
        <f t="shared" si="44"/>
        <v>111.53353262319837</v>
      </c>
      <c r="F101" s="459">
        <f t="shared" si="44"/>
        <v>107.27703944563149</v>
      </c>
      <c r="G101" s="459">
        <f t="shared" si="44"/>
        <v>106.10330121943106</v>
      </c>
      <c r="H101" s="459">
        <f t="shared" si="44"/>
        <v>104.42694346327175</v>
      </c>
      <c r="I101" s="459">
        <f t="shared" si="44"/>
        <v>104.4245009471347</v>
      </c>
      <c r="J101" s="459">
        <f t="shared" si="44"/>
        <v>105.9377599394102</v>
      </c>
      <c r="K101" s="459">
        <f t="shared" si="44"/>
        <v>108.34485841680275</v>
      </c>
      <c r="L101" s="459">
        <f t="shared" si="44"/>
        <v>110.44223850834874</v>
      </c>
      <c r="M101" s="459">
        <f t="shared" si="44"/>
        <v>112.41780328329929</v>
      </c>
      <c r="N101" s="459">
        <f t="shared" si="44"/>
        <v>114.23738250973058</v>
      </c>
    </row>
    <row r="102" spans="1:16">
      <c r="B102" s="338" t="str">
        <f t="shared" si="33"/>
        <v>65 plus</v>
      </c>
      <c r="C102" s="459">
        <f>C68+(0.2*C67)</f>
        <v>26.51816656558713</v>
      </c>
      <c r="D102" s="459">
        <f t="shared" ref="D102:N102" si="45">D68+(0.2*D67)</f>
        <v>33.097054782089344</v>
      </c>
      <c r="E102" s="459">
        <f t="shared" si="45"/>
        <v>35.288537818840794</v>
      </c>
      <c r="F102" s="459">
        <f t="shared" si="45"/>
        <v>36.435566824637412</v>
      </c>
      <c r="G102" s="459">
        <f t="shared" si="45"/>
        <v>36.760533826891539</v>
      </c>
      <c r="H102" s="459">
        <f t="shared" si="45"/>
        <v>35.857636641213332</v>
      </c>
      <c r="I102" s="459">
        <f t="shared" si="45"/>
        <v>35.047649025729228</v>
      </c>
      <c r="J102" s="459">
        <f t="shared" si="45"/>
        <v>34.668736080584637</v>
      </c>
      <c r="K102" s="459">
        <f t="shared" si="45"/>
        <v>34.691408612172651</v>
      </c>
      <c r="L102" s="459">
        <f t="shared" si="45"/>
        <v>34.740566566384402</v>
      </c>
      <c r="M102" s="459">
        <f t="shared" si="45"/>
        <v>34.879356545426212</v>
      </c>
      <c r="N102" s="459">
        <f t="shared" si="45"/>
        <v>35.092554323829219</v>
      </c>
    </row>
    <row r="103" spans="1:16">
      <c r="B103" s="338" t="str">
        <f t="shared" si="33"/>
        <v>Total</v>
      </c>
      <c r="C103" s="459">
        <f>SUM(C93:C102)</f>
        <v>5937.0684211452508</v>
      </c>
      <c r="D103" s="459">
        <f t="shared" ref="D103:N103" si="46">SUM(D93:D102)</f>
        <v>5909.7048523609119</v>
      </c>
      <c r="E103" s="459">
        <f t="shared" si="46"/>
        <v>5941.2001313316559</v>
      </c>
      <c r="F103" s="459">
        <f t="shared" si="46"/>
        <v>6157.1683486320935</v>
      </c>
      <c r="G103" s="459">
        <f t="shared" si="46"/>
        <v>6387.600115900962</v>
      </c>
      <c r="H103" s="459">
        <f t="shared" si="46"/>
        <v>6465.9045353960737</v>
      </c>
      <c r="I103" s="459">
        <f t="shared" si="46"/>
        <v>6513.1230860298083</v>
      </c>
      <c r="J103" s="459">
        <f t="shared" si="46"/>
        <v>6558.053396995374</v>
      </c>
      <c r="K103" s="459">
        <f t="shared" si="46"/>
        <v>6601.8216946287694</v>
      </c>
      <c r="L103" s="459">
        <f t="shared" si="46"/>
        <v>6605.6632978574698</v>
      </c>
      <c r="M103" s="459">
        <f t="shared" si="46"/>
        <v>6589.3130167311301</v>
      </c>
      <c r="N103" s="459">
        <f t="shared" si="46"/>
        <v>6560.9816604227462</v>
      </c>
    </row>
    <row r="104" spans="1:16">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6" ht="15.75">
      <c r="B106" s="340" t="s">
        <v>151</v>
      </c>
      <c r="H106" s="325"/>
    </row>
    <row r="107" spans="1:16">
      <c r="H107" s="325"/>
    </row>
    <row r="108" spans="1:16">
      <c r="B108" s="341" t="s">
        <v>49</v>
      </c>
      <c r="H108" s="325"/>
    </row>
    <row r="109" spans="1:16">
      <c r="H109" s="325"/>
    </row>
    <row r="110" spans="1:16">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6">
      <c r="B111" s="338" t="str">
        <f t="shared" si="48"/>
        <v>20-24</v>
      </c>
      <c r="C111" s="459">
        <f>C77*Group_2_rates!E74</f>
        <v>19.106975328633261</v>
      </c>
      <c r="D111" s="459">
        <f>D77*Group_2_rates!F74</f>
        <v>25.636876105235352</v>
      </c>
      <c r="E111" s="459">
        <f>E77*Group_2_rates!G74</f>
        <v>31.167130644125312</v>
      </c>
      <c r="F111" s="459">
        <f>F77*Group_2_rates!H74</f>
        <v>38.662157219890574</v>
      </c>
      <c r="G111" s="459">
        <f>G77*Group_2_rates!I74</f>
        <v>44.590962137133388</v>
      </c>
      <c r="H111" s="459">
        <f>H77*Group_2_rates!J74</f>
        <v>46.167457315065036</v>
      </c>
      <c r="I111" s="459">
        <f>I77*Group_2_rates!K74</f>
        <v>46.804546348233849</v>
      </c>
      <c r="J111" s="459">
        <f>J77*Group_2_rates!L74</f>
        <v>47.316819221872137</v>
      </c>
      <c r="K111" s="459">
        <f>K77*Group_2_rates!M74</f>
        <v>47.777766283953319</v>
      </c>
      <c r="L111" s="459">
        <f>L77*Group_2_rates!N74</f>
        <v>47.437887290091361</v>
      </c>
      <c r="M111" s="459">
        <f>M77*Group_2_rates!O74</f>
        <v>46.847860383721454</v>
      </c>
      <c r="N111" s="459">
        <f>N77*Group_2_rates!P74</f>
        <v>46.204293616431379</v>
      </c>
      <c r="O111" s="327"/>
      <c r="P111" s="327"/>
    </row>
    <row r="112" spans="1:16">
      <c r="B112" s="338" t="str">
        <f t="shared" si="48"/>
        <v>25-29</v>
      </c>
      <c r="C112" s="459">
        <f>C78*Group_2_rates!E75</f>
        <v>59.362978344957469</v>
      </c>
      <c r="D112" s="459">
        <f>D78*Group_2_rates!F75</f>
        <v>58.936882136857825</v>
      </c>
      <c r="E112" s="459">
        <f>E78*Group_2_rates!G75</f>
        <v>60.693687736609796</v>
      </c>
      <c r="F112" s="459">
        <f>F78*Group_2_rates!H75</f>
        <v>66.829745386299848</v>
      </c>
      <c r="G112" s="459">
        <f>G78*Group_2_rates!I75</f>
        <v>73.105928063446513</v>
      </c>
      <c r="H112" s="459">
        <f>H78*Group_2_rates!J75</f>
        <v>75.611244148445124</v>
      </c>
      <c r="I112" s="459">
        <f>I78*Group_2_rates!K75</f>
        <v>77.117379452004471</v>
      </c>
      <c r="J112" s="459">
        <f>J78*Group_2_rates!L75</f>
        <v>78.362636178441065</v>
      </c>
      <c r="K112" s="459">
        <f>K78*Group_2_rates!M75</f>
        <v>79.443047397929973</v>
      </c>
      <c r="L112" s="459">
        <f>L78*Group_2_rates!N75</f>
        <v>79.544507395979252</v>
      </c>
      <c r="M112" s="459">
        <f>M78*Group_2_rates!O75</f>
        <v>79.172433317988293</v>
      </c>
      <c r="N112" s="459">
        <f>N78*Group_2_rates!P75</f>
        <v>78.560204094440877</v>
      </c>
      <c r="O112" s="327"/>
      <c r="P112" s="327"/>
    </row>
    <row r="113" spans="1:16">
      <c r="B113" s="338" t="str">
        <f t="shared" si="48"/>
        <v>30-34</v>
      </c>
      <c r="C113" s="459">
        <f>C79*Group_2_rates!E76</f>
        <v>56.471863627958136</v>
      </c>
      <c r="D113" s="459">
        <f>D79*Group_2_rates!F76</f>
        <v>54.314793126518119</v>
      </c>
      <c r="E113" s="459">
        <f>E79*Group_2_rates!G76</f>
        <v>53.083563705727244</v>
      </c>
      <c r="F113" s="459">
        <f>F79*Group_2_rates!H76</f>
        <v>53.970503539236233</v>
      </c>
      <c r="G113" s="459">
        <f>G79*Group_2_rates!I76</f>
        <v>55.647708266182228</v>
      </c>
      <c r="H113" s="459">
        <f>H79*Group_2_rates!J76</f>
        <v>56.493945384440721</v>
      </c>
      <c r="I113" s="459">
        <f>I79*Group_2_rates!K76</f>
        <v>57.210405909125704</v>
      </c>
      <c r="J113" s="459">
        <f>J79*Group_2_rates!L76</f>
        <v>57.948329528447218</v>
      </c>
      <c r="K113" s="459">
        <f>K79*Group_2_rates!M76</f>
        <v>58.687537196470082</v>
      </c>
      <c r="L113" s="459">
        <f>L79*Group_2_rates!N76</f>
        <v>59.07130461400434</v>
      </c>
      <c r="M113" s="459">
        <f>M79*Group_2_rates!O76</f>
        <v>59.213228469103633</v>
      </c>
      <c r="N113" s="459">
        <f>N79*Group_2_rates!P76</f>
        <v>59.173594094217457</v>
      </c>
      <c r="O113" s="327"/>
      <c r="P113" s="327"/>
    </row>
    <row r="114" spans="1:16">
      <c r="B114" s="338" t="str">
        <f t="shared" si="48"/>
        <v>35-39</v>
      </c>
      <c r="C114" s="459">
        <f>C80*Group_2_rates!E77</f>
        <v>51.864564140480013</v>
      </c>
      <c r="D114" s="459">
        <f>D80*Group_2_rates!F77</f>
        <v>50.907119867196648</v>
      </c>
      <c r="E114" s="459">
        <f>E80*Group_2_rates!G77</f>
        <v>50.076585652610909</v>
      </c>
      <c r="F114" s="459">
        <f>F80*Group_2_rates!H77</f>
        <v>50.135805269657546</v>
      </c>
      <c r="G114" s="459">
        <f>G80*Group_2_rates!I77</f>
        <v>50.486430199159244</v>
      </c>
      <c r="H114" s="459">
        <f>H80*Group_2_rates!J77</f>
        <v>50.391699038365587</v>
      </c>
      <c r="I114" s="459">
        <f>I80*Group_2_rates!K77</f>
        <v>50.342152764318108</v>
      </c>
      <c r="J114" s="459">
        <f>J80*Group_2_rates!L77</f>
        <v>50.435246461710094</v>
      </c>
      <c r="K114" s="459">
        <f>K80*Group_2_rates!M77</f>
        <v>50.647585323887114</v>
      </c>
      <c r="L114" s="459">
        <f>L80*Group_2_rates!N77</f>
        <v>50.76397886941028</v>
      </c>
      <c r="M114" s="459">
        <f>M80*Group_2_rates!O77</f>
        <v>50.827116306222301</v>
      </c>
      <c r="N114" s="459">
        <f>N80*Group_2_rates!P77</f>
        <v>50.841248438139296</v>
      </c>
      <c r="O114" s="327"/>
      <c r="P114" s="327"/>
    </row>
    <row r="115" spans="1:16">
      <c r="B115" s="338" t="str">
        <f t="shared" si="48"/>
        <v>40-44</v>
      </c>
      <c r="C115" s="459">
        <f>C81*Group_2_rates!E78</f>
        <v>50.765566974210664</v>
      </c>
      <c r="D115" s="459">
        <f>D81*Group_2_rates!F78</f>
        <v>50.883789455552467</v>
      </c>
      <c r="E115" s="459">
        <f>E81*Group_2_rates!G78</f>
        <v>50.985617505172257</v>
      </c>
      <c r="F115" s="459">
        <f>F81*Group_2_rates!H78</f>
        <v>51.669883572655351</v>
      </c>
      <c r="G115" s="459">
        <f>G81*Group_2_rates!I78</f>
        <v>52.337950752498188</v>
      </c>
      <c r="H115" s="459">
        <f>H81*Group_2_rates!J78</f>
        <v>52.356489485398271</v>
      </c>
      <c r="I115" s="459">
        <f>I81*Group_2_rates!K78</f>
        <v>52.251639140127473</v>
      </c>
      <c r="J115" s="459">
        <f>J81*Group_2_rates!L78</f>
        <v>52.177527134155007</v>
      </c>
      <c r="K115" s="459">
        <f>K81*Group_2_rates!M78</f>
        <v>52.162521225583752</v>
      </c>
      <c r="L115" s="459">
        <f>L81*Group_2_rates!N78</f>
        <v>52.052020077938309</v>
      </c>
      <c r="M115" s="459">
        <f>M81*Group_2_rates!O78</f>
        <v>51.917455994287813</v>
      </c>
      <c r="N115" s="459">
        <f>N81*Group_2_rates!P78</f>
        <v>51.780298653649375</v>
      </c>
      <c r="O115" s="327"/>
      <c r="P115" s="327"/>
    </row>
    <row r="116" spans="1:16">
      <c r="B116" s="338" t="str">
        <f t="shared" si="48"/>
        <v>45-49</v>
      </c>
      <c r="C116" s="459">
        <f>C82*Group_2_rates!E79</f>
        <v>41.613074496580992</v>
      </c>
      <c r="D116" s="459">
        <f>D82*Group_2_rates!F79</f>
        <v>43.893783839743968</v>
      </c>
      <c r="E116" s="459">
        <f>E82*Group_2_rates!G79</f>
        <v>45.793399100405736</v>
      </c>
      <c r="F116" s="459">
        <f>F82*Group_2_rates!H79</f>
        <v>47.92967231671517</v>
      </c>
      <c r="G116" s="459">
        <f>G82*Group_2_rates!I79</f>
        <v>49.787442662651245</v>
      </c>
      <c r="H116" s="459">
        <f>H82*Group_2_rates!J79</f>
        <v>50.798064843239644</v>
      </c>
      <c r="I116" s="459">
        <f>I82*Group_2_rates!K79</f>
        <v>51.45815140755704</v>
      </c>
      <c r="J116" s="459">
        <f>J82*Group_2_rates!L79</f>
        <v>51.937329888914796</v>
      </c>
      <c r="K116" s="459">
        <f>K82*Group_2_rates!M79</f>
        <v>52.296220181101639</v>
      </c>
      <c r="L116" s="459">
        <f>L82*Group_2_rates!N79</f>
        <v>52.428745130307838</v>
      </c>
      <c r="M116" s="459">
        <f>M82*Group_2_rates!O79</f>
        <v>52.434543069548113</v>
      </c>
      <c r="N116" s="459">
        <f>N82*Group_2_rates!P79</f>
        <v>52.365345466806396</v>
      </c>
      <c r="O116" s="327"/>
      <c r="P116" s="327"/>
    </row>
    <row r="117" spans="1:16">
      <c r="B117" s="338" t="str">
        <f t="shared" si="48"/>
        <v>50-54</v>
      </c>
      <c r="C117" s="459">
        <f>C83*Group_2_rates!E80</f>
        <v>31.45258544512938</v>
      </c>
      <c r="D117" s="459">
        <f>D83*Group_2_rates!F80</f>
        <v>32.229960692639459</v>
      </c>
      <c r="E117" s="459">
        <f>E83*Group_2_rates!G80</f>
        <v>33.360871445362349</v>
      </c>
      <c r="F117" s="459">
        <f>F83*Group_2_rates!H80</f>
        <v>35.071455352508309</v>
      </c>
      <c r="G117" s="459">
        <f>G83*Group_2_rates!I80</f>
        <v>36.802174069285158</v>
      </c>
      <c r="H117" s="459">
        <f>H83*Group_2_rates!J80</f>
        <v>38.008046494351923</v>
      </c>
      <c r="I117" s="459">
        <f>I83*Group_2_rates!K80</f>
        <v>38.993130172117517</v>
      </c>
      <c r="J117" s="459">
        <f>J83*Group_2_rates!L80</f>
        <v>39.833499471414491</v>
      </c>
      <c r="K117" s="459">
        <f>K83*Group_2_rates!M80</f>
        <v>40.541397939922867</v>
      </c>
      <c r="L117" s="459">
        <f>L83*Group_2_rates!N80</f>
        <v>41.017310748923776</v>
      </c>
      <c r="M117" s="459">
        <f>M83*Group_2_rates!O80</f>
        <v>41.330705126942448</v>
      </c>
      <c r="N117" s="459">
        <f>N83*Group_2_rates!P80</f>
        <v>41.521906164184152</v>
      </c>
      <c r="O117" s="327"/>
      <c r="P117" s="327"/>
    </row>
    <row r="118" spans="1:16">
      <c r="B118" s="338" t="str">
        <f t="shared" si="48"/>
        <v>55-59</v>
      </c>
      <c r="C118" s="459">
        <f>C84*Group_2_rates!E81</f>
        <v>17.031263578178883</v>
      </c>
      <c r="D118" s="459">
        <f>D84*Group_2_rates!F81</f>
        <v>14.886262905526419</v>
      </c>
      <c r="E118" s="459">
        <f>E84*Group_2_rates!G81</f>
        <v>13.789190625512763</v>
      </c>
      <c r="F118" s="459">
        <f>F84*Group_2_rates!H81</f>
        <v>13.548323569687851</v>
      </c>
      <c r="G118" s="459">
        <f>G84*Group_2_rates!I81</f>
        <v>13.670827638788683</v>
      </c>
      <c r="H118" s="459">
        <f>H84*Group_2_rates!J81</f>
        <v>13.773069776311868</v>
      </c>
      <c r="I118" s="459">
        <f>I84*Group_2_rates!K81</f>
        <v>13.950943210334154</v>
      </c>
      <c r="J118" s="459">
        <f>J84*Group_2_rates!L81</f>
        <v>14.184459584025797</v>
      </c>
      <c r="K118" s="459">
        <f>K84*Group_2_rates!M81</f>
        <v>14.435209305846861</v>
      </c>
      <c r="L118" s="459">
        <f>L84*Group_2_rates!N81</f>
        <v>14.623775541208484</v>
      </c>
      <c r="M118" s="459">
        <f>M84*Group_2_rates!O81</f>
        <v>14.76914620392431</v>
      </c>
      <c r="N118" s="459">
        <f>N84*Group_2_rates!P81</f>
        <v>14.877479058559505</v>
      </c>
      <c r="O118" s="327"/>
      <c r="P118" s="327"/>
    </row>
    <row r="119" spans="1:16">
      <c r="B119" s="338" t="str">
        <f t="shared" si="48"/>
        <v>60-64</v>
      </c>
      <c r="C119" s="459">
        <f>C85*Group_2_rates!E82</f>
        <v>2.5486109069102221</v>
      </c>
      <c r="D119" s="459">
        <f>D85*Group_2_rates!F82</f>
        <v>2.2973558611336644</v>
      </c>
      <c r="E119" s="459">
        <f>E85*Group_2_rates!G82</f>
        <v>2.0767764263070774</v>
      </c>
      <c r="F119" s="459">
        <f>F85*Group_2_rates!H82</f>
        <v>1.9635290936084469</v>
      </c>
      <c r="G119" s="459">
        <f>G85*Group_2_rates!I82</f>
        <v>1.9057512375215881</v>
      </c>
      <c r="H119" s="459">
        <f>H85*Group_2_rates!J82</f>
        <v>1.8481141181252609</v>
      </c>
      <c r="I119" s="459">
        <f>I85*Group_2_rates!K82</f>
        <v>1.8191116881456126</v>
      </c>
      <c r="J119" s="459">
        <f>J85*Group_2_rates!L82</f>
        <v>1.815394234648541</v>
      </c>
      <c r="K119" s="459">
        <f>K85*Group_2_rates!M82</f>
        <v>1.8273109170540374</v>
      </c>
      <c r="L119" s="459">
        <f>L85*Group_2_rates!N82</f>
        <v>1.8369329981935882</v>
      </c>
      <c r="M119" s="459">
        <f>M85*Group_2_rates!O82</f>
        <v>1.8465451445877228</v>
      </c>
      <c r="N119" s="459">
        <f>N85*Group_2_rates!P82</f>
        <v>1.8555911132026752</v>
      </c>
      <c r="O119" s="327"/>
      <c r="P119" s="327"/>
    </row>
    <row r="120" spans="1:16">
      <c r="B120" s="338" t="str">
        <f t="shared" si="48"/>
        <v>65 plus</v>
      </c>
      <c r="C120" s="459">
        <f>C86*Group_2_rates!E83</f>
        <v>0.61717315342846879</v>
      </c>
      <c r="D120" s="459">
        <f>D86*Group_2_rates!F83</f>
        <v>0.78542393767545249</v>
      </c>
      <c r="E120" s="459">
        <f>E86*Group_2_rates!G83</f>
        <v>0.84495303483016249</v>
      </c>
      <c r="F120" s="459">
        <f>F86*Group_2_rates!H83</f>
        <v>0.86762234807591887</v>
      </c>
      <c r="G120" s="459">
        <f>G86*Group_2_rates!I83</f>
        <v>0.86746711272662669</v>
      </c>
      <c r="H120" s="459">
        <f>H86*Group_2_rates!J83</f>
        <v>0.84239088705424015</v>
      </c>
      <c r="I120" s="459">
        <f>I86*Group_2_rates!K83</f>
        <v>0.81743695336607691</v>
      </c>
      <c r="J120" s="459">
        <f>J86*Group_2_rates!L83</f>
        <v>0.80017739528358089</v>
      </c>
      <c r="K120" s="459">
        <f>K86*Group_2_rates!M83</f>
        <v>0.79100784025019266</v>
      </c>
      <c r="L120" s="459">
        <f>L86*Group_2_rates!N83</f>
        <v>0.78359529405244965</v>
      </c>
      <c r="M120" s="459">
        <f>M86*Group_2_rates!O83</f>
        <v>0.77877741911221865</v>
      </c>
      <c r="N120" s="459">
        <f>N86*Group_2_rates!P83</f>
        <v>0.77613091739490414</v>
      </c>
      <c r="O120" s="327"/>
      <c r="P120" s="327"/>
    </row>
    <row r="121" spans="1:16">
      <c r="B121" s="338" t="str">
        <f t="shared" si="48"/>
        <v>Total</v>
      </c>
      <c r="C121" s="459">
        <f>SUM(C111:C120)</f>
        <v>330.83465599646746</v>
      </c>
      <c r="D121" s="459">
        <f t="shared" ref="D121:N121" si="50">SUM(D111:D120)</f>
        <v>334.77224792807931</v>
      </c>
      <c r="E121" s="459">
        <f t="shared" si="50"/>
        <v>341.87177587666361</v>
      </c>
      <c r="F121" s="459">
        <f t="shared" si="50"/>
        <v>360.64869766833527</v>
      </c>
      <c r="G121" s="459">
        <f t="shared" si="50"/>
        <v>379.20264213939288</v>
      </c>
      <c r="H121" s="459">
        <f t="shared" si="50"/>
        <v>386.29052149079763</v>
      </c>
      <c r="I121" s="459">
        <f t="shared" si="50"/>
        <v>390.76489704532997</v>
      </c>
      <c r="J121" s="459">
        <f t="shared" si="50"/>
        <v>394.81141909891272</v>
      </c>
      <c r="K121" s="459">
        <f t="shared" si="50"/>
        <v>398.60960361199989</v>
      </c>
      <c r="L121" s="459">
        <f t="shared" si="50"/>
        <v>399.5600579601097</v>
      </c>
      <c r="M121" s="459">
        <f t="shared" si="50"/>
        <v>399.13781143543832</v>
      </c>
      <c r="N121" s="459">
        <f t="shared" si="50"/>
        <v>397.956091617026</v>
      </c>
      <c r="O121" s="327"/>
      <c r="P121" s="327"/>
    </row>
    <row r="122" spans="1:16">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6">
      <c r="B124" s="341" t="s">
        <v>50</v>
      </c>
      <c r="C124" s="329"/>
      <c r="D124" s="329"/>
      <c r="E124" s="329"/>
      <c r="F124" s="329"/>
      <c r="G124" s="329"/>
      <c r="H124" s="339"/>
      <c r="I124" s="329"/>
      <c r="J124" s="329"/>
      <c r="K124" s="329"/>
      <c r="L124" s="329"/>
    </row>
    <row r="125" spans="1:16">
      <c r="C125" s="329"/>
      <c r="D125" s="329"/>
      <c r="E125" s="329"/>
      <c r="F125" s="329"/>
      <c r="G125" s="329"/>
      <c r="H125" s="339"/>
      <c r="I125" s="329"/>
      <c r="J125" s="329"/>
      <c r="K125" s="329"/>
      <c r="L125" s="329"/>
    </row>
    <row r="126" spans="1:16">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6">
      <c r="B127" s="338" t="str">
        <f t="shared" si="52"/>
        <v>20-24</v>
      </c>
      <c r="C127" s="459">
        <f>C93*Group_2_rates!E89</f>
        <v>40.546303755794675</v>
      </c>
      <c r="D127" s="459">
        <f>D93*Group_2_rates!F89</f>
        <v>42.445863529584742</v>
      </c>
      <c r="E127" s="459">
        <f>E93*Group_2_rates!G89</f>
        <v>44.853818673196443</v>
      </c>
      <c r="F127" s="459">
        <f>F93*Group_2_rates!H89</f>
        <v>50.550169967623887</v>
      </c>
      <c r="G127" s="459">
        <f>G93*Group_2_rates!I89</f>
        <v>55.369030482105615</v>
      </c>
      <c r="H127" s="459">
        <f>H93*Group_2_rates!J89</f>
        <v>55.987789319464277</v>
      </c>
      <c r="I127" s="459">
        <f>I93*Group_2_rates!K89</f>
        <v>55.917564063256499</v>
      </c>
      <c r="J127" s="459">
        <f>J93*Group_2_rates!L89</f>
        <v>55.939777407530563</v>
      </c>
      <c r="K127" s="459">
        <f>K93*Group_2_rates!M89</f>
        <v>56.067727802186361</v>
      </c>
      <c r="L127" s="459">
        <f>L93*Group_2_rates!N89</f>
        <v>55.431867168728694</v>
      </c>
      <c r="M127" s="459">
        <f>M93*Group_2_rates!O89</f>
        <v>54.590844362606688</v>
      </c>
      <c r="N127" s="459">
        <f>N93*Group_2_rates!P89</f>
        <v>53.736635807676656</v>
      </c>
    </row>
    <row r="128" spans="1:16">
      <c r="B128" s="338" t="str">
        <f t="shared" si="52"/>
        <v>25-29</v>
      </c>
      <c r="C128" s="459">
        <f>C94*Group_2_rates!E90</f>
        <v>109.52271372736068</v>
      </c>
      <c r="D128" s="459">
        <f>D94*Group_2_rates!F90</f>
        <v>101.91543562961829</v>
      </c>
      <c r="E128" s="459">
        <f>E94*Group_2_rates!G90</f>
        <v>98.019240064176174</v>
      </c>
      <c r="F128" s="459">
        <f>F94*Group_2_rates!H90</f>
        <v>100.40765322363075</v>
      </c>
      <c r="G128" s="459">
        <f>G94*Group_2_rates!I90</f>
        <v>103.98239531373648</v>
      </c>
      <c r="H128" s="459">
        <f>H94*Group_2_rates!J90</f>
        <v>103.95772296046177</v>
      </c>
      <c r="I128" s="459">
        <f>I94*Group_2_rates!K90</f>
        <v>103.42568359418654</v>
      </c>
      <c r="J128" s="459">
        <f>J94*Group_2_rates!L90</f>
        <v>103.11794907261591</v>
      </c>
      <c r="K128" s="459">
        <f>K94*Group_2_rates!M90</f>
        <v>103.03508587944543</v>
      </c>
      <c r="L128" s="459">
        <f>L94*Group_2_rates!N90</f>
        <v>102.12001871956356</v>
      </c>
      <c r="M128" s="459">
        <f>M94*Group_2_rates!O90</f>
        <v>100.8884418764037</v>
      </c>
      <c r="N128" s="459">
        <f>N94*Group_2_rates!P90</f>
        <v>99.555407535730012</v>
      </c>
    </row>
    <row r="129" spans="1:14">
      <c r="B129" s="338" t="str">
        <f t="shared" si="52"/>
        <v>30-34</v>
      </c>
      <c r="C129" s="459">
        <f>C95*Group_2_rates!E91</f>
        <v>105.37398516481275</v>
      </c>
      <c r="D129" s="459">
        <f>D95*Group_2_rates!F91</f>
        <v>103.83066312967355</v>
      </c>
      <c r="E129" s="459">
        <f>E95*Group_2_rates!G91</f>
        <v>102.14484775194479</v>
      </c>
      <c r="F129" s="459">
        <f>F95*Group_2_rates!H91</f>
        <v>102.94074427483258</v>
      </c>
      <c r="G129" s="459">
        <f>G95*Group_2_rates!I91</f>
        <v>104.41797853908488</v>
      </c>
      <c r="H129" s="459">
        <f>H95*Group_2_rates!J91</f>
        <v>104.18737884754179</v>
      </c>
      <c r="I129" s="459">
        <f>I95*Group_2_rates!K91</f>
        <v>103.67128033848341</v>
      </c>
      <c r="J129" s="459">
        <f>J95*Group_2_rates!L91</f>
        <v>103.2564052257993</v>
      </c>
      <c r="K129" s="459">
        <f>K95*Group_2_rates!M91</f>
        <v>102.97910806589353</v>
      </c>
      <c r="L129" s="459">
        <f>L95*Group_2_rates!N91</f>
        <v>102.27517660900251</v>
      </c>
      <c r="M129" s="459">
        <f>M95*Group_2_rates!O91</f>
        <v>101.35173329798407</v>
      </c>
      <c r="N129" s="459">
        <f>N95*Group_2_rates!P91</f>
        <v>100.30579928587788</v>
      </c>
    </row>
    <row r="130" spans="1:14">
      <c r="B130" s="338" t="str">
        <f t="shared" si="52"/>
        <v>35-39</v>
      </c>
      <c r="C130" s="459">
        <f>C96*Group_2_rates!E92</f>
        <v>87.300873365670427</v>
      </c>
      <c r="D130" s="459">
        <f>D96*Group_2_rates!F92</f>
        <v>86.046621689496149</v>
      </c>
      <c r="E130" s="459">
        <f>E96*Group_2_rates!G92</f>
        <v>85.276718342207232</v>
      </c>
      <c r="F130" s="459">
        <f>F96*Group_2_rates!H92</f>
        <v>85.948557963788019</v>
      </c>
      <c r="G130" s="459">
        <f>G96*Group_2_rates!I92</f>
        <v>86.851462372211714</v>
      </c>
      <c r="H130" s="459">
        <f>H96*Group_2_rates!J92</f>
        <v>86.678632906319265</v>
      </c>
      <c r="I130" s="459">
        <f>I96*Group_2_rates!K92</f>
        <v>86.320497802484212</v>
      </c>
      <c r="J130" s="459">
        <f>J96*Group_2_rates!L92</f>
        <v>86.002499026859013</v>
      </c>
      <c r="K130" s="459">
        <f>K96*Group_2_rates!M92</f>
        <v>85.745160931821388</v>
      </c>
      <c r="L130" s="459">
        <f>L96*Group_2_rates!N92</f>
        <v>85.236141830254681</v>
      </c>
      <c r="M130" s="459">
        <f>M96*Group_2_rates!O92</f>
        <v>84.603449385673301</v>
      </c>
      <c r="N130" s="459">
        <f>N96*Group_2_rates!P92</f>
        <v>83.895493826431149</v>
      </c>
    </row>
    <row r="131" spans="1:14">
      <c r="B131" s="338" t="str">
        <f t="shared" si="52"/>
        <v>40-44</v>
      </c>
      <c r="C131" s="459">
        <f>C97*Group_2_rates!E93</f>
        <v>64.359629409409777</v>
      </c>
      <c r="D131" s="459">
        <f>D97*Group_2_rates!F93</f>
        <v>66.301863179521817</v>
      </c>
      <c r="E131" s="459">
        <f>E97*Group_2_rates!G93</f>
        <v>67.829630408752607</v>
      </c>
      <c r="F131" s="459">
        <f>F97*Group_2_rates!H93</f>
        <v>69.982292228658181</v>
      </c>
      <c r="G131" s="459">
        <f>G97*Group_2_rates!I93</f>
        <v>71.904072562872514</v>
      </c>
      <c r="H131" s="459">
        <f>H97*Group_2_rates!J93</f>
        <v>72.657188679642147</v>
      </c>
      <c r="I131" s="459">
        <f>I97*Group_2_rates!K93</f>
        <v>73.035795807486181</v>
      </c>
      <c r="J131" s="459">
        <f>J97*Group_2_rates!L93</f>
        <v>73.275966596639591</v>
      </c>
      <c r="K131" s="459">
        <f>K97*Group_2_rates!M93</f>
        <v>73.43210236750528</v>
      </c>
      <c r="L131" s="459">
        <f>L97*Group_2_rates!N93</f>
        <v>73.292697290386386</v>
      </c>
      <c r="M131" s="459">
        <f>M97*Group_2_rates!O93</f>
        <v>72.991112645278776</v>
      </c>
      <c r="N131" s="459">
        <f>N97*Group_2_rates!P93</f>
        <v>72.58740774904247</v>
      </c>
    </row>
    <row r="132" spans="1:14">
      <c r="B132" s="338" t="str">
        <f t="shared" si="52"/>
        <v>45-49</v>
      </c>
      <c r="C132" s="459">
        <f>C98*Group_2_rates!E94</f>
        <v>43.567792056553785</v>
      </c>
      <c r="D132" s="459">
        <f>D98*Group_2_rates!F94</f>
        <v>48.494774846711401</v>
      </c>
      <c r="E132" s="459">
        <f>E98*Group_2_rates!G94</f>
        <v>52.772072329692683</v>
      </c>
      <c r="F132" s="459">
        <f>F98*Group_2_rates!H94</f>
        <v>57.247386907682049</v>
      </c>
      <c r="G132" s="459">
        <f>G98*Group_2_rates!I94</f>
        <v>61.157518358262585</v>
      </c>
      <c r="H132" s="459">
        <f>H98*Group_2_rates!J94</f>
        <v>63.680273134317083</v>
      </c>
      <c r="I132" s="459">
        <f>I98*Group_2_rates!K94</f>
        <v>65.549042598658147</v>
      </c>
      <c r="J132" s="459">
        <f>J98*Group_2_rates!L94</f>
        <v>67.014187130056555</v>
      </c>
      <c r="K132" s="459">
        <f>K98*Group_2_rates!M94</f>
        <v>68.165696110388708</v>
      </c>
      <c r="L132" s="459">
        <f>L98*Group_2_rates!N94</f>
        <v>68.852646737625719</v>
      </c>
      <c r="M132" s="459">
        <f>M98*Group_2_rates!O94</f>
        <v>69.22754660144389</v>
      </c>
      <c r="N132" s="459">
        <f>N98*Group_2_rates!P94</f>
        <v>69.375440536027327</v>
      </c>
    </row>
    <row r="133" spans="1:14">
      <c r="B133" s="338" t="str">
        <f t="shared" si="52"/>
        <v>50-54</v>
      </c>
      <c r="C133" s="459">
        <f>C99*Group_2_rates!E95</f>
        <v>29.855567711953785</v>
      </c>
      <c r="D133" s="459">
        <f>D99*Group_2_rates!F95</f>
        <v>31.794640661216206</v>
      </c>
      <c r="E133" s="459">
        <f>E99*Group_2_rates!G95</f>
        <v>34.272146816265256</v>
      </c>
      <c r="F133" s="459">
        <f>F99*Group_2_rates!H95</f>
        <v>37.575961961211313</v>
      </c>
      <c r="G133" s="459">
        <f>G99*Group_2_rates!I95</f>
        <v>40.889940863817337</v>
      </c>
      <c r="H133" s="459">
        <f>H99*Group_2_rates!J95</f>
        <v>43.426874726864682</v>
      </c>
      <c r="I133" s="459">
        <f>I99*Group_2_rates!K95</f>
        <v>45.59940645187875</v>
      </c>
      <c r="J133" s="459">
        <f>J99*Group_2_rates!L95</f>
        <v>47.504883077962916</v>
      </c>
      <c r="K133" s="459">
        <f>K99*Group_2_rates!M95</f>
        <v>49.15398252893219</v>
      </c>
      <c r="L133" s="459">
        <f>L99*Group_2_rates!N95</f>
        <v>50.402732790306878</v>
      </c>
      <c r="M133" s="459">
        <f>M99*Group_2_rates!O95</f>
        <v>51.346323483426119</v>
      </c>
      <c r="N133" s="459">
        <f>N99*Group_2_rates!P95</f>
        <v>52.040758319571431</v>
      </c>
    </row>
    <row r="134" spans="1:14">
      <c r="B134" s="338" t="str">
        <f t="shared" si="52"/>
        <v>55-59</v>
      </c>
      <c r="C134" s="459">
        <f>C100*Group_2_rates!E96</f>
        <v>16.242698518543019</v>
      </c>
      <c r="D134" s="459">
        <f>D100*Group_2_rates!F96</f>
        <v>14.206585508760396</v>
      </c>
      <c r="E134" s="459">
        <f>E100*Group_2_rates!G96</f>
        <v>13.280577951689036</v>
      </c>
      <c r="F134" s="459">
        <f>F100*Group_2_rates!H96</f>
        <v>13.323723452198646</v>
      </c>
      <c r="G134" s="459">
        <f>G100*Group_2_rates!I96</f>
        <v>13.777352104307582</v>
      </c>
      <c r="H134" s="459">
        <f>H100*Group_2_rates!J96</f>
        <v>14.186005075361356</v>
      </c>
      <c r="I134" s="459">
        <f>I100*Group_2_rates!K96</f>
        <v>14.671565737566368</v>
      </c>
      <c r="J134" s="459">
        <f>J100*Group_2_rates!L96</f>
        <v>15.211148908835288</v>
      </c>
      <c r="K134" s="459">
        <f>K100*Group_2_rates!M96</f>
        <v>15.756931483210858</v>
      </c>
      <c r="L134" s="459">
        <f>L100*Group_2_rates!N96</f>
        <v>16.209046422094723</v>
      </c>
      <c r="M134" s="459">
        <f>M100*Group_2_rates!O96</f>
        <v>16.588326304599825</v>
      </c>
      <c r="N134" s="459">
        <f>N100*Group_2_rates!P96</f>
        <v>16.900831373955779</v>
      </c>
    </row>
    <row r="135" spans="1:14">
      <c r="B135" s="338" t="str">
        <f t="shared" si="52"/>
        <v>60-64</v>
      </c>
      <c r="C135" s="459">
        <f>C101*Group_2_rates!E97</f>
        <v>2.9551422129763489</v>
      </c>
      <c r="D135" s="459">
        <f>D101*Group_2_rates!F97</f>
        <v>2.6840532859362649</v>
      </c>
      <c r="E135" s="459">
        <f>E101*Group_2_rates!G97</f>
        <v>2.4461675782886649</v>
      </c>
      <c r="F135" s="459">
        <f>F101*Group_2_rates!H97</f>
        <v>2.3528136302581033</v>
      </c>
      <c r="G135" s="459">
        <f>G101*Group_2_rates!I97</f>
        <v>2.3270710546684881</v>
      </c>
      <c r="H135" s="459">
        <f>H101*Group_2_rates!J97</f>
        <v>2.2903049638231172</v>
      </c>
      <c r="I135" s="459">
        <f>I101*Group_2_rates!K97</f>
        <v>2.2902513942495246</v>
      </c>
      <c r="J135" s="459">
        <f>J101*Group_2_rates!L97</f>
        <v>2.323440382326893</v>
      </c>
      <c r="K135" s="459">
        <f>K101*Group_2_rates!M97</f>
        <v>2.3762331713174296</v>
      </c>
      <c r="L135" s="459">
        <f>L101*Group_2_rates!N97</f>
        <v>2.422233177401885</v>
      </c>
      <c r="M135" s="459">
        <f>M101*Group_2_rates!O97</f>
        <v>2.4655615145183947</v>
      </c>
      <c r="N135" s="459">
        <f>N101*Group_2_rates!P97</f>
        <v>2.5054687568081273</v>
      </c>
    </row>
    <row r="136" spans="1:14">
      <c r="B136" s="338" t="str">
        <f t="shared" si="52"/>
        <v>65 plus</v>
      </c>
      <c r="C136" s="459">
        <f>C102*Group_2_rates!E98</f>
        <v>0.9315321349997977</v>
      </c>
      <c r="D136" s="459">
        <f>D102*Group_2_rates!F98</f>
        <v>1.1626358114581943</v>
      </c>
      <c r="E136" s="459">
        <f>E102*Group_2_rates!G98</f>
        <v>1.239618391192425</v>
      </c>
      <c r="F136" s="459">
        <f>F102*Group_2_rates!H98</f>
        <v>1.2799113117468577</v>
      </c>
      <c r="G136" s="459">
        <f>G102*Group_2_rates!I98</f>
        <v>1.2913267768645371</v>
      </c>
      <c r="H136" s="459">
        <f>H102*Group_2_rates!J98</f>
        <v>1.259609737114451</v>
      </c>
      <c r="I136" s="459">
        <f>I102*Group_2_rates!K98</f>
        <v>1.2311564316829036</v>
      </c>
      <c r="J136" s="459">
        <f>J102*Group_2_rates!L98</f>
        <v>1.2178459494556875</v>
      </c>
      <c r="K136" s="459">
        <f>K102*Group_2_rates!M98</f>
        <v>1.2186423918380747</v>
      </c>
      <c r="L136" s="459">
        <f>L102*Group_2_rates!N98</f>
        <v>1.2203692161238273</v>
      </c>
      <c r="M136" s="459">
        <f>M102*Group_2_rates!O98</f>
        <v>1.2252446408698643</v>
      </c>
      <c r="N136" s="459">
        <f>N102*Group_2_rates!P98</f>
        <v>1.2327338683472531</v>
      </c>
    </row>
    <row r="137" spans="1:14">
      <c r="B137" s="338" t="str">
        <f t="shared" si="52"/>
        <v>Total</v>
      </c>
      <c r="C137" s="459">
        <f>SUM(C127:C136)</f>
        <v>500.65623805807502</v>
      </c>
      <c r="D137" s="459">
        <f t="shared" ref="D137:N137" si="54">SUM(D127:D136)</f>
        <v>498.88313727197698</v>
      </c>
      <c r="E137" s="459">
        <f t="shared" si="54"/>
        <v>502.13483830740535</v>
      </c>
      <c r="F137" s="459">
        <f t="shared" si="54"/>
        <v>521.60921492163038</v>
      </c>
      <c r="G137" s="459">
        <f t="shared" si="54"/>
        <v>541.96814842793185</v>
      </c>
      <c r="H137" s="459">
        <f t="shared" si="54"/>
        <v>548.31178035090988</v>
      </c>
      <c r="I137" s="459">
        <f t="shared" si="54"/>
        <v>551.71224421993247</v>
      </c>
      <c r="J137" s="459">
        <f t="shared" si="54"/>
        <v>554.8641027780817</v>
      </c>
      <c r="K137" s="459">
        <f t="shared" si="54"/>
        <v>557.93067073253917</v>
      </c>
      <c r="L137" s="459">
        <f t="shared" si="54"/>
        <v>557.46292996148884</v>
      </c>
      <c r="M137" s="459">
        <f t="shared" si="54"/>
        <v>555.27858411280465</v>
      </c>
      <c r="N137" s="459">
        <f t="shared" si="54"/>
        <v>552.13597705946813</v>
      </c>
    </row>
    <row r="138" spans="1:14">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4" ht="15.75">
      <c r="B140" s="340" t="s">
        <v>152</v>
      </c>
      <c r="H140" s="325"/>
    </row>
    <row r="141" spans="1:14">
      <c r="H141" s="325"/>
    </row>
    <row r="142" spans="1:14">
      <c r="B142" s="341" t="s">
        <v>49</v>
      </c>
      <c r="H142" s="325"/>
    </row>
    <row r="143" spans="1:14">
      <c r="H143" s="325"/>
    </row>
    <row r="144" spans="1:14">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0.33989720157494985</v>
      </c>
      <c r="D148" s="459">
        <f>D80*Calc_SEC_retirement_rates!$G127</f>
        <v>0.33362253920101159</v>
      </c>
      <c r="E148" s="459">
        <f>E80*Calc_SEC_retirement_rates!$G127</f>
        <v>0.32817958870044794</v>
      </c>
      <c r="F148" s="459">
        <f>F80*Calc_SEC_retirement_rates!$G127</f>
        <v>0.32856768763555078</v>
      </c>
      <c r="G148" s="459">
        <f>G80*Calc_SEC_retirement_rates!$G127</f>
        <v>0.33086552690818477</v>
      </c>
      <c r="H148" s="459">
        <f>H80*Calc_SEC_retirement_rates!$G127</f>
        <v>0.33024470116734761</v>
      </c>
      <c r="I148" s="459">
        <f>I80*Calc_SEC_retirement_rates!$G127</f>
        <v>0.32991999700418162</v>
      </c>
      <c r="J148" s="459">
        <f>J80*Calc_SEC_retirement_rates!$G127</f>
        <v>0.33053009154083085</v>
      </c>
      <c r="K148" s="459">
        <f>K80*Calc_SEC_retirement_rates!$G127</f>
        <v>0.3319216656576805</v>
      </c>
      <c r="L148" s="459">
        <f>L80*Calc_SEC_retirement_rates!$G127</f>
        <v>0.33268445699817173</v>
      </c>
      <c r="M148" s="459">
        <f>M80*Calc_SEC_retirement_rates!$G127</f>
        <v>0.3330982315751429</v>
      </c>
      <c r="N148" s="459">
        <f>N80*Calc_SEC_retirement_rates!$G127</f>
        <v>0.33319084725929021</v>
      </c>
    </row>
    <row r="149" spans="1:14">
      <c r="B149" s="338" t="str">
        <f t="shared" si="56"/>
        <v>40-44</v>
      </c>
      <c r="C149" s="459">
        <f>C81*Calc_SEC_retirement_rates!$G128</f>
        <v>0.40012017322601573</v>
      </c>
      <c r="D149" s="459">
        <f>D81*Calc_SEC_retirement_rates!$G128</f>
        <v>0.40105197016108635</v>
      </c>
      <c r="E149" s="459">
        <f>E81*Calc_SEC_retirement_rates!$G128</f>
        <v>0.40185455071482734</v>
      </c>
      <c r="F149" s="459">
        <f>F81*Calc_SEC_retirement_rates!$G128</f>
        <v>0.40724774680762599</v>
      </c>
      <c r="G149" s="459">
        <f>G81*Calc_SEC_retirement_rates!$G128</f>
        <v>0.41251326774352187</v>
      </c>
      <c r="H149" s="459">
        <f>H81*Calc_SEC_retirement_rates!$G128</f>
        <v>0.41265938491430298</v>
      </c>
      <c r="I149" s="459">
        <f>I81*Calc_SEC_retirement_rates!$G128</f>
        <v>0.41183298346124975</v>
      </c>
      <c r="J149" s="459">
        <f>J81*Calc_SEC_retirement_rates!$G128</f>
        <v>0.4112488531060644</v>
      </c>
      <c r="K149" s="459">
        <f>K81*Calc_SEC_retirement_rates!$G128</f>
        <v>0.41113058068058372</v>
      </c>
      <c r="L149" s="459">
        <f>L81*Calc_SEC_retirement_rates!$G128</f>
        <v>0.41025964116443431</v>
      </c>
      <c r="M149" s="459">
        <f>M81*Calc_SEC_retirement_rates!$G128</f>
        <v>0.40919904423487397</v>
      </c>
      <c r="N149" s="459">
        <f>N81*Calc_SEC_retirement_rates!$G128</f>
        <v>0.40811800797020759</v>
      </c>
    </row>
    <row r="150" spans="1:14">
      <c r="B150" s="338" t="str">
        <f t="shared" si="56"/>
        <v>45-49</v>
      </c>
      <c r="C150" s="459">
        <f>C82*Calc_SEC_retirement_rates!$G129</f>
        <v>0.71375980394380589</v>
      </c>
      <c r="D150" s="459">
        <f>D82*Calc_SEC_retirement_rates!$G129</f>
        <v>0.75287920748036896</v>
      </c>
      <c r="E150" s="459">
        <f>E82*Calc_SEC_retirement_rates!$G129</f>
        <v>0.78546197221047809</v>
      </c>
      <c r="F150" s="459">
        <f>F82*Calc_SEC_retirement_rates!$G129</f>
        <v>0.82210396443262712</v>
      </c>
      <c r="G150" s="459">
        <f>G82*Calc_SEC_retirement_rates!$G129</f>
        <v>0.85396899276637572</v>
      </c>
      <c r="H150" s="459">
        <f>H82*Calc_SEC_retirement_rates!$G129</f>
        <v>0.87130348434635518</v>
      </c>
      <c r="I150" s="459">
        <f>I82*Calc_SEC_retirement_rates!$G129</f>
        <v>0.88262548500198645</v>
      </c>
      <c r="J150" s="459">
        <f>J82*Calc_SEC_retirement_rates!$G129</f>
        <v>0.89084449652770537</v>
      </c>
      <c r="K150" s="459">
        <f>K82*Calc_SEC_retirement_rates!$G129</f>
        <v>0.89700028933291287</v>
      </c>
      <c r="L150" s="459">
        <f>L82*Calc_SEC_retirement_rates!$G129</f>
        <v>0.8992733965932489</v>
      </c>
      <c r="M150" s="459">
        <f>M82*Calc_SEC_retirement_rates!$G129</f>
        <v>0.89937284456784528</v>
      </c>
      <c r="N150" s="459">
        <f>N82*Calc_SEC_retirement_rates!$G129</f>
        <v>0.89818594674873886</v>
      </c>
    </row>
    <row r="151" spans="1:14">
      <c r="B151" s="338" t="str">
        <f t="shared" si="56"/>
        <v>50-54</v>
      </c>
      <c r="C151" s="459">
        <f>C83*Calc_SEC_retirement_rates!$G130</f>
        <v>11.841739033532166</v>
      </c>
      <c r="D151" s="459">
        <f>D83*Calc_SEC_retirement_rates!$G130</f>
        <v>12.134416874856253</v>
      </c>
      <c r="E151" s="459">
        <f>E83*Calc_SEC_retirement_rates!$G130</f>
        <v>12.560199042345245</v>
      </c>
      <c r="F151" s="459">
        <f>F83*Calc_SEC_retirement_rates!$G130</f>
        <v>13.20422521497008</v>
      </c>
      <c r="G151" s="459">
        <f>G83*Calc_SEC_retirement_rates!$G130</f>
        <v>13.855832041387423</v>
      </c>
      <c r="H151" s="459">
        <f>H83*Calc_SEC_retirement_rates!$G130</f>
        <v>14.309836898644223</v>
      </c>
      <c r="I151" s="459">
        <f>I83*Calc_SEC_retirement_rates!$G130</f>
        <v>14.680715911393193</v>
      </c>
      <c r="J151" s="459">
        <f>J83*Calc_SEC_retirement_rates!$G130</f>
        <v>14.997110693991523</v>
      </c>
      <c r="K151" s="459">
        <f>K83*Calc_SEC_retirement_rates!$G130</f>
        <v>15.263630880096331</v>
      </c>
      <c r="L151" s="459">
        <f>L83*Calc_SEC_retirement_rates!$G130</f>
        <v>15.442809640988202</v>
      </c>
      <c r="M151" s="459">
        <f>M83*Calc_SEC_retirement_rates!$G130</f>
        <v>15.56080103618042</v>
      </c>
      <c r="N151" s="459">
        <f>N83*Calc_SEC_retirement_rates!$G130</f>
        <v>15.632787257787125</v>
      </c>
    </row>
    <row r="152" spans="1:14">
      <c r="B152" s="338" t="str">
        <f t="shared" si="56"/>
        <v>55-59</v>
      </c>
      <c r="C152" s="459">
        <f>C84*Calc_SEC_retirement_rates!$G131</f>
        <v>67.945626037938268</v>
      </c>
      <c r="D152" s="459">
        <f>D84*Calc_SEC_retirement_rates!$G131</f>
        <v>59.388221422234793</v>
      </c>
      <c r="E152" s="459">
        <f>E84*Calc_SEC_retirement_rates!$G131</f>
        <v>55.011490210705588</v>
      </c>
      <c r="F152" s="459">
        <f>F84*Calc_SEC_retirement_rates!$G131</f>
        <v>54.050559577178937</v>
      </c>
      <c r="G152" s="459">
        <f>G84*Calc_SEC_retirement_rates!$G131</f>
        <v>54.539285245068641</v>
      </c>
      <c r="H152" s="459">
        <f>H84*Calc_SEC_retirement_rates!$G131</f>
        <v>54.947176650752148</v>
      </c>
      <c r="I152" s="459">
        <f>I84*Calc_SEC_retirement_rates!$G131</f>
        <v>55.656796449346942</v>
      </c>
      <c r="J152" s="459">
        <f>J84*Calc_SEC_retirement_rates!$G131</f>
        <v>56.588401795465622</v>
      </c>
      <c r="K152" s="459">
        <f>K84*Calc_SEC_retirement_rates!$G131</f>
        <v>57.588758976820039</v>
      </c>
      <c r="L152" s="459">
        <f>L84*Calc_SEC_retirement_rates!$G131</f>
        <v>58.341037329653361</v>
      </c>
      <c r="M152" s="459">
        <f>M84*Calc_SEC_retirement_rates!$G131</f>
        <v>58.920988467185637</v>
      </c>
      <c r="N152" s="459">
        <f>N84*Calc_SEC_retirement_rates!$G131</f>
        <v>59.353178574213054</v>
      </c>
    </row>
    <row r="153" spans="1:14">
      <c r="B153" s="338" t="str">
        <f t="shared" si="56"/>
        <v>60-64</v>
      </c>
      <c r="C153" s="459">
        <f>C85*Calc_SEC_retirement_rates!$G132</f>
        <v>51.100194020469935</v>
      </c>
      <c r="D153" s="459">
        <f>D85*Calc_SEC_retirement_rates!$G132</f>
        <v>46.062476590558454</v>
      </c>
      <c r="E153" s="459">
        <f>E85*Calc_SEC_retirement_rates!$G132</f>
        <v>41.639811723982454</v>
      </c>
      <c r="F153" s="459">
        <f>F85*Calc_SEC_retirement_rates!$G132</f>
        <v>39.369178471370169</v>
      </c>
      <c r="G153" s="459">
        <f>G85*Calc_SEC_retirement_rates!$G132</f>
        <v>38.210720093859472</v>
      </c>
      <c r="H153" s="459">
        <f>H85*Calc_SEC_retirement_rates!$G132</f>
        <v>37.055083517107953</v>
      </c>
      <c r="I153" s="459">
        <f>I85*Calc_SEC_retirement_rates!$G132</f>
        <v>36.473578590244941</v>
      </c>
      <c r="J153" s="459">
        <f>J85*Calc_SEC_retirement_rates!$G132</f>
        <v>36.399042852189595</v>
      </c>
      <c r="K153" s="459">
        <f>K85*Calc_SEC_retirement_rates!$G132</f>
        <v>36.637974884282102</v>
      </c>
      <c r="L153" s="459">
        <f>L85*Calc_SEC_retirement_rates!$G132</f>
        <v>36.830899670006993</v>
      </c>
      <c r="M153" s="459">
        <f>M85*Calc_SEC_retirement_rates!$G132</f>
        <v>37.023625261960497</v>
      </c>
      <c r="N153" s="459">
        <f>N85*Calc_SEC_retirement_rates!$G132</f>
        <v>37.204998868293977</v>
      </c>
    </row>
    <row r="154" spans="1:14">
      <c r="B154" s="338" t="str">
        <f t="shared" si="56"/>
        <v>65 plus</v>
      </c>
      <c r="C154" s="459">
        <f>C86*Calc_SEC_retirement_rates!$G133</f>
        <v>11.625375525288021</v>
      </c>
      <c r="D154" s="459">
        <f>D86*Calc_SEC_retirement_rates!$G133</f>
        <v>14.794629629148032</v>
      </c>
      <c r="E154" s="459">
        <f>E86*Calc_SEC_retirement_rates!$G133</f>
        <v>15.915948833103114</v>
      </c>
      <c r="F154" s="459">
        <f>F86*Calc_SEC_retirement_rates!$G133</f>
        <v>16.342959110394524</v>
      </c>
      <c r="G154" s="459">
        <f>G86*Calc_SEC_retirement_rates!$G133</f>
        <v>16.340035021392442</v>
      </c>
      <c r="H154" s="459">
        <f>H86*Calc_SEC_retirement_rates!$G133</f>
        <v>15.867686963835284</v>
      </c>
      <c r="I154" s="459">
        <f>I86*Calc_SEC_retirement_rates!$G133</f>
        <v>15.397642457935278</v>
      </c>
      <c r="J154" s="459">
        <f>J86*Calc_SEC_retirement_rates!$G133</f>
        <v>15.072532976106867</v>
      </c>
      <c r="K154" s="459">
        <f>K86*Calc_SEC_retirement_rates!$G133</f>
        <v>14.8998107504709</v>
      </c>
      <c r="L154" s="459">
        <f>L86*Calc_SEC_retirement_rates!$G133</f>
        <v>14.760184403037277</v>
      </c>
      <c r="M154" s="459">
        <f>M86*Calc_SEC_retirement_rates!$G133</f>
        <v>14.669432553085736</v>
      </c>
      <c r="N154" s="459">
        <f>N86*Calc_SEC_retirement_rates!$G133</f>
        <v>14.619581751700112</v>
      </c>
    </row>
    <row r="155" spans="1:14">
      <c r="B155" s="338" t="str">
        <f t="shared" si="56"/>
        <v>Total</v>
      </c>
      <c r="C155" s="459">
        <f>SUM(C145:C154)</f>
        <v>143.96671179597314</v>
      </c>
      <c r="D155" s="459">
        <f t="shared" ref="D155:N155" si="58">SUM(D145:D154)</f>
        <v>133.86729823363999</v>
      </c>
      <c r="E155" s="459">
        <f t="shared" si="58"/>
        <v>126.64294592176215</v>
      </c>
      <c r="F155" s="459">
        <f t="shared" si="58"/>
        <v>124.52484177278953</v>
      </c>
      <c r="G155" s="459">
        <f t="shared" si="58"/>
        <v>124.54322018912605</v>
      </c>
      <c r="H155" s="459">
        <f t="shared" si="58"/>
        <v>123.79399160076763</v>
      </c>
      <c r="I155" s="459">
        <f t="shared" si="58"/>
        <v>123.83311187438777</v>
      </c>
      <c r="J155" s="459">
        <f t="shared" si="58"/>
        <v>124.68971175892821</v>
      </c>
      <c r="K155" s="459">
        <f t="shared" si="58"/>
        <v>126.03022802734056</v>
      </c>
      <c r="L155" s="459">
        <f t="shared" si="58"/>
        <v>127.01714853844169</v>
      </c>
      <c r="M155" s="459">
        <f t="shared" si="58"/>
        <v>127.81651743879014</v>
      </c>
      <c r="N155" s="459">
        <f t="shared" si="58"/>
        <v>128.4500412539725</v>
      </c>
    </row>
    <row r="156" spans="1:14">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0.13788134476167785</v>
      </c>
      <c r="D163" s="459">
        <f>D95*Calc_SEC_retirement_rates!$G142</f>
        <v>0.1358619154189184</v>
      </c>
      <c r="E163" s="459">
        <f>E95*Calc_SEC_retirement_rates!$G142</f>
        <v>0.13365603423356129</v>
      </c>
      <c r="F163" s="459">
        <f>F95*Calc_SEC_retirement_rates!$G142</f>
        <v>0.13469746094524229</v>
      </c>
      <c r="G163" s="459">
        <f>G95*Calc_SEC_retirement_rates!$G142</f>
        <v>0.13663041476268176</v>
      </c>
      <c r="H163" s="459">
        <f>H95*Calc_SEC_retirement_rates!$G142</f>
        <v>0.13632867619294028</v>
      </c>
      <c r="I163" s="459">
        <f>I95*Calc_SEC_retirement_rates!$G142</f>
        <v>0.13565336381534379</v>
      </c>
      <c r="J163" s="459">
        <f>J95*Calc_SEC_retirement_rates!$G142</f>
        <v>0.13511050175735514</v>
      </c>
      <c r="K163" s="459">
        <f>K95*Calc_SEC_retirement_rates!$G142</f>
        <v>0.13474765977841127</v>
      </c>
      <c r="L163" s="459">
        <f>L95*Calc_SEC_retirement_rates!$G142</f>
        <v>0.13382656890627265</v>
      </c>
      <c r="M163" s="459">
        <f>M95*Calc_SEC_retirement_rates!$G142</f>
        <v>0.13261824784547901</v>
      </c>
      <c r="N163" s="459">
        <f>N95*Calc_SEC_retirement_rates!$G142</f>
        <v>0.1312496483007658</v>
      </c>
    </row>
    <row r="164" spans="1:14">
      <c r="B164" s="338" t="str">
        <f t="shared" si="60"/>
        <v>35-39</v>
      </c>
      <c r="C164" s="459">
        <f>C96*Calc_SEC_retirement_rates!$G143</f>
        <v>0.36742771795570767</v>
      </c>
      <c r="D164" s="459">
        <f>D96*Calc_SEC_retirement_rates!$G143</f>
        <v>0.36214888381176358</v>
      </c>
      <c r="E164" s="459">
        <f>E96*Calc_SEC_retirement_rates!$G143</f>
        <v>0.35890855162452495</v>
      </c>
      <c r="F164" s="459">
        <f>F96*Calc_SEC_retirement_rates!$G143</f>
        <v>0.36173615791840114</v>
      </c>
      <c r="G164" s="459">
        <f>G96*Calc_SEC_retirement_rates!$G143</f>
        <v>0.36553625857638283</v>
      </c>
      <c r="H164" s="459">
        <f>H96*Calc_SEC_retirement_rates!$G143</f>
        <v>0.36480886223084602</v>
      </c>
      <c r="I164" s="459">
        <f>I96*Calc_SEC_retirement_rates!$G143</f>
        <v>0.3633015604267647</v>
      </c>
      <c r="J164" s="459">
        <f>J96*Calc_SEC_retirement_rates!$G143</f>
        <v>0.36196318247089632</v>
      </c>
      <c r="K164" s="459">
        <f>K96*Calc_SEC_retirement_rates!$G143</f>
        <v>0.36088011027061379</v>
      </c>
      <c r="L164" s="459">
        <f>L96*Calc_SEC_retirement_rates!$G143</f>
        <v>0.35873777515214211</v>
      </c>
      <c r="M164" s="459">
        <f>M96*Calc_SEC_retirement_rates!$G143</f>
        <v>0.35607492961442766</v>
      </c>
      <c r="N164" s="459">
        <f>N96*Calc_SEC_retirement_rates!$G143</f>
        <v>0.35309532029875856</v>
      </c>
    </row>
    <row r="165" spans="1:14">
      <c r="B165" s="338" t="str">
        <f t="shared" si="60"/>
        <v>40-44</v>
      </c>
      <c r="C165" s="459">
        <f>C97*Calc_SEC_retirement_rates!$G144</f>
        <v>0.47165334269251191</v>
      </c>
      <c r="D165" s="459">
        <f>D97*Calc_SEC_retirement_rates!$G144</f>
        <v>0.48588681573096432</v>
      </c>
      <c r="E165" s="459">
        <f>E97*Calc_SEC_retirement_rates!$G144</f>
        <v>0.497082910660893</v>
      </c>
      <c r="F165" s="459">
        <f>F97*Calc_SEC_retirement_rates!$G144</f>
        <v>0.51285848538625911</v>
      </c>
      <c r="G165" s="459">
        <f>G97*Calc_SEC_retirement_rates!$G144</f>
        <v>0.52694206739054572</v>
      </c>
      <c r="H165" s="459">
        <f>H97*Calc_SEC_retirement_rates!$G144</f>
        <v>0.53246120628506</v>
      </c>
      <c r="I165" s="459">
        <f>I97*Calc_SEC_retirement_rates!$G144</f>
        <v>0.53523579214040906</v>
      </c>
      <c r="J165" s="459">
        <f>J97*Calc_SEC_retirement_rates!$G144</f>
        <v>0.53699586062683113</v>
      </c>
      <c r="K165" s="459">
        <f>K97*Calc_SEC_retirement_rates!$G144</f>
        <v>0.53814008657900703</v>
      </c>
      <c r="L165" s="459">
        <f>L97*Calc_SEC_retirement_rates!$G144</f>
        <v>0.53711846990385226</v>
      </c>
      <c r="M165" s="459">
        <f>M97*Calc_SEC_retirement_rates!$G144</f>
        <v>0.53490833589166131</v>
      </c>
      <c r="N165" s="459">
        <f>N97*Calc_SEC_retirement_rates!$G144</f>
        <v>0.53194982345896935</v>
      </c>
    </row>
    <row r="166" spans="1:14">
      <c r="B166" s="338" t="str">
        <f t="shared" si="60"/>
        <v>45-49</v>
      </c>
      <c r="C166" s="459">
        <f>C98*Calc_SEC_retirement_rates!$G145</f>
        <v>0.5885786312774578</v>
      </c>
      <c r="D166" s="459">
        <f>D98*Calc_SEC_retirement_rates!$G145</f>
        <v>0.65513965376843653</v>
      </c>
      <c r="E166" s="459">
        <f>E98*Calc_SEC_retirement_rates!$G145</f>
        <v>0.71292375939471497</v>
      </c>
      <c r="F166" s="459">
        <f>F98*Calc_SEC_retirement_rates!$G145</f>
        <v>0.77338297489569419</v>
      </c>
      <c r="G166" s="459">
        <f>G98*Calc_SEC_retirement_rates!$G145</f>
        <v>0.82620685484605383</v>
      </c>
      <c r="H166" s="459">
        <f>H98*Calc_SEC_retirement_rates!$G145</f>
        <v>0.86028798411722307</v>
      </c>
      <c r="I166" s="459">
        <f>I98*Calc_SEC_retirement_rates!$G145</f>
        <v>0.88553410565735546</v>
      </c>
      <c r="J166" s="459">
        <f>J98*Calc_SEC_retirement_rates!$G145</f>
        <v>0.90532746038588385</v>
      </c>
      <c r="K166" s="459">
        <f>K98*Calc_SEC_retirement_rates!$G145</f>
        <v>0.92088375891640917</v>
      </c>
      <c r="L166" s="459">
        <f>L98*Calc_SEC_retirement_rates!$G145</f>
        <v>0.93016411123285214</v>
      </c>
      <c r="M166" s="459">
        <f>M98*Calc_SEC_retirement_rates!$G145</f>
        <v>0.93522881702344585</v>
      </c>
      <c r="N166" s="459">
        <f>N98*Calc_SEC_retirement_rates!$G145</f>
        <v>0.93722678858643804</v>
      </c>
    </row>
    <row r="167" spans="1:14">
      <c r="B167" s="338" t="str">
        <f t="shared" si="60"/>
        <v>50-54</v>
      </c>
      <c r="C167" s="459">
        <f>C99*Calc_SEC_retirement_rates!$G146</f>
        <v>8.7905899954418452</v>
      </c>
      <c r="D167" s="459">
        <f>D99*Calc_SEC_retirement_rates!$G146</f>
        <v>9.3615252204113997</v>
      </c>
      <c r="E167" s="459">
        <f>E99*Calc_SEC_retirement_rates!$G146</f>
        <v>10.090995215098514</v>
      </c>
      <c r="F167" s="459">
        <f>F99*Calc_SEC_retirement_rates!$G146</f>
        <v>11.063761321580014</v>
      </c>
      <c r="G167" s="459">
        <f>G99*Calc_SEC_retirement_rates!$G146</f>
        <v>12.039520016488028</v>
      </c>
      <c r="H167" s="459">
        <f>H99*Calc_SEC_retirement_rates!$G146</f>
        <v>12.786487739586207</v>
      </c>
      <c r="I167" s="459">
        <f>I99*Calc_SEC_retirement_rates!$G146</f>
        <v>13.426161914632699</v>
      </c>
      <c r="J167" s="459">
        <f>J99*Calc_SEC_retirement_rates!$G146</f>
        <v>13.98720513201212</v>
      </c>
      <c r="K167" s="459">
        <f>K99*Calc_SEC_retirement_rates!$G146</f>
        <v>14.472761369798043</v>
      </c>
      <c r="L167" s="459">
        <f>L99*Calc_SEC_retirement_rates!$G146</f>
        <v>14.84043991004066</v>
      </c>
      <c r="M167" s="459">
        <f>M99*Calc_SEC_retirement_rates!$G146</f>
        <v>15.11826811906195</v>
      </c>
      <c r="N167" s="459">
        <f>N99*Calc_SEC_retirement_rates!$G146</f>
        <v>15.322735573240056</v>
      </c>
    </row>
    <row r="168" spans="1:14">
      <c r="B168" s="338" t="str">
        <f t="shared" si="60"/>
        <v>55-59</v>
      </c>
      <c r="C168" s="459">
        <f>C100*Calc_SEC_retirement_rates!$G147</f>
        <v>62.639619906571284</v>
      </c>
      <c r="D168" s="459">
        <f>D100*Calc_SEC_retirement_rates!$G147</f>
        <v>54.787393573982257</v>
      </c>
      <c r="E168" s="459">
        <f>E100*Calc_SEC_retirement_rates!$G147</f>
        <v>51.21626520886835</v>
      </c>
      <c r="F168" s="459">
        <f>F100*Calc_SEC_retirement_rates!$G147</f>
        <v>51.382654910032564</v>
      </c>
      <c r="G168" s="459">
        <f>G100*Calc_SEC_retirement_rates!$G147</f>
        <v>53.132064117769481</v>
      </c>
      <c r="H168" s="459">
        <f>H100*Calc_SEC_retirement_rates!$G147</f>
        <v>54.708025572159364</v>
      </c>
      <c r="I168" s="459">
        <f>I100*Calc_SEC_retirement_rates!$G147</f>
        <v>56.580579894791306</v>
      </c>
      <c r="J168" s="459">
        <f>J100*Calc_SEC_retirement_rates!$G147</f>
        <v>58.661470869753465</v>
      </c>
      <c r="K168" s="459">
        <f>K100*Calc_SEC_retirement_rates!$G147</f>
        <v>60.76626971038246</v>
      </c>
      <c r="L168" s="459">
        <f>L100*Calc_SEC_retirement_rates!$G147</f>
        <v>62.509841315398518</v>
      </c>
      <c r="M168" s="459">
        <f>M100*Calc_SEC_retirement_rates!$G147</f>
        <v>63.972526081184583</v>
      </c>
      <c r="N168" s="459">
        <f>N100*Calc_SEC_retirement_rates!$G147</f>
        <v>65.177695206314013</v>
      </c>
    </row>
    <row r="169" spans="1:14">
      <c r="B169" s="338" t="str">
        <f t="shared" si="60"/>
        <v>60-64</v>
      </c>
      <c r="C169" s="459">
        <f>C101*Calc_SEC_retirement_rates!$G148</f>
        <v>53.952563010578714</v>
      </c>
      <c r="D169" s="459">
        <f>D101*Calc_SEC_retirement_rates!$G148</f>
        <v>49.003243700876382</v>
      </c>
      <c r="E169" s="459">
        <f>E101*Calc_SEC_retirement_rates!$G148</f>
        <v>44.660121540861418</v>
      </c>
      <c r="F169" s="459">
        <f>F101*Calc_SEC_retirement_rates!$G148</f>
        <v>42.955741717349532</v>
      </c>
      <c r="G169" s="459">
        <f>G101*Calc_SEC_retirement_rates!$G148</f>
        <v>42.485754883736384</v>
      </c>
      <c r="H169" s="459">
        <f>H101*Calc_SEC_retirement_rates!$G148</f>
        <v>41.814509748975283</v>
      </c>
      <c r="I169" s="459">
        <f>I101*Calc_SEC_retirement_rates!$G148</f>
        <v>41.813531719633069</v>
      </c>
      <c r="J169" s="459">
        <f>J101*Calc_SEC_retirement_rates!$G148</f>
        <v>42.419469045640156</v>
      </c>
      <c r="K169" s="459">
        <f>K101*Calc_SEC_retirement_rates!$G148</f>
        <v>43.383316491630708</v>
      </c>
      <c r="L169" s="459">
        <f>L101*Calc_SEC_retirement_rates!$G148</f>
        <v>44.223146878087455</v>
      </c>
      <c r="M169" s="459">
        <f>M101*Calc_SEC_retirement_rates!$G148</f>
        <v>45.014200123564819</v>
      </c>
      <c r="N169" s="459">
        <f>N101*Calc_SEC_retirement_rates!$G148</f>
        <v>45.742793825336847</v>
      </c>
    </row>
    <row r="170" spans="1:14">
      <c r="B170" s="338" t="str">
        <f t="shared" si="60"/>
        <v>65 plus</v>
      </c>
      <c r="C170" s="459">
        <f>C102*Calc_SEC_retirement_rates!$G149</f>
        <v>12.024039488287452</v>
      </c>
      <c r="D170" s="459">
        <f>D102*Calc_SEC_retirement_rates!$G149</f>
        <v>15.007081755127524</v>
      </c>
      <c r="E170" s="459">
        <f>E102*Calc_SEC_retirement_rates!$G149</f>
        <v>16.000758241269171</v>
      </c>
      <c r="F170" s="459">
        <f>F102*Calc_SEC_retirement_rates!$G149</f>
        <v>16.520851590324739</v>
      </c>
      <c r="G170" s="459">
        <f>G102*Calc_SEC_retirement_rates!$G149</f>
        <v>16.668200241213928</v>
      </c>
      <c r="H170" s="459">
        <f>H102*Calc_SEC_retirement_rates!$G149</f>
        <v>16.258802729225035</v>
      </c>
      <c r="I170" s="459">
        <f>I102*Calc_SEC_retirement_rates!$G149</f>
        <v>15.89153287859202</v>
      </c>
      <c r="J170" s="459">
        <f>J102*Calc_SEC_retirement_rates!$G149</f>
        <v>15.719723707555501</v>
      </c>
      <c r="K170" s="459">
        <f>K102*Calc_SEC_retirement_rates!$G149</f>
        <v>15.730004034230403</v>
      </c>
      <c r="L170" s="459">
        <f>L102*Calc_SEC_retirement_rates!$G149</f>
        <v>15.7522935534226</v>
      </c>
      <c r="M170" s="459">
        <f>M102*Calc_SEC_retirement_rates!$G149</f>
        <v>15.815224608043208</v>
      </c>
      <c r="N170" s="459">
        <f>N102*Calc_SEC_retirement_rates!$G149</f>
        <v>15.911894130801977</v>
      </c>
    </row>
    <row r="171" spans="1:14">
      <c r="B171" s="338" t="str">
        <f t="shared" si="60"/>
        <v>Total</v>
      </c>
      <c r="C171" s="459">
        <f>SUM(C161:C170)</f>
        <v>138.97235343756665</v>
      </c>
      <c r="D171" s="459">
        <f t="shared" ref="D171:N171" si="62">SUM(D161:D170)</f>
        <v>129.79828151912764</v>
      </c>
      <c r="E171" s="459">
        <f t="shared" si="62"/>
        <v>123.67071146201114</v>
      </c>
      <c r="F171" s="459">
        <f t="shared" si="62"/>
        <v>123.70568461843244</v>
      </c>
      <c r="G171" s="459">
        <f t="shared" si="62"/>
        <v>126.18085485478349</v>
      </c>
      <c r="H171" s="459">
        <f t="shared" si="62"/>
        <v>127.46171251877196</v>
      </c>
      <c r="I171" s="459">
        <f t="shared" si="62"/>
        <v>129.63153122968896</v>
      </c>
      <c r="J171" s="459">
        <f t="shared" si="62"/>
        <v>132.72726576020222</v>
      </c>
      <c r="K171" s="459">
        <f t="shared" si="62"/>
        <v>136.30700322158606</v>
      </c>
      <c r="L171" s="459">
        <f t="shared" si="62"/>
        <v>139.28556858214435</v>
      </c>
      <c r="M171" s="459">
        <f t="shared" si="62"/>
        <v>141.87904926222956</v>
      </c>
      <c r="N171" s="459">
        <f t="shared" si="62"/>
        <v>144.10864031633784</v>
      </c>
    </row>
    <row r="172" spans="1:14">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0.18484584841691379</v>
      </c>
      <c r="D181" s="459">
        <f>D79*Calc_SEC_death_rates!$G126</f>
        <v>0.17778524334178084</v>
      </c>
      <c r="E181" s="459">
        <f>E79*Calc_SEC_death_rates!$G126</f>
        <v>0.17375513644852644</v>
      </c>
      <c r="F181" s="459">
        <f>F79*Calc_SEC_death_rates!$G126</f>
        <v>0.17665830159108001</v>
      </c>
      <c r="G181" s="459">
        <f>G79*Calc_SEC_death_rates!$G126</f>
        <v>0.18214819179133371</v>
      </c>
      <c r="H181" s="459">
        <f>H79*Calc_SEC_death_rates!$G126</f>
        <v>0.18491812726073678</v>
      </c>
      <c r="I181" s="459">
        <f>I79*Calc_SEC_death_rates!$G126</f>
        <v>0.1872632730560857</v>
      </c>
      <c r="J181" s="459">
        <f>J79*Calc_SEC_death_rates!$G126</f>
        <v>0.18967867266781083</v>
      </c>
      <c r="K181" s="459">
        <f>K79*Calc_SEC_death_rates!$G126</f>
        <v>0.19209827527650403</v>
      </c>
      <c r="L181" s="459">
        <f>L79*Calc_SEC_death_rates!$G126</f>
        <v>0.19335443736026725</v>
      </c>
      <c r="M181" s="459">
        <f>M79*Calc_SEC_death_rates!$G126</f>
        <v>0.1938189879120121</v>
      </c>
      <c r="N181" s="459">
        <f>N79*Calc_SEC_death_rates!$G126</f>
        <v>0.19368925517110991</v>
      </c>
    </row>
    <row r="182" spans="1:14">
      <c r="B182" s="338" t="str">
        <f t="shared" si="64"/>
        <v>35-39</v>
      </c>
      <c r="C182" s="459">
        <f>C80*Calc_SEC_death_rates!$G127</f>
        <v>0.35917875222834938</v>
      </c>
      <c r="D182" s="459">
        <f>D80*Calc_SEC_death_rates!$G127</f>
        <v>0.35254814335106988</v>
      </c>
      <c r="E182" s="459">
        <f>E80*Calc_SEC_death_rates!$G127</f>
        <v>0.34679642736113397</v>
      </c>
      <c r="F182" s="459">
        <f>F80*Calc_SEC_death_rates!$G127</f>
        <v>0.34720654221528829</v>
      </c>
      <c r="G182" s="459">
        <f>G80*Calc_SEC_death_rates!$G127</f>
        <v>0.3496347323826145</v>
      </c>
      <c r="H182" s="459">
        <f>H80*Calc_SEC_death_rates!$G127</f>
        <v>0.3489786886908397</v>
      </c>
      <c r="I182" s="459">
        <f>I80*Calc_SEC_death_rates!$G127</f>
        <v>0.34863556484154379</v>
      </c>
      <c r="J182" s="459">
        <f>J80*Calc_SEC_death_rates!$G127</f>
        <v>0.34928026857372996</v>
      </c>
      <c r="K182" s="459">
        <f>K80*Calc_SEC_death_rates!$G127</f>
        <v>0.35075078334292292</v>
      </c>
      <c r="L182" s="459">
        <f>L80*Calc_SEC_death_rates!$G127</f>
        <v>0.35155684600133469</v>
      </c>
      <c r="M182" s="459">
        <f>M80*Calc_SEC_death_rates!$G127</f>
        <v>0.3519940930147602</v>
      </c>
      <c r="N182" s="459">
        <f>N80*Calc_SEC_death_rates!$G127</f>
        <v>0.35209196256389053</v>
      </c>
    </row>
    <row r="183" spans="1:14">
      <c r="B183" s="338" t="str">
        <f t="shared" si="64"/>
        <v>40-44</v>
      </c>
      <c r="C183" s="459">
        <f>C81*Calc_SEC_death_rates!$G128</f>
        <v>0.59521076251724259</v>
      </c>
      <c r="D183" s="459">
        <f>D81*Calc_SEC_death_rates!$G128</f>
        <v>0.59659688499080588</v>
      </c>
      <c r="E183" s="459">
        <f>E81*Calc_SEC_death_rates!$G128</f>
        <v>0.5977907877613714</v>
      </c>
      <c r="F183" s="459">
        <f>F81*Calc_SEC_death_rates!$G128</f>
        <v>0.60581359834079795</v>
      </c>
      <c r="G183" s="459">
        <f>G81*Calc_SEC_death_rates!$G128</f>
        <v>0.61364648191184135</v>
      </c>
      <c r="H183" s="459">
        <f>H81*Calc_SEC_death_rates!$G128</f>
        <v>0.61386384289100993</v>
      </c>
      <c r="I183" s="459">
        <f>I81*Calc_SEC_death_rates!$G128</f>
        <v>0.61263450462732949</v>
      </c>
      <c r="J183" s="459">
        <f>J81*Calc_SEC_death_rates!$G128</f>
        <v>0.61176556400052695</v>
      </c>
      <c r="K183" s="459">
        <f>K81*Calc_SEC_death_rates!$G128</f>
        <v>0.61158962430724051</v>
      </c>
      <c r="L183" s="459">
        <f>L81*Calc_SEC_death_rates!$G128</f>
        <v>0.61029403211219047</v>
      </c>
      <c r="M183" s="459">
        <f>M81*Calc_SEC_death_rates!$G128</f>
        <v>0.60871630934435972</v>
      </c>
      <c r="N183" s="459">
        <f>N81*Calc_SEC_death_rates!$G128</f>
        <v>0.6071081814306557</v>
      </c>
    </row>
    <row r="184" spans="1:14">
      <c r="B184" s="338" t="str">
        <f t="shared" si="64"/>
        <v>45-49</v>
      </c>
      <c r="C184" s="459">
        <f>C82*Calc_SEC_death_rates!$G129</f>
        <v>0.46099641323550261</v>
      </c>
      <c r="D184" s="459">
        <f>D82*Calc_SEC_death_rates!$G129</f>
        <v>0.48626248260312932</v>
      </c>
      <c r="E184" s="459">
        <f>E82*Calc_SEC_death_rates!$G129</f>
        <v>0.50730672968860835</v>
      </c>
      <c r="F184" s="459">
        <f>F82*Calc_SEC_death_rates!$G129</f>
        <v>0.53097271213099284</v>
      </c>
      <c r="G184" s="459">
        <f>G82*Calc_SEC_death_rates!$G129</f>
        <v>0.55155339443943829</v>
      </c>
      <c r="H184" s="459">
        <f>H82*Calc_SEC_death_rates!$G129</f>
        <v>0.5627492314695951</v>
      </c>
      <c r="I184" s="459">
        <f>I82*Calc_SEC_death_rates!$G129</f>
        <v>0.57006177788094636</v>
      </c>
      <c r="J184" s="459">
        <f>J82*Calc_SEC_death_rates!$G129</f>
        <v>0.5753701951002439</v>
      </c>
      <c r="K184" s="459">
        <f>K82*Calc_SEC_death_rates!$G129</f>
        <v>0.5793460401788566</v>
      </c>
      <c r="L184" s="459">
        <f>L82*Calc_SEC_death_rates!$G129</f>
        <v>0.58081417313916683</v>
      </c>
      <c r="M184" s="459">
        <f>M82*Calc_SEC_death_rates!$G129</f>
        <v>0.58087840365388499</v>
      </c>
      <c r="N184" s="459">
        <f>N82*Calc_SEC_death_rates!$G129</f>
        <v>0.58011182134641703</v>
      </c>
    </row>
    <row r="185" spans="1:14">
      <c r="B185" s="338" t="str">
        <f t="shared" si="64"/>
        <v>50-54</v>
      </c>
      <c r="C185" s="459">
        <f>C83*Calc_SEC_death_rates!$G130</f>
        <v>0.67087126751219162</v>
      </c>
      <c r="D185" s="459">
        <f>D83*Calc_SEC_death_rates!$G130</f>
        <v>0.68745237555939831</v>
      </c>
      <c r="E185" s="459">
        <f>E83*Calc_SEC_death_rates!$G130</f>
        <v>0.71157425677790587</v>
      </c>
      <c r="F185" s="459">
        <f>F83*Calc_SEC_death_rates!$G130</f>
        <v>0.74806033821547113</v>
      </c>
      <c r="G185" s="459">
        <f>G83*Calc_SEC_death_rates!$G130</f>
        <v>0.78497588721721323</v>
      </c>
      <c r="H185" s="459">
        <f>H83*Calc_SEC_death_rates!$G130</f>
        <v>0.81069667140119905</v>
      </c>
      <c r="I185" s="459">
        <f>I83*Calc_SEC_death_rates!$G130</f>
        <v>0.83170811850977089</v>
      </c>
      <c r="J185" s="459">
        <f>J83*Calc_SEC_death_rates!$G130</f>
        <v>0.84963286488654288</v>
      </c>
      <c r="K185" s="459">
        <f>K83*Calc_SEC_death_rates!$G130</f>
        <v>0.86473206058435459</v>
      </c>
      <c r="L185" s="459">
        <f>L83*Calc_SEC_death_rates!$G130</f>
        <v>0.87488309347660187</v>
      </c>
      <c r="M185" s="459">
        <f>M83*Calc_SEC_death_rates!$G130</f>
        <v>0.88156767220477572</v>
      </c>
      <c r="N185" s="459">
        <f>N83*Calc_SEC_death_rates!$G130</f>
        <v>0.88564591507062107</v>
      </c>
    </row>
    <row r="186" spans="1:14">
      <c r="B186" s="338" t="str">
        <f t="shared" si="64"/>
        <v>55-59</v>
      </c>
      <c r="C186" s="459">
        <f>C84*Calc_SEC_death_rates!$G131</f>
        <v>0.46619824341290689</v>
      </c>
      <c r="D186" s="459">
        <f>D84*Calc_SEC_death_rates!$G131</f>
        <v>0.40748295542973484</v>
      </c>
      <c r="E186" s="459">
        <f>E84*Calc_SEC_death_rates!$G131</f>
        <v>0.37745270150925342</v>
      </c>
      <c r="F186" s="459">
        <f>F84*Calc_SEC_death_rates!$G131</f>
        <v>0.37085942686429485</v>
      </c>
      <c r="G186" s="459">
        <f>G84*Calc_SEC_death_rates!$G131</f>
        <v>0.37421274128888721</v>
      </c>
      <c r="H186" s="459">
        <f>H84*Calc_SEC_death_rates!$G131</f>
        <v>0.37701142411692817</v>
      </c>
      <c r="I186" s="459">
        <f>I84*Calc_SEC_death_rates!$G131</f>
        <v>0.38188036893187766</v>
      </c>
      <c r="J186" s="459">
        <f>J84*Calc_SEC_death_rates!$G131</f>
        <v>0.38827243272229883</v>
      </c>
      <c r="K186" s="459">
        <f>K84*Calc_SEC_death_rates!$G131</f>
        <v>0.39513622643394281</v>
      </c>
      <c r="L186" s="459">
        <f>L84*Calc_SEC_death_rates!$G131</f>
        <v>0.40029786622003627</v>
      </c>
      <c r="M186" s="459">
        <f>M84*Calc_SEC_death_rates!$G131</f>
        <v>0.40427710987925131</v>
      </c>
      <c r="N186" s="459">
        <f>N84*Calc_SEC_death_rates!$G131</f>
        <v>0.40724251443088672</v>
      </c>
    </row>
    <row r="187" spans="1:14">
      <c r="B187" s="338" t="str">
        <f t="shared" si="64"/>
        <v>60-64</v>
      </c>
      <c r="C187" s="459">
        <f>C85*Calc_SEC_death_rates!$G132</f>
        <v>0.39519924961870218</v>
      </c>
      <c r="D187" s="459">
        <f>D85*Calc_SEC_death_rates!$G132</f>
        <v>0.35623849445416111</v>
      </c>
      <c r="E187" s="459">
        <f>E85*Calc_SEC_death_rates!$G132</f>
        <v>0.32203443965378842</v>
      </c>
      <c r="F187" s="459">
        <f>F85*Calc_SEC_death_rates!$G132</f>
        <v>0.30447379091667826</v>
      </c>
      <c r="G187" s="459">
        <f>G85*Calc_SEC_death_rates!$G132</f>
        <v>0.29551449261492763</v>
      </c>
      <c r="H187" s="459">
        <f>H85*Calc_SEC_death_rates!$G132</f>
        <v>0.28657701758731463</v>
      </c>
      <c r="I187" s="459">
        <f>I85*Calc_SEC_death_rates!$G132</f>
        <v>0.2820797683077173</v>
      </c>
      <c r="J187" s="459">
        <f>J85*Calc_SEC_death_rates!$G132</f>
        <v>0.28150332298663994</v>
      </c>
      <c r="K187" s="459">
        <f>K85*Calc_SEC_death_rates!$G132</f>
        <v>0.28335117819742456</v>
      </c>
      <c r="L187" s="459">
        <f>L85*Calc_SEC_death_rates!$G132</f>
        <v>0.28484322205386825</v>
      </c>
      <c r="M187" s="459">
        <f>M85*Calc_SEC_death_rates!$G132</f>
        <v>0.28633372538330443</v>
      </c>
      <c r="N187" s="459">
        <f>N85*Calc_SEC_death_rates!$G132</f>
        <v>0.28773643459992532</v>
      </c>
    </row>
    <row r="188" spans="1:14">
      <c r="B188" s="338" t="str">
        <f t="shared" si="64"/>
        <v>65 plus</v>
      </c>
      <c r="C188" s="459">
        <f>C86*Calc_SEC_death_rates!$G133</f>
        <v>0.25543957858441102</v>
      </c>
      <c r="D188" s="459">
        <f>D86*Calc_SEC_death_rates!$G133</f>
        <v>0.32507629104638197</v>
      </c>
      <c r="E188" s="459">
        <f>E86*Calc_SEC_death_rates!$G133</f>
        <v>0.34971457514256793</v>
      </c>
      <c r="F188" s="459">
        <f>F86*Calc_SEC_death_rates!$G133</f>
        <v>0.35909709573687171</v>
      </c>
      <c r="G188" s="459">
        <f>G86*Calc_SEC_death_rates!$G133</f>
        <v>0.35903284593601065</v>
      </c>
      <c r="H188" s="459">
        <f>H86*Calc_SEC_death_rates!$G133</f>
        <v>0.3486541370069865</v>
      </c>
      <c r="I188" s="459">
        <f>I86*Calc_SEC_death_rates!$G133</f>
        <v>0.3383260430678412</v>
      </c>
      <c r="J188" s="459">
        <f>J86*Calc_SEC_death_rates!$G133</f>
        <v>0.33118254659743468</v>
      </c>
      <c r="K188" s="459">
        <f>K86*Calc_SEC_death_rates!$G133</f>
        <v>0.32738739241659631</v>
      </c>
      <c r="L188" s="459">
        <f>L86*Calc_SEC_death_rates!$G133</f>
        <v>0.32431944030871446</v>
      </c>
      <c r="M188" s="459">
        <f>M86*Calc_SEC_death_rates!$G133</f>
        <v>0.32232538736333199</v>
      </c>
      <c r="N188" s="459">
        <f>N86*Calc_SEC_death_rates!$G133</f>
        <v>0.32123003627808411</v>
      </c>
    </row>
    <row r="189" spans="1:14">
      <c r="B189" s="338" t="str">
        <f t="shared" si="64"/>
        <v>Total</v>
      </c>
      <c r="C189" s="459">
        <f>SUM(C179:C188)</f>
        <v>3.3879401155262201</v>
      </c>
      <c r="D189" s="459">
        <f t="shared" ref="D189:N189" si="66">SUM(D179:D188)</f>
        <v>3.3894428707764619</v>
      </c>
      <c r="E189" s="459">
        <f t="shared" si="66"/>
        <v>3.3864250543431553</v>
      </c>
      <c r="F189" s="459">
        <f t="shared" si="66"/>
        <v>3.4431418060114747</v>
      </c>
      <c r="G189" s="459">
        <f t="shared" si="66"/>
        <v>3.5107187675822664</v>
      </c>
      <c r="H189" s="459">
        <f t="shared" si="66"/>
        <v>3.5334491404246098</v>
      </c>
      <c r="I189" s="459">
        <f t="shared" si="66"/>
        <v>3.5525894192231124</v>
      </c>
      <c r="J189" s="459">
        <f t="shared" si="66"/>
        <v>3.5766858675352275</v>
      </c>
      <c r="K189" s="459">
        <f t="shared" si="66"/>
        <v>3.6043915807378424</v>
      </c>
      <c r="L189" s="459">
        <f t="shared" si="66"/>
        <v>3.6203631106721796</v>
      </c>
      <c r="M189" s="459">
        <f t="shared" si="66"/>
        <v>3.6299116887556804</v>
      </c>
      <c r="N189" s="459">
        <f t="shared" si="66"/>
        <v>3.6348561208915906</v>
      </c>
    </row>
    <row r="190" spans="1:14">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4">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8"/>
        <v>30-34</v>
      </c>
      <c r="C197" s="459">
        <f>C95*Calc_SEC_death_rates!$G142</f>
        <v>7.7269576156766176E-2</v>
      </c>
      <c r="D197" s="459">
        <f>D95*Calc_SEC_death_rates!$G142</f>
        <v>7.613787520285345E-2</v>
      </c>
      <c r="E197" s="459">
        <f>E95*Calc_SEC_death_rates!$G142</f>
        <v>7.490168545913331E-2</v>
      </c>
      <c r="F197" s="459">
        <f>F95*Calc_SEC_death_rates!$G142</f>
        <v>7.5485307563697299E-2</v>
      </c>
      <c r="G197" s="459">
        <f>G95*Calc_SEC_death_rates!$G142</f>
        <v>7.656854708723336E-2</v>
      </c>
      <c r="H197" s="459">
        <f>H95*Calc_SEC_death_rates!$G142</f>
        <v>7.6399450887639636E-2</v>
      </c>
      <c r="I197" s="459">
        <f>I95*Calc_SEC_death_rates!$G142</f>
        <v>7.6021001567461541E-2</v>
      </c>
      <c r="J197" s="459">
        <f>J95*Calc_SEC_death_rates!$G142</f>
        <v>7.5716778242653701E-2</v>
      </c>
      <c r="K197" s="459">
        <f>K95*Calc_SEC_death_rates!$G142</f>
        <v>7.551343930674953E-2</v>
      </c>
      <c r="L197" s="459">
        <f>L95*Calc_SEC_death_rates!$G142</f>
        <v>7.4997254166438945E-2</v>
      </c>
      <c r="M197" s="459">
        <f>M95*Calc_SEC_death_rates!$G142</f>
        <v>7.4320103414898211E-2</v>
      </c>
      <c r="N197" s="459">
        <f>N95*Calc_SEC_death_rates!$G142</f>
        <v>7.3553131589006032E-2</v>
      </c>
    </row>
    <row r="198" spans="1:14">
      <c r="B198" s="338" t="str">
        <f t="shared" si="68"/>
        <v>35-39</v>
      </c>
      <c r="C198" s="459">
        <f>C96*Calc_SEC_death_rates!$G143</f>
        <v>0.27852519153937538</v>
      </c>
      <c r="D198" s="459">
        <f>D96*Calc_SEC_death_rates!$G143</f>
        <v>0.27452362002150787</v>
      </c>
      <c r="E198" s="459">
        <f>E96*Calc_SEC_death_rates!$G143</f>
        <v>0.27206731610376522</v>
      </c>
      <c r="F198" s="459">
        <f>F96*Calc_SEC_death_rates!$G143</f>
        <v>0.27421075696604319</v>
      </c>
      <c r="G198" s="459">
        <f>G96*Calc_SEC_death_rates!$G143</f>
        <v>0.27709138820835155</v>
      </c>
      <c r="H198" s="459">
        <f>H96*Calc_SEC_death_rates!$G143</f>
        <v>0.27653999211991026</v>
      </c>
      <c r="I198" s="459">
        <f>I96*Calc_SEC_death_rates!$G143</f>
        <v>0.27539739589438539</v>
      </c>
      <c r="J198" s="459">
        <f>J96*Calc_SEC_death_rates!$G143</f>
        <v>0.27438285083342934</v>
      </c>
      <c r="K198" s="459">
        <f>K96*Calc_SEC_death_rates!$G143</f>
        <v>0.27356183794492689</v>
      </c>
      <c r="L198" s="459">
        <f>L96*Calc_SEC_death_rates!$G143</f>
        <v>0.27193786057453762</v>
      </c>
      <c r="M198" s="459">
        <f>M96*Calc_SEC_death_rates!$G143</f>
        <v>0.26991931508330963</v>
      </c>
      <c r="N198" s="459">
        <f>N96*Calc_SEC_death_rates!$G143</f>
        <v>0.26766064973281123</v>
      </c>
    </row>
    <row r="199" spans="1:14">
      <c r="B199" s="338" t="str">
        <f t="shared" si="68"/>
        <v>40-44</v>
      </c>
      <c r="C199" s="459">
        <f>C97*Calc_SEC_death_rates!$G144</f>
        <v>0.24962526688067799</v>
      </c>
      <c r="D199" s="459">
        <f>D97*Calc_SEC_death_rates!$G144</f>
        <v>0.25715841503050246</v>
      </c>
      <c r="E199" s="459">
        <f>E97*Calc_SEC_death_rates!$G144</f>
        <v>0.26308401320171459</v>
      </c>
      <c r="F199" s="459">
        <f>F97*Calc_SEC_death_rates!$G144</f>
        <v>0.27143332761245315</v>
      </c>
      <c r="G199" s="459">
        <f>G97*Calc_SEC_death_rates!$G144</f>
        <v>0.27888714506318185</v>
      </c>
      <c r="H199" s="459">
        <f>H97*Calc_SEC_death_rates!$G144</f>
        <v>0.28180818133026253</v>
      </c>
      <c r="I199" s="459">
        <f>I97*Calc_SEC_death_rates!$G144</f>
        <v>0.28327664698487021</v>
      </c>
      <c r="J199" s="459">
        <f>J97*Calc_SEC_death_rates!$G144</f>
        <v>0.28420817343847959</v>
      </c>
      <c r="K199" s="459">
        <f>K97*Calc_SEC_death_rates!$G144</f>
        <v>0.28481376165938171</v>
      </c>
      <c r="L199" s="459">
        <f>L97*Calc_SEC_death_rates!$G144</f>
        <v>0.28427306510939143</v>
      </c>
      <c r="M199" s="459">
        <f>M97*Calc_SEC_death_rates!$G144</f>
        <v>0.28310333886620248</v>
      </c>
      <c r="N199" s="459">
        <f>N97*Calc_SEC_death_rates!$G144</f>
        <v>0.28153752900389006</v>
      </c>
    </row>
    <row r="200" spans="1:14">
      <c r="B200" s="338" t="str">
        <f t="shared" si="68"/>
        <v>45-49</v>
      </c>
      <c r="C200" s="459">
        <f>C98*Calc_SEC_death_rates!$G145</f>
        <v>0.2261374973627753</v>
      </c>
      <c r="D200" s="459">
        <f>D98*Calc_SEC_death_rates!$G145</f>
        <v>0.25171087405052289</v>
      </c>
      <c r="E200" s="459">
        <f>E98*Calc_SEC_death_rates!$G145</f>
        <v>0.27391207596183215</v>
      </c>
      <c r="F200" s="459">
        <f>F98*Calc_SEC_death_rates!$G145</f>
        <v>0.29714108048113325</v>
      </c>
      <c r="G200" s="459">
        <f>G98*Calc_SEC_death_rates!$G145</f>
        <v>0.31743651660160449</v>
      </c>
      <c r="H200" s="459">
        <f>H98*Calc_SEC_death_rates!$G145</f>
        <v>0.33053080999100604</v>
      </c>
      <c r="I200" s="459">
        <f>I98*Calc_SEC_death_rates!$G145</f>
        <v>0.34023060954168105</v>
      </c>
      <c r="J200" s="459">
        <f>J98*Calc_SEC_death_rates!$G145</f>
        <v>0.34783540432162108</v>
      </c>
      <c r="K200" s="459">
        <f>K98*Calc_SEC_death_rates!$G145</f>
        <v>0.35381228188900066</v>
      </c>
      <c r="L200" s="459">
        <f>L98*Calc_SEC_death_rates!$G145</f>
        <v>0.35737788134498216</v>
      </c>
      <c r="M200" s="459">
        <f>M98*Calc_SEC_death_rates!$G145</f>
        <v>0.35932378938768123</v>
      </c>
      <c r="N200" s="459">
        <f>N98*Calc_SEC_death_rates!$G145</f>
        <v>0.3600914290284144</v>
      </c>
    </row>
    <row r="201" spans="1:14">
      <c r="B201" s="338" t="str">
        <f t="shared" si="68"/>
        <v>50-54</v>
      </c>
      <c r="C201" s="459">
        <f>C99*Calc_SEC_death_rates!$G146</f>
        <v>0.21035671080807281</v>
      </c>
      <c r="D201" s="459">
        <f>D99*Calc_SEC_death_rates!$G146</f>
        <v>0.22401905384435797</v>
      </c>
      <c r="E201" s="459">
        <f>E99*Calc_SEC_death_rates!$G146</f>
        <v>0.24147509590696484</v>
      </c>
      <c r="F201" s="459">
        <f>F99*Calc_SEC_death_rates!$G146</f>
        <v>0.26475315558795653</v>
      </c>
      <c r="G201" s="459">
        <f>G99*Calc_SEC_death_rates!$G146</f>
        <v>0.28810282719244029</v>
      </c>
      <c r="H201" s="459">
        <f>H99*Calc_SEC_death_rates!$G146</f>
        <v>0.30597758570036798</v>
      </c>
      <c r="I201" s="459">
        <f>I99*Calc_SEC_death_rates!$G146</f>
        <v>0.32128483532996283</v>
      </c>
      <c r="J201" s="459">
        <f>J99*Calc_SEC_death_rates!$G146</f>
        <v>0.33471046499649371</v>
      </c>
      <c r="K201" s="459">
        <f>K99*Calc_SEC_death_rates!$G146</f>
        <v>0.34632970934140705</v>
      </c>
      <c r="L201" s="459">
        <f>L99*Calc_SEC_death_rates!$G146</f>
        <v>0.35512816864849056</v>
      </c>
      <c r="M201" s="459">
        <f>M99*Calc_SEC_death_rates!$G146</f>
        <v>0.36177653107350649</v>
      </c>
      <c r="N201" s="459">
        <f>N99*Calc_SEC_death_rates!$G146</f>
        <v>0.36666938822535966</v>
      </c>
    </row>
    <row r="202" spans="1:14">
      <c r="B202" s="338" t="str">
        <f t="shared" si="68"/>
        <v>55-59</v>
      </c>
      <c r="C202" s="459">
        <f>C100*Calc_SEC_death_rates!$G147</f>
        <v>0.50808547172306484</v>
      </c>
      <c r="D202" s="459">
        <f>D100*Calc_SEC_death_rates!$G147</f>
        <v>0.44439411909001292</v>
      </c>
      <c r="E202" s="459">
        <f>E100*Calc_SEC_death_rates!$G147</f>
        <v>0.41542781241895077</v>
      </c>
      <c r="F202" s="459">
        <f>F100*Calc_SEC_death_rates!$G147</f>
        <v>0.41677744049670684</v>
      </c>
      <c r="G202" s="459">
        <f>G100*Calc_SEC_death_rates!$G147</f>
        <v>0.43096733187656239</v>
      </c>
      <c r="H202" s="459">
        <f>H100*Calc_SEC_death_rates!$G147</f>
        <v>0.44375034556925969</v>
      </c>
      <c r="I202" s="459">
        <f>I100*Calc_SEC_death_rates!$G147</f>
        <v>0.4589390974767677</v>
      </c>
      <c r="J202" s="459">
        <f>J100*Calc_SEC_death_rates!$G147</f>
        <v>0.47581771957241364</v>
      </c>
      <c r="K202" s="459">
        <f>K100*Calc_SEC_death_rates!$G147</f>
        <v>0.49289026428801391</v>
      </c>
      <c r="L202" s="459">
        <f>L100*Calc_SEC_death_rates!$G147</f>
        <v>0.50703280542633566</v>
      </c>
      <c r="M202" s="459">
        <f>M100*Calc_SEC_death_rates!$G147</f>
        <v>0.51889700384125281</v>
      </c>
      <c r="N202" s="459">
        <f>N100*Calc_SEC_death_rates!$G147</f>
        <v>0.52867242911300194</v>
      </c>
    </row>
    <row r="203" spans="1:14">
      <c r="B203" s="338" t="str">
        <f t="shared" si="68"/>
        <v>60-64</v>
      </c>
      <c r="C203" s="459">
        <f>C101*Calc_SEC_death_rates!$G148</f>
        <v>0.32158250554014711</v>
      </c>
      <c r="D203" s="459">
        <f>D101*Calc_SEC_death_rates!$G148</f>
        <v>0.29208224798944965</v>
      </c>
      <c r="E203" s="459">
        <f>E101*Calc_SEC_death_rates!$G148</f>
        <v>0.26619520892866033</v>
      </c>
      <c r="F203" s="459">
        <f>F101*Calc_SEC_death_rates!$G148</f>
        <v>0.25603630815633632</v>
      </c>
      <c r="G203" s="459">
        <f>G101*Calc_SEC_death_rates!$G148</f>
        <v>0.25323496684666463</v>
      </c>
      <c r="H203" s="459">
        <f>H101*Calc_SEC_death_rates!$G148</f>
        <v>0.24923403194713481</v>
      </c>
      <c r="I203" s="459">
        <f>I101*Calc_SEC_death_rates!$G148</f>
        <v>0.24922820243489643</v>
      </c>
      <c r="J203" s="459">
        <f>J101*Calc_SEC_death_rates!$G148</f>
        <v>0.25283987225416804</v>
      </c>
      <c r="K203" s="459">
        <f>K101*Calc_SEC_death_rates!$G148</f>
        <v>0.25858485375911228</v>
      </c>
      <c r="L203" s="459">
        <f>L101*Calc_SEC_death_rates!$G148</f>
        <v>0.26359063559476958</v>
      </c>
      <c r="M203" s="459">
        <f>M101*Calc_SEC_death_rates!$G148</f>
        <v>0.26830568286039058</v>
      </c>
      <c r="N203" s="459">
        <f>N101*Calc_SEC_death_rates!$G148</f>
        <v>0.27264844203738614</v>
      </c>
    </row>
    <row r="204" spans="1:14">
      <c r="B204" s="338" t="str">
        <f t="shared" si="68"/>
        <v>65 plus</v>
      </c>
      <c r="C204" s="459">
        <f>C102*Calc_SEC_death_rates!$G149</f>
        <v>0.38716347989452443</v>
      </c>
      <c r="D204" s="459">
        <f>D102*Calc_SEC_death_rates!$G149</f>
        <v>0.48321481321119047</v>
      </c>
      <c r="E204" s="459">
        <f>E102*Calc_SEC_death_rates!$G149</f>
        <v>0.51521032076409834</v>
      </c>
      <c r="F204" s="459">
        <f>F102*Calc_SEC_death_rates!$G149</f>
        <v>0.53195686846851131</v>
      </c>
      <c r="G204" s="459">
        <f>G102*Calc_SEC_death_rates!$G149</f>
        <v>0.53670136523198186</v>
      </c>
      <c r="H204" s="459">
        <f>H102*Calc_SEC_death_rates!$G149</f>
        <v>0.52351912597235728</v>
      </c>
      <c r="I204" s="459">
        <f>I102*Calc_SEC_death_rates!$G149</f>
        <v>0.51169336029935431</v>
      </c>
      <c r="J204" s="459">
        <f>J102*Calc_SEC_death_rates!$G149</f>
        <v>0.5061612563337039</v>
      </c>
      <c r="K204" s="459">
        <f>K102*Calc_SEC_death_rates!$G149</f>
        <v>0.50649227379699358</v>
      </c>
      <c r="L204" s="459">
        <f>L102*Calc_SEC_death_rates!$G149</f>
        <v>0.50720997668079004</v>
      </c>
      <c r="M204" s="459">
        <f>M102*Calc_SEC_death_rates!$G149</f>
        <v>0.50923630120542918</v>
      </c>
      <c r="N204" s="459">
        <f>N102*Calc_SEC_death_rates!$G149</f>
        <v>0.51234897468487728</v>
      </c>
    </row>
    <row r="205" spans="1:14">
      <c r="B205" s="338" t="str">
        <f t="shared" si="68"/>
        <v>Total</v>
      </c>
      <c r="C205" s="459">
        <f>SUM(C195:C204)</f>
        <v>2.2587456999054041</v>
      </c>
      <c r="D205" s="459">
        <f t="shared" ref="D205:N205" si="70">SUM(D195:D204)</f>
        <v>2.303241018440398</v>
      </c>
      <c r="E205" s="459">
        <f t="shared" si="70"/>
        <v>2.3222735287451197</v>
      </c>
      <c r="F205" s="459">
        <f t="shared" si="70"/>
        <v>2.387794245332838</v>
      </c>
      <c r="G205" s="459">
        <f t="shared" si="70"/>
        <v>2.4589900881080204</v>
      </c>
      <c r="H205" s="459">
        <f t="shared" si="70"/>
        <v>2.4877595235179384</v>
      </c>
      <c r="I205" s="459">
        <f t="shared" si="70"/>
        <v>2.5160711495293793</v>
      </c>
      <c r="J205" s="459">
        <f t="shared" si="70"/>
        <v>2.5516725199929633</v>
      </c>
      <c r="K205" s="459">
        <f t="shared" si="70"/>
        <v>2.5919984219855858</v>
      </c>
      <c r="L205" s="459">
        <f t="shared" si="70"/>
        <v>2.6215476475457358</v>
      </c>
      <c r="M205" s="459">
        <f t="shared" si="70"/>
        <v>2.6448820657326704</v>
      </c>
      <c r="N205" s="459">
        <f t="shared" si="70"/>
        <v>2.6631819734147468</v>
      </c>
    </row>
    <row r="206" spans="1:14">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19.106975328633261</v>
      </c>
      <c r="D213" s="459">
        <f t="shared" ref="D213:N213" si="75">D111+D145+D179</f>
        <v>25.636876105235352</v>
      </c>
      <c r="E213" s="459">
        <f t="shared" si="75"/>
        <v>31.167130644125312</v>
      </c>
      <c r="F213" s="459">
        <f t="shared" si="75"/>
        <v>38.662157219890574</v>
      </c>
      <c r="G213" s="459">
        <f t="shared" si="75"/>
        <v>44.590962137133388</v>
      </c>
      <c r="H213" s="459">
        <f t="shared" si="75"/>
        <v>46.167457315065036</v>
      </c>
      <c r="I213" s="459">
        <f t="shared" si="75"/>
        <v>46.804546348233849</v>
      </c>
      <c r="J213" s="459">
        <f t="shared" si="75"/>
        <v>47.316819221872137</v>
      </c>
      <c r="K213" s="459">
        <f t="shared" si="75"/>
        <v>47.777766283953319</v>
      </c>
      <c r="L213" s="459">
        <f t="shared" si="75"/>
        <v>47.437887290091361</v>
      </c>
      <c r="M213" s="459">
        <f t="shared" si="75"/>
        <v>46.847860383721454</v>
      </c>
      <c r="N213" s="459">
        <f t="shared" si="75"/>
        <v>46.204293616431379</v>
      </c>
    </row>
    <row r="214" spans="1:14">
      <c r="B214" s="338" t="str">
        <f t="shared" si="72"/>
        <v>25-29</v>
      </c>
      <c r="C214" s="459">
        <f t="shared" si="74"/>
        <v>59.362978344957469</v>
      </c>
      <c r="D214" s="459">
        <f t="shared" ref="D214:N214" si="76">D112+D146+D180</f>
        <v>58.936882136857825</v>
      </c>
      <c r="E214" s="459">
        <f t="shared" si="76"/>
        <v>60.693687736609796</v>
      </c>
      <c r="F214" s="459">
        <f t="shared" si="76"/>
        <v>66.829745386299848</v>
      </c>
      <c r="G214" s="459">
        <f t="shared" si="76"/>
        <v>73.105928063446513</v>
      </c>
      <c r="H214" s="459">
        <f t="shared" si="76"/>
        <v>75.611244148445124</v>
      </c>
      <c r="I214" s="459">
        <f t="shared" si="76"/>
        <v>77.117379452004471</v>
      </c>
      <c r="J214" s="459">
        <f t="shared" si="76"/>
        <v>78.362636178441065</v>
      </c>
      <c r="K214" s="459">
        <f t="shared" si="76"/>
        <v>79.443047397929973</v>
      </c>
      <c r="L214" s="459">
        <f t="shared" si="76"/>
        <v>79.544507395979252</v>
      </c>
      <c r="M214" s="459">
        <f t="shared" si="76"/>
        <v>79.172433317988293</v>
      </c>
      <c r="N214" s="459">
        <f t="shared" si="76"/>
        <v>78.560204094440877</v>
      </c>
    </row>
    <row r="215" spans="1:14">
      <c r="B215" s="338" t="str">
        <f t="shared" si="72"/>
        <v>30-34</v>
      </c>
      <c r="C215" s="459">
        <f t="shared" si="74"/>
        <v>56.656709476375049</v>
      </c>
      <c r="D215" s="459">
        <f t="shared" ref="D215:N215" si="77">D113+D147+D181</f>
        <v>54.492578369859899</v>
      </c>
      <c r="E215" s="459">
        <f t="shared" si="77"/>
        <v>53.257318842175771</v>
      </c>
      <c r="F215" s="459">
        <f t="shared" si="77"/>
        <v>54.147161840827316</v>
      </c>
      <c r="G215" s="459">
        <f t="shared" si="77"/>
        <v>55.829856457973563</v>
      </c>
      <c r="H215" s="459">
        <f t="shared" si="77"/>
        <v>56.678863511701458</v>
      </c>
      <c r="I215" s="459">
        <f t="shared" si="77"/>
        <v>57.397669182181787</v>
      </c>
      <c r="J215" s="459">
        <f t="shared" si="77"/>
        <v>58.138008201115028</v>
      </c>
      <c r="K215" s="459">
        <f t="shared" si="77"/>
        <v>58.879635471746589</v>
      </c>
      <c r="L215" s="459">
        <f t="shared" si="77"/>
        <v>59.26465905136461</v>
      </c>
      <c r="M215" s="459">
        <f t="shared" si="77"/>
        <v>59.407047457015643</v>
      </c>
      <c r="N215" s="459">
        <f t="shared" si="77"/>
        <v>59.367283349388565</v>
      </c>
    </row>
    <row r="216" spans="1:14">
      <c r="B216" s="338" t="str">
        <f t="shared" si="72"/>
        <v>35-39</v>
      </c>
      <c r="C216" s="459">
        <f t="shared" si="74"/>
        <v>52.563640094283315</v>
      </c>
      <c r="D216" s="459">
        <f t="shared" ref="D216:N216" si="78">D114+D148+D182</f>
        <v>51.59329054974873</v>
      </c>
      <c r="E216" s="459">
        <f t="shared" si="78"/>
        <v>50.751561668672494</v>
      </c>
      <c r="F216" s="459">
        <f t="shared" si="78"/>
        <v>50.811579499508383</v>
      </c>
      <c r="G216" s="459">
        <f t="shared" si="78"/>
        <v>51.16693045845004</v>
      </c>
      <c r="H216" s="459">
        <f t="shared" si="78"/>
        <v>51.070922428223774</v>
      </c>
      <c r="I216" s="459">
        <f t="shared" si="78"/>
        <v>51.020708326163835</v>
      </c>
      <c r="J216" s="459">
        <f t="shared" si="78"/>
        <v>51.115056821824652</v>
      </c>
      <c r="K216" s="459">
        <f t="shared" si="78"/>
        <v>51.33025777288772</v>
      </c>
      <c r="L216" s="459">
        <f t="shared" si="78"/>
        <v>51.448220172409791</v>
      </c>
      <c r="M216" s="459">
        <f t="shared" si="78"/>
        <v>51.512208630812204</v>
      </c>
      <c r="N216" s="459">
        <f t="shared" si="78"/>
        <v>51.526531247962474</v>
      </c>
    </row>
    <row r="217" spans="1:14">
      <c r="B217" s="338" t="str">
        <f t="shared" si="72"/>
        <v>40-44</v>
      </c>
      <c r="C217" s="459">
        <f t="shared" si="74"/>
        <v>51.760897909953918</v>
      </c>
      <c r="D217" s="459">
        <f t="shared" ref="D217:N217" si="79">D115+D149+D183</f>
        <v>51.881438310704354</v>
      </c>
      <c r="E217" s="459">
        <f t="shared" si="79"/>
        <v>51.985262843648457</v>
      </c>
      <c r="F217" s="459">
        <f t="shared" si="79"/>
        <v>52.682944917803773</v>
      </c>
      <c r="G217" s="459">
        <f t="shared" si="79"/>
        <v>53.364110502153551</v>
      </c>
      <c r="H217" s="459">
        <f t="shared" si="79"/>
        <v>53.383012713203584</v>
      </c>
      <c r="I217" s="459">
        <f t="shared" si="79"/>
        <v>53.276106628216056</v>
      </c>
      <c r="J217" s="459">
        <f t="shared" si="79"/>
        <v>53.200541551261601</v>
      </c>
      <c r="K217" s="459">
        <f t="shared" si="79"/>
        <v>53.18524143057158</v>
      </c>
      <c r="L217" s="459">
        <f t="shared" si="79"/>
        <v>53.072573751214939</v>
      </c>
      <c r="M217" s="459">
        <f t="shared" si="79"/>
        <v>52.935371347867047</v>
      </c>
      <c r="N217" s="459">
        <f t="shared" si="79"/>
        <v>52.795524843050238</v>
      </c>
    </row>
    <row r="218" spans="1:14">
      <c r="B218" s="338" t="str">
        <f t="shared" si="72"/>
        <v>45-49</v>
      </c>
      <c r="C218" s="459">
        <f t="shared" si="74"/>
        <v>42.787830713760307</v>
      </c>
      <c r="D218" s="459">
        <f t="shared" ref="D218:N218" si="80">D116+D150+D184</f>
        <v>45.132925529827467</v>
      </c>
      <c r="E218" s="459">
        <f t="shared" si="80"/>
        <v>47.086167802304821</v>
      </c>
      <c r="F218" s="459">
        <f t="shared" si="80"/>
        <v>49.282748993278794</v>
      </c>
      <c r="G218" s="459">
        <f t="shared" si="80"/>
        <v>51.192965049857058</v>
      </c>
      <c r="H218" s="459">
        <f t="shared" si="80"/>
        <v>52.232117559055595</v>
      </c>
      <c r="I218" s="459">
        <f t="shared" si="80"/>
        <v>52.910838670439972</v>
      </c>
      <c r="J218" s="459">
        <f t="shared" si="80"/>
        <v>53.403544580542743</v>
      </c>
      <c r="K218" s="459">
        <f t="shared" si="80"/>
        <v>53.772566510613409</v>
      </c>
      <c r="L218" s="459">
        <f t="shared" si="80"/>
        <v>53.908832700040257</v>
      </c>
      <c r="M218" s="459">
        <f t="shared" si="80"/>
        <v>53.914794317769839</v>
      </c>
      <c r="N218" s="459">
        <f t="shared" si="80"/>
        <v>53.843643234901549</v>
      </c>
    </row>
    <row r="219" spans="1:14">
      <c r="B219" s="338" t="str">
        <f t="shared" si="72"/>
        <v>50-54</v>
      </c>
      <c r="C219" s="459">
        <f t="shared" si="74"/>
        <v>43.965195746173734</v>
      </c>
      <c r="D219" s="459">
        <f t="shared" ref="D219:N219" si="81">D117+D151+D185</f>
        <v>45.051829943055104</v>
      </c>
      <c r="E219" s="459">
        <f t="shared" si="81"/>
        <v>46.632644744485503</v>
      </c>
      <c r="F219" s="459">
        <f t="shared" si="81"/>
        <v>49.023740905693863</v>
      </c>
      <c r="G219" s="459">
        <f t="shared" si="81"/>
        <v>51.442981997889795</v>
      </c>
      <c r="H219" s="459">
        <f t="shared" si="81"/>
        <v>53.12858006439734</v>
      </c>
      <c r="I219" s="459">
        <f t="shared" si="81"/>
        <v>54.505554202020484</v>
      </c>
      <c r="J219" s="459">
        <f t="shared" si="81"/>
        <v>55.680243030292559</v>
      </c>
      <c r="K219" s="459">
        <f t="shared" si="81"/>
        <v>56.669760880603548</v>
      </c>
      <c r="L219" s="459">
        <f t="shared" si="81"/>
        <v>57.335003483388583</v>
      </c>
      <c r="M219" s="459">
        <f t="shared" si="81"/>
        <v>57.773073835327644</v>
      </c>
      <c r="N219" s="459">
        <f t="shared" si="81"/>
        <v>58.040339337041893</v>
      </c>
    </row>
    <row r="220" spans="1:14">
      <c r="B220" s="338" t="str">
        <f t="shared" si="72"/>
        <v>55-59</v>
      </c>
      <c r="C220" s="459">
        <f t="shared" si="74"/>
        <v>85.443087859530053</v>
      </c>
      <c r="D220" s="459">
        <f t="shared" ref="D220:N220" si="82">D118+D152+D186</f>
        <v>74.681967283190943</v>
      </c>
      <c r="E220" s="459">
        <f t="shared" si="82"/>
        <v>69.178133537727604</v>
      </c>
      <c r="F220" s="459">
        <f t="shared" si="82"/>
        <v>67.969742573731082</v>
      </c>
      <c r="G220" s="459">
        <f t="shared" si="82"/>
        <v>68.584325625146207</v>
      </c>
      <c r="H220" s="459">
        <f t="shared" si="82"/>
        <v>69.097257851180942</v>
      </c>
      <c r="I220" s="459">
        <f t="shared" si="82"/>
        <v>69.989620028612975</v>
      </c>
      <c r="J220" s="459">
        <f t="shared" si="82"/>
        <v>71.16113381221372</v>
      </c>
      <c r="K220" s="459">
        <f t="shared" si="82"/>
        <v>72.419104509100848</v>
      </c>
      <c r="L220" s="459">
        <f t="shared" si="82"/>
        <v>73.365110737081892</v>
      </c>
      <c r="M220" s="459">
        <f t="shared" si="82"/>
        <v>74.094411780989191</v>
      </c>
      <c r="N220" s="459">
        <f t="shared" si="82"/>
        <v>74.637900147203453</v>
      </c>
    </row>
    <row r="221" spans="1:14">
      <c r="B221" s="338" t="str">
        <f t="shared" si="72"/>
        <v>60-64</v>
      </c>
      <c r="C221" s="459">
        <f t="shared" si="74"/>
        <v>54.044004176998854</v>
      </c>
      <c r="D221" s="459">
        <f t="shared" ref="D221:N221" si="83">D119+D153+D187</f>
        <v>48.716070946146282</v>
      </c>
      <c r="E221" s="459">
        <f t="shared" si="83"/>
        <v>44.038622589943323</v>
      </c>
      <c r="F221" s="459">
        <f t="shared" si="83"/>
        <v>41.637181355895301</v>
      </c>
      <c r="G221" s="459">
        <f t="shared" si="83"/>
        <v>40.411985823995984</v>
      </c>
      <c r="H221" s="459">
        <f t="shared" si="83"/>
        <v>39.189774652820525</v>
      </c>
      <c r="I221" s="459">
        <f t="shared" si="83"/>
        <v>38.574770046698269</v>
      </c>
      <c r="J221" s="459">
        <f t="shared" si="83"/>
        <v>38.495940409824776</v>
      </c>
      <c r="K221" s="459">
        <f t="shared" si="83"/>
        <v>38.748636979533565</v>
      </c>
      <c r="L221" s="459">
        <f t="shared" si="83"/>
        <v>38.952675890254447</v>
      </c>
      <c r="M221" s="459">
        <f t="shared" si="83"/>
        <v>39.15650413193152</v>
      </c>
      <c r="N221" s="459">
        <f t="shared" si="83"/>
        <v>39.348326416096583</v>
      </c>
    </row>
    <row r="222" spans="1:14">
      <c r="B222" s="338" t="str">
        <f t="shared" si="72"/>
        <v>65 plus</v>
      </c>
      <c r="C222" s="459">
        <f t="shared" si="74"/>
        <v>12.497988257300902</v>
      </c>
      <c r="D222" s="459">
        <f t="shared" ref="D222:N222" si="84">D120+D154+D188</f>
        <v>15.905129857869866</v>
      </c>
      <c r="E222" s="459">
        <f t="shared" si="84"/>
        <v>17.110616443075845</v>
      </c>
      <c r="F222" s="459">
        <f t="shared" si="84"/>
        <v>17.569678554207314</v>
      </c>
      <c r="G222" s="459">
        <f t="shared" si="84"/>
        <v>17.566534980055078</v>
      </c>
      <c r="H222" s="459">
        <f t="shared" si="84"/>
        <v>17.058731987896511</v>
      </c>
      <c r="I222" s="459">
        <f t="shared" si="84"/>
        <v>16.553405454369198</v>
      </c>
      <c r="J222" s="459">
        <f t="shared" si="84"/>
        <v>16.203892917987883</v>
      </c>
      <c r="K222" s="459">
        <f t="shared" si="84"/>
        <v>16.01820598313769</v>
      </c>
      <c r="L222" s="459">
        <f t="shared" si="84"/>
        <v>15.868099137398442</v>
      </c>
      <c r="M222" s="459">
        <f t="shared" si="84"/>
        <v>15.770535359561286</v>
      </c>
      <c r="N222" s="459">
        <f t="shared" si="84"/>
        <v>15.7169427053731</v>
      </c>
    </row>
    <row r="223" spans="1:14">
      <c r="B223" s="338" t="str">
        <f t="shared" si="72"/>
        <v>Total</v>
      </c>
      <c r="C223" s="459">
        <f>SUM(C213:C222)</f>
        <v>478.18930790796685</v>
      </c>
      <c r="D223" s="459">
        <f t="shared" ref="D223:N223" si="85">SUM(D213:D222)</f>
        <v>472.02898903249582</v>
      </c>
      <c r="E223" s="459">
        <f t="shared" si="85"/>
        <v>471.90114685276893</v>
      </c>
      <c r="F223" s="459">
        <f t="shared" si="85"/>
        <v>488.61668124713623</v>
      </c>
      <c r="G223" s="459">
        <f t="shared" si="85"/>
        <v>507.25658109610112</v>
      </c>
      <c r="H223" s="459">
        <f t="shared" si="85"/>
        <v>513.61796223198985</v>
      </c>
      <c r="I223" s="459">
        <f t="shared" si="85"/>
        <v>518.15059833894088</v>
      </c>
      <c r="J223" s="459">
        <f t="shared" si="85"/>
        <v>523.07781672537612</v>
      </c>
      <c r="K223" s="459">
        <f t="shared" si="85"/>
        <v>528.2442232200782</v>
      </c>
      <c r="L223" s="459">
        <f t="shared" si="85"/>
        <v>530.19756960922348</v>
      </c>
      <c r="M223" s="459">
        <f t="shared" si="85"/>
        <v>530.58424056298429</v>
      </c>
      <c r="N223" s="459">
        <f t="shared" si="85"/>
        <v>530.04098899189012</v>
      </c>
    </row>
    <row r="224" spans="1:14">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40.546303755794675</v>
      </c>
      <c r="D229" s="459">
        <f t="shared" ref="D229:N229" si="90">D195+D161+D127</f>
        <v>42.445863529584742</v>
      </c>
      <c r="E229" s="459">
        <f t="shared" si="90"/>
        <v>44.853818673196443</v>
      </c>
      <c r="F229" s="459">
        <f t="shared" si="90"/>
        <v>50.550169967623887</v>
      </c>
      <c r="G229" s="459">
        <f t="shared" si="90"/>
        <v>55.369030482105615</v>
      </c>
      <c r="H229" s="459">
        <f t="shared" si="90"/>
        <v>55.987789319464277</v>
      </c>
      <c r="I229" s="459">
        <f t="shared" si="90"/>
        <v>55.917564063256499</v>
      </c>
      <c r="J229" s="459">
        <f t="shared" si="90"/>
        <v>55.939777407530563</v>
      </c>
      <c r="K229" s="459">
        <f t="shared" si="90"/>
        <v>56.067727802186361</v>
      </c>
      <c r="L229" s="459">
        <f t="shared" si="90"/>
        <v>55.431867168728694</v>
      </c>
      <c r="M229" s="459">
        <f t="shared" si="90"/>
        <v>54.590844362606688</v>
      </c>
      <c r="N229" s="459">
        <f t="shared" si="90"/>
        <v>53.736635807676656</v>
      </c>
    </row>
    <row r="230" spans="1:14">
      <c r="B230" s="338" t="str">
        <f t="shared" si="87"/>
        <v>25-29</v>
      </c>
      <c r="C230" s="459">
        <f t="shared" si="89"/>
        <v>109.52271372736068</v>
      </c>
      <c r="D230" s="459">
        <f t="shared" ref="D230:N230" si="91">D196+D162+D128</f>
        <v>101.91543562961829</v>
      </c>
      <c r="E230" s="459">
        <f t="shared" si="91"/>
        <v>98.019240064176174</v>
      </c>
      <c r="F230" s="459">
        <f t="shared" si="91"/>
        <v>100.40765322363075</v>
      </c>
      <c r="G230" s="459">
        <f t="shared" si="91"/>
        <v>103.98239531373648</v>
      </c>
      <c r="H230" s="459">
        <f t="shared" si="91"/>
        <v>103.95772296046177</v>
      </c>
      <c r="I230" s="459">
        <f t="shared" si="91"/>
        <v>103.42568359418654</v>
      </c>
      <c r="J230" s="459">
        <f t="shared" si="91"/>
        <v>103.11794907261591</v>
      </c>
      <c r="K230" s="459">
        <f t="shared" si="91"/>
        <v>103.03508587944543</v>
      </c>
      <c r="L230" s="459">
        <f t="shared" si="91"/>
        <v>102.12001871956356</v>
      </c>
      <c r="M230" s="459">
        <f t="shared" si="91"/>
        <v>100.8884418764037</v>
      </c>
      <c r="N230" s="459">
        <f t="shared" si="91"/>
        <v>99.555407535730012</v>
      </c>
    </row>
    <row r="231" spans="1:14">
      <c r="B231" s="338" t="str">
        <f t="shared" si="87"/>
        <v>30-34</v>
      </c>
      <c r="C231" s="459">
        <f t="shared" si="89"/>
        <v>105.5891360857312</v>
      </c>
      <c r="D231" s="459">
        <f t="shared" ref="D231:N231" si="92">D197+D163+D129</f>
        <v>104.04266292029533</v>
      </c>
      <c r="E231" s="459">
        <f t="shared" si="92"/>
        <v>102.35340547163749</v>
      </c>
      <c r="F231" s="459">
        <f t="shared" si="92"/>
        <v>103.15092704334153</v>
      </c>
      <c r="G231" s="459">
        <f t="shared" si="92"/>
        <v>104.6311775009348</v>
      </c>
      <c r="H231" s="459">
        <f t="shared" si="92"/>
        <v>104.40010697462237</v>
      </c>
      <c r="I231" s="459">
        <f t="shared" si="92"/>
        <v>103.88295470386622</v>
      </c>
      <c r="J231" s="459">
        <f t="shared" si="92"/>
        <v>103.4672325057993</v>
      </c>
      <c r="K231" s="459">
        <f t="shared" si="92"/>
        <v>103.18936916497869</v>
      </c>
      <c r="L231" s="459">
        <f t="shared" si="92"/>
        <v>102.48400043207522</v>
      </c>
      <c r="M231" s="459">
        <f t="shared" si="92"/>
        <v>101.55867164924445</v>
      </c>
      <c r="N231" s="459">
        <f t="shared" si="92"/>
        <v>100.51060206576766</v>
      </c>
    </row>
    <row r="232" spans="1:14">
      <c r="B232" s="338" t="str">
        <f t="shared" si="87"/>
        <v>35-39</v>
      </c>
      <c r="C232" s="459">
        <f t="shared" si="89"/>
        <v>87.946826275165506</v>
      </c>
      <c r="D232" s="459">
        <f t="shared" ref="D232:N232" si="93">D198+D164+D130</f>
        <v>86.683294193329417</v>
      </c>
      <c r="E232" s="459">
        <f t="shared" si="93"/>
        <v>85.907694209935528</v>
      </c>
      <c r="F232" s="459">
        <f t="shared" si="93"/>
        <v>86.584504878672462</v>
      </c>
      <c r="G232" s="459">
        <f t="shared" si="93"/>
        <v>87.494090018996445</v>
      </c>
      <c r="H232" s="459">
        <f t="shared" si="93"/>
        <v>87.319981760670018</v>
      </c>
      <c r="I232" s="459">
        <f t="shared" si="93"/>
        <v>86.959196758805362</v>
      </c>
      <c r="J232" s="459">
        <f t="shared" si="93"/>
        <v>86.638845060163334</v>
      </c>
      <c r="K232" s="459">
        <f t="shared" si="93"/>
        <v>86.379602880036927</v>
      </c>
      <c r="L232" s="459">
        <f t="shared" si="93"/>
        <v>85.866817465981356</v>
      </c>
      <c r="M232" s="459">
        <f t="shared" si="93"/>
        <v>85.229443630371037</v>
      </c>
      <c r="N232" s="459">
        <f t="shared" si="93"/>
        <v>84.516249796462716</v>
      </c>
    </row>
    <row r="233" spans="1:14">
      <c r="B233" s="338" t="str">
        <f t="shared" si="87"/>
        <v>40-44</v>
      </c>
      <c r="C233" s="459">
        <f t="shared" si="89"/>
        <v>65.080908018982967</v>
      </c>
      <c r="D233" s="459">
        <f t="shared" ref="D233:N233" si="94">D199+D165+D131</f>
        <v>67.044908410283284</v>
      </c>
      <c r="E233" s="459">
        <f t="shared" si="94"/>
        <v>68.58979733261522</v>
      </c>
      <c r="F233" s="459">
        <f t="shared" si="94"/>
        <v>70.766584041656898</v>
      </c>
      <c r="G233" s="459">
        <f t="shared" si="94"/>
        <v>72.709901775326244</v>
      </c>
      <c r="H233" s="459">
        <f t="shared" si="94"/>
        <v>73.471458067257473</v>
      </c>
      <c r="I233" s="459">
        <f t="shared" si="94"/>
        <v>73.854308246611467</v>
      </c>
      <c r="J233" s="459">
        <f t="shared" si="94"/>
        <v>74.097170630704909</v>
      </c>
      <c r="K233" s="459">
        <f t="shared" si="94"/>
        <v>74.255056215743664</v>
      </c>
      <c r="L233" s="459">
        <f t="shared" si="94"/>
        <v>74.114088825399634</v>
      </c>
      <c r="M233" s="459">
        <f t="shared" si="94"/>
        <v>73.809124320036645</v>
      </c>
      <c r="N233" s="459">
        <f t="shared" si="94"/>
        <v>73.400895101505327</v>
      </c>
    </row>
    <row r="234" spans="1:14">
      <c r="B234" s="338" t="str">
        <f t="shared" si="87"/>
        <v>45-49</v>
      </c>
      <c r="C234" s="459">
        <f t="shared" si="89"/>
        <v>44.38250818519402</v>
      </c>
      <c r="D234" s="459">
        <f t="shared" ref="D234:N234" si="95">D200+D166+D132</f>
        <v>49.401625374530362</v>
      </c>
      <c r="E234" s="459">
        <f t="shared" si="95"/>
        <v>53.758908165049228</v>
      </c>
      <c r="F234" s="459">
        <f t="shared" si="95"/>
        <v>58.317910963058878</v>
      </c>
      <c r="G234" s="459">
        <f t="shared" si="95"/>
        <v>62.301161729710245</v>
      </c>
      <c r="H234" s="459">
        <f t="shared" si="95"/>
        <v>64.871091928425315</v>
      </c>
      <c r="I234" s="459">
        <f t="shared" si="95"/>
        <v>66.774807313857181</v>
      </c>
      <c r="J234" s="459">
        <f t="shared" si="95"/>
        <v>68.267349994764061</v>
      </c>
      <c r="K234" s="459">
        <f t="shared" si="95"/>
        <v>69.440392151194118</v>
      </c>
      <c r="L234" s="459">
        <f t="shared" si="95"/>
        <v>70.140188730203548</v>
      </c>
      <c r="M234" s="459">
        <f t="shared" si="95"/>
        <v>70.522099207855021</v>
      </c>
      <c r="N234" s="459">
        <f t="shared" si="95"/>
        <v>70.672758753642185</v>
      </c>
    </row>
    <row r="235" spans="1:14">
      <c r="B235" s="338" t="str">
        <f t="shared" si="87"/>
        <v>50-54</v>
      </c>
      <c r="C235" s="459">
        <f t="shared" si="89"/>
        <v>38.856514418203702</v>
      </c>
      <c r="D235" s="459">
        <f t="shared" ref="D235:N235" si="96">D201+D167+D133</f>
        <v>41.380184935471966</v>
      </c>
      <c r="E235" s="459">
        <f t="shared" si="96"/>
        <v>44.604617127270735</v>
      </c>
      <c r="F235" s="459">
        <f t="shared" si="96"/>
        <v>48.904476438379284</v>
      </c>
      <c r="G235" s="459">
        <f t="shared" si="96"/>
        <v>53.217563707497803</v>
      </c>
      <c r="H235" s="459">
        <f t="shared" si="96"/>
        <v>56.519340052151257</v>
      </c>
      <c r="I235" s="459">
        <f t="shared" si="96"/>
        <v>59.346853201841412</v>
      </c>
      <c r="J235" s="459">
        <f t="shared" si="96"/>
        <v>61.826798674971528</v>
      </c>
      <c r="K235" s="459">
        <f t="shared" si="96"/>
        <v>63.973073608071644</v>
      </c>
      <c r="L235" s="459">
        <f t="shared" si="96"/>
        <v>65.598300868996034</v>
      </c>
      <c r="M235" s="459">
        <f t="shared" si="96"/>
        <v>66.826368133561573</v>
      </c>
      <c r="N235" s="459">
        <f t="shared" si="96"/>
        <v>67.730163281036852</v>
      </c>
    </row>
    <row r="236" spans="1:14">
      <c r="B236" s="338" t="str">
        <f t="shared" si="87"/>
        <v>55-59</v>
      </c>
      <c r="C236" s="459">
        <f t="shared" si="89"/>
        <v>79.39040389683737</v>
      </c>
      <c r="D236" s="459">
        <f t="shared" ref="D236:N236" si="97">D202+D168+D134</f>
        <v>69.438373201832661</v>
      </c>
      <c r="E236" s="459">
        <f t="shared" si="97"/>
        <v>64.91227097297633</v>
      </c>
      <c r="F236" s="459">
        <f t="shared" si="97"/>
        <v>65.123155802727922</v>
      </c>
      <c r="G236" s="459">
        <f t="shared" si="97"/>
        <v>67.340383553953615</v>
      </c>
      <c r="H236" s="459">
        <f t="shared" si="97"/>
        <v>69.337780993089979</v>
      </c>
      <c r="I236" s="459">
        <f t="shared" si="97"/>
        <v>71.71108472983444</v>
      </c>
      <c r="J236" s="459">
        <f t="shared" si="97"/>
        <v>74.348437498161161</v>
      </c>
      <c r="K236" s="459">
        <f t="shared" si="97"/>
        <v>77.01609145788133</v>
      </c>
      <c r="L236" s="459">
        <f t="shared" si="97"/>
        <v>79.225920542919567</v>
      </c>
      <c r="M236" s="459">
        <f t="shared" si="97"/>
        <v>81.079749389625647</v>
      </c>
      <c r="N236" s="459">
        <f t="shared" si="97"/>
        <v>82.607199009382796</v>
      </c>
    </row>
    <row r="237" spans="1:14">
      <c r="B237" s="338" t="str">
        <f t="shared" si="87"/>
        <v>60-64</v>
      </c>
      <c r="C237" s="459">
        <f t="shared" si="89"/>
        <v>57.229287729095212</v>
      </c>
      <c r="D237" s="459">
        <f t="shared" ref="D237:N237" si="98">D203+D169+D135</f>
        <v>51.979379234802096</v>
      </c>
      <c r="E237" s="459">
        <f t="shared" si="98"/>
        <v>47.372484328078741</v>
      </c>
      <c r="F237" s="459">
        <f t="shared" si="98"/>
        <v>45.564591655763977</v>
      </c>
      <c r="G237" s="459">
        <f t="shared" si="98"/>
        <v>45.066060905251533</v>
      </c>
      <c r="H237" s="459">
        <f t="shared" si="98"/>
        <v>44.354048744745533</v>
      </c>
      <c r="I237" s="459">
        <f t="shared" si="98"/>
        <v>44.353011316317492</v>
      </c>
      <c r="J237" s="459">
        <f t="shared" si="98"/>
        <v>44.99574930022122</v>
      </c>
      <c r="K237" s="459">
        <f t="shared" si="98"/>
        <v>46.018134516707249</v>
      </c>
      <c r="L237" s="459">
        <f t="shared" si="98"/>
        <v>46.908970691084107</v>
      </c>
      <c r="M237" s="459">
        <f t="shared" si="98"/>
        <v>47.748067320943605</v>
      </c>
      <c r="N237" s="459">
        <f t="shared" si="98"/>
        <v>48.520911024182361</v>
      </c>
    </row>
    <row r="238" spans="1:14">
      <c r="B238" s="338" t="str">
        <f t="shared" si="87"/>
        <v>65 plus</v>
      </c>
      <c r="C238" s="459">
        <f t="shared" si="89"/>
        <v>13.342735103181774</v>
      </c>
      <c r="D238" s="459">
        <f t="shared" ref="D238:N238" si="99">D204+D170+D136</f>
        <v>16.652932379796908</v>
      </c>
      <c r="E238" s="459">
        <f t="shared" si="99"/>
        <v>17.755586953225695</v>
      </c>
      <c r="F238" s="459">
        <f t="shared" si="99"/>
        <v>18.332719770540109</v>
      </c>
      <c r="G238" s="459">
        <f t="shared" si="99"/>
        <v>18.496228383310445</v>
      </c>
      <c r="H238" s="459">
        <f t="shared" si="99"/>
        <v>18.041931592311844</v>
      </c>
      <c r="I238" s="459">
        <f t="shared" si="99"/>
        <v>17.634382670574279</v>
      </c>
      <c r="J238" s="459">
        <f t="shared" si="99"/>
        <v>17.44373091334489</v>
      </c>
      <c r="K238" s="459">
        <f t="shared" si="99"/>
        <v>17.455138699865469</v>
      </c>
      <c r="L238" s="459">
        <f t="shared" si="99"/>
        <v>17.479872746227219</v>
      </c>
      <c r="M238" s="459">
        <f t="shared" si="99"/>
        <v>17.5497055501185</v>
      </c>
      <c r="N238" s="459">
        <f t="shared" si="99"/>
        <v>17.656976973834109</v>
      </c>
    </row>
    <row r="239" spans="1:14">
      <c r="B239" s="338" t="str">
        <f t="shared" si="87"/>
        <v>Total</v>
      </c>
      <c r="C239" s="459">
        <f>SUM(C229:C238)</f>
        <v>641.88733719554705</v>
      </c>
      <c r="D239" s="459">
        <f t="shared" ref="D239:N239" si="100">SUM(D229:D238)</f>
        <v>630.98465980954506</v>
      </c>
      <c r="E239" s="459">
        <f t="shared" si="100"/>
        <v>628.1278232981615</v>
      </c>
      <c r="F239" s="459">
        <f t="shared" si="100"/>
        <v>647.7026937853957</v>
      </c>
      <c r="G239" s="459">
        <f t="shared" si="100"/>
        <v>670.60799337082335</v>
      </c>
      <c r="H239" s="459">
        <f t="shared" si="100"/>
        <v>678.26125239319981</v>
      </c>
      <c r="I239" s="459">
        <f t="shared" si="100"/>
        <v>683.85984659915096</v>
      </c>
      <c r="J239" s="459">
        <f t="shared" si="100"/>
        <v>690.14304105827682</v>
      </c>
      <c r="K239" s="459">
        <f t="shared" si="100"/>
        <v>696.82967237611092</v>
      </c>
      <c r="L239" s="459">
        <f t="shared" si="100"/>
        <v>699.37004619117886</v>
      </c>
      <c r="M239" s="459">
        <f t="shared" si="100"/>
        <v>699.80251544076691</v>
      </c>
      <c r="N239" s="459">
        <f t="shared" si="100"/>
        <v>698.9077993492208</v>
      </c>
    </row>
    <row r="240" spans="1:14">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134.48749046916552</v>
      </c>
      <c r="D247" s="459">
        <f t="shared" ref="D247:N247" si="105">D77-D213</f>
        <v>180.4492375983323</v>
      </c>
      <c r="E247" s="459">
        <f t="shared" si="105"/>
        <v>219.3748153938119</v>
      </c>
      <c r="F247" s="459">
        <f t="shared" si="105"/>
        <v>272.12975424924798</v>
      </c>
      <c r="G247" s="459">
        <f t="shared" si="105"/>
        <v>313.86059239014122</v>
      </c>
      <c r="H247" s="459">
        <f t="shared" si="105"/>
        <v>324.95700490808906</v>
      </c>
      <c r="I247" s="459">
        <f t="shared" si="105"/>
        <v>329.44125758558653</v>
      </c>
      <c r="J247" s="459">
        <f t="shared" si="105"/>
        <v>333.04697183528242</v>
      </c>
      <c r="K247" s="459">
        <f t="shared" si="105"/>
        <v>336.29142118177492</v>
      </c>
      <c r="L247" s="459">
        <f t="shared" si="105"/>
        <v>333.89912872514628</v>
      </c>
      <c r="M247" s="459">
        <f t="shared" si="105"/>
        <v>329.74613032628088</v>
      </c>
      <c r="N247" s="459">
        <f t="shared" si="105"/>
        <v>325.21628308497048</v>
      </c>
    </row>
    <row r="248" spans="2:14">
      <c r="B248" s="338" t="str">
        <f t="shared" si="102"/>
        <v>25-29</v>
      </c>
      <c r="C248" s="459">
        <f t="shared" si="104"/>
        <v>489.71281474916373</v>
      </c>
      <c r="D248" s="459">
        <f t="shared" ref="D248:N248" si="106">D78-D214</f>
        <v>486.19774897517453</v>
      </c>
      <c r="E248" s="459">
        <f t="shared" si="106"/>
        <v>500.69045535897936</v>
      </c>
      <c r="F248" s="459">
        <f t="shared" si="106"/>
        <v>551.30964844648565</v>
      </c>
      <c r="G248" s="459">
        <f t="shared" si="106"/>
        <v>603.08479804974854</v>
      </c>
      <c r="H248" s="459">
        <f t="shared" si="106"/>
        <v>623.75231551647005</v>
      </c>
      <c r="I248" s="459">
        <f t="shared" si="106"/>
        <v>636.17712605432939</v>
      </c>
      <c r="J248" s="459">
        <f t="shared" si="106"/>
        <v>646.44982788955303</v>
      </c>
      <c r="K248" s="459">
        <f t="shared" si="106"/>
        <v>655.36264247759402</v>
      </c>
      <c r="L248" s="459">
        <f t="shared" si="106"/>
        <v>656.19963318483963</v>
      </c>
      <c r="M248" s="459">
        <f t="shared" si="106"/>
        <v>653.1302210847706</v>
      </c>
      <c r="N248" s="459">
        <f t="shared" si="106"/>
        <v>648.07965750635856</v>
      </c>
    </row>
    <row r="249" spans="2:14">
      <c r="B249" s="338" t="str">
        <f t="shared" si="102"/>
        <v>30-34</v>
      </c>
      <c r="C249" s="459">
        <f t="shared" si="104"/>
        <v>738.34976349620092</v>
      </c>
      <c r="D249" s="459">
        <f t="shared" ref="D249:N249" si="107">D79-D215</f>
        <v>710.14682503687288</v>
      </c>
      <c r="E249" s="459">
        <f t="shared" si="107"/>
        <v>694.04893321521104</v>
      </c>
      <c r="F249" s="459">
        <f t="shared" si="107"/>
        <v>705.64535972277383</v>
      </c>
      <c r="G249" s="459">
        <f t="shared" si="107"/>
        <v>727.57422188382702</v>
      </c>
      <c r="H249" s="459">
        <f t="shared" si="107"/>
        <v>738.63847469907364</v>
      </c>
      <c r="I249" s="459">
        <f t="shared" si="107"/>
        <v>748.00594417804496</v>
      </c>
      <c r="J249" s="459">
        <f t="shared" si="107"/>
        <v>757.6540360737506</v>
      </c>
      <c r="K249" s="459">
        <f t="shared" si="107"/>
        <v>767.31891645480187</v>
      </c>
      <c r="L249" s="459">
        <f t="shared" si="107"/>
        <v>772.33654052049133</v>
      </c>
      <c r="M249" s="459">
        <f t="shared" si="107"/>
        <v>774.19214503068406</v>
      </c>
      <c r="N249" s="459">
        <f t="shared" si="107"/>
        <v>773.67393951304211</v>
      </c>
    </row>
    <row r="250" spans="2:14">
      <c r="B250" s="338" t="str">
        <f t="shared" si="102"/>
        <v>35-39</v>
      </c>
      <c r="C250" s="459">
        <f t="shared" si="104"/>
        <v>797.84535943560809</v>
      </c>
      <c r="D250" s="459">
        <f t="shared" ref="D250:N250" si="108">D80-D216</f>
        <v>783.11675845309026</v>
      </c>
      <c r="E250" s="459">
        <f t="shared" si="108"/>
        <v>770.34044614928087</v>
      </c>
      <c r="F250" s="459">
        <f t="shared" si="108"/>
        <v>771.25143609841518</v>
      </c>
      <c r="G250" s="459">
        <f t="shared" si="108"/>
        <v>776.64518571419637</v>
      </c>
      <c r="H250" s="459">
        <f t="shared" si="108"/>
        <v>775.18791294451773</v>
      </c>
      <c r="I250" s="459">
        <f t="shared" si="108"/>
        <v>774.42573041235505</v>
      </c>
      <c r="J250" s="459">
        <f t="shared" si="108"/>
        <v>775.85781367937568</v>
      </c>
      <c r="K250" s="459">
        <f t="shared" si="108"/>
        <v>779.12427467491977</v>
      </c>
      <c r="L250" s="459">
        <f t="shared" si="108"/>
        <v>780.91478524225784</v>
      </c>
      <c r="M250" s="459">
        <f t="shared" si="108"/>
        <v>781.88604397742608</v>
      </c>
      <c r="N250" s="459">
        <f t="shared" si="108"/>
        <v>782.10344204209241</v>
      </c>
    </row>
    <row r="251" spans="2:14">
      <c r="B251" s="338" t="str">
        <f t="shared" si="102"/>
        <v>40-44</v>
      </c>
      <c r="C251" s="459">
        <f t="shared" si="104"/>
        <v>732.00141751672766</v>
      </c>
      <c r="D251" s="459">
        <f t="shared" ref="D251:N251" si="109">D81-D217</f>
        <v>733.70609706789878</v>
      </c>
      <c r="E251" s="459">
        <f t="shared" si="109"/>
        <v>735.17438120431973</v>
      </c>
      <c r="F251" s="459">
        <f t="shared" si="109"/>
        <v>745.04098491251182</v>
      </c>
      <c r="G251" s="459">
        <f t="shared" si="109"/>
        <v>754.67401280501599</v>
      </c>
      <c r="H251" s="459">
        <f t="shared" si="109"/>
        <v>754.94132743520061</v>
      </c>
      <c r="I251" s="459">
        <f t="shared" si="109"/>
        <v>753.42946406126578</v>
      </c>
      <c r="J251" s="459">
        <f t="shared" si="109"/>
        <v>752.36082449590026</v>
      </c>
      <c r="K251" s="459">
        <f t="shared" si="109"/>
        <v>752.14445054402722</v>
      </c>
      <c r="L251" s="459">
        <f t="shared" si="109"/>
        <v>750.55110683617943</v>
      </c>
      <c r="M251" s="459">
        <f t="shared" si="109"/>
        <v>748.61079363079261</v>
      </c>
      <c r="N251" s="459">
        <f t="shared" si="109"/>
        <v>746.63308760376924</v>
      </c>
    </row>
    <row r="252" spans="2:14">
      <c r="B252" s="338" t="str">
        <f t="shared" si="102"/>
        <v>45-49</v>
      </c>
      <c r="C252" s="459">
        <f t="shared" si="104"/>
        <v>526.23769251888257</v>
      </c>
      <c r="D252" s="459">
        <f t="shared" ref="D252:N252" si="110">D82-D218</f>
        <v>555.0794744965865</v>
      </c>
      <c r="E252" s="459">
        <f t="shared" si="110"/>
        <v>579.10195213222573</v>
      </c>
      <c r="F252" s="459">
        <f t="shared" si="110"/>
        <v>606.11719917995185</v>
      </c>
      <c r="G252" s="459">
        <f t="shared" si="110"/>
        <v>629.61050727848533</v>
      </c>
      <c r="H252" s="459">
        <f t="shared" si="110"/>
        <v>642.39080507563415</v>
      </c>
      <c r="I252" s="459">
        <f t="shared" si="110"/>
        <v>650.73823997851889</v>
      </c>
      <c r="J252" s="459">
        <f t="shared" si="110"/>
        <v>656.79791668794167</v>
      </c>
      <c r="K252" s="459">
        <f t="shared" si="110"/>
        <v>661.33643256336325</v>
      </c>
      <c r="L252" s="459">
        <f t="shared" si="110"/>
        <v>663.01233909791119</v>
      </c>
      <c r="M252" s="459">
        <f t="shared" si="110"/>
        <v>663.08565966372078</v>
      </c>
      <c r="N252" s="459">
        <f t="shared" si="110"/>
        <v>662.21058885400134</v>
      </c>
    </row>
    <row r="253" spans="2:14">
      <c r="B253" s="338" t="str">
        <f t="shared" si="102"/>
        <v>50-54</v>
      </c>
      <c r="C253" s="459">
        <f t="shared" si="104"/>
        <v>376.96463263318725</v>
      </c>
      <c r="D253" s="459">
        <f t="shared" ref="D253:N253" si="111">D83-D219</f>
        <v>386.28160834276758</v>
      </c>
      <c r="E253" s="459">
        <f t="shared" si="111"/>
        <v>399.83576773563624</v>
      </c>
      <c r="F253" s="459">
        <f t="shared" si="111"/>
        <v>420.33740933424053</v>
      </c>
      <c r="G253" s="459">
        <f t="shared" si="111"/>
        <v>441.08037008064224</v>
      </c>
      <c r="H253" s="459">
        <f t="shared" si="111"/>
        <v>455.53295797713832</v>
      </c>
      <c r="I253" s="459">
        <f t="shared" si="111"/>
        <v>467.33935485823662</v>
      </c>
      <c r="J253" s="459">
        <f t="shared" si="111"/>
        <v>477.41132508587816</v>
      </c>
      <c r="K253" s="459">
        <f t="shared" si="111"/>
        <v>485.89560967953719</v>
      </c>
      <c r="L253" s="459">
        <f t="shared" si="111"/>
        <v>491.59950634403975</v>
      </c>
      <c r="M253" s="459">
        <f t="shared" si="111"/>
        <v>495.35559173120816</v>
      </c>
      <c r="N253" s="459">
        <f t="shared" si="111"/>
        <v>497.64716896541182</v>
      </c>
    </row>
    <row r="254" spans="2:14">
      <c r="B254" s="338" t="str">
        <f t="shared" si="102"/>
        <v>55-59</v>
      </c>
      <c r="C254" s="459">
        <f t="shared" si="104"/>
        <v>239.24617759334211</v>
      </c>
      <c r="D254" s="459">
        <f t="shared" ref="D254:N254" si="112">D84-D220</f>
        <v>209.11434330450169</v>
      </c>
      <c r="E254" s="459">
        <f t="shared" si="112"/>
        <v>193.70325249893358</v>
      </c>
      <c r="F254" s="459">
        <f t="shared" si="112"/>
        <v>190.31967956849604</v>
      </c>
      <c r="G254" s="459">
        <f t="shared" si="112"/>
        <v>192.0405519005734</v>
      </c>
      <c r="H254" s="459">
        <f t="shared" si="112"/>
        <v>193.47679534070988</v>
      </c>
      <c r="I254" s="459">
        <f t="shared" si="112"/>
        <v>195.97546720905893</v>
      </c>
      <c r="J254" s="459">
        <f t="shared" si="112"/>
        <v>199.25578164695912</v>
      </c>
      <c r="K254" s="459">
        <f t="shared" si="112"/>
        <v>202.77818103928291</v>
      </c>
      <c r="L254" s="459">
        <f t="shared" si="112"/>
        <v>205.42705972208577</v>
      </c>
      <c r="M254" s="459">
        <f t="shared" si="112"/>
        <v>207.46914985998566</v>
      </c>
      <c r="N254" s="459">
        <f t="shared" si="112"/>
        <v>208.99095247082968</v>
      </c>
    </row>
    <row r="255" spans="2:14">
      <c r="B255" s="338" t="str">
        <f t="shared" si="102"/>
        <v>60-64</v>
      </c>
      <c r="C255" s="459">
        <f t="shared" si="104"/>
        <v>82.159069631361845</v>
      </c>
      <c r="D255" s="459">
        <f t="shared" ref="D255:N255" si="113">D85-D221</f>
        <v>74.059410030433042</v>
      </c>
      <c r="E255" s="459">
        <f t="shared" si="113"/>
        <v>66.948634079491711</v>
      </c>
      <c r="F255" s="459">
        <f t="shared" si="113"/>
        <v>63.297902040511012</v>
      </c>
      <c r="G255" s="459">
        <f t="shared" si="113"/>
        <v>61.435328632965671</v>
      </c>
      <c r="H255" s="459">
        <f t="shared" si="113"/>
        <v>59.577292126492857</v>
      </c>
      <c r="I255" s="459">
        <f t="shared" si="113"/>
        <v>58.642346483077482</v>
      </c>
      <c r="J255" s="459">
        <f t="shared" si="113"/>
        <v>58.522507664256942</v>
      </c>
      <c r="K255" s="459">
        <f t="shared" si="113"/>
        <v>58.906663416268124</v>
      </c>
      <c r="L255" s="459">
        <f t="shared" si="113"/>
        <v>59.216848557593359</v>
      </c>
      <c r="M255" s="459">
        <f t="shared" si="113"/>
        <v>59.526713434480335</v>
      </c>
      <c r="N255" s="459">
        <f t="shared" si="113"/>
        <v>59.81832654941438</v>
      </c>
    </row>
    <row r="256" spans="2:14">
      <c r="B256" s="338" t="str">
        <f t="shared" si="102"/>
        <v>65 plus</v>
      </c>
      <c r="C256" s="459">
        <f t="shared" si="104"/>
        <v>14.518796857230226</v>
      </c>
      <c r="D256" s="459">
        <f t="shared" ref="D256:N256" si="114">D86-D222</f>
        <v>18.476841603638256</v>
      </c>
      <c r="E256" s="459">
        <f t="shared" si="114"/>
        <v>19.877244171187282</v>
      </c>
      <c r="F256" s="459">
        <f t="shared" si="114"/>
        <v>20.410532361186625</v>
      </c>
      <c r="G256" s="459">
        <f t="shared" si="114"/>
        <v>20.406880500296513</v>
      </c>
      <c r="H256" s="459">
        <f t="shared" si="114"/>
        <v>19.816970481591138</v>
      </c>
      <c r="I256" s="459">
        <f t="shared" si="114"/>
        <v>19.229937341872386</v>
      </c>
      <c r="J256" s="459">
        <f t="shared" si="114"/>
        <v>18.82391187518888</v>
      </c>
      <c r="K256" s="459">
        <f t="shared" si="114"/>
        <v>18.608201087930233</v>
      </c>
      <c r="L256" s="459">
        <f t="shared" si="114"/>
        <v>18.433823359667077</v>
      </c>
      <c r="M256" s="459">
        <f t="shared" si="114"/>
        <v>18.320484425281848</v>
      </c>
      <c r="N256" s="459">
        <f t="shared" si="114"/>
        <v>18.258226336765603</v>
      </c>
    </row>
    <row r="257" spans="1:14">
      <c r="B257" s="338" t="str">
        <f t="shared" si="102"/>
        <v>Total</v>
      </c>
      <c r="C257" s="459">
        <f>SUM(C247:C256)</f>
        <v>4131.5232149008689</v>
      </c>
      <c r="D257" s="459">
        <f t="shared" ref="D257:N257" si="115">SUM(D247:D256)</f>
        <v>4136.6283449092962</v>
      </c>
      <c r="E257" s="459">
        <f t="shared" si="115"/>
        <v>4179.0958819390771</v>
      </c>
      <c r="F257" s="459">
        <f t="shared" si="115"/>
        <v>4345.8599059138205</v>
      </c>
      <c r="G257" s="459">
        <f t="shared" si="115"/>
        <v>4520.4124492358924</v>
      </c>
      <c r="H257" s="459">
        <f t="shared" si="115"/>
        <v>4588.2718565049172</v>
      </c>
      <c r="I257" s="459">
        <f t="shared" si="115"/>
        <v>4633.4048681623462</v>
      </c>
      <c r="J257" s="459">
        <f t="shared" si="115"/>
        <v>4676.1809169340877</v>
      </c>
      <c r="K257" s="459">
        <f t="shared" si="115"/>
        <v>4717.7667931194992</v>
      </c>
      <c r="L257" s="459">
        <f t="shared" si="115"/>
        <v>4731.5907715902113</v>
      </c>
      <c r="M257" s="459">
        <f t="shared" si="115"/>
        <v>4731.3229331646307</v>
      </c>
      <c r="N257" s="459">
        <f t="shared" si="115"/>
        <v>4722.6316729266564</v>
      </c>
    </row>
    <row r="258" spans="1:14">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4">
      <c r="B263" s="338" t="str">
        <f t="shared" si="117"/>
        <v>20-24</v>
      </c>
      <c r="C263" s="459">
        <f t="shared" ref="C263:C272" si="119">C93-C229</f>
        <v>341.95777247077268</v>
      </c>
      <c r="D263" s="459">
        <f t="shared" ref="D263:N263" si="120">D93-D229</f>
        <v>357.97820266417847</v>
      </c>
      <c r="E263" s="459">
        <f t="shared" si="120"/>
        <v>378.28631711225114</v>
      </c>
      <c r="F263" s="459">
        <f t="shared" si="120"/>
        <v>426.32797367323974</v>
      </c>
      <c r="G263" s="459">
        <f t="shared" si="120"/>
        <v>466.96908407640524</v>
      </c>
      <c r="H263" s="459">
        <f t="shared" si="120"/>
        <v>472.18754726836841</v>
      </c>
      <c r="I263" s="459">
        <f t="shared" si="120"/>
        <v>471.59528435018393</v>
      </c>
      <c r="J263" s="459">
        <f t="shared" si="120"/>
        <v>471.78262635237564</v>
      </c>
      <c r="K263" s="459">
        <f t="shared" si="120"/>
        <v>472.86172920245974</v>
      </c>
      <c r="L263" s="459">
        <f t="shared" si="120"/>
        <v>467.49903357603137</v>
      </c>
      <c r="M263" s="459">
        <f t="shared" si="120"/>
        <v>460.40604953707322</v>
      </c>
      <c r="N263" s="459">
        <f t="shared" si="120"/>
        <v>453.20186006449757</v>
      </c>
    </row>
    <row r="264" spans="1:14">
      <c r="B264" s="338" t="str">
        <f t="shared" si="117"/>
        <v>25-29</v>
      </c>
      <c r="C264" s="459">
        <f t="shared" si="119"/>
        <v>990.93999637141314</v>
      </c>
      <c r="D264" s="459">
        <f t="shared" ref="D264:N264" si="121">D94-D230</f>
        <v>922.11083871066785</v>
      </c>
      <c r="E264" s="459">
        <f t="shared" si="121"/>
        <v>886.85882670252306</v>
      </c>
      <c r="F264" s="459">
        <f t="shared" si="121"/>
        <v>908.46871972850352</v>
      </c>
      <c r="G264" s="459">
        <f t="shared" si="121"/>
        <v>940.8122838463197</v>
      </c>
      <c r="H264" s="459">
        <f t="shared" si="121"/>
        <v>940.58905324115608</v>
      </c>
      <c r="I264" s="459">
        <f t="shared" si="121"/>
        <v>935.77526558247325</v>
      </c>
      <c r="J264" s="459">
        <f t="shared" si="121"/>
        <v>932.99094409051611</v>
      </c>
      <c r="K264" s="459">
        <f t="shared" si="121"/>
        <v>932.24121419846756</v>
      </c>
      <c r="L264" s="459">
        <f t="shared" si="121"/>
        <v>923.96186631497551</v>
      </c>
      <c r="M264" s="459">
        <f t="shared" si="121"/>
        <v>912.8188010004144</v>
      </c>
      <c r="N264" s="459">
        <f t="shared" si="121"/>
        <v>900.75776818124541</v>
      </c>
    </row>
    <row r="265" spans="1:14">
      <c r="B265" s="338" t="str">
        <f t="shared" si="117"/>
        <v>30-34</v>
      </c>
      <c r="C265" s="459">
        <f t="shared" si="119"/>
        <v>1036.1332114201984</v>
      </c>
      <c r="D265" s="459">
        <f t="shared" ref="D265:N265" si="122">D95-D231</f>
        <v>1020.9578603691469</v>
      </c>
      <c r="E265" s="459">
        <f t="shared" si="122"/>
        <v>1004.3813847005496</v>
      </c>
      <c r="F265" s="459">
        <f t="shared" si="122"/>
        <v>1012.2073658374314</v>
      </c>
      <c r="G265" s="459">
        <f t="shared" si="122"/>
        <v>1026.732881597756</v>
      </c>
      <c r="H265" s="459">
        <f t="shared" si="122"/>
        <v>1024.4654149305579</v>
      </c>
      <c r="I265" s="459">
        <f t="shared" si="122"/>
        <v>1019.3906632756456</v>
      </c>
      <c r="J265" s="459">
        <f t="shared" si="122"/>
        <v>1015.3112324543536</v>
      </c>
      <c r="K265" s="459">
        <f t="shared" si="122"/>
        <v>1012.5845936510334</v>
      </c>
      <c r="L265" s="459">
        <f t="shared" si="122"/>
        <v>1005.662896992153</v>
      </c>
      <c r="M265" s="459">
        <f t="shared" si="122"/>
        <v>996.58275940493445</v>
      </c>
      <c r="N265" s="459">
        <f t="shared" si="122"/>
        <v>986.29818143056832</v>
      </c>
    </row>
    <row r="266" spans="1:14">
      <c r="B266" s="338" t="str">
        <f t="shared" si="117"/>
        <v>35-39</v>
      </c>
      <c r="C266" s="459">
        <f t="shared" si="119"/>
        <v>987.69389824424479</v>
      </c>
      <c r="D266" s="459">
        <f t="shared" ref="D266:N266" si="123">D96-D232</f>
        <v>973.50369968539394</v>
      </c>
      <c r="E266" s="459">
        <f t="shared" si="123"/>
        <v>964.79326175918982</v>
      </c>
      <c r="F266" s="459">
        <f t="shared" si="123"/>
        <v>972.39423835027867</v>
      </c>
      <c r="G266" s="459">
        <f t="shared" si="123"/>
        <v>982.60940734592566</v>
      </c>
      <c r="H266" s="459">
        <f t="shared" si="123"/>
        <v>980.65407056270976</v>
      </c>
      <c r="I266" s="459">
        <f t="shared" si="123"/>
        <v>976.60224561333803</v>
      </c>
      <c r="J266" s="459">
        <f t="shared" si="123"/>
        <v>973.00451012427186</v>
      </c>
      <c r="K266" s="459">
        <f t="shared" si="123"/>
        <v>970.09306999251237</v>
      </c>
      <c r="L266" s="459">
        <f t="shared" si="123"/>
        <v>964.33419220212238</v>
      </c>
      <c r="M266" s="459">
        <f t="shared" si="123"/>
        <v>957.17611413386805</v>
      </c>
      <c r="N266" s="459">
        <f t="shared" si="123"/>
        <v>949.1665334832519</v>
      </c>
    </row>
    <row r="267" spans="1:14">
      <c r="B267" s="338" t="str">
        <f t="shared" si="117"/>
        <v>40-44</v>
      </c>
      <c r="C267" s="459">
        <f t="shared" si="119"/>
        <v>793.0793253601986</v>
      </c>
      <c r="D267" s="459">
        <f t="shared" ref="D267:N267" si="124">D97-D233</f>
        <v>817.01273613690898</v>
      </c>
      <c r="E267" s="459">
        <f t="shared" si="124"/>
        <v>835.83883278451685</v>
      </c>
      <c r="F267" s="459">
        <f t="shared" si="124"/>
        <v>862.3652686811439</v>
      </c>
      <c r="G267" s="459">
        <f t="shared" si="124"/>
        <v>886.04663951772557</v>
      </c>
      <c r="H267" s="459">
        <f t="shared" si="124"/>
        <v>895.32700404571369</v>
      </c>
      <c r="I267" s="459">
        <f t="shared" si="124"/>
        <v>899.99243621619803</v>
      </c>
      <c r="J267" s="459">
        <f t="shared" si="124"/>
        <v>902.95196984280346</v>
      </c>
      <c r="K267" s="459">
        <f t="shared" si="124"/>
        <v>904.87597178251383</v>
      </c>
      <c r="L267" s="459">
        <f t="shared" si="124"/>
        <v>903.15813584206842</v>
      </c>
      <c r="M267" s="459">
        <f t="shared" si="124"/>
        <v>899.44182254014675</v>
      </c>
      <c r="N267" s="459">
        <f t="shared" si="124"/>
        <v>894.46712008008433</v>
      </c>
    </row>
    <row r="268" spans="1:14">
      <c r="B268" s="338" t="str">
        <f t="shared" si="117"/>
        <v>45-49</v>
      </c>
      <c r="C268" s="459">
        <f t="shared" si="119"/>
        <v>483.84907419620941</v>
      </c>
      <c r="D268" s="459">
        <f t="shared" ref="D268:N268" si="125">D98-D234</f>
        <v>538.56646860774958</v>
      </c>
      <c r="E268" s="459">
        <f t="shared" si="125"/>
        <v>586.06867905981574</v>
      </c>
      <c r="F268" s="459">
        <f t="shared" si="125"/>
        <v>635.76999999171312</v>
      </c>
      <c r="G268" s="459">
        <f t="shared" si="125"/>
        <v>679.19458941990933</v>
      </c>
      <c r="H268" s="459">
        <f t="shared" si="125"/>
        <v>707.2114455698279</v>
      </c>
      <c r="I268" s="459">
        <f t="shared" si="125"/>
        <v>727.9653633730037</v>
      </c>
      <c r="J268" s="459">
        <f t="shared" si="125"/>
        <v>744.23676000840237</v>
      </c>
      <c r="K268" s="459">
        <f t="shared" si="125"/>
        <v>757.02502693134193</v>
      </c>
      <c r="L268" s="459">
        <f t="shared" si="125"/>
        <v>764.65406685550602</v>
      </c>
      <c r="M268" s="459">
        <f t="shared" si="125"/>
        <v>768.81757717958328</v>
      </c>
      <c r="N268" s="459">
        <f t="shared" si="125"/>
        <v>770.46003689465306</v>
      </c>
    </row>
    <row r="269" spans="1:14">
      <c r="B269" s="338" t="str">
        <f t="shared" si="117"/>
        <v>50-54</v>
      </c>
      <c r="C269" s="459">
        <f t="shared" si="119"/>
        <v>328.22470547474057</v>
      </c>
      <c r="D269" s="459">
        <f t="shared" ref="D269:N269" si="126">D99-D235</f>
        <v>349.54239247390177</v>
      </c>
      <c r="E269" s="459">
        <f t="shared" si="126"/>
        <v>376.7794805741305</v>
      </c>
      <c r="F269" s="459">
        <f t="shared" si="126"/>
        <v>413.10080473567808</v>
      </c>
      <c r="G269" s="459">
        <f t="shared" si="126"/>
        <v>449.53386672772501</v>
      </c>
      <c r="H269" s="459">
        <f t="shared" si="126"/>
        <v>477.42428830809286</v>
      </c>
      <c r="I269" s="459">
        <f t="shared" si="126"/>
        <v>501.30856317625307</v>
      </c>
      <c r="J269" s="459">
        <f t="shared" si="126"/>
        <v>522.25690053227208</v>
      </c>
      <c r="K269" s="459">
        <f t="shared" si="126"/>
        <v>540.38669082181423</v>
      </c>
      <c r="L269" s="459">
        <f t="shared" si="126"/>
        <v>554.11514143128318</v>
      </c>
      <c r="M269" s="459">
        <f t="shared" si="126"/>
        <v>564.48874344501291</v>
      </c>
      <c r="N269" s="459">
        <f t="shared" si="126"/>
        <v>572.12318777259247</v>
      </c>
    </row>
    <row r="270" spans="1:14">
      <c r="B270" s="338" t="str">
        <f t="shared" si="117"/>
        <v>55-59</v>
      </c>
      <c r="C270" s="459">
        <f t="shared" si="119"/>
        <v>242.61661699682941</v>
      </c>
      <c r="D270" s="459">
        <f t="shared" ref="D270:N270" si="127">D100-D236</f>
        <v>212.20326851949747</v>
      </c>
      <c r="E270" s="459">
        <f t="shared" si="127"/>
        <v>198.37152617978285</v>
      </c>
      <c r="F270" s="459">
        <f t="shared" si="127"/>
        <v>199.01598900474545</v>
      </c>
      <c r="G270" s="459">
        <f t="shared" si="127"/>
        <v>205.79182424061204</v>
      </c>
      <c r="H270" s="459">
        <f t="shared" si="127"/>
        <v>211.89585930902032</v>
      </c>
      <c r="I270" s="459">
        <f t="shared" si="127"/>
        <v>219.14866185758893</v>
      </c>
      <c r="J270" s="459">
        <f t="shared" si="127"/>
        <v>227.20839672567348</v>
      </c>
      <c r="K270" s="459">
        <f t="shared" si="127"/>
        <v>235.36073186011265</v>
      </c>
      <c r="L270" s="459">
        <f t="shared" si="127"/>
        <v>242.11395681472877</v>
      </c>
      <c r="M270" s="459">
        <f t="shared" si="127"/>
        <v>247.77924709166717</v>
      </c>
      <c r="N270" s="459">
        <f t="shared" si="127"/>
        <v>252.44712433108919</v>
      </c>
    </row>
    <row r="271" spans="1:14">
      <c r="B271" s="338" t="str">
        <f t="shared" si="117"/>
        <v>60-64</v>
      </c>
      <c r="C271" s="459">
        <f t="shared" si="119"/>
        <v>77.511051952691474</v>
      </c>
      <c r="D271" s="459">
        <f t="shared" ref="D271:N271" si="128">D101-D237</f>
        <v>70.400602981628197</v>
      </c>
      <c r="E271" s="459">
        <f t="shared" si="128"/>
        <v>64.161048295119627</v>
      </c>
      <c r="F271" s="459">
        <f t="shared" si="128"/>
        <v>61.712447789867511</v>
      </c>
      <c r="G271" s="459">
        <f t="shared" si="128"/>
        <v>61.037240314179527</v>
      </c>
      <c r="H271" s="459">
        <f t="shared" si="128"/>
        <v>60.072894718526221</v>
      </c>
      <c r="I271" s="459">
        <f t="shared" si="128"/>
        <v>60.071489630817211</v>
      </c>
      <c r="J271" s="459">
        <f t="shared" si="128"/>
        <v>60.942010639188979</v>
      </c>
      <c r="K271" s="459">
        <f t="shared" si="128"/>
        <v>62.326723900095502</v>
      </c>
      <c r="L271" s="459">
        <f t="shared" si="128"/>
        <v>63.53326781726463</v>
      </c>
      <c r="M271" s="459">
        <f t="shared" si="128"/>
        <v>64.669735962355688</v>
      </c>
      <c r="N271" s="459">
        <f t="shared" si="128"/>
        <v>65.716471485548226</v>
      </c>
    </row>
    <row r="272" spans="1:14">
      <c r="B272" s="338" t="str">
        <f t="shared" si="117"/>
        <v>65 plus</v>
      </c>
      <c r="C272" s="459">
        <f t="shared" si="119"/>
        <v>13.175431462405356</v>
      </c>
      <c r="D272" s="459">
        <f t="shared" ref="D272:N272" si="129">D102-D238</f>
        <v>16.444122402292436</v>
      </c>
      <c r="E272" s="459">
        <f t="shared" si="129"/>
        <v>17.532950865615099</v>
      </c>
      <c r="F272" s="459">
        <f t="shared" si="129"/>
        <v>18.102847054097303</v>
      </c>
      <c r="G272" s="459">
        <f t="shared" si="129"/>
        <v>18.264305443581094</v>
      </c>
      <c r="H272" s="459">
        <f t="shared" si="129"/>
        <v>17.815705048901489</v>
      </c>
      <c r="I272" s="459">
        <f t="shared" si="129"/>
        <v>17.413266355154949</v>
      </c>
      <c r="J272" s="459">
        <f t="shared" si="129"/>
        <v>17.225005167239747</v>
      </c>
      <c r="K272" s="459">
        <f t="shared" si="129"/>
        <v>17.236269912307183</v>
      </c>
      <c r="L272" s="459">
        <f t="shared" si="129"/>
        <v>17.260693820157183</v>
      </c>
      <c r="M272" s="459">
        <f t="shared" si="129"/>
        <v>17.329650995307713</v>
      </c>
      <c r="N272" s="459">
        <f t="shared" si="129"/>
        <v>17.435577349995111</v>
      </c>
    </row>
    <row r="273" spans="1:15">
      <c r="B273" s="338" t="str">
        <f t="shared" si="117"/>
        <v>Total</v>
      </c>
      <c r="C273" s="459">
        <f>SUM(C263:C272)</f>
        <v>5295.181083949703</v>
      </c>
      <c r="D273" s="459">
        <f t="shared" ref="D273:N273" si="130">SUM(D263:D272)</f>
        <v>5278.7201925513646</v>
      </c>
      <c r="E273" s="459">
        <f t="shared" si="130"/>
        <v>5313.0723080334938</v>
      </c>
      <c r="F273" s="459">
        <f t="shared" si="130"/>
        <v>5509.4656548466983</v>
      </c>
      <c r="G273" s="459">
        <f t="shared" si="130"/>
        <v>5716.9921225301387</v>
      </c>
      <c r="H273" s="459">
        <f t="shared" si="130"/>
        <v>5787.6432830028762</v>
      </c>
      <c r="I273" s="459">
        <f t="shared" si="130"/>
        <v>5829.2632394306574</v>
      </c>
      <c r="J273" s="459">
        <f t="shared" si="130"/>
        <v>5867.9103559370969</v>
      </c>
      <c r="K273" s="459">
        <f t="shared" si="130"/>
        <v>5904.992022252658</v>
      </c>
      <c r="L273" s="459">
        <f t="shared" si="130"/>
        <v>5906.2932516662913</v>
      </c>
      <c r="M273" s="459">
        <f t="shared" si="130"/>
        <v>5889.5105012903641</v>
      </c>
      <c r="N273" s="459">
        <f t="shared" si="130"/>
        <v>5862.0738610735243</v>
      </c>
    </row>
    <row r="274" spans="1:15">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5" ht="15.75">
      <c r="B275" s="340"/>
      <c r="H275" s="327"/>
    </row>
    <row r="276" spans="1:15" ht="15.75">
      <c r="B276" s="340" t="s">
        <v>1621</v>
      </c>
      <c r="H276" s="327"/>
    </row>
    <row r="277" spans="1:15" ht="15.75">
      <c r="B277" s="340"/>
      <c r="H277" s="327"/>
    </row>
    <row r="278" spans="1:15"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5">
      <c r="B279" s="326" t="s">
        <v>203</v>
      </c>
      <c r="C279" s="459">
        <f>C223+C239</f>
        <v>1120.0766451035138</v>
      </c>
      <c r="D279" s="459">
        <f t="shared" ref="D279:N279" si="133">D223+D239</f>
        <v>1103.0136488420408</v>
      </c>
      <c r="E279" s="459">
        <f t="shared" si="133"/>
        <v>1100.0289701509305</v>
      </c>
      <c r="F279" s="459">
        <f t="shared" si="133"/>
        <v>1136.319375032532</v>
      </c>
      <c r="G279" s="459">
        <f t="shared" si="133"/>
        <v>1177.8645744669245</v>
      </c>
      <c r="H279" s="459">
        <f t="shared" si="133"/>
        <v>1191.8792146251897</v>
      </c>
      <c r="I279" s="459">
        <f t="shared" si="133"/>
        <v>1202.010444938092</v>
      </c>
      <c r="J279" s="459">
        <f t="shared" si="133"/>
        <v>1213.2208577836529</v>
      </c>
      <c r="K279" s="459">
        <f t="shared" si="133"/>
        <v>1225.0738955961892</v>
      </c>
      <c r="L279" s="459">
        <f t="shared" si="133"/>
        <v>1229.5676158004023</v>
      </c>
      <c r="M279" s="459">
        <f t="shared" si="133"/>
        <v>1230.3867560037511</v>
      </c>
      <c r="N279" s="459">
        <f t="shared" si="133"/>
        <v>1228.9487883411109</v>
      </c>
      <c r="O279" s="327"/>
    </row>
    <row r="280" spans="1:15">
      <c r="B280" s="326" t="s">
        <v>204</v>
      </c>
      <c r="C280" s="459">
        <f>C155+C171</f>
        <v>282.93906523353979</v>
      </c>
      <c r="D280" s="459">
        <f t="shared" ref="D280:N280" si="134">D155+D171</f>
        <v>263.6655797527676</v>
      </c>
      <c r="E280" s="459">
        <f t="shared" si="134"/>
        <v>250.31365738377329</v>
      </c>
      <c r="F280" s="459">
        <f t="shared" si="134"/>
        <v>248.23052639122199</v>
      </c>
      <c r="G280" s="459">
        <f t="shared" si="134"/>
        <v>250.72407504390952</v>
      </c>
      <c r="H280" s="459">
        <f t="shared" si="134"/>
        <v>251.25570411953959</v>
      </c>
      <c r="I280" s="459">
        <f t="shared" si="134"/>
        <v>253.46464310407674</v>
      </c>
      <c r="J280" s="459">
        <f t="shared" si="134"/>
        <v>257.41697751913046</v>
      </c>
      <c r="K280" s="459">
        <f t="shared" si="134"/>
        <v>262.33723124892663</v>
      </c>
      <c r="L280" s="459">
        <f t="shared" si="134"/>
        <v>266.30271712058607</v>
      </c>
      <c r="M280" s="459">
        <f t="shared" si="134"/>
        <v>269.69556670101969</v>
      </c>
      <c r="N280" s="459">
        <f t="shared" si="134"/>
        <v>272.55868157031034</v>
      </c>
      <c r="O280" s="327"/>
    </row>
    <row r="281" spans="1:15">
      <c r="B281" s="326" t="s">
        <v>525</v>
      </c>
      <c r="C281" s="459">
        <f>C189+C205</f>
        <v>5.6466858154316242</v>
      </c>
      <c r="D281" s="459">
        <f t="shared" ref="D281:N281" si="135">D189+D205</f>
        <v>5.6926838892168599</v>
      </c>
      <c r="E281" s="459">
        <f t="shared" si="135"/>
        <v>5.7086985830882746</v>
      </c>
      <c r="F281" s="459">
        <f t="shared" si="135"/>
        <v>5.8309360513443131</v>
      </c>
      <c r="G281" s="459">
        <f t="shared" si="135"/>
        <v>5.9697088556902873</v>
      </c>
      <c r="H281" s="459">
        <f t="shared" si="135"/>
        <v>6.0212086639425486</v>
      </c>
      <c r="I281" s="459">
        <f t="shared" si="135"/>
        <v>6.0686605687524917</v>
      </c>
      <c r="J281" s="459">
        <f t="shared" si="135"/>
        <v>6.1283583875281913</v>
      </c>
      <c r="K281" s="459">
        <f t="shared" si="135"/>
        <v>6.1963900027234278</v>
      </c>
      <c r="L281" s="459">
        <f t="shared" si="135"/>
        <v>6.2419107582179159</v>
      </c>
      <c r="M281" s="459">
        <f t="shared" si="135"/>
        <v>6.2747937544883507</v>
      </c>
      <c r="N281" s="459">
        <f t="shared" si="135"/>
        <v>6.298038094306337</v>
      </c>
      <c r="O281" s="327"/>
    </row>
    <row r="282" spans="1:15">
      <c r="B282" s="326" t="s">
        <v>205</v>
      </c>
      <c r="C282" s="459">
        <f>C121+C137</f>
        <v>831.49089405454242</v>
      </c>
      <c r="D282" s="459">
        <f t="shared" ref="D282:N282" si="136">D121+D137</f>
        <v>833.65538520005634</v>
      </c>
      <c r="E282" s="459">
        <f t="shared" si="136"/>
        <v>844.00661418406889</v>
      </c>
      <c r="F282" s="459">
        <f t="shared" si="136"/>
        <v>882.2579125899656</v>
      </c>
      <c r="G282" s="459">
        <f t="shared" si="136"/>
        <v>921.17079056732473</v>
      </c>
      <c r="H282" s="459">
        <f t="shared" si="136"/>
        <v>934.60230184170746</v>
      </c>
      <c r="I282" s="459">
        <f t="shared" si="136"/>
        <v>942.47714126526239</v>
      </c>
      <c r="J282" s="459">
        <f t="shared" si="136"/>
        <v>949.67552187699448</v>
      </c>
      <c r="K282" s="459">
        <f t="shared" si="136"/>
        <v>956.54027434453906</v>
      </c>
      <c r="L282" s="459">
        <f t="shared" si="136"/>
        <v>957.02298792159854</v>
      </c>
      <c r="M282" s="459">
        <f t="shared" si="136"/>
        <v>954.41639554824292</v>
      </c>
      <c r="N282" s="459">
        <f t="shared" si="136"/>
        <v>950.09206867649414</v>
      </c>
      <c r="O282" s="327"/>
    </row>
    <row r="283" spans="1:15"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5" ht="15.75">
      <c r="B284" s="340"/>
      <c r="H284" s="327"/>
    </row>
    <row r="285" spans="1:15" ht="15.75">
      <c r="B285" s="340" t="s">
        <v>1622</v>
      </c>
      <c r="F285" s="364"/>
      <c r="G285" s="364" t="s">
        <v>265</v>
      </c>
      <c r="H285" s="327"/>
    </row>
    <row r="286" spans="1:15" ht="15.75">
      <c r="B286" s="340"/>
      <c r="H286" s="327"/>
    </row>
    <row r="287" spans="1:15" ht="15.75">
      <c r="B287" s="340" t="s">
        <v>199</v>
      </c>
      <c r="H287" s="327"/>
    </row>
    <row r="288" spans="1:15" ht="15.75">
      <c r="B288" s="340"/>
      <c r="H288" s="327"/>
    </row>
    <row r="289" spans="2:18"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8"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c r="O290" s="327"/>
      <c r="P290" s="327"/>
      <c r="Q290" s="327"/>
      <c r="R290" s="327"/>
    </row>
    <row r="291" spans="2:18" ht="15.75">
      <c r="B291" s="340"/>
      <c r="H291" s="327"/>
    </row>
    <row r="292" spans="2:18" ht="15.75">
      <c r="B292" s="340" t="s">
        <v>263</v>
      </c>
      <c r="H292" s="327"/>
    </row>
    <row r="293" spans="2:18"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8">
      <c r="B294" s="363" t="s">
        <v>266</v>
      </c>
      <c r="C294" s="459">
        <f>C36-C15+C279-C290</f>
        <v>1091.6578874521288</v>
      </c>
      <c r="D294" s="459">
        <f>D36-D15+D279-D290</f>
        <v>1176.8486226628406</v>
      </c>
      <c r="E294" s="459">
        <f>E36-E15+E279-E290</f>
        <v>1499.4767458204792</v>
      </c>
      <c r="F294" s="459">
        <f t="shared" ref="F294:N294" si="141">F36-F15+F279-F290</f>
        <v>1559.9435854724363</v>
      </c>
      <c r="G294" s="459">
        <f t="shared" si="141"/>
        <v>1330.3897823669502</v>
      </c>
      <c r="H294" s="459">
        <f t="shared" si="141"/>
        <v>1288.7634130233025</v>
      </c>
      <c r="I294" s="459">
        <f t="shared" si="141"/>
        <v>1294.644023061835</v>
      </c>
      <c r="J294" s="459">
        <f t="shared" si="141"/>
        <v>1303.7414380971634</v>
      </c>
      <c r="K294" s="459">
        <f t="shared" si="141"/>
        <v>1244.6928236847466</v>
      </c>
      <c r="L294" s="459">
        <f t="shared" si="141"/>
        <v>1213.3361672022436</v>
      </c>
      <c r="M294" s="459">
        <f t="shared" si="141"/>
        <v>1192.8208878862974</v>
      </c>
      <c r="N294" s="459">
        <f t="shared" si="141"/>
        <v>1204.3424150166754</v>
      </c>
    </row>
    <row r="295" spans="2:18" ht="12.75" customHeight="1">
      <c r="B295" s="1243" t="s">
        <v>264</v>
      </c>
      <c r="C295" s="1243"/>
      <c r="D295" s="1243"/>
      <c r="E295" s="1243"/>
      <c r="F295" s="1243"/>
      <c r="G295" s="1243"/>
      <c r="H295" s="1243"/>
      <c r="I295" s="1243"/>
      <c r="J295" s="1243"/>
      <c r="K295" s="1243"/>
      <c r="L295" s="1243"/>
      <c r="M295" s="1243"/>
      <c r="N295" s="1243"/>
    </row>
    <row r="296" spans="2:18">
      <c r="B296" s="326" t="s">
        <v>4</v>
      </c>
      <c r="C296" s="282">
        <f>IF(C294&lt;0,0,C294)</f>
        <v>1091.6578874521288</v>
      </c>
      <c r="D296" s="282">
        <f t="shared" ref="D296:N296" si="142">IF(D294&lt;0,0,D294)</f>
        <v>1176.8486226628406</v>
      </c>
      <c r="E296" s="282">
        <f t="shared" si="142"/>
        <v>1499.4767458204792</v>
      </c>
      <c r="F296" s="282">
        <f t="shared" si="142"/>
        <v>1559.9435854724363</v>
      </c>
      <c r="G296" s="282">
        <f t="shared" si="142"/>
        <v>1330.3897823669502</v>
      </c>
      <c r="H296" s="282">
        <f t="shared" si="142"/>
        <v>1288.7634130233025</v>
      </c>
      <c r="I296" s="282">
        <f t="shared" si="142"/>
        <v>1294.644023061835</v>
      </c>
      <c r="J296" s="282">
        <f t="shared" si="142"/>
        <v>1303.7414380971634</v>
      </c>
      <c r="K296" s="282">
        <f t="shared" si="142"/>
        <v>1244.6928236847466</v>
      </c>
      <c r="L296" s="282">
        <f t="shared" si="142"/>
        <v>1213.3361672022436</v>
      </c>
      <c r="M296" s="282">
        <f t="shared" si="142"/>
        <v>1192.8208878862974</v>
      </c>
      <c r="N296" s="282">
        <f t="shared" si="142"/>
        <v>1204.3424150166754</v>
      </c>
    </row>
    <row r="297" spans="2:18" ht="15.75">
      <c r="B297" s="340"/>
      <c r="H297" s="327"/>
    </row>
    <row r="298" spans="2:18" ht="15.75">
      <c r="B298" s="340" t="s">
        <v>162</v>
      </c>
      <c r="H298" s="327"/>
    </row>
    <row r="299" spans="2:18" ht="15.75">
      <c r="B299" s="340"/>
      <c r="H299" s="327"/>
    </row>
    <row r="300" spans="2:18">
      <c r="B300" s="341" t="s">
        <v>49</v>
      </c>
      <c r="H300" s="325"/>
    </row>
    <row r="301" spans="2:18">
      <c r="H301" s="325"/>
    </row>
    <row r="302" spans="2:18">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8">
      <c r="B303" s="338" t="str">
        <f t="shared" si="143"/>
        <v>20-24</v>
      </c>
      <c r="C303" s="459">
        <f>C$296*Entrant_age_breakdowns!$K76*$G$31</f>
        <v>123.12015166029403</v>
      </c>
      <c r="D303" s="459">
        <f>D$296*Entrant_age_breakdowns!$K76*$G$31</f>
        <v>132.72819494908924</v>
      </c>
      <c r="E303" s="459">
        <f>E$296*Entrant_age_breakdowns!$K76*$G$31</f>
        <v>169.11507394261128</v>
      </c>
      <c r="F303" s="459">
        <f>F$296*Entrant_age_breakdowns!$K76*$G$31</f>
        <v>175.93468890984528</v>
      </c>
      <c r="G303" s="459">
        <f>G$296*Entrant_age_breakdowns!$K76*$G$31</f>
        <v>150.04498538880139</v>
      </c>
      <c r="H303" s="459">
        <f>H$296*Entrant_age_breakdowns!$K76*$G$31</f>
        <v>145.35025000918637</v>
      </c>
      <c r="I303" s="459">
        <f>I$296*Entrant_age_breakdowns!$K76*$G$31</f>
        <v>146.01348123585666</v>
      </c>
      <c r="J303" s="459">
        <f>J$296*Entrant_age_breakdowns!$K76*$G$31</f>
        <v>147.03951249687788</v>
      </c>
      <c r="K303" s="459">
        <f>K$296*Entrant_age_breakdowns!$K76*$G$31</f>
        <v>140.37984883727208</v>
      </c>
      <c r="L303" s="459">
        <f>L$296*Entrant_age_breakdowns!$K76*$G$31</f>
        <v>136.84335966235662</v>
      </c>
      <c r="M303" s="459">
        <f>M$296*Entrant_age_breakdowns!$K76*$G$31</f>
        <v>134.52959055047143</v>
      </c>
      <c r="N303" s="459">
        <f>N$296*Entrant_age_breakdowns!$K76*$G$31</f>
        <v>135.82901978004546</v>
      </c>
      <c r="O303" s="327"/>
      <c r="P303" s="327"/>
    </row>
    <row r="304" spans="2:18">
      <c r="B304" s="338" t="str">
        <f t="shared" si="143"/>
        <v>25-29</v>
      </c>
      <c r="C304" s="459">
        <f>C$296*Entrant_age_breakdowns!$K77*$G$31</f>
        <v>127.30356360851198</v>
      </c>
      <c r="D304" s="459">
        <f>D$296*Entrant_age_breakdowns!$K77*$G$31</f>
        <v>137.23807175745651</v>
      </c>
      <c r="E304" s="459">
        <f>E$296*Entrant_age_breakdowns!$K77*$G$31</f>
        <v>174.86131459789664</v>
      </c>
      <c r="F304" s="459">
        <f>F$296*Entrant_age_breakdowns!$K77*$G$31</f>
        <v>181.91264840523485</v>
      </c>
      <c r="G304" s="459">
        <f>G$296*Entrant_age_breakdowns!$K77*$G$31</f>
        <v>155.14325708665973</v>
      </c>
      <c r="H304" s="459">
        <f>H$296*Entrant_age_breakdowns!$K77*$G$31</f>
        <v>150.28900263712839</v>
      </c>
      <c r="I304" s="459">
        <f>I$296*Entrant_age_breakdowns!$K77*$G$31</f>
        <v>150.9747693253025</v>
      </c>
      <c r="J304" s="459">
        <f>J$296*Entrant_age_breakdowns!$K77*$G$31</f>
        <v>152.03566337181186</v>
      </c>
      <c r="K304" s="459">
        <f>K$296*Entrant_age_breakdowns!$K77*$G$31</f>
        <v>145.14971574366794</v>
      </c>
      <c r="L304" s="459">
        <f>L$296*Entrant_age_breakdowns!$K77*$G$31</f>
        <v>141.49306272173331</v>
      </c>
      <c r="M304" s="459">
        <f>M$296*Entrant_age_breakdowns!$K77*$G$31</f>
        <v>139.1006756970406</v>
      </c>
      <c r="N304" s="459">
        <f>N$296*Entrant_age_breakdowns!$K77*$G$31</f>
        <v>140.44425730696469</v>
      </c>
      <c r="O304" s="327"/>
      <c r="P304" s="327"/>
    </row>
    <row r="305" spans="1:16">
      <c r="B305" s="338" t="str">
        <f t="shared" si="143"/>
        <v>30-34</v>
      </c>
      <c r="C305" s="459">
        <f>C$296*Entrant_age_breakdowns!$K78*$G$31</f>
        <v>63.195396172796016</v>
      </c>
      <c r="D305" s="459">
        <f>D$296*Entrant_age_breakdowns!$K78*$G$31</f>
        <v>68.127034851702902</v>
      </c>
      <c r="E305" s="459">
        <f>E$296*Entrant_age_breakdowns!$K78*$G$31</f>
        <v>86.803776250071337</v>
      </c>
      <c r="F305" s="459">
        <f>F$296*Entrant_age_breakdowns!$K78*$G$31</f>
        <v>90.30416399154673</v>
      </c>
      <c r="G305" s="459">
        <f>G$296*Entrant_age_breakdowns!$K78*$G$31</f>
        <v>77.015437095539795</v>
      </c>
      <c r="H305" s="459">
        <f>H$296*Entrant_age_breakdowns!$K78*$G$31</f>
        <v>74.605712462810203</v>
      </c>
      <c r="I305" s="459">
        <f>I$296*Entrant_age_breakdowns!$K78*$G$31</f>
        <v>74.94613732062912</v>
      </c>
      <c r="J305" s="459">
        <f>J$296*Entrant_age_breakdowns!$K78*$G$31</f>
        <v>75.472781019093802</v>
      </c>
      <c r="K305" s="459">
        <f>K$296*Entrant_age_breakdowns!$K78*$G$31</f>
        <v>72.054493454702438</v>
      </c>
      <c r="L305" s="459">
        <f>L$296*Entrant_age_breakdowns!$K78*$G$31</f>
        <v>70.239276112490046</v>
      </c>
      <c r="M305" s="459">
        <f>M$296*Entrant_age_breakdowns!$K78*$G$31</f>
        <v>69.051659351901534</v>
      </c>
      <c r="N305" s="459">
        <f>N$296*Entrant_age_breakdowns!$K78*$G$31</f>
        <v>69.718633391927227</v>
      </c>
      <c r="O305" s="327"/>
      <c r="P305" s="327"/>
    </row>
    <row r="306" spans="1:16">
      <c r="B306" s="338" t="str">
        <f t="shared" si="143"/>
        <v>35-39</v>
      </c>
      <c r="C306" s="459">
        <f>C$296*Entrant_age_breakdowns!$K79*$G$31</f>
        <v>45.155911900691464</v>
      </c>
      <c r="D306" s="459">
        <f>D$296*Entrant_age_breakdowns!$K79*$G$31</f>
        <v>48.679786347207319</v>
      </c>
      <c r="E306" s="459">
        <f>E$296*Entrant_age_breakdowns!$K79*$G$31</f>
        <v>62.025145981803121</v>
      </c>
      <c r="F306" s="459">
        <f>F$296*Entrant_age_breakdowns!$K79*$G$31</f>
        <v>64.526328188812769</v>
      </c>
      <c r="G306" s="459">
        <f>G$296*Entrant_age_breakdowns!$K79*$G$31</f>
        <v>55.030943756888753</v>
      </c>
      <c r="H306" s="459">
        <f>H$296*Entrant_age_breakdowns!$K79*$G$31</f>
        <v>53.30908868815979</v>
      </c>
      <c r="I306" s="459">
        <f>I$296*Entrant_age_breakdowns!$K79*$G$31</f>
        <v>53.552337339476786</v>
      </c>
      <c r="J306" s="459">
        <f>J$296*Entrant_age_breakdowns!$K79*$G$31</f>
        <v>53.928647607172557</v>
      </c>
      <c r="K306" s="459">
        <f>K$296*Entrant_age_breakdowns!$K79*$G$31</f>
        <v>51.486129616038717</v>
      </c>
      <c r="L306" s="459">
        <f>L$296*Entrant_age_breakdowns!$K79*$G$31</f>
        <v>50.18907635979479</v>
      </c>
      <c r="M306" s="459">
        <f>M$296*Entrant_age_breakdowns!$K79*$G$31</f>
        <v>49.340471539496114</v>
      </c>
      <c r="N306" s="459">
        <f>N$296*Entrant_age_breakdowns!$K79*$G$31</f>
        <v>49.817054056822165</v>
      </c>
      <c r="O306" s="327"/>
      <c r="P306" s="327"/>
    </row>
    <row r="307" spans="1:16">
      <c r="B307" s="338" t="str">
        <f t="shared" si="143"/>
        <v>40-44</v>
      </c>
      <c r="C307" s="459">
        <f>C$296*Entrant_age_breakdowns!$K80*$G$31</f>
        <v>39.232683872451432</v>
      </c>
      <c r="D307" s="459">
        <f>D$296*Entrant_age_breakdowns!$K80*$G$31</f>
        <v>42.294321791987045</v>
      </c>
      <c r="E307" s="459">
        <f>E$296*Entrant_age_breakdowns!$K80*$G$31</f>
        <v>53.889133050803714</v>
      </c>
      <c r="F307" s="459">
        <f>F$296*Entrant_age_breakdowns!$K80*$G$31</f>
        <v>56.062228149642984</v>
      </c>
      <c r="G307" s="459">
        <f>G$296*Entrant_age_breakdowns!$K80*$G$31</f>
        <v>47.812380012717902</v>
      </c>
      <c r="H307" s="459">
        <f>H$296*Entrant_age_breakdowns!$K80*$G$31</f>
        <v>46.316385518482328</v>
      </c>
      <c r="I307" s="459">
        <f>I$296*Entrant_age_breakdowns!$K80*$G$31</f>
        <v>46.527726559728663</v>
      </c>
      <c r="J307" s="459">
        <f>J$296*Entrant_age_breakdowns!$K80*$G$31</f>
        <v>46.854675150711273</v>
      </c>
      <c r="K307" s="459">
        <f>K$296*Entrant_age_breakdowns!$K80*$G$31</f>
        <v>44.732549117476147</v>
      </c>
      <c r="L307" s="459">
        <f>L$296*Entrant_age_breakdowns!$K80*$G$31</f>
        <v>43.605633986632057</v>
      </c>
      <c r="M307" s="459">
        <f>M$296*Entrant_age_breakdowns!$K80*$G$31</f>
        <v>42.868343048501174</v>
      </c>
      <c r="N307" s="459">
        <f>N$296*Entrant_age_breakdowns!$K80*$G$31</f>
        <v>43.28241089597396</v>
      </c>
      <c r="O307" s="327"/>
      <c r="P307" s="327"/>
    </row>
    <row r="308" spans="1:16">
      <c r="B308" s="338" t="str">
        <f t="shared" si="143"/>
        <v>45-49</v>
      </c>
      <c r="C308" s="459">
        <f>C$296*Entrant_age_breakdowns!$K81*$G$31</f>
        <v>31.219282166840266</v>
      </c>
      <c r="D308" s="459">
        <f>D$296*Entrant_age_breakdowns!$K81*$G$31</f>
        <v>33.655570706605353</v>
      </c>
      <c r="E308" s="459">
        <f>E$296*Entrant_age_breakdowns!$K81*$G$31</f>
        <v>42.882104520531648</v>
      </c>
      <c r="F308" s="459">
        <f>F$296*Entrant_age_breakdowns!$K81*$G$31</f>
        <v>44.611337964937384</v>
      </c>
      <c r="G308" s="459">
        <f>G$296*Entrant_age_breakdowns!$K81*$G$31</f>
        <v>38.046547810443371</v>
      </c>
      <c r="H308" s="459">
        <f>H$296*Entrant_age_breakdowns!$K81*$G$31</f>
        <v>36.856114997143671</v>
      </c>
      <c r="I308" s="459">
        <f>I$296*Entrant_age_breakdowns!$K81*$G$31</f>
        <v>37.024288951838024</v>
      </c>
      <c r="J308" s="459">
        <f>J$296*Entrant_age_breakdowns!$K81*$G$31</f>
        <v>37.284457242876201</v>
      </c>
      <c r="K308" s="459">
        <f>K$296*Entrant_age_breakdowns!$K81*$G$31</f>
        <v>35.595782268700255</v>
      </c>
      <c r="L308" s="459">
        <f>L$296*Entrant_age_breakdowns!$K81*$G$31</f>
        <v>34.699043173249095</v>
      </c>
      <c r="M308" s="459">
        <f>M$296*Entrant_age_breakdowns!$K81*$G$31</f>
        <v>34.112346277584386</v>
      </c>
      <c r="N308" s="459">
        <f>N$296*Entrant_age_breakdowns!$K81*$G$31</f>
        <v>34.441839437126959</v>
      </c>
      <c r="O308" s="327"/>
      <c r="P308" s="327"/>
    </row>
    <row r="309" spans="1:16">
      <c r="B309" s="338" t="str">
        <f t="shared" si="143"/>
        <v>50-54</v>
      </c>
      <c r="C309" s="459">
        <f>C$296*Entrant_age_breakdowns!$K82*$G$31</f>
        <v>22.83792155266044</v>
      </c>
      <c r="D309" s="459">
        <f>D$296*Entrant_age_breakdowns!$K82*$G$31</f>
        <v>24.620145956586637</v>
      </c>
      <c r="E309" s="459">
        <f>E$296*Entrant_age_breakdowns!$K82*$G$31</f>
        <v>31.369655901092329</v>
      </c>
      <c r="F309" s="459">
        <f>F$296*Entrant_age_breakdowns!$K82*$G$31</f>
        <v>32.634646477702127</v>
      </c>
      <c r="G309" s="459">
        <f>G$296*Entrant_age_breakdowns!$K82*$G$31</f>
        <v>27.832288699045165</v>
      </c>
      <c r="H309" s="459">
        <f>H$296*Entrant_age_breakdowns!$K82*$G$31</f>
        <v>26.961448329988624</v>
      </c>
      <c r="I309" s="459">
        <f>I$296*Entrant_age_breakdowns!$K82*$G$31</f>
        <v>27.084473054387626</v>
      </c>
      <c r="J309" s="459">
        <f>J$296*Entrant_age_breakdowns!$K82*$G$31</f>
        <v>27.27479463159322</v>
      </c>
      <c r="K309" s="459">
        <f>K$296*Entrant_age_breakdowns!$K82*$G$31</f>
        <v>26.039473896732318</v>
      </c>
      <c r="L309" s="459">
        <f>L$296*Entrant_age_breakdowns!$K82*$G$31</f>
        <v>25.383480046339763</v>
      </c>
      <c r="M309" s="459">
        <f>M$296*Entrant_age_breakdowns!$K82*$G$31</f>
        <v>24.954292161532724</v>
      </c>
      <c r="N309" s="459">
        <f>N$296*Entrant_age_breakdowns!$K82*$G$31</f>
        <v>25.195327137595189</v>
      </c>
      <c r="O309" s="327"/>
      <c r="P309" s="327"/>
    </row>
    <row r="310" spans="1:16">
      <c r="B310" s="338" t="str">
        <f t="shared" si="143"/>
        <v>55-59</v>
      </c>
      <c r="C310" s="459">
        <f>C$296*Entrant_age_breakdowns!$K83*$G$31</f>
        <v>15.548572094811803</v>
      </c>
      <c r="D310" s="459">
        <f>D$296*Entrant_age_breakdowns!$K83*$G$31</f>
        <v>16.761950666486221</v>
      </c>
      <c r="E310" s="459">
        <f>E$296*Entrant_age_breakdowns!$K83*$G$31</f>
        <v>21.357169269668205</v>
      </c>
      <c r="F310" s="459">
        <f>F$296*Entrant_age_breakdowns!$K83*$G$31</f>
        <v>22.218403385667855</v>
      </c>
      <c r="G310" s="459">
        <f>G$296*Entrant_age_breakdowns!$K83*$G$31</f>
        <v>18.948849894368223</v>
      </c>
      <c r="H310" s="459">
        <f>H$296*Entrant_age_breakdowns!$K83*$G$31</f>
        <v>18.355962129598282</v>
      </c>
      <c r="I310" s="459">
        <f>I$296*Entrant_age_breakdowns!$K83*$G$31</f>
        <v>18.439720136751056</v>
      </c>
      <c r="J310" s="459">
        <f>J$296*Entrant_age_breakdowns!$K83*$G$31</f>
        <v>18.5692953591528</v>
      </c>
      <c r="K310" s="459">
        <f>K$296*Entrant_age_breakdowns!$K83*$G$31</f>
        <v>17.728261140609249</v>
      </c>
      <c r="L310" s="459">
        <f>L$296*Entrant_age_breakdowns!$K83*$G$31</f>
        <v>17.281645731537857</v>
      </c>
      <c r="M310" s="459">
        <f>M$296*Entrant_age_breakdowns!$K83*$G$31</f>
        <v>16.989444939370557</v>
      </c>
      <c r="N310" s="459">
        <f>N$296*Entrant_age_breakdowns!$K83*$G$31</f>
        <v>17.153546987537979</v>
      </c>
      <c r="O310" s="327"/>
      <c r="P310" s="327"/>
    </row>
    <row r="311" spans="1:16">
      <c r="B311" s="338" t="str">
        <f t="shared" si="143"/>
        <v>60-64</v>
      </c>
      <c r="C311" s="459">
        <f>C$296*Entrant_age_breakdowns!$K84*$G$31</f>
        <v>7.6115941673238527</v>
      </c>
      <c r="D311" s="459">
        <f>D$296*Entrant_age_breakdowns!$K84*$G$31</f>
        <v>8.205587313613762</v>
      </c>
      <c r="E311" s="459">
        <f>E$296*Entrant_age_breakdowns!$K84*$G$31</f>
        <v>10.455114723865734</v>
      </c>
      <c r="F311" s="459">
        <f>F$296*Entrant_age_breakdowns!$K84*$G$31</f>
        <v>10.876720292150079</v>
      </c>
      <c r="G311" s="459">
        <f>G$296*Entrant_age_breakdowns!$K84*$G$31</f>
        <v>9.2761543924406347</v>
      </c>
      <c r="H311" s="459">
        <f>H$296*Entrant_age_breakdowns!$K84*$G$31</f>
        <v>8.9859141681497885</v>
      </c>
      <c r="I311" s="459">
        <f>I$296*Entrant_age_breakdowns!$K84*$G$31</f>
        <v>9.0269167730721698</v>
      </c>
      <c r="J311" s="459">
        <f>J$296*Entrant_age_breakdowns!$K84*$G$31</f>
        <v>9.0903485789671894</v>
      </c>
      <c r="K311" s="459">
        <f>K$296*Entrant_age_breakdowns!$K84*$G$31</f>
        <v>8.6786315985685878</v>
      </c>
      <c r="L311" s="459">
        <f>L$296*Entrant_age_breakdowns!$K84*$G$31</f>
        <v>8.4599970370155617</v>
      </c>
      <c r="M311" s="459">
        <f>M$296*Entrant_age_breakdowns!$K84*$G$31</f>
        <v>8.3169540725693185</v>
      </c>
      <c r="N311" s="459">
        <f>N$296*Entrant_age_breakdowns!$K84*$G$31</f>
        <v>8.3972880212470766</v>
      </c>
      <c r="O311" s="327"/>
      <c r="P311" s="327"/>
    </row>
    <row r="312" spans="1:16">
      <c r="B312" s="338" t="str">
        <f t="shared" si="143"/>
        <v>65 plus</v>
      </c>
      <c r="C312" s="459">
        <f>C$296*Entrant_age_breakdowns!$K85*$G$31</f>
        <v>1.9090418445407544</v>
      </c>
      <c r="D312" s="459">
        <f>D$296*Entrant_age_breakdowns!$K85*$G$31</f>
        <v>2.0580195418155078</v>
      </c>
      <c r="E312" s="459">
        <f>E$296*Entrant_age_breakdowns!$K85*$G$31</f>
        <v>2.6222169835351683</v>
      </c>
      <c r="F312" s="459">
        <f>F$296*Entrant_age_breakdowns!$K85*$G$31</f>
        <v>2.7279586526327448</v>
      </c>
      <c r="G312" s="459">
        <f>G$296*Entrant_age_breakdowns!$K85*$G$31</f>
        <v>2.32652536410987</v>
      </c>
      <c r="H312" s="459">
        <f>H$296*Entrant_age_breakdowns!$K85*$G$31</f>
        <v>2.2537310557219166</v>
      </c>
      <c r="I312" s="459">
        <f>I$296*Entrant_age_breakdowns!$K85*$G$31</f>
        <v>2.2640148000744507</v>
      </c>
      <c r="J312" s="459">
        <f>J$296*Entrant_age_breakdowns!$K85*$G$31</f>
        <v>2.2799239472342174</v>
      </c>
      <c r="K312" s="459">
        <f>K$296*Entrant_age_breakdowns!$K85*$G$31</f>
        <v>2.1766624061679472</v>
      </c>
      <c r="L312" s="459">
        <f>L$296*Entrant_age_breakdowns!$K85*$G$31</f>
        <v>2.1218273062542727</v>
      </c>
      <c r="M312" s="459">
        <f>M$296*Entrant_age_breakdowns!$K85*$G$31</f>
        <v>2.085951115446921</v>
      </c>
      <c r="N312" s="459">
        <f>N$296*Entrant_age_breakdowns!$K85*$G$31</f>
        <v>2.1060994399886313</v>
      </c>
      <c r="O312" s="327"/>
      <c r="P312" s="327"/>
    </row>
    <row r="313" spans="1:16">
      <c r="B313" s="338" t="str">
        <f t="shared" si="143"/>
        <v>Total</v>
      </c>
      <c r="C313" s="459">
        <f>C$296*Entrant_age_breakdowns!$K86*$G$31</f>
        <v>477.13411904092197</v>
      </c>
      <c r="D313" s="459">
        <f>D$296*Entrant_age_breakdowns!$K86*$G$31</f>
        <v>514.3686838825505</v>
      </c>
      <c r="E313" s="459">
        <f>E$296*Entrant_age_breakdowns!$K86*$G$31</f>
        <v>655.38070522187911</v>
      </c>
      <c r="F313" s="459">
        <f>F$296*Entrant_age_breakdowns!$K86*$G$31</f>
        <v>681.80912441817281</v>
      </c>
      <c r="G313" s="459">
        <f>G$296*Entrant_age_breakdowns!$K86*$G$31</f>
        <v>581.47736950101478</v>
      </c>
      <c r="H313" s="459">
        <f>H$296*Entrant_age_breakdowns!$K86*$G$31</f>
        <v>563.28360999636936</v>
      </c>
      <c r="I313" s="459">
        <f>I$296*Entrant_age_breakdowns!$K86*$G$31</f>
        <v>565.853865497117</v>
      </c>
      <c r="J313" s="459">
        <f>J$296*Entrant_age_breakdowns!$K86*$G$31</f>
        <v>569.83009940549096</v>
      </c>
      <c r="K313" s="459">
        <f>K$296*Entrant_age_breakdowns!$K86*$G$31</f>
        <v>544.02154807993566</v>
      </c>
      <c r="L313" s="459">
        <f>L$296*Entrant_age_breakdowns!$K86*$G$31</f>
        <v>530.31640213740332</v>
      </c>
      <c r="M313" s="459">
        <f>M$296*Entrant_age_breakdowns!$K86*$G$31</f>
        <v>521.34972875391475</v>
      </c>
      <c r="N313" s="459">
        <f>N$296*Entrant_age_breakdowns!$K86*$G$31</f>
        <v>526.38547645522931</v>
      </c>
      <c r="O313" s="327"/>
      <c r="P313" s="327"/>
    </row>
    <row r="314" spans="1:16">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6">
      <c r="B316" s="341" t="s">
        <v>50</v>
      </c>
      <c r="H316" s="325"/>
    </row>
    <row r="317" spans="1:16">
      <c r="H317" s="325"/>
    </row>
    <row r="318" spans="1:16">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6">
      <c r="B319" s="338" t="str">
        <f t="shared" si="146"/>
        <v>20-24</v>
      </c>
      <c r="C319" s="459">
        <f>C$296*Entrant_age_breakdowns!$K76*$H$31</f>
        <v>158.57231027143141</v>
      </c>
      <c r="D319" s="459">
        <f>D$296*Entrant_age_breakdowns!$K76*$H$31</f>
        <v>170.94696706763099</v>
      </c>
      <c r="E319" s="459">
        <f>E$296*Entrant_age_breakdowns!$K76*$H$31</f>
        <v>217.81136243882838</v>
      </c>
      <c r="F319" s="459">
        <f>F$296*Entrant_age_breakdowns!$K76*$H$31</f>
        <v>226.59466952489885</v>
      </c>
      <c r="G319" s="459">
        <f>G$296*Entrant_age_breakdowns!$K76*$H$31</f>
        <v>193.25008665838567</v>
      </c>
      <c r="H319" s="459">
        <f>H$296*Entrant_age_breakdowns!$K76*$H$31</f>
        <v>187.20351324843213</v>
      </c>
      <c r="I319" s="459">
        <f>I$296*Entrant_age_breakdowns!$K76*$H$31</f>
        <v>188.05772034969888</v>
      </c>
      <c r="J319" s="459">
        <f>J$296*Entrant_age_breakdowns!$K76*$H$31</f>
        <v>189.37919490343205</v>
      </c>
      <c r="K319" s="459">
        <f>K$296*Entrant_age_breakdowns!$K76*$H$31</f>
        <v>180.80189672849033</v>
      </c>
      <c r="L319" s="459">
        <f>L$296*Entrant_age_breakdowns!$K76*$H$31</f>
        <v>176.24708379856844</v>
      </c>
      <c r="M319" s="459">
        <f>M$296*Entrant_age_breakdowns!$K76*$H$31</f>
        <v>173.26707030314455</v>
      </c>
      <c r="N319" s="459">
        <f>N$296*Entrant_age_breakdowns!$K76*$H$31</f>
        <v>174.94066712859609</v>
      </c>
    </row>
    <row r="320" spans="1:16">
      <c r="B320" s="338" t="str">
        <f t="shared" si="146"/>
        <v>25-29</v>
      </c>
      <c r="C320" s="459">
        <f>C$296*Entrant_age_breakdowns!$K77*$H$31</f>
        <v>163.96032586839374</v>
      </c>
      <c r="D320" s="459">
        <f>D$296*Entrant_age_breakdowns!$K77*$H$31</f>
        <v>176.75545231475385</v>
      </c>
      <c r="E320" s="459">
        <f>E$296*Entrant_age_breakdowns!$K77*$H$31</f>
        <v>225.21221959987494</v>
      </c>
      <c r="F320" s="459">
        <f>F$296*Entrant_age_breakdowns!$K77*$H$31</f>
        <v>234.29396842203195</v>
      </c>
      <c r="G320" s="459">
        <f>G$296*Entrant_age_breakdowns!$K77*$H$31</f>
        <v>199.81639372200482</v>
      </c>
      <c r="H320" s="459">
        <f>H$296*Entrant_age_breakdowns!$K77*$H$31</f>
        <v>193.56436810046881</v>
      </c>
      <c r="I320" s="459">
        <f>I$296*Entrant_age_breakdowns!$K77*$H$31</f>
        <v>194.447599696471</v>
      </c>
      <c r="J320" s="459">
        <f>J$296*Entrant_age_breakdowns!$K77*$H$31</f>
        <v>195.81397569292335</v>
      </c>
      <c r="K320" s="459">
        <f>K$296*Entrant_age_breakdowns!$K77*$H$31</f>
        <v>186.94523561196868</v>
      </c>
      <c r="L320" s="459">
        <f>L$296*Entrant_age_breakdowns!$K77*$H$31</f>
        <v>182.23565793739715</v>
      </c>
      <c r="M320" s="459">
        <f>M$296*Entrant_age_breakdowns!$K77*$H$31</f>
        <v>179.15438868575063</v>
      </c>
      <c r="N320" s="459">
        <f>N$296*Entrant_age_breakdowns!$K77*$H$31</f>
        <v>180.8848514658138</v>
      </c>
    </row>
    <row r="321" spans="1:14">
      <c r="B321" s="338" t="str">
        <f t="shared" si="146"/>
        <v>30-34</v>
      </c>
      <c r="C321" s="459">
        <f>C$296*Entrant_age_breakdowns!$K78*$H$31</f>
        <v>81.39236213165259</v>
      </c>
      <c r="D321" s="459">
        <f>D$296*Entrant_age_breakdowns!$K78*$H$31</f>
        <v>87.744054589731448</v>
      </c>
      <c r="E321" s="459">
        <f>E$296*Entrant_age_breakdowns!$K78*$H$31</f>
        <v>111.79871982481725</v>
      </c>
      <c r="F321" s="459">
        <f>F$296*Entrant_age_breakdowns!$K78*$H$31</f>
        <v>116.30703599829837</v>
      </c>
      <c r="G321" s="459">
        <f>G$296*Entrant_age_breakdowns!$K78*$H$31</f>
        <v>99.191851391638224</v>
      </c>
      <c r="H321" s="459">
        <f>H$296*Entrant_age_breakdowns!$K78*$H$31</f>
        <v>96.088252208425558</v>
      </c>
      <c r="I321" s="459">
        <f>I$296*Entrant_age_breakdowns!$K78*$H$31</f>
        <v>96.526701604809602</v>
      </c>
      <c r="J321" s="459">
        <f>J$296*Entrant_age_breakdowns!$K78*$H$31</f>
        <v>97.204991119801875</v>
      </c>
      <c r="K321" s="459">
        <f>K$296*Entrant_age_breakdowns!$K78*$H$31</f>
        <v>92.80241567664271</v>
      </c>
      <c r="L321" s="459">
        <f>L$296*Entrant_age_breakdowns!$K78*$H$31</f>
        <v>90.464510762477346</v>
      </c>
      <c r="M321" s="459">
        <f>M$296*Entrant_age_breakdowns!$K78*$H$31</f>
        <v>88.934922543944253</v>
      </c>
      <c r="N321" s="459">
        <f>N$296*Entrant_age_breakdowns!$K78*$H$31</f>
        <v>89.793950192884793</v>
      </c>
    </row>
    <row r="322" spans="1:14">
      <c r="B322" s="338" t="str">
        <f t="shared" si="146"/>
        <v>35-39</v>
      </c>
      <c r="C322" s="459">
        <f>C$296*Entrant_age_breakdowns!$K79*$H$31</f>
        <v>58.158450716196661</v>
      </c>
      <c r="D322" s="459">
        <f>D$296*Entrant_age_breakdowns!$K79*$H$31</f>
        <v>62.697016536292942</v>
      </c>
      <c r="E322" s="459">
        <f>E$296*Entrant_age_breakdowns!$K79*$H$31</f>
        <v>79.885141145657215</v>
      </c>
      <c r="F322" s="459">
        <f>F$296*Entrant_age_breakdowns!$K79*$H$31</f>
        <v>83.106532896941317</v>
      </c>
      <c r="G322" s="459">
        <f>G$296*Entrant_age_breakdowns!$K79*$H$31</f>
        <v>70.876974810950415</v>
      </c>
      <c r="H322" s="459">
        <f>H$296*Entrant_age_breakdowns!$K79*$H$31</f>
        <v>68.659315617723635</v>
      </c>
      <c r="I322" s="459">
        <f>I$296*Entrant_age_breakdowns!$K79*$H$31</f>
        <v>68.972607147092234</v>
      </c>
      <c r="J322" s="459">
        <f>J$296*Entrant_age_breakdowns!$K79*$H$31</f>
        <v>69.457275072876016</v>
      </c>
      <c r="K322" s="459">
        <f>K$296*Entrant_age_breakdowns!$K79*$H$31</f>
        <v>66.311439760698292</v>
      </c>
      <c r="L322" s="459">
        <f>L$296*Entrant_age_breakdowns!$K79*$H$31</f>
        <v>64.64090306451898</v>
      </c>
      <c r="M322" s="459">
        <f>M$296*Entrant_age_breakdowns!$K79*$H$31</f>
        <v>63.547944478555593</v>
      </c>
      <c r="N322" s="459">
        <f>N$296*Entrant_age_breakdowns!$K79*$H$31</f>
        <v>64.161757812833173</v>
      </c>
    </row>
    <row r="323" spans="1:14">
      <c r="B323" s="338" t="str">
        <f t="shared" si="146"/>
        <v>40-44</v>
      </c>
      <c r="C323" s="459">
        <f>C$296*Entrant_age_breakdowns!$K80*$H$31</f>
        <v>50.529643083681158</v>
      </c>
      <c r="D323" s="459">
        <f>D$296*Entrant_age_breakdowns!$K80*$H$31</f>
        <v>54.472872454084467</v>
      </c>
      <c r="E323" s="459">
        <f>E$296*Entrant_age_breakdowns!$K80*$H$31</f>
        <v>69.406382392772372</v>
      </c>
      <c r="F323" s="459">
        <f>F$296*Entrant_age_breakdowns!$K80*$H$31</f>
        <v>72.205215123365875</v>
      </c>
      <c r="G323" s="459">
        <f>G$296*Entrant_age_breakdowns!$K80*$H$31</f>
        <v>61.579842584269471</v>
      </c>
      <c r="H323" s="459">
        <f>H$296*Entrant_age_breakdowns!$K80*$H$31</f>
        <v>59.65307998768975</v>
      </c>
      <c r="I323" s="459">
        <f>I$296*Entrant_age_breakdowns!$K80*$H$31</f>
        <v>59.925276185579982</v>
      </c>
      <c r="J323" s="459">
        <f>J$296*Entrant_age_breakdowns!$K80*$H$31</f>
        <v>60.346368855731576</v>
      </c>
      <c r="K323" s="459">
        <f>K$296*Entrant_age_breakdowns!$K80*$H$31</f>
        <v>57.613181613518591</v>
      </c>
      <c r="L323" s="459">
        <f>L$296*Entrant_age_breakdowns!$K80*$H$31</f>
        <v>56.16177391650055</v>
      </c>
      <c r="M323" s="459">
        <f>M$296*Entrant_age_breakdowns!$K80*$H$31</f>
        <v>55.212181783734287</v>
      </c>
      <c r="N323" s="459">
        <f>N$296*Entrant_age_breakdowns!$K80*$H$31</f>
        <v>55.745479495745251</v>
      </c>
    </row>
    <row r="324" spans="1:14">
      <c r="B324" s="338" t="str">
        <f t="shared" si="146"/>
        <v>45-49</v>
      </c>
      <c r="C324" s="459">
        <f>C$296*Entrant_age_breakdowns!$K81*$H$31</f>
        <v>40.208801170670505</v>
      </c>
      <c r="D324" s="459">
        <f>D$296*Entrant_age_breakdowns!$K81*$H$31</f>
        <v>43.346613275583231</v>
      </c>
      <c r="E324" s="459">
        <f>E$296*Entrant_age_breakdowns!$K81*$H$31</f>
        <v>55.229905839326975</v>
      </c>
      <c r="F324" s="459">
        <f>F$296*Entrant_age_breakdowns!$K81*$H$31</f>
        <v>57.457067994183824</v>
      </c>
      <c r="G324" s="459">
        <f>G$296*Entrant_age_breakdowns!$K81*$H$31</f>
        <v>49.001961927408395</v>
      </c>
      <c r="H324" s="459">
        <f>H$296*Entrant_age_breakdowns!$K81*$H$31</f>
        <v>47.46874678039741</v>
      </c>
      <c r="I324" s="459">
        <f>I$296*Entrant_age_breakdowns!$K81*$H$31</f>
        <v>47.685346030509983</v>
      </c>
      <c r="J324" s="459">
        <f>J$296*Entrant_age_breakdowns!$K81*$H$31</f>
        <v>48.020429170133816</v>
      </c>
      <c r="K324" s="459">
        <f>K$296*Entrant_age_breakdowns!$K81*$H$31</f>
        <v>45.845504201786923</v>
      </c>
      <c r="L324" s="459">
        <f>L$296*Entrant_age_breakdowns!$K81*$H$31</f>
        <v>44.690551189149737</v>
      </c>
      <c r="M324" s="459">
        <f>M$296*Entrant_age_breakdowns!$K81*$H$31</f>
        <v>43.93491629981559</v>
      </c>
      <c r="N324" s="459">
        <f>N$296*Entrant_age_breakdowns!$K81*$H$31</f>
        <v>44.359286241069888</v>
      </c>
    </row>
    <row r="325" spans="1:14">
      <c r="B325" s="338" t="str">
        <f t="shared" si="146"/>
        <v>50-54</v>
      </c>
      <c r="C325" s="459">
        <f>C$296*Entrant_age_breakdowns!$K82*$H$31</f>
        <v>29.414047445256642</v>
      </c>
      <c r="D325" s="459">
        <f>D$296*Entrant_age_breakdowns!$K82*$H$31</f>
        <v>31.709459182016573</v>
      </c>
      <c r="E325" s="459">
        <f>E$296*Entrant_age_breakdowns!$K82*$H$31</f>
        <v>40.402474668655493</v>
      </c>
      <c r="F325" s="459">
        <f>F$296*Entrant_age_breakdowns!$K82*$H$31</f>
        <v>42.031716311876245</v>
      </c>
      <c r="G325" s="459">
        <f>G$296*Entrant_age_breakdowns!$K82*$H$31</f>
        <v>35.846530885750731</v>
      </c>
      <c r="H325" s="459">
        <f>H$296*Entrant_age_breakdowns!$K82*$H$31</f>
        <v>34.724934076968893</v>
      </c>
      <c r="I325" s="459">
        <f>I$296*Entrant_age_breakdowns!$K82*$H$31</f>
        <v>34.883383481923183</v>
      </c>
      <c r="J325" s="459">
        <f>J$296*Entrant_age_breakdowns!$K82*$H$31</f>
        <v>35.128507710451302</v>
      </c>
      <c r="K325" s="459">
        <f>K$296*Entrant_age_breakdowns!$K82*$H$31</f>
        <v>33.537479270252675</v>
      </c>
      <c r="L325" s="459">
        <f>L$296*Entrant_age_breakdowns!$K82*$H$31</f>
        <v>32.692593530771035</v>
      </c>
      <c r="M325" s="459">
        <f>M$296*Entrant_age_breakdowns!$K82*$H$31</f>
        <v>32.139822002173986</v>
      </c>
      <c r="N325" s="459">
        <f>N$296*Entrant_age_breakdowns!$K82*$H$31</f>
        <v>32.450262433695727</v>
      </c>
    </row>
    <row r="326" spans="1:14">
      <c r="B326" s="338" t="str">
        <f t="shared" si="146"/>
        <v>55-59</v>
      </c>
      <c r="C326" s="459">
        <f>C$296*Entrant_age_breakdowns!$K83*$H$31</f>
        <v>20.025746924833907</v>
      </c>
      <c r="D326" s="459">
        <f>D$296*Entrant_age_breakdowns!$K83*$H$31</f>
        <v>21.588515007471944</v>
      </c>
      <c r="E326" s="459">
        <f>E$296*Entrant_age_breakdowns!$K83*$H$31</f>
        <v>27.506916018862373</v>
      </c>
      <c r="F326" s="459">
        <f>F$296*Entrant_age_breakdowns!$K83*$H$31</f>
        <v>28.616140476572991</v>
      </c>
      <c r="G326" s="459">
        <f>G$296*Entrant_age_breakdowns!$K83*$H$31</f>
        <v>24.405126733656939</v>
      </c>
      <c r="H326" s="459">
        <f>H$296*Entrant_age_breakdowns!$K83*$H$31</f>
        <v>23.641518328993524</v>
      </c>
      <c r="I326" s="459">
        <f>I$296*Entrant_age_breakdowns!$K83*$H$31</f>
        <v>23.749394257660281</v>
      </c>
      <c r="J326" s="459">
        <f>J$296*Entrant_age_breakdowns!$K83*$H$31</f>
        <v>23.916280361138057</v>
      </c>
      <c r="K326" s="459">
        <f>K$296*Entrant_age_breakdowns!$K83*$H$31</f>
        <v>22.833072313931041</v>
      </c>
      <c r="L326" s="459">
        <f>L$296*Entrant_age_breakdowns!$K83*$H$31</f>
        <v>22.25785504637377</v>
      </c>
      <c r="M326" s="459">
        <f>M$296*Entrant_age_breakdowns!$K83*$H$31</f>
        <v>21.881515722126057</v>
      </c>
      <c r="N326" s="459">
        <f>N$296*Entrant_age_breakdowns!$K83*$H$31</f>
        <v>22.092870569787227</v>
      </c>
    </row>
    <row r="327" spans="1:14">
      <c r="B327" s="338" t="str">
        <f t="shared" si="146"/>
        <v>60-64</v>
      </c>
      <c r="C327" s="459">
        <f>C$296*Entrant_age_breakdowns!$K84*$H$31</f>
        <v>9.8033348374305689</v>
      </c>
      <c r="D327" s="459">
        <f>D$296*Entrant_age_breakdowns!$K84*$H$31</f>
        <v>10.568366915627429</v>
      </c>
      <c r="E327" s="459">
        <f>E$296*Entrant_age_breakdowns!$K84*$H$31</f>
        <v>13.465640462258417</v>
      </c>
      <c r="F327" s="459">
        <f>F$296*Entrant_age_breakdowns!$K84*$H$31</f>
        <v>14.008646364091698</v>
      </c>
      <c r="G327" s="459">
        <f>G$296*Entrant_age_breakdowns!$K84*$H$31</f>
        <v>11.947201271342918</v>
      </c>
      <c r="H327" s="459">
        <f>H$296*Entrant_age_breakdowns!$K84*$H$31</f>
        <v>11.573387055888695</v>
      </c>
      <c r="I327" s="459">
        <f>I$296*Entrant_age_breakdowns!$K84*$H$31</f>
        <v>11.62619626463324</v>
      </c>
      <c r="J327" s="459">
        <f>J$296*Entrant_age_breakdowns!$K84*$H$31</f>
        <v>11.707893110111591</v>
      </c>
      <c r="K327" s="459">
        <f>K$296*Entrant_age_breakdowns!$K84*$H$31</f>
        <v>11.177623191829491</v>
      </c>
      <c r="L327" s="459">
        <f>L$296*Entrant_age_breakdowns!$K84*$H$31</f>
        <v>10.896033321583859</v>
      </c>
      <c r="M327" s="459">
        <f>M$296*Entrant_age_breakdowns!$K84*$H$31</f>
        <v>10.711801471359212</v>
      </c>
      <c r="N327" s="459">
        <f>N$296*Entrant_age_breakdowns!$K84*$H$31</f>
        <v>10.815267391952023</v>
      </c>
    </row>
    <row r="328" spans="1:14">
      <c r="B328" s="338" t="str">
        <f t="shared" si="146"/>
        <v>65 plus</v>
      </c>
      <c r="C328" s="459">
        <f>C$296*Entrant_age_breakdowns!$K85*$H$31</f>
        <v>2.4587459616595742</v>
      </c>
      <c r="D328" s="459">
        <f>D$296*Entrant_age_breakdowns!$K85*$H$31</f>
        <v>2.6506214370972327</v>
      </c>
      <c r="E328" s="459">
        <f>E$296*Entrant_age_breakdowns!$K85*$H$31</f>
        <v>3.3772782075467003</v>
      </c>
      <c r="F328" s="459">
        <f>F$296*Entrant_age_breakdowns!$K85*$H$31</f>
        <v>3.5134679420023915</v>
      </c>
      <c r="G328" s="459">
        <f>G$296*Entrant_age_breakdowns!$K85*$H$31</f>
        <v>2.996442880527753</v>
      </c>
      <c r="H328" s="459">
        <f>H$296*Entrant_age_breakdowns!$K85*$H$31</f>
        <v>2.9026876219447546</v>
      </c>
      <c r="I328" s="459">
        <f>I$296*Entrant_age_breakdowns!$K85*$H$31</f>
        <v>2.9159325463395973</v>
      </c>
      <c r="J328" s="459">
        <f>J$296*Entrant_age_breakdowns!$K85*$H$31</f>
        <v>2.9364226950727876</v>
      </c>
      <c r="K328" s="459">
        <f>K$296*Entrant_age_breakdowns!$K85*$H$31</f>
        <v>2.8034272356922134</v>
      </c>
      <c r="L328" s="459">
        <f>L$296*Entrant_age_breakdowns!$K85*$H$31</f>
        <v>2.7328024974993319</v>
      </c>
      <c r="M328" s="459">
        <f>M$296*Entrant_age_breakdowns!$K85*$H$31</f>
        <v>2.6865958417785278</v>
      </c>
      <c r="N328" s="459">
        <f>N$296*Entrant_age_breakdowns!$K85*$H$31</f>
        <v>2.7125458290681221</v>
      </c>
    </row>
    <row r="329" spans="1:14">
      <c r="B329" s="338" t="str">
        <f t="shared" si="146"/>
        <v>Total</v>
      </c>
      <c r="C329" s="459">
        <f>C$296*Entrant_age_breakdowns!$K86*$H$31</f>
        <v>614.52376841120667</v>
      </c>
      <c r="D329" s="459">
        <f>D$296*Entrant_age_breakdowns!$K86*$H$31</f>
        <v>662.47993878029013</v>
      </c>
      <c r="E329" s="459">
        <f>E$296*Entrant_age_breakdowns!$K86*$H$31</f>
        <v>844.09604059859998</v>
      </c>
      <c r="F329" s="459">
        <f>F$296*Entrant_age_breakdowns!$K86*$H$31</f>
        <v>878.13446105426351</v>
      </c>
      <c r="G329" s="459">
        <f>G$296*Entrant_age_breakdowns!$K86*$H$31</f>
        <v>748.91241286593527</v>
      </c>
      <c r="H329" s="459">
        <f>H$296*Entrant_age_breakdowns!$K86*$H$31</f>
        <v>725.47980302693315</v>
      </c>
      <c r="I329" s="459">
        <f>I$296*Entrant_age_breakdowns!$K86*$H$31</f>
        <v>728.7901575647179</v>
      </c>
      <c r="J329" s="459">
        <f>J$296*Entrant_age_breakdowns!$K86*$H$31</f>
        <v>733.91133869167231</v>
      </c>
      <c r="K329" s="459">
        <f>K$296*Entrant_age_breakdowns!$K86*$H$31</f>
        <v>700.67127560481094</v>
      </c>
      <c r="L329" s="459">
        <f>L$296*Entrant_age_breakdowns!$K86*$H$31</f>
        <v>683.01976506484016</v>
      </c>
      <c r="M329" s="459">
        <f>M$296*Entrant_age_breakdowns!$K86*$H$31</f>
        <v>671.47115913238258</v>
      </c>
      <c r="N329" s="459">
        <f>N$296*Entrant_age_breakdowns!$K86*$H$31</f>
        <v>677.95693856144601</v>
      </c>
    </row>
    <row r="330" spans="1:14">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4">
      <c r="C331" s="329">
        <f>C296</f>
        <v>1091.6578874521288</v>
      </c>
      <c r="D331" s="329">
        <f t="shared" ref="D331:N331" si="149">D296</f>
        <v>1176.8486226628406</v>
      </c>
      <c r="E331" s="329">
        <f t="shared" si="149"/>
        <v>1499.4767458204792</v>
      </c>
      <c r="F331" s="329">
        <f t="shared" si="149"/>
        <v>1559.9435854724363</v>
      </c>
      <c r="G331" s="329">
        <f t="shared" si="149"/>
        <v>1330.3897823669502</v>
      </c>
      <c r="H331" s="329">
        <f t="shared" si="149"/>
        <v>1288.7634130233025</v>
      </c>
      <c r="I331" s="329">
        <f t="shared" si="149"/>
        <v>1294.644023061835</v>
      </c>
      <c r="J331" s="329">
        <f t="shared" si="149"/>
        <v>1303.7414380971634</v>
      </c>
      <c r="K331" s="329">
        <f t="shared" si="149"/>
        <v>1244.6928236847466</v>
      </c>
      <c r="L331" s="329">
        <f t="shared" si="149"/>
        <v>1213.3361672022436</v>
      </c>
      <c r="M331" s="329">
        <f t="shared" si="149"/>
        <v>1192.8208878862974</v>
      </c>
      <c r="N331" s="329">
        <f t="shared" si="149"/>
        <v>1204.3424150166754</v>
      </c>
    </row>
    <row r="332" spans="1:14">
      <c r="C332" s="329">
        <f>C313+C329</f>
        <v>1091.6578874521288</v>
      </c>
      <c r="D332" s="329">
        <f t="shared" ref="D332:N332" si="150">D313+D329</f>
        <v>1176.8486226628406</v>
      </c>
      <c r="E332" s="329">
        <f t="shared" si="150"/>
        <v>1499.4767458204792</v>
      </c>
      <c r="F332" s="329">
        <f t="shared" si="150"/>
        <v>1559.9435854724363</v>
      </c>
      <c r="G332" s="329">
        <f t="shared" si="150"/>
        <v>1330.3897823669499</v>
      </c>
      <c r="H332" s="329">
        <f t="shared" si="150"/>
        <v>1288.7634130233025</v>
      </c>
      <c r="I332" s="329">
        <f t="shared" si="150"/>
        <v>1294.644023061835</v>
      </c>
      <c r="J332" s="329">
        <f t="shared" si="150"/>
        <v>1303.7414380971632</v>
      </c>
      <c r="K332" s="329">
        <f t="shared" si="150"/>
        <v>1244.6928236847466</v>
      </c>
      <c r="L332" s="329">
        <f t="shared" si="150"/>
        <v>1213.3361672022434</v>
      </c>
      <c r="M332" s="329">
        <f t="shared" si="150"/>
        <v>1192.8208878862974</v>
      </c>
      <c r="N332" s="329">
        <f t="shared" si="150"/>
        <v>1204.3424150166752</v>
      </c>
    </row>
    <row r="333" spans="1:14">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257.60764212945958</v>
      </c>
      <c r="D340" s="459">
        <f t="shared" si="154"/>
        <v>313.17743254742152</v>
      </c>
      <c r="E340" s="459">
        <f t="shared" si="154"/>
        <v>388.48988933642318</v>
      </c>
      <c r="F340" s="459">
        <f t="shared" si="154"/>
        <v>448.06444315909323</v>
      </c>
      <c r="G340" s="459">
        <f t="shared" si="154"/>
        <v>463.90557777894264</v>
      </c>
      <c r="H340" s="459">
        <f t="shared" si="154"/>
        <v>470.30725491727543</v>
      </c>
      <c r="I340" s="459">
        <f t="shared" si="154"/>
        <v>475.45473882144319</v>
      </c>
      <c r="J340" s="459">
        <f t="shared" si="154"/>
        <v>480.0864843321603</v>
      </c>
      <c r="K340" s="459">
        <f t="shared" si="154"/>
        <v>476.67127001904703</v>
      </c>
      <c r="L340" s="459">
        <f t="shared" si="154"/>
        <v>470.74248838750293</v>
      </c>
      <c r="M340" s="459">
        <f t="shared" si="154"/>
        <v>464.2757208767523</v>
      </c>
      <c r="N340" s="459">
        <f t="shared" si="154"/>
        <v>461.04530286501597</v>
      </c>
    </row>
    <row r="341" spans="1:14">
      <c r="B341" s="338" t="str">
        <f t="shared" si="153"/>
        <v>25-29</v>
      </c>
      <c r="C341" s="459">
        <f t="shared" ref="C341:N341" si="155">C304+C248</f>
        <v>617.01637835767565</v>
      </c>
      <c r="D341" s="459">
        <f t="shared" si="155"/>
        <v>623.4358207326311</v>
      </c>
      <c r="E341" s="459">
        <f t="shared" si="155"/>
        <v>675.551769956876</v>
      </c>
      <c r="F341" s="459">
        <f t="shared" si="155"/>
        <v>733.22229685172056</v>
      </c>
      <c r="G341" s="459">
        <f t="shared" si="155"/>
        <v>758.22805513640833</v>
      </c>
      <c r="H341" s="459">
        <f t="shared" si="155"/>
        <v>774.04131815359847</v>
      </c>
      <c r="I341" s="459">
        <f t="shared" si="155"/>
        <v>787.15189537963192</v>
      </c>
      <c r="J341" s="459">
        <f t="shared" si="155"/>
        <v>798.48549126136493</v>
      </c>
      <c r="K341" s="459">
        <f t="shared" si="155"/>
        <v>800.51235822126193</v>
      </c>
      <c r="L341" s="459">
        <f t="shared" si="155"/>
        <v>797.69269590657291</v>
      </c>
      <c r="M341" s="459">
        <f t="shared" si="155"/>
        <v>792.23089678181123</v>
      </c>
      <c r="N341" s="459">
        <f t="shared" si="155"/>
        <v>788.52391481332324</v>
      </c>
    </row>
    <row r="342" spans="1:14">
      <c r="B342" s="338" t="str">
        <f t="shared" si="153"/>
        <v>30-34</v>
      </c>
      <c r="C342" s="459">
        <f t="shared" ref="C342:N342" si="156">C305+C249</f>
        <v>801.54515966899692</v>
      </c>
      <c r="D342" s="459">
        <f t="shared" si="156"/>
        <v>778.27385988857577</v>
      </c>
      <c r="E342" s="459">
        <f t="shared" si="156"/>
        <v>780.85270946528237</v>
      </c>
      <c r="F342" s="459">
        <f t="shared" si="156"/>
        <v>795.94952371432055</v>
      </c>
      <c r="G342" s="459">
        <f t="shared" si="156"/>
        <v>804.58965897936685</v>
      </c>
      <c r="H342" s="459">
        <f t="shared" si="156"/>
        <v>813.24418716188381</v>
      </c>
      <c r="I342" s="459">
        <f t="shared" si="156"/>
        <v>822.95208149867403</v>
      </c>
      <c r="J342" s="459">
        <f t="shared" si="156"/>
        <v>833.12681709284436</v>
      </c>
      <c r="K342" s="459">
        <f t="shared" si="156"/>
        <v>839.37340990950429</v>
      </c>
      <c r="L342" s="459">
        <f t="shared" si="156"/>
        <v>842.5758166329814</v>
      </c>
      <c r="M342" s="459">
        <f t="shared" si="156"/>
        <v>843.24380438258561</v>
      </c>
      <c r="N342" s="459">
        <f t="shared" si="156"/>
        <v>843.39257290496937</v>
      </c>
    </row>
    <row r="343" spans="1:14">
      <c r="B343" s="338" t="str">
        <f t="shared" si="153"/>
        <v>35-39</v>
      </c>
      <c r="C343" s="459">
        <f t="shared" ref="C343:N343" si="157">C306+C250</f>
        <v>843.00127133629951</v>
      </c>
      <c r="D343" s="459">
        <f t="shared" si="157"/>
        <v>831.79654480029762</v>
      </c>
      <c r="E343" s="459">
        <f t="shared" si="157"/>
        <v>832.36559213108399</v>
      </c>
      <c r="F343" s="459">
        <f t="shared" si="157"/>
        <v>835.77776428722791</v>
      </c>
      <c r="G343" s="459">
        <f t="shared" si="157"/>
        <v>831.67612947108512</v>
      </c>
      <c r="H343" s="459">
        <f t="shared" si="157"/>
        <v>828.49700163267755</v>
      </c>
      <c r="I343" s="459">
        <f t="shared" si="157"/>
        <v>827.97806775183187</v>
      </c>
      <c r="J343" s="459">
        <f t="shared" si="157"/>
        <v>829.78646128654827</v>
      </c>
      <c r="K343" s="459">
        <f t="shared" si="157"/>
        <v>830.61040429095851</v>
      </c>
      <c r="L343" s="459">
        <f t="shared" si="157"/>
        <v>831.10386160205258</v>
      </c>
      <c r="M343" s="459">
        <f t="shared" si="157"/>
        <v>831.22651551692218</v>
      </c>
      <c r="N343" s="459">
        <f t="shared" si="157"/>
        <v>831.92049609891455</v>
      </c>
    </row>
    <row r="344" spans="1:14">
      <c r="B344" s="338" t="str">
        <f t="shared" si="153"/>
        <v>40-44</v>
      </c>
      <c r="C344" s="459">
        <f t="shared" ref="C344:N344" si="158">C307+C251</f>
        <v>771.23410138917905</v>
      </c>
      <c r="D344" s="459">
        <f t="shared" si="158"/>
        <v>776.00041885988583</v>
      </c>
      <c r="E344" s="459">
        <f t="shared" si="158"/>
        <v>789.06351425512344</v>
      </c>
      <c r="F344" s="459">
        <f t="shared" si="158"/>
        <v>801.10321306215485</v>
      </c>
      <c r="G344" s="459">
        <f t="shared" si="158"/>
        <v>802.48639281773387</v>
      </c>
      <c r="H344" s="459">
        <f t="shared" si="158"/>
        <v>801.25771295368293</v>
      </c>
      <c r="I344" s="459">
        <f t="shared" si="158"/>
        <v>799.95719062099442</v>
      </c>
      <c r="J344" s="459">
        <f t="shared" si="158"/>
        <v>799.21549964661153</v>
      </c>
      <c r="K344" s="459">
        <f t="shared" si="158"/>
        <v>796.87699966150342</v>
      </c>
      <c r="L344" s="459">
        <f t="shared" si="158"/>
        <v>794.15674082281146</v>
      </c>
      <c r="M344" s="459">
        <f t="shared" si="158"/>
        <v>791.47913667929379</v>
      </c>
      <c r="N344" s="459">
        <f t="shared" si="158"/>
        <v>789.91549849974319</v>
      </c>
    </row>
    <row r="345" spans="1:14">
      <c r="B345" s="338" t="str">
        <f t="shared" si="153"/>
        <v>45-49</v>
      </c>
      <c r="C345" s="459">
        <f t="shared" ref="C345:N345" si="159">C308+C252</f>
        <v>557.4569746857228</v>
      </c>
      <c r="D345" s="459">
        <f t="shared" si="159"/>
        <v>588.73504520319182</v>
      </c>
      <c r="E345" s="459">
        <f t="shared" si="159"/>
        <v>621.98405665275743</v>
      </c>
      <c r="F345" s="459">
        <f t="shared" si="159"/>
        <v>650.72853714488929</v>
      </c>
      <c r="G345" s="459">
        <f t="shared" si="159"/>
        <v>667.6570550889287</v>
      </c>
      <c r="H345" s="459">
        <f t="shared" si="159"/>
        <v>679.24692007277781</v>
      </c>
      <c r="I345" s="459">
        <f t="shared" si="159"/>
        <v>687.76252893035689</v>
      </c>
      <c r="J345" s="459">
        <f t="shared" si="159"/>
        <v>694.08237393081788</v>
      </c>
      <c r="K345" s="459">
        <f t="shared" si="159"/>
        <v>696.93221483206355</v>
      </c>
      <c r="L345" s="459">
        <f t="shared" si="159"/>
        <v>697.71138227116035</v>
      </c>
      <c r="M345" s="459">
        <f t="shared" si="159"/>
        <v>697.19800594130515</v>
      </c>
      <c r="N345" s="459">
        <f t="shared" si="159"/>
        <v>696.65242829112833</v>
      </c>
    </row>
    <row r="346" spans="1:14">
      <c r="B346" s="338" t="str">
        <f t="shared" si="153"/>
        <v>50-54</v>
      </c>
      <c r="C346" s="459">
        <f t="shared" ref="C346:N346" si="160">C309+C253</f>
        <v>399.80255418584767</v>
      </c>
      <c r="D346" s="459">
        <f t="shared" si="160"/>
        <v>410.9017542993542</v>
      </c>
      <c r="E346" s="459">
        <f t="shared" si="160"/>
        <v>431.2054236367286</v>
      </c>
      <c r="F346" s="459">
        <f t="shared" si="160"/>
        <v>452.97205581194265</v>
      </c>
      <c r="G346" s="459">
        <f t="shared" si="160"/>
        <v>468.91265877968738</v>
      </c>
      <c r="H346" s="459">
        <f t="shared" si="160"/>
        <v>482.49440630712695</v>
      </c>
      <c r="I346" s="459">
        <f t="shared" si="160"/>
        <v>494.42382791262423</v>
      </c>
      <c r="J346" s="459">
        <f t="shared" si="160"/>
        <v>504.6861197174714</v>
      </c>
      <c r="K346" s="459">
        <f t="shared" si="160"/>
        <v>511.93508357626951</v>
      </c>
      <c r="L346" s="459">
        <f t="shared" si="160"/>
        <v>516.98298639037955</v>
      </c>
      <c r="M346" s="459">
        <f t="shared" si="160"/>
        <v>520.30988389274091</v>
      </c>
      <c r="N346" s="459">
        <f t="shared" si="160"/>
        <v>522.84249610300697</v>
      </c>
    </row>
    <row r="347" spans="1:14">
      <c r="B347" s="338" t="str">
        <f t="shared" si="153"/>
        <v>55-59</v>
      </c>
      <c r="C347" s="459">
        <f t="shared" ref="C347:N347" si="161">C310+C254</f>
        <v>254.7947496881539</v>
      </c>
      <c r="D347" s="459">
        <f t="shared" si="161"/>
        <v>225.87629397098792</v>
      </c>
      <c r="E347" s="459">
        <f t="shared" si="161"/>
        <v>215.06042176860177</v>
      </c>
      <c r="F347" s="459">
        <f t="shared" si="161"/>
        <v>212.53808295416388</v>
      </c>
      <c r="G347" s="459">
        <f t="shared" si="161"/>
        <v>210.98940179494161</v>
      </c>
      <c r="H347" s="459">
        <f t="shared" si="161"/>
        <v>211.83275747030817</v>
      </c>
      <c r="I347" s="459">
        <f t="shared" si="161"/>
        <v>214.41518734580998</v>
      </c>
      <c r="J347" s="459">
        <f t="shared" si="161"/>
        <v>217.82507700611191</v>
      </c>
      <c r="K347" s="459">
        <f t="shared" si="161"/>
        <v>220.50644217989216</v>
      </c>
      <c r="L347" s="459">
        <f t="shared" si="161"/>
        <v>222.70870545362362</v>
      </c>
      <c r="M347" s="459">
        <f t="shared" si="161"/>
        <v>224.45859479935621</v>
      </c>
      <c r="N347" s="459">
        <f t="shared" si="161"/>
        <v>226.14449945836765</v>
      </c>
    </row>
    <row r="348" spans="1:14">
      <c r="B348" s="338" t="str">
        <f t="shared" si="153"/>
        <v>60-64</v>
      </c>
      <c r="C348" s="459">
        <f t="shared" ref="C348:N348" si="162">C311+C255</f>
        <v>89.770663798685703</v>
      </c>
      <c r="D348" s="459">
        <f t="shared" si="162"/>
        <v>82.264997344046805</v>
      </c>
      <c r="E348" s="459">
        <f t="shared" si="162"/>
        <v>77.403748803357445</v>
      </c>
      <c r="F348" s="459">
        <f t="shared" si="162"/>
        <v>74.174622332661087</v>
      </c>
      <c r="G348" s="459">
        <f t="shared" si="162"/>
        <v>70.711483025406309</v>
      </c>
      <c r="H348" s="459">
        <f t="shared" si="162"/>
        <v>68.56320629464264</v>
      </c>
      <c r="I348" s="459">
        <f t="shared" si="162"/>
        <v>67.669263256149648</v>
      </c>
      <c r="J348" s="459">
        <f t="shared" si="162"/>
        <v>67.61285624322413</v>
      </c>
      <c r="K348" s="459">
        <f t="shared" si="162"/>
        <v>67.585295014836717</v>
      </c>
      <c r="L348" s="459">
        <f t="shared" si="162"/>
        <v>67.67684559460892</v>
      </c>
      <c r="M348" s="459">
        <f t="shared" si="162"/>
        <v>67.843667507049659</v>
      </c>
      <c r="N348" s="459">
        <f t="shared" si="162"/>
        <v>68.215614570661458</v>
      </c>
    </row>
    <row r="349" spans="1:14">
      <c r="B349" s="338" t="str">
        <f t="shared" si="153"/>
        <v>65 plus</v>
      </c>
      <c r="C349" s="459">
        <f t="shared" ref="C349:N349" si="163">C312+C256</f>
        <v>16.42783870177098</v>
      </c>
      <c r="D349" s="459">
        <f t="shared" si="163"/>
        <v>20.534861145453764</v>
      </c>
      <c r="E349" s="459">
        <f t="shared" si="163"/>
        <v>22.49946115472245</v>
      </c>
      <c r="F349" s="459">
        <f t="shared" si="163"/>
        <v>23.138491013819369</v>
      </c>
      <c r="G349" s="459">
        <f t="shared" si="163"/>
        <v>22.733405864406382</v>
      </c>
      <c r="H349" s="459">
        <f t="shared" si="163"/>
        <v>22.070701537313056</v>
      </c>
      <c r="I349" s="459">
        <f t="shared" si="163"/>
        <v>21.493952141946835</v>
      </c>
      <c r="J349" s="459">
        <f t="shared" si="163"/>
        <v>21.103835822423097</v>
      </c>
      <c r="K349" s="459">
        <f t="shared" si="163"/>
        <v>20.784863494098179</v>
      </c>
      <c r="L349" s="459">
        <f t="shared" si="163"/>
        <v>20.555650665921348</v>
      </c>
      <c r="M349" s="459">
        <f t="shared" si="163"/>
        <v>20.406435540728769</v>
      </c>
      <c r="N349" s="459">
        <f t="shared" si="163"/>
        <v>20.364325776754235</v>
      </c>
    </row>
    <row r="350" spans="1:14">
      <c r="B350" s="338" t="str">
        <f t="shared" si="153"/>
        <v>Total</v>
      </c>
      <c r="C350" s="459">
        <f t="shared" ref="C350:N350" si="164">SUM(C340:C349)</f>
        <v>4608.6573339417928</v>
      </c>
      <c r="D350" s="459">
        <f t="shared" si="164"/>
        <v>4650.9970287918459</v>
      </c>
      <c r="E350" s="459">
        <f t="shared" si="164"/>
        <v>4834.4765871609561</v>
      </c>
      <c r="F350" s="459">
        <f t="shared" si="164"/>
        <v>5027.6690303319929</v>
      </c>
      <c r="G350" s="459">
        <f t="shared" si="164"/>
        <v>5101.8898187369068</v>
      </c>
      <c r="H350" s="459">
        <f t="shared" si="164"/>
        <v>5151.555466501286</v>
      </c>
      <c r="I350" s="459">
        <f t="shared" si="164"/>
        <v>5199.2587336594634</v>
      </c>
      <c r="J350" s="459">
        <f t="shared" si="164"/>
        <v>5246.0110163395775</v>
      </c>
      <c r="K350" s="459">
        <f t="shared" si="164"/>
        <v>5261.7883411994362</v>
      </c>
      <c r="L350" s="459">
        <f t="shared" si="164"/>
        <v>5261.9071737276145</v>
      </c>
      <c r="M350" s="459">
        <f t="shared" si="164"/>
        <v>5252.6726619185465</v>
      </c>
      <c r="N350" s="459">
        <f t="shared" si="164"/>
        <v>5249.0171493818852</v>
      </c>
    </row>
    <row r="351" spans="1:14">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21">
      <c r="B353" s="341" t="s">
        <v>50</v>
      </c>
      <c r="C353" s="329"/>
      <c r="D353" s="329"/>
      <c r="E353" s="329"/>
      <c r="F353" s="329"/>
      <c r="G353" s="329"/>
      <c r="H353" s="339"/>
      <c r="I353" s="329"/>
      <c r="J353" s="329"/>
      <c r="K353" s="329"/>
      <c r="L353" s="329"/>
    </row>
    <row r="354" spans="1:21">
      <c r="C354" s="329"/>
      <c r="D354" s="329"/>
      <c r="E354" s="329"/>
      <c r="F354" s="329"/>
      <c r="G354" s="329"/>
      <c r="H354" s="339"/>
      <c r="I354" s="329"/>
      <c r="J354" s="329"/>
      <c r="K354" s="329"/>
      <c r="L354" s="329"/>
    </row>
    <row r="355" spans="1:21">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21">
      <c r="B356" s="338" t="str">
        <f t="shared" si="166"/>
        <v>20-24</v>
      </c>
      <c r="C356" s="459">
        <f t="shared" ref="C356:N356" si="168">C319+C263</f>
        <v>500.53008274220406</v>
      </c>
      <c r="D356" s="459">
        <f t="shared" si="168"/>
        <v>528.92516973180943</v>
      </c>
      <c r="E356" s="459">
        <f t="shared" si="168"/>
        <v>596.09767955107952</v>
      </c>
      <c r="F356" s="459">
        <f t="shared" si="168"/>
        <v>652.92264319813853</v>
      </c>
      <c r="G356" s="459">
        <f t="shared" si="168"/>
        <v>660.21917073479085</v>
      </c>
      <c r="H356" s="459">
        <f t="shared" si="168"/>
        <v>659.39106051680051</v>
      </c>
      <c r="I356" s="459">
        <f t="shared" si="168"/>
        <v>659.65300469988279</v>
      </c>
      <c r="J356" s="459">
        <f t="shared" si="168"/>
        <v>661.16182125580769</v>
      </c>
      <c r="K356" s="459">
        <f t="shared" si="168"/>
        <v>653.66362593095005</v>
      </c>
      <c r="L356" s="459">
        <f t="shared" si="168"/>
        <v>643.74611737459986</v>
      </c>
      <c r="M356" s="459">
        <f t="shared" si="168"/>
        <v>633.67311984021774</v>
      </c>
      <c r="N356" s="459">
        <f t="shared" si="168"/>
        <v>628.14252719309366</v>
      </c>
      <c r="O356" s="327"/>
      <c r="P356" s="327"/>
      <c r="Q356" s="327"/>
      <c r="R356" s="327"/>
      <c r="S356" s="327"/>
      <c r="T356" s="327"/>
      <c r="U356" s="327"/>
    </row>
    <row r="357" spans="1:21">
      <c r="B357" s="338" t="str">
        <f t="shared" si="166"/>
        <v>25-29</v>
      </c>
      <c r="C357" s="459">
        <f t="shared" ref="C357:N357" si="169">C320+C264</f>
        <v>1154.9003222398069</v>
      </c>
      <c r="D357" s="459">
        <f t="shared" si="169"/>
        <v>1098.8662910254218</v>
      </c>
      <c r="E357" s="459">
        <f t="shared" si="169"/>
        <v>1112.0710463023979</v>
      </c>
      <c r="F357" s="459">
        <f t="shared" si="169"/>
        <v>1142.7626881505355</v>
      </c>
      <c r="G357" s="459">
        <f t="shared" si="169"/>
        <v>1140.6286775683245</v>
      </c>
      <c r="H357" s="459">
        <f t="shared" si="169"/>
        <v>1134.1534213416248</v>
      </c>
      <c r="I357" s="459">
        <f t="shared" si="169"/>
        <v>1130.2228652789443</v>
      </c>
      <c r="J357" s="459">
        <f t="shared" si="169"/>
        <v>1128.8049197834393</v>
      </c>
      <c r="K357" s="459">
        <f t="shared" si="169"/>
        <v>1119.1864498104362</v>
      </c>
      <c r="L357" s="459">
        <f t="shared" si="169"/>
        <v>1106.1975242523727</v>
      </c>
      <c r="M357" s="459">
        <f t="shared" si="169"/>
        <v>1091.9731896861649</v>
      </c>
      <c r="N357" s="459">
        <f t="shared" si="169"/>
        <v>1081.6426196470593</v>
      </c>
      <c r="O357" s="327"/>
      <c r="P357" s="327"/>
      <c r="Q357" s="327"/>
      <c r="R357" s="327"/>
      <c r="S357" s="327"/>
      <c r="T357" s="327"/>
      <c r="U357" s="327"/>
    </row>
    <row r="358" spans="1:21">
      <c r="B358" s="338" t="str">
        <f t="shared" si="166"/>
        <v>30-34</v>
      </c>
      <c r="C358" s="459">
        <f t="shared" ref="C358:N358" si="170">C321+C265</f>
        <v>1117.525573551851</v>
      </c>
      <c r="D358" s="459">
        <f t="shared" si="170"/>
        <v>1108.7019149588784</v>
      </c>
      <c r="E358" s="459">
        <f t="shared" si="170"/>
        <v>1116.1801045253669</v>
      </c>
      <c r="F358" s="459">
        <f t="shared" si="170"/>
        <v>1128.5144018357298</v>
      </c>
      <c r="G358" s="459">
        <f t="shared" si="170"/>
        <v>1125.9247329893942</v>
      </c>
      <c r="H358" s="459">
        <f t="shared" si="170"/>
        <v>1120.5536671389834</v>
      </c>
      <c r="I358" s="459">
        <f t="shared" si="170"/>
        <v>1115.9173648804551</v>
      </c>
      <c r="J358" s="459">
        <f t="shared" si="170"/>
        <v>1112.5162235741554</v>
      </c>
      <c r="K358" s="459">
        <f t="shared" si="170"/>
        <v>1105.3870093276762</v>
      </c>
      <c r="L358" s="459">
        <f t="shared" si="170"/>
        <v>1096.1274077546304</v>
      </c>
      <c r="M358" s="459">
        <f t="shared" si="170"/>
        <v>1085.5176819488788</v>
      </c>
      <c r="N358" s="459">
        <f t="shared" si="170"/>
        <v>1076.092131623453</v>
      </c>
      <c r="O358" s="327"/>
      <c r="P358" s="327"/>
      <c r="Q358" s="327"/>
      <c r="R358" s="327"/>
      <c r="S358" s="327"/>
      <c r="T358" s="327"/>
      <c r="U358" s="327"/>
    </row>
    <row r="359" spans="1:21">
      <c r="B359" s="338" t="str">
        <f t="shared" si="166"/>
        <v>35-39</v>
      </c>
      <c r="C359" s="459">
        <f t="shared" ref="C359:N359" si="171">C322+C266</f>
        <v>1045.8523489604415</v>
      </c>
      <c r="D359" s="459">
        <f t="shared" si="171"/>
        <v>1036.2007162216869</v>
      </c>
      <c r="E359" s="459">
        <f t="shared" si="171"/>
        <v>1044.678402904847</v>
      </c>
      <c r="F359" s="459">
        <f t="shared" si="171"/>
        <v>1055.50077124722</v>
      </c>
      <c r="G359" s="459">
        <f t="shared" si="171"/>
        <v>1053.4863821568761</v>
      </c>
      <c r="H359" s="459">
        <f t="shared" si="171"/>
        <v>1049.3133861804333</v>
      </c>
      <c r="I359" s="459">
        <f t="shared" si="171"/>
        <v>1045.5748527604303</v>
      </c>
      <c r="J359" s="459">
        <f t="shared" si="171"/>
        <v>1042.4617851971479</v>
      </c>
      <c r="K359" s="459">
        <f t="shared" si="171"/>
        <v>1036.4045097532107</v>
      </c>
      <c r="L359" s="459">
        <f t="shared" si="171"/>
        <v>1028.9750952666413</v>
      </c>
      <c r="M359" s="459">
        <f t="shared" si="171"/>
        <v>1020.7240586124236</v>
      </c>
      <c r="N359" s="459">
        <f t="shared" si="171"/>
        <v>1013.3282912960851</v>
      </c>
      <c r="O359" s="327"/>
      <c r="P359" s="327"/>
      <c r="Q359" s="327"/>
      <c r="R359" s="327"/>
      <c r="S359" s="327"/>
      <c r="T359" s="327"/>
      <c r="U359" s="327"/>
    </row>
    <row r="360" spans="1:21">
      <c r="B360" s="338" t="str">
        <f t="shared" si="166"/>
        <v>40-44</v>
      </c>
      <c r="C360" s="459">
        <f t="shared" ref="C360:N360" si="172">C323+C267</f>
        <v>843.6089684438798</v>
      </c>
      <c r="D360" s="459">
        <f t="shared" si="172"/>
        <v>871.48560859099348</v>
      </c>
      <c r="E360" s="459">
        <f t="shared" si="172"/>
        <v>905.2452151772892</v>
      </c>
      <c r="F360" s="459">
        <f t="shared" si="172"/>
        <v>934.57048380450976</v>
      </c>
      <c r="G360" s="459">
        <f t="shared" si="172"/>
        <v>947.62648210199507</v>
      </c>
      <c r="H360" s="459">
        <f t="shared" si="172"/>
        <v>954.9800840334035</v>
      </c>
      <c r="I360" s="459">
        <f t="shared" si="172"/>
        <v>959.91771240177798</v>
      </c>
      <c r="J360" s="459">
        <f t="shared" si="172"/>
        <v>963.29833869853508</v>
      </c>
      <c r="K360" s="459">
        <f t="shared" si="172"/>
        <v>962.48915339603241</v>
      </c>
      <c r="L360" s="459">
        <f t="shared" si="172"/>
        <v>959.319909758569</v>
      </c>
      <c r="M360" s="459">
        <f t="shared" si="172"/>
        <v>954.65400432388105</v>
      </c>
      <c r="N360" s="459">
        <f t="shared" si="172"/>
        <v>950.21259957582959</v>
      </c>
      <c r="O360" s="327"/>
      <c r="P360" s="327"/>
      <c r="Q360" s="327"/>
      <c r="R360" s="327"/>
      <c r="S360" s="327"/>
      <c r="T360" s="327"/>
      <c r="U360" s="327"/>
    </row>
    <row r="361" spans="1:21">
      <c r="B361" s="338" t="str">
        <f t="shared" si="166"/>
        <v>45-49</v>
      </c>
      <c r="C361" s="459">
        <f t="shared" ref="C361:N361" si="173">C324+C268</f>
        <v>524.0578753668799</v>
      </c>
      <c r="D361" s="459">
        <f t="shared" si="173"/>
        <v>581.91308188333278</v>
      </c>
      <c r="E361" s="459">
        <f t="shared" si="173"/>
        <v>641.29858489914272</v>
      </c>
      <c r="F361" s="459">
        <f t="shared" si="173"/>
        <v>693.22706798589695</v>
      </c>
      <c r="G361" s="459">
        <f t="shared" si="173"/>
        <v>728.19655134731772</v>
      </c>
      <c r="H361" s="459">
        <f t="shared" si="173"/>
        <v>754.6801923502253</v>
      </c>
      <c r="I361" s="459">
        <f t="shared" si="173"/>
        <v>775.6507094035137</v>
      </c>
      <c r="J361" s="459">
        <f t="shared" si="173"/>
        <v>792.25718917853624</v>
      </c>
      <c r="K361" s="459">
        <f t="shared" si="173"/>
        <v>802.87053113312891</v>
      </c>
      <c r="L361" s="459">
        <f t="shared" si="173"/>
        <v>809.3446180446557</v>
      </c>
      <c r="M361" s="459">
        <f t="shared" si="173"/>
        <v>812.75249347939882</v>
      </c>
      <c r="N361" s="459">
        <f t="shared" si="173"/>
        <v>814.81932313572293</v>
      </c>
      <c r="O361" s="327"/>
      <c r="P361" s="327"/>
      <c r="Q361" s="327"/>
      <c r="R361" s="327"/>
      <c r="S361" s="327"/>
      <c r="T361" s="327"/>
      <c r="U361" s="327"/>
    </row>
    <row r="362" spans="1:21">
      <c r="B362" s="338" t="str">
        <f t="shared" si="166"/>
        <v>50-54</v>
      </c>
      <c r="C362" s="459">
        <f t="shared" ref="C362:N362" si="174">C325+C269</f>
        <v>357.63875291999722</v>
      </c>
      <c r="D362" s="459">
        <f t="shared" si="174"/>
        <v>381.25185165591836</v>
      </c>
      <c r="E362" s="459">
        <f t="shared" si="174"/>
        <v>417.18195524278599</v>
      </c>
      <c r="F362" s="459">
        <f t="shared" si="174"/>
        <v>455.13252104755435</v>
      </c>
      <c r="G362" s="459">
        <f t="shared" si="174"/>
        <v>485.38039761347574</v>
      </c>
      <c r="H362" s="459">
        <f t="shared" si="174"/>
        <v>512.14922238506176</v>
      </c>
      <c r="I362" s="459">
        <f t="shared" si="174"/>
        <v>536.19194665817622</v>
      </c>
      <c r="J362" s="459">
        <f t="shared" si="174"/>
        <v>557.38540824272343</v>
      </c>
      <c r="K362" s="459">
        <f t="shared" si="174"/>
        <v>573.9241700920669</v>
      </c>
      <c r="L362" s="459">
        <f t="shared" si="174"/>
        <v>586.80773496205416</v>
      </c>
      <c r="M362" s="459">
        <f t="shared" si="174"/>
        <v>596.62856544718693</v>
      </c>
      <c r="N362" s="459">
        <f t="shared" si="174"/>
        <v>604.57345020628816</v>
      </c>
      <c r="O362" s="327"/>
      <c r="P362" s="327"/>
      <c r="Q362" s="327"/>
      <c r="R362" s="327"/>
      <c r="S362" s="327"/>
      <c r="T362" s="327"/>
      <c r="U362" s="327"/>
    </row>
    <row r="363" spans="1:21">
      <c r="B363" s="338" t="str">
        <f t="shared" si="166"/>
        <v>55-59</v>
      </c>
      <c r="C363" s="459">
        <f t="shared" ref="C363:N363" si="175">C326+C270</f>
        <v>262.64236392166333</v>
      </c>
      <c r="D363" s="459">
        <f t="shared" si="175"/>
        <v>233.79178352696943</v>
      </c>
      <c r="E363" s="459">
        <f t="shared" si="175"/>
        <v>225.87844219864522</v>
      </c>
      <c r="F363" s="459">
        <f t="shared" si="175"/>
        <v>227.63212948131843</v>
      </c>
      <c r="G363" s="459">
        <f t="shared" si="175"/>
        <v>230.19695097426899</v>
      </c>
      <c r="H363" s="459">
        <f t="shared" si="175"/>
        <v>235.53737763801385</v>
      </c>
      <c r="I363" s="459">
        <f t="shared" si="175"/>
        <v>242.8980561152492</v>
      </c>
      <c r="J363" s="459">
        <f t="shared" si="175"/>
        <v>251.12467708681154</v>
      </c>
      <c r="K363" s="459">
        <f t="shared" si="175"/>
        <v>258.19380417404369</v>
      </c>
      <c r="L363" s="459">
        <f t="shared" si="175"/>
        <v>264.37181186110251</v>
      </c>
      <c r="M363" s="459">
        <f t="shared" si="175"/>
        <v>269.66076281379321</v>
      </c>
      <c r="N363" s="459">
        <f t="shared" si="175"/>
        <v>274.53999490087642</v>
      </c>
      <c r="O363" s="327"/>
      <c r="P363" s="327"/>
      <c r="Q363" s="327"/>
      <c r="R363" s="327"/>
      <c r="S363" s="327"/>
      <c r="T363" s="327"/>
      <c r="U363" s="327"/>
    </row>
    <row r="364" spans="1:21">
      <c r="B364" s="338" t="str">
        <f t="shared" si="166"/>
        <v>60-64</v>
      </c>
      <c r="C364" s="459">
        <f t="shared" ref="C364:N364" si="176">C327+C271</f>
        <v>87.314386790122043</v>
      </c>
      <c r="D364" s="459">
        <f t="shared" si="176"/>
        <v>80.968969897255619</v>
      </c>
      <c r="E364" s="459">
        <f t="shared" si="176"/>
        <v>77.626688757378048</v>
      </c>
      <c r="F364" s="459">
        <f t="shared" si="176"/>
        <v>75.721094153959214</v>
      </c>
      <c r="G364" s="459">
        <f t="shared" si="176"/>
        <v>72.984441585522447</v>
      </c>
      <c r="H364" s="459">
        <f t="shared" si="176"/>
        <v>71.646281774414916</v>
      </c>
      <c r="I364" s="459">
        <f t="shared" si="176"/>
        <v>71.697685895450448</v>
      </c>
      <c r="J364" s="459">
        <f t="shared" si="176"/>
        <v>72.649903749300563</v>
      </c>
      <c r="K364" s="459">
        <f t="shared" si="176"/>
        <v>73.504347091924998</v>
      </c>
      <c r="L364" s="459">
        <f t="shared" si="176"/>
        <v>74.429301138848487</v>
      </c>
      <c r="M364" s="459">
        <f t="shared" si="176"/>
        <v>75.381537433714897</v>
      </c>
      <c r="N364" s="459">
        <f t="shared" si="176"/>
        <v>76.531738877500246</v>
      </c>
      <c r="O364" s="327"/>
      <c r="P364" s="327"/>
      <c r="Q364" s="327"/>
      <c r="R364" s="327"/>
      <c r="S364" s="327"/>
      <c r="T364" s="327"/>
      <c r="U364" s="327"/>
    </row>
    <row r="365" spans="1:21">
      <c r="B365" s="338" t="str">
        <f t="shared" si="166"/>
        <v>65 plus</v>
      </c>
      <c r="C365" s="459">
        <f t="shared" ref="C365:N365" si="177">C328+C272</f>
        <v>15.63417742406493</v>
      </c>
      <c r="D365" s="459">
        <f t="shared" si="177"/>
        <v>19.094743839389668</v>
      </c>
      <c r="E365" s="459">
        <f t="shared" si="177"/>
        <v>20.910229073161801</v>
      </c>
      <c r="F365" s="459">
        <f t="shared" si="177"/>
        <v>21.616314996099696</v>
      </c>
      <c r="G365" s="459">
        <f t="shared" si="177"/>
        <v>21.260748324108846</v>
      </c>
      <c r="H365" s="459">
        <f t="shared" si="177"/>
        <v>20.718392670846242</v>
      </c>
      <c r="I365" s="459">
        <f t="shared" si="177"/>
        <v>20.329198901494546</v>
      </c>
      <c r="J365" s="459">
        <f t="shared" si="177"/>
        <v>20.161427862312536</v>
      </c>
      <c r="K365" s="459">
        <f t="shared" si="177"/>
        <v>20.039697147999398</v>
      </c>
      <c r="L365" s="459">
        <f t="shared" si="177"/>
        <v>19.993496317656515</v>
      </c>
      <c r="M365" s="459">
        <f t="shared" si="177"/>
        <v>20.016246837086239</v>
      </c>
      <c r="N365" s="459">
        <f t="shared" si="177"/>
        <v>20.148123179063234</v>
      </c>
      <c r="O365" s="327"/>
      <c r="P365" s="327"/>
      <c r="Q365" s="327"/>
      <c r="R365" s="327"/>
      <c r="S365" s="327"/>
      <c r="T365" s="327"/>
      <c r="U365" s="327"/>
    </row>
    <row r="366" spans="1:21">
      <c r="B366" s="338" t="str">
        <f t="shared" si="166"/>
        <v>Total</v>
      </c>
      <c r="C366" s="459">
        <f t="shared" ref="C366:N366" si="178">SUM(C356:C365)</f>
        <v>5909.7048523609101</v>
      </c>
      <c r="D366" s="459">
        <f t="shared" si="178"/>
        <v>5941.200131331655</v>
      </c>
      <c r="E366" s="459">
        <f t="shared" si="178"/>
        <v>6157.1683486320953</v>
      </c>
      <c r="F366" s="459">
        <f t="shared" si="178"/>
        <v>6387.6001159009611</v>
      </c>
      <c r="G366" s="459">
        <f t="shared" si="178"/>
        <v>6465.9045353960755</v>
      </c>
      <c r="H366" s="459">
        <f t="shared" si="178"/>
        <v>6513.1230860298074</v>
      </c>
      <c r="I366" s="459">
        <f t="shared" si="178"/>
        <v>6558.0533969953749</v>
      </c>
      <c r="J366" s="459">
        <f t="shared" si="178"/>
        <v>6601.8216946287703</v>
      </c>
      <c r="K366" s="459">
        <f t="shared" si="178"/>
        <v>6605.6632978574698</v>
      </c>
      <c r="L366" s="459">
        <f t="shared" si="178"/>
        <v>6589.3130167311301</v>
      </c>
      <c r="M366" s="459">
        <f t="shared" si="178"/>
        <v>6560.9816604227462</v>
      </c>
      <c r="N366" s="459">
        <f t="shared" si="178"/>
        <v>6540.0307996349702</v>
      </c>
      <c r="O366" s="327"/>
      <c r="P366" s="327"/>
      <c r="Q366" s="327"/>
      <c r="R366" s="327"/>
      <c r="S366" s="327"/>
      <c r="T366" s="327"/>
      <c r="U366" s="327"/>
    </row>
    <row r="367" spans="1:21">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21">
      <c r="C368" s="329">
        <f>C350+C366</f>
        <v>10518.362186302704</v>
      </c>
      <c r="D368" s="329">
        <f t="shared" ref="D368:N368" si="180">D350+D366</f>
        <v>10592.197160123502</v>
      </c>
      <c r="E368" s="329">
        <f t="shared" si="180"/>
        <v>10991.644935793051</v>
      </c>
      <c r="F368" s="329">
        <f t="shared" si="180"/>
        <v>11415.269146232953</v>
      </c>
      <c r="G368" s="329">
        <f t="shared" si="180"/>
        <v>11567.794354132982</v>
      </c>
      <c r="H368" s="329">
        <f t="shared" si="180"/>
        <v>11664.678552531093</v>
      </c>
      <c r="I368" s="329">
        <f t="shared" si="180"/>
        <v>11757.312130654838</v>
      </c>
      <c r="J368" s="329">
        <f t="shared" si="180"/>
        <v>11847.832710968349</v>
      </c>
      <c r="K368" s="329">
        <f t="shared" si="180"/>
        <v>11867.451639056906</v>
      </c>
      <c r="L368" s="329">
        <f t="shared" si="180"/>
        <v>11851.220190458745</v>
      </c>
      <c r="M368" s="329">
        <f t="shared" si="180"/>
        <v>11813.654322341292</v>
      </c>
      <c r="N368" s="329">
        <f t="shared" si="180"/>
        <v>11789.047949016855</v>
      </c>
    </row>
    <row r="369" spans="1:14">
      <c r="C369" s="329">
        <f t="shared" ref="C369:N369" si="181">C36</f>
        <v>10518.362186302702</v>
      </c>
      <c r="D369" s="329">
        <f t="shared" si="181"/>
        <v>10592.197160123502</v>
      </c>
      <c r="E369" s="329">
        <f t="shared" si="181"/>
        <v>10991.644935793051</v>
      </c>
      <c r="F369" s="329">
        <f t="shared" si="181"/>
        <v>11415.269146232955</v>
      </c>
      <c r="G369" s="329">
        <f t="shared" si="181"/>
        <v>11567.794354132981</v>
      </c>
      <c r="H369" s="329">
        <f t="shared" si="181"/>
        <v>11664.678552531093</v>
      </c>
      <c r="I369" s="329">
        <f t="shared" si="181"/>
        <v>11757.312130654836</v>
      </c>
      <c r="J369" s="329">
        <f t="shared" si="181"/>
        <v>11847.832710968347</v>
      </c>
      <c r="K369" s="329">
        <f t="shared" si="181"/>
        <v>11867.451639056904</v>
      </c>
      <c r="L369" s="329">
        <f t="shared" si="181"/>
        <v>11851.220190458745</v>
      </c>
      <c r="M369" s="329">
        <f t="shared" si="181"/>
        <v>11813.654322341292</v>
      </c>
      <c r="N369" s="329">
        <f t="shared" si="181"/>
        <v>11789.047949016856</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S371"/>
  <sheetViews>
    <sheetView showGridLines="0" workbookViewId="0"/>
  </sheetViews>
  <sheetFormatPr defaultColWidth="9.140625" defaultRowHeight="12.75"/>
  <cols>
    <col min="1" max="1" width="9.140625" style="309"/>
    <col min="2" max="2" width="28.7109375" style="309" customWidth="1"/>
    <col min="3" max="15" width="10.7109375" style="309" customWidth="1"/>
    <col min="16"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1698</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Forecast_stock_figures!B27</f>
        <v>History</v>
      </c>
      <c r="C15" s="307">
        <f>Forecast_stock_figures!C51</f>
        <v>11319.183686291255</v>
      </c>
      <c r="D15" s="307">
        <f>Forecast_stock_figures!D51</f>
        <v>11192.678423023735</v>
      </c>
      <c r="E15" s="307">
        <f>Forecast_stock_figures!E51</f>
        <v>11256.687485244267</v>
      </c>
      <c r="F15" s="307">
        <f>Forecast_stock_figures!F51</f>
        <v>11599.369617515154</v>
      </c>
      <c r="G15" s="307">
        <f>Forecast_stock_figures!G51</f>
        <v>11967.19602921409</v>
      </c>
      <c r="H15" s="307">
        <f>Forecast_stock_figures!H51</f>
        <v>12089.537654010986</v>
      </c>
      <c r="I15" s="307">
        <f>Forecast_stock_figures!I51</f>
        <v>12190.325841181235</v>
      </c>
      <c r="J15" s="307">
        <f>Forecast_stock_figures!J51</f>
        <v>12292.037124641112</v>
      </c>
      <c r="K15" s="307">
        <f>Forecast_stock_figures!K51</f>
        <v>12389.451752886342</v>
      </c>
      <c r="L15" s="307">
        <f>Forecast_stock_figures!L51</f>
        <v>12418.332954775977</v>
      </c>
      <c r="M15" s="307">
        <f>Forecast_stock_figures!M51</f>
        <v>12411.854918401496</v>
      </c>
      <c r="N15" s="307">
        <f>Forecast_stock_figures!N51</f>
        <v>12383.558824959737</v>
      </c>
    </row>
    <row r="17" spans="1:9" ht="15.75">
      <c r="B17" s="340" t="s">
        <v>149</v>
      </c>
    </row>
    <row r="19" spans="1:9">
      <c r="B19" s="1243" t="str">
        <f>Stock_ages_breakdowns!B73</f>
        <v>Age group</v>
      </c>
      <c r="C19" s="1244" t="str">
        <f>Stock_ages_breakdowns!Y73</f>
        <v>History</v>
      </c>
      <c r="D19" s="1245"/>
      <c r="H19" s="325" t="s">
        <v>120</v>
      </c>
    </row>
    <row r="20" spans="1:9">
      <c r="B20" s="1243"/>
      <c r="C20" s="363" t="str">
        <f>Stock_ages_breakdowns!Y74</f>
        <v>Male</v>
      </c>
      <c r="D20" s="363" t="str">
        <f>Stock_ages_breakdowns!Z74</f>
        <v>Female</v>
      </c>
    </row>
    <row r="21" spans="1:9">
      <c r="B21" s="363" t="str">
        <f>Stock_ages_breakdowns!B75</f>
        <v>20-24</v>
      </c>
      <c r="C21" s="331">
        <f>Stock_ages_breakdowns!Y20</f>
        <v>208.77432160819072</v>
      </c>
      <c r="D21" s="331">
        <f>Stock_ages_breakdowns!Z20</f>
        <v>470.18679586773101</v>
      </c>
    </row>
    <row r="22" spans="1:9">
      <c r="B22" s="363" t="str">
        <f>Stock_ages_breakdowns!B76</f>
        <v>25-29</v>
      </c>
      <c r="C22" s="331">
        <f>Stock_ages_breakdowns!Y21</f>
        <v>815.70675135715101</v>
      </c>
      <c r="D22" s="331">
        <f>Stock_ages_breakdowns!Z21</f>
        <v>1250.678036325635</v>
      </c>
    </row>
    <row r="23" spans="1:9">
      <c r="B23" s="363" t="str">
        <f>Stock_ages_breakdowns!B77</f>
        <v>30-34</v>
      </c>
      <c r="C23" s="331">
        <f>Stock_ages_breakdowns!Y22</f>
        <v>913.02266870770382</v>
      </c>
      <c r="D23" s="331">
        <f>Stock_ages_breakdowns!Z22</f>
        <v>1205.0412729023485</v>
      </c>
    </row>
    <row r="24" spans="1:9">
      <c r="B24" s="363" t="str">
        <f>Stock_ages_breakdowns!B78</f>
        <v>35-39</v>
      </c>
      <c r="C24" s="331">
        <f>Stock_ages_breakdowns!Y23</f>
        <v>827.38737577483596</v>
      </c>
      <c r="D24" s="331">
        <f>Stock_ages_breakdowns!Z23</f>
        <v>1110.6951580521827</v>
      </c>
    </row>
    <row r="25" spans="1:9">
      <c r="B25" s="363" t="str">
        <f>Stock_ages_breakdowns!B79</f>
        <v>40-44</v>
      </c>
      <c r="C25" s="331">
        <f>Stock_ages_breakdowns!Y24</f>
        <v>760.4031610450038</v>
      </c>
      <c r="D25" s="331">
        <f>Stock_ages_breakdowns!Z24</f>
        <v>871.6829380689154</v>
      </c>
    </row>
    <row r="26" spans="1:9">
      <c r="B26" s="363" t="str">
        <f>Stock_ages_breakdowns!B80</f>
        <v>45-49</v>
      </c>
      <c r="C26" s="331">
        <f>Stock_ages_breakdowns!Y25</f>
        <v>628.09127464671121</v>
      </c>
      <c r="D26" s="331">
        <f>Stock_ages_breakdowns!Z25</f>
        <v>555.98474935421541</v>
      </c>
    </row>
    <row r="27" spans="1:9">
      <c r="B27" s="363" t="str">
        <f>Stock_ages_breakdowns!B81</f>
        <v>50-54</v>
      </c>
      <c r="C27" s="331">
        <f>Stock_ages_breakdowns!Y26</f>
        <v>431.15225466976727</v>
      </c>
      <c r="D27" s="331">
        <f>Stock_ages_breakdowns!Z26</f>
        <v>388.07215589903166</v>
      </c>
    </row>
    <row r="28" spans="1:9">
      <c r="B28" s="363" t="str">
        <f>Stock_ages_breakdowns!B82</f>
        <v>55-59</v>
      </c>
      <c r="C28" s="331">
        <f>Stock_ages_breakdowns!Y27</f>
        <v>307.02229391014185</v>
      </c>
      <c r="D28" s="331">
        <f>Stock_ages_breakdowns!Z27</f>
        <v>347.44793211265517</v>
      </c>
    </row>
    <row r="29" spans="1:9">
      <c r="B29" s="363" t="str">
        <f>Stock_ages_breakdowns!B83</f>
        <v>60-64</v>
      </c>
      <c r="C29" s="331">
        <f>Stock_ages_breakdowns!Y28</f>
        <v>98.214043106718222</v>
      </c>
      <c r="D29" s="331">
        <f>Stock_ages_breakdowns!Z28</f>
        <v>109.3847316784026</v>
      </c>
      <c r="F29" s="325"/>
    </row>
    <row r="30" spans="1:9">
      <c r="B30" s="363" t="str">
        <f>Stock_ages_breakdowns!B84</f>
        <v>65 plus</v>
      </c>
      <c r="C30" s="331">
        <f>Stock_ages_breakdowns!Y29</f>
        <v>8.4493675305030873</v>
      </c>
      <c r="D30" s="331">
        <f>Stock_ages_breakdowns!Z29</f>
        <v>11.786403673411121</v>
      </c>
      <c r="G30" s="326" t="s">
        <v>49</v>
      </c>
      <c r="H30" s="326" t="s">
        <v>50</v>
      </c>
    </row>
    <row r="31" spans="1:9">
      <c r="A31" s="309">
        <f>I31</f>
        <v>0</v>
      </c>
      <c r="B31" s="363" t="str">
        <f>Stock_ages_breakdowns!B85</f>
        <v>Total</v>
      </c>
      <c r="C31" s="331">
        <f>Stock_ages_breakdowns!Y30</f>
        <v>4998.223512356727</v>
      </c>
      <c r="D31" s="331">
        <f>Stock_ages_breakdowns!Z30</f>
        <v>6320.960173934528</v>
      </c>
      <c r="E31" s="327">
        <f>SUM(C31:D31)</f>
        <v>11319.183686291255</v>
      </c>
      <c r="G31" s="366">
        <f>C31/$E$31</f>
        <v>0.44157102233530421</v>
      </c>
      <c r="H31" s="366">
        <f>D31/$E$31</f>
        <v>0.55842897766469579</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6" t="str">
        <f>B15</f>
        <v>History</v>
      </c>
      <c r="C36" s="307">
        <f>Teacher_need_by_subject!C631</f>
        <v>11192.678423023735</v>
      </c>
      <c r="D36" s="307">
        <f>Teacher_need_by_subject!D631</f>
        <v>11256.687485244267</v>
      </c>
      <c r="E36" s="307">
        <f>Teacher_need_by_subject!E631</f>
        <v>11599.369617515154</v>
      </c>
      <c r="F36" s="307">
        <f>Teacher_need_by_subject!F631</f>
        <v>11967.19602921409</v>
      </c>
      <c r="G36" s="307">
        <f>Teacher_need_by_subject!G631</f>
        <v>12089.537654010986</v>
      </c>
      <c r="H36" s="307">
        <f>Teacher_need_by_subject!H631</f>
        <v>12190.325841181235</v>
      </c>
      <c r="I36" s="307">
        <f>Teacher_need_by_subject!I631</f>
        <v>12292.037124641112</v>
      </c>
      <c r="J36" s="307">
        <f>Teacher_need_by_subject!J631</f>
        <v>12389.451752886342</v>
      </c>
      <c r="K36" s="307">
        <f>Teacher_need_by_subject!K631</f>
        <v>12418.332954775977</v>
      </c>
      <c r="L36" s="307">
        <f>Teacher_need_by_subject!L631</f>
        <v>12411.854918401496</v>
      </c>
      <c r="M36" s="307">
        <f>Teacher_need_by_subject!M631</f>
        <v>12383.558824959737</v>
      </c>
      <c r="N36" s="307">
        <f>Teacher_need_by_subject!N631</f>
        <v>12364.268616074811</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208.77432160819072</v>
      </c>
      <c r="D43" s="307">
        <f>C340</f>
        <v>269.49220337627025</v>
      </c>
      <c r="E43" s="307">
        <f t="shared" ref="E43:L43" si="2">D340</f>
        <v>330.36358396181072</v>
      </c>
      <c r="F43" s="307">
        <f t="shared" si="2"/>
        <v>404.23047151884657</v>
      </c>
      <c r="G43" s="307">
        <f t="shared" si="2"/>
        <v>462.24307008067331</v>
      </c>
      <c r="H43" s="307">
        <f t="shared" si="2"/>
        <v>478.94283564796592</v>
      </c>
      <c r="I43" s="307">
        <f t="shared" si="2"/>
        <v>489.40030247751565</v>
      </c>
      <c r="J43" s="307">
        <f t="shared" si="2"/>
        <v>498.01375767124233</v>
      </c>
      <c r="K43" s="307">
        <f t="shared" si="2"/>
        <v>504.90721241676704</v>
      </c>
      <c r="L43" s="307">
        <f t="shared" si="2"/>
        <v>503.30896937390605</v>
      </c>
      <c r="M43" s="307">
        <f>L340</f>
        <v>498.72875386206249</v>
      </c>
      <c r="N43" s="307">
        <f>M340</f>
        <v>493.19064878163374</v>
      </c>
    </row>
    <row r="44" spans="2:14">
      <c r="B44" s="363" t="str">
        <f t="shared" ref="B44:C53" si="3">B22</f>
        <v>25-29</v>
      </c>
      <c r="C44" s="307">
        <f t="shared" si="3"/>
        <v>815.70675135715101</v>
      </c>
      <c r="D44" s="307">
        <f t="shared" ref="D44:K53" si="4">C341</f>
        <v>746.6918650765507</v>
      </c>
      <c r="E44" s="307">
        <f t="shared" si="4"/>
        <v>727.24265104374376</v>
      </c>
      <c r="F44" s="307">
        <f t="shared" si="4"/>
        <v>756.5122423211335</v>
      </c>
      <c r="G44" s="307">
        <f t="shared" si="4"/>
        <v>797.05581391277281</v>
      </c>
      <c r="H44" s="307">
        <f t="shared" si="4"/>
        <v>811.58182865120466</v>
      </c>
      <c r="I44" s="307">
        <f t="shared" si="4"/>
        <v>823.64257306190461</v>
      </c>
      <c r="J44" s="307">
        <f t="shared" si="4"/>
        <v>835.44535978604313</v>
      </c>
      <c r="K44" s="307">
        <f t="shared" si="4"/>
        <v>846.2923034337922</v>
      </c>
      <c r="L44" s="307">
        <f t="shared" ref="L44:L53" si="5">K341</f>
        <v>848.6159704991635</v>
      </c>
      <c r="M44" s="307">
        <f t="shared" ref="M44:M53" si="6">L341</f>
        <v>846.41057209527946</v>
      </c>
      <c r="N44" s="307">
        <f t="shared" ref="N44:N53" si="7">M341</f>
        <v>841.61108339266559</v>
      </c>
    </row>
    <row r="45" spans="2:14">
      <c r="B45" s="363" t="str">
        <f t="shared" si="3"/>
        <v>30-34</v>
      </c>
      <c r="C45" s="307">
        <f t="shared" si="3"/>
        <v>913.02266870770382</v>
      </c>
      <c r="D45" s="307">
        <f t="shared" si="4"/>
        <v>893.14125380630128</v>
      </c>
      <c r="E45" s="307">
        <f t="shared" si="4"/>
        <v>874.96373910398415</v>
      </c>
      <c r="F45" s="307">
        <f t="shared" si="4"/>
        <v>873.87404281746342</v>
      </c>
      <c r="G45" s="307">
        <f t="shared" si="4"/>
        <v>881.71955688168453</v>
      </c>
      <c r="H45" s="307">
        <f t="shared" si="4"/>
        <v>882.79310165801974</v>
      </c>
      <c r="I45" s="307">
        <f t="shared" si="4"/>
        <v>885.65221796455955</v>
      </c>
      <c r="J45" s="307">
        <f t="shared" si="4"/>
        <v>890.6779606550848</v>
      </c>
      <c r="K45" s="307">
        <f t="shared" si="4"/>
        <v>897.04572304064584</v>
      </c>
      <c r="L45" s="307">
        <f t="shared" si="5"/>
        <v>900.49282269816808</v>
      </c>
      <c r="M45" s="307">
        <f t="shared" si="6"/>
        <v>901.70928407195129</v>
      </c>
      <c r="N45" s="307">
        <f t="shared" si="7"/>
        <v>901.00763350884677</v>
      </c>
    </row>
    <row r="46" spans="2:14">
      <c r="B46" s="363" t="str">
        <f t="shared" si="3"/>
        <v>35-39</v>
      </c>
      <c r="C46" s="307">
        <f t="shared" si="3"/>
        <v>827.38737577483596</v>
      </c>
      <c r="D46" s="307">
        <f t="shared" si="4"/>
        <v>837.51858929408058</v>
      </c>
      <c r="E46" s="307">
        <f t="shared" si="4"/>
        <v>848.11839281076709</v>
      </c>
      <c r="F46" s="307">
        <f t="shared" si="4"/>
        <v>864.1164492504945</v>
      </c>
      <c r="G46" s="307">
        <f t="shared" si="4"/>
        <v>878.21905286737274</v>
      </c>
      <c r="H46" s="307">
        <f t="shared" si="4"/>
        <v>881.49672114598161</v>
      </c>
      <c r="I46" s="307">
        <f t="shared" si="4"/>
        <v>883.70328700446794</v>
      </c>
      <c r="J46" s="307">
        <f t="shared" si="4"/>
        <v>886.36837244309572</v>
      </c>
      <c r="K46" s="307">
        <f t="shared" si="4"/>
        <v>889.6270556532404</v>
      </c>
      <c r="L46" s="307">
        <f t="shared" si="5"/>
        <v>890.91052471522551</v>
      </c>
      <c r="M46" s="307">
        <f t="shared" si="6"/>
        <v>891.25139408552809</v>
      </c>
      <c r="N46" s="307">
        <f t="shared" si="7"/>
        <v>890.88102216364916</v>
      </c>
    </row>
    <row r="47" spans="2:14">
      <c r="B47" s="363" t="str">
        <f t="shared" si="3"/>
        <v>40-44</v>
      </c>
      <c r="C47" s="307">
        <f t="shared" si="3"/>
        <v>760.4031610450038</v>
      </c>
      <c r="D47" s="307">
        <f t="shared" si="4"/>
        <v>761.97102162829219</v>
      </c>
      <c r="E47" s="307">
        <f t="shared" si="4"/>
        <v>770.87890164444661</v>
      </c>
      <c r="F47" s="307">
        <f t="shared" si="4"/>
        <v>789.46533170881742</v>
      </c>
      <c r="G47" s="307">
        <f t="shared" si="4"/>
        <v>808.33883701189723</v>
      </c>
      <c r="H47" s="307">
        <f t="shared" si="4"/>
        <v>817.44714453458812</v>
      </c>
      <c r="I47" s="307">
        <f t="shared" si="4"/>
        <v>824.46955209318082</v>
      </c>
      <c r="J47" s="307">
        <f t="shared" si="4"/>
        <v>830.53911897665921</v>
      </c>
      <c r="K47" s="307">
        <f t="shared" si="4"/>
        <v>835.8459215445838</v>
      </c>
      <c r="L47" s="307">
        <f t="shared" si="5"/>
        <v>838.3717034057662</v>
      </c>
      <c r="M47" s="307">
        <f t="shared" si="6"/>
        <v>839.39586772446762</v>
      </c>
      <c r="N47" s="307">
        <f t="shared" si="7"/>
        <v>839.48237701461335</v>
      </c>
    </row>
    <row r="48" spans="2:14">
      <c r="B48" s="363" t="str">
        <f t="shared" si="3"/>
        <v>45-49</v>
      </c>
      <c r="C48" s="307">
        <f t="shared" si="3"/>
        <v>628.09127464671121</v>
      </c>
      <c r="D48" s="307">
        <f t="shared" si="4"/>
        <v>636.58669055066616</v>
      </c>
      <c r="E48" s="307">
        <f t="shared" si="4"/>
        <v>647.8123110994934</v>
      </c>
      <c r="F48" s="307">
        <f t="shared" si="4"/>
        <v>665.68345003714489</v>
      </c>
      <c r="G48" s="307">
        <f t="shared" si="4"/>
        <v>683.93300416056206</v>
      </c>
      <c r="H48" s="307">
        <f t="shared" si="4"/>
        <v>694.85605529312613</v>
      </c>
      <c r="I48" s="307">
        <f t="shared" si="4"/>
        <v>704.30756627961068</v>
      </c>
      <c r="J48" s="307">
        <f t="shared" si="4"/>
        <v>712.92572777946054</v>
      </c>
      <c r="K48" s="307">
        <f t="shared" si="4"/>
        <v>720.64249783537787</v>
      </c>
      <c r="L48" s="307">
        <f t="shared" si="5"/>
        <v>725.70358286280418</v>
      </c>
      <c r="M48" s="307">
        <f t="shared" si="6"/>
        <v>729.0376522184265</v>
      </c>
      <c r="N48" s="307">
        <f t="shared" si="7"/>
        <v>731.10302458758019</v>
      </c>
    </row>
    <row r="49" spans="1:19">
      <c r="B49" s="363" t="str">
        <f t="shared" si="3"/>
        <v>50-54</v>
      </c>
      <c r="C49" s="307">
        <f t="shared" si="3"/>
        <v>431.15225466976727</v>
      </c>
      <c r="D49" s="307">
        <f t="shared" si="4"/>
        <v>444.25514912653159</v>
      </c>
      <c r="E49" s="307">
        <f t="shared" si="4"/>
        <v>458.56610594713578</v>
      </c>
      <c r="F49" s="307">
        <f t="shared" si="4"/>
        <v>476.62220756084866</v>
      </c>
      <c r="G49" s="307">
        <f t="shared" si="4"/>
        <v>493.92234815279284</v>
      </c>
      <c r="H49" s="307">
        <f t="shared" si="4"/>
        <v>505.14544069571235</v>
      </c>
      <c r="I49" s="307">
        <f t="shared" si="4"/>
        <v>514.91247981014828</v>
      </c>
      <c r="J49" s="307">
        <f t="shared" si="4"/>
        <v>523.84181065700204</v>
      </c>
      <c r="K49" s="307">
        <f t="shared" si="4"/>
        <v>531.94226307460576</v>
      </c>
      <c r="L49" s="307">
        <f t="shared" si="5"/>
        <v>537.93576060455723</v>
      </c>
      <c r="M49" s="307">
        <f t="shared" si="6"/>
        <v>542.49431449210408</v>
      </c>
      <c r="N49" s="307">
        <f t="shared" si="7"/>
        <v>545.92526697108781</v>
      </c>
    </row>
    <row r="50" spans="1:19">
      <c r="B50" s="363" t="str">
        <f t="shared" si="3"/>
        <v>55-59</v>
      </c>
      <c r="C50" s="307">
        <f t="shared" si="3"/>
        <v>307.02229391014185</v>
      </c>
      <c r="D50" s="307">
        <f t="shared" si="4"/>
        <v>260.08621944147774</v>
      </c>
      <c r="E50" s="307">
        <f t="shared" si="4"/>
        <v>236.66551052476274</v>
      </c>
      <c r="F50" s="307">
        <f t="shared" si="4"/>
        <v>228.91220148213776</v>
      </c>
      <c r="G50" s="307">
        <f t="shared" si="4"/>
        <v>227.79457385574486</v>
      </c>
      <c r="H50" s="307">
        <f t="shared" si="4"/>
        <v>226.66232278377754</v>
      </c>
      <c r="I50" s="307">
        <f t="shared" si="4"/>
        <v>227.49217858985125</v>
      </c>
      <c r="J50" s="307">
        <f t="shared" si="4"/>
        <v>229.58340545241268</v>
      </c>
      <c r="K50" s="307">
        <f t="shared" si="4"/>
        <v>232.24063963307233</v>
      </c>
      <c r="L50" s="307">
        <f t="shared" si="5"/>
        <v>234.18912825459628</v>
      </c>
      <c r="M50" s="307">
        <f t="shared" si="6"/>
        <v>235.78393442483556</v>
      </c>
      <c r="N50" s="307">
        <f t="shared" si="7"/>
        <v>237.10160821523016</v>
      </c>
    </row>
    <row r="51" spans="1:19">
      <c r="B51" s="363" t="str">
        <f t="shared" si="3"/>
        <v>60-64</v>
      </c>
      <c r="C51" s="307">
        <f t="shared" si="3"/>
        <v>98.214043106718222</v>
      </c>
      <c r="D51" s="307">
        <f t="shared" si="4"/>
        <v>92.05435959072787</v>
      </c>
      <c r="E51" s="307">
        <f t="shared" si="4"/>
        <v>84.553233731257677</v>
      </c>
      <c r="F51" s="307">
        <f t="shared" si="4"/>
        <v>80.038479055213998</v>
      </c>
      <c r="G51" s="307">
        <f t="shared" si="4"/>
        <v>77.312070367427651</v>
      </c>
      <c r="H51" s="307">
        <f t="shared" si="4"/>
        <v>74.381717724113543</v>
      </c>
      <c r="I51" s="307">
        <f t="shared" si="4"/>
        <v>72.75434138922131</v>
      </c>
      <c r="J51" s="307">
        <f t="shared" si="4"/>
        <v>72.148776679990945</v>
      </c>
      <c r="K51" s="307">
        <f t="shared" si="4"/>
        <v>72.162001085246288</v>
      </c>
      <c r="L51" s="307">
        <f t="shared" si="5"/>
        <v>72.09162517547864</v>
      </c>
      <c r="M51" s="307">
        <f t="shared" si="6"/>
        <v>72.078785961434363</v>
      </c>
      <c r="N51" s="307">
        <f t="shared" si="7"/>
        <v>72.120959767760908</v>
      </c>
    </row>
    <row r="52" spans="1:19">
      <c r="B52" s="363" t="str">
        <f t="shared" si="3"/>
        <v>65 plus</v>
      </c>
      <c r="C52" s="307">
        <f t="shared" si="3"/>
        <v>8.4493675305030873</v>
      </c>
      <c r="D52" s="307">
        <f t="shared" si="4"/>
        <v>17.007762787764818</v>
      </c>
      <c r="E52" s="307">
        <f t="shared" si="4"/>
        <v>21.229361244614534</v>
      </c>
      <c r="F52" s="307">
        <f t="shared" si="4"/>
        <v>23.176025757029564</v>
      </c>
      <c r="G52" s="307">
        <f t="shared" si="4"/>
        <v>23.834140059407378</v>
      </c>
      <c r="H52" s="307">
        <f t="shared" si="4"/>
        <v>23.523621307792293</v>
      </c>
      <c r="I52" s="307">
        <f t="shared" si="4"/>
        <v>23.022561957148614</v>
      </c>
      <c r="J52" s="307">
        <f t="shared" si="4"/>
        <v>22.598357169043638</v>
      </c>
      <c r="K52" s="307">
        <f t="shared" si="4"/>
        <v>22.318636993329754</v>
      </c>
      <c r="L52" s="307">
        <f t="shared" si="5"/>
        <v>22.070083363930738</v>
      </c>
      <c r="M52" s="307">
        <f t="shared" si="6"/>
        <v>21.875287279744825</v>
      </c>
      <c r="N52" s="307">
        <f t="shared" si="7"/>
        <v>21.733100070523609</v>
      </c>
    </row>
    <row r="53" spans="1:19">
      <c r="B53" s="363" t="str">
        <f t="shared" si="3"/>
        <v>Total</v>
      </c>
      <c r="C53" s="307">
        <f t="shared" si="3"/>
        <v>4998.223512356727</v>
      </c>
      <c r="D53" s="307">
        <f t="shared" si="4"/>
        <v>4958.805114678662</v>
      </c>
      <c r="E53" s="307">
        <f t="shared" si="4"/>
        <v>5000.3937911120174</v>
      </c>
      <c r="F53" s="307">
        <f t="shared" si="4"/>
        <v>5162.6309015091301</v>
      </c>
      <c r="G53" s="307">
        <f t="shared" si="4"/>
        <v>5334.3724673503348</v>
      </c>
      <c r="H53" s="307">
        <f t="shared" si="4"/>
        <v>5396.8307894422815</v>
      </c>
      <c r="I53" s="307">
        <f t="shared" si="4"/>
        <v>5449.3570606276098</v>
      </c>
      <c r="J53" s="307">
        <f t="shared" si="4"/>
        <v>5502.1426472700359</v>
      </c>
      <c r="K53" s="307">
        <f t="shared" si="4"/>
        <v>5553.0242547106618</v>
      </c>
      <c r="L53" s="307">
        <f t="shared" si="5"/>
        <v>5573.6901709535969</v>
      </c>
      <c r="M53" s="307">
        <f t="shared" si="6"/>
        <v>5578.7658462158352</v>
      </c>
      <c r="N53" s="307">
        <f t="shared" si="7"/>
        <v>5574.1567244735907</v>
      </c>
    </row>
    <row r="54" spans="1:19">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9">
      <c r="B56" s="341" t="s">
        <v>50</v>
      </c>
      <c r="H56" s="325"/>
    </row>
    <row r="57" spans="1:19">
      <c r="H57" s="325"/>
    </row>
    <row r="58" spans="1:19">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9">
      <c r="B59" s="338" t="str">
        <f t="shared" si="9"/>
        <v>20-24</v>
      </c>
      <c r="C59" s="307">
        <f t="shared" ref="C59:C69" si="11">D21</f>
        <v>470.18679586773101</v>
      </c>
      <c r="D59" s="307">
        <f>C356</f>
        <v>492.14350207609334</v>
      </c>
      <c r="E59" s="307">
        <f t="shared" ref="E59:L59" si="12">D356</f>
        <v>531.03999470788938</v>
      </c>
      <c r="F59" s="307">
        <f t="shared" si="12"/>
        <v>598.35046927743088</v>
      </c>
      <c r="G59" s="307">
        <f t="shared" si="12"/>
        <v>654.42041971620836</v>
      </c>
      <c r="H59" s="307">
        <f t="shared" si="12"/>
        <v>664.24988563886086</v>
      </c>
      <c r="I59" s="307">
        <f t="shared" si="12"/>
        <v>669.7112402480218</v>
      </c>
      <c r="J59" s="307">
        <f t="shared" si="12"/>
        <v>675.24630113350736</v>
      </c>
      <c r="K59" s="307">
        <f t="shared" si="12"/>
        <v>680.29242378287245</v>
      </c>
      <c r="L59" s="307">
        <f t="shared" si="12"/>
        <v>675.77358114537321</v>
      </c>
      <c r="M59" s="307">
        <f>L356</f>
        <v>668.16519817158201</v>
      </c>
      <c r="N59" s="307">
        <f>M356</f>
        <v>659.77739641826997</v>
      </c>
      <c r="O59" s="327"/>
      <c r="P59" s="327"/>
      <c r="Q59" s="327"/>
      <c r="R59" s="327"/>
      <c r="S59" s="327"/>
    </row>
    <row r="60" spans="1:19">
      <c r="B60" s="338" t="str">
        <f t="shared" si="9"/>
        <v>25-29</v>
      </c>
      <c r="C60" s="307">
        <f t="shared" si="11"/>
        <v>1250.678036325635</v>
      </c>
      <c r="D60" s="307">
        <f t="shared" ref="D60:K69" si="13">C357</f>
        <v>1146.8054164225762</v>
      </c>
      <c r="E60" s="307">
        <f t="shared" si="13"/>
        <v>1099.9130496871908</v>
      </c>
      <c r="F60" s="307">
        <f t="shared" si="13"/>
        <v>1113.9714045623105</v>
      </c>
      <c r="G60" s="307">
        <f t="shared" si="13"/>
        <v>1144.4201176788129</v>
      </c>
      <c r="H60" s="307">
        <f t="shared" si="13"/>
        <v>1145.1524668300717</v>
      </c>
      <c r="I60" s="307">
        <f t="shared" si="13"/>
        <v>1145.8283141884306</v>
      </c>
      <c r="J60" s="307">
        <f t="shared" si="13"/>
        <v>1148.9832094044143</v>
      </c>
      <c r="K60" s="307">
        <f t="shared" si="13"/>
        <v>1153.377179502105</v>
      </c>
      <c r="L60" s="307">
        <f t="shared" ref="L60:L69" si="14">K357</f>
        <v>1149.0473028067465</v>
      </c>
      <c r="M60" s="307">
        <f t="shared" ref="M60:M69" si="15">L357</f>
        <v>1140.5891005016181</v>
      </c>
      <c r="N60" s="307">
        <f t="shared" ref="N60:N69" si="16">M357</f>
        <v>1130.0793323309701</v>
      </c>
      <c r="O60" s="327"/>
      <c r="P60" s="327"/>
      <c r="Q60" s="327"/>
      <c r="R60" s="327"/>
      <c r="S60" s="327"/>
    </row>
    <row r="61" spans="1:19">
      <c r="B61" s="338" t="str">
        <f t="shared" si="9"/>
        <v>30-34</v>
      </c>
      <c r="C61" s="307">
        <f t="shared" si="11"/>
        <v>1205.0412729023485</v>
      </c>
      <c r="D61" s="307">
        <f t="shared" si="13"/>
        <v>1181.8831418400282</v>
      </c>
      <c r="E61" s="307">
        <f t="shared" si="13"/>
        <v>1158.1213696390923</v>
      </c>
      <c r="F61" s="307">
        <f t="shared" si="13"/>
        <v>1152.6292857376727</v>
      </c>
      <c r="G61" s="307">
        <f t="shared" si="13"/>
        <v>1155.2637308565161</v>
      </c>
      <c r="H61" s="307">
        <f t="shared" si="13"/>
        <v>1147.1650164767823</v>
      </c>
      <c r="I61" s="307">
        <f t="shared" si="13"/>
        <v>1140.6129930731474</v>
      </c>
      <c r="J61" s="307">
        <f t="shared" si="13"/>
        <v>1136.8149934775863</v>
      </c>
      <c r="K61" s="307">
        <f t="shared" si="13"/>
        <v>1135.1883892433077</v>
      </c>
      <c r="L61" s="307">
        <f t="shared" si="14"/>
        <v>1130.633106244856</v>
      </c>
      <c r="M61" s="307">
        <f t="shared" si="15"/>
        <v>1124.293630726886</v>
      </c>
      <c r="N61" s="307">
        <f t="shared" si="16"/>
        <v>1116.6436044960481</v>
      </c>
      <c r="O61" s="327"/>
      <c r="P61" s="327"/>
      <c r="Q61" s="327"/>
      <c r="R61" s="327"/>
      <c r="S61" s="327"/>
    </row>
    <row r="62" spans="1:19">
      <c r="B62" s="338" t="str">
        <f t="shared" si="9"/>
        <v>35-39</v>
      </c>
      <c r="C62" s="307">
        <f t="shared" si="11"/>
        <v>1110.6951580521827</v>
      </c>
      <c r="D62" s="307">
        <f t="shared" si="13"/>
        <v>1094.3747903653316</v>
      </c>
      <c r="E62" s="307">
        <f t="shared" si="13"/>
        <v>1086.6394433073399</v>
      </c>
      <c r="F62" s="307">
        <f t="shared" si="13"/>
        <v>1091.0774622405124</v>
      </c>
      <c r="G62" s="307">
        <f t="shared" si="13"/>
        <v>1096.2372712391038</v>
      </c>
      <c r="H62" s="307">
        <f t="shared" si="13"/>
        <v>1089.4089017324302</v>
      </c>
      <c r="I62" s="307">
        <f t="shared" si="13"/>
        <v>1082.3302125488137</v>
      </c>
      <c r="J62" s="307">
        <f t="shared" si="13"/>
        <v>1076.5245111562601</v>
      </c>
      <c r="K62" s="307">
        <f t="shared" si="13"/>
        <v>1071.9610456166481</v>
      </c>
      <c r="L62" s="307">
        <f t="shared" si="14"/>
        <v>1065.3290632515605</v>
      </c>
      <c r="M62" s="307">
        <f t="shared" si="15"/>
        <v>1058.01556395234</v>
      </c>
      <c r="N62" s="307">
        <f t="shared" si="16"/>
        <v>1050.3983162587012</v>
      </c>
      <c r="O62" s="327"/>
      <c r="P62" s="327"/>
      <c r="Q62" s="327"/>
      <c r="R62" s="327"/>
      <c r="S62" s="327"/>
    </row>
    <row r="63" spans="1:19">
      <c r="B63" s="338" t="str">
        <f t="shared" si="9"/>
        <v>40-44</v>
      </c>
      <c r="C63" s="307">
        <f t="shared" si="11"/>
        <v>871.6829380689154</v>
      </c>
      <c r="D63" s="307">
        <f t="shared" si="13"/>
        <v>899.42122569388414</v>
      </c>
      <c r="E63" s="307">
        <f t="shared" si="13"/>
        <v>924.30299999358976</v>
      </c>
      <c r="F63" s="307">
        <f t="shared" si="13"/>
        <v>953.8532920960555</v>
      </c>
      <c r="G63" s="307">
        <f t="shared" si="13"/>
        <v>979.04779730003372</v>
      </c>
      <c r="H63" s="307">
        <f t="shared" si="13"/>
        <v>988.98237212423453</v>
      </c>
      <c r="I63" s="307">
        <f t="shared" si="13"/>
        <v>994.56533564277129</v>
      </c>
      <c r="J63" s="307">
        <f t="shared" si="13"/>
        <v>997.90373742935276</v>
      </c>
      <c r="K63" s="307">
        <f t="shared" si="13"/>
        <v>999.64535758875832</v>
      </c>
      <c r="L63" s="307">
        <f t="shared" si="14"/>
        <v>997.49955327372857</v>
      </c>
      <c r="M63" s="307">
        <f t="shared" si="15"/>
        <v>993.29269813190649</v>
      </c>
      <c r="N63" s="307">
        <f t="shared" si="16"/>
        <v>987.89182333728763</v>
      </c>
      <c r="O63" s="327"/>
      <c r="P63" s="327"/>
      <c r="Q63" s="327"/>
      <c r="R63" s="327"/>
      <c r="S63" s="327"/>
    </row>
    <row r="64" spans="1:19">
      <c r="B64" s="338" t="str">
        <f t="shared" si="9"/>
        <v>45-49</v>
      </c>
      <c r="C64" s="307">
        <f t="shared" si="11"/>
        <v>555.98474935421541</v>
      </c>
      <c r="D64" s="307">
        <f t="shared" si="13"/>
        <v>606.62774302725029</v>
      </c>
      <c r="E64" s="307">
        <f t="shared" si="13"/>
        <v>654.70063699549405</v>
      </c>
      <c r="F64" s="307">
        <f t="shared" si="13"/>
        <v>704.49972030736194</v>
      </c>
      <c r="G64" s="307">
        <f t="shared" si="13"/>
        <v>748.41583979689494</v>
      </c>
      <c r="H64" s="307">
        <f t="shared" si="13"/>
        <v>777.53645228912205</v>
      </c>
      <c r="I64" s="307">
        <f t="shared" si="13"/>
        <v>800.29776033770827</v>
      </c>
      <c r="J64" s="307">
        <f t="shared" si="13"/>
        <v>818.41273085932096</v>
      </c>
      <c r="K64" s="307">
        <f t="shared" si="13"/>
        <v>832.57440310918389</v>
      </c>
      <c r="L64" s="307">
        <f t="shared" si="14"/>
        <v>841.2099449935472</v>
      </c>
      <c r="M64" s="307">
        <f t="shared" si="15"/>
        <v>846.03508070976125</v>
      </c>
      <c r="N64" s="307">
        <f t="shared" si="16"/>
        <v>848.05309485226007</v>
      </c>
      <c r="O64" s="327"/>
      <c r="P64" s="327"/>
      <c r="Q64" s="327"/>
      <c r="R64" s="327"/>
      <c r="S64" s="327"/>
    </row>
    <row r="65" spans="1:19">
      <c r="B65" s="338" t="str">
        <f t="shared" si="9"/>
        <v>50-54</v>
      </c>
      <c r="C65" s="307">
        <f t="shared" si="11"/>
        <v>388.07215589903166</v>
      </c>
      <c r="D65" s="307">
        <f t="shared" si="13"/>
        <v>405.93360363064346</v>
      </c>
      <c r="E65" s="307">
        <f t="shared" si="13"/>
        <v>432.06883277172312</v>
      </c>
      <c r="F65" s="307">
        <f t="shared" si="13"/>
        <v>466.68612618437248</v>
      </c>
      <c r="G65" s="307">
        <f t="shared" si="13"/>
        <v>501.82492837632793</v>
      </c>
      <c r="H65" s="307">
        <f t="shared" si="13"/>
        <v>529.19865884957017</v>
      </c>
      <c r="I65" s="307">
        <f t="shared" si="13"/>
        <v>553.69622614376306</v>
      </c>
      <c r="J65" s="307">
        <f t="shared" si="13"/>
        <v>575.59235550395135</v>
      </c>
      <c r="K65" s="307">
        <f t="shared" si="13"/>
        <v>594.696254886313</v>
      </c>
      <c r="L65" s="307">
        <f t="shared" si="14"/>
        <v>609.38648683649683</v>
      </c>
      <c r="M65" s="307">
        <f t="shared" si="15"/>
        <v>620.62714927052457</v>
      </c>
      <c r="N65" s="307">
        <f t="shared" si="16"/>
        <v>628.98415476891296</v>
      </c>
      <c r="O65" s="327"/>
      <c r="P65" s="327"/>
      <c r="Q65" s="327"/>
      <c r="R65" s="327"/>
      <c r="S65" s="327"/>
    </row>
    <row r="66" spans="1:19">
      <c r="B66" s="338" t="str">
        <f t="shared" si="9"/>
        <v>55-59</v>
      </c>
      <c r="C66" s="307">
        <f t="shared" si="11"/>
        <v>347.44793211265517</v>
      </c>
      <c r="D66" s="307">
        <f t="shared" si="13"/>
        <v>287.59084967521528</v>
      </c>
      <c r="E66" s="307">
        <f t="shared" si="13"/>
        <v>257.13188237726382</v>
      </c>
      <c r="F66" s="307">
        <f t="shared" si="13"/>
        <v>247.69805647244033</v>
      </c>
      <c r="G66" s="307">
        <f t="shared" si="13"/>
        <v>248.22961710761126</v>
      </c>
      <c r="H66" s="307">
        <f t="shared" si="13"/>
        <v>250.02215543273979</v>
      </c>
      <c r="I66" s="307">
        <f t="shared" si="13"/>
        <v>255.02947964533917</v>
      </c>
      <c r="J66" s="307">
        <f t="shared" si="13"/>
        <v>261.94498132315329</v>
      </c>
      <c r="K66" s="307">
        <f t="shared" si="13"/>
        <v>269.55024256233946</v>
      </c>
      <c r="L66" s="307">
        <f t="shared" si="14"/>
        <v>275.98672507657329</v>
      </c>
      <c r="M66" s="307">
        <f t="shared" si="15"/>
        <v>281.52736064584667</v>
      </c>
      <c r="N66" s="307">
        <f t="shared" si="16"/>
        <v>286.18881668818648</v>
      </c>
      <c r="O66" s="327"/>
      <c r="P66" s="327"/>
      <c r="Q66" s="327"/>
      <c r="R66" s="327"/>
      <c r="S66" s="327"/>
    </row>
    <row r="67" spans="1:19">
      <c r="B67" s="338" t="str">
        <f t="shared" si="9"/>
        <v>60-64</v>
      </c>
      <c r="C67" s="307">
        <f t="shared" si="11"/>
        <v>109.3847316784026</v>
      </c>
      <c r="D67" s="307">
        <f t="shared" si="13"/>
        <v>99.950756937090986</v>
      </c>
      <c r="E67" s="307">
        <f t="shared" si="13"/>
        <v>90.156297220127271</v>
      </c>
      <c r="F67" s="307">
        <f t="shared" si="13"/>
        <v>84.585889635075389</v>
      </c>
      <c r="G67" s="307">
        <f t="shared" si="13"/>
        <v>81.427176652767486</v>
      </c>
      <c r="H67" s="307">
        <f t="shared" si="13"/>
        <v>78.16319358001499</v>
      </c>
      <c r="I67" s="307">
        <f t="shared" si="13"/>
        <v>76.770333600586497</v>
      </c>
      <c r="J67" s="307">
        <f t="shared" si="13"/>
        <v>76.806146324977234</v>
      </c>
      <c r="K67" s="307">
        <f t="shared" si="13"/>
        <v>77.685502632549543</v>
      </c>
      <c r="L67" s="307">
        <f t="shared" si="14"/>
        <v>78.462713226835376</v>
      </c>
      <c r="M67" s="307">
        <f t="shared" si="15"/>
        <v>79.290359493011863</v>
      </c>
      <c r="N67" s="307">
        <f t="shared" si="16"/>
        <v>80.126566782566329</v>
      </c>
      <c r="O67" s="327"/>
      <c r="P67" s="327"/>
      <c r="Q67" s="327"/>
      <c r="R67" s="327"/>
      <c r="S67" s="327"/>
    </row>
    <row r="68" spans="1:19">
      <c r="B68" s="338" t="str">
        <f t="shared" si="9"/>
        <v>65 plus</v>
      </c>
      <c r="C68" s="307">
        <f t="shared" si="11"/>
        <v>11.786403673411121</v>
      </c>
      <c r="D68" s="307">
        <f t="shared" si="13"/>
        <v>19.142278676959506</v>
      </c>
      <c r="E68" s="307">
        <f t="shared" si="13"/>
        <v>22.219187432540849</v>
      </c>
      <c r="F68" s="307">
        <f t="shared" si="13"/>
        <v>23.387009492792611</v>
      </c>
      <c r="G68" s="307">
        <f t="shared" si="13"/>
        <v>23.536663139479373</v>
      </c>
      <c r="H68" s="307">
        <f t="shared" si="13"/>
        <v>22.827761614879147</v>
      </c>
      <c r="I68" s="307">
        <f t="shared" si="13"/>
        <v>22.126885125045785</v>
      </c>
      <c r="J68" s="307">
        <f t="shared" si="13"/>
        <v>21.665510758554813</v>
      </c>
      <c r="K68" s="307">
        <f t="shared" si="13"/>
        <v>21.456699251603819</v>
      </c>
      <c r="L68" s="307">
        <f t="shared" si="14"/>
        <v>21.314306966663743</v>
      </c>
      <c r="M68" s="307">
        <f t="shared" si="15"/>
        <v>21.252930582184867</v>
      </c>
      <c r="N68" s="307">
        <f t="shared" si="16"/>
        <v>21.258994552943161</v>
      </c>
      <c r="O68" s="327"/>
      <c r="P68" s="327"/>
      <c r="Q68" s="327"/>
      <c r="R68" s="327"/>
      <c r="S68" s="327"/>
    </row>
    <row r="69" spans="1:19">
      <c r="B69" s="338" t="str">
        <f t="shared" si="9"/>
        <v>Total</v>
      </c>
      <c r="C69" s="307">
        <f t="shared" si="11"/>
        <v>6320.960173934528</v>
      </c>
      <c r="D69" s="307">
        <f t="shared" si="13"/>
        <v>6233.8733083450734</v>
      </c>
      <c r="E69" s="307">
        <f t="shared" si="13"/>
        <v>6256.2936941322514</v>
      </c>
      <c r="F69" s="307">
        <f t="shared" si="13"/>
        <v>6436.7387160060234</v>
      </c>
      <c r="G69" s="307">
        <f t="shared" si="13"/>
        <v>6632.8235618637555</v>
      </c>
      <c r="H69" s="307">
        <f t="shared" si="13"/>
        <v>6692.7068645687059</v>
      </c>
      <c r="I69" s="307">
        <f t="shared" si="13"/>
        <v>6740.9687805536269</v>
      </c>
      <c r="J69" s="307">
        <f t="shared" si="13"/>
        <v>6789.8944773710782</v>
      </c>
      <c r="K69" s="307">
        <f t="shared" si="13"/>
        <v>6836.4274981756807</v>
      </c>
      <c r="L69" s="307">
        <f t="shared" si="14"/>
        <v>6844.6427838223817</v>
      </c>
      <c r="M69" s="307">
        <f t="shared" si="15"/>
        <v>6833.0890721856613</v>
      </c>
      <c r="N69" s="307">
        <f t="shared" si="16"/>
        <v>6809.4021004861461</v>
      </c>
      <c r="O69" s="327"/>
      <c r="P69" s="327"/>
      <c r="Q69" s="327"/>
      <c r="R69" s="327"/>
      <c r="S69" s="327"/>
    </row>
    <row r="70" spans="1:19">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9" ht="15.75">
      <c r="B72" s="340" t="s">
        <v>150</v>
      </c>
      <c r="H72" s="325"/>
    </row>
    <row r="73" spans="1:19">
      <c r="H73" s="325"/>
    </row>
    <row r="74" spans="1:19">
      <c r="B74" s="341" t="s">
        <v>49</v>
      </c>
      <c r="C74" s="262" t="s">
        <v>453</v>
      </c>
      <c r="H74" s="325"/>
    </row>
    <row r="75" spans="1:19">
      <c r="H75" s="325"/>
    </row>
    <row r="76" spans="1:19">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9">
      <c r="B77" s="338" t="str">
        <f t="shared" si="18"/>
        <v>20-24</v>
      </c>
      <c r="C77" s="459">
        <f>C43-(0.2*C43)</f>
        <v>167.01945728655258</v>
      </c>
      <c r="D77" s="459">
        <f>D43-(0.2*D43)</f>
        <v>215.5937627010162</v>
      </c>
      <c r="E77" s="459">
        <f t="shared" ref="E77:N77" si="20">E43-(0.2*E43)</f>
        <v>264.29086716944857</v>
      </c>
      <c r="F77" s="459">
        <f t="shared" si="20"/>
        <v>323.38437721507728</v>
      </c>
      <c r="G77" s="459">
        <f t="shared" si="20"/>
        <v>369.79445606453862</v>
      </c>
      <c r="H77" s="459">
        <f t="shared" si="20"/>
        <v>383.15426851837276</v>
      </c>
      <c r="I77" s="459">
        <f t="shared" si="20"/>
        <v>391.52024198201252</v>
      </c>
      <c r="J77" s="459">
        <f t="shared" si="20"/>
        <v>398.41100613699388</v>
      </c>
      <c r="K77" s="459">
        <f t="shared" si="20"/>
        <v>403.92576993341362</v>
      </c>
      <c r="L77" s="459">
        <f t="shared" si="20"/>
        <v>402.64717549912484</v>
      </c>
      <c r="M77" s="459">
        <f t="shared" si="20"/>
        <v>398.98300308964997</v>
      </c>
      <c r="N77" s="459">
        <f t="shared" si="20"/>
        <v>394.55251902530699</v>
      </c>
    </row>
    <row r="78" spans="1:19">
      <c r="B78" s="338" t="str">
        <f t="shared" si="18"/>
        <v>25-29</v>
      </c>
      <c r="C78" s="459">
        <f t="shared" ref="C78:C85" si="21">C44+(0.2*C43)-(0.2*C44)</f>
        <v>694.32026540735887</v>
      </c>
      <c r="D78" s="459">
        <f t="shared" ref="D78:N78" si="22">D44+(0.2*D43)-(0.2*D44)</f>
        <v>651.25193273649461</v>
      </c>
      <c r="E78" s="459">
        <f t="shared" si="22"/>
        <v>647.8668376273572</v>
      </c>
      <c r="F78" s="459">
        <f t="shared" si="22"/>
        <v>686.05588816067609</v>
      </c>
      <c r="G78" s="459">
        <f t="shared" si="22"/>
        <v>730.09326514635291</v>
      </c>
      <c r="H78" s="459">
        <f t="shared" si="22"/>
        <v>745.05403005055689</v>
      </c>
      <c r="I78" s="459">
        <f t="shared" si="22"/>
        <v>756.79411894502687</v>
      </c>
      <c r="J78" s="459">
        <f t="shared" si="22"/>
        <v>767.95903936308298</v>
      </c>
      <c r="K78" s="459">
        <f t="shared" si="22"/>
        <v>778.01528523038712</v>
      </c>
      <c r="L78" s="459">
        <f t="shared" si="22"/>
        <v>779.55457027411194</v>
      </c>
      <c r="M78" s="459">
        <f t="shared" si="22"/>
        <v>776.87420844863607</v>
      </c>
      <c r="N78" s="459">
        <f t="shared" si="22"/>
        <v>771.92699647045924</v>
      </c>
    </row>
    <row r="79" spans="1:19">
      <c r="B79" s="338" t="str">
        <f t="shared" si="18"/>
        <v>30-34</v>
      </c>
      <c r="C79" s="459">
        <f t="shared" si="21"/>
        <v>893.55948523759321</v>
      </c>
      <c r="D79" s="459">
        <f t="shared" ref="D79:N79" si="23">D45+(0.2*D44)-(0.2*D45)</f>
        <v>863.85137606035119</v>
      </c>
      <c r="E79" s="459">
        <f t="shared" si="23"/>
        <v>845.41952149193605</v>
      </c>
      <c r="F79" s="459">
        <f t="shared" si="23"/>
        <v>850.40168271819755</v>
      </c>
      <c r="G79" s="459">
        <f t="shared" si="23"/>
        <v>864.78680828790232</v>
      </c>
      <c r="H79" s="459">
        <f t="shared" si="23"/>
        <v>868.55084705665683</v>
      </c>
      <c r="I79" s="459">
        <f t="shared" si="23"/>
        <v>873.25028898402866</v>
      </c>
      <c r="J79" s="459">
        <f t="shared" si="23"/>
        <v>879.6314404812764</v>
      </c>
      <c r="K79" s="459">
        <f t="shared" si="23"/>
        <v>886.89503911927511</v>
      </c>
      <c r="L79" s="459">
        <f t="shared" si="23"/>
        <v>890.11745225836717</v>
      </c>
      <c r="M79" s="459">
        <f t="shared" si="23"/>
        <v>890.64954167661699</v>
      </c>
      <c r="N79" s="459">
        <f t="shared" si="23"/>
        <v>889.12832348561051</v>
      </c>
    </row>
    <row r="80" spans="1:19">
      <c r="B80" s="338" t="str">
        <f t="shared" si="18"/>
        <v>35-39</v>
      </c>
      <c r="C80" s="459">
        <f t="shared" si="21"/>
        <v>844.51443436140949</v>
      </c>
      <c r="D80" s="459">
        <f t="shared" ref="D80:N80" si="24">D46+(0.2*D45)-(0.2*D46)</f>
        <v>848.6431221965247</v>
      </c>
      <c r="E80" s="459">
        <f t="shared" si="24"/>
        <v>853.48746206941041</v>
      </c>
      <c r="F80" s="459">
        <f t="shared" si="24"/>
        <v>866.06796796388812</v>
      </c>
      <c r="G80" s="459">
        <f t="shared" si="24"/>
        <v>878.91915367023523</v>
      </c>
      <c r="H80" s="459">
        <f t="shared" si="24"/>
        <v>881.75599724838912</v>
      </c>
      <c r="I80" s="459">
        <f t="shared" si="24"/>
        <v>884.09307319648622</v>
      </c>
      <c r="J80" s="459">
        <f t="shared" si="24"/>
        <v>887.23029008549349</v>
      </c>
      <c r="K80" s="459">
        <f t="shared" si="24"/>
        <v>891.11078913072163</v>
      </c>
      <c r="L80" s="459">
        <f t="shared" si="24"/>
        <v>892.82698431181404</v>
      </c>
      <c r="M80" s="459">
        <f t="shared" si="24"/>
        <v>893.34297208281271</v>
      </c>
      <c r="N80" s="459">
        <f t="shared" si="24"/>
        <v>892.9063444326888</v>
      </c>
    </row>
    <row r="81" spans="1:14">
      <c r="B81" s="338" t="str">
        <f t="shared" si="18"/>
        <v>40-44</v>
      </c>
      <c r="C81" s="459">
        <f t="shared" si="21"/>
        <v>773.80000399097025</v>
      </c>
      <c r="D81" s="459">
        <f t="shared" ref="D81:N81" si="25">D47+(0.2*D46)-(0.2*D47)</f>
        <v>777.08053516144992</v>
      </c>
      <c r="E81" s="459">
        <f t="shared" si="25"/>
        <v>786.32679987771064</v>
      </c>
      <c r="F81" s="459">
        <f t="shared" si="25"/>
        <v>804.39555521715283</v>
      </c>
      <c r="G81" s="459">
        <f t="shared" si="25"/>
        <v>822.31488018299228</v>
      </c>
      <c r="H81" s="459">
        <f t="shared" si="25"/>
        <v>830.25705985686682</v>
      </c>
      <c r="I81" s="459">
        <f t="shared" si="25"/>
        <v>836.31629907543822</v>
      </c>
      <c r="J81" s="459">
        <f t="shared" si="25"/>
        <v>841.70496966994642</v>
      </c>
      <c r="K81" s="459">
        <f t="shared" si="25"/>
        <v>846.60214836631508</v>
      </c>
      <c r="L81" s="459">
        <f t="shared" si="25"/>
        <v>848.8794676676581</v>
      </c>
      <c r="M81" s="459">
        <f t="shared" si="25"/>
        <v>849.76697299667967</v>
      </c>
      <c r="N81" s="459">
        <f t="shared" si="25"/>
        <v>849.76210604442053</v>
      </c>
    </row>
    <row r="82" spans="1:14">
      <c r="B82" s="338" t="str">
        <f t="shared" si="18"/>
        <v>45-49</v>
      </c>
      <c r="C82" s="459">
        <f t="shared" si="21"/>
        <v>654.55365192636975</v>
      </c>
      <c r="D82" s="459">
        <f t="shared" ref="D82:N82" si="26">D48+(0.2*D47)-(0.2*D48)</f>
        <v>661.66355676619128</v>
      </c>
      <c r="E82" s="459">
        <f t="shared" si="26"/>
        <v>672.425629208484</v>
      </c>
      <c r="F82" s="459">
        <f t="shared" si="26"/>
        <v>690.4398263714794</v>
      </c>
      <c r="G82" s="459">
        <f t="shared" si="26"/>
        <v>708.81417073082912</v>
      </c>
      <c r="H82" s="459">
        <f t="shared" si="26"/>
        <v>719.37427314141848</v>
      </c>
      <c r="I82" s="459">
        <f t="shared" si="26"/>
        <v>728.33996344232469</v>
      </c>
      <c r="J82" s="459">
        <f t="shared" si="26"/>
        <v>736.4484060189003</v>
      </c>
      <c r="K82" s="459">
        <f t="shared" si="26"/>
        <v>743.6831825772191</v>
      </c>
      <c r="L82" s="459">
        <f t="shared" si="26"/>
        <v>748.23720697139652</v>
      </c>
      <c r="M82" s="459">
        <f t="shared" si="26"/>
        <v>751.10929531963473</v>
      </c>
      <c r="N82" s="459">
        <f t="shared" si="26"/>
        <v>752.77889507298676</v>
      </c>
    </row>
    <row r="83" spans="1:14">
      <c r="B83" s="338" t="str">
        <f t="shared" si="18"/>
        <v>50-54</v>
      </c>
      <c r="C83" s="459">
        <f t="shared" si="21"/>
        <v>470.5400586651561</v>
      </c>
      <c r="D83" s="459">
        <f t="shared" ref="D83:N83" si="27">D49+(0.2*D48)-(0.2*D49)</f>
        <v>482.72145741135853</v>
      </c>
      <c r="E83" s="459">
        <f t="shared" si="27"/>
        <v>496.41534697760733</v>
      </c>
      <c r="F83" s="459">
        <f t="shared" si="27"/>
        <v>514.43445605610793</v>
      </c>
      <c r="G83" s="459">
        <f t="shared" si="27"/>
        <v>531.92447935434666</v>
      </c>
      <c r="H83" s="459">
        <f t="shared" si="27"/>
        <v>543.08756361519511</v>
      </c>
      <c r="I83" s="459">
        <f t="shared" si="27"/>
        <v>552.79149710404079</v>
      </c>
      <c r="J83" s="459">
        <f t="shared" si="27"/>
        <v>561.65859408149379</v>
      </c>
      <c r="K83" s="459">
        <f t="shared" si="27"/>
        <v>569.68231002676021</v>
      </c>
      <c r="L83" s="459">
        <f t="shared" si="27"/>
        <v>575.48932505620655</v>
      </c>
      <c r="M83" s="459">
        <f t="shared" si="27"/>
        <v>579.80298203736857</v>
      </c>
      <c r="N83" s="459">
        <f t="shared" si="27"/>
        <v>582.96081849438633</v>
      </c>
    </row>
    <row r="84" spans="1:14">
      <c r="B84" s="338" t="str">
        <f t="shared" si="18"/>
        <v>55-59</v>
      </c>
      <c r="C84" s="459">
        <f t="shared" si="21"/>
        <v>331.84828606206696</v>
      </c>
      <c r="D84" s="459">
        <f t="shared" ref="D84:N84" si="28">D50+(0.2*D49)-(0.2*D50)</f>
        <v>296.92000537848855</v>
      </c>
      <c r="E84" s="459">
        <f t="shared" si="28"/>
        <v>281.04562960923732</v>
      </c>
      <c r="F84" s="459">
        <f t="shared" si="28"/>
        <v>278.45420269787996</v>
      </c>
      <c r="G84" s="459">
        <f t="shared" si="28"/>
        <v>281.02012871515444</v>
      </c>
      <c r="H84" s="459">
        <f t="shared" si="28"/>
        <v>282.3589463661645</v>
      </c>
      <c r="I84" s="459">
        <f t="shared" si="28"/>
        <v>284.97623883391066</v>
      </c>
      <c r="J84" s="459">
        <f t="shared" si="28"/>
        <v>288.43508649333052</v>
      </c>
      <c r="K84" s="459">
        <f t="shared" si="28"/>
        <v>292.18096432137907</v>
      </c>
      <c r="L84" s="459">
        <f t="shared" si="28"/>
        <v>294.9384547245885</v>
      </c>
      <c r="M84" s="459">
        <f t="shared" si="28"/>
        <v>297.12601043828926</v>
      </c>
      <c r="N84" s="459">
        <f t="shared" si="28"/>
        <v>298.86633996640171</v>
      </c>
    </row>
    <row r="85" spans="1:14">
      <c r="B85" s="338" t="str">
        <f t="shared" si="18"/>
        <v>60-64</v>
      </c>
      <c r="C85" s="459">
        <f t="shared" si="21"/>
        <v>139.97569326740296</v>
      </c>
      <c r="D85" s="459">
        <f t="shared" ref="D85:N85" si="29">D51+(0.2*D50)-(0.2*D51)</f>
        <v>125.66073156087785</v>
      </c>
      <c r="E85" s="459">
        <f t="shared" si="29"/>
        <v>114.97568908995871</v>
      </c>
      <c r="F85" s="459">
        <f t="shared" si="29"/>
        <v>109.81322354059876</v>
      </c>
      <c r="G85" s="459">
        <f t="shared" si="29"/>
        <v>107.4085710650911</v>
      </c>
      <c r="H85" s="459">
        <f t="shared" si="29"/>
        <v>104.83783873604634</v>
      </c>
      <c r="I85" s="459">
        <f t="shared" si="29"/>
        <v>103.7019088293473</v>
      </c>
      <c r="J85" s="459">
        <f t="shared" si="29"/>
        <v>103.63570243447529</v>
      </c>
      <c r="K85" s="459">
        <f t="shared" si="29"/>
        <v>104.17772879481149</v>
      </c>
      <c r="L85" s="459">
        <f t="shared" si="29"/>
        <v>104.51112579130216</v>
      </c>
      <c r="M85" s="459">
        <f t="shared" si="29"/>
        <v>104.81981565411461</v>
      </c>
      <c r="N85" s="459">
        <f t="shared" si="29"/>
        <v>105.11708945725476</v>
      </c>
    </row>
    <row r="86" spans="1:14">
      <c r="B86" s="338" t="str">
        <f t="shared" si="18"/>
        <v>65 plus</v>
      </c>
      <c r="C86" s="459">
        <f>C52+(0.2*C51)</f>
        <v>28.092176151846736</v>
      </c>
      <c r="D86" s="459">
        <f t="shared" ref="D86:N86" si="30">D52+(0.2*D51)</f>
        <v>35.418634705910392</v>
      </c>
      <c r="E86" s="459">
        <f t="shared" si="30"/>
        <v>38.140007990866067</v>
      </c>
      <c r="F86" s="459">
        <f t="shared" si="30"/>
        <v>39.183721568072365</v>
      </c>
      <c r="G86" s="459">
        <f t="shared" si="30"/>
        <v>39.296554132892908</v>
      </c>
      <c r="H86" s="459">
        <f t="shared" si="30"/>
        <v>38.399964852615</v>
      </c>
      <c r="I86" s="459">
        <f t="shared" si="30"/>
        <v>37.573430234992877</v>
      </c>
      <c r="J86" s="459">
        <f t="shared" si="30"/>
        <v>37.028112505041825</v>
      </c>
      <c r="K86" s="459">
        <f t="shared" si="30"/>
        <v>36.75103721037901</v>
      </c>
      <c r="L86" s="459">
        <f t="shared" si="30"/>
        <v>36.488408399026468</v>
      </c>
      <c r="M86" s="459">
        <f t="shared" si="30"/>
        <v>36.2910444720317</v>
      </c>
      <c r="N86" s="459">
        <f t="shared" si="30"/>
        <v>36.157292024075787</v>
      </c>
    </row>
    <row r="87" spans="1:14">
      <c r="B87" s="338" t="str">
        <f t="shared" si="18"/>
        <v>Total</v>
      </c>
      <c r="C87" s="459">
        <f>SUM(C77:C86)</f>
        <v>4998.2235123567261</v>
      </c>
      <c r="D87" s="459">
        <f t="shared" ref="D87:N87" si="31">SUM(D77:D86)</f>
        <v>4958.8051146786638</v>
      </c>
      <c r="E87" s="459">
        <f t="shared" si="31"/>
        <v>5000.3937911120165</v>
      </c>
      <c r="F87" s="459">
        <f t="shared" si="31"/>
        <v>5162.6309015091292</v>
      </c>
      <c r="G87" s="459">
        <f t="shared" si="31"/>
        <v>5334.3724673503357</v>
      </c>
      <c r="H87" s="459">
        <f t="shared" si="31"/>
        <v>5396.8307894422815</v>
      </c>
      <c r="I87" s="459">
        <f t="shared" si="31"/>
        <v>5449.3570606276089</v>
      </c>
      <c r="J87" s="459">
        <f t="shared" si="31"/>
        <v>5502.1426472700341</v>
      </c>
      <c r="K87" s="459">
        <f t="shared" si="31"/>
        <v>5553.0242547106609</v>
      </c>
      <c r="L87" s="459">
        <f t="shared" si="31"/>
        <v>5573.690170953596</v>
      </c>
      <c r="M87" s="459">
        <f t="shared" si="31"/>
        <v>5578.7658462158342</v>
      </c>
      <c r="N87" s="459">
        <f t="shared" si="31"/>
        <v>5574.1567244735916</v>
      </c>
    </row>
    <row r="88" spans="1:14">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4">
      <c r="B90" s="341" t="s">
        <v>50</v>
      </c>
      <c r="H90" s="325"/>
    </row>
    <row r="91" spans="1:14">
      <c r="H91" s="325"/>
    </row>
    <row r="92" spans="1:14">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4">
      <c r="B93" s="338" t="str">
        <f t="shared" si="33"/>
        <v>20-24</v>
      </c>
      <c r="C93" s="459">
        <f>C59-(0.2*C59)</f>
        <v>376.14943669418483</v>
      </c>
      <c r="D93" s="459">
        <f t="shared" ref="D93:N93" si="35">D59-(0.2*D59)</f>
        <v>393.71480166087468</v>
      </c>
      <c r="E93" s="459">
        <f t="shared" si="35"/>
        <v>424.83199576631148</v>
      </c>
      <c r="F93" s="459">
        <f t="shared" si="35"/>
        <v>478.68037542194469</v>
      </c>
      <c r="G93" s="459">
        <f t="shared" si="35"/>
        <v>523.53633577296671</v>
      </c>
      <c r="H93" s="459">
        <f t="shared" si="35"/>
        <v>531.39990851108871</v>
      </c>
      <c r="I93" s="459">
        <f t="shared" si="35"/>
        <v>535.76899219841744</v>
      </c>
      <c r="J93" s="459">
        <f t="shared" si="35"/>
        <v>540.19704090680591</v>
      </c>
      <c r="K93" s="459">
        <f t="shared" si="35"/>
        <v>544.233939026298</v>
      </c>
      <c r="L93" s="459">
        <f t="shared" si="35"/>
        <v>540.61886491629855</v>
      </c>
      <c r="M93" s="459">
        <f t="shared" si="35"/>
        <v>534.53215853726556</v>
      </c>
      <c r="N93" s="459">
        <f t="shared" si="35"/>
        <v>527.821917134616</v>
      </c>
    </row>
    <row r="94" spans="1:14">
      <c r="B94" s="338" t="str">
        <f t="shared" si="33"/>
        <v>25-29</v>
      </c>
      <c r="C94" s="459">
        <f t="shared" ref="C94:C101" si="36">C60+(0.2*C59)-(0.2*C60)</f>
        <v>1094.5797882340544</v>
      </c>
      <c r="D94" s="459">
        <f t="shared" ref="D94:N94" si="37">D60+(0.2*D59)-(0.2*D60)</f>
        <v>1015.8730335532796</v>
      </c>
      <c r="E94" s="459">
        <f t="shared" si="37"/>
        <v>986.13843869133052</v>
      </c>
      <c r="F94" s="459">
        <f t="shared" si="37"/>
        <v>1010.8472175053345</v>
      </c>
      <c r="G94" s="459">
        <f t="shared" si="37"/>
        <v>1046.4201780862918</v>
      </c>
      <c r="H94" s="459">
        <f t="shared" si="37"/>
        <v>1048.9719505918297</v>
      </c>
      <c r="I94" s="459">
        <f t="shared" si="37"/>
        <v>1050.6048994003488</v>
      </c>
      <c r="J94" s="459">
        <f t="shared" si="37"/>
        <v>1054.2358277502331</v>
      </c>
      <c r="K94" s="459">
        <f t="shared" si="37"/>
        <v>1058.7602283582585</v>
      </c>
      <c r="L94" s="459">
        <f t="shared" si="37"/>
        <v>1054.3925584744718</v>
      </c>
      <c r="M94" s="459">
        <f t="shared" si="37"/>
        <v>1046.104320035611</v>
      </c>
      <c r="N94" s="459">
        <f t="shared" si="37"/>
        <v>1036.0189451484302</v>
      </c>
    </row>
    <row r="95" spans="1:14">
      <c r="B95" s="338" t="str">
        <f t="shared" si="33"/>
        <v>30-34</v>
      </c>
      <c r="C95" s="459">
        <f t="shared" si="36"/>
        <v>1214.1686255870059</v>
      </c>
      <c r="D95" s="459">
        <f t="shared" ref="D95:N95" si="38">D61+(0.2*D60)-(0.2*D61)</f>
        <v>1174.8675967565378</v>
      </c>
      <c r="E95" s="459">
        <f t="shared" si="38"/>
        <v>1146.4797056487121</v>
      </c>
      <c r="F95" s="459">
        <f t="shared" si="38"/>
        <v>1144.8977095026003</v>
      </c>
      <c r="G95" s="459">
        <f t="shared" si="38"/>
        <v>1153.0950082209756</v>
      </c>
      <c r="H95" s="459">
        <f t="shared" si="38"/>
        <v>1146.7625065474401</v>
      </c>
      <c r="I95" s="459">
        <f t="shared" si="38"/>
        <v>1141.6560572962039</v>
      </c>
      <c r="J95" s="459">
        <f t="shared" si="38"/>
        <v>1139.2486366629519</v>
      </c>
      <c r="K95" s="459">
        <f t="shared" si="38"/>
        <v>1138.8261472950671</v>
      </c>
      <c r="L95" s="459">
        <f t="shared" si="38"/>
        <v>1134.315945557234</v>
      </c>
      <c r="M95" s="459">
        <f t="shared" si="38"/>
        <v>1127.5527246818324</v>
      </c>
      <c r="N95" s="459">
        <f t="shared" si="38"/>
        <v>1119.3307500630324</v>
      </c>
    </row>
    <row r="96" spans="1:14">
      <c r="B96" s="338" t="str">
        <f t="shared" si="33"/>
        <v>35-39</v>
      </c>
      <c r="C96" s="459">
        <f t="shared" si="36"/>
        <v>1129.5643810222159</v>
      </c>
      <c r="D96" s="459">
        <f t="shared" ref="D96:N96" si="39">D62+(0.2*D61)-(0.2*D62)</f>
        <v>1111.8764606602708</v>
      </c>
      <c r="E96" s="459">
        <f t="shared" si="39"/>
        <v>1100.9358285736903</v>
      </c>
      <c r="F96" s="459">
        <f t="shared" si="39"/>
        <v>1103.3878269399447</v>
      </c>
      <c r="G96" s="459">
        <f t="shared" si="39"/>
        <v>1108.0425631625862</v>
      </c>
      <c r="H96" s="459">
        <f t="shared" si="39"/>
        <v>1100.9601246813006</v>
      </c>
      <c r="I96" s="459">
        <f t="shared" si="39"/>
        <v>1093.9867686536804</v>
      </c>
      <c r="J96" s="459">
        <f t="shared" si="39"/>
        <v>1088.5826076205253</v>
      </c>
      <c r="K96" s="459">
        <f t="shared" si="39"/>
        <v>1084.6065143419801</v>
      </c>
      <c r="L96" s="459">
        <f t="shared" si="39"/>
        <v>1078.3898718502196</v>
      </c>
      <c r="M96" s="459">
        <f t="shared" si="39"/>
        <v>1071.2711773072492</v>
      </c>
      <c r="N96" s="459">
        <f t="shared" si="39"/>
        <v>1063.6473739061707</v>
      </c>
    </row>
    <row r="97" spans="1:14">
      <c r="B97" s="338" t="str">
        <f t="shared" si="33"/>
        <v>40-44</v>
      </c>
      <c r="C97" s="459">
        <f t="shared" si="36"/>
        <v>919.48538206556884</v>
      </c>
      <c r="D97" s="459">
        <f t="shared" ref="D97:N97" si="40">D63+(0.2*D62)-(0.2*D63)</f>
        <v>938.41193862817363</v>
      </c>
      <c r="E97" s="459">
        <f t="shared" si="40"/>
        <v>956.77028865633986</v>
      </c>
      <c r="F97" s="459">
        <f t="shared" si="40"/>
        <v>981.29812612494686</v>
      </c>
      <c r="G97" s="459">
        <f t="shared" si="40"/>
        <v>1002.4856920878478</v>
      </c>
      <c r="H97" s="459">
        <f t="shared" si="40"/>
        <v>1009.0676780458735</v>
      </c>
      <c r="I97" s="459">
        <f t="shared" si="40"/>
        <v>1012.1183110239797</v>
      </c>
      <c r="J97" s="459">
        <f t="shared" si="40"/>
        <v>1013.6278921747343</v>
      </c>
      <c r="K97" s="459">
        <f t="shared" si="40"/>
        <v>1014.1084951943362</v>
      </c>
      <c r="L97" s="459">
        <f t="shared" si="40"/>
        <v>1011.0654552692949</v>
      </c>
      <c r="M97" s="459">
        <f t="shared" si="40"/>
        <v>1006.2372712959932</v>
      </c>
      <c r="N97" s="459">
        <f t="shared" si="40"/>
        <v>1000.3931219215702</v>
      </c>
    </row>
    <row r="98" spans="1:14">
      <c r="B98" s="338" t="str">
        <f t="shared" si="33"/>
        <v>45-49</v>
      </c>
      <c r="C98" s="459">
        <f t="shared" si="36"/>
        <v>619.12438709715536</v>
      </c>
      <c r="D98" s="459">
        <f t="shared" ref="D98:N98" si="41">D64+(0.2*D63)-(0.2*D64)</f>
        <v>665.18643956057701</v>
      </c>
      <c r="E98" s="459">
        <f t="shared" si="41"/>
        <v>708.62110959511313</v>
      </c>
      <c r="F98" s="459">
        <f t="shared" si="41"/>
        <v>754.37043466510067</v>
      </c>
      <c r="G98" s="459">
        <f t="shared" si="41"/>
        <v>794.54223129752268</v>
      </c>
      <c r="H98" s="459">
        <f t="shared" si="41"/>
        <v>819.82563625614455</v>
      </c>
      <c r="I98" s="459">
        <f t="shared" si="41"/>
        <v>839.15127539872094</v>
      </c>
      <c r="J98" s="459">
        <f t="shared" si="41"/>
        <v>854.31093217332727</v>
      </c>
      <c r="K98" s="459">
        <f t="shared" si="41"/>
        <v>865.98859400509866</v>
      </c>
      <c r="L98" s="459">
        <f t="shared" si="41"/>
        <v>872.46786664958347</v>
      </c>
      <c r="M98" s="459">
        <f t="shared" si="41"/>
        <v>875.48660419419014</v>
      </c>
      <c r="N98" s="459">
        <f t="shared" si="41"/>
        <v>876.0208405492657</v>
      </c>
    </row>
    <row r="99" spans="1:14">
      <c r="B99" s="338" t="str">
        <f t="shared" si="33"/>
        <v>50-54</v>
      </c>
      <c r="C99" s="459">
        <f t="shared" si="36"/>
        <v>421.6546745900684</v>
      </c>
      <c r="D99" s="459">
        <f t="shared" ref="D99:N99" si="42">D65+(0.2*D64)-(0.2*D65)</f>
        <v>446.07243150996487</v>
      </c>
      <c r="E99" s="459">
        <f t="shared" si="42"/>
        <v>476.59519361647733</v>
      </c>
      <c r="F99" s="459">
        <f t="shared" si="42"/>
        <v>514.24884500897042</v>
      </c>
      <c r="G99" s="459">
        <f t="shared" si="42"/>
        <v>551.14311066044138</v>
      </c>
      <c r="H99" s="459">
        <f t="shared" si="42"/>
        <v>578.86621753748057</v>
      </c>
      <c r="I99" s="459">
        <f t="shared" si="42"/>
        <v>603.01653298255201</v>
      </c>
      <c r="J99" s="459">
        <f t="shared" si="42"/>
        <v>624.15643057502518</v>
      </c>
      <c r="K99" s="459">
        <f t="shared" si="42"/>
        <v>642.27188453088718</v>
      </c>
      <c r="L99" s="459">
        <f t="shared" si="42"/>
        <v>655.75117846790681</v>
      </c>
      <c r="M99" s="459">
        <f t="shared" si="42"/>
        <v>665.70873555837193</v>
      </c>
      <c r="N99" s="459">
        <f t="shared" si="42"/>
        <v>672.79794278558234</v>
      </c>
    </row>
    <row r="100" spans="1:14">
      <c r="B100" s="338" t="str">
        <f t="shared" si="33"/>
        <v>55-59</v>
      </c>
      <c r="C100" s="459">
        <f t="shared" si="36"/>
        <v>355.57277686993046</v>
      </c>
      <c r="D100" s="459">
        <f t="shared" ref="D100:N100" si="43">D66+(0.2*D65)-(0.2*D66)</f>
        <v>311.25940046630092</v>
      </c>
      <c r="E100" s="459">
        <f t="shared" si="43"/>
        <v>292.11927245615573</v>
      </c>
      <c r="F100" s="459">
        <f t="shared" si="43"/>
        <v>291.4956704148268</v>
      </c>
      <c r="G100" s="459">
        <f t="shared" si="43"/>
        <v>298.94867936135461</v>
      </c>
      <c r="H100" s="459">
        <f t="shared" si="43"/>
        <v>305.85745611610588</v>
      </c>
      <c r="I100" s="459">
        <f t="shared" si="43"/>
        <v>314.76282894502395</v>
      </c>
      <c r="J100" s="459">
        <f t="shared" si="43"/>
        <v>324.67445615931285</v>
      </c>
      <c r="K100" s="459">
        <f t="shared" si="43"/>
        <v>334.57944502713417</v>
      </c>
      <c r="L100" s="459">
        <f t="shared" si="43"/>
        <v>342.66667742855799</v>
      </c>
      <c r="M100" s="459">
        <f t="shared" si="43"/>
        <v>349.34731837078226</v>
      </c>
      <c r="N100" s="459">
        <f t="shared" si="43"/>
        <v>354.74788430433176</v>
      </c>
    </row>
    <row r="101" spans="1:14">
      <c r="B101" s="338" t="str">
        <f t="shared" si="33"/>
        <v>60-64</v>
      </c>
      <c r="C101" s="459">
        <f t="shared" si="36"/>
        <v>156.99737176525312</v>
      </c>
      <c r="D101" s="459">
        <f t="shared" ref="D101:N101" si="44">D67+(0.2*D66)-(0.2*D67)</f>
        <v>137.47877548471584</v>
      </c>
      <c r="E101" s="459">
        <f t="shared" si="44"/>
        <v>123.55141425155459</v>
      </c>
      <c r="F101" s="459">
        <f t="shared" si="44"/>
        <v>117.20832300254838</v>
      </c>
      <c r="G101" s="459">
        <f t="shared" si="44"/>
        <v>114.78766474373626</v>
      </c>
      <c r="H101" s="459">
        <f t="shared" si="44"/>
        <v>112.53498595055994</v>
      </c>
      <c r="I101" s="459">
        <f t="shared" si="44"/>
        <v>112.42216280953703</v>
      </c>
      <c r="J101" s="459">
        <f t="shared" si="44"/>
        <v>113.83391332461244</v>
      </c>
      <c r="K101" s="459">
        <f t="shared" si="44"/>
        <v>116.05845061850755</v>
      </c>
      <c r="L101" s="459">
        <f t="shared" si="44"/>
        <v>117.96751559678296</v>
      </c>
      <c r="M101" s="459">
        <f t="shared" si="44"/>
        <v>119.73775972357883</v>
      </c>
      <c r="N101" s="459">
        <f t="shared" si="44"/>
        <v>121.33901676369035</v>
      </c>
    </row>
    <row r="102" spans="1:14">
      <c r="B102" s="338" t="str">
        <f t="shared" si="33"/>
        <v>65 plus</v>
      </c>
      <c r="C102" s="459">
        <f>C68+(0.2*C67)</f>
        <v>33.663350009091644</v>
      </c>
      <c r="D102" s="459">
        <f t="shared" ref="D102:N102" si="45">D68+(0.2*D67)</f>
        <v>39.132430064377701</v>
      </c>
      <c r="E102" s="459">
        <f t="shared" si="45"/>
        <v>40.250446876566301</v>
      </c>
      <c r="F102" s="459">
        <f t="shared" si="45"/>
        <v>40.30418741980769</v>
      </c>
      <c r="G102" s="459">
        <f t="shared" si="45"/>
        <v>39.82209847003287</v>
      </c>
      <c r="H102" s="459">
        <f t="shared" si="45"/>
        <v>38.460400330882145</v>
      </c>
      <c r="I102" s="459">
        <f t="shared" si="45"/>
        <v>37.480951845163084</v>
      </c>
      <c r="J102" s="459">
        <f t="shared" si="45"/>
        <v>37.026740023550261</v>
      </c>
      <c r="K102" s="459">
        <f t="shared" si="45"/>
        <v>36.993799778113726</v>
      </c>
      <c r="L102" s="459">
        <f t="shared" si="45"/>
        <v>37.00684961203082</v>
      </c>
      <c r="M102" s="459">
        <f t="shared" si="45"/>
        <v>37.111002480787242</v>
      </c>
      <c r="N102" s="459">
        <f t="shared" si="45"/>
        <v>37.28430790945643</v>
      </c>
    </row>
    <row r="103" spans="1:14">
      <c r="B103" s="338" t="str">
        <f t="shared" si="33"/>
        <v>Total</v>
      </c>
      <c r="C103" s="459">
        <f>SUM(C93:C102)</f>
        <v>6320.9601739345298</v>
      </c>
      <c r="D103" s="459">
        <f t="shared" ref="D103:N103" si="46">SUM(D93:D102)</f>
        <v>6233.8733083450725</v>
      </c>
      <c r="E103" s="459">
        <f t="shared" si="46"/>
        <v>6256.2936941322523</v>
      </c>
      <c r="F103" s="459">
        <f t="shared" si="46"/>
        <v>6436.7387160060252</v>
      </c>
      <c r="G103" s="459">
        <f t="shared" si="46"/>
        <v>6632.8235618637545</v>
      </c>
      <c r="H103" s="459">
        <f t="shared" si="46"/>
        <v>6692.706864568705</v>
      </c>
      <c r="I103" s="459">
        <f t="shared" si="46"/>
        <v>6740.9687805536278</v>
      </c>
      <c r="J103" s="459">
        <f t="shared" si="46"/>
        <v>6789.8944773710791</v>
      </c>
      <c r="K103" s="459">
        <f t="shared" si="46"/>
        <v>6836.4274981756816</v>
      </c>
      <c r="L103" s="459">
        <f t="shared" si="46"/>
        <v>6844.6427838223808</v>
      </c>
      <c r="M103" s="459">
        <f t="shared" si="46"/>
        <v>6833.0890721856622</v>
      </c>
      <c r="N103" s="459">
        <f t="shared" si="46"/>
        <v>6809.402100486147</v>
      </c>
    </row>
    <row r="104" spans="1:14">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4" ht="15.75">
      <c r="B106" s="340" t="s">
        <v>151</v>
      </c>
      <c r="H106" s="325"/>
    </row>
    <row r="107" spans="1:14">
      <c r="H107" s="325"/>
    </row>
    <row r="108" spans="1:14">
      <c r="B108" s="341" t="s">
        <v>49</v>
      </c>
      <c r="H108" s="325"/>
    </row>
    <row r="109" spans="1:14">
      <c r="H109" s="325"/>
    </row>
    <row r="110" spans="1:14">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4">
      <c r="B111" s="338" t="str">
        <f t="shared" si="48"/>
        <v>20-24</v>
      </c>
      <c r="C111" s="459">
        <f>C77*Group_2_rates!E74</f>
        <v>20.777028867544075</v>
      </c>
      <c r="D111" s="459">
        <f>D77*Group_2_rates!F74</f>
        <v>26.819616732535724</v>
      </c>
      <c r="E111" s="459">
        <f>E77*Group_2_rates!G74</f>
        <v>32.877480658955577</v>
      </c>
      <c r="F111" s="459">
        <f>F77*Group_2_rates!H74</f>
        <v>40.228645511539419</v>
      </c>
      <c r="G111" s="459">
        <f>G77*Group_2_rates!I74</f>
        <v>46.002006074829268</v>
      </c>
      <c r="H111" s="459">
        <f>H77*Group_2_rates!J74</f>
        <v>47.663951416574996</v>
      </c>
      <c r="I111" s="459">
        <f>I77*Group_2_rates!K74</f>
        <v>48.704668917296672</v>
      </c>
      <c r="J111" s="459">
        <f>J77*Group_2_rates!L74</f>
        <v>49.561872072506617</v>
      </c>
      <c r="K111" s="459">
        <f>K77*Group_2_rates!M74</f>
        <v>50.247902361775942</v>
      </c>
      <c r="L111" s="459">
        <f>L77*Group_2_rates!N74</f>
        <v>50.08884668106252</v>
      </c>
      <c r="M111" s="459">
        <f>M77*Group_2_rates!O74</f>
        <v>49.633027837173564</v>
      </c>
      <c r="N111" s="459">
        <f>N77*Group_2_rates!P74</f>
        <v>49.081880702596806</v>
      </c>
    </row>
    <row r="112" spans="1:14">
      <c r="B112" s="338" t="str">
        <f t="shared" si="48"/>
        <v>25-29</v>
      </c>
      <c r="C112" s="459">
        <f>C78*Group_2_rates!E75</f>
        <v>75.065991613978994</v>
      </c>
      <c r="D112" s="459">
        <f>D78*Group_2_rates!F75</f>
        <v>70.409686360952335</v>
      </c>
      <c r="E112" s="459">
        <f>E78*Group_2_rates!G75</f>
        <v>70.043708967327007</v>
      </c>
      <c r="F112" s="459">
        <f>F78*Group_2_rates!H75</f>
        <v>74.172493751389212</v>
      </c>
      <c r="G112" s="459">
        <f>G78*Group_2_rates!I75</f>
        <v>78.933566610999577</v>
      </c>
      <c r="H112" s="459">
        <f>H78*Group_2_rates!J75</f>
        <v>80.551040144166294</v>
      </c>
      <c r="I112" s="459">
        <f>I78*Group_2_rates!K75</f>
        <v>81.820312349526162</v>
      </c>
      <c r="J112" s="459">
        <f>J78*Group_2_rates!L75</f>
        <v>83.027400582765083</v>
      </c>
      <c r="K112" s="459">
        <f>K78*Group_2_rates!M75</f>
        <v>84.114625175727625</v>
      </c>
      <c r="L112" s="459">
        <f>L78*Group_2_rates!N75</f>
        <v>84.281043994161479</v>
      </c>
      <c r="M112" s="459">
        <f>M78*Group_2_rates!O75</f>
        <v>83.991258388961612</v>
      </c>
      <c r="N112" s="459">
        <f>N78*Group_2_rates!P75</f>
        <v>83.456393728704981</v>
      </c>
    </row>
    <row r="113" spans="1:14">
      <c r="B113" s="338" t="str">
        <f t="shared" si="48"/>
        <v>30-34</v>
      </c>
      <c r="C113" s="459">
        <f>C79*Group_2_rates!E76</f>
        <v>63.472400677606188</v>
      </c>
      <c r="D113" s="459">
        <f>D79*Group_2_rates!F76</f>
        <v>61.362138249391251</v>
      </c>
      <c r="E113" s="459">
        <f>E79*Group_2_rates!G76</f>
        <v>60.052864409511706</v>
      </c>
      <c r="F113" s="459">
        <f>F79*Group_2_rates!H76</f>
        <v>60.406763325944361</v>
      </c>
      <c r="G113" s="459">
        <f>G79*Group_2_rates!I76</f>
        <v>61.428585005466012</v>
      </c>
      <c r="H113" s="459">
        <f>H79*Group_2_rates!J76</f>
        <v>61.695956770685314</v>
      </c>
      <c r="I113" s="459">
        <f>I79*Group_2_rates!K76</f>
        <v>62.029773227119634</v>
      </c>
      <c r="J113" s="459">
        <f>J79*Group_2_rates!L76</f>
        <v>62.483046916570899</v>
      </c>
      <c r="K113" s="459">
        <f>K79*Group_2_rates!M76</f>
        <v>62.999003661173951</v>
      </c>
      <c r="L113" s="459">
        <f>L79*Group_2_rates!N76</f>
        <v>63.227902018017929</v>
      </c>
      <c r="M113" s="459">
        <f>M79*Group_2_rates!O76</f>
        <v>63.265698038662805</v>
      </c>
      <c r="N113" s="459">
        <f>N79*Group_2_rates!P76</f>
        <v>63.157641023844199</v>
      </c>
    </row>
    <row r="114" spans="1:14">
      <c r="B114" s="338" t="str">
        <f t="shared" si="48"/>
        <v>35-39</v>
      </c>
      <c r="C114" s="459">
        <f>C80*Group_2_rates!E77</f>
        <v>51.505067647110387</v>
      </c>
      <c r="D114" s="459">
        <f>D80*Group_2_rates!F77</f>
        <v>51.756867187283085</v>
      </c>
      <c r="E114" s="459">
        <f>E80*Group_2_rates!G77</f>
        <v>52.0523127625233</v>
      </c>
      <c r="F114" s="459">
        <f>F80*Group_2_rates!H77</f>
        <v>52.819569994331196</v>
      </c>
      <c r="G114" s="459">
        <f>G80*Group_2_rates!I77</f>
        <v>53.603335389237074</v>
      </c>
      <c r="H114" s="459">
        <f>H80*Group_2_rates!J77</f>
        <v>53.776348205184469</v>
      </c>
      <c r="I114" s="459">
        <f>I80*Group_2_rates!K77</f>
        <v>53.918881298646866</v>
      </c>
      <c r="J114" s="459">
        <f>J80*Group_2_rates!L77</f>
        <v>54.110213218525956</v>
      </c>
      <c r="K114" s="459">
        <f>K80*Group_2_rates!M77</f>
        <v>54.34687627329086</v>
      </c>
      <c r="L114" s="459">
        <f>L80*Group_2_rates!N77</f>
        <v>54.451543221896245</v>
      </c>
      <c r="M114" s="459">
        <f>M80*Group_2_rates!O77</f>
        <v>54.483012174905269</v>
      </c>
      <c r="N114" s="459">
        <f>N80*Group_2_rates!P77</f>
        <v>54.456383220157761</v>
      </c>
    </row>
    <row r="115" spans="1:14">
      <c r="B115" s="338" t="str">
        <f t="shared" si="48"/>
        <v>40-44</v>
      </c>
      <c r="C115" s="459">
        <f>C81*Group_2_rates!E78</f>
        <v>50.120291769658095</v>
      </c>
      <c r="D115" s="459">
        <f>D81*Group_2_rates!F78</f>
        <v>50.33277713871454</v>
      </c>
      <c r="E115" s="459">
        <f>E81*Group_2_rates!G78</f>
        <v>50.93167282618974</v>
      </c>
      <c r="F115" s="459">
        <f>F81*Group_2_rates!H78</f>
        <v>52.10201566007008</v>
      </c>
      <c r="G115" s="459">
        <f>G81*Group_2_rates!I78</f>
        <v>53.262679644266271</v>
      </c>
      <c r="H115" s="459">
        <f>H81*Group_2_rates!J78</f>
        <v>53.777107610780327</v>
      </c>
      <c r="I115" s="459">
        <f>I81*Group_2_rates!K78</f>
        <v>54.169574444549554</v>
      </c>
      <c r="J115" s="459">
        <f>J81*Group_2_rates!L78</f>
        <v>54.518607451856802</v>
      </c>
      <c r="K115" s="459">
        <f>K81*Group_2_rates!M78</f>
        <v>54.835805725111157</v>
      </c>
      <c r="L115" s="459">
        <f>L81*Group_2_rates!N78</f>
        <v>54.983311420700844</v>
      </c>
      <c r="M115" s="459">
        <f>M81*Group_2_rates!O78</f>
        <v>55.0407965923321</v>
      </c>
      <c r="N115" s="459">
        <f>N81*Group_2_rates!P78</f>
        <v>55.040481351874618</v>
      </c>
    </row>
    <row r="116" spans="1:14">
      <c r="B116" s="338" t="str">
        <f t="shared" si="48"/>
        <v>45-49</v>
      </c>
      <c r="C116" s="459">
        <f>C82*Group_2_rates!E79</f>
        <v>47.86778231823719</v>
      </c>
      <c r="D116" s="459">
        <f>D82*Group_2_rates!F79</f>
        <v>48.387732632736764</v>
      </c>
      <c r="E116" s="459">
        <f>E82*Group_2_rates!G79</f>
        <v>49.174767491444904</v>
      </c>
      <c r="F116" s="459">
        <f>F82*Group_2_rates!H79</f>
        <v>50.49215326402183</v>
      </c>
      <c r="G116" s="459">
        <f>G82*Group_2_rates!I79</f>
        <v>51.835876751691899</v>
      </c>
      <c r="H116" s="459">
        <f>H82*Group_2_rates!J79</f>
        <v>52.608141457511984</v>
      </c>
      <c r="I116" s="459">
        <f>I82*Group_2_rates!K79</f>
        <v>53.263806138922682</v>
      </c>
      <c r="J116" s="459">
        <f>J82*Group_2_rates!L79</f>
        <v>53.856779935727815</v>
      </c>
      <c r="K116" s="459">
        <f>K82*Group_2_rates!M79</f>
        <v>54.38586217122598</v>
      </c>
      <c r="L116" s="459">
        <f>L82*Group_2_rates!N79</f>
        <v>54.718899879794058</v>
      </c>
      <c r="M116" s="459">
        <f>M82*Group_2_rates!O79</f>
        <v>54.928936901889351</v>
      </c>
      <c r="N116" s="459">
        <f>N82*Group_2_rates!P79</f>
        <v>55.05103543012585</v>
      </c>
    </row>
    <row r="117" spans="1:14">
      <c r="B117" s="338" t="str">
        <f t="shared" si="48"/>
        <v>50-54</v>
      </c>
      <c r="C117" s="459">
        <f>C83*Group_2_rates!E80</f>
        <v>35.159545374826358</v>
      </c>
      <c r="D117" s="459">
        <f>D83*Group_2_rates!F80</f>
        <v>36.06975999748984</v>
      </c>
      <c r="E117" s="459">
        <f>E83*Group_2_rates!G80</f>
        <v>37.092990480624977</v>
      </c>
      <c r="F117" s="459">
        <f>F83*Group_2_rates!H80</f>
        <v>38.439408647564356</v>
      </c>
      <c r="G117" s="459">
        <f>G83*Group_2_rates!I80</f>
        <v>39.74629263424486</v>
      </c>
      <c r="H117" s="459">
        <f>H83*Group_2_rates!J80</f>
        <v>40.580417084149794</v>
      </c>
      <c r="I117" s="459">
        <f>I83*Group_2_rates!K80</f>
        <v>41.305511331775079</v>
      </c>
      <c r="J117" s="459">
        <f>J83*Group_2_rates!L80</f>
        <v>41.968075746388713</v>
      </c>
      <c r="K117" s="459">
        <f>K83*Group_2_rates!M80</f>
        <v>42.567621310378762</v>
      </c>
      <c r="L117" s="459">
        <f>L83*Group_2_rates!N80</f>
        <v>43.001531249947604</v>
      </c>
      <c r="M117" s="459">
        <f>M83*Group_2_rates!O80</f>
        <v>43.323854961962375</v>
      </c>
      <c r="N117" s="459">
        <f>N83*Group_2_rates!P80</f>
        <v>43.559813818497922</v>
      </c>
    </row>
    <row r="118" spans="1:14">
      <c r="B118" s="338" t="str">
        <f t="shared" si="48"/>
        <v>55-59</v>
      </c>
      <c r="C118" s="459">
        <f>C84*Group_2_rates!E81</f>
        <v>17.406783128499551</v>
      </c>
      <c r="D118" s="459">
        <f>D84*Group_2_rates!F81</f>
        <v>15.574653711393886</v>
      </c>
      <c r="E118" s="459">
        <f>E84*Group_2_rates!G81</f>
        <v>14.741978576636724</v>
      </c>
      <c r="F118" s="459">
        <f>F84*Group_2_rates!H81</f>
        <v>14.606047766884348</v>
      </c>
      <c r="G118" s="459">
        <f>G84*Group_2_rates!I81</f>
        <v>14.740640951729418</v>
      </c>
      <c r="H118" s="459">
        <f>H84*Group_2_rates!J81</f>
        <v>14.810867345773172</v>
      </c>
      <c r="I118" s="459">
        <f>I84*Group_2_rates!K81</f>
        <v>14.948154908443879</v>
      </c>
      <c r="J118" s="459">
        <f>J84*Group_2_rates!L81</f>
        <v>15.129585440439392</v>
      </c>
      <c r="K118" s="459">
        <f>K84*Group_2_rates!M81</f>
        <v>15.326071864258079</v>
      </c>
      <c r="L118" s="459">
        <f>L84*Group_2_rates!N81</f>
        <v>15.470713374983278</v>
      </c>
      <c r="M118" s="459">
        <f>M84*Group_2_rates!O81</f>
        <v>15.585459508952393</v>
      </c>
      <c r="N118" s="459">
        <f>N84*Group_2_rates!P81</f>
        <v>15.676746822885699</v>
      </c>
    </row>
    <row r="119" spans="1:14">
      <c r="B119" s="338" t="str">
        <f t="shared" si="48"/>
        <v>60-64</v>
      </c>
      <c r="C119" s="459">
        <f>C85*Group_2_rates!E82</f>
        <v>2.6192035802772358</v>
      </c>
      <c r="D119" s="459">
        <f>D85*Group_2_rates!F82</f>
        <v>2.3513442249987753</v>
      </c>
      <c r="E119" s="459">
        <f>E85*Group_2_rates!G82</f>
        <v>2.1514073585188069</v>
      </c>
      <c r="F119" s="459">
        <f>F85*Group_2_rates!H82</f>
        <v>2.0548080995023823</v>
      </c>
      <c r="G119" s="459">
        <f>G85*Group_2_rates!I82</f>
        <v>2.0098126133136462</v>
      </c>
      <c r="H119" s="459">
        <f>H85*Group_2_rates!J82</f>
        <v>1.9617094665243995</v>
      </c>
      <c r="I119" s="459">
        <f>I85*Group_2_rates!K82</f>
        <v>1.9404541213346718</v>
      </c>
      <c r="J119" s="459">
        <f>J85*Group_2_rates!L82</f>
        <v>1.9392152774865847</v>
      </c>
      <c r="K119" s="459">
        <f>K85*Group_2_rates!M82</f>
        <v>1.9493575911301766</v>
      </c>
      <c r="L119" s="459">
        <f>L85*Group_2_rates!N82</f>
        <v>1.9555960642998995</v>
      </c>
      <c r="M119" s="459">
        <f>M85*Group_2_rates!O82</f>
        <v>1.9613722213954681</v>
      </c>
      <c r="N119" s="459">
        <f>N85*Group_2_rates!P82</f>
        <v>1.9669347629434488</v>
      </c>
    </row>
    <row r="120" spans="1:14">
      <c r="B120" s="338" t="str">
        <f t="shared" si="48"/>
        <v>65 plus</v>
      </c>
      <c r="C120" s="459">
        <f>C86*Group_2_rates!E83</f>
        <v>0.64173945452074088</v>
      </c>
      <c r="D120" s="459">
        <f>D86*Group_2_rates!F83</f>
        <v>0.80910553860905188</v>
      </c>
      <c r="E120" s="459">
        <f>E86*Group_2_rates!G83</f>
        <v>0.87127276260746633</v>
      </c>
      <c r="F120" s="459">
        <f>F86*Group_2_rates!H83</f>
        <v>0.89511542179099957</v>
      </c>
      <c r="G120" s="459">
        <f>G86*Group_2_rates!I83</f>
        <v>0.89769297606122478</v>
      </c>
      <c r="H120" s="459">
        <f>H86*Group_2_rates!J83</f>
        <v>0.87721123365207132</v>
      </c>
      <c r="I120" s="459">
        <f>I86*Group_2_rates!K83</f>
        <v>0.85832982440174299</v>
      </c>
      <c r="J120" s="459">
        <f>J86*Group_2_rates!L83</f>
        <v>0.84587255157717867</v>
      </c>
      <c r="K120" s="459">
        <f>K86*Group_2_rates!M83</f>
        <v>0.83954302596488817</v>
      </c>
      <c r="L120" s="459">
        <f>L86*Group_2_rates!N83</f>
        <v>0.83354351673399751</v>
      </c>
      <c r="M120" s="459">
        <f>M86*Group_2_rates!O83</f>
        <v>0.82903492266257073</v>
      </c>
      <c r="N120" s="459">
        <f>N86*Group_2_rates!P83</f>
        <v>0.82597947325459031</v>
      </c>
    </row>
    <row r="121" spans="1:14">
      <c r="B121" s="338" t="str">
        <f t="shared" si="48"/>
        <v>Total</v>
      </c>
      <c r="C121" s="459">
        <f>SUM(C111:C120)</f>
        <v>364.63583443225883</v>
      </c>
      <c r="D121" s="459">
        <f t="shared" ref="D121:N121" si="50">SUM(D111:D120)</f>
        <v>363.87368177410525</v>
      </c>
      <c r="E121" s="459">
        <f t="shared" si="50"/>
        <v>369.99045629434022</v>
      </c>
      <c r="F121" s="459">
        <f t="shared" si="50"/>
        <v>386.21702144303816</v>
      </c>
      <c r="G121" s="459">
        <f t="shared" si="50"/>
        <v>402.46048865183928</v>
      </c>
      <c r="H121" s="459">
        <f t="shared" si="50"/>
        <v>408.3027507350028</v>
      </c>
      <c r="I121" s="459">
        <f t="shared" si="50"/>
        <v>412.95946656201693</v>
      </c>
      <c r="J121" s="459">
        <f t="shared" si="50"/>
        <v>417.44066919384505</v>
      </c>
      <c r="K121" s="459">
        <f t="shared" si="50"/>
        <v>421.61266916003746</v>
      </c>
      <c r="L121" s="459">
        <f t="shared" si="50"/>
        <v>423.01293142159784</v>
      </c>
      <c r="M121" s="459">
        <f t="shared" si="50"/>
        <v>423.04245154889753</v>
      </c>
      <c r="N121" s="459">
        <f t="shared" si="50"/>
        <v>422.27329033488581</v>
      </c>
    </row>
    <row r="122" spans="1:14">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4">
      <c r="B127" s="338" t="str">
        <f t="shared" si="52"/>
        <v>20-24</v>
      </c>
      <c r="C127" s="459">
        <f>C93*Group_2_rates!E89</f>
        <v>39.872697483986094</v>
      </c>
      <c r="D127" s="459">
        <f>D93*Group_2_rates!F89</f>
        <v>41.734666199579443</v>
      </c>
      <c r="E127" s="459">
        <f>E93*Group_2_rates!G89</f>
        <v>45.033159686691285</v>
      </c>
      <c r="F127" s="459">
        <f>F93*Group_2_rates!H89</f>
        <v>50.741210643464356</v>
      </c>
      <c r="G127" s="459">
        <f>G93*Group_2_rates!I89</f>
        <v>55.496044661424293</v>
      </c>
      <c r="H127" s="459">
        <f>H93*Group_2_rates!J89</f>
        <v>56.329601291698793</v>
      </c>
      <c r="I127" s="459">
        <f>I93*Group_2_rates!K89</f>
        <v>56.792734119114698</v>
      </c>
      <c r="J127" s="459">
        <f>J93*Group_2_rates!L89</f>
        <v>57.262117373136356</v>
      </c>
      <c r="K127" s="459">
        <f>K93*Group_2_rates!M89</f>
        <v>57.690037773354966</v>
      </c>
      <c r="L127" s="459">
        <f>L93*Group_2_rates!N89</f>
        <v>57.306831679423233</v>
      </c>
      <c r="M127" s="459">
        <f>M93*Group_2_rates!O89</f>
        <v>56.661626932453629</v>
      </c>
      <c r="N127" s="459">
        <f>N93*Group_2_rates!P89</f>
        <v>55.950326052027506</v>
      </c>
    </row>
    <row r="128" spans="1:14">
      <c r="B128" s="338" t="str">
        <f t="shared" si="52"/>
        <v>25-29</v>
      </c>
      <c r="C128" s="459">
        <f>C94*Group_2_rates!E90</f>
        <v>108.93722040590841</v>
      </c>
      <c r="D128" s="459">
        <f>D94*Group_2_rates!F90</f>
        <v>101.10399054522701</v>
      </c>
      <c r="E128" s="459">
        <f>E94*Group_2_rates!G90</f>
        <v>98.144677620782701</v>
      </c>
      <c r="F128" s="459">
        <f>F94*Group_2_rates!H90</f>
        <v>100.6038000278981</v>
      </c>
      <c r="G128" s="459">
        <f>G94*Group_2_rates!I90</f>
        <v>104.14417185730174</v>
      </c>
      <c r="H128" s="459">
        <f>H94*Group_2_rates!J90</f>
        <v>104.39813507391658</v>
      </c>
      <c r="I128" s="459">
        <f>I94*Group_2_rates!K90</f>
        <v>104.56065306134646</v>
      </c>
      <c r="J128" s="459">
        <f>J94*Group_2_rates!L90</f>
        <v>104.92201844209001</v>
      </c>
      <c r="K128" s="459">
        <f>K94*Group_2_rates!M90</f>
        <v>105.3723059693577</v>
      </c>
      <c r="L128" s="459">
        <f>L94*Group_2_rates!N90</f>
        <v>104.93761694814165</v>
      </c>
      <c r="M128" s="459">
        <f>M94*Group_2_rates!O90</f>
        <v>104.11273632518807</v>
      </c>
      <c r="N128" s="459">
        <f>N94*Group_2_rates!P90</f>
        <v>103.10899706490667</v>
      </c>
    </row>
    <row r="129" spans="1:14">
      <c r="B129" s="338" t="str">
        <f t="shared" si="52"/>
        <v>30-34</v>
      </c>
      <c r="C129" s="459">
        <f>C95*Group_2_rates!E91</f>
        <v>112.06033324973676</v>
      </c>
      <c r="D129" s="459">
        <f>D95*Group_2_rates!F91</f>
        <v>108.43308881680591</v>
      </c>
      <c r="E129" s="459">
        <f>E95*Group_2_rates!G91</f>
        <v>105.81306020565462</v>
      </c>
      <c r="F129" s="459">
        <f>F95*Group_2_rates!H91</f>
        <v>105.6670516434194</v>
      </c>
      <c r="G129" s="459">
        <f>G95*Group_2_rates!I91</f>
        <v>106.42361214644234</v>
      </c>
      <c r="H129" s="459">
        <f>H95*Group_2_rates!J91</f>
        <v>105.83916099782381</v>
      </c>
      <c r="I129" s="459">
        <f>I95*Group_2_rates!K91</f>
        <v>105.36786698416097</v>
      </c>
      <c r="J129" s="459">
        <f>J95*Group_2_rates!L91</f>
        <v>105.14567679348289</v>
      </c>
      <c r="K129" s="459">
        <f>K95*Group_2_rates!M91</f>
        <v>105.10668361052467</v>
      </c>
      <c r="L129" s="459">
        <f>L95*Group_2_rates!N91</f>
        <v>104.69041959322578</v>
      </c>
      <c r="M129" s="459">
        <f>M95*Group_2_rates!O91</f>
        <v>104.06621569834037</v>
      </c>
      <c r="N129" s="459">
        <f>N95*Group_2_rates!P91</f>
        <v>103.3073777607284</v>
      </c>
    </row>
    <row r="130" spans="1:14">
      <c r="B130" s="338" t="str">
        <f t="shared" si="52"/>
        <v>35-39</v>
      </c>
      <c r="C130" s="459">
        <f>C96*Group_2_rates!E92</f>
        <v>91.677411182113431</v>
      </c>
      <c r="D130" s="459">
        <f>D96*Group_2_rates!F92</f>
        <v>90.241828779531787</v>
      </c>
      <c r="E130" s="459">
        <f>E96*Group_2_rates!G92</f>
        <v>89.353868037102941</v>
      </c>
      <c r="F130" s="459">
        <f>F96*Group_2_rates!H92</f>
        <v>89.552876492236365</v>
      </c>
      <c r="G130" s="459">
        <f>G96*Group_2_rates!I92</f>
        <v>89.93066298568192</v>
      </c>
      <c r="H130" s="459">
        <f>H96*Group_2_rates!J92</f>
        <v>89.355839951484214</v>
      </c>
      <c r="I130" s="459">
        <f>I96*Group_2_rates!K92</f>
        <v>88.789870239085118</v>
      </c>
      <c r="J130" s="459">
        <f>J96*Group_2_rates!L92</f>
        <v>88.351259123636737</v>
      </c>
      <c r="K130" s="459">
        <f>K96*Group_2_rates!M92</f>
        <v>88.028552472719014</v>
      </c>
      <c r="L130" s="459">
        <f>L96*Group_2_rates!N92</f>
        <v>87.523998947957935</v>
      </c>
      <c r="M130" s="459">
        <f>M96*Group_2_rates!O92</f>
        <v>86.946233308689855</v>
      </c>
      <c r="N130" s="459">
        <f>N96*Group_2_rates!P92</f>
        <v>86.327472155350577</v>
      </c>
    </row>
    <row r="131" spans="1:14">
      <c r="B131" s="338" t="str">
        <f t="shared" si="52"/>
        <v>40-44</v>
      </c>
      <c r="C131" s="459">
        <f>C97*Group_2_rates!E93</f>
        <v>68.958844904855482</v>
      </c>
      <c r="D131" s="459">
        <f>D97*Group_2_rates!F93</f>
        <v>70.378283978102829</v>
      </c>
      <c r="E131" s="459">
        <f>E97*Group_2_rates!G93</f>
        <v>71.755109142476229</v>
      </c>
      <c r="F131" s="459">
        <f>F97*Group_2_rates!H93</f>
        <v>73.594628696391837</v>
      </c>
      <c r="G131" s="459">
        <f>G97*Group_2_rates!I93</f>
        <v>75.183637182709333</v>
      </c>
      <c r="H131" s="459">
        <f>H97*Group_2_rates!J93</f>
        <v>75.677267813166779</v>
      </c>
      <c r="I131" s="459">
        <f>I97*Group_2_rates!K93</f>
        <v>75.906056797202922</v>
      </c>
      <c r="J131" s="459">
        <f>J97*Group_2_rates!L93</f>
        <v>76.019271182636999</v>
      </c>
      <c r="K131" s="459">
        <f>K97*Group_2_rates!M93</f>
        <v>76.055315071681861</v>
      </c>
      <c r="L131" s="459">
        <f>L97*Group_2_rates!N93</f>
        <v>75.827095545495595</v>
      </c>
      <c r="M131" s="459">
        <f>M97*Group_2_rates!O93</f>
        <v>75.464995183400561</v>
      </c>
      <c r="N131" s="459">
        <f>N97*Group_2_rates!P93</f>
        <v>75.026700243456759</v>
      </c>
    </row>
    <row r="132" spans="1:14">
      <c r="B132" s="338" t="str">
        <f t="shared" si="52"/>
        <v>45-49</v>
      </c>
      <c r="C132" s="459">
        <f>C98*Group_2_rates!E94</f>
        <v>51.064501733472646</v>
      </c>
      <c r="D132" s="459">
        <f>D98*Group_2_rates!F94</f>
        <v>54.863634519848574</v>
      </c>
      <c r="E132" s="459">
        <f>E98*Group_2_rates!G94</f>
        <v>58.446064528252244</v>
      </c>
      <c r="F132" s="459">
        <f>F98*Group_2_rates!H94</f>
        <v>62.219404002562086</v>
      </c>
      <c r="G132" s="459">
        <f>G98*Group_2_rates!I94</f>
        <v>65.532716838438347</v>
      </c>
      <c r="H132" s="459">
        <f>H98*Group_2_rates!J94</f>
        <v>67.618056235891331</v>
      </c>
      <c r="I132" s="459">
        <f>I98*Group_2_rates!K94</f>
        <v>69.212007554984993</v>
      </c>
      <c r="J132" s="459">
        <f>J98*Group_2_rates!L94</f>
        <v>70.462354554358242</v>
      </c>
      <c r="K132" s="459">
        <f>K98*Group_2_rates!M94</f>
        <v>71.425511547167545</v>
      </c>
      <c r="L132" s="459">
        <f>L98*Group_2_rates!N94</f>
        <v>71.959912769411787</v>
      </c>
      <c r="M132" s="459">
        <f>M98*Group_2_rates!O94</f>
        <v>72.208893962516157</v>
      </c>
      <c r="N132" s="459">
        <f>N98*Group_2_rates!P94</f>
        <v>72.252957019711744</v>
      </c>
    </row>
    <row r="133" spans="1:14">
      <c r="B133" s="338" t="str">
        <f t="shared" si="52"/>
        <v>50-54</v>
      </c>
      <c r="C133" s="459">
        <f>C99*Group_2_rates!E95</f>
        <v>34.294153462705104</v>
      </c>
      <c r="D133" s="459">
        <f>D99*Group_2_rates!F95</f>
        <v>36.280106313435532</v>
      </c>
      <c r="E133" s="459">
        <f>E99*Group_2_rates!G95</f>
        <v>38.762593407415999</v>
      </c>
      <c r="F133" s="459">
        <f>F99*Group_2_rates!H95</f>
        <v>41.825052279811416</v>
      </c>
      <c r="G133" s="459">
        <f>G99*Group_2_rates!I95</f>
        <v>44.825748547143057</v>
      </c>
      <c r="H133" s="459">
        <f>H99*Group_2_rates!J95</f>
        <v>47.080533182528548</v>
      </c>
      <c r="I133" s="459">
        <f>I99*Group_2_rates!K95</f>
        <v>49.044734397305085</v>
      </c>
      <c r="J133" s="459">
        <f>J99*Group_2_rates!L95</f>
        <v>50.764091340108969</v>
      </c>
      <c r="K133" s="459">
        <f>K99*Group_2_rates!M95</f>
        <v>52.23746326136866</v>
      </c>
      <c r="L133" s="459">
        <f>L99*Group_2_rates!N95</f>
        <v>53.333765526473321</v>
      </c>
      <c r="M133" s="459">
        <f>M99*Group_2_rates!O95</f>
        <v>54.143636758912642</v>
      </c>
      <c r="N133" s="459">
        <f>N99*Group_2_rates!P95</f>
        <v>54.720218438732104</v>
      </c>
    </row>
    <row r="134" spans="1:14">
      <c r="B134" s="338" t="str">
        <f t="shared" si="52"/>
        <v>55-59</v>
      </c>
      <c r="C134" s="459">
        <f>C100*Group_2_rates!E96</f>
        <v>17.935824504915441</v>
      </c>
      <c r="D134" s="459">
        <f>D100*Group_2_rates!F96</f>
        <v>15.70056636903599</v>
      </c>
      <c r="E134" s="459">
        <f>E100*Group_2_rates!G96</f>
        <v>14.735098821116374</v>
      </c>
      <c r="F134" s="459">
        <f>F100*Group_2_rates!H96</f>
        <v>14.703643047497703</v>
      </c>
      <c r="G134" s="459">
        <f>G100*Group_2_rates!I96</f>
        <v>15.079588196266464</v>
      </c>
      <c r="H134" s="459">
        <f>H100*Group_2_rates!J96</f>
        <v>15.428081150388726</v>
      </c>
      <c r="I134" s="459">
        <f>I100*Group_2_rates!K96</f>
        <v>15.877286529991633</v>
      </c>
      <c r="J134" s="459">
        <f>J100*Group_2_rates!L96</f>
        <v>16.377249456958506</v>
      </c>
      <c r="K134" s="459">
        <f>K100*Group_2_rates!M96</f>
        <v>16.876877532032911</v>
      </c>
      <c r="L134" s="459">
        <f>L100*Group_2_rates!N96</f>
        <v>17.284814220435422</v>
      </c>
      <c r="M134" s="459">
        <f>M100*Group_2_rates!O96</f>
        <v>17.621799533469996</v>
      </c>
      <c r="N134" s="459">
        <f>N100*Group_2_rates!P96</f>
        <v>17.894215221937625</v>
      </c>
    </row>
    <row r="135" spans="1:14">
      <c r="B135" s="338" t="str">
        <f t="shared" si="52"/>
        <v>60-64</v>
      </c>
      <c r="C135" s="459">
        <f>C101*Group_2_rates!E97</f>
        <v>3.4432862624922884</v>
      </c>
      <c r="D135" s="459">
        <f>D101*Group_2_rates!F97</f>
        <v>3.0152019341992102</v>
      </c>
      <c r="E135" s="459">
        <f>E101*Group_2_rates!G97</f>
        <v>2.7097452818508079</v>
      </c>
      <c r="F135" s="459">
        <f>F101*Group_2_rates!H97</f>
        <v>2.5706278003677707</v>
      </c>
      <c r="G135" s="459">
        <f>G101*Group_2_rates!I97</f>
        <v>2.5175376165319605</v>
      </c>
      <c r="H135" s="459">
        <f>H101*Group_2_rates!J97</f>
        <v>2.4681315796337784</v>
      </c>
      <c r="I135" s="459">
        <f>I101*Group_2_rates!K97</f>
        <v>2.4656571282005642</v>
      </c>
      <c r="J135" s="459">
        <f>J101*Group_2_rates!L97</f>
        <v>2.4966198194862117</v>
      </c>
      <c r="K135" s="459">
        <f>K101*Group_2_rates!M97</f>
        <v>2.5454086534542339</v>
      </c>
      <c r="L135" s="459">
        <f>L101*Group_2_rates!N97</f>
        <v>2.5872785085988772</v>
      </c>
      <c r="M135" s="459">
        <f>M101*Group_2_rates!O97</f>
        <v>2.6261037272284473</v>
      </c>
      <c r="N135" s="459">
        <f>N101*Group_2_rates!P97</f>
        <v>2.6612226996478019</v>
      </c>
    </row>
    <row r="136" spans="1:14">
      <c r="B136" s="338" t="str">
        <f t="shared" si="52"/>
        <v>65 plus</v>
      </c>
      <c r="C136" s="459">
        <f>C102*Group_2_rates!E98</f>
        <v>1.1825286724727344</v>
      </c>
      <c r="D136" s="459">
        <f>D102*Group_2_rates!F98</f>
        <v>1.3746469249840816</v>
      </c>
      <c r="E136" s="459">
        <f>E102*Group_2_rates!G98</f>
        <v>1.4139207030353604</v>
      </c>
      <c r="F136" s="459">
        <f>F102*Group_2_rates!H98</f>
        <v>1.415808504850689</v>
      </c>
      <c r="G136" s="459">
        <f>G102*Group_2_rates!I98</f>
        <v>1.3988736482295558</v>
      </c>
      <c r="H136" s="459">
        <f>H102*Group_2_rates!J98</f>
        <v>1.3510398143311584</v>
      </c>
      <c r="I136" s="459">
        <f>I102*Group_2_rates!K98</f>
        <v>1.3166336747978089</v>
      </c>
      <c r="J136" s="459">
        <f>J102*Group_2_rates!L98</f>
        <v>1.3006780880160962</v>
      </c>
      <c r="K136" s="459">
        <f>K102*Group_2_rates!M98</f>
        <v>1.2995209606150362</v>
      </c>
      <c r="L136" s="459">
        <f>L102*Group_2_rates!N98</f>
        <v>1.299979376155195</v>
      </c>
      <c r="M136" s="459">
        <f>M102*Group_2_rates!O98</f>
        <v>1.3036380659050713</v>
      </c>
      <c r="N136" s="459">
        <f>N102*Group_2_rates!P98</f>
        <v>1.309725951942591</v>
      </c>
    </row>
    <row r="137" spans="1:14">
      <c r="B137" s="338" t="str">
        <f t="shared" si="52"/>
        <v>Total</v>
      </c>
      <c r="C137" s="459">
        <f>SUM(C127:C136)</f>
        <v>529.42680186265829</v>
      </c>
      <c r="D137" s="459">
        <f t="shared" ref="D137:N137" si="54">SUM(D127:D136)</f>
        <v>523.12601438075035</v>
      </c>
      <c r="E137" s="459">
        <f t="shared" si="54"/>
        <v>526.16729743437861</v>
      </c>
      <c r="F137" s="459">
        <f t="shared" si="54"/>
        <v>542.89410313849976</v>
      </c>
      <c r="G137" s="459">
        <f t="shared" si="54"/>
        <v>560.53259368016904</v>
      </c>
      <c r="H137" s="459">
        <f t="shared" si="54"/>
        <v>565.54584709086373</v>
      </c>
      <c r="I137" s="459">
        <f t="shared" si="54"/>
        <v>569.33350048619013</v>
      </c>
      <c r="J137" s="459">
        <f t="shared" si="54"/>
        <v>573.10133617391102</v>
      </c>
      <c r="K137" s="459">
        <f t="shared" si="54"/>
        <v>576.63767685227663</v>
      </c>
      <c r="L137" s="459">
        <f t="shared" si="54"/>
        <v>576.75171311531881</v>
      </c>
      <c r="M137" s="459">
        <f t="shared" si="54"/>
        <v>575.15587949610483</v>
      </c>
      <c r="N137" s="459">
        <f t="shared" si="54"/>
        <v>572.55921260844184</v>
      </c>
    </row>
    <row r="138" spans="1:14">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4" ht="15.75">
      <c r="B140" s="340" t="s">
        <v>152</v>
      </c>
      <c r="H140" s="325"/>
    </row>
    <row r="141" spans="1:14">
      <c r="H141" s="325"/>
    </row>
    <row r="142" spans="1:14">
      <c r="B142" s="341" t="s">
        <v>49</v>
      </c>
      <c r="H142" s="325"/>
    </row>
    <row r="143" spans="1:14">
      <c r="H143" s="325"/>
    </row>
    <row r="144" spans="1:14">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0.33754122203289921</v>
      </c>
      <c r="D148" s="459">
        <f>D80*Calc_SEC_retirement_rates!$G127</f>
        <v>0.33919140381849644</v>
      </c>
      <c r="E148" s="459">
        <f>E80*Calc_SEC_retirement_rates!$G127</f>
        <v>0.34112762223479032</v>
      </c>
      <c r="F148" s="459">
        <f>F80*Calc_SEC_retirement_rates!$G127</f>
        <v>0.34615588363641464</v>
      </c>
      <c r="G148" s="459">
        <f>G80*Calc_SEC_retirement_rates!$G127</f>
        <v>0.35129233216991096</v>
      </c>
      <c r="H148" s="459">
        <f>H80*Calc_SEC_retirement_rates!$G127</f>
        <v>0.35242618093450945</v>
      </c>
      <c r="I148" s="459">
        <f>I80*Calc_SEC_retirement_rates!$G127</f>
        <v>0.35336027920377217</v>
      </c>
      <c r="J148" s="459">
        <f>J80*Calc_SEC_retirement_rates!$G127</f>
        <v>0.35461418319808163</v>
      </c>
      <c r="K148" s="459">
        <f>K80*Calc_SEC_retirement_rates!$G127</f>
        <v>0.35616516721508573</v>
      </c>
      <c r="L148" s="459">
        <f>L80*Calc_SEC_retirement_rates!$G127</f>
        <v>0.35685110767400863</v>
      </c>
      <c r="M148" s="459">
        <f>M80*Calc_SEC_retirement_rates!$G127</f>
        <v>0.35705734114461668</v>
      </c>
      <c r="N148" s="459">
        <f>N80*Calc_SEC_retirement_rates!$G127</f>
        <v>0.35688282686208977</v>
      </c>
    </row>
    <row r="149" spans="1:14">
      <c r="B149" s="338" t="str">
        <f t="shared" si="56"/>
        <v>40-44</v>
      </c>
      <c r="C149" s="459">
        <f>C81*Calc_SEC_retirement_rates!$G128</f>
        <v>0.39503429234232174</v>
      </c>
      <c r="D149" s="459">
        <f>D81*Calc_SEC_retirement_rates!$G128</f>
        <v>0.3967090433151228</v>
      </c>
      <c r="E149" s="459">
        <f>E81*Calc_SEC_retirement_rates!$G128</f>
        <v>0.40142937365908654</v>
      </c>
      <c r="F149" s="459">
        <f>F81*Calc_SEC_retirement_rates!$G128</f>
        <v>0.41065369252986594</v>
      </c>
      <c r="G149" s="459">
        <f>G81*Calc_SEC_retirement_rates!$G128</f>
        <v>0.41980172538153687</v>
      </c>
      <c r="H149" s="459">
        <f>H81*Calc_SEC_retirement_rates!$G128</f>
        <v>0.4238563044858828</v>
      </c>
      <c r="I149" s="459">
        <f>I81*Calc_SEC_retirement_rates!$G128</f>
        <v>0.42694961963772549</v>
      </c>
      <c r="J149" s="459">
        <f>J81*Calc_SEC_retirement_rates!$G128</f>
        <v>0.42970060136942406</v>
      </c>
      <c r="K149" s="459">
        <f>K81*Calc_SEC_retirement_rates!$G128</f>
        <v>0.43220067052271455</v>
      </c>
      <c r="L149" s="459">
        <f>L81*Calc_SEC_retirement_rates!$G128</f>
        <v>0.43336326966203176</v>
      </c>
      <c r="M149" s="459">
        <f>M81*Calc_SEC_retirement_rates!$G128</f>
        <v>0.43381635190265183</v>
      </c>
      <c r="N149" s="459">
        <f>N81*Calc_SEC_retirement_rates!$G128</f>
        <v>0.43381386726446158</v>
      </c>
    </row>
    <row r="150" spans="1:14">
      <c r="B150" s="338" t="str">
        <f t="shared" si="56"/>
        <v>45-49</v>
      </c>
      <c r="C150" s="459">
        <f>C82*Calc_SEC_retirement_rates!$G129</f>
        <v>0.82104240881064694</v>
      </c>
      <c r="D150" s="459">
        <f>D82*Calc_SEC_retirement_rates!$G129</f>
        <v>0.82996075091892407</v>
      </c>
      <c r="E150" s="459">
        <f>E82*Calc_SEC_retirement_rates!$G129</f>
        <v>0.8434602063964235</v>
      </c>
      <c r="F150" s="459">
        <f>F82*Calc_SEC_retirement_rates!$G129</f>
        <v>0.86605639814933333</v>
      </c>
      <c r="G150" s="459">
        <f>G82*Calc_SEC_retirement_rates!$G129</f>
        <v>0.88910434220818624</v>
      </c>
      <c r="H150" s="459">
        <f>H82*Calc_SEC_retirement_rates!$G129</f>
        <v>0.90235045563977512</v>
      </c>
      <c r="I150" s="459">
        <f>I82*Calc_SEC_retirement_rates!$G129</f>
        <v>0.9135966108474376</v>
      </c>
      <c r="J150" s="459">
        <f>J82*Calc_SEC_retirement_rates!$G129</f>
        <v>0.92376747339656806</v>
      </c>
      <c r="K150" s="459">
        <f>K82*Calc_SEC_retirement_rates!$G129</f>
        <v>0.93284244892403945</v>
      </c>
      <c r="L150" s="459">
        <f>L82*Calc_SEC_retirement_rates!$G129</f>
        <v>0.9385548105423327</v>
      </c>
      <c r="M150" s="459">
        <f>M82*Calc_SEC_retirement_rates!$G129</f>
        <v>0.94215742788136136</v>
      </c>
      <c r="N150" s="459">
        <f>N82*Calc_SEC_retirement_rates!$G129</f>
        <v>0.94425169807480924</v>
      </c>
    </row>
    <row r="151" spans="1:14">
      <c r="B151" s="338" t="str">
        <f t="shared" si="56"/>
        <v>50-54</v>
      </c>
      <c r="C151" s="459">
        <f>C83*Calc_SEC_retirement_rates!$G130</f>
        <v>13.237390661975006</v>
      </c>
      <c r="D151" s="459">
        <f>D83*Calc_SEC_retirement_rates!$G130</f>
        <v>13.580081854878355</v>
      </c>
      <c r="E151" s="459">
        <f>E83*Calc_SEC_retirement_rates!$G130</f>
        <v>13.965322946539318</v>
      </c>
      <c r="F151" s="459">
        <f>F83*Calc_SEC_retirement_rates!$G130</f>
        <v>14.472242563393007</v>
      </c>
      <c r="G151" s="459">
        <f>G83*Calc_SEC_retirement_rates!$G130</f>
        <v>14.964277761719417</v>
      </c>
      <c r="H151" s="459">
        <f>H83*Calc_SEC_retirement_rates!$G130</f>
        <v>15.278321390167534</v>
      </c>
      <c r="I151" s="459">
        <f>I83*Calc_SEC_retirement_rates!$G130</f>
        <v>15.551315699969928</v>
      </c>
      <c r="J151" s="459">
        <f>J83*Calc_SEC_retirement_rates!$G130</f>
        <v>15.800767844514523</v>
      </c>
      <c r="K151" s="459">
        <f>K83*Calc_SEC_retirement_rates!$G130</f>
        <v>16.026493711148532</v>
      </c>
      <c r="L151" s="459">
        <f>L83*Calc_SEC_retirement_rates!$G130</f>
        <v>16.189858604549549</v>
      </c>
      <c r="M151" s="459">
        <f>M83*Calc_SEC_retirement_rates!$G130</f>
        <v>16.311211848741735</v>
      </c>
      <c r="N151" s="459">
        <f>N83*Calc_SEC_retirement_rates!$G130</f>
        <v>16.400049162501492</v>
      </c>
    </row>
    <row r="152" spans="1:14">
      <c r="B152" s="338" t="str">
        <f t="shared" si="56"/>
        <v>55-59</v>
      </c>
      <c r="C152" s="459">
        <f>C84*Calc_SEC_retirement_rates!$G131</f>
        <v>69.443748054481631</v>
      </c>
      <c r="D152" s="459">
        <f>D84*Calc_SEC_retirement_rates!$G131</f>
        <v>62.134532290405105</v>
      </c>
      <c r="E152" s="459">
        <f>E84*Calc_SEC_retirement_rates!$G131</f>
        <v>58.812604175230604</v>
      </c>
      <c r="F152" s="459">
        <f>F84*Calc_SEC_retirement_rates!$G131</f>
        <v>58.270312998532333</v>
      </c>
      <c r="G152" s="459">
        <f>G84*Calc_SEC_retirement_rates!$G131</f>
        <v>58.807267767787103</v>
      </c>
      <c r="H152" s="459">
        <f>H84*Calc_SEC_retirement_rates!$G131</f>
        <v>59.087433492766159</v>
      </c>
      <c r="I152" s="459">
        <f>I84*Calc_SEC_retirement_rates!$G131</f>
        <v>59.635137387434042</v>
      </c>
      <c r="J152" s="459">
        <f>J84*Calc_SEC_retirement_rates!$G131</f>
        <v>60.358948103077338</v>
      </c>
      <c r="K152" s="459">
        <f>K84*Calc_SEC_retirement_rates!$G131</f>
        <v>61.142823768733841</v>
      </c>
      <c r="L152" s="459">
        <f>L84*Calc_SEC_retirement_rates!$G131</f>
        <v>61.719865980087349</v>
      </c>
      <c r="M152" s="459">
        <f>M84*Calc_SEC_retirement_rates!$G131</f>
        <v>62.177641639079198</v>
      </c>
      <c r="N152" s="459">
        <f>N84*Calc_SEC_retirement_rates!$G131</f>
        <v>62.541829161986612</v>
      </c>
    </row>
    <row r="153" spans="1:14">
      <c r="B153" s="338" t="str">
        <f t="shared" si="56"/>
        <v>60-64</v>
      </c>
      <c r="C153" s="459">
        <f>C85*Calc_SEC_retirement_rates!$G132</f>
        <v>52.515592226487705</v>
      </c>
      <c r="D153" s="459">
        <f>D85*Calc_SEC_retirement_rates!$G132</f>
        <v>47.144954838169618</v>
      </c>
      <c r="E153" s="459">
        <f>E85*Calc_SEC_retirement_rates!$G132</f>
        <v>43.136177883919899</v>
      </c>
      <c r="F153" s="459">
        <f>F85*Calc_SEC_retirement_rates!$G132</f>
        <v>41.199342070893685</v>
      </c>
      <c r="G153" s="459">
        <f>G85*Calc_SEC_retirement_rates!$G132</f>
        <v>40.297172944937429</v>
      </c>
      <c r="H153" s="459">
        <f>H85*Calc_SEC_retirement_rates!$G132</f>
        <v>39.332694558981807</v>
      </c>
      <c r="I153" s="459">
        <f>I85*Calc_SEC_retirement_rates!$G132</f>
        <v>38.906520339832781</v>
      </c>
      <c r="J153" s="459">
        <f>J85*Calc_SEC_retirement_rates!$G132</f>
        <v>38.881681255598053</v>
      </c>
      <c r="K153" s="459">
        <f>K85*Calc_SEC_retirement_rates!$G132</f>
        <v>39.085036814345273</v>
      </c>
      <c r="L153" s="459">
        <f>L85*Calc_SEC_retirement_rates!$G132</f>
        <v>39.210119536270376</v>
      </c>
      <c r="M153" s="459">
        <f>M85*Calc_SEC_retirement_rates!$G132</f>
        <v>39.325932721984984</v>
      </c>
      <c r="N153" s="459">
        <f>N85*Calc_SEC_retirement_rates!$G132</f>
        <v>39.437462870262245</v>
      </c>
    </row>
    <row r="154" spans="1:14">
      <c r="B154" s="338" t="str">
        <f t="shared" si="56"/>
        <v>65 plus</v>
      </c>
      <c r="C154" s="459">
        <f>C86*Calc_SEC_retirement_rates!$G133</f>
        <v>12.088118393927813</v>
      </c>
      <c r="D154" s="459">
        <f>D86*Calc_SEC_retirement_rates!$G133</f>
        <v>15.240707852680179</v>
      </c>
      <c r="E154" s="459">
        <f>E86*Calc_SEC_retirement_rates!$G133</f>
        <v>16.411720104803408</v>
      </c>
      <c r="F154" s="459">
        <f>F86*Calc_SEC_retirement_rates!$G133</f>
        <v>16.860832100343497</v>
      </c>
      <c r="G154" s="459">
        <f>G86*Calc_SEC_retirement_rates!$G133</f>
        <v>16.909384173877026</v>
      </c>
      <c r="H154" s="459">
        <f>H86*Calc_SEC_retirement_rates!$G133</f>
        <v>16.523580051329066</v>
      </c>
      <c r="I154" s="459">
        <f>I86*Calc_SEC_retirement_rates!$G133</f>
        <v>16.167920587267247</v>
      </c>
      <c r="J154" s="459">
        <f>J86*Calc_SEC_retirement_rates!$G133</f>
        <v>15.933269300505936</v>
      </c>
      <c r="K154" s="459">
        <f>K86*Calc_SEC_retirement_rates!$G133</f>
        <v>15.814043258784837</v>
      </c>
      <c r="L154" s="459">
        <f>L86*Calc_SEC_retirement_rates!$G133</f>
        <v>15.701033567113891</v>
      </c>
      <c r="M154" s="459">
        <f>M86*Calc_SEC_retirement_rates!$G133</f>
        <v>15.616107482950545</v>
      </c>
      <c r="N154" s="459">
        <f>N86*Calc_SEC_retirement_rates!$G133</f>
        <v>15.558553542749211</v>
      </c>
    </row>
    <row r="155" spans="1:14">
      <c r="B155" s="338" t="str">
        <f t="shared" si="56"/>
        <v>Total</v>
      </c>
      <c r="C155" s="459">
        <f>SUM(C145:C154)</f>
        <v>148.83846726005802</v>
      </c>
      <c r="D155" s="459">
        <f t="shared" ref="D155:N155" si="58">SUM(D145:D154)</f>
        <v>139.66613803418579</v>
      </c>
      <c r="E155" s="459">
        <f t="shared" si="58"/>
        <v>133.91184231278353</v>
      </c>
      <c r="F155" s="459">
        <f t="shared" si="58"/>
        <v>132.42559570747812</v>
      </c>
      <c r="G155" s="459">
        <f t="shared" si="58"/>
        <v>132.63830104808062</v>
      </c>
      <c r="H155" s="459">
        <f t="shared" si="58"/>
        <v>131.90066243430473</v>
      </c>
      <c r="I155" s="459">
        <f t="shared" si="58"/>
        <v>131.95480052419293</v>
      </c>
      <c r="J155" s="459">
        <f t="shared" si="58"/>
        <v>132.68274876165992</v>
      </c>
      <c r="K155" s="459">
        <f t="shared" si="58"/>
        <v>133.78960583967432</v>
      </c>
      <c r="L155" s="459">
        <f t="shared" si="58"/>
        <v>134.54964687589953</v>
      </c>
      <c r="M155" s="459">
        <f t="shared" si="58"/>
        <v>135.1639248136851</v>
      </c>
      <c r="N155" s="459">
        <f t="shared" si="58"/>
        <v>135.67284312970094</v>
      </c>
    </row>
    <row r="156" spans="1:14">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0.14663039856325927</v>
      </c>
      <c r="D163" s="459">
        <f>D95*Calc_SEC_retirement_rates!$G142</f>
        <v>0.14188416694442493</v>
      </c>
      <c r="E163" s="459">
        <f>E95*Calc_SEC_retirement_rates!$G142</f>
        <v>0.13845587230742717</v>
      </c>
      <c r="F163" s="459">
        <f>F95*Calc_SEC_retirement_rates!$G142</f>
        <v>0.13826482081709751</v>
      </c>
      <c r="G163" s="459">
        <f>G95*Calc_SEC_retirement_rates!$G142</f>
        <v>0.13925477653896964</v>
      </c>
      <c r="H163" s="459">
        <f>H95*Calc_SEC_retirement_rates!$G142</f>
        <v>0.13849002506645972</v>
      </c>
      <c r="I163" s="459">
        <f>I95*Calc_SEC_retirement_rates!$G142</f>
        <v>0.13787333915218664</v>
      </c>
      <c r="J163" s="459">
        <f>J95*Calc_SEC_retirement_rates!$G142</f>
        <v>0.13758260437324066</v>
      </c>
      <c r="K163" s="459">
        <f>K95*Calc_SEC_retirement_rates!$G142</f>
        <v>0.13753158198384913</v>
      </c>
      <c r="L163" s="459">
        <f>L95*Calc_SEC_retirement_rates!$G142</f>
        <v>0.1369869025509578</v>
      </c>
      <c r="M163" s="459">
        <f>M95*Calc_SEC_retirement_rates!$G142</f>
        <v>0.13617013480417794</v>
      </c>
      <c r="N163" s="459">
        <f>N95*Calc_SEC_retirement_rates!$G142</f>
        <v>0.13517719907027295</v>
      </c>
    </row>
    <row r="164" spans="1:14">
      <c r="B164" s="338" t="str">
        <f t="shared" si="60"/>
        <v>35-39</v>
      </c>
      <c r="C164" s="459">
        <f>C96*Calc_SEC_retirement_rates!$G143</f>
        <v>0.38584747987157014</v>
      </c>
      <c r="D164" s="459">
        <f>D96*Calc_SEC_retirement_rates!$G143</f>
        <v>0.37980546968561746</v>
      </c>
      <c r="E164" s="459">
        <f>E96*Calc_SEC_retirement_rates!$G143</f>
        <v>0.37606826321050807</v>
      </c>
      <c r="F164" s="459">
        <f>F96*Calc_SEC_retirement_rates!$G143</f>
        <v>0.37690584042714476</v>
      </c>
      <c r="G164" s="459">
        <f>G96*Calc_SEC_retirement_rates!$G143</f>
        <v>0.3784958500548809</v>
      </c>
      <c r="H164" s="459">
        <f>H96*Calc_SEC_retirement_rates!$G143</f>
        <v>0.37607656250893645</v>
      </c>
      <c r="I164" s="459">
        <f>I96*Calc_SEC_retirement_rates!$G143</f>
        <v>0.37369453639806571</v>
      </c>
      <c r="J164" s="459">
        <f>J96*Calc_SEC_retirement_rates!$G143</f>
        <v>0.37184853102599824</v>
      </c>
      <c r="K164" s="459">
        <f>K96*Calc_SEC_retirement_rates!$G143</f>
        <v>0.37049033879097698</v>
      </c>
      <c r="L164" s="459">
        <f>L96*Calc_SEC_retirement_rates!$G143</f>
        <v>0.36836679817743745</v>
      </c>
      <c r="M164" s="459">
        <f>M96*Calc_SEC_retirement_rates!$G143</f>
        <v>0.36593512593676808</v>
      </c>
      <c r="N164" s="459">
        <f>N96*Calc_SEC_retirement_rates!$G143</f>
        <v>0.36333091374774673</v>
      </c>
    </row>
    <row r="165" spans="1:14">
      <c r="B165" s="338" t="str">
        <f t="shared" si="60"/>
        <v>40-44</v>
      </c>
      <c r="C165" s="459">
        <f>C97*Calc_SEC_retirement_rates!$G144</f>
        <v>0.50535825028902781</v>
      </c>
      <c r="D165" s="459">
        <f>D97*Calc_SEC_retirement_rates!$G144</f>
        <v>0.51576047276589609</v>
      </c>
      <c r="E165" s="459">
        <f>E97*Calc_SEC_retirement_rates!$G144</f>
        <v>0.52585040331768595</v>
      </c>
      <c r="F165" s="459">
        <f>F97*Calc_SEC_retirement_rates!$G144</f>
        <v>0.53933114511987046</v>
      </c>
      <c r="G165" s="459">
        <f>G97*Calc_SEC_retirement_rates!$G144</f>
        <v>0.55097604070139861</v>
      </c>
      <c r="H165" s="459">
        <f>H97*Calc_SEC_retirement_rates!$G144</f>
        <v>0.55459356521244907</v>
      </c>
      <c r="I165" s="459">
        <f>I97*Calc_SEC_retirement_rates!$G144</f>
        <v>0.556270223236774</v>
      </c>
      <c r="J165" s="459">
        <f>J97*Calc_SEC_retirement_rates!$G144</f>
        <v>0.55709990395154607</v>
      </c>
      <c r="K165" s="459">
        <f>K97*Calc_SEC_retirement_rates!$G144</f>
        <v>0.55736404811936746</v>
      </c>
      <c r="L165" s="459">
        <f>L97*Calc_SEC_retirement_rates!$G144</f>
        <v>0.55569156331202463</v>
      </c>
      <c r="M165" s="459">
        <f>M97*Calc_SEC_retirement_rates!$G144</f>
        <v>0.55303794569894194</v>
      </c>
      <c r="N165" s="459">
        <f>N97*Calc_SEC_retirement_rates!$G144</f>
        <v>0.54982594346389657</v>
      </c>
    </row>
    <row r="166" spans="1:14">
      <c r="B166" s="338" t="str">
        <f t="shared" si="60"/>
        <v>45-49</v>
      </c>
      <c r="C166" s="459">
        <f>C98*Calc_SEC_retirement_rates!$G145</f>
        <v>0.68985535227809502</v>
      </c>
      <c r="D166" s="459">
        <f>D98*Calc_SEC_retirement_rates!$G145</f>
        <v>0.74117969693489727</v>
      </c>
      <c r="E166" s="459">
        <f>E98*Calc_SEC_retirement_rates!$G145</f>
        <v>0.78957649767835714</v>
      </c>
      <c r="F166" s="459">
        <f>F98*Calc_SEC_retirement_rates!$G145</f>
        <v>0.84055238785547715</v>
      </c>
      <c r="G166" s="459">
        <f>G98*Calc_SEC_retirement_rates!$G145</f>
        <v>0.8853135529703553</v>
      </c>
      <c r="H166" s="459">
        <f>H98*Calc_SEC_retirement_rates!$G145</f>
        <v>0.91348542375757846</v>
      </c>
      <c r="I166" s="459">
        <f>I98*Calc_SEC_retirement_rates!$G145</f>
        <v>0.93501889243777325</v>
      </c>
      <c r="J166" s="459">
        <f>J98*Calc_SEC_retirement_rates!$G145</f>
        <v>0.95191044215316178</v>
      </c>
      <c r="K166" s="459">
        <f>K98*Calc_SEC_retirement_rates!$G145</f>
        <v>0.96492220147750729</v>
      </c>
      <c r="L166" s="459">
        <f>L98*Calc_SEC_retirement_rates!$G145</f>
        <v>0.97214168920213717</v>
      </c>
      <c r="M166" s="459">
        <f>M98*Calc_SEC_retirement_rates!$G145</f>
        <v>0.9755052980272293</v>
      </c>
      <c r="N166" s="459">
        <f>N98*Calc_SEC_retirement_rates!$G145</f>
        <v>0.97610056743772433</v>
      </c>
    </row>
    <row r="167" spans="1:14">
      <c r="B167" s="338" t="str">
        <f t="shared" si="60"/>
        <v>50-54</v>
      </c>
      <c r="C167" s="459">
        <f>C99*Calc_SEC_retirement_rates!$G146</f>
        <v>10.097474790630081</v>
      </c>
      <c r="D167" s="459">
        <f>D99*Calc_SEC_retirement_rates!$G146</f>
        <v>10.682213202891466</v>
      </c>
      <c r="E167" s="459">
        <f>E99*Calc_SEC_retirement_rates!$G146</f>
        <v>11.413149771329946</v>
      </c>
      <c r="F167" s="459">
        <f>F99*Calc_SEC_retirement_rates!$G146</f>
        <v>12.314851610828129</v>
      </c>
      <c r="G167" s="459">
        <f>G99*Calc_SEC_retirement_rates!$G146</f>
        <v>13.198368241342704</v>
      </c>
      <c r="H167" s="459">
        <f>H99*Calc_SEC_retirement_rates!$G146</f>
        <v>13.862260733655276</v>
      </c>
      <c r="I167" s="459">
        <f>I99*Calc_SEC_retirement_rates!$G146</f>
        <v>14.440594654960549</v>
      </c>
      <c r="J167" s="459">
        <f>J99*Calc_SEC_retirement_rates!$G146</f>
        <v>14.946837312471756</v>
      </c>
      <c r="K167" s="459">
        <f>K99*Calc_SEC_retirement_rates!$G146</f>
        <v>15.380652827070215</v>
      </c>
      <c r="L167" s="459">
        <f>L99*Calc_SEC_retirement_rates!$G146</f>
        <v>15.703445004951016</v>
      </c>
      <c r="M167" s="459">
        <f>M99*Calc_SEC_retirement_rates!$G146</f>
        <v>15.941901229336485</v>
      </c>
      <c r="N167" s="459">
        <f>N99*Calc_SEC_retirement_rates!$G146</f>
        <v>16.111668329231446</v>
      </c>
    </row>
    <row r="168" spans="1:14">
      <c r="B168" s="338" t="str">
        <f t="shared" si="60"/>
        <v>55-59</v>
      </c>
      <c r="C168" s="459">
        <f>C100*Calc_SEC_retirement_rates!$G147</f>
        <v>69.169124109289228</v>
      </c>
      <c r="D168" s="459">
        <f>D100*Calc_SEC_retirement_rates!$G147</f>
        <v>60.548898851477858</v>
      </c>
      <c r="E168" s="459">
        <f>E100*Calc_SEC_retirement_rates!$G147</f>
        <v>56.825593874489407</v>
      </c>
      <c r="F168" s="459">
        <f>F100*Calc_SEC_retirement_rates!$G147</f>
        <v>56.704285355397509</v>
      </c>
      <c r="G168" s="459">
        <f>G100*Calc_SEC_retirement_rates!$G147</f>
        <v>58.154109791756433</v>
      </c>
      <c r="H168" s="459">
        <f>H100*Calc_SEC_retirement_rates!$G147</f>
        <v>59.498065425816598</v>
      </c>
      <c r="I168" s="459">
        <f>I100*Calc_SEC_retirement_rates!$G147</f>
        <v>61.230416377611348</v>
      </c>
      <c r="J168" s="459">
        <f>J100*Calc_SEC_retirement_rates!$G147</f>
        <v>63.158512726677309</v>
      </c>
      <c r="K168" s="459">
        <f>K100*Calc_SEC_retirement_rates!$G147</f>
        <v>65.085317726572114</v>
      </c>
      <c r="L168" s="459">
        <f>L100*Calc_SEC_retirement_rates!$G147</f>
        <v>66.658516852216579</v>
      </c>
      <c r="M168" s="459">
        <f>M100*Calc_SEC_retirement_rates!$G147</f>
        <v>67.958093514215491</v>
      </c>
      <c r="N168" s="459">
        <f>N100*Calc_SEC_retirement_rates!$G147</f>
        <v>69.00865879822409</v>
      </c>
    </row>
    <row r="169" spans="1:14">
      <c r="B169" s="338" t="str">
        <f t="shared" si="60"/>
        <v>60-64</v>
      </c>
      <c r="C169" s="459">
        <f>C101*Calc_SEC_retirement_rates!$G148</f>
        <v>62.864696739405986</v>
      </c>
      <c r="D169" s="459">
        <f>D101*Calc_SEC_retirement_rates!$G148</f>
        <v>55.049084145651456</v>
      </c>
      <c r="E169" s="459">
        <f>E101*Calc_SEC_retirement_rates!$G148</f>
        <v>49.472307092262483</v>
      </c>
      <c r="F169" s="459">
        <f>F101*Calc_SEC_retirement_rates!$G148</f>
        <v>46.932414205677176</v>
      </c>
      <c r="G169" s="459">
        <f>G101*Calc_SEC_retirement_rates!$G148</f>
        <v>45.963137168495322</v>
      </c>
      <c r="H169" s="459">
        <f>H101*Calc_SEC_retirement_rates!$G148</f>
        <v>45.061122264729512</v>
      </c>
      <c r="I169" s="459">
        <f>I101*Calc_SEC_retirement_rates!$G148</f>
        <v>45.015945759761024</v>
      </c>
      <c r="J169" s="459">
        <f>J101*Calc_SEC_retirement_rates!$G148</f>
        <v>45.581237184732238</v>
      </c>
      <c r="K169" s="459">
        <f>K101*Calc_SEC_retirement_rates!$G148</f>
        <v>46.471983703567695</v>
      </c>
      <c r="L169" s="459">
        <f>L101*Calc_SEC_retirement_rates!$G148</f>
        <v>47.23640918130468</v>
      </c>
      <c r="M169" s="459">
        <f>M101*Calc_SEC_retirement_rates!$G148</f>
        <v>47.945248182457739</v>
      </c>
      <c r="N169" s="459">
        <f>N101*Calc_SEC_retirement_rates!$G148</f>
        <v>48.586421579799463</v>
      </c>
    </row>
    <row r="170" spans="1:14">
      <c r="B170" s="338" t="str">
        <f t="shared" si="60"/>
        <v>65 plus</v>
      </c>
      <c r="C170" s="459">
        <f>C102*Calc_SEC_retirement_rates!$G149</f>
        <v>15.263855018643437</v>
      </c>
      <c r="D170" s="459">
        <f>D102*Calc_SEC_retirement_rates!$G149</f>
        <v>17.743680853763681</v>
      </c>
      <c r="E170" s="459">
        <f>E102*Calc_SEC_retirement_rates!$G149</f>
        <v>18.250619305374819</v>
      </c>
      <c r="F170" s="459">
        <f>F102*Calc_SEC_retirement_rates!$G149</f>
        <v>18.274986691877892</v>
      </c>
      <c r="G170" s="459">
        <f>G102*Calc_SEC_retirement_rates!$G149</f>
        <v>18.056394786037693</v>
      </c>
      <c r="H170" s="459">
        <f>H102*Calc_SEC_retirement_rates!$G149</f>
        <v>17.438964762895619</v>
      </c>
      <c r="I170" s="459">
        <f>I102*Calc_SEC_retirement_rates!$G149</f>
        <v>16.994856862754727</v>
      </c>
      <c r="J170" s="459">
        <f>J102*Calc_SEC_retirement_rates!$G149</f>
        <v>16.788905185604957</v>
      </c>
      <c r="K170" s="459">
        <f>K102*Calc_SEC_retirement_rates!$G149</f>
        <v>16.773969205362768</v>
      </c>
      <c r="L170" s="459">
        <f>L102*Calc_SEC_retirement_rates!$G149</f>
        <v>16.779886345899108</v>
      </c>
      <c r="M170" s="459">
        <f>M102*Calc_SEC_retirement_rates!$G149</f>
        <v>16.827112016785829</v>
      </c>
      <c r="N170" s="459">
        <f>N102*Calc_SEC_retirement_rates!$G149</f>
        <v>16.905693290973808</v>
      </c>
    </row>
    <row r="171" spans="1:14">
      <c r="B171" s="338" t="str">
        <f t="shared" si="60"/>
        <v>Total</v>
      </c>
      <c r="C171" s="459">
        <f>SUM(C161:C170)</f>
        <v>159.12284213897067</v>
      </c>
      <c r="D171" s="459">
        <f t="shared" ref="D171:N171" si="62">SUM(D161:D170)</f>
        <v>145.8025068601153</v>
      </c>
      <c r="E171" s="459">
        <f t="shared" si="62"/>
        <v>137.79162107997064</v>
      </c>
      <c r="F171" s="459">
        <f t="shared" si="62"/>
        <v>136.12159205800029</v>
      </c>
      <c r="G171" s="459">
        <f t="shared" si="62"/>
        <v>137.32605020789777</v>
      </c>
      <c r="H171" s="459">
        <f t="shared" si="62"/>
        <v>137.8430587636424</v>
      </c>
      <c r="I171" s="459">
        <f t="shared" si="62"/>
        <v>139.68467064631244</v>
      </c>
      <c r="J171" s="459">
        <f t="shared" si="62"/>
        <v>142.49393389099021</v>
      </c>
      <c r="K171" s="459">
        <f t="shared" si="62"/>
        <v>145.74223163294448</v>
      </c>
      <c r="L171" s="459">
        <f t="shared" si="62"/>
        <v>148.41144433761394</v>
      </c>
      <c r="M171" s="459">
        <f t="shared" si="62"/>
        <v>150.70300344726266</v>
      </c>
      <c r="N171" s="459">
        <f t="shared" si="62"/>
        <v>152.63687662194843</v>
      </c>
    </row>
    <row r="172" spans="1:14">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7">
      <c r="H177" s="325"/>
    </row>
    <row r="178" spans="1:17">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7">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c r="O179" s="327"/>
      <c r="P179" s="327"/>
      <c r="Q179" s="327"/>
    </row>
    <row r="180" spans="1:17">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c r="O180" s="327"/>
      <c r="P180" s="327"/>
      <c r="Q180" s="327"/>
    </row>
    <row r="181" spans="1:17">
      <c r="B181" s="338" t="str">
        <f t="shared" si="64"/>
        <v>30-34</v>
      </c>
      <c r="C181" s="459">
        <f>C79*Calc_SEC_death_rates!$G126</f>
        <v>0.20776027211720741</v>
      </c>
      <c r="D181" s="459">
        <f>D79*Calc_SEC_death_rates!$G126</f>
        <v>0.20085288100478429</v>
      </c>
      <c r="E181" s="459">
        <f>E79*Calc_SEC_death_rates!$G126</f>
        <v>0.19656731615541057</v>
      </c>
      <c r="F181" s="459">
        <f>F79*Calc_SEC_death_rates!$G126</f>
        <v>0.19772571152717996</v>
      </c>
      <c r="G181" s="459">
        <f>G79*Calc_SEC_death_rates!$G126</f>
        <v>0.20107037704993183</v>
      </c>
      <c r="H181" s="459">
        <f>H79*Calc_SEC_death_rates!$G126</f>
        <v>0.20194554846467902</v>
      </c>
      <c r="I181" s="459">
        <f>I79*Calc_SEC_death_rates!$G126</f>
        <v>0.20303820916579637</v>
      </c>
      <c r="J181" s="459">
        <f>J79*Calc_SEC_death_rates!$G126</f>
        <v>0.20452188181814007</v>
      </c>
      <c r="K181" s="459">
        <f>K79*Calc_SEC_death_rates!$G126</f>
        <v>0.20621073102685225</v>
      </c>
      <c r="L181" s="459">
        <f>L79*Calc_SEC_death_rates!$G126</f>
        <v>0.20695996982036563</v>
      </c>
      <c r="M181" s="459">
        <f>M79*Calc_SEC_death_rates!$G126</f>
        <v>0.20708368519035789</v>
      </c>
      <c r="N181" s="459">
        <f>N79*Calc_SEC_death_rates!$G126</f>
        <v>0.20672998886623559</v>
      </c>
      <c r="O181" s="327"/>
      <c r="P181" s="327"/>
      <c r="Q181" s="327"/>
    </row>
    <row r="182" spans="1:17">
      <c r="B182" s="338" t="str">
        <f t="shared" si="64"/>
        <v>35-39</v>
      </c>
      <c r="C182" s="459">
        <f>C80*Calc_SEC_death_rates!$G127</f>
        <v>0.3566891236339737</v>
      </c>
      <c r="D182" s="459">
        <f>D80*Calc_SEC_death_rates!$G127</f>
        <v>0.35843291626290497</v>
      </c>
      <c r="E182" s="459">
        <f>E80*Calc_SEC_death_rates!$G127</f>
        <v>0.36047897169255705</v>
      </c>
      <c r="F182" s="459">
        <f>F80*Calc_SEC_death_rates!$G127</f>
        <v>0.365792474268468</v>
      </c>
      <c r="G182" s="459">
        <f>G80*Calc_SEC_death_rates!$G127</f>
        <v>0.37122030117200761</v>
      </c>
      <c r="H182" s="459">
        <f>H80*Calc_SEC_death_rates!$G127</f>
        <v>0.37241847044965115</v>
      </c>
      <c r="I182" s="459">
        <f>I80*Calc_SEC_death_rates!$G127</f>
        <v>0.37340555786684038</v>
      </c>
      <c r="J182" s="459">
        <f>J80*Calc_SEC_death_rates!$G127</f>
        <v>0.37473059281859444</v>
      </c>
      <c r="K182" s="459">
        <f>K80*Calc_SEC_death_rates!$G127</f>
        <v>0.37636956042813152</v>
      </c>
      <c r="L182" s="459">
        <f>L80*Calc_SEC_death_rates!$G127</f>
        <v>0.37709441263932153</v>
      </c>
      <c r="M182" s="459">
        <f>M80*Calc_SEC_death_rates!$G127</f>
        <v>0.37731234523864116</v>
      </c>
      <c r="N182" s="459">
        <f>N80*Calc_SEC_death_rates!$G127</f>
        <v>0.37712793118064486</v>
      </c>
      <c r="O182" s="327"/>
      <c r="P182" s="327"/>
      <c r="Q182" s="327"/>
    </row>
    <row r="183" spans="1:17">
      <c r="B183" s="338" t="str">
        <f t="shared" si="64"/>
        <v>40-44</v>
      </c>
      <c r="C183" s="459">
        <f>C81*Calc_SEC_death_rates!$G128</f>
        <v>0.58764510789291191</v>
      </c>
      <c r="D183" s="459">
        <f>D81*Calc_SEC_death_rates!$G128</f>
        <v>0.59013643392506465</v>
      </c>
      <c r="E183" s="459">
        <f>E81*Calc_SEC_death_rates!$G128</f>
        <v>0.59715830288186145</v>
      </c>
      <c r="F183" s="459">
        <f>F81*Calc_SEC_death_rates!$G128</f>
        <v>0.61088021503768131</v>
      </c>
      <c r="G183" s="459">
        <f>G81*Calc_SEC_death_rates!$G128</f>
        <v>0.62448864563810524</v>
      </c>
      <c r="H183" s="459">
        <f>H81*Calc_SEC_death_rates!$G128</f>
        <v>0.63052015637380865</v>
      </c>
      <c r="I183" s="459">
        <f>I81*Calc_SEC_death_rates!$G128</f>
        <v>0.63512171009050766</v>
      </c>
      <c r="J183" s="459">
        <f>J81*Calc_SEC_death_rates!$G128</f>
        <v>0.63921401546215006</v>
      </c>
      <c r="K183" s="459">
        <f>K81*Calc_SEC_death_rates!$G128</f>
        <v>0.64293306830339558</v>
      </c>
      <c r="L183" s="459">
        <f>L81*Calc_SEC_death_rates!$G128</f>
        <v>0.64466252751720032</v>
      </c>
      <c r="M183" s="459">
        <f>M81*Calc_SEC_death_rates!$G128</f>
        <v>0.64533652359130023</v>
      </c>
      <c r="N183" s="459">
        <f>N81*Calc_SEC_death_rates!$G128</f>
        <v>0.64533282749325083</v>
      </c>
      <c r="O183" s="327"/>
      <c r="P183" s="327"/>
      <c r="Q183" s="327"/>
    </row>
    <row r="184" spans="1:17">
      <c r="B184" s="338" t="str">
        <f t="shared" si="64"/>
        <v>45-49</v>
      </c>
      <c r="C184" s="459">
        <f>C82*Calc_SEC_death_rates!$G129</f>
        <v>0.53028708465312302</v>
      </c>
      <c r="D184" s="459">
        <f>D82*Calc_SEC_death_rates!$G129</f>
        <v>0.53604717887698694</v>
      </c>
      <c r="E184" s="459">
        <f>E82*Calc_SEC_death_rates!$G129</f>
        <v>0.54476607915880992</v>
      </c>
      <c r="F184" s="459">
        <f>F82*Calc_SEC_death_rates!$G129</f>
        <v>0.55936029319736513</v>
      </c>
      <c r="G184" s="459">
        <f>G82*Calc_SEC_death_rates!$G129</f>
        <v>0.57424628073109318</v>
      </c>
      <c r="H184" s="459">
        <f>H82*Calc_SEC_death_rates!$G129</f>
        <v>0.58280155485487084</v>
      </c>
      <c r="I184" s="459">
        <f>I82*Calc_SEC_death_rates!$G129</f>
        <v>0.59006511492756775</v>
      </c>
      <c r="J184" s="459">
        <f>J82*Calc_SEC_death_rates!$G129</f>
        <v>0.59663417517550177</v>
      </c>
      <c r="K184" s="459">
        <f>K82*Calc_SEC_death_rates!$G129</f>
        <v>0.60249543430672303</v>
      </c>
      <c r="L184" s="459">
        <f>L82*Calc_SEC_death_rates!$G129</f>
        <v>0.60618488025560791</v>
      </c>
      <c r="M184" s="459">
        <f>M82*Calc_SEC_death_rates!$G129</f>
        <v>0.60851170457714532</v>
      </c>
      <c r="N184" s="459">
        <f>N82*Calc_SEC_death_rates!$G129</f>
        <v>0.60986433194869383</v>
      </c>
      <c r="O184" s="327"/>
      <c r="P184" s="327"/>
      <c r="Q184" s="327"/>
    </row>
    <row r="185" spans="1:17">
      <c r="B185" s="338" t="str">
        <f t="shared" si="64"/>
        <v>50-54</v>
      </c>
      <c r="C185" s="459">
        <f>C83*Calc_SEC_death_rates!$G130</f>
        <v>0.74993926371845665</v>
      </c>
      <c r="D185" s="459">
        <f>D83*Calc_SEC_death_rates!$G130</f>
        <v>0.76935378335086224</v>
      </c>
      <c r="E185" s="459">
        <f>E83*Calc_SEC_death_rates!$G130</f>
        <v>0.7911788868030265</v>
      </c>
      <c r="F185" s="459">
        <f>F83*Calc_SEC_death_rates!$G130</f>
        <v>0.81989745634103384</v>
      </c>
      <c r="G185" s="459">
        <f>G83*Calc_SEC_death_rates!$G130</f>
        <v>0.84777277737514301</v>
      </c>
      <c r="H185" s="459">
        <f>H83*Calc_SEC_death_rates!$G130</f>
        <v>0.86556432357241408</v>
      </c>
      <c r="I185" s="459">
        <f>I83*Calc_SEC_death_rates!$G130</f>
        <v>0.88103029847036962</v>
      </c>
      <c r="J185" s="459">
        <f>J83*Calc_SEC_death_rates!$G130</f>
        <v>0.89516253664251499</v>
      </c>
      <c r="K185" s="459">
        <f>K83*Calc_SEC_death_rates!$G130</f>
        <v>0.90795060753566958</v>
      </c>
      <c r="L185" s="459">
        <f>L83*Calc_SEC_death_rates!$G130</f>
        <v>0.91720573575565401</v>
      </c>
      <c r="M185" s="459">
        <f>M83*Calc_SEC_death_rates!$G130</f>
        <v>0.92408077366329511</v>
      </c>
      <c r="N185" s="459">
        <f>N83*Calc_SEC_death_rates!$G130</f>
        <v>0.92911368319758081</v>
      </c>
      <c r="O185" s="327"/>
      <c r="P185" s="327"/>
      <c r="Q185" s="327"/>
    </row>
    <row r="186" spans="1:17">
      <c r="B186" s="338" t="str">
        <f t="shared" si="64"/>
        <v>55-59</v>
      </c>
      <c r="C186" s="459">
        <f>C84*Calc_SEC_death_rates!$G131</f>
        <v>0.47647737237612736</v>
      </c>
      <c r="D186" s="459">
        <f>D84*Calc_SEC_death_rates!$G131</f>
        <v>0.4263263361926391</v>
      </c>
      <c r="E186" s="459">
        <f>E84*Calc_SEC_death_rates!$G131</f>
        <v>0.40353344807981817</v>
      </c>
      <c r="F186" s="459">
        <f>F84*Calc_SEC_death_rates!$G131</f>
        <v>0.39981260232804172</v>
      </c>
      <c r="G186" s="459">
        <f>G84*Calc_SEC_death_rates!$G131</f>
        <v>0.40349683315813201</v>
      </c>
      <c r="H186" s="459">
        <f>H84*Calc_SEC_death_rates!$G131</f>
        <v>0.4054191462850551</v>
      </c>
      <c r="I186" s="459">
        <f>I84*Calc_SEC_death_rates!$G131</f>
        <v>0.40917713055120941</v>
      </c>
      <c r="J186" s="459">
        <f>J84*Calc_SEC_death_rates!$G131</f>
        <v>0.41414344411505721</v>
      </c>
      <c r="K186" s="459">
        <f>K84*Calc_SEC_death_rates!$G131</f>
        <v>0.41952188390129358</v>
      </c>
      <c r="L186" s="459">
        <f>L84*Calc_SEC_death_rates!$G131</f>
        <v>0.42348116842032796</v>
      </c>
      <c r="M186" s="459">
        <f>M84*Calc_SEC_death_rates!$G131</f>
        <v>0.42662212421901352</v>
      </c>
      <c r="N186" s="459">
        <f>N84*Calc_SEC_death_rates!$G131</f>
        <v>0.42912093971830018</v>
      </c>
      <c r="O186" s="327"/>
      <c r="P186" s="327"/>
      <c r="Q186" s="327"/>
    </row>
    <row r="187" spans="1:17">
      <c r="B187" s="338" t="str">
        <f t="shared" si="64"/>
        <v>60-64</v>
      </c>
      <c r="C187" s="459">
        <f>C85*Calc_SEC_death_rates!$G132</f>
        <v>0.40614567202770141</v>
      </c>
      <c r="D187" s="459">
        <f>D85*Calc_SEC_death_rates!$G132</f>
        <v>0.36461017678110358</v>
      </c>
      <c r="E187" s="459">
        <f>E85*Calc_SEC_death_rates!$G132</f>
        <v>0.33360705292655224</v>
      </c>
      <c r="F187" s="459">
        <f>F85*Calc_SEC_death_rates!$G132</f>
        <v>0.3186279305452171</v>
      </c>
      <c r="G187" s="459">
        <f>G85*Calc_SEC_death_rates!$G132</f>
        <v>0.3116507249114332</v>
      </c>
      <c r="H187" s="459">
        <f>H85*Calc_SEC_death_rates!$G132</f>
        <v>0.30419163122872761</v>
      </c>
      <c r="I187" s="459">
        <f>I85*Calc_SEC_death_rates!$G132</f>
        <v>0.30089568030636782</v>
      </c>
      <c r="J187" s="459">
        <f>J85*Calc_SEC_death_rates!$G132</f>
        <v>0.3007035795200802</v>
      </c>
      <c r="K187" s="459">
        <f>K85*Calc_SEC_death_rates!$G132</f>
        <v>0.30227629300509168</v>
      </c>
      <c r="L187" s="459">
        <f>L85*Calc_SEC_death_rates!$G132</f>
        <v>0.30324365915296309</v>
      </c>
      <c r="M187" s="459">
        <f>M85*Calc_SEC_death_rates!$G132</f>
        <v>0.30413933645845492</v>
      </c>
      <c r="N187" s="459">
        <f>N85*Calc_SEC_death_rates!$G132</f>
        <v>0.30500188956131358</v>
      </c>
      <c r="O187" s="327"/>
      <c r="P187" s="327"/>
      <c r="Q187" s="327"/>
    </row>
    <row r="188" spans="1:17">
      <c r="B188" s="338" t="str">
        <f t="shared" si="64"/>
        <v>65 plus</v>
      </c>
      <c r="C188" s="459">
        <f>C86*Calc_SEC_death_rates!$G133</f>
        <v>0.26560723666144859</v>
      </c>
      <c r="D188" s="459">
        <f>D86*Calc_SEC_death_rates!$G133</f>
        <v>0.33487778375402605</v>
      </c>
      <c r="E188" s="459">
        <f>E86*Calc_SEC_death_rates!$G133</f>
        <v>0.36060795268911755</v>
      </c>
      <c r="F188" s="459">
        <f>F86*Calc_SEC_death_rates!$G133</f>
        <v>0.37047610521704399</v>
      </c>
      <c r="G188" s="459">
        <f>G86*Calc_SEC_death_rates!$G133</f>
        <v>0.37154291989118726</v>
      </c>
      <c r="H188" s="459">
        <f>H86*Calc_SEC_death_rates!$G133</f>
        <v>0.36306580512913855</v>
      </c>
      <c r="I188" s="459">
        <f>I86*Calc_SEC_death_rates!$G133</f>
        <v>0.3552510465072008</v>
      </c>
      <c r="J188" s="459">
        <f>J86*Calc_SEC_death_rates!$G133</f>
        <v>0.35009515062459323</v>
      </c>
      <c r="K188" s="459">
        <f>K86*Calc_SEC_death_rates!$G133</f>
        <v>0.34747544601485586</v>
      </c>
      <c r="L188" s="459">
        <f>L86*Calc_SEC_death_rates!$G133</f>
        <v>0.34499233069926133</v>
      </c>
      <c r="M188" s="459">
        <f>M86*Calc_SEC_death_rates!$G133</f>
        <v>0.34312628490122921</v>
      </c>
      <c r="N188" s="459">
        <f>N86*Calc_SEC_death_rates!$G133</f>
        <v>0.34186167592589572</v>
      </c>
      <c r="O188" s="327"/>
      <c r="P188" s="327"/>
      <c r="Q188" s="327"/>
    </row>
    <row r="189" spans="1:17">
      <c r="B189" s="338" t="str">
        <f t="shared" si="64"/>
        <v>Total</v>
      </c>
      <c r="C189" s="459">
        <f>SUM(C179:C188)</f>
        <v>3.5805511330809505</v>
      </c>
      <c r="D189" s="459">
        <f t="shared" ref="D189:N189" si="66">SUM(D179:D188)</f>
        <v>3.5806374901483715</v>
      </c>
      <c r="E189" s="459">
        <f t="shared" si="66"/>
        <v>3.5878980103871534</v>
      </c>
      <c r="F189" s="459">
        <f t="shared" si="66"/>
        <v>3.6425727884620311</v>
      </c>
      <c r="G189" s="459">
        <f t="shared" si="66"/>
        <v>3.7054888599270335</v>
      </c>
      <c r="H189" s="459">
        <f t="shared" si="66"/>
        <v>3.7259266363583454</v>
      </c>
      <c r="I189" s="459">
        <f t="shared" si="66"/>
        <v>3.7479847478858597</v>
      </c>
      <c r="J189" s="459">
        <f t="shared" si="66"/>
        <v>3.7752053761766322</v>
      </c>
      <c r="K189" s="459">
        <f t="shared" si="66"/>
        <v>3.8052330245220132</v>
      </c>
      <c r="L189" s="459">
        <f t="shared" si="66"/>
        <v>3.823824684260702</v>
      </c>
      <c r="M189" s="459">
        <f t="shared" si="66"/>
        <v>3.836212777839437</v>
      </c>
      <c r="N189" s="459">
        <f t="shared" si="66"/>
        <v>3.8441532678919157</v>
      </c>
      <c r="O189" s="327"/>
      <c r="P189" s="327"/>
      <c r="Q189" s="327"/>
    </row>
    <row r="190" spans="1:17">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7">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4">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8"/>
        <v>30-34</v>
      </c>
      <c r="C197" s="459">
        <f>C95*Calc_SEC_death_rates!$G142</f>
        <v>8.2172601146763488E-2</v>
      </c>
      <c r="D197" s="459">
        <f>D95*Calc_SEC_death_rates!$G142</f>
        <v>7.9512782980911786E-2</v>
      </c>
      <c r="E197" s="459">
        <f>E95*Calc_SEC_death_rates!$G142</f>
        <v>7.7591545020843977E-2</v>
      </c>
      <c r="F197" s="459">
        <f>F95*Calc_SEC_death_rates!$G142</f>
        <v>7.7484478559406364E-2</v>
      </c>
      <c r="G197" s="459">
        <f>G95*Calc_SEC_death_rates!$G142</f>
        <v>7.803925599630504E-2</v>
      </c>
      <c r="H197" s="459">
        <f>H95*Calc_SEC_death_rates!$G142</f>
        <v>7.7610684442638786E-2</v>
      </c>
      <c r="I197" s="459">
        <f>I95*Calc_SEC_death_rates!$G142</f>
        <v>7.7265089762661637E-2</v>
      </c>
      <c r="J197" s="459">
        <f>J95*Calc_SEC_death_rates!$G142</f>
        <v>7.7102160156905214E-2</v>
      </c>
      <c r="K197" s="459">
        <f>K95*Calc_SEC_death_rates!$G142</f>
        <v>7.7073566887746123E-2</v>
      </c>
      <c r="L197" s="459">
        <f>L95*Calc_SEC_death_rates!$G142</f>
        <v>7.6768325094568324E-2</v>
      </c>
      <c r="M197" s="459">
        <f>M95*Calc_SEC_death_rates!$G142</f>
        <v>7.6310603292381943E-2</v>
      </c>
      <c r="N197" s="459">
        <f>N95*Calc_SEC_death_rates!$G142</f>
        <v>7.5754155837924927E-2</v>
      </c>
    </row>
    <row r="198" spans="1:14">
      <c r="B198" s="338" t="str">
        <f t="shared" si="68"/>
        <v>35-39</v>
      </c>
      <c r="C198" s="459">
        <f>C96*Calc_SEC_death_rates!$G143</f>
        <v>0.29248812211050812</v>
      </c>
      <c r="D198" s="459">
        <f>D96*Calc_SEC_death_rates!$G143</f>
        <v>0.28790803203540882</v>
      </c>
      <c r="E198" s="459">
        <f>E96*Calc_SEC_death_rates!$G143</f>
        <v>0.28507507714813624</v>
      </c>
      <c r="F198" s="459">
        <f>F96*Calc_SEC_death_rates!$G143</f>
        <v>0.2857099948293354</v>
      </c>
      <c r="G198" s="459">
        <f>G96*Calc_SEC_death_rates!$G143</f>
        <v>0.28691528695748142</v>
      </c>
      <c r="H198" s="459">
        <f>H96*Calc_SEC_death_rates!$G143</f>
        <v>0.28508136835473669</v>
      </c>
      <c r="I198" s="459">
        <f>I96*Calc_SEC_death_rates!$G143</f>
        <v>0.28327569543905851</v>
      </c>
      <c r="J198" s="459">
        <f>J96*Calc_SEC_death_rates!$G143</f>
        <v>0.28187634809885653</v>
      </c>
      <c r="K198" s="459">
        <f>K96*Calc_SEC_death_rates!$G143</f>
        <v>0.28084678300640431</v>
      </c>
      <c r="L198" s="459">
        <f>L96*Calc_SEC_death_rates!$G143</f>
        <v>0.27923705263707205</v>
      </c>
      <c r="M198" s="459">
        <f>M96*Calc_SEC_death_rates!$G143</f>
        <v>0.277393745930758</v>
      </c>
      <c r="N198" s="459">
        <f>N96*Calc_SEC_death_rates!$G143</f>
        <v>0.2754196469085286</v>
      </c>
    </row>
    <row r="199" spans="1:14">
      <c r="B199" s="338" t="str">
        <f t="shared" si="68"/>
        <v>40-44</v>
      </c>
      <c r="C199" s="459">
        <f>C97*Calc_SEC_death_rates!$G144</f>
        <v>0.26746378469110726</v>
      </c>
      <c r="D199" s="459">
        <f>D97*Calc_SEC_death_rates!$G144</f>
        <v>0.27296922126263029</v>
      </c>
      <c r="E199" s="459">
        <f>E97*Calc_SEC_death_rates!$G144</f>
        <v>0.27830937552173007</v>
      </c>
      <c r="F199" s="459">
        <f>F97*Calc_SEC_death_rates!$G144</f>
        <v>0.28544413629944315</v>
      </c>
      <c r="G199" s="459">
        <f>G97*Calc_SEC_death_rates!$G144</f>
        <v>0.29160726481824528</v>
      </c>
      <c r="H199" s="459">
        <f>H97*Calc_SEC_death_rates!$G144</f>
        <v>0.2935218606448397</v>
      </c>
      <c r="I199" s="459">
        <f>I97*Calc_SEC_death_rates!$G144</f>
        <v>0.29440924162766163</v>
      </c>
      <c r="J199" s="459">
        <f>J97*Calc_SEC_death_rates!$G144</f>
        <v>0.29484835495752465</v>
      </c>
      <c r="K199" s="459">
        <f>K97*Calc_SEC_death_rates!$G144</f>
        <v>0.29498815479019624</v>
      </c>
      <c r="L199" s="459">
        <f>L97*Calc_SEC_death_rates!$G144</f>
        <v>0.29410298250666378</v>
      </c>
      <c r="M199" s="459">
        <f>M97*Calc_SEC_death_rates!$G144</f>
        <v>0.29269853999580703</v>
      </c>
      <c r="N199" s="459">
        <f>N97*Calc_SEC_death_rates!$G144</f>
        <v>0.29099856918553496</v>
      </c>
    </row>
    <row r="200" spans="1:14">
      <c r="B200" s="338" t="str">
        <f t="shared" si="68"/>
        <v>45-49</v>
      </c>
      <c r="C200" s="459">
        <f>C98*Calc_SEC_death_rates!$G145</f>
        <v>0.26504897496515506</v>
      </c>
      <c r="D200" s="459">
        <f>D98*Calc_SEC_death_rates!$G145</f>
        <v>0.28476827539113758</v>
      </c>
      <c r="E200" s="459">
        <f>E98*Calc_SEC_death_rates!$G145</f>
        <v>0.30336278565519054</v>
      </c>
      <c r="F200" s="459">
        <f>F98*Calc_SEC_death_rates!$G145</f>
        <v>0.32294820656229012</v>
      </c>
      <c r="G200" s="459">
        <f>G98*Calc_SEC_death_rates!$G145</f>
        <v>0.3401458711056855</v>
      </c>
      <c r="H200" s="459">
        <f>H98*Calc_SEC_death_rates!$G145</f>
        <v>0.3509697712904799</v>
      </c>
      <c r="I200" s="459">
        <f>I98*Calc_SEC_death_rates!$G145</f>
        <v>0.3592431343691056</v>
      </c>
      <c r="J200" s="459">
        <f>J98*Calc_SEC_death_rates!$G145</f>
        <v>0.36573302811690661</v>
      </c>
      <c r="K200" s="459">
        <f>K98*Calc_SEC_death_rates!$G145</f>
        <v>0.37073226956661393</v>
      </c>
      <c r="L200" s="459">
        <f>L98*Calc_SEC_death_rates!$G145</f>
        <v>0.37350606528316188</v>
      </c>
      <c r="M200" s="459">
        <f>M98*Calc_SEC_death_rates!$G145</f>
        <v>0.3747983957236381</v>
      </c>
      <c r="N200" s="459">
        <f>N98*Calc_SEC_death_rates!$G145</f>
        <v>0.37502710388189009</v>
      </c>
    </row>
    <row r="201" spans="1:14">
      <c r="B201" s="338" t="str">
        <f t="shared" si="68"/>
        <v>50-54</v>
      </c>
      <c r="C201" s="459">
        <f>C99*Calc_SEC_death_rates!$G146</f>
        <v>0.24163015059578086</v>
      </c>
      <c r="D201" s="459">
        <f>D99*Calc_SEC_death_rates!$G146</f>
        <v>0.25562280059427023</v>
      </c>
      <c r="E201" s="459">
        <f>E99*Calc_SEC_death_rates!$G146</f>
        <v>0.27311393741509632</v>
      </c>
      <c r="F201" s="459">
        <f>F99*Calc_SEC_death_rates!$G146</f>
        <v>0.29469144622676657</v>
      </c>
      <c r="G201" s="459">
        <f>G99*Calc_SEC_death_rates!$G146</f>
        <v>0.31583378734785711</v>
      </c>
      <c r="H201" s="459">
        <f>H99*Calc_SEC_death_rates!$G146</f>
        <v>0.33172057550262951</v>
      </c>
      <c r="I201" s="459">
        <f>I99*Calc_SEC_death_rates!$G146</f>
        <v>0.34555996756818985</v>
      </c>
      <c r="J201" s="459">
        <f>J99*Calc_SEC_death_rates!$G146</f>
        <v>0.35767423297699791</v>
      </c>
      <c r="K201" s="459">
        <f>K99*Calc_SEC_death_rates!$G146</f>
        <v>0.36805533422227976</v>
      </c>
      <c r="L201" s="459">
        <f>L99*Calc_SEC_death_rates!$G146</f>
        <v>0.37577967364077025</v>
      </c>
      <c r="M201" s="459">
        <f>M99*Calc_SEC_death_rates!$G146</f>
        <v>0.38148587391395428</v>
      </c>
      <c r="N201" s="459">
        <f>N99*Calc_SEC_death_rates!$G146</f>
        <v>0.38554835990816483</v>
      </c>
    </row>
    <row r="202" spans="1:14">
      <c r="B202" s="338" t="str">
        <f t="shared" si="68"/>
        <v>55-59</v>
      </c>
      <c r="C202" s="459">
        <f>C100*Calc_SEC_death_rates!$G147</f>
        <v>0.56104789754722995</v>
      </c>
      <c r="D202" s="459">
        <f>D100*Calc_SEC_death_rates!$G147</f>
        <v>0.49112711541274739</v>
      </c>
      <c r="E202" s="459">
        <f>E100*Calc_SEC_death_rates!$G147</f>
        <v>0.46092646655147368</v>
      </c>
      <c r="F202" s="459">
        <f>F100*Calc_SEC_death_rates!$G147</f>
        <v>0.45994250310727069</v>
      </c>
      <c r="G202" s="459">
        <f>G100*Calc_SEC_death_rates!$G147</f>
        <v>0.47170238820494148</v>
      </c>
      <c r="H202" s="459">
        <f>H100*Calc_SEC_death_rates!$G147</f>
        <v>0.48260354522544724</v>
      </c>
      <c r="I202" s="459">
        <f>I100*Calc_SEC_death_rates!$G147</f>
        <v>0.49665507286634536</v>
      </c>
      <c r="J202" s="459">
        <f>J100*Calc_SEC_death_rates!$G147</f>
        <v>0.51229433990697959</v>
      </c>
      <c r="K202" s="459">
        <f>K100*Calc_SEC_death_rates!$G147</f>
        <v>0.52792313249464351</v>
      </c>
      <c r="L202" s="459">
        <f>L100*Calc_SEC_death_rates!$G147</f>
        <v>0.54068374025470956</v>
      </c>
      <c r="M202" s="459">
        <f>M100*Calc_SEC_death_rates!$G147</f>
        <v>0.55122492844098614</v>
      </c>
      <c r="N202" s="459">
        <f>N100*Calc_SEC_death_rates!$G147</f>
        <v>0.55974632366492794</v>
      </c>
    </row>
    <row r="203" spans="1:14">
      <c r="B203" s="338" t="str">
        <f t="shared" si="68"/>
        <v>60-64</v>
      </c>
      <c r="C203" s="459">
        <f>C101*Calc_SEC_death_rates!$G148</f>
        <v>0.37470299017149228</v>
      </c>
      <c r="D203" s="459">
        <f>D101*Calc_SEC_death_rates!$G148</f>
        <v>0.32811828427461204</v>
      </c>
      <c r="E203" s="459">
        <f>E101*Calc_SEC_death_rates!$G148</f>
        <v>0.29487808515161607</v>
      </c>
      <c r="F203" s="459">
        <f>F101*Calc_SEC_death_rates!$G148</f>
        <v>0.27973913580992216</v>
      </c>
      <c r="G203" s="459">
        <f>G101*Calc_SEC_death_rates!$G148</f>
        <v>0.27396179140242188</v>
      </c>
      <c r="H203" s="459">
        <f>H101*Calc_SEC_death_rates!$G148</f>
        <v>0.26858536076407225</v>
      </c>
      <c r="I203" s="459">
        <f>I101*Calc_SEC_death_rates!$G148</f>
        <v>0.26831608766843701</v>
      </c>
      <c r="J203" s="459">
        <f>J101*Calc_SEC_death_rates!$G148</f>
        <v>0.27168548891017158</v>
      </c>
      <c r="K203" s="459">
        <f>K101*Calc_SEC_death_rates!$G148</f>
        <v>0.27699475470486801</v>
      </c>
      <c r="L203" s="459">
        <f>L101*Calc_SEC_death_rates!$G148</f>
        <v>0.28155108802273432</v>
      </c>
      <c r="M203" s="459">
        <f>M101*Calc_SEC_death_rates!$G148</f>
        <v>0.28577609994609154</v>
      </c>
      <c r="N203" s="459">
        <f>N101*Calc_SEC_death_rates!$G148</f>
        <v>0.28959779322806611</v>
      </c>
    </row>
    <row r="204" spans="1:14">
      <c r="B204" s="338" t="str">
        <f t="shared" si="68"/>
        <v>65 plus</v>
      </c>
      <c r="C204" s="459">
        <f>C102*Calc_SEC_death_rates!$G149</f>
        <v>0.4914826861122677</v>
      </c>
      <c r="D204" s="459">
        <f>D102*Calc_SEC_death_rates!$G149</f>
        <v>0.5713308935963437</v>
      </c>
      <c r="E204" s="459">
        <f>E102*Calc_SEC_death_rates!$G149</f>
        <v>0.58765386519081442</v>
      </c>
      <c r="F204" s="459">
        <f>F102*Calc_SEC_death_rates!$G149</f>
        <v>0.58843847357168788</v>
      </c>
      <c r="G204" s="459">
        <f>G102*Calc_SEC_death_rates!$G149</f>
        <v>0.58140000675491588</v>
      </c>
      <c r="H204" s="459">
        <f>H102*Calc_SEC_death_rates!$G149</f>
        <v>0.56151930388597604</v>
      </c>
      <c r="I204" s="459">
        <f>I102*Calc_SEC_death_rates!$G149</f>
        <v>0.54721942070323315</v>
      </c>
      <c r="J204" s="459">
        <f>J102*Calc_SEC_death_rates!$G149</f>
        <v>0.54058795811588145</v>
      </c>
      <c r="K204" s="459">
        <f>K102*Calc_SEC_death_rates!$G149</f>
        <v>0.54010703270875549</v>
      </c>
      <c r="L204" s="459">
        <f>L102*Calc_SEC_death_rates!$G149</f>
        <v>0.54029755942178792</v>
      </c>
      <c r="M204" s="459">
        <f>M102*Calc_SEC_death_rates!$G149</f>
        <v>0.54181818442461394</v>
      </c>
      <c r="N204" s="459">
        <f>N102*Calc_SEC_death_rates!$G149</f>
        <v>0.54434843223349705</v>
      </c>
    </row>
    <row r="205" spans="1:14">
      <c r="B205" s="338" t="str">
        <f t="shared" si="68"/>
        <v>Total</v>
      </c>
      <c r="C205" s="459">
        <f>SUM(C195:C204)</f>
        <v>2.5760372073403048</v>
      </c>
      <c r="D205" s="459">
        <f t="shared" ref="D205:N205" si="70">SUM(D195:D204)</f>
        <v>2.5713574055480621</v>
      </c>
      <c r="E205" s="459">
        <f t="shared" si="70"/>
        <v>2.5609111376549016</v>
      </c>
      <c r="F205" s="459">
        <f t="shared" si="70"/>
        <v>2.5943983749661221</v>
      </c>
      <c r="G205" s="459">
        <f t="shared" si="70"/>
        <v>2.6396056525878535</v>
      </c>
      <c r="H205" s="459">
        <f t="shared" si="70"/>
        <v>2.6516124701108201</v>
      </c>
      <c r="I205" s="459">
        <f t="shared" si="70"/>
        <v>2.671943710004693</v>
      </c>
      <c r="J205" s="459">
        <f t="shared" si="70"/>
        <v>2.7018019112402234</v>
      </c>
      <c r="K205" s="459">
        <f t="shared" si="70"/>
        <v>2.7367210283815075</v>
      </c>
      <c r="L205" s="459">
        <f t="shared" si="70"/>
        <v>2.7619264868614679</v>
      </c>
      <c r="M205" s="459">
        <f t="shared" si="70"/>
        <v>2.7815063716682311</v>
      </c>
      <c r="N205" s="459">
        <f t="shared" si="70"/>
        <v>2.7964403848485349</v>
      </c>
    </row>
    <row r="206" spans="1:14">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20.777028867544075</v>
      </c>
      <c r="D213" s="459">
        <f t="shared" ref="D213:N213" si="75">D111+D145+D179</f>
        <v>26.819616732535724</v>
      </c>
      <c r="E213" s="459">
        <f t="shared" si="75"/>
        <v>32.877480658955577</v>
      </c>
      <c r="F213" s="459">
        <f t="shared" si="75"/>
        <v>40.228645511539419</v>
      </c>
      <c r="G213" s="459">
        <f t="shared" si="75"/>
        <v>46.002006074829268</v>
      </c>
      <c r="H213" s="459">
        <f t="shared" si="75"/>
        <v>47.663951416574996</v>
      </c>
      <c r="I213" s="459">
        <f t="shared" si="75"/>
        <v>48.704668917296672</v>
      </c>
      <c r="J213" s="459">
        <f t="shared" si="75"/>
        <v>49.561872072506617</v>
      </c>
      <c r="K213" s="459">
        <f t="shared" si="75"/>
        <v>50.247902361775942</v>
      </c>
      <c r="L213" s="459">
        <f t="shared" si="75"/>
        <v>50.08884668106252</v>
      </c>
      <c r="M213" s="459">
        <f t="shared" si="75"/>
        <v>49.633027837173564</v>
      </c>
      <c r="N213" s="459">
        <f t="shared" si="75"/>
        <v>49.081880702596806</v>
      </c>
    </row>
    <row r="214" spans="1:14">
      <c r="B214" s="338" t="str">
        <f t="shared" si="72"/>
        <v>25-29</v>
      </c>
      <c r="C214" s="459">
        <f t="shared" si="74"/>
        <v>75.065991613978994</v>
      </c>
      <c r="D214" s="459">
        <f t="shared" ref="D214:N214" si="76">D112+D146+D180</f>
        <v>70.409686360952335</v>
      </c>
      <c r="E214" s="459">
        <f t="shared" si="76"/>
        <v>70.043708967327007</v>
      </c>
      <c r="F214" s="459">
        <f t="shared" si="76"/>
        <v>74.172493751389212</v>
      </c>
      <c r="G214" s="459">
        <f t="shared" si="76"/>
        <v>78.933566610999577</v>
      </c>
      <c r="H214" s="459">
        <f t="shared" si="76"/>
        <v>80.551040144166294</v>
      </c>
      <c r="I214" s="459">
        <f t="shared" si="76"/>
        <v>81.820312349526162</v>
      </c>
      <c r="J214" s="459">
        <f t="shared" si="76"/>
        <v>83.027400582765083</v>
      </c>
      <c r="K214" s="459">
        <f t="shared" si="76"/>
        <v>84.114625175727625</v>
      </c>
      <c r="L214" s="459">
        <f t="shared" si="76"/>
        <v>84.281043994161479</v>
      </c>
      <c r="M214" s="459">
        <f t="shared" si="76"/>
        <v>83.991258388961612</v>
      </c>
      <c r="N214" s="459">
        <f t="shared" si="76"/>
        <v>83.456393728704981</v>
      </c>
    </row>
    <row r="215" spans="1:14">
      <c r="B215" s="338" t="str">
        <f t="shared" si="72"/>
        <v>30-34</v>
      </c>
      <c r="C215" s="459">
        <f t="shared" si="74"/>
        <v>63.680160949723394</v>
      </c>
      <c r="D215" s="459">
        <f t="shared" ref="D215:N215" si="77">D113+D147+D181</f>
        <v>61.562991130396036</v>
      </c>
      <c r="E215" s="459">
        <f t="shared" si="77"/>
        <v>60.249431725667115</v>
      </c>
      <c r="F215" s="459">
        <f t="shared" si="77"/>
        <v>60.604489037471538</v>
      </c>
      <c r="G215" s="459">
        <f t="shared" si="77"/>
        <v>61.629655382515942</v>
      </c>
      <c r="H215" s="459">
        <f t="shared" si="77"/>
        <v>61.897902319149992</v>
      </c>
      <c r="I215" s="459">
        <f t="shared" si="77"/>
        <v>62.232811436285431</v>
      </c>
      <c r="J215" s="459">
        <f t="shared" si="77"/>
        <v>62.687568798389037</v>
      </c>
      <c r="K215" s="459">
        <f t="shared" si="77"/>
        <v>63.205214392200801</v>
      </c>
      <c r="L215" s="459">
        <f t="shared" si="77"/>
        <v>63.434861987838296</v>
      </c>
      <c r="M215" s="459">
        <f t="shared" si="77"/>
        <v>63.47278172385316</v>
      </c>
      <c r="N215" s="459">
        <f t="shared" si="77"/>
        <v>63.364371012710436</v>
      </c>
    </row>
    <row r="216" spans="1:14">
      <c r="B216" s="338" t="str">
        <f t="shared" si="72"/>
        <v>35-39</v>
      </c>
      <c r="C216" s="459">
        <f t="shared" si="74"/>
        <v>52.199297992777261</v>
      </c>
      <c r="D216" s="459">
        <f t="shared" ref="D216:N216" si="78">D114+D148+D182</f>
        <v>52.454491507364487</v>
      </c>
      <c r="E216" s="459">
        <f t="shared" si="78"/>
        <v>52.753919356450652</v>
      </c>
      <c r="F216" s="459">
        <f t="shared" si="78"/>
        <v>53.531518352236077</v>
      </c>
      <c r="G216" s="459">
        <f t="shared" si="78"/>
        <v>54.325848022578995</v>
      </c>
      <c r="H216" s="459">
        <f t="shared" si="78"/>
        <v>54.501192856568629</v>
      </c>
      <c r="I216" s="459">
        <f t="shared" si="78"/>
        <v>54.645647135717475</v>
      </c>
      <c r="J216" s="459">
        <f t="shared" si="78"/>
        <v>54.839557994542631</v>
      </c>
      <c r="K216" s="459">
        <f t="shared" si="78"/>
        <v>55.07941100093408</v>
      </c>
      <c r="L216" s="459">
        <f t="shared" si="78"/>
        <v>55.185488742209579</v>
      </c>
      <c r="M216" s="459">
        <f t="shared" si="78"/>
        <v>55.21738186128853</v>
      </c>
      <c r="N216" s="459">
        <f t="shared" si="78"/>
        <v>55.190393978200497</v>
      </c>
    </row>
    <row r="217" spans="1:14">
      <c r="B217" s="338" t="str">
        <f t="shared" si="72"/>
        <v>40-44</v>
      </c>
      <c r="C217" s="459">
        <f t="shared" si="74"/>
        <v>51.10297116989333</v>
      </c>
      <c r="D217" s="459">
        <f t="shared" ref="D217:N217" si="79">D115+D149+D183</f>
        <v>51.319622615954728</v>
      </c>
      <c r="E217" s="459">
        <f t="shared" si="79"/>
        <v>51.930260502730683</v>
      </c>
      <c r="F217" s="459">
        <f t="shared" si="79"/>
        <v>53.123549567637625</v>
      </c>
      <c r="G217" s="459">
        <f t="shared" si="79"/>
        <v>54.306970015285913</v>
      </c>
      <c r="H217" s="459">
        <f t="shared" si="79"/>
        <v>54.831484071640013</v>
      </c>
      <c r="I217" s="459">
        <f t="shared" si="79"/>
        <v>55.231645774277787</v>
      </c>
      <c r="J217" s="459">
        <f t="shared" si="79"/>
        <v>55.587522068688379</v>
      </c>
      <c r="K217" s="459">
        <f t="shared" si="79"/>
        <v>55.910939463937261</v>
      </c>
      <c r="L217" s="459">
        <f t="shared" si="79"/>
        <v>56.061337217880073</v>
      </c>
      <c r="M217" s="459">
        <f t="shared" si="79"/>
        <v>56.119949467826046</v>
      </c>
      <c r="N217" s="459">
        <f t="shared" si="79"/>
        <v>56.119628046632329</v>
      </c>
    </row>
    <row r="218" spans="1:14">
      <c r="B218" s="338" t="str">
        <f t="shared" si="72"/>
        <v>45-49</v>
      </c>
      <c r="C218" s="459">
        <f t="shared" si="74"/>
        <v>49.219111811700962</v>
      </c>
      <c r="D218" s="459">
        <f t="shared" ref="D218:N218" si="80">D116+D150+D184</f>
        <v>49.75374056253267</v>
      </c>
      <c r="E218" s="459">
        <f t="shared" si="80"/>
        <v>50.562993777000138</v>
      </c>
      <c r="F218" s="459">
        <f t="shared" si="80"/>
        <v>51.917569955368528</v>
      </c>
      <c r="G218" s="459">
        <f t="shared" si="80"/>
        <v>53.29922737463118</v>
      </c>
      <c r="H218" s="459">
        <f t="shared" si="80"/>
        <v>54.093293468006628</v>
      </c>
      <c r="I218" s="459">
        <f t="shared" si="80"/>
        <v>54.767467864697686</v>
      </c>
      <c r="J218" s="459">
        <f t="shared" si="80"/>
        <v>55.377181584299883</v>
      </c>
      <c r="K218" s="459">
        <f t="shared" si="80"/>
        <v>55.921200054456747</v>
      </c>
      <c r="L218" s="459">
        <f t="shared" si="80"/>
        <v>56.263639570592005</v>
      </c>
      <c r="M218" s="459">
        <f t="shared" si="80"/>
        <v>56.47960603434786</v>
      </c>
      <c r="N218" s="459">
        <f t="shared" si="80"/>
        <v>56.605151460149351</v>
      </c>
    </row>
    <row r="219" spans="1:14">
      <c r="B219" s="338" t="str">
        <f t="shared" si="72"/>
        <v>50-54</v>
      </c>
      <c r="C219" s="459">
        <f t="shared" si="74"/>
        <v>49.146875300519824</v>
      </c>
      <c r="D219" s="459">
        <f t="shared" ref="D219:N219" si="81">D117+D151+D185</f>
        <v>50.419195635719063</v>
      </c>
      <c r="E219" s="459">
        <f t="shared" si="81"/>
        <v>51.849492313967318</v>
      </c>
      <c r="F219" s="459">
        <f t="shared" si="81"/>
        <v>53.731548667298391</v>
      </c>
      <c r="G219" s="459">
        <f t="shared" si="81"/>
        <v>55.558343173339416</v>
      </c>
      <c r="H219" s="459">
        <f t="shared" si="81"/>
        <v>56.724302797889742</v>
      </c>
      <c r="I219" s="459">
        <f t="shared" si="81"/>
        <v>57.737857330215377</v>
      </c>
      <c r="J219" s="459">
        <f t="shared" si="81"/>
        <v>58.664006127545754</v>
      </c>
      <c r="K219" s="459">
        <f t="shared" si="81"/>
        <v>59.502065629062962</v>
      </c>
      <c r="L219" s="459">
        <f t="shared" si="81"/>
        <v>60.108595590252804</v>
      </c>
      <c r="M219" s="459">
        <f t="shared" si="81"/>
        <v>60.559147584367402</v>
      </c>
      <c r="N219" s="459">
        <f t="shared" si="81"/>
        <v>60.888976664196996</v>
      </c>
    </row>
    <row r="220" spans="1:14">
      <c r="B220" s="338" t="str">
        <f t="shared" si="72"/>
        <v>55-59</v>
      </c>
      <c r="C220" s="459">
        <f t="shared" si="74"/>
        <v>87.32700855535731</v>
      </c>
      <c r="D220" s="459">
        <f t="shared" ref="D220:N220" si="82">D118+D152+D186</f>
        <v>78.135512337991642</v>
      </c>
      <c r="E220" s="459">
        <f t="shared" si="82"/>
        <v>73.958116199947142</v>
      </c>
      <c r="F220" s="459">
        <f t="shared" si="82"/>
        <v>73.276173367744718</v>
      </c>
      <c r="G220" s="459">
        <f t="shared" si="82"/>
        <v>73.951405552674657</v>
      </c>
      <c r="H220" s="459">
        <f t="shared" si="82"/>
        <v>74.303719984824383</v>
      </c>
      <c r="I220" s="459">
        <f t="shared" si="82"/>
        <v>74.992469426429139</v>
      </c>
      <c r="J220" s="459">
        <f t="shared" si="82"/>
        <v>75.902676987631779</v>
      </c>
      <c r="K220" s="459">
        <f t="shared" si="82"/>
        <v>76.888417516893213</v>
      </c>
      <c r="L220" s="459">
        <f t="shared" si="82"/>
        <v>77.614060523490949</v>
      </c>
      <c r="M220" s="459">
        <f t="shared" si="82"/>
        <v>78.189723272250603</v>
      </c>
      <c r="N220" s="459">
        <f t="shared" si="82"/>
        <v>78.647696924590619</v>
      </c>
    </row>
    <row r="221" spans="1:14">
      <c r="B221" s="338" t="str">
        <f t="shared" si="72"/>
        <v>60-64</v>
      </c>
      <c r="C221" s="459">
        <f t="shared" si="74"/>
        <v>55.540941478792639</v>
      </c>
      <c r="D221" s="459">
        <f t="shared" ref="D221:N221" si="83">D119+D153+D187</f>
        <v>49.8609092399495</v>
      </c>
      <c r="E221" s="459">
        <f t="shared" si="83"/>
        <v>45.621192295365262</v>
      </c>
      <c r="F221" s="459">
        <f t="shared" si="83"/>
        <v>43.572778100941285</v>
      </c>
      <c r="G221" s="459">
        <f t="shared" si="83"/>
        <v>42.618636283162509</v>
      </c>
      <c r="H221" s="459">
        <f t="shared" si="83"/>
        <v>41.598595656734929</v>
      </c>
      <c r="I221" s="459">
        <f t="shared" si="83"/>
        <v>41.147870141473824</v>
      </c>
      <c r="J221" s="459">
        <f t="shared" si="83"/>
        <v>41.121600112604717</v>
      </c>
      <c r="K221" s="459">
        <f t="shared" si="83"/>
        <v>41.336670698480539</v>
      </c>
      <c r="L221" s="459">
        <f t="shared" si="83"/>
        <v>41.468959259723235</v>
      </c>
      <c r="M221" s="459">
        <f t="shared" si="83"/>
        <v>41.591444279838903</v>
      </c>
      <c r="N221" s="459">
        <f t="shared" si="83"/>
        <v>41.709399522767001</v>
      </c>
    </row>
    <row r="222" spans="1:14">
      <c r="B222" s="338" t="str">
        <f t="shared" si="72"/>
        <v>65 plus</v>
      </c>
      <c r="C222" s="459">
        <f t="shared" si="74"/>
        <v>12.995465085110002</v>
      </c>
      <c r="D222" s="459">
        <f t="shared" ref="D222:N222" si="84">D120+D154+D188</f>
        <v>16.384691175043258</v>
      </c>
      <c r="E222" s="459">
        <f t="shared" si="84"/>
        <v>17.643600820099994</v>
      </c>
      <c r="F222" s="459">
        <f t="shared" si="84"/>
        <v>18.126423627351542</v>
      </c>
      <c r="G222" s="459">
        <f t="shared" si="84"/>
        <v>18.178620069829439</v>
      </c>
      <c r="H222" s="459">
        <f t="shared" si="84"/>
        <v>17.763857090110278</v>
      </c>
      <c r="I222" s="459">
        <f t="shared" si="84"/>
        <v>17.381501458176192</v>
      </c>
      <c r="J222" s="459">
        <f t="shared" si="84"/>
        <v>17.129237002707708</v>
      </c>
      <c r="K222" s="459">
        <f t="shared" si="84"/>
        <v>17.001061730764579</v>
      </c>
      <c r="L222" s="459">
        <f t="shared" si="84"/>
        <v>16.879569414547152</v>
      </c>
      <c r="M222" s="459">
        <f t="shared" si="84"/>
        <v>16.788268690514343</v>
      </c>
      <c r="N222" s="459">
        <f t="shared" si="84"/>
        <v>16.726394691929695</v>
      </c>
    </row>
    <row r="223" spans="1:14">
      <c r="B223" s="338" t="str">
        <f t="shared" si="72"/>
        <v>Total</v>
      </c>
      <c r="C223" s="459">
        <f>SUM(C213:C222)</f>
        <v>517.0548528253978</v>
      </c>
      <c r="D223" s="459">
        <f t="shared" ref="D223:N223" si="85">SUM(D213:D222)</f>
        <v>507.12045729843942</v>
      </c>
      <c r="E223" s="459">
        <f t="shared" si="85"/>
        <v>507.49019661751083</v>
      </c>
      <c r="F223" s="459">
        <f t="shared" si="85"/>
        <v>522.28518993897842</v>
      </c>
      <c r="G223" s="459">
        <f t="shared" si="85"/>
        <v>538.80427855984692</v>
      </c>
      <c r="H223" s="459">
        <f t="shared" si="85"/>
        <v>543.92933980566579</v>
      </c>
      <c r="I223" s="459">
        <f t="shared" si="85"/>
        <v>548.66225183409574</v>
      </c>
      <c r="J223" s="459">
        <f t="shared" si="85"/>
        <v>553.89862333168151</v>
      </c>
      <c r="K223" s="459">
        <f t="shared" si="85"/>
        <v>559.20750802423379</v>
      </c>
      <c r="L223" s="459">
        <f t="shared" si="85"/>
        <v>561.38640298175801</v>
      </c>
      <c r="M223" s="459">
        <f t="shared" si="85"/>
        <v>562.04258914042191</v>
      </c>
      <c r="N223" s="459">
        <f t="shared" si="85"/>
        <v>561.79028673247865</v>
      </c>
    </row>
    <row r="224" spans="1:14">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39.872697483986094</v>
      </c>
      <c r="D229" s="459">
        <f t="shared" ref="D229:N229" si="90">D195+D161+D127</f>
        <v>41.734666199579443</v>
      </c>
      <c r="E229" s="459">
        <f t="shared" si="90"/>
        <v>45.033159686691285</v>
      </c>
      <c r="F229" s="459">
        <f t="shared" si="90"/>
        <v>50.741210643464356</v>
      </c>
      <c r="G229" s="459">
        <f t="shared" si="90"/>
        <v>55.496044661424293</v>
      </c>
      <c r="H229" s="459">
        <f t="shared" si="90"/>
        <v>56.329601291698793</v>
      </c>
      <c r="I229" s="459">
        <f t="shared" si="90"/>
        <v>56.792734119114698</v>
      </c>
      <c r="J229" s="459">
        <f t="shared" si="90"/>
        <v>57.262117373136356</v>
      </c>
      <c r="K229" s="459">
        <f t="shared" si="90"/>
        <v>57.690037773354966</v>
      </c>
      <c r="L229" s="459">
        <f t="shared" si="90"/>
        <v>57.306831679423233</v>
      </c>
      <c r="M229" s="459">
        <f t="shared" si="90"/>
        <v>56.661626932453629</v>
      </c>
      <c r="N229" s="459">
        <f t="shared" si="90"/>
        <v>55.950326052027506</v>
      </c>
    </row>
    <row r="230" spans="1:14">
      <c r="B230" s="338" t="str">
        <f t="shared" si="87"/>
        <v>25-29</v>
      </c>
      <c r="C230" s="459">
        <f t="shared" si="89"/>
        <v>108.93722040590841</v>
      </c>
      <c r="D230" s="459">
        <f t="shared" ref="D230:N230" si="91">D196+D162+D128</f>
        <v>101.10399054522701</v>
      </c>
      <c r="E230" s="459">
        <f t="shared" si="91"/>
        <v>98.144677620782701</v>
      </c>
      <c r="F230" s="459">
        <f t="shared" si="91"/>
        <v>100.6038000278981</v>
      </c>
      <c r="G230" s="459">
        <f t="shared" si="91"/>
        <v>104.14417185730174</v>
      </c>
      <c r="H230" s="459">
        <f t="shared" si="91"/>
        <v>104.39813507391658</v>
      </c>
      <c r="I230" s="459">
        <f t="shared" si="91"/>
        <v>104.56065306134646</v>
      </c>
      <c r="J230" s="459">
        <f t="shared" si="91"/>
        <v>104.92201844209001</v>
      </c>
      <c r="K230" s="459">
        <f t="shared" si="91"/>
        <v>105.3723059693577</v>
      </c>
      <c r="L230" s="459">
        <f t="shared" si="91"/>
        <v>104.93761694814165</v>
      </c>
      <c r="M230" s="459">
        <f t="shared" si="91"/>
        <v>104.11273632518807</v>
      </c>
      <c r="N230" s="459">
        <f t="shared" si="91"/>
        <v>103.10899706490667</v>
      </c>
    </row>
    <row r="231" spans="1:14">
      <c r="B231" s="338" t="str">
        <f t="shared" si="87"/>
        <v>30-34</v>
      </c>
      <c r="C231" s="459">
        <f t="shared" si="89"/>
        <v>112.28913624944678</v>
      </c>
      <c r="D231" s="459">
        <f t="shared" ref="D231:N231" si="92">D197+D163+D129</f>
        <v>108.65448576673124</v>
      </c>
      <c r="E231" s="459">
        <f t="shared" si="92"/>
        <v>106.02910762298289</v>
      </c>
      <c r="F231" s="459">
        <f t="shared" si="92"/>
        <v>105.8828009427959</v>
      </c>
      <c r="G231" s="459">
        <f t="shared" si="92"/>
        <v>106.64090617897762</v>
      </c>
      <c r="H231" s="459">
        <f t="shared" si="92"/>
        <v>106.0552617073329</v>
      </c>
      <c r="I231" s="459">
        <f t="shared" si="92"/>
        <v>105.58300541307582</v>
      </c>
      <c r="J231" s="459">
        <f t="shared" si="92"/>
        <v>105.36036155801304</v>
      </c>
      <c r="K231" s="459">
        <f t="shared" si="92"/>
        <v>105.32128875939627</v>
      </c>
      <c r="L231" s="459">
        <f t="shared" si="92"/>
        <v>104.9041748208713</v>
      </c>
      <c r="M231" s="459">
        <f t="shared" si="92"/>
        <v>104.27869643643693</v>
      </c>
      <c r="N231" s="459">
        <f t="shared" si="92"/>
        <v>103.5183091156366</v>
      </c>
    </row>
    <row r="232" spans="1:14">
      <c r="B232" s="338" t="str">
        <f t="shared" si="87"/>
        <v>35-39</v>
      </c>
      <c r="C232" s="459">
        <f t="shared" si="89"/>
        <v>92.355746784095516</v>
      </c>
      <c r="D232" s="459">
        <f t="shared" ref="D232:N232" si="93">D198+D164+D130</f>
        <v>90.909542281252811</v>
      </c>
      <c r="E232" s="459">
        <f t="shared" si="93"/>
        <v>90.01501137746159</v>
      </c>
      <c r="F232" s="459">
        <f t="shared" si="93"/>
        <v>90.215492327492839</v>
      </c>
      <c r="G232" s="459">
        <f t="shared" si="93"/>
        <v>90.596074122694276</v>
      </c>
      <c r="H232" s="459">
        <f t="shared" si="93"/>
        <v>90.01699788234788</v>
      </c>
      <c r="I232" s="459">
        <f t="shared" si="93"/>
        <v>89.44684047092224</v>
      </c>
      <c r="J232" s="459">
        <f t="shared" si="93"/>
        <v>89.004984002761589</v>
      </c>
      <c r="K232" s="459">
        <f t="shared" si="93"/>
        <v>88.679889594516396</v>
      </c>
      <c r="L232" s="459">
        <f t="shared" si="93"/>
        <v>88.17160279877244</v>
      </c>
      <c r="M232" s="459">
        <f t="shared" si="93"/>
        <v>87.58956218055738</v>
      </c>
      <c r="N232" s="459">
        <f t="shared" si="93"/>
        <v>86.966222716006854</v>
      </c>
    </row>
    <row r="233" spans="1:14">
      <c r="B233" s="338" t="str">
        <f t="shared" si="87"/>
        <v>40-44</v>
      </c>
      <c r="C233" s="459">
        <f t="shared" si="89"/>
        <v>69.73166693983562</v>
      </c>
      <c r="D233" s="459">
        <f t="shared" ref="D233:N233" si="94">D199+D165+D131</f>
        <v>71.167013672131361</v>
      </c>
      <c r="E233" s="459">
        <f t="shared" si="94"/>
        <v>72.559268921315649</v>
      </c>
      <c r="F233" s="459">
        <f t="shared" si="94"/>
        <v>74.419403977811157</v>
      </c>
      <c r="G233" s="459">
        <f t="shared" si="94"/>
        <v>76.026220488228972</v>
      </c>
      <c r="H233" s="459">
        <f t="shared" si="94"/>
        <v>76.525383239024066</v>
      </c>
      <c r="I233" s="459">
        <f t="shared" si="94"/>
        <v>76.756736262067363</v>
      </c>
      <c r="J233" s="459">
        <f t="shared" si="94"/>
        <v>76.871219441546074</v>
      </c>
      <c r="K233" s="459">
        <f t="shared" si="94"/>
        <v>76.907667274591418</v>
      </c>
      <c r="L233" s="459">
        <f t="shared" si="94"/>
        <v>76.676890091314277</v>
      </c>
      <c r="M233" s="459">
        <f t="shared" si="94"/>
        <v>76.310731669095304</v>
      </c>
      <c r="N233" s="459">
        <f t="shared" si="94"/>
        <v>75.867524756106192</v>
      </c>
    </row>
    <row r="234" spans="1:14">
      <c r="B234" s="338" t="str">
        <f t="shared" si="87"/>
        <v>45-49</v>
      </c>
      <c r="C234" s="459">
        <f t="shared" si="89"/>
        <v>52.019406060715895</v>
      </c>
      <c r="D234" s="459">
        <f t="shared" ref="D234:N234" si="95">D200+D166+D132</f>
        <v>55.889582492174611</v>
      </c>
      <c r="E234" s="459">
        <f t="shared" si="95"/>
        <v>59.539003811585793</v>
      </c>
      <c r="F234" s="459">
        <f t="shared" si="95"/>
        <v>63.382904596979856</v>
      </c>
      <c r="G234" s="459">
        <f t="shared" si="95"/>
        <v>66.758176262514382</v>
      </c>
      <c r="H234" s="459">
        <f t="shared" si="95"/>
        <v>68.882511430939388</v>
      </c>
      <c r="I234" s="459">
        <f t="shared" si="95"/>
        <v>70.506269581791869</v>
      </c>
      <c r="J234" s="459">
        <f t="shared" si="95"/>
        <v>71.779998024628313</v>
      </c>
      <c r="K234" s="459">
        <f t="shared" si="95"/>
        <v>72.761166018211668</v>
      </c>
      <c r="L234" s="459">
        <f t="shared" si="95"/>
        <v>73.305560523897086</v>
      </c>
      <c r="M234" s="459">
        <f t="shared" si="95"/>
        <v>73.559197656267031</v>
      </c>
      <c r="N234" s="459">
        <f t="shared" si="95"/>
        <v>73.60408469103136</v>
      </c>
    </row>
    <row r="235" spans="1:14">
      <c r="B235" s="338" t="str">
        <f t="shared" si="87"/>
        <v>50-54</v>
      </c>
      <c r="C235" s="459">
        <f t="shared" si="89"/>
        <v>44.633258403930967</v>
      </c>
      <c r="D235" s="459">
        <f t="shared" ref="D235:N235" si="96">D201+D167+D133</f>
        <v>47.217942316921267</v>
      </c>
      <c r="E235" s="459">
        <f t="shared" si="96"/>
        <v>50.448857116161044</v>
      </c>
      <c r="F235" s="459">
        <f t="shared" si="96"/>
        <v>54.434595336866309</v>
      </c>
      <c r="G235" s="459">
        <f t="shared" si="96"/>
        <v>58.339950575833619</v>
      </c>
      <c r="H235" s="459">
        <f t="shared" si="96"/>
        <v>61.274514491686453</v>
      </c>
      <c r="I235" s="459">
        <f t="shared" si="96"/>
        <v>63.830889019833826</v>
      </c>
      <c r="J235" s="459">
        <f t="shared" si="96"/>
        <v>66.068602885557723</v>
      </c>
      <c r="K235" s="459">
        <f t="shared" si="96"/>
        <v>67.986171422661158</v>
      </c>
      <c r="L235" s="459">
        <f t="shared" si="96"/>
        <v>69.412990205065114</v>
      </c>
      <c r="M235" s="459">
        <f t="shared" si="96"/>
        <v>70.467023862163074</v>
      </c>
      <c r="N235" s="459">
        <f t="shared" si="96"/>
        <v>71.21743512787171</v>
      </c>
    </row>
    <row r="236" spans="1:14">
      <c r="B236" s="338" t="str">
        <f t="shared" si="87"/>
        <v>55-59</v>
      </c>
      <c r="C236" s="459">
        <f t="shared" si="89"/>
        <v>87.665996511751899</v>
      </c>
      <c r="D236" s="459">
        <f t="shared" ref="D236:N236" si="97">D202+D168+D134</f>
        <v>76.740592335926593</v>
      </c>
      <c r="E236" s="459">
        <f t="shared" si="97"/>
        <v>72.021619162157265</v>
      </c>
      <c r="F236" s="459">
        <f t="shared" si="97"/>
        <v>71.86787090600248</v>
      </c>
      <c r="G236" s="459">
        <f t="shared" si="97"/>
        <v>73.705400376227828</v>
      </c>
      <c r="H236" s="459">
        <f t="shared" si="97"/>
        <v>75.408750121430771</v>
      </c>
      <c r="I236" s="459">
        <f t="shared" si="97"/>
        <v>77.604357980469331</v>
      </c>
      <c r="J236" s="459">
        <f t="shared" si="97"/>
        <v>80.048056523542797</v>
      </c>
      <c r="K236" s="459">
        <f t="shared" si="97"/>
        <v>82.490118391099671</v>
      </c>
      <c r="L236" s="459">
        <f t="shared" si="97"/>
        <v>84.484014812906707</v>
      </c>
      <c r="M236" s="459">
        <f t="shared" si="97"/>
        <v>86.131117976126475</v>
      </c>
      <c r="N236" s="459">
        <f t="shared" si="97"/>
        <v>87.462620343826643</v>
      </c>
    </row>
    <row r="237" spans="1:14">
      <c r="B237" s="338" t="str">
        <f t="shared" si="87"/>
        <v>60-64</v>
      </c>
      <c r="C237" s="459">
        <f t="shared" si="89"/>
        <v>66.682685992069764</v>
      </c>
      <c r="D237" s="459">
        <f t="shared" ref="D237:N237" si="98">D203+D169+D135</f>
        <v>58.392404364125277</v>
      </c>
      <c r="E237" s="459">
        <f t="shared" si="98"/>
        <v>52.476930459264906</v>
      </c>
      <c r="F237" s="459">
        <f t="shared" si="98"/>
        <v>49.782781141854869</v>
      </c>
      <c r="G237" s="459">
        <f t="shared" si="98"/>
        <v>48.754636576429704</v>
      </c>
      <c r="H237" s="459">
        <f t="shared" si="98"/>
        <v>47.79783920512736</v>
      </c>
      <c r="I237" s="459">
        <f t="shared" si="98"/>
        <v>47.749918975630024</v>
      </c>
      <c r="J237" s="459">
        <f t="shared" si="98"/>
        <v>48.349542493128624</v>
      </c>
      <c r="K237" s="459">
        <f t="shared" si="98"/>
        <v>49.294387111726792</v>
      </c>
      <c r="L237" s="459">
        <f t="shared" si="98"/>
        <v>50.105238777926296</v>
      </c>
      <c r="M237" s="459">
        <f t="shared" si="98"/>
        <v>50.857128009632277</v>
      </c>
      <c r="N237" s="459">
        <f t="shared" si="98"/>
        <v>51.537242072675333</v>
      </c>
    </row>
    <row r="238" spans="1:14">
      <c r="B238" s="338" t="str">
        <f t="shared" si="87"/>
        <v>65 plus</v>
      </c>
      <c r="C238" s="459">
        <f t="shared" si="89"/>
        <v>16.937866377228438</v>
      </c>
      <c r="D238" s="459">
        <f t="shared" ref="D238:N238" si="99">D204+D170+D136</f>
        <v>19.689658672344105</v>
      </c>
      <c r="E238" s="459">
        <f t="shared" si="99"/>
        <v>20.252193873600991</v>
      </c>
      <c r="F238" s="459">
        <f t="shared" si="99"/>
        <v>20.279233670300268</v>
      </c>
      <c r="G238" s="459">
        <f t="shared" si="99"/>
        <v>20.036668441022165</v>
      </c>
      <c r="H238" s="459">
        <f t="shared" si="99"/>
        <v>19.351523881112755</v>
      </c>
      <c r="I238" s="459">
        <f t="shared" si="99"/>
        <v>18.858709958255769</v>
      </c>
      <c r="J238" s="459">
        <f t="shared" si="99"/>
        <v>18.630171231736934</v>
      </c>
      <c r="K238" s="459">
        <f t="shared" si="99"/>
        <v>18.613597198686559</v>
      </c>
      <c r="L238" s="459">
        <f t="shared" si="99"/>
        <v>18.620163281476092</v>
      </c>
      <c r="M238" s="459">
        <f t="shared" si="99"/>
        <v>18.672568267115516</v>
      </c>
      <c r="N238" s="459">
        <f t="shared" si="99"/>
        <v>18.759767675149899</v>
      </c>
    </row>
    <row r="239" spans="1:14">
      <c r="B239" s="338" t="str">
        <f t="shared" si="87"/>
        <v>Total</v>
      </c>
      <c r="C239" s="459">
        <f>SUM(C229:C238)</f>
        <v>691.12568120896947</v>
      </c>
      <c r="D239" s="459">
        <f t="shared" ref="D239:N239" si="100">SUM(D229:D238)</f>
        <v>671.49987864641366</v>
      </c>
      <c r="E239" s="459">
        <f t="shared" si="100"/>
        <v>666.51982965200398</v>
      </c>
      <c r="F239" s="459">
        <f t="shared" si="100"/>
        <v>681.61009357146622</v>
      </c>
      <c r="G239" s="459">
        <f t="shared" si="100"/>
        <v>700.49824954065457</v>
      </c>
      <c r="H239" s="459">
        <f t="shared" si="100"/>
        <v>706.04051832461698</v>
      </c>
      <c r="I239" s="459">
        <f t="shared" si="100"/>
        <v>711.69011484250746</v>
      </c>
      <c r="J239" s="459">
        <f t="shared" si="100"/>
        <v>718.29707197614141</v>
      </c>
      <c r="K239" s="459">
        <f t="shared" si="100"/>
        <v>725.11662951360256</v>
      </c>
      <c r="L239" s="459">
        <f t="shared" si="100"/>
        <v>727.92508393979415</v>
      </c>
      <c r="M239" s="459">
        <f t="shared" si="100"/>
        <v>728.64038931503558</v>
      </c>
      <c r="N239" s="459">
        <f t="shared" si="100"/>
        <v>727.99252961523871</v>
      </c>
    </row>
    <row r="240" spans="1:14">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146.24242841900849</v>
      </c>
      <c r="D247" s="459">
        <f t="shared" ref="D247:N247" si="105">D77-D213</f>
        <v>188.77414596848047</v>
      </c>
      <c r="E247" s="459">
        <f t="shared" si="105"/>
        <v>231.41338651049301</v>
      </c>
      <c r="F247" s="459">
        <f t="shared" si="105"/>
        <v>283.15573170353787</v>
      </c>
      <c r="G247" s="459">
        <f t="shared" si="105"/>
        <v>323.79244998970933</v>
      </c>
      <c r="H247" s="459">
        <f t="shared" si="105"/>
        <v>335.49031710179776</v>
      </c>
      <c r="I247" s="459">
        <f t="shared" si="105"/>
        <v>342.81557306471586</v>
      </c>
      <c r="J247" s="459">
        <f t="shared" si="105"/>
        <v>348.84913406448726</v>
      </c>
      <c r="K247" s="459">
        <f t="shared" si="105"/>
        <v>353.67786757163765</v>
      </c>
      <c r="L247" s="459">
        <f t="shared" si="105"/>
        <v>352.55832881806231</v>
      </c>
      <c r="M247" s="459">
        <f t="shared" si="105"/>
        <v>349.34997525247638</v>
      </c>
      <c r="N247" s="459">
        <f t="shared" si="105"/>
        <v>345.47063832271022</v>
      </c>
    </row>
    <row r="248" spans="2:14">
      <c r="B248" s="338" t="str">
        <f t="shared" si="102"/>
        <v>25-29</v>
      </c>
      <c r="C248" s="459">
        <f t="shared" si="104"/>
        <v>619.25427379337987</v>
      </c>
      <c r="D248" s="459">
        <f t="shared" ref="D248:N248" si="106">D78-D214</f>
        <v>580.84224637554223</v>
      </c>
      <c r="E248" s="459">
        <f t="shared" si="106"/>
        <v>577.82312866003019</v>
      </c>
      <c r="F248" s="459">
        <f t="shared" si="106"/>
        <v>611.88339440928689</v>
      </c>
      <c r="G248" s="459">
        <f t="shared" si="106"/>
        <v>651.1596985353533</v>
      </c>
      <c r="H248" s="459">
        <f t="shared" si="106"/>
        <v>664.50298990639055</v>
      </c>
      <c r="I248" s="459">
        <f t="shared" si="106"/>
        <v>674.97380659550072</v>
      </c>
      <c r="J248" s="459">
        <f t="shared" si="106"/>
        <v>684.93163878031794</v>
      </c>
      <c r="K248" s="459">
        <f t="shared" si="106"/>
        <v>693.90066005465951</v>
      </c>
      <c r="L248" s="459">
        <f t="shared" si="106"/>
        <v>695.27352627995049</v>
      </c>
      <c r="M248" s="459">
        <f t="shared" si="106"/>
        <v>692.8829500596745</v>
      </c>
      <c r="N248" s="459">
        <f t="shared" si="106"/>
        <v>688.47060274175431</v>
      </c>
    </row>
    <row r="249" spans="2:14">
      <c r="B249" s="338" t="str">
        <f t="shared" si="102"/>
        <v>30-34</v>
      </c>
      <c r="C249" s="459">
        <f t="shared" si="104"/>
        <v>829.87932428786985</v>
      </c>
      <c r="D249" s="459">
        <f t="shared" ref="D249:N249" si="107">D79-D215</f>
        <v>802.2883849299551</v>
      </c>
      <c r="E249" s="459">
        <f t="shared" si="107"/>
        <v>785.17008976626892</v>
      </c>
      <c r="F249" s="459">
        <f t="shared" si="107"/>
        <v>789.79719368072597</v>
      </c>
      <c r="G249" s="459">
        <f t="shared" si="107"/>
        <v>803.1571529053864</v>
      </c>
      <c r="H249" s="459">
        <f t="shared" si="107"/>
        <v>806.6529447375068</v>
      </c>
      <c r="I249" s="459">
        <f t="shared" si="107"/>
        <v>811.01747754774328</v>
      </c>
      <c r="J249" s="459">
        <f t="shared" si="107"/>
        <v>816.94387168288733</v>
      </c>
      <c r="K249" s="459">
        <f t="shared" si="107"/>
        <v>823.68982472707432</v>
      </c>
      <c r="L249" s="459">
        <f t="shared" si="107"/>
        <v>826.68259027052886</v>
      </c>
      <c r="M249" s="459">
        <f t="shared" si="107"/>
        <v>827.17675995276386</v>
      </c>
      <c r="N249" s="459">
        <f t="shared" si="107"/>
        <v>825.76395247290009</v>
      </c>
    </row>
    <row r="250" spans="2:14">
      <c r="B250" s="338" t="str">
        <f t="shared" si="102"/>
        <v>35-39</v>
      </c>
      <c r="C250" s="459">
        <f t="shared" si="104"/>
        <v>792.31513636863224</v>
      </c>
      <c r="D250" s="459">
        <f t="shared" ref="D250:N250" si="108">D80-D216</f>
        <v>796.18863068916016</v>
      </c>
      <c r="E250" s="459">
        <f t="shared" si="108"/>
        <v>800.73354271295977</v>
      </c>
      <c r="F250" s="459">
        <f t="shared" si="108"/>
        <v>812.53644961165207</v>
      </c>
      <c r="G250" s="459">
        <f t="shared" si="108"/>
        <v>824.59330564765628</v>
      </c>
      <c r="H250" s="459">
        <f t="shared" si="108"/>
        <v>827.25480439182047</v>
      </c>
      <c r="I250" s="459">
        <f t="shared" si="108"/>
        <v>829.44742606076875</v>
      </c>
      <c r="J250" s="459">
        <f t="shared" si="108"/>
        <v>832.39073209095091</v>
      </c>
      <c r="K250" s="459">
        <f t="shared" si="108"/>
        <v>836.03137812978753</v>
      </c>
      <c r="L250" s="459">
        <f t="shared" si="108"/>
        <v>837.64149556960444</v>
      </c>
      <c r="M250" s="459">
        <f t="shared" si="108"/>
        <v>838.12559022152413</v>
      </c>
      <c r="N250" s="459">
        <f t="shared" si="108"/>
        <v>837.71595045448828</v>
      </c>
    </row>
    <row r="251" spans="2:14">
      <c r="B251" s="338" t="str">
        <f t="shared" si="102"/>
        <v>40-44</v>
      </c>
      <c r="C251" s="459">
        <f t="shared" si="104"/>
        <v>722.69703282107696</v>
      </c>
      <c r="D251" s="459">
        <f t="shared" ref="D251:N251" si="109">D81-D217</f>
        <v>725.76091254549522</v>
      </c>
      <c r="E251" s="459">
        <f t="shared" si="109"/>
        <v>734.39653937497997</v>
      </c>
      <c r="F251" s="459">
        <f t="shared" si="109"/>
        <v>751.27200564951522</v>
      </c>
      <c r="G251" s="459">
        <f t="shared" si="109"/>
        <v>768.00791016770631</v>
      </c>
      <c r="H251" s="459">
        <f t="shared" si="109"/>
        <v>775.42557578522678</v>
      </c>
      <c r="I251" s="459">
        <f t="shared" si="109"/>
        <v>781.08465330116042</v>
      </c>
      <c r="J251" s="459">
        <f t="shared" si="109"/>
        <v>786.11744760125805</v>
      </c>
      <c r="K251" s="459">
        <f t="shared" si="109"/>
        <v>790.69120890237787</v>
      </c>
      <c r="L251" s="459">
        <f t="shared" si="109"/>
        <v>792.81813044977798</v>
      </c>
      <c r="M251" s="459">
        <f t="shared" si="109"/>
        <v>793.64702352885365</v>
      </c>
      <c r="N251" s="459">
        <f t="shared" si="109"/>
        <v>793.64247799778821</v>
      </c>
    </row>
    <row r="252" spans="2:14">
      <c r="B252" s="338" t="str">
        <f t="shared" si="102"/>
        <v>45-49</v>
      </c>
      <c r="C252" s="459">
        <f t="shared" si="104"/>
        <v>605.33454011466881</v>
      </c>
      <c r="D252" s="459">
        <f t="shared" ref="D252:N252" si="110">D82-D218</f>
        <v>611.90981620365858</v>
      </c>
      <c r="E252" s="459">
        <f t="shared" si="110"/>
        <v>621.86263543148391</v>
      </c>
      <c r="F252" s="459">
        <f t="shared" si="110"/>
        <v>638.52225641611085</v>
      </c>
      <c r="G252" s="459">
        <f t="shared" si="110"/>
        <v>655.51494335619793</v>
      </c>
      <c r="H252" s="459">
        <f t="shared" si="110"/>
        <v>665.28097967341182</v>
      </c>
      <c r="I252" s="459">
        <f t="shared" si="110"/>
        <v>673.57249557762702</v>
      </c>
      <c r="J252" s="459">
        <f t="shared" si="110"/>
        <v>681.07122443460037</v>
      </c>
      <c r="K252" s="459">
        <f t="shared" si="110"/>
        <v>687.76198252276231</v>
      </c>
      <c r="L252" s="459">
        <f t="shared" si="110"/>
        <v>691.97356740080454</v>
      </c>
      <c r="M252" s="459">
        <f t="shared" si="110"/>
        <v>694.62968928528687</v>
      </c>
      <c r="N252" s="459">
        <f t="shared" si="110"/>
        <v>696.17374361283737</v>
      </c>
    </row>
    <row r="253" spans="2:14">
      <c r="B253" s="338" t="str">
        <f t="shared" si="102"/>
        <v>50-54</v>
      </c>
      <c r="C253" s="459">
        <f t="shared" si="104"/>
        <v>421.39318336463629</v>
      </c>
      <c r="D253" s="459">
        <f t="shared" ref="D253:N253" si="111">D83-D219</f>
        <v>432.30226177563947</v>
      </c>
      <c r="E253" s="459">
        <f t="shared" si="111"/>
        <v>444.56585466364004</v>
      </c>
      <c r="F253" s="459">
        <f t="shared" si="111"/>
        <v>460.70290738880954</v>
      </c>
      <c r="G253" s="459">
        <f t="shared" si="111"/>
        <v>476.36613618100722</v>
      </c>
      <c r="H253" s="459">
        <f t="shared" si="111"/>
        <v>486.36326081730539</v>
      </c>
      <c r="I253" s="459">
        <f t="shared" si="111"/>
        <v>495.05363977382541</v>
      </c>
      <c r="J253" s="459">
        <f t="shared" si="111"/>
        <v>502.99458795394804</v>
      </c>
      <c r="K253" s="459">
        <f t="shared" si="111"/>
        <v>510.18024439769727</v>
      </c>
      <c r="L253" s="459">
        <f t="shared" si="111"/>
        <v>515.38072946595378</v>
      </c>
      <c r="M253" s="459">
        <f t="shared" si="111"/>
        <v>519.24383445300111</v>
      </c>
      <c r="N253" s="459">
        <f t="shared" si="111"/>
        <v>522.07184183018933</v>
      </c>
    </row>
    <row r="254" spans="2:14">
      <c r="B254" s="338" t="str">
        <f t="shared" si="102"/>
        <v>55-59</v>
      </c>
      <c r="C254" s="459">
        <f t="shared" si="104"/>
        <v>244.52127750670965</v>
      </c>
      <c r="D254" s="459">
        <f t="shared" ref="D254:N254" si="112">D84-D220</f>
        <v>218.7844930404969</v>
      </c>
      <c r="E254" s="459">
        <f t="shared" si="112"/>
        <v>207.08751340929018</v>
      </c>
      <c r="F254" s="459">
        <f t="shared" si="112"/>
        <v>205.17802933013525</v>
      </c>
      <c r="G254" s="459">
        <f t="shared" si="112"/>
        <v>207.06872316247978</v>
      </c>
      <c r="H254" s="459">
        <f t="shared" si="112"/>
        <v>208.05522638134011</v>
      </c>
      <c r="I254" s="459">
        <f t="shared" si="112"/>
        <v>209.98376940748153</v>
      </c>
      <c r="J254" s="459">
        <f t="shared" si="112"/>
        <v>212.53240950569875</v>
      </c>
      <c r="K254" s="459">
        <f t="shared" si="112"/>
        <v>215.29254680448585</v>
      </c>
      <c r="L254" s="459">
        <f t="shared" si="112"/>
        <v>217.32439420109756</v>
      </c>
      <c r="M254" s="459">
        <f t="shared" si="112"/>
        <v>218.93628716603865</v>
      </c>
      <c r="N254" s="459">
        <f t="shared" si="112"/>
        <v>220.21864304181111</v>
      </c>
    </row>
    <row r="255" spans="2:14">
      <c r="B255" s="338" t="str">
        <f t="shared" si="102"/>
        <v>60-64</v>
      </c>
      <c r="C255" s="459">
        <f t="shared" si="104"/>
        <v>84.434751788610328</v>
      </c>
      <c r="D255" s="459">
        <f t="shared" ref="D255:N255" si="113">D85-D221</f>
        <v>75.799822320928342</v>
      </c>
      <c r="E255" s="459">
        <f t="shared" si="113"/>
        <v>69.354496794593445</v>
      </c>
      <c r="F255" s="459">
        <f t="shared" si="113"/>
        <v>66.240445439657464</v>
      </c>
      <c r="G255" s="459">
        <f t="shared" si="113"/>
        <v>64.789934781928594</v>
      </c>
      <c r="H255" s="459">
        <f t="shared" si="113"/>
        <v>63.239243079311407</v>
      </c>
      <c r="I255" s="459">
        <f t="shared" si="113"/>
        <v>62.554038687873479</v>
      </c>
      <c r="J255" s="459">
        <f t="shared" si="113"/>
        <v>62.514102321870574</v>
      </c>
      <c r="K255" s="459">
        <f t="shared" si="113"/>
        <v>62.841058096330947</v>
      </c>
      <c r="L255" s="459">
        <f t="shared" si="113"/>
        <v>63.042166531578928</v>
      </c>
      <c r="M255" s="459">
        <f t="shared" si="113"/>
        <v>63.228371374275703</v>
      </c>
      <c r="N255" s="459">
        <f t="shared" si="113"/>
        <v>63.407689934487763</v>
      </c>
    </row>
    <row r="256" spans="2:14">
      <c r="B256" s="338" t="str">
        <f t="shared" si="102"/>
        <v>65 plus</v>
      </c>
      <c r="C256" s="459">
        <f t="shared" si="104"/>
        <v>15.096711066736734</v>
      </c>
      <c r="D256" s="459">
        <f t="shared" ref="D256:N256" si="114">D86-D222</f>
        <v>19.033943530867134</v>
      </c>
      <c r="E256" s="459">
        <f t="shared" si="114"/>
        <v>20.496407170766073</v>
      </c>
      <c r="F256" s="459">
        <f t="shared" si="114"/>
        <v>21.057297940720822</v>
      </c>
      <c r="G256" s="459">
        <f t="shared" si="114"/>
        <v>21.117934063063469</v>
      </c>
      <c r="H256" s="459">
        <f t="shared" si="114"/>
        <v>20.636107762504722</v>
      </c>
      <c r="I256" s="459">
        <f t="shared" si="114"/>
        <v>20.191928776816685</v>
      </c>
      <c r="J256" s="459">
        <f t="shared" si="114"/>
        <v>19.898875502334118</v>
      </c>
      <c r="K256" s="459">
        <f t="shared" si="114"/>
        <v>19.749975479614431</v>
      </c>
      <c r="L256" s="459">
        <f t="shared" si="114"/>
        <v>19.608838984479316</v>
      </c>
      <c r="M256" s="459">
        <f t="shared" si="114"/>
        <v>19.502775781517357</v>
      </c>
      <c r="N256" s="459">
        <f t="shared" si="114"/>
        <v>19.430897332146092</v>
      </c>
    </row>
    <row r="257" spans="1:14">
      <c r="B257" s="338" t="str">
        <f t="shared" si="102"/>
        <v>Total</v>
      </c>
      <c r="C257" s="459">
        <f>SUM(C247:C256)</f>
        <v>4481.1686595313286</v>
      </c>
      <c r="D257" s="459">
        <f t="shared" ref="D257:N257" si="115">SUM(D247:D256)</f>
        <v>4451.6846573802231</v>
      </c>
      <c r="E257" s="459">
        <f t="shared" si="115"/>
        <v>4492.9035944945053</v>
      </c>
      <c r="F257" s="459">
        <f t="shared" si="115"/>
        <v>4640.3457115701513</v>
      </c>
      <c r="G257" s="459">
        <f t="shared" si="115"/>
        <v>4795.5681887904875</v>
      </c>
      <c r="H257" s="459">
        <f t="shared" si="115"/>
        <v>4852.9014496366162</v>
      </c>
      <c r="I257" s="459">
        <f t="shared" si="115"/>
        <v>4900.6948087935134</v>
      </c>
      <c r="J257" s="459">
        <f t="shared" si="115"/>
        <v>4948.2440239383523</v>
      </c>
      <c r="K257" s="459">
        <f t="shared" si="115"/>
        <v>4993.8167466864279</v>
      </c>
      <c r="L257" s="459">
        <f t="shared" si="115"/>
        <v>5012.3037679718382</v>
      </c>
      <c r="M257" s="459">
        <f t="shared" si="115"/>
        <v>5016.7232570754113</v>
      </c>
      <c r="N257" s="459">
        <f t="shared" si="115"/>
        <v>5012.3664377411142</v>
      </c>
    </row>
    <row r="258" spans="1:14">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4">
      <c r="B263" s="338" t="str">
        <f t="shared" si="117"/>
        <v>20-24</v>
      </c>
      <c r="C263" s="459">
        <f t="shared" ref="C263:C272" si="119">C93-C229</f>
        <v>336.27673921019874</v>
      </c>
      <c r="D263" s="459">
        <f t="shared" ref="D263:N263" si="120">D93-D229</f>
        <v>351.98013546129522</v>
      </c>
      <c r="E263" s="459">
        <f t="shared" si="120"/>
        <v>379.79883607962017</v>
      </c>
      <c r="F263" s="459">
        <f t="shared" si="120"/>
        <v>427.93916477848035</v>
      </c>
      <c r="G263" s="459">
        <f t="shared" si="120"/>
        <v>468.04029111154239</v>
      </c>
      <c r="H263" s="459">
        <f t="shared" si="120"/>
        <v>475.07030721938992</v>
      </c>
      <c r="I263" s="459">
        <f t="shared" si="120"/>
        <v>478.97625807930274</v>
      </c>
      <c r="J263" s="459">
        <f t="shared" si="120"/>
        <v>482.93492353366958</v>
      </c>
      <c r="K263" s="459">
        <f t="shared" si="120"/>
        <v>486.54390125294304</v>
      </c>
      <c r="L263" s="459">
        <f t="shared" si="120"/>
        <v>483.31203323687532</v>
      </c>
      <c r="M263" s="459">
        <f t="shared" si="120"/>
        <v>477.87053160481196</v>
      </c>
      <c r="N263" s="459">
        <f t="shared" si="120"/>
        <v>471.87159108258851</v>
      </c>
    </row>
    <row r="264" spans="1:14">
      <c r="B264" s="338" t="str">
        <f t="shared" si="117"/>
        <v>25-29</v>
      </c>
      <c r="C264" s="459">
        <f t="shared" si="119"/>
        <v>985.64256782814596</v>
      </c>
      <c r="D264" s="459">
        <f t="shared" ref="D264:N264" si="121">D94-D230</f>
        <v>914.76904300805256</v>
      </c>
      <c r="E264" s="459">
        <f t="shared" si="121"/>
        <v>887.99376107054786</v>
      </c>
      <c r="F264" s="459">
        <f t="shared" si="121"/>
        <v>910.24341747743642</v>
      </c>
      <c r="G264" s="459">
        <f t="shared" si="121"/>
        <v>942.27600622899001</v>
      </c>
      <c r="H264" s="459">
        <f t="shared" si="121"/>
        <v>944.57381551791309</v>
      </c>
      <c r="I264" s="459">
        <f t="shared" si="121"/>
        <v>946.04424633900237</v>
      </c>
      <c r="J264" s="459">
        <f t="shared" si="121"/>
        <v>949.31380930814305</v>
      </c>
      <c r="K264" s="459">
        <f t="shared" si="121"/>
        <v>953.38792238890073</v>
      </c>
      <c r="L264" s="459">
        <f t="shared" si="121"/>
        <v>949.45494152633012</v>
      </c>
      <c r="M264" s="459">
        <f t="shared" si="121"/>
        <v>941.9915837104229</v>
      </c>
      <c r="N264" s="459">
        <f t="shared" si="121"/>
        <v>932.90994808352355</v>
      </c>
    </row>
    <row r="265" spans="1:14">
      <c r="B265" s="338" t="str">
        <f t="shared" si="117"/>
        <v>30-34</v>
      </c>
      <c r="C265" s="459">
        <f t="shared" si="119"/>
        <v>1101.8794893375591</v>
      </c>
      <c r="D265" s="459">
        <f t="shared" ref="D265:N265" si="122">D95-D231</f>
        <v>1066.2131109898064</v>
      </c>
      <c r="E265" s="459">
        <f t="shared" si="122"/>
        <v>1040.4505980257293</v>
      </c>
      <c r="F265" s="459">
        <f t="shared" si="122"/>
        <v>1039.0149085598043</v>
      </c>
      <c r="G265" s="459">
        <f t="shared" si="122"/>
        <v>1046.4541020419979</v>
      </c>
      <c r="H265" s="459">
        <f t="shared" si="122"/>
        <v>1040.7072448401073</v>
      </c>
      <c r="I265" s="459">
        <f t="shared" si="122"/>
        <v>1036.0730518831281</v>
      </c>
      <c r="J265" s="459">
        <f t="shared" si="122"/>
        <v>1033.8882751049389</v>
      </c>
      <c r="K265" s="459">
        <f t="shared" si="122"/>
        <v>1033.5048585356708</v>
      </c>
      <c r="L265" s="459">
        <f t="shared" si="122"/>
        <v>1029.4117707363628</v>
      </c>
      <c r="M265" s="459">
        <f t="shared" si="122"/>
        <v>1023.2740282453955</v>
      </c>
      <c r="N265" s="459">
        <f t="shared" si="122"/>
        <v>1015.8124409473958</v>
      </c>
    </row>
    <row r="266" spans="1:14">
      <c r="B266" s="338" t="str">
        <f t="shared" si="117"/>
        <v>35-39</v>
      </c>
      <c r="C266" s="459">
        <f t="shared" si="119"/>
        <v>1037.2086342381203</v>
      </c>
      <c r="D266" s="459">
        <f t="shared" ref="D266:N266" si="123">D96-D232</f>
        <v>1020.966918379018</v>
      </c>
      <c r="E266" s="459">
        <f t="shared" si="123"/>
        <v>1010.9208171962287</v>
      </c>
      <c r="F266" s="459">
        <f t="shared" si="123"/>
        <v>1013.1723346124519</v>
      </c>
      <c r="G266" s="459">
        <f t="shared" si="123"/>
        <v>1017.446489039892</v>
      </c>
      <c r="H266" s="459">
        <f t="shared" si="123"/>
        <v>1010.9431267989528</v>
      </c>
      <c r="I266" s="459">
        <f t="shared" si="123"/>
        <v>1004.5399281827582</v>
      </c>
      <c r="J266" s="459">
        <f t="shared" si="123"/>
        <v>999.57762361776372</v>
      </c>
      <c r="K266" s="459">
        <f t="shared" si="123"/>
        <v>995.92662474746362</v>
      </c>
      <c r="L266" s="459">
        <f t="shared" si="123"/>
        <v>990.21826905144712</v>
      </c>
      <c r="M266" s="459">
        <f t="shared" si="123"/>
        <v>983.6816151266919</v>
      </c>
      <c r="N266" s="459">
        <f t="shared" si="123"/>
        <v>976.68115119016386</v>
      </c>
    </row>
    <row r="267" spans="1:14">
      <c r="B267" s="338" t="str">
        <f t="shared" si="117"/>
        <v>40-44</v>
      </c>
      <c r="C267" s="459">
        <f t="shared" si="119"/>
        <v>849.75371512573327</v>
      </c>
      <c r="D267" s="459">
        <f t="shared" ref="D267:N267" si="124">D97-D233</f>
        <v>867.24492495604227</v>
      </c>
      <c r="E267" s="459">
        <f t="shared" si="124"/>
        <v>884.21101973502425</v>
      </c>
      <c r="F267" s="459">
        <f t="shared" si="124"/>
        <v>906.8787221471357</v>
      </c>
      <c r="G267" s="459">
        <f t="shared" si="124"/>
        <v>926.45947159961884</v>
      </c>
      <c r="H267" s="459">
        <f t="shared" si="124"/>
        <v>932.54229480684944</v>
      </c>
      <c r="I267" s="459">
        <f t="shared" si="124"/>
        <v>935.36157476191238</v>
      </c>
      <c r="J267" s="459">
        <f t="shared" si="124"/>
        <v>936.75667273318822</v>
      </c>
      <c r="K267" s="459">
        <f t="shared" si="124"/>
        <v>937.20082791974482</v>
      </c>
      <c r="L267" s="459">
        <f t="shared" si="124"/>
        <v>934.38856517798069</v>
      </c>
      <c r="M267" s="459">
        <f t="shared" si="124"/>
        <v>929.92653962689792</v>
      </c>
      <c r="N267" s="459">
        <f t="shared" si="124"/>
        <v>924.52559716546409</v>
      </c>
    </row>
    <row r="268" spans="1:14">
      <c r="B268" s="338" t="str">
        <f t="shared" si="117"/>
        <v>45-49</v>
      </c>
      <c r="C268" s="459">
        <f t="shared" si="119"/>
        <v>567.10498103643943</v>
      </c>
      <c r="D268" s="459">
        <f t="shared" ref="D268:N268" si="125">D98-D234</f>
        <v>609.29685706840246</v>
      </c>
      <c r="E268" s="459">
        <f t="shared" si="125"/>
        <v>649.08210578352737</v>
      </c>
      <c r="F268" s="459">
        <f t="shared" si="125"/>
        <v>690.9875300681208</v>
      </c>
      <c r="G268" s="459">
        <f t="shared" si="125"/>
        <v>727.78405503500835</v>
      </c>
      <c r="H268" s="459">
        <f t="shared" si="125"/>
        <v>750.94312482520513</v>
      </c>
      <c r="I268" s="459">
        <f t="shared" si="125"/>
        <v>768.64500581692903</v>
      </c>
      <c r="J268" s="459">
        <f t="shared" si="125"/>
        <v>782.53093414869898</v>
      </c>
      <c r="K268" s="459">
        <f t="shared" si="125"/>
        <v>793.22742798688705</v>
      </c>
      <c r="L268" s="459">
        <f t="shared" si="125"/>
        <v>799.16230612568643</v>
      </c>
      <c r="M268" s="459">
        <f t="shared" si="125"/>
        <v>801.92740653792316</v>
      </c>
      <c r="N268" s="459">
        <f t="shared" si="125"/>
        <v>802.4167558582343</v>
      </c>
    </row>
    <row r="269" spans="1:14">
      <c r="B269" s="338" t="str">
        <f t="shared" si="117"/>
        <v>50-54</v>
      </c>
      <c r="C269" s="459">
        <f t="shared" si="119"/>
        <v>377.02141618613746</v>
      </c>
      <c r="D269" s="459">
        <f t="shared" ref="D269:N269" si="126">D99-D235</f>
        <v>398.85448919304361</v>
      </c>
      <c r="E269" s="459">
        <f t="shared" si="126"/>
        <v>426.14633650031629</v>
      </c>
      <c r="F269" s="459">
        <f t="shared" si="126"/>
        <v>459.8142496721041</v>
      </c>
      <c r="G269" s="459">
        <f t="shared" si="126"/>
        <v>492.80316008460778</v>
      </c>
      <c r="H269" s="459">
        <f t="shared" si="126"/>
        <v>517.59170304579413</v>
      </c>
      <c r="I269" s="459">
        <f t="shared" si="126"/>
        <v>539.18564396271813</v>
      </c>
      <c r="J269" s="459">
        <f t="shared" si="126"/>
        <v>558.08782768946742</v>
      </c>
      <c r="K269" s="459">
        <f t="shared" si="126"/>
        <v>574.28571310822599</v>
      </c>
      <c r="L269" s="459">
        <f t="shared" si="126"/>
        <v>586.33818826284164</v>
      </c>
      <c r="M269" s="459">
        <f t="shared" si="126"/>
        <v>595.24171169620888</v>
      </c>
      <c r="N269" s="459">
        <f t="shared" si="126"/>
        <v>601.58050765771065</v>
      </c>
    </row>
    <row r="270" spans="1:14">
      <c r="B270" s="338" t="str">
        <f t="shared" si="117"/>
        <v>55-59</v>
      </c>
      <c r="C270" s="459">
        <f t="shared" si="119"/>
        <v>267.90678035817859</v>
      </c>
      <c r="D270" s="459">
        <f t="shared" ref="D270:N270" si="127">D100-D236</f>
        <v>234.51880813037434</v>
      </c>
      <c r="E270" s="459">
        <f t="shared" si="127"/>
        <v>220.09765329399846</v>
      </c>
      <c r="F270" s="459">
        <f t="shared" si="127"/>
        <v>219.62779950882432</v>
      </c>
      <c r="G270" s="459">
        <f t="shared" si="127"/>
        <v>225.24327898512678</v>
      </c>
      <c r="H270" s="459">
        <f t="shared" si="127"/>
        <v>230.44870599467509</v>
      </c>
      <c r="I270" s="459">
        <f t="shared" si="127"/>
        <v>237.15847096455462</v>
      </c>
      <c r="J270" s="459">
        <f t="shared" si="127"/>
        <v>244.62639963577004</v>
      </c>
      <c r="K270" s="459">
        <f t="shared" si="127"/>
        <v>252.08932663603451</v>
      </c>
      <c r="L270" s="459">
        <f t="shared" si="127"/>
        <v>258.18266261565128</v>
      </c>
      <c r="M270" s="459">
        <f t="shared" si="127"/>
        <v>263.2162003946558</v>
      </c>
      <c r="N270" s="459">
        <f t="shared" si="127"/>
        <v>267.28526396050512</v>
      </c>
    </row>
    <row r="271" spans="1:14">
      <c r="B271" s="338" t="str">
        <f t="shared" si="117"/>
        <v>60-64</v>
      </c>
      <c r="C271" s="459">
        <f t="shared" si="119"/>
        <v>90.314685773183356</v>
      </c>
      <c r="D271" s="459">
        <f t="shared" ref="D271:N271" si="128">D101-D237</f>
        <v>79.08637112059057</v>
      </c>
      <c r="E271" s="459">
        <f t="shared" si="128"/>
        <v>71.074483792289683</v>
      </c>
      <c r="F271" s="459">
        <f t="shared" si="128"/>
        <v>67.425541860693514</v>
      </c>
      <c r="G271" s="459">
        <f t="shared" si="128"/>
        <v>66.033028167306554</v>
      </c>
      <c r="H271" s="459">
        <f t="shared" si="128"/>
        <v>64.737146745432582</v>
      </c>
      <c r="I271" s="459">
        <f t="shared" si="128"/>
        <v>64.672243833907004</v>
      </c>
      <c r="J271" s="459">
        <f t="shared" si="128"/>
        <v>65.484370831483815</v>
      </c>
      <c r="K271" s="459">
        <f t="shared" si="128"/>
        <v>66.764063506780758</v>
      </c>
      <c r="L271" s="459">
        <f t="shared" si="128"/>
        <v>67.862276818856657</v>
      </c>
      <c r="M271" s="459">
        <f t="shared" si="128"/>
        <v>68.880631713946556</v>
      </c>
      <c r="N271" s="459">
        <f t="shared" si="128"/>
        <v>69.801774691015027</v>
      </c>
    </row>
    <row r="272" spans="1:14">
      <c r="B272" s="338" t="str">
        <f t="shared" si="117"/>
        <v>65 plus</v>
      </c>
      <c r="C272" s="459">
        <f t="shared" si="119"/>
        <v>16.725483631863206</v>
      </c>
      <c r="D272" s="459">
        <f t="shared" ref="D272:N272" si="129">D102-D238</f>
        <v>19.442771392033595</v>
      </c>
      <c r="E272" s="459">
        <f t="shared" si="129"/>
        <v>19.99825300296531</v>
      </c>
      <c r="F272" s="459">
        <f t="shared" si="129"/>
        <v>20.024953749507421</v>
      </c>
      <c r="G272" s="459">
        <f t="shared" si="129"/>
        <v>19.785430029010705</v>
      </c>
      <c r="H272" s="459">
        <f t="shared" si="129"/>
        <v>19.10887644976939</v>
      </c>
      <c r="I272" s="459">
        <f t="shared" si="129"/>
        <v>18.622241886907315</v>
      </c>
      <c r="J272" s="459">
        <f t="shared" si="129"/>
        <v>18.396568791813326</v>
      </c>
      <c r="K272" s="459">
        <f t="shared" si="129"/>
        <v>18.380202579427166</v>
      </c>
      <c r="L272" s="459">
        <f t="shared" si="129"/>
        <v>18.386686330554728</v>
      </c>
      <c r="M272" s="459">
        <f t="shared" si="129"/>
        <v>18.438434213671727</v>
      </c>
      <c r="N272" s="459">
        <f t="shared" si="129"/>
        <v>18.524540234306532</v>
      </c>
    </row>
    <row r="273" spans="1:14">
      <c r="B273" s="338" t="str">
        <f t="shared" si="117"/>
        <v>Total</v>
      </c>
      <c r="C273" s="459">
        <f>SUM(C263:C272)</f>
        <v>5629.8344927255594</v>
      </c>
      <c r="D273" s="459">
        <f t="shared" ref="D273:N273" si="130">SUM(D263:D272)</f>
        <v>5562.3734296986586</v>
      </c>
      <c r="E273" s="459">
        <f t="shared" si="130"/>
        <v>5589.7738644802475</v>
      </c>
      <c r="F273" s="459">
        <f t="shared" si="130"/>
        <v>5755.1286224345577</v>
      </c>
      <c r="G273" s="459">
        <f t="shared" si="130"/>
        <v>5932.3253123231016</v>
      </c>
      <c r="H273" s="459">
        <f t="shared" si="130"/>
        <v>5986.6663462440883</v>
      </c>
      <c r="I273" s="459">
        <f t="shared" si="130"/>
        <v>6029.2786657111201</v>
      </c>
      <c r="J273" s="459">
        <f t="shared" si="130"/>
        <v>6071.5974053949376</v>
      </c>
      <c r="K273" s="459">
        <f t="shared" si="130"/>
        <v>6111.3108686620781</v>
      </c>
      <c r="L273" s="459">
        <f t="shared" si="130"/>
        <v>6116.717699882588</v>
      </c>
      <c r="M273" s="459">
        <f t="shared" si="130"/>
        <v>6104.4486828706276</v>
      </c>
      <c r="N273" s="459">
        <f t="shared" si="130"/>
        <v>6081.4095708709074</v>
      </c>
    </row>
    <row r="274" spans="1:14">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4">
      <c r="B279" s="326" t="s">
        <v>206</v>
      </c>
      <c r="C279" s="459">
        <f>C223+C239</f>
        <v>1208.1805340343672</v>
      </c>
      <c r="D279" s="459">
        <f t="shared" ref="D279:N279" si="133">D223+D239</f>
        <v>1178.6203359448532</v>
      </c>
      <c r="E279" s="459">
        <f t="shared" si="133"/>
        <v>1174.0100262695148</v>
      </c>
      <c r="F279" s="459">
        <f t="shared" si="133"/>
        <v>1203.8952835104446</v>
      </c>
      <c r="G279" s="459">
        <f t="shared" si="133"/>
        <v>1239.3025281005016</v>
      </c>
      <c r="H279" s="459">
        <f t="shared" si="133"/>
        <v>1249.9698581302828</v>
      </c>
      <c r="I279" s="459">
        <f t="shared" si="133"/>
        <v>1260.3523666766032</v>
      </c>
      <c r="J279" s="459">
        <f t="shared" si="133"/>
        <v>1272.1956953078229</v>
      </c>
      <c r="K279" s="459">
        <f t="shared" si="133"/>
        <v>1284.3241375378364</v>
      </c>
      <c r="L279" s="459">
        <f t="shared" si="133"/>
        <v>1289.3114869215522</v>
      </c>
      <c r="M279" s="459">
        <f t="shared" si="133"/>
        <v>1290.6829784554575</v>
      </c>
      <c r="N279" s="459">
        <f t="shared" si="133"/>
        <v>1289.7828163477175</v>
      </c>
    </row>
    <row r="280" spans="1:14">
      <c r="B280" s="326" t="s">
        <v>207</v>
      </c>
      <c r="C280" s="459">
        <f>C155+C171</f>
        <v>307.96130939902866</v>
      </c>
      <c r="D280" s="459">
        <f t="shared" ref="D280:N280" si="134">D155+D171</f>
        <v>285.46864489430106</v>
      </c>
      <c r="E280" s="459">
        <f t="shared" si="134"/>
        <v>271.7034633927542</v>
      </c>
      <c r="F280" s="459">
        <f t="shared" si="134"/>
        <v>268.54718776547838</v>
      </c>
      <c r="G280" s="459">
        <f t="shared" si="134"/>
        <v>269.96435125597839</v>
      </c>
      <c r="H280" s="459">
        <f t="shared" si="134"/>
        <v>269.74372119794714</v>
      </c>
      <c r="I280" s="459">
        <f t="shared" si="134"/>
        <v>271.63947117050537</v>
      </c>
      <c r="J280" s="459">
        <f t="shared" si="134"/>
        <v>275.17668265265013</v>
      </c>
      <c r="K280" s="459">
        <f t="shared" si="134"/>
        <v>279.5318374726188</v>
      </c>
      <c r="L280" s="459">
        <f t="shared" si="134"/>
        <v>282.96109121351344</v>
      </c>
      <c r="M280" s="459">
        <f t="shared" si="134"/>
        <v>285.86692826094776</v>
      </c>
      <c r="N280" s="459">
        <f t="shared" si="134"/>
        <v>288.30971975164937</v>
      </c>
    </row>
    <row r="281" spans="1:14">
      <c r="B281" s="326" t="s">
        <v>526</v>
      </c>
      <c r="C281" s="459">
        <f>C189+C205</f>
        <v>6.1565883404212549</v>
      </c>
      <c r="D281" s="459">
        <f t="shared" ref="D281:N281" si="135">D189+D205</f>
        <v>6.1519948956964337</v>
      </c>
      <c r="E281" s="459">
        <f t="shared" si="135"/>
        <v>6.148809148042055</v>
      </c>
      <c r="F281" s="459">
        <f t="shared" si="135"/>
        <v>6.2369711634281533</v>
      </c>
      <c r="G281" s="459">
        <f t="shared" si="135"/>
        <v>6.345094512514887</v>
      </c>
      <c r="H281" s="459">
        <f t="shared" si="135"/>
        <v>6.3775391064691656</v>
      </c>
      <c r="I281" s="459">
        <f t="shared" si="135"/>
        <v>6.4199284578905527</v>
      </c>
      <c r="J281" s="459">
        <f t="shared" si="135"/>
        <v>6.4770072874168552</v>
      </c>
      <c r="K281" s="459">
        <f t="shared" si="135"/>
        <v>6.5419540529035203</v>
      </c>
      <c r="L281" s="459">
        <f t="shared" si="135"/>
        <v>6.5857511711221699</v>
      </c>
      <c r="M281" s="459">
        <f t="shared" si="135"/>
        <v>6.6177191495076677</v>
      </c>
      <c r="N281" s="459">
        <f t="shared" si="135"/>
        <v>6.640593652740451</v>
      </c>
    </row>
    <row r="282" spans="1:14">
      <c r="B282" s="326" t="s">
        <v>208</v>
      </c>
      <c r="C282" s="459">
        <f>C121+C137</f>
        <v>894.06263629491718</v>
      </c>
      <c r="D282" s="459">
        <f t="shared" ref="D282:N282" si="136">D121+D137</f>
        <v>886.99969615485566</v>
      </c>
      <c r="E282" s="459">
        <f t="shared" si="136"/>
        <v>896.15775372871883</v>
      </c>
      <c r="F282" s="459">
        <f t="shared" si="136"/>
        <v>929.11112458153798</v>
      </c>
      <c r="G282" s="459">
        <f t="shared" si="136"/>
        <v>962.99308233200827</v>
      </c>
      <c r="H282" s="459">
        <f t="shared" si="136"/>
        <v>973.84859782586659</v>
      </c>
      <c r="I282" s="459">
        <f t="shared" si="136"/>
        <v>982.29296704820706</v>
      </c>
      <c r="J282" s="459">
        <f t="shared" si="136"/>
        <v>990.54200536775602</v>
      </c>
      <c r="K282" s="459">
        <f t="shared" si="136"/>
        <v>998.25034601231414</v>
      </c>
      <c r="L282" s="459">
        <f t="shared" si="136"/>
        <v>999.76464453691665</v>
      </c>
      <c r="M282" s="459">
        <f t="shared" si="136"/>
        <v>998.19833104500231</v>
      </c>
      <c r="N282" s="459">
        <f t="shared" si="136"/>
        <v>994.83250294332765</v>
      </c>
    </row>
    <row r="283" spans="1:14"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5"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5"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5" ht="15.75">
      <c r="B291" s="340"/>
      <c r="H291" s="327"/>
    </row>
    <row r="292" spans="2:15" ht="15.75">
      <c r="B292" s="340" t="s">
        <v>263</v>
      </c>
      <c r="H292" s="327"/>
    </row>
    <row r="293" spans="2:15"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5">
      <c r="B294" s="363" t="s">
        <v>266</v>
      </c>
      <c r="C294" s="459">
        <f>C36-C15+C279-C290</f>
        <v>1081.6752707668475</v>
      </c>
      <c r="D294" s="459">
        <f>D36-D15+D279-D290</f>
        <v>1242.6293981653848</v>
      </c>
      <c r="E294" s="459">
        <f>E36-E15+E279-E290</f>
        <v>1516.6921585404023</v>
      </c>
      <c r="F294" s="459">
        <f t="shared" ref="F294:N294" si="141">F36-F15+F279-F290</f>
        <v>1571.7216952093804</v>
      </c>
      <c r="G294" s="459">
        <f t="shared" si="141"/>
        <v>1361.6441528973978</v>
      </c>
      <c r="H294" s="459">
        <f t="shared" si="141"/>
        <v>1350.7580453005312</v>
      </c>
      <c r="I294" s="459">
        <f t="shared" si="141"/>
        <v>1362.0636501364806</v>
      </c>
      <c r="J294" s="459">
        <f t="shared" si="141"/>
        <v>1369.6103235530522</v>
      </c>
      <c r="K294" s="459">
        <f t="shared" si="141"/>
        <v>1313.2053394274715</v>
      </c>
      <c r="L294" s="459">
        <f t="shared" si="141"/>
        <v>1282.8334505470709</v>
      </c>
      <c r="M294" s="459">
        <f t="shared" si="141"/>
        <v>1262.3868850136987</v>
      </c>
      <c r="N294" s="459">
        <f t="shared" si="141"/>
        <v>1270.4926074627915</v>
      </c>
    </row>
    <row r="295" spans="2:15" ht="12.75" customHeight="1">
      <c r="B295" s="1243" t="s">
        <v>264</v>
      </c>
      <c r="C295" s="1243"/>
      <c r="D295" s="1243"/>
      <c r="E295" s="1243"/>
      <c r="F295" s="1243"/>
      <c r="G295" s="1243"/>
      <c r="H295" s="1243"/>
      <c r="I295" s="1243"/>
      <c r="J295" s="1243"/>
      <c r="K295" s="1243"/>
      <c r="L295" s="1243"/>
      <c r="M295" s="1243"/>
      <c r="N295" s="1243"/>
    </row>
    <row r="296" spans="2:15">
      <c r="B296" s="326" t="s">
        <v>0</v>
      </c>
      <c r="C296" s="282">
        <f>IF(C294&lt;0,0,C294)</f>
        <v>1081.6752707668475</v>
      </c>
      <c r="D296" s="282">
        <f t="shared" ref="D296:N296" si="142">IF(D294&lt;0,0,D294)</f>
        <v>1242.6293981653848</v>
      </c>
      <c r="E296" s="282">
        <f t="shared" si="142"/>
        <v>1516.6921585404023</v>
      </c>
      <c r="F296" s="282">
        <f t="shared" si="142"/>
        <v>1571.7216952093804</v>
      </c>
      <c r="G296" s="282">
        <f t="shared" si="142"/>
        <v>1361.6441528973978</v>
      </c>
      <c r="H296" s="282">
        <f t="shared" si="142"/>
        <v>1350.7580453005312</v>
      </c>
      <c r="I296" s="282">
        <f t="shared" si="142"/>
        <v>1362.0636501364806</v>
      </c>
      <c r="J296" s="282">
        <f t="shared" si="142"/>
        <v>1369.6103235530522</v>
      </c>
      <c r="K296" s="282">
        <f t="shared" si="142"/>
        <v>1313.2053394274715</v>
      </c>
      <c r="L296" s="282">
        <f t="shared" si="142"/>
        <v>1282.8334505470709</v>
      </c>
      <c r="M296" s="282">
        <f t="shared" si="142"/>
        <v>1262.3868850136987</v>
      </c>
      <c r="N296" s="282">
        <f t="shared" si="142"/>
        <v>1270.4926074627915</v>
      </c>
    </row>
    <row r="297" spans="2:15" ht="15.75">
      <c r="B297" s="340"/>
      <c r="H297" s="327"/>
    </row>
    <row r="298" spans="2:15" ht="15.75">
      <c r="B298" s="340" t="s">
        <v>162</v>
      </c>
      <c r="H298" s="327"/>
    </row>
    <row r="299" spans="2:15" ht="15.75">
      <c r="B299" s="340"/>
      <c r="H299" s="327"/>
    </row>
    <row r="300" spans="2:15">
      <c r="B300" s="341" t="s">
        <v>49</v>
      </c>
      <c r="H300" s="325"/>
    </row>
    <row r="301" spans="2:15">
      <c r="H301" s="325"/>
    </row>
    <row r="302" spans="2:15">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5">
      <c r="B303" s="338" t="str">
        <f t="shared" si="143"/>
        <v>20-24</v>
      </c>
      <c r="C303" s="459">
        <f>C$296*Entrant_age_breakdowns!$K76*$G$31</f>
        <v>123.24977495726174</v>
      </c>
      <c r="D303" s="459">
        <f>D$296*Entrant_age_breakdowns!$K76*$G$31</f>
        <v>141.58943799333025</v>
      </c>
      <c r="E303" s="459">
        <f>E$296*Entrant_age_breakdowns!$K76*$G$31</f>
        <v>172.81708500835353</v>
      </c>
      <c r="F303" s="459">
        <f>F$296*Entrant_age_breakdowns!$K76*$G$31</f>
        <v>179.08733837713547</v>
      </c>
      <c r="G303" s="459">
        <f>G$296*Entrant_age_breakdowns!$K76*$G$31</f>
        <v>155.15038565825662</v>
      </c>
      <c r="H303" s="459">
        <f>H$296*Entrant_age_breakdowns!$K76*$G$31</f>
        <v>153.90998537571792</v>
      </c>
      <c r="I303" s="459">
        <f>I$296*Entrant_age_breakdowns!$K76*$G$31</f>
        <v>155.19818460652647</v>
      </c>
      <c r="J303" s="459">
        <f>J$296*Entrant_age_breakdowns!$K76*$G$31</f>
        <v>156.05807835227975</v>
      </c>
      <c r="K303" s="459">
        <f>K$296*Entrant_age_breakdowns!$K76*$G$31</f>
        <v>149.63110180226838</v>
      </c>
      <c r="L303" s="459">
        <f>L$296*Entrant_age_breakdowns!$K76*$G$31</f>
        <v>146.17042504400015</v>
      </c>
      <c r="M303" s="459">
        <f>M$296*Entrant_age_breakdowns!$K76*$G$31</f>
        <v>143.84067352915739</v>
      </c>
      <c r="N303" s="459">
        <f>N$296*Entrant_age_breakdowns!$K76*$G$31</f>
        <v>144.7642672311826</v>
      </c>
      <c r="O303" s="327"/>
    </row>
    <row r="304" spans="2:15">
      <c r="B304" s="338" t="str">
        <f t="shared" si="143"/>
        <v>25-29</v>
      </c>
      <c r="C304" s="459">
        <f>C$296*Entrant_age_breakdowns!$K77*$G$31</f>
        <v>127.43759128317082</v>
      </c>
      <c r="D304" s="459">
        <f>D$296*Entrant_age_breakdowns!$K77*$G$31</f>
        <v>146.40040466820147</v>
      </c>
      <c r="E304" s="459">
        <f>E$296*Entrant_age_breakdowns!$K77*$G$31</f>
        <v>178.68911366110333</v>
      </c>
      <c r="F304" s="459">
        <f>F$296*Entrant_age_breakdowns!$K77*$G$31</f>
        <v>185.17241950348594</v>
      </c>
      <c r="G304" s="459">
        <f>G$296*Entrant_age_breakdowns!$K77*$G$31</f>
        <v>160.42213011585136</v>
      </c>
      <c r="H304" s="459">
        <f>H$296*Entrant_age_breakdowns!$K77*$G$31</f>
        <v>159.139583155514</v>
      </c>
      <c r="I304" s="459">
        <f>I$296*Entrant_age_breakdowns!$K77*$G$31</f>
        <v>160.47155319054247</v>
      </c>
      <c r="J304" s="459">
        <f>J$296*Entrant_age_breakdowns!$K77*$G$31</f>
        <v>161.36066465347426</v>
      </c>
      <c r="K304" s="459">
        <f>K$296*Entrant_age_breakdowns!$K77*$G$31</f>
        <v>154.71531044450398</v>
      </c>
      <c r="L304" s="459">
        <f>L$296*Entrant_age_breakdowns!$K77*$G$31</f>
        <v>151.13704581532895</v>
      </c>
      <c r="M304" s="459">
        <f>M$296*Entrant_age_breakdowns!$K77*$G$31</f>
        <v>148.72813333299106</v>
      </c>
      <c r="N304" s="459">
        <f>N$296*Entrant_age_breakdowns!$K77*$G$31</f>
        <v>149.68310916764244</v>
      </c>
      <c r="O304" s="327"/>
    </row>
    <row r="305" spans="1:15">
      <c r="B305" s="338" t="str">
        <f t="shared" si="143"/>
        <v>30-34</v>
      </c>
      <c r="C305" s="459">
        <f>C$296*Entrant_age_breakdowns!$K78*$G$31</f>
        <v>63.261929518431423</v>
      </c>
      <c r="D305" s="459">
        <f>D$296*Entrant_age_breakdowns!$K78*$G$31</f>
        <v>72.675354174029067</v>
      </c>
      <c r="E305" s="459">
        <f>E$296*Entrant_age_breakdowns!$K78*$G$31</f>
        <v>88.703953051194517</v>
      </c>
      <c r="F305" s="459">
        <f>F$296*Entrant_age_breakdowns!$K78*$G$31</f>
        <v>91.9223632009586</v>
      </c>
      <c r="G305" s="459">
        <f>G$296*Entrant_age_breakdowns!$K78*$G$31</f>
        <v>79.635948752633325</v>
      </c>
      <c r="H305" s="459">
        <f>H$296*Entrant_age_breakdowns!$K78*$G$31</f>
        <v>78.999273227052711</v>
      </c>
      <c r="I305" s="459">
        <f>I$296*Entrant_age_breakdowns!$K78*$G$31</f>
        <v>79.660483107341477</v>
      </c>
      <c r="J305" s="459">
        <f>J$296*Entrant_age_breakdowns!$K78*$G$31</f>
        <v>80.101851357758548</v>
      </c>
      <c r="K305" s="459">
        <f>K$296*Entrant_age_breakdowns!$K78*$G$31</f>
        <v>76.802997971093788</v>
      </c>
      <c r="L305" s="459">
        <f>L$296*Entrant_age_breakdowns!$K78*$G$31</f>
        <v>75.026693801422454</v>
      </c>
      <c r="M305" s="459">
        <f>M$296*Entrant_age_breakdowns!$K78*$G$31</f>
        <v>73.830873556082864</v>
      </c>
      <c r="N305" s="459">
        <f>N$296*Entrant_age_breakdowns!$K78*$G$31</f>
        <v>74.304937867368196</v>
      </c>
      <c r="O305" s="327"/>
    </row>
    <row r="306" spans="1:15">
      <c r="B306" s="338" t="str">
        <f t="shared" si="143"/>
        <v>35-39</v>
      </c>
      <c r="C306" s="459">
        <f>C$296*Entrant_age_breakdowns!$K79*$G$31</f>
        <v>45.203452925448325</v>
      </c>
      <c r="D306" s="459">
        <f>D$296*Entrant_age_breakdowns!$K79*$G$31</f>
        <v>51.929762121606934</v>
      </c>
      <c r="E306" s="459">
        <f>E$296*Entrant_age_breakdowns!$K79*$G$31</f>
        <v>63.382906537534737</v>
      </c>
      <c r="F306" s="459">
        <f>F$296*Entrant_age_breakdowns!$K79*$G$31</f>
        <v>65.682603255720664</v>
      </c>
      <c r="G306" s="459">
        <f>G$296*Entrant_age_breakdowns!$K79*$G$31</f>
        <v>56.903415498325344</v>
      </c>
      <c r="H306" s="459">
        <f>H$296*Entrant_age_breakdowns!$K79*$G$31</f>
        <v>56.448482612647489</v>
      </c>
      <c r="I306" s="459">
        <f>I$296*Entrant_age_breakdowns!$K79*$G$31</f>
        <v>56.920946382326953</v>
      </c>
      <c r="J306" s="459">
        <f>J$296*Entrant_age_breakdowns!$K79*$G$31</f>
        <v>57.236323562289549</v>
      </c>
      <c r="K306" s="459">
        <f>K$296*Entrant_age_breakdowns!$K79*$G$31</f>
        <v>54.879146585437937</v>
      </c>
      <c r="L306" s="459">
        <f>L$296*Entrant_age_breakdowns!$K79*$G$31</f>
        <v>53.609898515923682</v>
      </c>
      <c r="M306" s="459">
        <f>M$296*Entrant_age_breakdowns!$K79*$G$31</f>
        <v>52.755431942125021</v>
      </c>
      <c r="N306" s="459">
        <f>N$296*Entrant_age_breakdowns!$K79*$G$31</f>
        <v>53.094171906934008</v>
      </c>
      <c r="O306" s="327"/>
    </row>
    <row r="307" spans="1:15">
      <c r="B307" s="338" t="str">
        <f t="shared" si="143"/>
        <v>40-44</v>
      </c>
      <c r="C307" s="459">
        <f>C$296*Entrant_age_breakdowns!$K80*$G$31</f>
        <v>39.273988807215247</v>
      </c>
      <c r="D307" s="459">
        <f>D$296*Entrant_age_breakdowns!$K80*$G$31</f>
        <v>45.117989098951412</v>
      </c>
      <c r="E307" s="459">
        <f>E$296*Entrant_age_breakdowns!$K80*$G$31</f>
        <v>55.068792333837422</v>
      </c>
      <c r="F307" s="459">
        <f>F$296*Entrant_age_breakdowns!$K80*$G$31</f>
        <v>57.066831362382004</v>
      </c>
      <c r="G307" s="459">
        <f>G$296*Entrant_age_breakdowns!$K80*$G$31</f>
        <v>49.439234366881784</v>
      </c>
      <c r="H307" s="459">
        <f>H$296*Entrant_age_breakdowns!$K80*$G$31</f>
        <v>49.043976307954011</v>
      </c>
      <c r="I307" s="459">
        <f>I$296*Entrant_age_breakdowns!$K80*$G$31</f>
        <v>49.45446567549876</v>
      </c>
      <c r="J307" s="459">
        <f>J$296*Entrant_age_breakdowns!$K80*$G$31</f>
        <v>49.728473943325767</v>
      </c>
      <c r="K307" s="459">
        <f>K$296*Entrant_age_breakdowns!$K80*$G$31</f>
        <v>47.680494503388381</v>
      </c>
      <c r="L307" s="459">
        <f>L$296*Entrant_age_breakdowns!$K80*$G$31</f>
        <v>46.577737274689611</v>
      </c>
      <c r="M307" s="459">
        <f>M$296*Entrant_age_breakdowns!$K80*$G$31</f>
        <v>45.835353485759732</v>
      </c>
      <c r="N307" s="459">
        <f>N$296*Entrant_age_breakdowns!$K80*$G$31</f>
        <v>46.129659976204294</v>
      </c>
      <c r="O307" s="327"/>
    </row>
    <row r="308" spans="1:15">
      <c r="B308" s="338" t="str">
        <f t="shared" si="143"/>
        <v>45-49</v>
      </c>
      <c r="C308" s="459">
        <f>C$296*Entrant_age_breakdowns!$K81*$G$31</f>
        <v>31.252150435997343</v>
      </c>
      <c r="D308" s="459">
        <f>D$296*Entrant_age_breakdowns!$K81*$G$31</f>
        <v>35.902494895834785</v>
      </c>
      <c r="E308" s="459">
        <f>E$296*Entrant_age_breakdowns!$K81*$G$31</f>
        <v>43.820814605660999</v>
      </c>
      <c r="F308" s="459">
        <f>F$296*Entrant_age_breakdowns!$K81*$G$31</f>
        <v>45.410747744451257</v>
      </c>
      <c r="G308" s="459">
        <f>G$296*Entrant_age_breakdowns!$K81*$G$31</f>
        <v>39.341111936928179</v>
      </c>
      <c r="H308" s="459">
        <f>H$296*Entrant_age_breakdowns!$K81*$G$31</f>
        <v>39.026586606198805</v>
      </c>
      <c r="I308" s="459">
        <f>I$296*Entrant_age_breakdowns!$K81*$G$31</f>
        <v>39.353232201833571</v>
      </c>
      <c r="J308" s="459">
        <f>J$296*Entrant_age_breakdowns!$K81*$G$31</f>
        <v>39.571273400777535</v>
      </c>
      <c r="K308" s="459">
        <f>K$296*Entrant_age_breakdowns!$K81*$G$31</f>
        <v>37.941600340041866</v>
      </c>
      <c r="L308" s="459">
        <f>L$296*Entrant_age_breakdowns!$K81*$G$31</f>
        <v>37.064084817621946</v>
      </c>
      <c r="M308" s="459">
        <f>M$296*Entrant_age_breakdowns!$K81*$G$31</f>
        <v>36.473335302293364</v>
      </c>
      <c r="N308" s="459">
        <f>N$296*Entrant_age_breakdowns!$K81*$G$31</f>
        <v>36.707528746682549</v>
      </c>
      <c r="O308" s="327"/>
    </row>
    <row r="309" spans="1:15">
      <c r="B309" s="338" t="str">
        <f t="shared" si="143"/>
        <v>50-54</v>
      </c>
      <c r="C309" s="459">
        <f>C$296*Entrant_age_breakdowns!$K82*$G$31</f>
        <v>22.861965761895277</v>
      </c>
      <c r="D309" s="459">
        <f>D$296*Entrant_age_breakdowns!$K82*$G$31</f>
        <v>26.263844171496313</v>
      </c>
      <c r="E309" s="459">
        <f>E$296*Entrant_age_breakdowns!$K82*$G$31</f>
        <v>32.056352897208598</v>
      </c>
      <c r="F309" s="459">
        <f>F$296*Entrant_age_breakdowns!$K82*$G$31</f>
        <v>33.219440763983279</v>
      </c>
      <c r="G309" s="459">
        <f>G$296*Entrant_age_breakdowns!$K82*$G$31</f>
        <v>28.779304514705117</v>
      </c>
      <c r="H309" s="459">
        <f>H$296*Entrant_age_breakdowns!$K82*$G$31</f>
        <v>28.549218992842871</v>
      </c>
      <c r="I309" s="459">
        <f>I$296*Entrant_age_breakdowns!$K82*$G$31</f>
        <v>28.788170883176608</v>
      </c>
      <c r="J309" s="459">
        <f>J$296*Entrant_age_breakdowns!$K82*$G$31</f>
        <v>28.947675120657738</v>
      </c>
      <c r="K309" s="459">
        <f>K$296*Entrant_age_breakdowns!$K82*$G$31</f>
        <v>27.755516206860008</v>
      </c>
      <c r="L309" s="459">
        <f>L$296*Entrant_age_breakdowns!$K82*$G$31</f>
        <v>27.113585026150346</v>
      </c>
      <c r="M309" s="459">
        <f>M$296*Entrant_age_breakdowns!$K82*$G$31</f>
        <v>26.681432518086712</v>
      </c>
      <c r="N309" s="459">
        <f>N$296*Entrant_age_breakdowns!$K82*$G$31</f>
        <v>26.852752649104598</v>
      </c>
      <c r="O309" s="327"/>
    </row>
    <row r="310" spans="1:15">
      <c r="B310" s="338" t="str">
        <f t="shared" si="143"/>
        <v>55-59</v>
      </c>
      <c r="C310" s="459">
        <f>C$296*Entrant_age_breakdowns!$K83*$G$31</f>
        <v>15.564941934768065</v>
      </c>
      <c r="D310" s="459">
        <f>D$296*Entrant_age_breakdowns!$K83*$G$31</f>
        <v>17.881017484265854</v>
      </c>
      <c r="E310" s="459">
        <f>E$296*Entrant_age_breakdowns!$K83*$G$31</f>
        <v>21.824688072847589</v>
      </c>
      <c r="F310" s="459">
        <f>F$296*Entrant_age_breakdowns!$K83*$G$31</f>
        <v>22.616544525609612</v>
      </c>
      <c r="G310" s="459">
        <f>G$296*Entrant_age_breakdowns!$K83*$G$31</f>
        <v>19.593599621297752</v>
      </c>
      <c r="H310" s="459">
        <f>H$296*Entrant_age_breakdowns!$K83*$G$31</f>
        <v>19.436952208511155</v>
      </c>
      <c r="I310" s="459">
        <f>I$296*Entrant_age_breakdowns!$K83*$G$31</f>
        <v>19.599636044931149</v>
      </c>
      <c r="J310" s="459">
        <f>J$296*Entrant_age_breakdowns!$K83*$G$31</f>
        <v>19.708230127373582</v>
      </c>
      <c r="K310" s="459">
        <f>K$296*Entrant_age_breakdowns!$K83*$G$31</f>
        <v>18.896581450110425</v>
      </c>
      <c r="L310" s="459">
        <f>L$296*Entrant_age_breakdowns!$K83*$G$31</f>
        <v>18.459540223738006</v>
      </c>
      <c r="M310" s="459">
        <f>M$296*Entrant_age_breakdowns!$K83*$G$31</f>
        <v>18.165321049191519</v>
      </c>
      <c r="N310" s="459">
        <f>N$296*Entrant_age_breakdowns!$K83*$G$31</f>
        <v>18.281959658457339</v>
      </c>
      <c r="O310" s="327"/>
    </row>
    <row r="311" spans="1:15">
      <c r="B311" s="338" t="str">
        <f t="shared" si="143"/>
        <v>60-64</v>
      </c>
      <c r="C311" s="459">
        <f>C$296*Entrant_age_breakdowns!$K84*$G$31</f>
        <v>7.6196078021175389</v>
      </c>
      <c r="D311" s="459">
        <f>D$296*Entrant_age_breakdowns!$K84*$G$31</f>
        <v>8.7534114103293277</v>
      </c>
      <c r="E311" s="459">
        <f>E$296*Entrant_age_breakdowns!$K84*$G$31</f>
        <v>10.68398226062056</v>
      </c>
      <c r="F311" s="459">
        <f>F$296*Entrant_age_breakdowns!$K84*$G$31</f>
        <v>11.071624927770189</v>
      </c>
      <c r="G311" s="459">
        <f>G$296*Entrant_age_breakdowns!$K84*$G$31</f>
        <v>9.5917829421849525</v>
      </c>
      <c r="H311" s="459">
        <f>H$296*Entrant_age_breakdowns!$K84*$G$31</f>
        <v>9.5150983099098987</v>
      </c>
      <c r="I311" s="459">
        <f>I$296*Entrant_age_breakdowns!$K84*$G$31</f>
        <v>9.5947379921174676</v>
      </c>
      <c r="J311" s="459">
        <f>J$296*Entrant_age_breakdowns!$K84*$G$31</f>
        <v>9.6478987633757178</v>
      </c>
      <c r="K311" s="459">
        <f>K$296*Entrant_age_breakdowns!$K84*$G$31</f>
        <v>9.2505670791476984</v>
      </c>
      <c r="L311" s="459">
        <f>L$296*Entrant_age_breakdowns!$K84*$G$31</f>
        <v>9.0366194298554277</v>
      </c>
      <c r="M311" s="459">
        <f>M$296*Entrant_age_breakdowns!$K84*$G$31</f>
        <v>8.8925883934852052</v>
      </c>
      <c r="N311" s="459">
        <f>N$296*Entrant_age_breakdowns!$K84*$G$31</f>
        <v>8.9496872545612476</v>
      </c>
      <c r="O311" s="327"/>
    </row>
    <row r="312" spans="1:15">
      <c r="B312" s="338" t="str">
        <f t="shared" si="143"/>
        <v>65 plus</v>
      </c>
      <c r="C312" s="459">
        <f>C$296*Entrant_age_breakdowns!$K85*$G$31</f>
        <v>1.9110517210280855</v>
      </c>
      <c r="D312" s="459">
        <f>D$296*Entrant_age_breakdowns!$K85*$G$31</f>
        <v>2.1954177137474007</v>
      </c>
      <c r="E312" s="459">
        <f>E$296*Entrant_age_breakdowns!$K85*$G$31</f>
        <v>2.6796185862634903</v>
      </c>
      <c r="F312" s="459">
        <f>F$296*Entrant_age_breakdowns!$K85*$G$31</f>
        <v>2.7768421186865559</v>
      </c>
      <c r="G312" s="459">
        <f>G$296*Entrant_age_breakdowns!$K85*$G$31</f>
        <v>2.4056872447288238</v>
      </c>
      <c r="H312" s="459">
        <f>H$296*Entrant_age_breakdowns!$K85*$G$31</f>
        <v>2.386454194643894</v>
      </c>
      <c r="I312" s="459">
        <f>I$296*Entrant_age_breakdowns!$K85*$G$31</f>
        <v>2.4064283922269518</v>
      </c>
      <c r="J312" s="459">
        <f>J$296*Entrant_age_breakdowns!$K85*$G$31</f>
        <v>2.4197614909956346</v>
      </c>
      <c r="K312" s="459">
        <f>K$296*Entrant_age_breakdowns!$K85*$G$31</f>
        <v>2.3201078843163083</v>
      </c>
      <c r="L312" s="459">
        <f>L$296*Entrant_age_breakdowns!$K85*$G$31</f>
        <v>2.2664482952655072</v>
      </c>
      <c r="M312" s="459">
        <f>M$296*Entrant_age_breakdowns!$K85*$G$31</f>
        <v>2.2303242890062509</v>
      </c>
      <c r="N312" s="459">
        <f>N$296*Entrant_age_breakdowns!$K85*$G$31</f>
        <v>2.2446450886539426</v>
      </c>
      <c r="O312" s="327"/>
    </row>
    <row r="313" spans="1:15">
      <c r="B313" s="338" t="str">
        <f t="shared" si="143"/>
        <v>Total</v>
      </c>
      <c r="C313" s="459">
        <f>C$296*Entrant_age_breakdowns!$K86*$G$31</f>
        <v>477.63645514733383</v>
      </c>
      <c r="D313" s="459">
        <f>D$296*Entrant_age_breakdowns!$K86*$G$31</f>
        <v>548.7091337317928</v>
      </c>
      <c r="E313" s="459">
        <f>E$296*Entrant_age_breakdowns!$K86*$G$31</f>
        <v>669.72730701462467</v>
      </c>
      <c r="F313" s="459">
        <f>F$296*Entrant_age_breakdowns!$K86*$G$31</f>
        <v>694.02675578018352</v>
      </c>
      <c r="G313" s="459">
        <f>G$296*Entrant_age_breakdowns!$K86*$G$31</f>
        <v>601.26260065179326</v>
      </c>
      <c r="H313" s="459">
        <f>H$296*Entrant_age_breakdowns!$K86*$G$31</f>
        <v>596.45561099099268</v>
      </c>
      <c r="I313" s="459">
        <f>I$296*Entrant_age_breakdowns!$K86*$G$31</f>
        <v>601.44783847652184</v>
      </c>
      <c r="J313" s="459">
        <f>J$296*Entrant_age_breakdowns!$K86*$G$31</f>
        <v>604.78023077230807</v>
      </c>
      <c r="K313" s="459">
        <f>K$296*Entrant_age_breakdowns!$K86*$G$31</f>
        <v>579.87342426716873</v>
      </c>
      <c r="L313" s="459">
        <f>L$296*Entrant_age_breakdowns!$K86*$G$31</f>
        <v>566.46207824399607</v>
      </c>
      <c r="M313" s="459">
        <f>M$296*Entrant_age_breakdowns!$K86*$G$31</f>
        <v>557.433467398179</v>
      </c>
      <c r="N313" s="459">
        <f>N$296*Entrant_age_breakdowns!$K86*$G$31</f>
        <v>561.01271954679123</v>
      </c>
      <c r="O313" s="327"/>
    </row>
    <row r="314" spans="1:15">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5">
      <c r="B316" s="341" t="s">
        <v>50</v>
      </c>
      <c r="H316" s="325"/>
    </row>
    <row r="317" spans="1:15">
      <c r="H317" s="325"/>
    </row>
    <row r="318" spans="1:15">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5">
      <c r="B319" s="338" t="str">
        <f t="shared" si="146"/>
        <v>20-24</v>
      </c>
      <c r="C319" s="459">
        <f>C$296*Entrant_age_breakdowns!$K76*$H$31</f>
        <v>155.86676286589457</v>
      </c>
      <c r="D319" s="459">
        <f>D$296*Entrant_age_breakdowns!$K76*$H$31</f>
        <v>179.05985924659416</v>
      </c>
      <c r="E319" s="459">
        <f>E$296*Entrant_age_breakdowns!$K76*$H$31</f>
        <v>218.55163319781073</v>
      </c>
      <c r="F319" s="459">
        <f>F$296*Entrant_age_breakdowns!$K76*$H$31</f>
        <v>226.48125493772798</v>
      </c>
      <c r="G319" s="459">
        <f>G$296*Entrant_age_breakdowns!$K76*$H$31</f>
        <v>196.2095945273185</v>
      </c>
      <c r="H319" s="459">
        <f>H$296*Entrant_age_breakdowns!$K76*$H$31</f>
        <v>194.64093302863185</v>
      </c>
      <c r="I319" s="459">
        <f>I$296*Entrant_age_breakdowns!$K76*$H$31</f>
        <v>196.27004305420462</v>
      </c>
      <c r="J319" s="459">
        <f>J$296*Entrant_age_breakdowns!$K76*$H$31</f>
        <v>197.3575002492029</v>
      </c>
      <c r="K319" s="459">
        <f>K$296*Entrant_age_breakdowns!$K76*$H$31</f>
        <v>189.22967989243014</v>
      </c>
      <c r="L319" s="459">
        <f>L$296*Entrant_age_breakdowns!$K76*$H$31</f>
        <v>184.85316493470671</v>
      </c>
      <c r="M319" s="459">
        <f>M$296*Entrant_age_breakdowns!$K76*$H$31</f>
        <v>181.90686481345799</v>
      </c>
      <c r="N319" s="459">
        <f>N$296*Entrant_age_breakdowns!$K76*$H$31</f>
        <v>183.07487960770749</v>
      </c>
    </row>
    <row r="320" spans="1:15">
      <c r="B320" s="338" t="str">
        <f t="shared" si="146"/>
        <v>25-29</v>
      </c>
      <c r="C320" s="459">
        <f>C$296*Entrant_age_breakdowns!$K77*$H$31</f>
        <v>161.1628485944303</v>
      </c>
      <c r="D320" s="459">
        <f>D$296*Entrant_age_breakdowns!$K77*$H$31</f>
        <v>185.14400667913833</v>
      </c>
      <c r="E320" s="459">
        <f>E$296*Entrant_age_breakdowns!$K77*$H$31</f>
        <v>225.97764349176268</v>
      </c>
      <c r="F320" s="459">
        <f>F$296*Entrant_age_breakdowns!$K77*$H$31</f>
        <v>234.17670020137641</v>
      </c>
      <c r="G320" s="459">
        <f>G$296*Entrant_age_breakdowns!$K77*$H$31</f>
        <v>202.87646060108165</v>
      </c>
      <c r="H320" s="459">
        <f>H$296*Entrant_age_breakdowns!$K77*$H$31</f>
        <v>201.25449867051748</v>
      </c>
      <c r="I320" s="459">
        <f>I$296*Entrant_age_breakdowns!$K77*$H$31</f>
        <v>202.93896306541194</v>
      </c>
      <c r="J320" s="459">
        <f>J$296*Entrant_age_breakdowns!$K77*$H$31</f>
        <v>204.06337019396199</v>
      </c>
      <c r="K320" s="459">
        <f>K$296*Entrant_age_breakdowns!$K77*$H$31</f>
        <v>195.65938041784585</v>
      </c>
      <c r="L320" s="459">
        <f>L$296*Entrant_age_breakdowns!$K77*$H$31</f>
        <v>191.13415897528787</v>
      </c>
      <c r="M320" s="459">
        <f>M$296*Entrant_age_breakdowns!$K77*$H$31</f>
        <v>188.08774862054727</v>
      </c>
      <c r="N320" s="459">
        <f>N$296*Entrant_age_breakdowns!$K77*$H$31</f>
        <v>189.29545055764112</v>
      </c>
    </row>
    <row r="321" spans="1:14">
      <c r="B321" s="338" t="str">
        <f t="shared" si="146"/>
        <v>30-34</v>
      </c>
      <c r="C321" s="459">
        <f>C$296*Entrant_age_breakdowns!$K78*$H$31</f>
        <v>80.003652502469109</v>
      </c>
      <c r="D321" s="459">
        <f>D$296*Entrant_age_breakdowns!$K78*$H$31</f>
        <v>91.908258649285884</v>
      </c>
      <c r="E321" s="459">
        <f>E$296*Entrant_age_breakdowns!$K78*$H$31</f>
        <v>112.17868771194351</v>
      </c>
      <c r="F321" s="459">
        <f>F$296*Entrant_age_breakdowns!$K78*$H$31</f>
        <v>116.24882229671185</v>
      </c>
      <c r="G321" s="459">
        <f>G$296*Entrant_age_breakdowns!$K78*$H$31</f>
        <v>100.7109144347845</v>
      </c>
      <c r="H321" s="459">
        <f>H$296*Entrant_age_breakdowns!$K78*$H$31</f>
        <v>99.905748233040086</v>
      </c>
      <c r="I321" s="459">
        <f>I$296*Entrant_age_breakdowns!$K78*$H$31</f>
        <v>100.74194159445834</v>
      </c>
      <c r="J321" s="459">
        <f>J$296*Entrant_age_breakdowns!$K78*$H$31</f>
        <v>101.30011413836884</v>
      </c>
      <c r="K321" s="459">
        <f>K$296*Entrant_age_breakdowns!$K78*$H$31</f>
        <v>97.128247709185274</v>
      </c>
      <c r="L321" s="459">
        <f>L$296*Entrant_age_breakdowns!$K78*$H$31</f>
        <v>94.881859990523168</v>
      </c>
      <c r="M321" s="459">
        <f>M$296*Entrant_age_breakdowns!$K78*$H$31</f>
        <v>93.369576250652514</v>
      </c>
      <c r="N321" s="459">
        <f>N$296*Entrant_age_breakdowns!$K78*$H$31</f>
        <v>93.969097585404811</v>
      </c>
    </row>
    <row r="322" spans="1:14">
      <c r="B322" s="338" t="str">
        <f t="shared" si="146"/>
        <v>35-39</v>
      </c>
      <c r="C322" s="459">
        <f>C$296*Entrant_age_breakdowns!$K79*$H$31</f>
        <v>57.166156127211302</v>
      </c>
      <c r="D322" s="459">
        <f>D$296*Entrant_age_breakdowns!$K79*$H$31</f>
        <v>65.672524928321792</v>
      </c>
      <c r="E322" s="459">
        <f>E$296*Entrant_age_breakdowns!$K79*$H$31</f>
        <v>80.156645044283792</v>
      </c>
      <c r="F322" s="459">
        <f>F$296*Entrant_age_breakdowns!$K79*$H$31</f>
        <v>83.064936626651843</v>
      </c>
      <c r="G322" s="459">
        <f>G$296*Entrant_age_breakdowns!$K79*$H$31</f>
        <v>71.962412692538337</v>
      </c>
      <c r="H322" s="459">
        <f>H$296*Entrant_age_breakdowns!$K79*$H$31</f>
        <v>71.387085749860873</v>
      </c>
      <c r="I322" s="459">
        <f>I$296*Entrant_age_breakdowns!$K79*$H$31</f>
        <v>71.984582973501986</v>
      </c>
      <c r="J322" s="459">
        <f>J$296*Entrant_age_breakdowns!$K79*$H$31</f>
        <v>72.383421998884302</v>
      </c>
      <c r="K322" s="459">
        <f>K$296*Entrant_age_breakdowns!$K79*$H$31</f>
        <v>69.402438504096764</v>
      </c>
      <c r="L322" s="459">
        <f>L$296*Entrant_age_breakdowns!$K79*$H$31</f>
        <v>67.797294900892823</v>
      </c>
      <c r="M322" s="459">
        <f>M$296*Entrant_age_breakdowns!$K79*$H$31</f>
        <v>66.716701132009348</v>
      </c>
      <c r="N322" s="459">
        <f>N$296*Entrant_age_breakdowns!$K79*$H$31</f>
        <v>67.145085701363669</v>
      </c>
    </row>
    <row r="323" spans="1:14">
      <c r="B323" s="338" t="str">
        <f t="shared" si="146"/>
        <v>40-44</v>
      </c>
      <c r="C323" s="459">
        <f>C$296*Entrant_age_breakdowns!$K80*$H$31</f>
        <v>49.667510568150888</v>
      </c>
      <c r="D323" s="459">
        <f>D$296*Entrant_age_breakdowns!$K80*$H$31</f>
        <v>57.058075037547439</v>
      </c>
      <c r="E323" s="459">
        <f>E$296*Entrant_age_breakdowns!$K80*$H$31</f>
        <v>69.642272361031246</v>
      </c>
      <c r="F323" s="459">
        <f>F$296*Entrant_age_breakdowns!$K80*$H$31</f>
        <v>72.169075152898017</v>
      </c>
      <c r="G323" s="459">
        <f>G$296*Entrant_age_breakdowns!$K80*$H$31</f>
        <v>62.522900524615714</v>
      </c>
      <c r="H323" s="459">
        <f>H$296*Entrant_age_breakdowns!$K80*$H$31</f>
        <v>62.023040835921819</v>
      </c>
      <c r="I323" s="459">
        <f>I$296*Entrant_age_breakdowns!$K80*$H$31</f>
        <v>62.542162667440415</v>
      </c>
      <c r="J323" s="459">
        <f>J$296*Entrant_age_breakdowns!$K80*$H$31</f>
        <v>62.888684855570148</v>
      </c>
      <c r="K323" s="459">
        <f>K$296*Entrant_age_breakdowns!$K80*$H$31</f>
        <v>60.29872535398372</v>
      </c>
      <c r="L323" s="459">
        <f>L$296*Entrant_age_breakdowns!$K80*$H$31</f>
        <v>58.904132953925838</v>
      </c>
      <c r="M323" s="459">
        <f>M$296*Entrant_age_breakdowns!$K80*$H$31</f>
        <v>57.965283710389748</v>
      </c>
      <c r="N323" s="459">
        <f>N$296*Entrant_age_breakdowns!$K80*$H$31</f>
        <v>58.337475870350474</v>
      </c>
    </row>
    <row r="324" spans="1:14">
      <c r="B324" s="338" t="str">
        <f t="shared" si="146"/>
        <v>45-49</v>
      </c>
      <c r="C324" s="459">
        <f>C$296*Entrant_age_breakdowns!$K81*$H$31</f>
        <v>39.522761990810899</v>
      </c>
      <c r="D324" s="459">
        <f>D$296*Entrant_age_breakdowns!$K81*$H$31</f>
        <v>45.403779927091541</v>
      </c>
      <c r="E324" s="459">
        <f>E$296*Entrant_age_breakdowns!$K81*$H$31</f>
        <v>55.417614523834587</v>
      </c>
      <c r="F324" s="459">
        <f>F$296*Entrant_age_breakdowns!$K81*$H$31</f>
        <v>57.428309728774167</v>
      </c>
      <c r="G324" s="459">
        <f>G$296*Entrant_age_breakdowns!$K81*$H$31</f>
        <v>49.752397254113696</v>
      </c>
      <c r="H324" s="459">
        <f>H$296*Entrant_age_breakdowns!$K81*$H$31</f>
        <v>49.354635512503108</v>
      </c>
      <c r="I324" s="459">
        <f>I$296*Entrant_age_breakdowns!$K81*$H$31</f>
        <v>49.767725042391881</v>
      </c>
      <c r="J324" s="459">
        <f>J$296*Entrant_age_breakdowns!$K81*$H$31</f>
        <v>50.043468960484866</v>
      </c>
      <c r="K324" s="459">
        <f>K$296*Entrant_age_breakdowns!$K81*$H$31</f>
        <v>47.982517006660167</v>
      </c>
      <c r="L324" s="459">
        <f>L$296*Entrant_age_breakdowns!$K81*$H$31</f>
        <v>46.872774584074847</v>
      </c>
      <c r="M324" s="459">
        <f>M$296*Entrant_age_breakdowns!$K81*$H$31</f>
        <v>46.125688314336912</v>
      </c>
      <c r="N324" s="459">
        <f>N$296*Entrant_age_breakdowns!$K81*$H$31</f>
        <v>46.421859030056375</v>
      </c>
    </row>
    <row r="325" spans="1:14">
      <c r="B325" s="338" t="str">
        <f t="shared" si="146"/>
        <v>50-54</v>
      </c>
      <c r="C325" s="459">
        <f>C$296*Entrant_age_breakdowns!$K82*$H$31</f>
        <v>28.912187444505996</v>
      </c>
      <c r="D325" s="459">
        <f>D$296*Entrant_age_breakdowns!$K82*$H$31</f>
        <v>33.214343578679525</v>
      </c>
      <c r="E325" s="459">
        <f>E$296*Entrant_age_breakdowns!$K82*$H$31</f>
        <v>40.539789684056174</v>
      </c>
      <c r="F325" s="459">
        <f>F$296*Entrant_age_breakdowns!$K82*$H$31</f>
        <v>42.010678704223814</v>
      </c>
      <c r="G325" s="459">
        <f>G$296*Entrant_age_breakdowns!$K82*$H$31</f>
        <v>36.395498764962383</v>
      </c>
      <c r="H325" s="459">
        <f>H$296*Entrant_age_breakdowns!$K82*$H$31</f>
        <v>36.104523097968965</v>
      </c>
      <c r="I325" s="459">
        <f>I$296*Entrant_age_breakdowns!$K82*$H$31</f>
        <v>36.406711541233229</v>
      </c>
      <c r="J325" s="459">
        <f>J$296*Entrant_age_breakdowns!$K82*$H$31</f>
        <v>36.608427196845561</v>
      </c>
      <c r="K325" s="459">
        <f>K$296*Entrant_age_breakdowns!$K82*$H$31</f>
        <v>35.100773728270809</v>
      </c>
      <c r="L325" s="459">
        <f>L$296*Entrant_age_breakdowns!$K82*$H$31</f>
        <v>34.28896100768295</v>
      </c>
      <c r="M325" s="459">
        <f>M$296*Entrant_age_breakdowns!$K82*$H$31</f>
        <v>33.742443072704056</v>
      </c>
      <c r="N325" s="459">
        <f>N$296*Entrant_age_breakdowns!$K82*$H$31</f>
        <v>33.959101595973394</v>
      </c>
    </row>
    <row r="326" spans="1:14">
      <c r="B326" s="338" t="str">
        <f t="shared" si="146"/>
        <v>55-59</v>
      </c>
      <c r="C326" s="459">
        <f>C$296*Entrant_age_breakdowns!$K83*$H$31</f>
        <v>19.684069317036688</v>
      </c>
      <c r="D326" s="459">
        <f>D$296*Entrant_age_breakdowns!$K83*$H$31</f>
        <v>22.613074246889489</v>
      </c>
      <c r="E326" s="459">
        <f>E$296*Entrant_age_breakdowns!$K83*$H$31</f>
        <v>27.600403178441876</v>
      </c>
      <c r="F326" s="459">
        <f>F$296*Entrant_age_breakdowns!$K83*$H$31</f>
        <v>28.601817598786944</v>
      </c>
      <c r="G326" s="459">
        <f>G$296*Entrant_age_breakdowns!$K83*$H$31</f>
        <v>24.778876447613026</v>
      </c>
      <c r="H326" s="459">
        <f>H$296*Entrant_age_breakdowns!$K83*$H$31</f>
        <v>24.58077365066406</v>
      </c>
      <c r="I326" s="459">
        <f>I$296*Entrant_age_breakdowns!$K83*$H$31</f>
        <v>24.786510358598672</v>
      </c>
      <c r="J326" s="459">
        <f>J$296*Entrant_age_breakdowns!$K83*$H$31</f>
        <v>24.923842926569392</v>
      </c>
      <c r="K326" s="459">
        <f>K$296*Entrant_age_breakdowns!$K83*$H$31</f>
        <v>23.897398440538794</v>
      </c>
      <c r="L326" s="459">
        <f>L$296*Entrant_age_breakdowns!$K83*$H$31</f>
        <v>23.344698030195399</v>
      </c>
      <c r="M326" s="459">
        <f>M$296*Entrant_age_breakdowns!$K83*$H$31</f>
        <v>22.972616293530656</v>
      </c>
      <c r="N326" s="459">
        <f>N$296*Entrant_age_breakdowns!$K83*$H$31</f>
        <v>23.1201223028337</v>
      </c>
    </row>
    <row r="327" spans="1:14">
      <c r="B327" s="338" t="str">
        <f t="shared" si="146"/>
        <v>60-64</v>
      </c>
      <c r="C327" s="459">
        <f>C$296*Entrant_age_breakdowns!$K84*$H$31</f>
        <v>9.63607116390763</v>
      </c>
      <c r="D327" s="459">
        <f>D$296*Entrant_age_breakdowns!$K84*$H$31</f>
        <v>11.069926099536705</v>
      </c>
      <c r="E327" s="459">
        <f>E$296*Entrant_age_breakdowns!$K84*$H$31</f>
        <v>13.511405842785702</v>
      </c>
      <c r="F327" s="459">
        <f>F$296*Entrant_age_breakdowns!$K84*$H$31</f>
        <v>14.001634792073974</v>
      </c>
      <c r="G327" s="459">
        <f>G$296*Entrant_age_breakdowns!$K84*$H$31</f>
        <v>12.130165412708436</v>
      </c>
      <c r="H327" s="459">
        <f>H$296*Entrant_age_breakdowns!$K84*$H$31</f>
        <v>12.033186855153918</v>
      </c>
      <c r="I327" s="459">
        <f>I$296*Entrant_age_breakdowns!$K84*$H$31</f>
        <v>12.133902491070225</v>
      </c>
      <c r="J327" s="459">
        <f>J$296*Entrant_age_breakdowns!$K84*$H$31</f>
        <v>12.201131801065728</v>
      </c>
      <c r="K327" s="459">
        <f>K$296*Entrant_age_breakdowns!$K84*$H$31</f>
        <v>11.698649720054624</v>
      </c>
      <c r="L327" s="459">
        <f>L$296*Entrant_age_breakdowns!$K84*$H$31</f>
        <v>11.42808267415521</v>
      </c>
      <c r="M327" s="459">
        <f>M$296*Entrant_age_breakdowns!$K84*$H$31</f>
        <v>11.245935068619772</v>
      </c>
      <c r="N327" s="459">
        <f>N$296*Entrant_age_breakdowns!$K84*$H$31</f>
        <v>11.318144649873275</v>
      </c>
    </row>
    <row r="328" spans="1:14">
      <c r="B328" s="338" t="str">
        <f t="shared" si="146"/>
        <v>65 plus</v>
      </c>
      <c r="C328" s="459">
        <f>C$296*Entrant_age_breakdowns!$K85*$H$31</f>
        <v>2.4167950450963009</v>
      </c>
      <c r="D328" s="459">
        <f>D$296*Entrant_age_breakdowns!$K85*$H$31</f>
        <v>2.776416040507252</v>
      </c>
      <c r="E328" s="459">
        <f>E$296*Entrant_age_breakdowns!$K85*$H$31</f>
        <v>3.3887564898273008</v>
      </c>
      <c r="F328" s="459">
        <f>F$296*Entrant_age_breakdowns!$K85*$H$31</f>
        <v>3.5117093899719496</v>
      </c>
      <c r="G328" s="459">
        <f>G$296*Entrant_age_breakdowns!$K85*$H$31</f>
        <v>3.0423315858684439</v>
      </c>
      <c r="H328" s="459">
        <f>H$296*Entrant_age_breakdowns!$K85*$H$31</f>
        <v>3.0180086752763944</v>
      </c>
      <c r="I328" s="459">
        <f>I$296*Entrant_age_breakdowns!$K85*$H$31</f>
        <v>3.0432688716474998</v>
      </c>
      <c r="J328" s="459">
        <f>J$296*Entrant_age_breakdowns!$K85*$H$31</f>
        <v>3.0601304597904928</v>
      </c>
      <c r="K328" s="459">
        <f>K$296*Entrant_age_breakdowns!$K85*$H$31</f>
        <v>2.9341043872365766</v>
      </c>
      <c r="L328" s="459">
        <f>L$296*Entrant_age_breakdowns!$K85*$H$31</f>
        <v>2.8662442516301403</v>
      </c>
      <c r="M328" s="459">
        <f>M$296*Entrant_age_breakdowns!$K85*$H$31</f>
        <v>2.8205603392714349</v>
      </c>
      <c r="N328" s="459">
        <f>N$296*Entrant_age_breakdowns!$K85*$H$31</f>
        <v>2.8386710147960827</v>
      </c>
    </row>
    <row r="329" spans="1:14">
      <c r="B329" s="338" t="str">
        <f t="shared" si="146"/>
        <v>Total</v>
      </c>
      <c r="C329" s="459">
        <f>C$296*Entrant_age_breakdowns!$K86*$H$31</f>
        <v>604.03881561951368</v>
      </c>
      <c r="D329" s="459">
        <f>D$296*Entrant_age_breakdowns!$K86*$H$31</f>
        <v>693.92026443359202</v>
      </c>
      <c r="E329" s="459">
        <f>E$296*Entrant_age_breakdowns!$K86*$H$31</f>
        <v>846.96485152577759</v>
      </c>
      <c r="F329" s="459">
        <f>F$296*Entrant_age_breakdowns!$K86*$H$31</f>
        <v>877.69493942919689</v>
      </c>
      <c r="G329" s="459">
        <f>G$296*Entrant_age_breakdowns!$K86*$H$31</f>
        <v>760.38155224560455</v>
      </c>
      <c r="H329" s="459">
        <f>H$296*Entrant_age_breakdowns!$K86*$H$31</f>
        <v>754.30243430953851</v>
      </c>
      <c r="I329" s="459">
        <f>I$296*Entrant_age_breakdowns!$K86*$H$31</f>
        <v>760.61581165995881</v>
      </c>
      <c r="J329" s="459">
        <f>J$296*Entrant_age_breakdowns!$K86*$H$31</f>
        <v>764.83009278074417</v>
      </c>
      <c r="K329" s="459">
        <f>K$296*Entrant_age_breakdowns!$K86*$H$31</f>
        <v>733.33191516030274</v>
      </c>
      <c r="L329" s="459">
        <f>L$296*Entrant_age_breakdowns!$K86*$H$31</f>
        <v>716.37137230307485</v>
      </c>
      <c r="M329" s="459">
        <f>M$296*Entrant_age_breakdowns!$K86*$H$31</f>
        <v>704.9534176155197</v>
      </c>
      <c r="N329" s="459">
        <f>N$296*Entrant_age_breakdowns!$K86*$H$31</f>
        <v>709.47988791600028</v>
      </c>
    </row>
    <row r="330" spans="1:14">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4">
      <c r="C331" s="329">
        <f>C296</f>
        <v>1081.6752707668475</v>
      </c>
      <c r="D331" s="329">
        <f t="shared" ref="D331:N331" si="149">D296</f>
        <v>1242.6293981653848</v>
      </c>
      <c r="E331" s="329">
        <f t="shared" si="149"/>
        <v>1516.6921585404023</v>
      </c>
      <c r="F331" s="329">
        <f t="shared" si="149"/>
        <v>1571.7216952093804</v>
      </c>
      <c r="G331" s="329">
        <f t="shared" si="149"/>
        <v>1361.6441528973978</v>
      </c>
      <c r="H331" s="329">
        <f t="shared" si="149"/>
        <v>1350.7580453005312</v>
      </c>
      <c r="I331" s="329">
        <f t="shared" si="149"/>
        <v>1362.0636501364806</v>
      </c>
      <c r="J331" s="329">
        <f t="shared" si="149"/>
        <v>1369.6103235530522</v>
      </c>
      <c r="K331" s="329">
        <f t="shared" si="149"/>
        <v>1313.2053394274715</v>
      </c>
      <c r="L331" s="329">
        <f t="shared" si="149"/>
        <v>1282.8334505470709</v>
      </c>
      <c r="M331" s="329">
        <f t="shared" si="149"/>
        <v>1262.3868850136987</v>
      </c>
      <c r="N331" s="329">
        <f t="shared" si="149"/>
        <v>1270.4926074627915</v>
      </c>
    </row>
    <row r="332" spans="1:14">
      <c r="C332" s="329">
        <f>C313+C329</f>
        <v>1081.6752707668475</v>
      </c>
      <c r="D332" s="329">
        <f t="shared" ref="D332:N332" si="150">D313+D329</f>
        <v>1242.6293981653848</v>
      </c>
      <c r="E332" s="329">
        <f t="shared" si="150"/>
        <v>1516.6921585404023</v>
      </c>
      <c r="F332" s="329">
        <f t="shared" si="150"/>
        <v>1571.7216952093804</v>
      </c>
      <c r="G332" s="329">
        <f t="shared" si="150"/>
        <v>1361.6441528973978</v>
      </c>
      <c r="H332" s="329">
        <f t="shared" si="150"/>
        <v>1350.7580453005312</v>
      </c>
      <c r="I332" s="329">
        <f t="shared" si="150"/>
        <v>1362.0636501364806</v>
      </c>
      <c r="J332" s="329">
        <f t="shared" si="150"/>
        <v>1369.6103235530522</v>
      </c>
      <c r="K332" s="329">
        <f t="shared" si="150"/>
        <v>1313.2053394274715</v>
      </c>
      <c r="L332" s="329">
        <f t="shared" si="150"/>
        <v>1282.8334505470709</v>
      </c>
      <c r="M332" s="329">
        <f t="shared" si="150"/>
        <v>1262.3868850136987</v>
      </c>
      <c r="N332" s="329">
        <f t="shared" si="150"/>
        <v>1270.4926074627915</v>
      </c>
    </row>
    <row r="333" spans="1:14">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269.49220337627025</v>
      </c>
      <c r="D340" s="459">
        <f t="shared" si="154"/>
        <v>330.36358396181072</v>
      </c>
      <c r="E340" s="459">
        <f t="shared" si="154"/>
        <v>404.23047151884657</v>
      </c>
      <c r="F340" s="459">
        <f t="shared" si="154"/>
        <v>462.24307008067331</v>
      </c>
      <c r="G340" s="459">
        <f t="shared" si="154"/>
        <v>478.94283564796592</v>
      </c>
      <c r="H340" s="459">
        <f t="shared" si="154"/>
        <v>489.40030247751565</v>
      </c>
      <c r="I340" s="459">
        <f t="shared" si="154"/>
        <v>498.01375767124233</v>
      </c>
      <c r="J340" s="459">
        <f t="shared" si="154"/>
        <v>504.90721241676704</v>
      </c>
      <c r="K340" s="459">
        <f t="shared" si="154"/>
        <v>503.30896937390605</v>
      </c>
      <c r="L340" s="459">
        <f t="shared" si="154"/>
        <v>498.72875386206249</v>
      </c>
      <c r="M340" s="459">
        <f t="shared" si="154"/>
        <v>493.19064878163374</v>
      </c>
      <c r="N340" s="459">
        <f t="shared" si="154"/>
        <v>490.23490555389282</v>
      </c>
    </row>
    <row r="341" spans="1:14">
      <c r="B341" s="338" t="str">
        <f t="shared" si="153"/>
        <v>25-29</v>
      </c>
      <c r="C341" s="459">
        <f t="shared" ref="C341:N341" si="155">C304+C248</f>
        <v>746.6918650765507</v>
      </c>
      <c r="D341" s="459">
        <f t="shared" si="155"/>
        <v>727.24265104374376</v>
      </c>
      <c r="E341" s="459">
        <f t="shared" si="155"/>
        <v>756.5122423211335</v>
      </c>
      <c r="F341" s="459">
        <f t="shared" si="155"/>
        <v>797.05581391277281</v>
      </c>
      <c r="G341" s="459">
        <f t="shared" si="155"/>
        <v>811.58182865120466</v>
      </c>
      <c r="H341" s="459">
        <f t="shared" si="155"/>
        <v>823.64257306190461</v>
      </c>
      <c r="I341" s="459">
        <f t="shared" si="155"/>
        <v>835.44535978604313</v>
      </c>
      <c r="J341" s="459">
        <f t="shared" si="155"/>
        <v>846.2923034337922</v>
      </c>
      <c r="K341" s="459">
        <f t="shared" si="155"/>
        <v>848.6159704991635</v>
      </c>
      <c r="L341" s="459">
        <f t="shared" si="155"/>
        <v>846.41057209527946</v>
      </c>
      <c r="M341" s="459">
        <f t="shared" si="155"/>
        <v>841.61108339266559</v>
      </c>
      <c r="N341" s="459">
        <f t="shared" si="155"/>
        <v>838.15371190939675</v>
      </c>
    </row>
    <row r="342" spans="1:14">
      <c r="B342" s="338" t="str">
        <f t="shared" si="153"/>
        <v>30-34</v>
      </c>
      <c r="C342" s="459">
        <f t="shared" ref="C342:N342" si="156">C305+C249</f>
        <v>893.14125380630128</v>
      </c>
      <c r="D342" s="459">
        <f t="shared" si="156"/>
        <v>874.96373910398415</v>
      </c>
      <c r="E342" s="459">
        <f t="shared" si="156"/>
        <v>873.87404281746342</v>
      </c>
      <c r="F342" s="459">
        <f t="shared" si="156"/>
        <v>881.71955688168453</v>
      </c>
      <c r="G342" s="459">
        <f t="shared" si="156"/>
        <v>882.79310165801974</v>
      </c>
      <c r="H342" s="459">
        <f t="shared" si="156"/>
        <v>885.65221796455955</v>
      </c>
      <c r="I342" s="459">
        <f t="shared" si="156"/>
        <v>890.6779606550848</v>
      </c>
      <c r="J342" s="459">
        <f t="shared" si="156"/>
        <v>897.04572304064584</v>
      </c>
      <c r="K342" s="459">
        <f t="shared" si="156"/>
        <v>900.49282269816808</v>
      </c>
      <c r="L342" s="459">
        <f t="shared" si="156"/>
        <v>901.70928407195129</v>
      </c>
      <c r="M342" s="459">
        <f t="shared" si="156"/>
        <v>901.00763350884677</v>
      </c>
      <c r="N342" s="459">
        <f t="shared" si="156"/>
        <v>900.06889034026824</v>
      </c>
    </row>
    <row r="343" spans="1:14">
      <c r="B343" s="338" t="str">
        <f t="shared" si="153"/>
        <v>35-39</v>
      </c>
      <c r="C343" s="459">
        <f t="shared" ref="C343:N343" si="157">C306+C250</f>
        <v>837.51858929408058</v>
      </c>
      <c r="D343" s="459">
        <f t="shared" si="157"/>
        <v>848.11839281076709</v>
      </c>
      <c r="E343" s="459">
        <f t="shared" si="157"/>
        <v>864.1164492504945</v>
      </c>
      <c r="F343" s="459">
        <f t="shared" si="157"/>
        <v>878.21905286737274</v>
      </c>
      <c r="G343" s="459">
        <f t="shared" si="157"/>
        <v>881.49672114598161</v>
      </c>
      <c r="H343" s="459">
        <f t="shared" si="157"/>
        <v>883.70328700446794</v>
      </c>
      <c r="I343" s="459">
        <f t="shared" si="157"/>
        <v>886.36837244309572</v>
      </c>
      <c r="J343" s="459">
        <f t="shared" si="157"/>
        <v>889.6270556532404</v>
      </c>
      <c r="K343" s="459">
        <f t="shared" si="157"/>
        <v>890.91052471522551</v>
      </c>
      <c r="L343" s="459">
        <f t="shared" si="157"/>
        <v>891.25139408552809</v>
      </c>
      <c r="M343" s="459">
        <f t="shared" si="157"/>
        <v>890.88102216364916</v>
      </c>
      <c r="N343" s="459">
        <f t="shared" si="157"/>
        <v>890.81012236142226</v>
      </c>
    </row>
    <row r="344" spans="1:14">
      <c r="B344" s="338" t="str">
        <f t="shared" si="153"/>
        <v>40-44</v>
      </c>
      <c r="C344" s="459">
        <f t="shared" ref="C344:N344" si="158">C307+C251</f>
        <v>761.97102162829219</v>
      </c>
      <c r="D344" s="459">
        <f t="shared" si="158"/>
        <v>770.87890164444661</v>
      </c>
      <c r="E344" s="459">
        <f t="shared" si="158"/>
        <v>789.46533170881742</v>
      </c>
      <c r="F344" s="459">
        <f t="shared" si="158"/>
        <v>808.33883701189723</v>
      </c>
      <c r="G344" s="459">
        <f t="shared" si="158"/>
        <v>817.44714453458812</v>
      </c>
      <c r="H344" s="459">
        <f t="shared" si="158"/>
        <v>824.46955209318082</v>
      </c>
      <c r="I344" s="459">
        <f t="shared" si="158"/>
        <v>830.53911897665921</v>
      </c>
      <c r="J344" s="459">
        <f t="shared" si="158"/>
        <v>835.8459215445838</v>
      </c>
      <c r="K344" s="459">
        <f t="shared" si="158"/>
        <v>838.3717034057662</v>
      </c>
      <c r="L344" s="459">
        <f t="shared" si="158"/>
        <v>839.39586772446762</v>
      </c>
      <c r="M344" s="459">
        <f t="shared" si="158"/>
        <v>839.48237701461335</v>
      </c>
      <c r="N344" s="459">
        <f t="shared" si="158"/>
        <v>839.77213797399247</v>
      </c>
    </row>
    <row r="345" spans="1:14">
      <c r="B345" s="338" t="str">
        <f t="shared" si="153"/>
        <v>45-49</v>
      </c>
      <c r="C345" s="459">
        <f t="shared" ref="C345:N345" si="159">C308+C252</f>
        <v>636.58669055066616</v>
      </c>
      <c r="D345" s="459">
        <f t="shared" si="159"/>
        <v>647.8123110994934</v>
      </c>
      <c r="E345" s="459">
        <f t="shared" si="159"/>
        <v>665.68345003714489</v>
      </c>
      <c r="F345" s="459">
        <f t="shared" si="159"/>
        <v>683.93300416056206</v>
      </c>
      <c r="G345" s="459">
        <f t="shared" si="159"/>
        <v>694.85605529312613</v>
      </c>
      <c r="H345" s="459">
        <f t="shared" si="159"/>
        <v>704.30756627961068</v>
      </c>
      <c r="I345" s="459">
        <f t="shared" si="159"/>
        <v>712.92572777946054</v>
      </c>
      <c r="J345" s="459">
        <f t="shared" si="159"/>
        <v>720.64249783537787</v>
      </c>
      <c r="K345" s="459">
        <f t="shared" si="159"/>
        <v>725.70358286280418</v>
      </c>
      <c r="L345" s="459">
        <f t="shared" si="159"/>
        <v>729.0376522184265</v>
      </c>
      <c r="M345" s="459">
        <f t="shared" si="159"/>
        <v>731.10302458758019</v>
      </c>
      <c r="N345" s="459">
        <f t="shared" si="159"/>
        <v>732.88127235951993</v>
      </c>
    </row>
    <row r="346" spans="1:14">
      <c r="B346" s="338" t="str">
        <f t="shared" si="153"/>
        <v>50-54</v>
      </c>
      <c r="C346" s="459">
        <f t="shared" ref="C346:N346" si="160">C309+C253</f>
        <v>444.25514912653159</v>
      </c>
      <c r="D346" s="459">
        <f t="shared" si="160"/>
        <v>458.56610594713578</v>
      </c>
      <c r="E346" s="459">
        <f t="shared" si="160"/>
        <v>476.62220756084866</v>
      </c>
      <c r="F346" s="459">
        <f t="shared" si="160"/>
        <v>493.92234815279284</v>
      </c>
      <c r="G346" s="459">
        <f t="shared" si="160"/>
        <v>505.14544069571235</v>
      </c>
      <c r="H346" s="459">
        <f t="shared" si="160"/>
        <v>514.91247981014828</v>
      </c>
      <c r="I346" s="459">
        <f t="shared" si="160"/>
        <v>523.84181065700204</v>
      </c>
      <c r="J346" s="459">
        <f t="shared" si="160"/>
        <v>531.94226307460576</v>
      </c>
      <c r="K346" s="459">
        <f t="shared" si="160"/>
        <v>537.93576060455723</v>
      </c>
      <c r="L346" s="459">
        <f t="shared" si="160"/>
        <v>542.49431449210408</v>
      </c>
      <c r="M346" s="459">
        <f t="shared" si="160"/>
        <v>545.92526697108781</v>
      </c>
      <c r="N346" s="459">
        <f t="shared" si="160"/>
        <v>548.92459447929389</v>
      </c>
    </row>
    <row r="347" spans="1:14">
      <c r="B347" s="338" t="str">
        <f t="shared" si="153"/>
        <v>55-59</v>
      </c>
      <c r="C347" s="459">
        <f t="shared" ref="C347:N347" si="161">C310+C254</f>
        <v>260.08621944147774</v>
      </c>
      <c r="D347" s="459">
        <f t="shared" si="161"/>
        <v>236.66551052476274</v>
      </c>
      <c r="E347" s="459">
        <f t="shared" si="161"/>
        <v>228.91220148213776</v>
      </c>
      <c r="F347" s="459">
        <f t="shared" si="161"/>
        <v>227.79457385574486</v>
      </c>
      <c r="G347" s="459">
        <f t="shared" si="161"/>
        <v>226.66232278377754</v>
      </c>
      <c r="H347" s="459">
        <f t="shared" si="161"/>
        <v>227.49217858985125</v>
      </c>
      <c r="I347" s="459">
        <f t="shared" si="161"/>
        <v>229.58340545241268</v>
      </c>
      <c r="J347" s="459">
        <f t="shared" si="161"/>
        <v>232.24063963307233</v>
      </c>
      <c r="K347" s="459">
        <f t="shared" si="161"/>
        <v>234.18912825459628</v>
      </c>
      <c r="L347" s="459">
        <f t="shared" si="161"/>
        <v>235.78393442483556</v>
      </c>
      <c r="M347" s="459">
        <f t="shared" si="161"/>
        <v>237.10160821523016</v>
      </c>
      <c r="N347" s="459">
        <f t="shared" si="161"/>
        <v>238.50060270026844</v>
      </c>
    </row>
    <row r="348" spans="1:14">
      <c r="B348" s="338" t="str">
        <f t="shared" si="153"/>
        <v>60-64</v>
      </c>
      <c r="C348" s="459">
        <f t="shared" ref="C348:N348" si="162">C311+C255</f>
        <v>92.05435959072787</v>
      </c>
      <c r="D348" s="459">
        <f t="shared" si="162"/>
        <v>84.553233731257677</v>
      </c>
      <c r="E348" s="459">
        <f t="shared" si="162"/>
        <v>80.038479055213998</v>
      </c>
      <c r="F348" s="459">
        <f t="shared" si="162"/>
        <v>77.312070367427651</v>
      </c>
      <c r="G348" s="459">
        <f t="shared" si="162"/>
        <v>74.381717724113543</v>
      </c>
      <c r="H348" s="459">
        <f t="shared" si="162"/>
        <v>72.75434138922131</v>
      </c>
      <c r="I348" s="459">
        <f t="shared" si="162"/>
        <v>72.148776679990945</v>
      </c>
      <c r="J348" s="459">
        <f t="shared" si="162"/>
        <v>72.162001085246288</v>
      </c>
      <c r="K348" s="459">
        <f t="shared" si="162"/>
        <v>72.09162517547864</v>
      </c>
      <c r="L348" s="459">
        <f t="shared" si="162"/>
        <v>72.078785961434363</v>
      </c>
      <c r="M348" s="459">
        <f t="shared" si="162"/>
        <v>72.120959767760908</v>
      </c>
      <c r="N348" s="459">
        <f t="shared" si="162"/>
        <v>72.357377189049004</v>
      </c>
    </row>
    <row r="349" spans="1:14">
      <c r="B349" s="338" t="str">
        <f t="shared" si="153"/>
        <v>65 plus</v>
      </c>
      <c r="C349" s="459">
        <f t="shared" ref="C349:N349" si="163">C312+C256</f>
        <v>17.007762787764818</v>
      </c>
      <c r="D349" s="459">
        <f t="shared" si="163"/>
        <v>21.229361244614534</v>
      </c>
      <c r="E349" s="459">
        <f t="shared" si="163"/>
        <v>23.176025757029564</v>
      </c>
      <c r="F349" s="459">
        <f t="shared" si="163"/>
        <v>23.834140059407378</v>
      </c>
      <c r="G349" s="459">
        <f t="shared" si="163"/>
        <v>23.523621307792293</v>
      </c>
      <c r="H349" s="459">
        <f t="shared" si="163"/>
        <v>23.022561957148614</v>
      </c>
      <c r="I349" s="459">
        <f t="shared" si="163"/>
        <v>22.598357169043638</v>
      </c>
      <c r="J349" s="459">
        <f t="shared" si="163"/>
        <v>22.318636993329754</v>
      </c>
      <c r="K349" s="459">
        <f t="shared" si="163"/>
        <v>22.070083363930738</v>
      </c>
      <c r="L349" s="459">
        <f t="shared" si="163"/>
        <v>21.875287279744825</v>
      </c>
      <c r="M349" s="459">
        <f t="shared" si="163"/>
        <v>21.733100070523609</v>
      </c>
      <c r="N349" s="459">
        <f t="shared" si="163"/>
        <v>21.675542420800035</v>
      </c>
    </row>
    <row r="350" spans="1:14">
      <c r="B350" s="338" t="str">
        <f t="shared" si="153"/>
        <v>Total</v>
      </c>
      <c r="C350" s="459">
        <f t="shared" ref="C350:N350" si="164">SUM(C340:C349)</f>
        <v>4958.805114678662</v>
      </c>
      <c r="D350" s="459">
        <f t="shared" si="164"/>
        <v>5000.3937911120174</v>
      </c>
      <c r="E350" s="459">
        <f t="shared" si="164"/>
        <v>5162.6309015091301</v>
      </c>
      <c r="F350" s="459">
        <f t="shared" si="164"/>
        <v>5334.3724673503348</v>
      </c>
      <c r="G350" s="459">
        <f t="shared" si="164"/>
        <v>5396.8307894422815</v>
      </c>
      <c r="H350" s="459">
        <f t="shared" si="164"/>
        <v>5449.3570606276098</v>
      </c>
      <c r="I350" s="459">
        <f t="shared" si="164"/>
        <v>5502.1426472700359</v>
      </c>
      <c r="J350" s="459">
        <f t="shared" si="164"/>
        <v>5553.0242547106618</v>
      </c>
      <c r="K350" s="459">
        <f t="shared" si="164"/>
        <v>5573.6901709535969</v>
      </c>
      <c r="L350" s="459">
        <f t="shared" si="164"/>
        <v>5578.7658462158352</v>
      </c>
      <c r="M350" s="459">
        <f t="shared" si="164"/>
        <v>5574.1567244735907</v>
      </c>
      <c r="N350" s="459">
        <f t="shared" si="164"/>
        <v>5573.3791572879036</v>
      </c>
    </row>
    <row r="351" spans="1:14">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4">
      <c r="B356" s="338" t="str">
        <f t="shared" si="166"/>
        <v>20-24</v>
      </c>
      <c r="C356" s="459">
        <f t="shared" ref="C356:N356" si="168">C319+C263</f>
        <v>492.14350207609334</v>
      </c>
      <c r="D356" s="459">
        <f t="shared" si="168"/>
        <v>531.03999470788938</v>
      </c>
      <c r="E356" s="459">
        <f t="shared" si="168"/>
        <v>598.35046927743088</v>
      </c>
      <c r="F356" s="459">
        <f t="shared" si="168"/>
        <v>654.42041971620836</v>
      </c>
      <c r="G356" s="459">
        <f t="shared" si="168"/>
        <v>664.24988563886086</v>
      </c>
      <c r="H356" s="459">
        <f t="shared" si="168"/>
        <v>669.7112402480218</v>
      </c>
      <c r="I356" s="459">
        <f t="shared" si="168"/>
        <v>675.24630113350736</v>
      </c>
      <c r="J356" s="459">
        <f t="shared" si="168"/>
        <v>680.29242378287245</v>
      </c>
      <c r="K356" s="459">
        <f t="shared" si="168"/>
        <v>675.77358114537321</v>
      </c>
      <c r="L356" s="459">
        <f t="shared" si="168"/>
        <v>668.16519817158201</v>
      </c>
      <c r="M356" s="459">
        <f t="shared" si="168"/>
        <v>659.77739641826997</v>
      </c>
      <c r="N356" s="459">
        <f t="shared" si="168"/>
        <v>654.946470690296</v>
      </c>
    </row>
    <row r="357" spans="1:14">
      <c r="B357" s="338" t="str">
        <f t="shared" si="166"/>
        <v>25-29</v>
      </c>
      <c r="C357" s="459">
        <f t="shared" ref="C357:N357" si="169">C320+C264</f>
        <v>1146.8054164225762</v>
      </c>
      <c r="D357" s="459">
        <f t="shared" si="169"/>
        <v>1099.9130496871908</v>
      </c>
      <c r="E357" s="459">
        <f t="shared" si="169"/>
        <v>1113.9714045623105</v>
      </c>
      <c r="F357" s="459">
        <f t="shared" si="169"/>
        <v>1144.4201176788129</v>
      </c>
      <c r="G357" s="459">
        <f t="shared" si="169"/>
        <v>1145.1524668300717</v>
      </c>
      <c r="H357" s="459">
        <f t="shared" si="169"/>
        <v>1145.8283141884306</v>
      </c>
      <c r="I357" s="459">
        <f t="shared" si="169"/>
        <v>1148.9832094044143</v>
      </c>
      <c r="J357" s="459">
        <f t="shared" si="169"/>
        <v>1153.377179502105</v>
      </c>
      <c r="K357" s="459">
        <f t="shared" si="169"/>
        <v>1149.0473028067465</v>
      </c>
      <c r="L357" s="459">
        <f t="shared" si="169"/>
        <v>1140.5891005016181</v>
      </c>
      <c r="M357" s="459">
        <f t="shared" si="169"/>
        <v>1130.0793323309701</v>
      </c>
      <c r="N357" s="459">
        <f t="shared" si="169"/>
        <v>1122.2053986411647</v>
      </c>
    </row>
    <row r="358" spans="1:14">
      <c r="B358" s="338" t="str">
        <f t="shared" si="166"/>
        <v>30-34</v>
      </c>
      <c r="C358" s="459">
        <f t="shared" ref="C358:N358" si="170">C321+C265</f>
        <v>1181.8831418400282</v>
      </c>
      <c r="D358" s="459">
        <f t="shared" si="170"/>
        <v>1158.1213696390923</v>
      </c>
      <c r="E358" s="459">
        <f t="shared" si="170"/>
        <v>1152.6292857376727</v>
      </c>
      <c r="F358" s="459">
        <f t="shared" si="170"/>
        <v>1155.2637308565161</v>
      </c>
      <c r="G358" s="459">
        <f t="shared" si="170"/>
        <v>1147.1650164767823</v>
      </c>
      <c r="H358" s="459">
        <f t="shared" si="170"/>
        <v>1140.6129930731474</v>
      </c>
      <c r="I358" s="459">
        <f t="shared" si="170"/>
        <v>1136.8149934775863</v>
      </c>
      <c r="J358" s="459">
        <f t="shared" si="170"/>
        <v>1135.1883892433077</v>
      </c>
      <c r="K358" s="459">
        <f t="shared" si="170"/>
        <v>1130.633106244856</v>
      </c>
      <c r="L358" s="459">
        <f t="shared" si="170"/>
        <v>1124.293630726886</v>
      </c>
      <c r="M358" s="459">
        <f t="shared" si="170"/>
        <v>1116.6436044960481</v>
      </c>
      <c r="N358" s="459">
        <f t="shared" si="170"/>
        <v>1109.7815385328006</v>
      </c>
    </row>
    <row r="359" spans="1:14">
      <c r="B359" s="338" t="str">
        <f t="shared" si="166"/>
        <v>35-39</v>
      </c>
      <c r="C359" s="459">
        <f t="shared" ref="C359:N359" si="171">C322+C266</f>
        <v>1094.3747903653316</v>
      </c>
      <c r="D359" s="459">
        <f t="shared" si="171"/>
        <v>1086.6394433073399</v>
      </c>
      <c r="E359" s="459">
        <f t="shared" si="171"/>
        <v>1091.0774622405124</v>
      </c>
      <c r="F359" s="459">
        <f t="shared" si="171"/>
        <v>1096.2372712391038</v>
      </c>
      <c r="G359" s="459">
        <f t="shared" si="171"/>
        <v>1089.4089017324302</v>
      </c>
      <c r="H359" s="459">
        <f t="shared" si="171"/>
        <v>1082.3302125488137</v>
      </c>
      <c r="I359" s="459">
        <f t="shared" si="171"/>
        <v>1076.5245111562601</v>
      </c>
      <c r="J359" s="459">
        <f t="shared" si="171"/>
        <v>1071.9610456166481</v>
      </c>
      <c r="K359" s="459">
        <f t="shared" si="171"/>
        <v>1065.3290632515605</v>
      </c>
      <c r="L359" s="459">
        <f t="shared" si="171"/>
        <v>1058.01556395234</v>
      </c>
      <c r="M359" s="459">
        <f t="shared" si="171"/>
        <v>1050.3983162587012</v>
      </c>
      <c r="N359" s="459">
        <f t="shared" si="171"/>
        <v>1043.8262368915275</v>
      </c>
    </row>
    <row r="360" spans="1:14">
      <c r="B360" s="338" t="str">
        <f t="shared" si="166"/>
        <v>40-44</v>
      </c>
      <c r="C360" s="459">
        <f t="shared" ref="C360:N360" si="172">C323+C267</f>
        <v>899.42122569388414</v>
      </c>
      <c r="D360" s="459">
        <f t="shared" si="172"/>
        <v>924.30299999358976</v>
      </c>
      <c r="E360" s="459">
        <f t="shared" si="172"/>
        <v>953.8532920960555</v>
      </c>
      <c r="F360" s="459">
        <f t="shared" si="172"/>
        <v>979.04779730003372</v>
      </c>
      <c r="G360" s="459">
        <f t="shared" si="172"/>
        <v>988.98237212423453</v>
      </c>
      <c r="H360" s="459">
        <f t="shared" si="172"/>
        <v>994.56533564277129</v>
      </c>
      <c r="I360" s="459">
        <f t="shared" si="172"/>
        <v>997.90373742935276</v>
      </c>
      <c r="J360" s="459">
        <f t="shared" si="172"/>
        <v>999.64535758875832</v>
      </c>
      <c r="K360" s="459">
        <f t="shared" si="172"/>
        <v>997.49955327372857</v>
      </c>
      <c r="L360" s="459">
        <f t="shared" si="172"/>
        <v>993.29269813190649</v>
      </c>
      <c r="M360" s="459">
        <f t="shared" si="172"/>
        <v>987.89182333728763</v>
      </c>
      <c r="N360" s="459">
        <f t="shared" si="172"/>
        <v>982.86307303581452</v>
      </c>
    </row>
    <row r="361" spans="1:14">
      <c r="B361" s="338" t="str">
        <f t="shared" si="166"/>
        <v>45-49</v>
      </c>
      <c r="C361" s="459">
        <f t="shared" ref="C361:N361" si="173">C324+C268</f>
        <v>606.62774302725029</v>
      </c>
      <c r="D361" s="459">
        <f t="shared" si="173"/>
        <v>654.70063699549405</v>
      </c>
      <c r="E361" s="459">
        <f t="shared" si="173"/>
        <v>704.49972030736194</v>
      </c>
      <c r="F361" s="459">
        <f t="shared" si="173"/>
        <v>748.41583979689494</v>
      </c>
      <c r="G361" s="459">
        <f t="shared" si="173"/>
        <v>777.53645228912205</v>
      </c>
      <c r="H361" s="459">
        <f t="shared" si="173"/>
        <v>800.29776033770827</v>
      </c>
      <c r="I361" s="459">
        <f t="shared" si="173"/>
        <v>818.41273085932096</v>
      </c>
      <c r="J361" s="459">
        <f t="shared" si="173"/>
        <v>832.57440310918389</v>
      </c>
      <c r="K361" s="459">
        <f t="shared" si="173"/>
        <v>841.2099449935472</v>
      </c>
      <c r="L361" s="459">
        <f t="shared" si="173"/>
        <v>846.03508070976125</v>
      </c>
      <c r="M361" s="459">
        <f t="shared" si="173"/>
        <v>848.05309485226007</v>
      </c>
      <c r="N361" s="459">
        <f t="shared" si="173"/>
        <v>848.83861488829064</v>
      </c>
    </row>
    <row r="362" spans="1:14">
      <c r="B362" s="338" t="str">
        <f t="shared" si="166"/>
        <v>50-54</v>
      </c>
      <c r="C362" s="459">
        <f t="shared" ref="C362:N362" si="174">C325+C269</f>
        <v>405.93360363064346</v>
      </c>
      <c r="D362" s="459">
        <f t="shared" si="174"/>
        <v>432.06883277172312</v>
      </c>
      <c r="E362" s="459">
        <f t="shared" si="174"/>
        <v>466.68612618437248</v>
      </c>
      <c r="F362" s="459">
        <f t="shared" si="174"/>
        <v>501.82492837632793</v>
      </c>
      <c r="G362" s="459">
        <f t="shared" si="174"/>
        <v>529.19865884957017</v>
      </c>
      <c r="H362" s="459">
        <f t="shared" si="174"/>
        <v>553.69622614376306</v>
      </c>
      <c r="I362" s="459">
        <f t="shared" si="174"/>
        <v>575.59235550395135</v>
      </c>
      <c r="J362" s="459">
        <f t="shared" si="174"/>
        <v>594.696254886313</v>
      </c>
      <c r="K362" s="459">
        <f t="shared" si="174"/>
        <v>609.38648683649683</v>
      </c>
      <c r="L362" s="459">
        <f t="shared" si="174"/>
        <v>620.62714927052457</v>
      </c>
      <c r="M362" s="459">
        <f t="shared" si="174"/>
        <v>628.98415476891296</v>
      </c>
      <c r="N362" s="459">
        <f t="shared" si="174"/>
        <v>635.53960925368403</v>
      </c>
    </row>
    <row r="363" spans="1:14">
      <c r="B363" s="338" t="str">
        <f t="shared" si="166"/>
        <v>55-59</v>
      </c>
      <c r="C363" s="459">
        <f t="shared" ref="C363:N363" si="175">C326+C270</f>
        <v>287.59084967521528</v>
      </c>
      <c r="D363" s="459">
        <f t="shared" si="175"/>
        <v>257.13188237726382</v>
      </c>
      <c r="E363" s="459">
        <f t="shared" si="175"/>
        <v>247.69805647244033</v>
      </c>
      <c r="F363" s="459">
        <f t="shared" si="175"/>
        <v>248.22961710761126</v>
      </c>
      <c r="G363" s="459">
        <f t="shared" si="175"/>
        <v>250.02215543273979</v>
      </c>
      <c r="H363" s="459">
        <f t="shared" si="175"/>
        <v>255.02947964533917</v>
      </c>
      <c r="I363" s="459">
        <f t="shared" si="175"/>
        <v>261.94498132315329</v>
      </c>
      <c r="J363" s="459">
        <f t="shared" si="175"/>
        <v>269.55024256233946</v>
      </c>
      <c r="K363" s="459">
        <f t="shared" si="175"/>
        <v>275.98672507657329</v>
      </c>
      <c r="L363" s="459">
        <f t="shared" si="175"/>
        <v>281.52736064584667</v>
      </c>
      <c r="M363" s="459">
        <f t="shared" si="175"/>
        <v>286.18881668818648</v>
      </c>
      <c r="N363" s="459">
        <f t="shared" si="175"/>
        <v>290.40538626333881</v>
      </c>
    </row>
    <row r="364" spans="1:14">
      <c r="B364" s="338" t="str">
        <f t="shared" si="166"/>
        <v>60-64</v>
      </c>
      <c r="C364" s="459">
        <f t="shared" ref="C364:N364" si="176">C327+C271</f>
        <v>99.950756937090986</v>
      </c>
      <c r="D364" s="459">
        <f t="shared" si="176"/>
        <v>90.156297220127271</v>
      </c>
      <c r="E364" s="459">
        <f t="shared" si="176"/>
        <v>84.585889635075389</v>
      </c>
      <c r="F364" s="459">
        <f t="shared" si="176"/>
        <v>81.427176652767486</v>
      </c>
      <c r="G364" s="459">
        <f t="shared" si="176"/>
        <v>78.16319358001499</v>
      </c>
      <c r="H364" s="459">
        <f t="shared" si="176"/>
        <v>76.770333600586497</v>
      </c>
      <c r="I364" s="459">
        <f t="shared" si="176"/>
        <v>76.806146324977234</v>
      </c>
      <c r="J364" s="459">
        <f t="shared" si="176"/>
        <v>77.685502632549543</v>
      </c>
      <c r="K364" s="459">
        <f t="shared" si="176"/>
        <v>78.462713226835376</v>
      </c>
      <c r="L364" s="459">
        <f t="shared" si="176"/>
        <v>79.290359493011863</v>
      </c>
      <c r="M364" s="459">
        <f t="shared" si="176"/>
        <v>80.126566782566329</v>
      </c>
      <c r="N364" s="459">
        <f t="shared" si="176"/>
        <v>81.119919340888302</v>
      </c>
    </row>
    <row r="365" spans="1:14">
      <c r="B365" s="338" t="str">
        <f t="shared" si="166"/>
        <v>65 plus</v>
      </c>
      <c r="C365" s="459">
        <f t="shared" ref="C365:N365" si="177">C328+C272</f>
        <v>19.142278676959506</v>
      </c>
      <c r="D365" s="459">
        <f t="shared" si="177"/>
        <v>22.219187432540849</v>
      </c>
      <c r="E365" s="459">
        <f t="shared" si="177"/>
        <v>23.387009492792611</v>
      </c>
      <c r="F365" s="459">
        <f t="shared" si="177"/>
        <v>23.536663139479373</v>
      </c>
      <c r="G365" s="459">
        <f t="shared" si="177"/>
        <v>22.827761614879147</v>
      </c>
      <c r="H365" s="459">
        <f t="shared" si="177"/>
        <v>22.126885125045785</v>
      </c>
      <c r="I365" s="459">
        <f t="shared" si="177"/>
        <v>21.665510758554813</v>
      </c>
      <c r="J365" s="459">
        <f t="shared" si="177"/>
        <v>21.456699251603819</v>
      </c>
      <c r="K365" s="459">
        <f t="shared" si="177"/>
        <v>21.314306966663743</v>
      </c>
      <c r="L365" s="459">
        <f t="shared" si="177"/>
        <v>21.252930582184867</v>
      </c>
      <c r="M365" s="459">
        <f t="shared" si="177"/>
        <v>21.258994552943161</v>
      </c>
      <c r="N365" s="459">
        <f t="shared" si="177"/>
        <v>21.363211249102616</v>
      </c>
    </row>
    <row r="366" spans="1:14">
      <c r="B366" s="338" t="str">
        <f t="shared" si="166"/>
        <v>Total</v>
      </c>
      <c r="C366" s="459">
        <f t="shared" ref="C366:N366" si="178">SUM(C356:C365)</f>
        <v>6233.8733083450734</v>
      </c>
      <c r="D366" s="459">
        <f t="shared" si="178"/>
        <v>6256.2936941322514</v>
      </c>
      <c r="E366" s="459">
        <f t="shared" si="178"/>
        <v>6436.7387160060234</v>
      </c>
      <c r="F366" s="459">
        <f t="shared" si="178"/>
        <v>6632.8235618637555</v>
      </c>
      <c r="G366" s="459">
        <f t="shared" si="178"/>
        <v>6692.7068645687059</v>
      </c>
      <c r="H366" s="459">
        <f t="shared" si="178"/>
        <v>6740.9687805536269</v>
      </c>
      <c r="I366" s="459">
        <f t="shared" si="178"/>
        <v>6789.8944773710782</v>
      </c>
      <c r="J366" s="459">
        <f t="shared" si="178"/>
        <v>6836.4274981756807</v>
      </c>
      <c r="K366" s="459">
        <f t="shared" si="178"/>
        <v>6844.6427838223817</v>
      </c>
      <c r="L366" s="459">
        <f t="shared" si="178"/>
        <v>6833.0890721856613</v>
      </c>
      <c r="M366" s="459">
        <f t="shared" si="178"/>
        <v>6809.4021004861461</v>
      </c>
      <c r="N366" s="459">
        <f t="shared" si="178"/>
        <v>6790.8894587869081</v>
      </c>
    </row>
    <row r="367" spans="1:14">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4">
      <c r="C368" s="329">
        <f>C350+C366</f>
        <v>11192.678423023735</v>
      </c>
      <c r="D368" s="329">
        <f t="shared" ref="D368:N368" si="180">D350+D366</f>
        <v>11256.687485244269</v>
      </c>
      <c r="E368" s="329">
        <f t="shared" si="180"/>
        <v>11599.369617515153</v>
      </c>
      <c r="F368" s="329">
        <f t="shared" si="180"/>
        <v>11967.19602921409</v>
      </c>
      <c r="G368" s="329">
        <f t="shared" si="180"/>
        <v>12089.537654010986</v>
      </c>
      <c r="H368" s="329">
        <f t="shared" si="180"/>
        <v>12190.325841181237</v>
      </c>
      <c r="I368" s="329">
        <f t="shared" si="180"/>
        <v>12292.037124641114</v>
      </c>
      <c r="J368" s="329">
        <f t="shared" si="180"/>
        <v>12389.451752886343</v>
      </c>
      <c r="K368" s="329">
        <f t="shared" si="180"/>
        <v>12418.332954775979</v>
      </c>
      <c r="L368" s="329">
        <f t="shared" si="180"/>
        <v>12411.854918401496</v>
      </c>
      <c r="M368" s="329">
        <f t="shared" si="180"/>
        <v>12383.558824959737</v>
      </c>
      <c r="N368" s="329">
        <f t="shared" si="180"/>
        <v>12364.268616074813</v>
      </c>
    </row>
    <row r="369" spans="1:14">
      <c r="C369" s="329">
        <f t="shared" ref="C369:N369" si="181">C36</f>
        <v>11192.678423023735</v>
      </c>
      <c r="D369" s="329">
        <f t="shared" si="181"/>
        <v>11256.687485244267</v>
      </c>
      <c r="E369" s="329">
        <f t="shared" si="181"/>
        <v>11599.369617515154</v>
      </c>
      <c r="F369" s="329">
        <f t="shared" si="181"/>
        <v>11967.19602921409</v>
      </c>
      <c r="G369" s="329">
        <f t="shared" si="181"/>
        <v>12089.537654010986</v>
      </c>
      <c r="H369" s="329">
        <f t="shared" si="181"/>
        <v>12190.325841181235</v>
      </c>
      <c r="I369" s="329">
        <f t="shared" si="181"/>
        <v>12292.037124641112</v>
      </c>
      <c r="J369" s="329">
        <f t="shared" si="181"/>
        <v>12389.451752886342</v>
      </c>
      <c r="K369" s="329">
        <f t="shared" si="181"/>
        <v>12418.332954775977</v>
      </c>
      <c r="L369" s="329">
        <f t="shared" si="181"/>
        <v>12411.854918401496</v>
      </c>
      <c r="M369" s="329">
        <f t="shared" si="181"/>
        <v>12383.558824959737</v>
      </c>
      <c r="N369" s="329">
        <f t="shared" si="181"/>
        <v>12364.268616074811</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tabColor rgb="FFFF0000"/>
  </sheetPr>
  <dimension ref="A1:Q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1699</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6" t="str">
        <f>Forecast_stock_figures!B28</f>
        <v>Mathematics</v>
      </c>
      <c r="C15" s="307">
        <f>Forecast_stock_figures!C52</f>
        <v>30149.995151017931</v>
      </c>
      <c r="D15" s="307">
        <f>Forecast_stock_figures!D52</f>
        <v>31128.110157317467</v>
      </c>
      <c r="E15" s="307">
        <f>Forecast_stock_figures!E52</f>
        <v>31665.531388362488</v>
      </c>
      <c r="F15" s="307">
        <f>Forecast_stock_figures!F52</f>
        <v>32100.361692253198</v>
      </c>
      <c r="G15" s="307">
        <f>Forecast_stock_figures!G52</f>
        <v>32582.828012347269</v>
      </c>
      <c r="H15" s="307">
        <f>Forecast_stock_figures!H52</f>
        <v>33003.668201745655</v>
      </c>
      <c r="I15" s="307">
        <f>Forecast_stock_figures!I52</f>
        <v>33301.534329916365</v>
      </c>
      <c r="J15" s="307">
        <f>Forecast_stock_figures!J52</f>
        <v>33615.152538711307</v>
      </c>
      <c r="K15" s="307">
        <f>Forecast_stock_figures!K52</f>
        <v>33865.334671084165</v>
      </c>
      <c r="L15" s="307">
        <f>Forecast_stock_figures!L52</f>
        <v>33930.636804597707</v>
      </c>
      <c r="M15" s="307">
        <f>Forecast_stock_figures!M52</f>
        <v>33958.682466908453</v>
      </c>
      <c r="N15" s="307">
        <f>Forecast_stock_figures!N52</f>
        <v>33933.81252854225</v>
      </c>
    </row>
    <row r="17" spans="1:9" ht="15.75">
      <c r="B17" s="340" t="s">
        <v>149</v>
      </c>
    </row>
    <row r="19" spans="1:9">
      <c r="B19" s="1243" t="str">
        <f>Stock_ages_breakdowns!B73</f>
        <v>Age group</v>
      </c>
      <c r="C19" s="1244" t="str">
        <f>Stock_ages_breakdowns!AA73</f>
        <v>Mathematics</v>
      </c>
      <c r="D19" s="1245"/>
      <c r="H19" s="325" t="s">
        <v>120</v>
      </c>
    </row>
    <row r="20" spans="1:9">
      <c r="B20" s="1243"/>
      <c r="C20" s="363" t="str">
        <f>Stock_ages_breakdowns!AA74</f>
        <v>Male</v>
      </c>
      <c r="D20" s="363" t="str">
        <f>Stock_ages_breakdowns!AB74</f>
        <v>Female</v>
      </c>
    </row>
    <row r="21" spans="1:9">
      <c r="B21" s="363" t="str">
        <f>Stock_ages_breakdowns!B75</f>
        <v>20-24</v>
      </c>
      <c r="C21" s="331">
        <f>Stock_ages_breakdowns!AA20</f>
        <v>717.84774500450499</v>
      </c>
      <c r="D21" s="331">
        <f>Stock_ages_breakdowns!AB20</f>
        <v>1336.3009715467845</v>
      </c>
    </row>
    <row r="22" spans="1:9">
      <c r="B22" s="363" t="str">
        <f>Stock_ages_breakdowns!B76</f>
        <v>25-29</v>
      </c>
      <c r="C22" s="331">
        <f>Stock_ages_breakdowns!AA21</f>
        <v>2142.1572995284023</v>
      </c>
      <c r="D22" s="331">
        <f>Stock_ages_breakdowns!AB21</f>
        <v>2868.9498514443026</v>
      </c>
    </row>
    <row r="23" spans="1:9">
      <c r="B23" s="363" t="str">
        <f>Stock_ages_breakdowns!B77</f>
        <v>30-34</v>
      </c>
      <c r="C23" s="331">
        <f>Stock_ages_breakdowns!AA22</f>
        <v>2162.8319191687092</v>
      </c>
      <c r="D23" s="331">
        <f>Stock_ages_breakdowns!AB22</f>
        <v>2278.8914885942636</v>
      </c>
    </row>
    <row r="24" spans="1:9">
      <c r="B24" s="363" t="str">
        <f>Stock_ages_breakdowns!B78</f>
        <v>35-39</v>
      </c>
      <c r="C24" s="331">
        <f>Stock_ages_breakdowns!AA23</f>
        <v>1964.1558419202743</v>
      </c>
      <c r="D24" s="331">
        <f>Stock_ages_breakdowns!AB23</f>
        <v>2162.9168888365089</v>
      </c>
    </row>
    <row r="25" spans="1:9">
      <c r="B25" s="363" t="str">
        <f>Stock_ages_breakdowns!B79</f>
        <v>40-44</v>
      </c>
      <c r="C25" s="331">
        <f>Stock_ages_breakdowns!AA24</f>
        <v>2056.1789917901187</v>
      </c>
      <c r="D25" s="331">
        <f>Stock_ages_breakdowns!AB24</f>
        <v>2129.3758622050791</v>
      </c>
    </row>
    <row r="26" spans="1:9">
      <c r="B26" s="363" t="str">
        <f>Stock_ages_breakdowns!B80</f>
        <v>45-49</v>
      </c>
      <c r="C26" s="331">
        <f>Stock_ages_breakdowns!AA25</f>
        <v>1861.9473279891647</v>
      </c>
      <c r="D26" s="331">
        <f>Stock_ages_breakdowns!AB25</f>
        <v>2127.8983896285213</v>
      </c>
    </row>
    <row r="27" spans="1:9">
      <c r="B27" s="363" t="str">
        <f>Stock_ages_breakdowns!B81</f>
        <v>50-54</v>
      </c>
      <c r="C27" s="331">
        <f>Stock_ages_breakdowns!AA26</f>
        <v>1567.6173969479762</v>
      </c>
      <c r="D27" s="331">
        <f>Stock_ages_breakdowns!AB26</f>
        <v>1777.5174674911302</v>
      </c>
    </row>
    <row r="28" spans="1:9">
      <c r="B28" s="363" t="str">
        <f>Stock_ages_breakdowns!B82</f>
        <v>55-59</v>
      </c>
      <c r="C28" s="331">
        <f>Stock_ages_breakdowns!AA27</f>
        <v>987.46049950443819</v>
      </c>
      <c r="D28" s="331">
        <f>Stock_ages_breakdowns!AB27</f>
        <v>1151.2030472126851</v>
      </c>
    </row>
    <row r="29" spans="1:9">
      <c r="B29" s="363" t="str">
        <f>Stock_ages_breakdowns!B83</f>
        <v>60-64</v>
      </c>
      <c r="C29" s="331">
        <f>Stock_ages_breakdowns!AA28</f>
        <v>386.07617975832176</v>
      </c>
      <c r="D29" s="331">
        <f>Stock_ages_breakdowns!AB28</f>
        <v>333.63989829461832</v>
      </c>
      <c r="F29" s="325"/>
    </row>
    <row r="30" spans="1:9">
      <c r="B30" s="363" t="str">
        <f>Stock_ages_breakdowns!B84</f>
        <v>65 plus</v>
      </c>
      <c r="C30" s="331">
        <f>Stock_ages_breakdowns!AA29</f>
        <v>80.914115537442555</v>
      </c>
      <c r="D30" s="331">
        <f>Stock_ages_breakdowns!AB29</f>
        <v>56.113968614689355</v>
      </c>
      <c r="G30" s="326" t="s">
        <v>49</v>
      </c>
      <c r="H30" s="326" t="s">
        <v>50</v>
      </c>
    </row>
    <row r="31" spans="1:9">
      <c r="A31" s="309">
        <f>I31</f>
        <v>0</v>
      </c>
      <c r="B31" s="363" t="str">
        <f>Stock_ages_breakdowns!B85</f>
        <v>Total</v>
      </c>
      <c r="C31" s="331">
        <f>Stock_ages_breakdowns!AA30</f>
        <v>13927.187317149352</v>
      </c>
      <c r="D31" s="331">
        <f>Stock_ages_breakdowns!AB30</f>
        <v>16222.807833868581</v>
      </c>
      <c r="E31" s="327">
        <f>SUM(C31:D31)</f>
        <v>30149.995151017931</v>
      </c>
      <c r="G31" s="366">
        <f>C31/$E$31</f>
        <v>0.46193000189186229</v>
      </c>
      <c r="H31" s="366">
        <f>D31/$E$31</f>
        <v>0.53806999810813771</v>
      </c>
      <c r="I31" s="309">
        <f>(G31+H31)-1</f>
        <v>0</v>
      </c>
    </row>
    <row r="33" spans="2:15" ht="15.75">
      <c r="B33" s="340" t="s">
        <v>262</v>
      </c>
      <c r="H33" s="325"/>
    </row>
    <row r="34" spans="2:15">
      <c r="H34" s="325"/>
    </row>
    <row r="35" spans="2:15">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5">
      <c r="B36" s="326" t="str">
        <f>B15</f>
        <v>Mathematics</v>
      </c>
      <c r="C36" s="307">
        <f>Teacher_need_by_subject!C632</f>
        <v>31128.110157317467</v>
      </c>
      <c r="D36" s="307">
        <f>Teacher_need_by_subject!D632</f>
        <v>31665.531388362488</v>
      </c>
      <c r="E36" s="307">
        <f>Teacher_need_by_subject!E632</f>
        <v>32100.361692253198</v>
      </c>
      <c r="F36" s="307">
        <f>Teacher_need_by_subject!F632</f>
        <v>32582.828012347269</v>
      </c>
      <c r="G36" s="307">
        <f>Teacher_need_by_subject!G632</f>
        <v>33003.668201745655</v>
      </c>
      <c r="H36" s="307">
        <f>Teacher_need_by_subject!H632</f>
        <v>33301.534329916365</v>
      </c>
      <c r="I36" s="307">
        <f>Teacher_need_by_subject!I632</f>
        <v>33615.152538711307</v>
      </c>
      <c r="J36" s="307">
        <f>Teacher_need_by_subject!J632</f>
        <v>33865.334671084165</v>
      </c>
      <c r="K36" s="307">
        <f>Teacher_need_by_subject!K632</f>
        <v>33930.636804597707</v>
      </c>
      <c r="L36" s="307">
        <f>Teacher_need_by_subject!L632</f>
        <v>33958.682466908453</v>
      </c>
      <c r="M36" s="307">
        <f>Teacher_need_by_subject!M632</f>
        <v>33933.81252854225</v>
      </c>
      <c r="N36" s="307">
        <f>Teacher_need_by_subject!N632</f>
        <v>33853.43348167192</v>
      </c>
    </row>
    <row r="37" spans="2:15">
      <c r="H37" s="325"/>
    </row>
    <row r="38" spans="2:15" ht="15.75">
      <c r="B38" s="340" t="s">
        <v>157</v>
      </c>
      <c r="H38" s="325"/>
    </row>
    <row r="39" spans="2:15">
      <c r="H39" s="325"/>
    </row>
    <row r="40" spans="2:15">
      <c r="B40" s="341" t="s">
        <v>49</v>
      </c>
      <c r="H40" s="325"/>
    </row>
    <row r="41" spans="2:15">
      <c r="H41" s="325"/>
    </row>
    <row r="42" spans="2:15">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5">
      <c r="B43" s="363" t="str">
        <f>B21</f>
        <v>20-24</v>
      </c>
      <c r="C43" s="307">
        <f>C21</f>
        <v>717.84774500450499</v>
      </c>
      <c r="D43" s="307">
        <f>C340</f>
        <v>1033.0855136250216</v>
      </c>
      <c r="E43" s="307">
        <f t="shared" ref="E43:L43" si="2">D340</f>
        <v>1203.9598070687052</v>
      </c>
      <c r="F43" s="307">
        <f t="shared" si="2"/>
        <v>1310.5160505485178</v>
      </c>
      <c r="G43" s="307">
        <f t="shared" si="2"/>
        <v>1390.3115267251501</v>
      </c>
      <c r="H43" s="307">
        <f t="shared" si="2"/>
        <v>1440.2236311919935</v>
      </c>
      <c r="I43" s="307">
        <f t="shared" si="2"/>
        <v>1462.1695671447287</v>
      </c>
      <c r="J43" s="307">
        <f t="shared" si="2"/>
        <v>1480.3671444744903</v>
      </c>
      <c r="K43" s="307">
        <f t="shared" si="2"/>
        <v>1487.2884892647228</v>
      </c>
      <c r="L43" s="307">
        <f t="shared" si="2"/>
        <v>1471.5380056202969</v>
      </c>
      <c r="M43" s="307">
        <f>L340</f>
        <v>1455.6563523296591</v>
      </c>
      <c r="N43" s="307">
        <f>M340</f>
        <v>1437.6746792392946</v>
      </c>
      <c r="O43" s="327"/>
    </row>
    <row r="44" spans="2:15">
      <c r="B44" s="363" t="str">
        <f t="shared" ref="B44:C53" si="3">B22</f>
        <v>25-29</v>
      </c>
      <c r="C44" s="307">
        <f t="shared" si="3"/>
        <v>2142.1572995284023</v>
      </c>
      <c r="D44" s="307">
        <f t="shared" ref="D44:K53" si="4">C341</f>
        <v>2220.2921218507486</v>
      </c>
      <c r="E44" s="307">
        <f t="shared" si="4"/>
        <v>2285.5547198339646</v>
      </c>
      <c r="F44" s="307">
        <f t="shared" si="4"/>
        <v>2351.7344165010004</v>
      </c>
      <c r="G44" s="307">
        <f t="shared" si="4"/>
        <v>2425.0427816867918</v>
      </c>
      <c r="H44" s="307">
        <f t="shared" si="4"/>
        <v>2486.7600313857811</v>
      </c>
      <c r="I44" s="307">
        <f t="shared" si="4"/>
        <v>2527.1281645569711</v>
      </c>
      <c r="J44" s="307">
        <f t="shared" si="4"/>
        <v>2563.1862500735147</v>
      </c>
      <c r="K44" s="307">
        <f t="shared" si="4"/>
        <v>2586.489975428944</v>
      </c>
      <c r="L44" s="307">
        <f t="shared" ref="L44:L53" si="5">K341</f>
        <v>2583.2089294129382</v>
      </c>
      <c r="M44" s="307">
        <f t="shared" ref="M44:M53" si="6">L341</f>
        <v>2572.8002925431397</v>
      </c>
      <c r="N44" s="307">
        <f t="shared" ref="N44:N53" si="7">M341</f>
        <v>2555.1886215273153</v>
      </c>
      <c r="O44" s="327"/>
    </row>
    <row r="45" spans="2:15">
      <c r="B45" s="363" t="str">
        <f t="shared" si="3"/>
        <v>30-34</v>
      </c>
      <c r="C45" s="307">
        <f t="shared" si="3"/>
        <v>2162.8319191687092</v>
      </c>
      <c r="D45" s="307">
        <f t="shared" si="4"/>
        <v>2277.4777482222999</v>
      </c>
      <c r="E45" s="307">
        <f t="shared" si="4"/>
        <v>2353.5735663424648</v>
      </c>
      <c r="F45" s="307">
        <f t="shared" si="4"/>
        <v>2416.5605886681215</v>
      </c>
      <c r="G45" s="307">
        <f t="shared" si="4"/>
        <v>2478.9266288146791</v>
      </c>
      <c r="H45" s="307">
        <f t="shared" si="4"/>
        <v>2536.2435950090494</v>
      </c>
      <c r="I45" s="307">
        <f t="shared" si="4"/>
        <v>2583.8445317494461</v>
      </c>
      <c r="J45" s="307">
        <f t="shared" si="4"/>
        <v>2628.2169287428651</v>
      </c>
      <c r="K45" s="307">
        <f t="shared" si="4"/>
        <v>2664.9303085543397</v>
      </c>
      <c r="L45" s="307">
        <f t="shared" si="5"/>
        <v>2685.9390086651165</v>
      </c>
      <c r="M45" s="307">
        <f t="shared" si="6"/>
        <v>2698.3011762415899</v>
      </c>
      <c r="N45" s="307">
        <f t="shared" si="7"/>
        <v>2701.9016984537298</v>
      </c>
      <c r="O45" s="327"/>
    </row>
    <row r="46" spans="2:15">
      <c r="B46" s="363" t="str">
        <f t="shared" si="3"/>
        <v>35-39</v>
      </c>
      <c r="C46" s="307">
        <f t="shared" si="3"/>
        <v>1964.1558419202743</v>
      </c>
      <c r="D46" s="307">
        <f t="shared" si="4"/>
        <v>2053.9980909257229</v>
      </c>
      <c r="E46" s="307">
        <f t="shared" si="4"/>
        <v>2125.1021037970172</v>
      </c>
      <c r="F46" s="307">
        <f t="shared" si="4"/>
        <v>2187.9384001789326</v>
      </c>
      <c r="G46" s="307">
        <f t="shared" si="4"/>
        <v>2248.5990882878073</v>
      </c>
      <c r="H46" s="307">
        <f t="shared" si="4"/>
        <v>2303.3100656227589</v>
      </c>
      <c r="I46" s="307">
        <f t="shared" si="4"/>
        <v>2349.9442673586714</v>
      </c>
      <c r="J46" s="307">
        <f t="shared" si="4"/>
        <v>2394.4608696237196</v>
      </c>
      <c r="K46" s="307">
        <f t="shared" si="4"/>
        <v>2433.6185525809005</v>
      </c>
      <c r="L46" s="307">
        <f t="shared" si="5"/>
        <v>2461.9109741484954</v>
      </c>
      <c r="M46" s="307">
        <f t="shared" si="6"/>
        <v>2484.9043505457967</v>
      </c>
      <c r="N46" s="307">
        <f t="shared" si="7"/>
        <v>2501.6330053366678</v>
      </c>
      <c r="O46" s="327"/>
    </row>
    <row r="47" spans="2:15">
      <c r="B47" s="363" t="str">
        <f t="shared" si="3"/>
        <v>40-44</v>
      </c>
      <c r="C47" s="307">
        <f t="shared" si="3"/>
        <v>2056.1789917901187</v>
      </c>
      <c r="D47" s="307">
        <f t="shared" si="4"/>
        <v>2062.1463608636031</v>
      </c>
      <c r="E47" s="307">
        <f t="shared" si="4"/>
        <v>2068.7348619364157</v>
      </c>
      <c r="F47" s="307">
        <f t="shared" si="4"/>
        <v>2083.3907832952409</v>
      </c>
      <c r="G47" s="307">
        <f t="shared" si="4"/>
        <v>2108.0402006323143</v>
      </c>
      <c r="H47" s="307">
        <f t="shared" si="4"/>
        <v>2136.032081488022</v>
      </c>
      <c r="I47" s="307">
        <f t="shared" si="4"/>
        <v>2163.0254127715293</v>
      </c>
      <c r="J47" s="307">
        <f t="shared" si="4"/>
        <v>2192.7024500134862</v>
      </c>
      <c r="K47" s="307">
        <f t="shared" si="4"/>
        <v>2221.2046165437559</v>
      </c>
      <c r="L47" s="307">
        <f t="shared" si="5"/>
        <v>2243.0830777726001</v>
      </c>
      <c r="M47" s="307">
        <f t="shared" si="6"/>
        <v>2262.9488450502931</v>
      </c>
      <c r="N47" s="307">
        <f t="shared" si="7"/>
        <v>2279.6978200860249</v>
      </c>
      <c r="O47" s="327"/>
    </row>
    <row r="48" spans="2:15">
      <c r="B48" s="363" t="str">
        <f t="shared" si="3"/>
        <v>45-49</v>
      </c>
      <c r="C48" s="307">
        <f t="shared" si="3"/>
        <v>1861.9473279891647</v>
      </c>
      <c r="D48" s="307">
        <f t="shared" si="4"/>
        <v>1871.5029196856403</v>
      </c>
      <c r="E48" s="307">
        <f t="shared" si="4"/>
        <v>1868.0258996630869</v>
      </c>
      <c r="F48" s="307">
        <f t="shared" si="4"/>
        <v>1863.9670905100918</v>
      </c>
      <c r="G48" s="307">
        <f t="shared" si="4"/>
        <v>1865.3653531868856</v>
      </c>
      <c r="H48" s="307">
        <f t="shared" si="4"/>
        <v>1869.6516496716777</v>
      </c>
      <c r="I48" s="307">
        <f t="shared" si="4"/>
        <v>1874.7663917208642</v>
      </c>
      <c r="J48" s="307">
        <f t="shared" si="4"/>
        <v>1884.2209652133124</v>
      </c>
      <c r="K48" s="307">
        <f t="shared" si="4"/>
        <v>1895.1265806703836</v>
      </c>
      <c r="L48" s="307">
        <f t="shared" si="5"/>
        <v>1903.0909390953109</v>
      </c>
      <c r="M48" s="307">
        <f t="shared" si="6"/>
        <v>1911.6122880270984</v>
      </c>
      <c r="N48" s="307">
        <f t="shared" si="7"/>
        <v>1919.6632580662997</v>
      </c>
      <c r="O48" s="327"/>
    </row>
    <row r="49" spans="1:15">
      <c r="B49" s="363" t="str">
        <f t="shared" si="3"/>
        <v>50-54</v>
      </c>
      <c r="C49" s="307">
        <f t="shared" si="3"/>
        <v>1567.6173969479762</v>
      </c>
      <c r="D49" s="307">
        <f t="shared" si="4"/>
        <v>1547.1717700658687</v>
      </c>
      <c r="E49" s="307">
        <f t="shared" si="4"/>
        <v>1525.877774924568</v>
      </c>
      <c r="F49" s="307">
        <f t="shared" si="4"/>
        <v>1508.1124140907107</v>
      </c>
      <c r="G49" s="307">
        <f t="shared" si="4"/>
        <v>1495.980507094941</v>
      </c>
      <c r="H49" s="307">
        <f t="shared" si="4"/>
        <v>1486.6931119693572</v>
      </c>
      <c r="I49" s="307">
        <f t="shared" si="4"/>
        <v>1478.5614963945177</v>
      </c>
      <c r="J49" s="307">
        <f t="shared" si="4"/>
        <v>1474.2654702125581</v>
      </c>
      <c r="K49" s="307">
        <f t="shared" si="4"/>
        <v>1471.8569762657698</v>
      </c>
      <c r="L49" s="307">
        <f t="shared" si="5"/>
        <v>1468.2803336509628</v>
      </c>
      <c r="M49" s="307">
        <f t="shared" si="6"/>
        <v>1466.2114771654883</v>
      </c>
      <c r="N49" s="307">
        <f t="shared" si="7"/>
        <v>1464.9419651502067</v>
      </c>
      <c r="O49" s="327"/>
    </row>
    <row r="50" spans="1:15">
      <c r="B50" s="363" t="str">
        <f t="shared" si="3"/>
        <v>55-59</v>
      </c>
      <c r="C50" s="307">
        <f t="shared" si="3"/>
        <v>987.46049950443819</v>
      </c>
      <c r="D50" s="307">
        <f t="shared" si="4"/>
        <v>888.35530430101699</v>
      </c>
      <c r="E50" s="307">
        <f t="shared" si="4"/>
        <v>820.64372459096319</v>
      </c>
      <c r="F50" s="307">
        <f t="shared" si="4"/>
        <v>775.86364329095431</v>
      </c>
      <c r="G50" s="307">
        <f t="shared" si="4"/>
        <v>747.43837603325096</v>
      </c>
      <c r="H50" s="307">
        <f t="shared" si="4"/>
        <v>728.12038640908111</v>
      </c>
      <c r="I50" s="307">
        <f t="shared" si="4"/>
        <v>713.69882523380193</v>
      </c>
      <c r="J50" s="307">
        <f t="shared" si="4"/>
        <v>704.31127846428717</v>
      </c>
      <c r="K50" s="307">
        <f t="shared" si="4"/>
        <v>697.38778330510502</v>
      </c>
      <c r="L50" s="307">
        <f t="shared" si="5"/>
        <v>690.32423445762322</v>
      </c>
      <c r="M50" s="307">
        <f t="shared" si="6"/>
        <v>684.95261226757191</v>
      </c>
      <c r="N50" s="307">
        <f t="shared" si="7"/>
        <v>680.55722868467967</v>
      </c>
      <c r="O50" s="327"/>
    </row>
    <row r="51" spans="1:15">
      <c r="B51" s="363" t="str">
        <f t="shared" si="3"/>
        <v>60-64</v>
      </c>
      <c r="C51" s="307">
        <f t="shared" si="3"/>
        <v>386.07617975832176</v>
      </c>
      <c r="D51" s="307">
        <f t="shared" si="4"/>
        <v>339.45378058453662</v>
      </c>
      <c r="E51" s="307">
        <f t="shared" si="4"/>
        <v>302.11599162083178</v>
      </c>
      <c r="F51" s="307">
        <f t="shared" si="4"/>
        <v>275.21272892855723</v>
      </c>
      <c r="G51" s="307">
        <f t="shared" si="4"/>
        <v>257.20204901943009</v>
      </c>
      <c r="H51" s="307">
        <f t="shared" si="4"/>
        <v>244.75647227263661</v>
      </c>
      <c r="I51" s="307">
        <f t="shared" si="4"/>
        <v>235.64197644973993</v>
      </c>
      <c r="J51" s="307">
        <f t="shared" si="4"/>
        <v>229.68515355531508</v>
      </c>
      <c r="K51" s="307">
        <f t="shared" si="4"/>
        <v>225.32565372278225</v>
      </c>
      <c r="L51" s="307">
        <f t="shared" si="5"/>
        <v>221.11328513114623</v>
      </c>
      <c r="M51" s="307">
        <f t="shared" si="6"/>
        <v>217.90915378542155</v>
      </c>
      <c r="N51" s="307">
        <f t="shared" si="7"/>
        <v>215.27280534252492</v>
      </c>
      <c r="O51" s="327"/>
    </row>
    <row r="52" spans="1:15">
      <c r="B52" s="363" t="str">
        <f t="shared" si="3"/>
        <v>65 plus</v>
      </c>
      <c r="C52" s="307">
        <f t="shared" si="3"/>
        <v>80.914115537442555</v>
      </c>
      <c r="D52" s="307">
        <f t="shared" si="4"/>
        <v>94.049659051130917</v>
      </c>
      <c r="E52" s="307">
        <f t="shared" si="4"/>
        <v>95.408653463456943</v>
      </c>
      <c r="F52" s="307">
        <f t="shared" si="4"/>
        <v>91.932636314734864</v>
      </c>
      <c r="G52" s="307">
        <f t="shared" si="4"/>
        <v>87.237381114473536</v>
      </c>
      <c r="H52" s="307">
        <f t="shared" si="4"/>
        <v>82.666606654764877</v>
      </c>
      <c r="I52" s="307">
        <f t="shared" si="4"/>
        <v>78.650724788705276</v>
      </c>
      <c r="J52" s="307">
        <f t="shared" si="4"/>
        <v>75.535958067314937</v>
      </c>
      <c r="K52" s="307">
        <f t="shared" si="4"/>
        <v>73.116605405499811</v>
      </c>
      <c r="L52" s="307">
        <f t="shared" si="5"/>
        <v>71.015576891894668</v>
      </c>
      <c r="M52" s="307">
        <f t="shared" si="6"/>
        <v>69.34222931527222</v>
      </c>
      <c r="N52" s="307">
        <f t="shared" si="7"/>
        <v>67.978674678096141</v>
      </c>
      <c r="O52" s="327"/>
    </row>
    <row r="53" spans="1:15">
      <c r="B53" s="363" t="str">
        <f t="shared" si="3"/>
        <v>Total</v>
      </c>
      <c r="C53" s="307">
        <f t="shared" si="3"/>
        <v>13927.187317149352</v>
      </c>
      <c r="D53" s="307">
        <f t="shared" si="4"/>
        <v>14387.533269175588</v>
      </c>
      <c r="E53" s="307">
        <f t="shared" si="4"/>
        <v>14648.997103241474</v>
      </c>
      <c r="F53" s="307">
        <f t="shared" si="4"/>
        <v>14865.228752326862</v>
      </c>
      <c r="G53" s="307">
        <f t="shared" si="4"/>
        <v>15104.143892595725</v>
      </c>
      <c r="H53" s="307">
        <f t="shared" si="4"/>
        <v>15314.457631675121</v>
      </c>
      <c r="I53" s="307">
        <f t="shared" si="4"/>
        <v>15467.431358168975</v>
      </c>
      <c r="J53" s="307">
        <f t="shared" si="4"/>
        <v>15626.952468440863</v>
      </c>
      <c r="K53" s="307">
        <f t="shared" si="4"/>
        <v>15756.345541742205</v>
      </c>
      <c r="L53" s="307">
        <f t="shared" si="5"/>
        <v>15799.504364846385</v>
      </c>
      <c r="M53" s="307">
        <f t="shared" si="6"/>
        <v>15824.638777271331</v>
      </c>
      <c r="N53" s="307">
        <f t="shared" si="7"/>
        <v>15824.509756564839</v>
      </c>
      <c r="O53" s="327"/>
    </row>
    <row r="54" spans="1:15">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5">
      <c r="B56" s="341" t="s">
        <v>50</v>
      </c>
      <c r="H56" s="325"/>
    </row>
    <row r="57" spans="1:15">
      <c r="H57" s="325"/>
    </row>
    <row r="58" spans="1:15">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5">
      <c r="B59" s="338" t="str">
        <f t="shared" si="9"/>
        <v>20-24</v>
      </c>
      <c r="C59" s="307">
        <f t="shared" ref="C59:C69" si="11">D21</f>
        <v>1336.3009715467845</v>
      </c>
      <c r="D59" s="307">
        <f>C356</f>
        <v>1566.0609631591024</v>
      </c>
      <c r="E59" s="307">
        <f t="shared" ref="E59:L59" si="12">D356</f>
        <v>1674.0898731716597</v>
      </c>
      <c r="F59" s="307">
        <f t="shared" si="12"/>
        <v>1737.3034261435489</v>
      </c>
      <c r="G59" s="307">
        <f t="shared" si="12"/>
        <v>1789.359946985905</v>
      </c>
      <c r="H59" s="307">
        <f t="shared" si="12"/>
        <v>1820.1844806093277</v>
      </c>
      <c r="I59" s="307">
        <f t="shared" si="12"/>
        <v>1827.4450506252756</v>
      </c>
      <c r="J59" s="307">
        <f t="shared" si="12"/>
        <v>1836.1837389778361</v>
      </c>
      <c r="K59" s="307">
        <f t="shared" si="12"/>
        <v>1835.8207435411864</v>
      </c>
      <c r="L59" s="307">
        <f t="shared" si="12"/>
        <v>1811.6854582689334</v>
      </c>
      <c r="M59" s="307">
        <f>L356</f>
        <v>1788.8623992218513</v>
      </c>
      <c r="N59" s="307">
        <f>M356</f>
        <v>1764.6178525612286</v>
      </c>
    </row>
    <row r="60" spans="1:15">
      <c r="B60" s="338" t="str">
        <f t="shared" si="9"/>
        <v>25-29</v>
      </c>
      <c r="C60" s="307">
        <f t="shared" si="11"/>
        <v>2868.9498514443026</v>
      </c>
      <c r="D60" s="307">
        <f t="shared" ref="D60:K69" si="13">C357</f>
        <v>2946.1347071903938</v>
      </c>
      <c r="E60" s="307">
        <f t="shared" si="13"/>
        <v>2987.7883757573172</v>
      </c>
      <c r="F60" s="307">
        <f t="shared" si="13"/>
        <v>3024.0586221024682</v>
      </c>
      <c r="G60" s="307">
        <f t="shared" si="13"/>
        <v>3069.3863595559787</v>
      </c>
      <c r="H60" s="307">
        <f t="shared" si="13"/>
        <v>3105.338825028879</v>
      </c>
      <c r="I60" s="307">
        <f t="shared" si="13"/>
        <v>3121.7924183734222</v>
      </c>
      <c r="J60" s="307">
        <f t="shared" si="13"/>
        <v>3138.6576453312837</v>
      </c>
      <c r="K60" s="307">
        <f t="shared" si="13"/>
        <v>3145.6004454670524</v>
      </c>
      <c r="L60" s="307">
        <f t="shared" ref="L60:L69" si="14">K357</f>
        <v>3125.8185054191044</v>
      </c>
      <c r="M60" s="307">
        <f t="shared" ref="M60:M69" si="15">L357</f>
        <v>3101.212112548511</v>
      </c>
      <c r="N60" s="307">
        <f t="shared" ref="N60:N69" si="16">M357</f>
        <v>3070.9626618664879</v>
      </c>
    </row>
    <row r="61" spans="1:15">
      <c r="B61" s="338" t="str">
        <f t="shared" si="9"/>
        <v>30-34</v>
      </c>
      <c r="C61" s="307">
        <f t="shared" si="11"/>
        <v>2278.8914885942636</v>
      </c>
      <c r="D61" s="307">
        <f t="shared" si="13"/>
        <v>2496.3378421325501</v>
      </c>
      <c r="E61" s="307">
        <f t="shared" si="13"/>
        <v>2640.8481145747241</v>
      </c>
      <c r="F61" s="307">
        <f t="shared" si="13"/>
        <v>2746.8036811289653</v>
      </c>
      <c r="G61" s="307">
        <f t="shared" si="13"/>
        <v>2834.2138840599232</v>
      </c>
      <c r="H61" s="307">
        <f t="shared" si="13"/>
        <v>2902.9305425340017</v>
      </c>
      <c r="I61" s="307">
        <f t="shared" si="13"/>
        <v>2951.9313843071122</v>
      </c>
      <c r="J61" s="307">
        <f t="shared" si="13"/>
        <v>2992.3317279033649</v>
      </c>
      <c r="K61" s="307">
        <f t="shared" si="13"/>
        <v>3021.364692290078</v>
      </c>
      <c r="L61" s="307">
        <f t="shared" si="14"/>
        <v>3031.4255559081043</v>
      </c>
      <c r="M61" s="307">
        <f t="shared" si="15"/>
        <v>3032.1048426489601</v>
      </c>
      <c r="N61" s="307">
        <f t="shared" si="16"/>
        <v>3023.9024607045276</v>
      </c>
    </row>
    <row r="62" spans="1:15">
      <c r="B62" s="338" t="str">
        <f t="shared" si="9"/>
        <v>35-39</v>
      </c>
      <c r="C62" s="307">
        <f t="shared" si="11"/>
        <v>2162.9168888365089</v>
      </c>
      <c r="D62" s="307">
        <f t="shared" si="13"/>
        <v>2245.0040952003942</v>
      </c>
      <c r="E62" s="307">
        <f t="shared" si="13"/>
        <v>2326.1316675412013</v>
      </c>
      <c r="F62" s="307">
        <f t="shared" si="13"/>
        <v>2407.9700871948648</v>
      </c>
      <c r="G62" s="307">
        <f t="shared" si="13"/>
        <v>2490.6571668600841</v>
      </c>
      <c r="H62" s="307">
        <f t="shared" si="13"/>
        <v>2565.633579180821</v>
      </c>
      <c r="I62" s="307">
        <f t="shared" si="13"/>
        <v>2628.2979208492034</v>
      </c>
      <c r="J62" s="307">
        <f t="shared" si="13"/>
        <v>2684.8542404255049</v>
      </c>
      <c r="K62" s="307">
        <f t="shared" si="13"/>
        <v>2731.6055088536</v>
      </c>
      <c r="L62" s="307">
        <f t="shared" si="14"/>
        <v>2762.6561017851445</v>
      </c>
      <c r="M62" s="307">
        <f t="shared" si="15"/>
        <v>2785.230765311896</v>
      </c>
      <c r="N62" s="307">
        <f t="shared" si="16"/>
        <v>2798.9705763348229</v>
      </c>
    </row>
    <row r="63" spans="1:15">
      <c r="B63" s="338" t="str">
        <f t="shared" si="9"/>
        <v>40-44</v>
      </c>
      <c r="C63" s="307">
        <f t="shared" si="11"/>
        <v>2129.3758622050791</v>
      </c>
      <c r="D63" s="307">
        <f t="shared" si="13"/>
        <v>2169.6085412027378</v>
      </c>
      <c r="E63" s="307">
        <f t="shared" si="13"/>
        <v>2197.5165103444087</v>
      </c>
      <c r="F63" s="307">
        <f t="shared" si="13"/>
        <v>2229.0678708230835</v>
      </c>
      <c r="G63" s="307">
        <f t="shared" si="13"/>
        <v>2269.8917380979929</v>
      </c>
      <c r="H63" s="307">
        <f t="shared" si="13"/>
        <v>2313.4363821793654</v>
      </c>
      <c r="I63" s="307">
        <f t="shared" si="13"/>
        <v>2354.7995008095495</v>
      </c>
      <c r="J63" s="307">
        <f t="shared" si="13"/>
        <v>2398.0182214019537</v>
      </c>
      <c r="K63" s="307">
        <f t="shared" si="13"/>
        <v>2438.2488284779229</v>
      </c>
      <c r="L63" s="307">
        <f t="shared" si="14"/>
        <v>2468.9260141741852</v>
      </c>
      <c r="M63" s="307">
        <f t="shared" si="15"/>
        <v>2495.3913883113223</v>
      </c>
      <c r="N63" s="307">
        <f t="shared" si="16"/>
        <v>2516.4421006946641</v>
      </c>
    </row>
    <row r="64" spans="1:15">
      <c r="B64" s="338" t="str">
        <f t="shared" si="9"/>
        <v>45-49</v>
      </c>
      <c r="C64" s="307">
        <f t="shared" si="11"/>
        <v>2127.8983896285213</v>
      </c>
      <c r="D64" s="307">
        <f t="shared" si="13"/>
        <v>2103.3734140169931</v>
      </c>
      <c r="E64" s="307">
        <f t="shared" si="13"/>
        <v>2079.3586719291156</v>
      </c>
      <c r="F64" s="307">
        <f t="shared" si="13"/>
        <v>2063.7377621603659</v>
      </c>
      <c r="G64" s="307">
        <f t="shared" si="13"/>
        <v>2060.0518528742386</v>
      </c>
      <c r="H64" s="307">
        <f t="shared" si="13"/>
        <v>2063.3796622947384</v>
      </c>
      <c r="I64" s="307">
        <f t="shared" si="13"/>
        <v>2070.1278922331962</v>
      </c>
      <c r="J64" s="307">
        <f t="shared" si="13"/>
        <v>2083.5398357719432</v>
      </c>
      <c r="K64" s="307">
        <f t="shared" si="13"/>
        <v>2099.5891628467616</v>
      </c>
      <c r="L64" s="307">
        <f t="shared" si="14"/>
        <v>2112.6095521972361</v>
      </c>
      <c r="M64" s="307">
        <f t="shared" si="15"/>
        <v>2126.2295917849801</v>
      </c>
      <c r="N64" s="307">
        <f t="shared" si="16"/>
        <v>2138.924738997463</v>
      </c>
    </row>
    <row r="65" spans="1:14">
      <c r="B65" s="338" t="str">
        <f t="shared" si="9"/>
        <v>50-54</v>
      </c>
      <c r="C65" s="307">
        <f t="shared" si="11"/>
        <v>1777.5174674911302</v>
      </c>
      <c r="D65" s="307">
        <f t="shared" si="13"/>
        <v>1771.2290338161172</v>
      </c>
      <c r="E65" s="307">
        <f t="shared" si="13"/>
        <v>1752.4969388445863</v>
      </c>
      <c r="F65" s="307">
        <f t="shared" si="13"/>
        <v>1732.4563609042382</v>
      </c>
      <c r="G65" s="307">
        <f t="shared" si="13"/>
        <v>1716.7390599556493</v>
      </c>
      <c r="H65" s="307">
        <f t="shared" si="13"/>
        <v>1703.7686479697102</v>
      </c>
      <c r="I65" s="307">
        <f t="shared" si="13"/>
        <v>1692.4118281627116</v>
      </c>
      <c r="J65" s="307">
        <f t="shared" si="13"/>
        <v>1686.1615146671527</v>
      </c>
      <c r="K65" s="307">
        <f t="shared" si="13"/>
        <v>1682.8823777791238</v>
      </c>
      <c r="L65" s="307">
        <f t="shared" si="14"/>
        <v>1678.9778976664065</v>
      </c>
      <c r="M65" s="307">
        <f t="shared" si="15"/>
        <v>1677.4172490097765</v>
      </c>
      <c r="N65" s="307">
        <f t="shared" si="16"/>
        <v>1677.208785406403</v>
      </c>
    </row>
    <row r="66" spans="1:14">
      <c r="B66" s="338" t="str">
        <f t="shared" si="9"/>
        <v>55-59</v>
      </c>
      <c r="C66" s="307">
        <f t="shared" si="11"/>
        <v>1151.2030472126851</v>
      </c>
      <c r="D66" s="307">
        <f t="shared" si="13"/>
        <v>1046.2774885615302</v>
      </c>
      <c r="E66" s="307">
        <f t="shared" si="13"/>
        <v>975.05276494669886</v>
      </c>
      <c r="F66" s="307">
        <f t="shared" si="13"/>
        <v>927.47913759139362</v>
      </c>
      <c r="G66" s="307">
        <f t="shared" si="13"/>
        <v>896.59603578757617</v>
      </c>
      <c r="H66" s="307">
        <f t="shared" si="13"/>
        <v>874.78721372104485</v>
      </c>
      <c r="I66" s="307">
        <f t="shared" si="13"/>
        <v>857.79639589988381</v>
      </c>
      <c r="J66" s="307">
        <f t="shared" si="13"/>
        <v>846.24189087581567</v>
      </c>
      <c r="K66" s="307">
        <f t="shared" si="13"/>
        <v>837.47460651022379</v>
      </c>
      <c r="L66" s="307">
        <f t="shared" si="14"/>
        <v>828.64976198631678</v>
      </c>
      <c r="M66" s="307">
        <f t="shared" si="15"/>
        <v>821.96537181043277</v>
      </c>
      <c r="N66" s="307">
        <f t="shared" si="16"/>
        <v>816.63729037613723</v>
      </c>
    </row>
    <row r="67" spans="1:14">
      <c r="B67" s="338" t="str">
        <f t="shared" si="9"/>
        <v>60-64</v>
      </c>
      <c r="C67" s="307">
        <f t="shared" si="11"/>
        <v>333.63989829461832</v>
      </c>
      <c r="D67" s="307">
        <f t="shared" si="13"/>
        <v>325.39207407681067</v>
      </c>
      <c r="E67" s="307">
        <f t="shared" si="13"/>
        <v>306.21946086200927</v>
      </c>
      <c r="F67" s="307">
        <f t="shared" si="13"/>
        <v>288.39906310727326</v>
      </c>
      <c r="G67" s="307">
        <f t="shared" si="13"/>
        <v>275.18007557393719</v>
      </c>
      <c r="H67" s="307">
        <f t="shared" si="13"/>
        <v>265.17675274485487</v>
      </c>
      <c r="I67" s="307">
        <f t="shared" si="13"/>
        <v>257.16492719167559</v>
      </c>
      <c r="J67" s="307">
        <f t="shared" si="13"/>
        <v>251.73894889951131</v>
      </c>
      <c r="K67" s="307">
        <f t="shared" si="13"/>
        <v>247.50482410901242</v>
      </c>
      <c r="L67" s="307">
        <f t="shared" si="14"/>
        <v>243.06611489588363</v>
      </c>
      <c r="M67" s="307">
        <f t="shared" si="15"/>
        <v>239.63773561843979</v>
      </c>
      <c r="N67" s="307">
        <f t="shared" si="16"/>
        <v>236.77705568870584</v>
      </c>
    </row>
    <row r="68" spans="1:14">
      <c r="B68" s="338" t="str">
        <f t="shared" si="9"/>
        <v>65 plus</v>
      </c>
      <c r="C68" s="307">
        <f t="shared" si="11"/>
        <v>56.113968614689355</v>
      </c>
      <c r="D68" s="307">
        <f t="shared" si="13"/>
        <v>71.158728785254283</v>
      </c>
      <c r="E68" s="307">
        <f t="shared" si="13"/>
        <v>77.03190714929903</v>
      </c>
      <c r="F68" s="307">
        <f t="shared" si="13"/>
        <v>77.856928770142176</v>
      </c>
      <c r="G68" s="307">
        <f t="shared" si="13"/>
        <v>76.60800000026785</v>
      </c>
      <c r="H68" s="307">
        <f t="shared" si="13"/>
        <v>74.574483807798046</v>
      </c>
      <c r="I68" s="307">
        <f t="shared" si="13"/>
        <v>72.335653295368544</v>
      </c>
      <c r="J68" s="307">
        <f t="shared" si="13"/>
        <v>70.472306016086293</v>
      </c>
      <c r="K68" s="307">
        <f t="shared" si="13"/>
        <v>68.897939467007888</v>
      </c>
      <c r="L68" s="307">
        <f t="shared" si="14"/>
        <v>67.317477450015261</v>
      </c>
      <c r="M68" s="307">
        <f t="shared" si="15"/>
        <v>65.992233370960008</v>
      </c>
      <c r="N68" s="307">
        <f t="shared" si="16"/>
        <v>64.859249346978572</v>
      </c>
    </row>
    <row r="69" spans="1:14">
      <c r="B69" s="338" t="str">
        <f t="shared" si="9"/>
        <v>Total</v>
      </c>
      <c r="C69" s="307">
        <f t="shared" si="11"/>
        <v>16222.807833868581</v>
      </c>
      <c r="D69" s="307">
        <f t="shared" si="13"/>
        <v>16740.576888141881</v>
      </c>
      <c r="E69" s="307">
        <f t="shared" si="13"/>
        <v>17016.534285121023</v>
      </c>
      <c r="F69" s="307">
        <f t="shared" si="13"/>
        <v>17235.132939926345</v>
      </c>
      <c r="G69" s="307">
        <f t="shared" si="13"/>
        <v>17478.684119751557</v>
      </c>
      <c r="H69" s="307">
        <f t="shared" si="13"/>
        <v>17689.21057007054</v>
      </c>
      <c r="I69" s="307">
        <f t="shared" si="13"/>
        <v>17834.102971747401</v>
      </c>
      <c r="J69" s="307">
        <f t="shared" si="13"/>
        <v>17988.200070270454</v>
      </c>
      <c r="K69" s="307">
        <f t="shared" si="13"/>
        <v>18108.989129341968</v>
      </c>
      <c r="L69" s="307">
        <f t="shared" si="14"/>
        <v>18131.132439751331</v>
      </c>
      <c r="M69" s="307">
        <f t="shared" si="15"/>
        <v>18134.043689637128</v>
      </c>
      <c r="N69" s="307">
        <f t="shared" si="16"/>
        <v>18109.302771977418</v>
      </c>
    </row>
    <row r="70" spans="1:14">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4" ht="15.75">
      <c r="B72" s="340" t="s">
        <v>150</v>
      </c>
      <c r="H72" s="325"/>
    </row>
    <row r="73" spans="1:14">
      <c r="H73" s="325"/>
    </row>
    <row r="74" spans="1:14">
      <c r="B74" s="341" t="s">
        <v>49</v>
      </c>
      <c r="C74" s="262" t="s">
        <v>453</v>
      </c>
      <c r="H74" s="325"/>
    </row>
    <row r="75" spans="1:14">
      <c r="H75" s="325"/>
    </row>
    <row r="76" spans="1:14">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4">
      <c r="B77" s="338" t="str">
        <f t="shared" si="18"/>
        <v>20-24</v>
      </c>
      <c r="C77" s="459">
        <f>C43-(0.2*C43)</f>
        <v>574.27819600360397</v>
      </c>
      <c r="D77" s="459">
        <f>D43-(0.2*D43)</f>
        <v>826.46841090001726</v>
      </c>
      <c r="E77" s="459">
        <f t="shared" ref="E77:N77" si="20">E43-(0.2*E43)</f>
        <v>963.16784565496414</v>
      </c>
      <c r="F77" s="459">
        <f t="shared" si="20"/>
        <v>1048.4128404388143</v>
      </c>
      <c r="G77" s="459">
        <f t="shared" si="20"/>
        <v>1112.2492213801202</v>
      </c>
      <c r="H77" s="459">
        <f t="shared" si="20"/>
        <v>1152.1789049535948</v>
      </c>
      <c r="I77" s="459">
        <f t="shared" si="20"/>
        <v>1169.735653715783</v>
      </c>
      <c r="J77" s="459">
        <f t="shared" si="20"/>
        <v>1184.2937155795921</v>
      </c>
      <c r="K77" s="459">
        <f t="shared" si="20"/>
        <v>1189.8307914117781</v>
      </c>
      <c r="L77" s="459">
        <f t="shared" si="20"/>
        <v>1177.2304044962375</v>
      </c>
      <c r="M77" s="459">
        <f t="shared" si="20"/>
        <v>1164.5250818637273</v>
      </c>
      <c r="N77" s="459">
        <f t="shared" si="20"/>
        <v>1150.1397433914358</v>
      </c>
    </row>
    <row r="78" spans="1:14">
      <c r="B78" s="338" t="str">
        <f t="shared" si="18"/>
        <v>25-29</v>
      </c>
      <c r="C78" s="459">
        <f t="shared" ref="C78:C85" si="21">C44+(0.2*C43)-(0.2*C44)</f>
        <v>1857.295388623623</v>
      </c>
      <c r="D78" s="459">
        <f t="shared" ref="D78:N78" si="22">D44+(0.2*D43)-(0.2*D44)</f>
        <v>1982.8508002056033</v>
      </c>
      <c r="E78" s="459">
        <f t="shared" si="22"/>
        <v>2069.2357372809124</v>
      </c>
      <c r="F78" s="459">
        <f t="shared" si="22"/>
        <v>2143.4907433105036</v>
      </c>
      <c r="G78" s="459">
        <f t="shared" si="22"/>
        <v>2218.0965306944636</v>
      </c>
      <c r="H78" s="459">
        <f t="shared" si="22"/>
        <v>2277.4527513470234</v>
      </c>
      <c r="I78" s="459">
        <f t="shared" si="22"/>
        <v>2314.1364450745227</v>
      </c>
      <c r="J78" s="459">
        <f t="shared" si="22"/>
        <v>2346.6224289537095</v>
      </c>
      <c r="K78" s="459">
        <f t="shared" si="22"/>
        <v>2366.6496781960996</v>
      </c>
      <c r="L78" s="459">
        <f t="shared" si="22"/>
        <v>2360.8747446544098</v>
      </c>
      <c r="M78" s="459">
        <f t="shared" si="22"/>
        <v>2349.3715045004433</v>
      </c>
      <c r="N78" s="459">
        <f t="shared" si="22"/>
        <v>2331.685833069711</v>
      </c>
    </row>
    <row r="79" spans="1:14">
      <c r="B79" s="338" t="str">
        <f t="shared" si="18"/>
        <v>30-34</v>
      </c>
      <c r="C79" s="459">
        <f t="shared" si="21"/>
        <v>2158.696995240648</v>
      </c>
      <c r="D79" s="459">
        <f t="shared" ref="D79:N79" si="23">D45+(0.2*D44)-(0.2*D45)</f>
        <v>2266.0406229479895</v>
      </c>
      <c r="E79" s="459">
        <f t="shared" si="23"/>
        <v>2339.9697970407647</v>
      </c>
      <c r="F79" s="459">
        <f t="shared" si="23"/>
        <v>2403.5953542346974</v>
      </c>
      <c r="G79" s="459">
        <f t="shared" si="23"/>
        <v>2468.1498593891019</v>
      </c>
      <c r="H79" s="459">
        <f t="shared" si="23"/>
        <v>2526.3468822843956</v>
      </c>
      <c r="I79" s="459">
        <f t="shared" si="23"/>
        <v>2572.501258310951</v>
      </c>
      <c r="J79" s="459">
        <f t="shared" si="23"/>
        <v>2615.2107930089951</v>
      </c>
      <c r="K79" s="459">
        <f t="shared" si="23"/>
        <v>2649.2422419292607</v>
      </c>
      <c r="L79" s="459">
        <f t="shared" si="23"/>
        <v>2665.3929928146808</v>
      </c>
      <c r="M79" s="459">
        <f t="shared" si="23"/>
        <v>2673.2009995018998</v>
      </c>
      <c r="N79" s="459">
        <f t="shared" si="23"/>
        <v>2672.5590830684469</v>
      </c>
    </row>
    <row r="80" spans="1:14">
      <c r="B80" s="338" t="str">
        <f t="shared" si="18"/>
        <v>35-39</v>
      </c>
      <c r="C80" s="459">
        <f t="shared" si="21"/>
        <v>2003.8910573699613</v>
      </c>
      <c r="D80" s="459">
        <f t="shared" ref="D80:N80" si="24">D46+(0.2*D45)-(0.2*D46)</f>
        <v>2098.6940223850384</v>
      </c>
      <c r="E80" s="459">
        <f t="shared" si="24"/>
        <v>2170.796396306107</v>
      </c>
      <c r="F80" s="459">
        <f t="shared" si="24"/>
        <v>2233.6628378767705</v>
      </c>
      <c r="G80" s="459">
        <f t="shared" si="24"/>
        <v>2294.6645963931815</v>
      </c>
      <c r="H80" s="459">
        <f t="shared" si="24"/>
        <v>2349.8967715000172</v>
      </c>
      <c r="I80" s="459">
        <f t="shared" si="24"/>
        <v>2396.7243202368263</v>
      </c>
      <c r="J80" s="459">
        <f t="shared" si="24"/>
        <v>2441.2120814475488</v>
      </c>
      <c r="K80" s="459">
        <f t="shared" si="24"/>
        <v>2479.8809037755882</v>
      </c>
      <c r="L80" s="459">
        <f t="shared" si="24"/>
        <v>2506.7165810518195</v>
      </c>
      <c r="M80" s="459">
        <f t="shared" si="24"/>
        <v>2527.5837156849552</v>
      </c>
      <c r="N80" s="459">
        <f t="shared" si="24"/>
        <v>2541.6867439600801</v>
      </c>
    </row>
    <row r="81" spans="1:15">
      <c r="B81" s="338" t="str">
        <f t="shared" si="18"/>
        <v>40-44</v>
      </c>
      <c r="C81" s="459">
        <f t="shared" si="21"/>
        <v>2037.7743618161498</v>
      </c>
      <c r="D81" s="459">
        <f t="shared" ref="D81:N81" si="25">D47+(0.2*D46)-(0.2*D47)</f>
        <v>2060.516706876027</v>
      </c>
      <c r="E81" s="459">
        <f t="shared" si="25"/>
        <v>2080.0083103085358</v>
      </c>
      <c r="F81" s="459">
        <f t="shared" si="25"/>
        <v>2104.3003066719793</v>
      </c>
      <c r="G81" s="459">
        <f t="shared" si="25"/>
        <v>2136.1519781634129</v>
      </c>
      <c r="H81" s="459">
        <f t="shared" si="25"/>
        <v>2169.4876783149693</v>
      </c>
      <c r="I81" s="459">
        <f t="shared" si="25"/>
        <v>2200.4091836889575</v>
      </c>
      <c r="J81" s="459">
        <f t="shared" si="25"/>
        <v>2233.0541339355327</v>
      </c>
      <c r="K81" s="459">
        <f t="shared" si="25"/>
        <v>2263.6874037511852</v>
      </c>
      <c r="L81" s="459">
        <f t="shared" si="25"/>
        <v>2286.8486570477789</v>
      </c>
      <c r="M81" s="459">
        <f t="shared" si="25"/>
        <v>2307.3399461493937</v>
      </c>
      <c r="N81" s="459">
        <f t="shared" si="25"/>
        <v>2324.0848571361535</v>
      </c>
    </row>
    <row r="82" spans="1:15">
      <c r="B82" s="338" t="str">
        <f t="shared" si="18"/>
        <v>45-49</v>
      </c>
      <c r="C82" s="459">
        <f t="shared" si="21"/>
        <v>1900.7936607493557</v>
      </c>
      <c r="D82" s="459">
        <f t="shared" ref="D82:N82" si="26">D48+(0.2*D47)-(0.2*D48)</f>
        <v>1909.6316079212329</v>
      </c>
      <c r="E82" s="459">
        <f t="shared" si="26"/>
        <v>1908.1676921177527</v>
      </c>
      <c r="F82" s="459">
        <f t="shared" si="26"/>
        <v>1907.8518290671216</v>
      </c>
      <c r="G82" s="459">
        <f t="shared" si="26"/>
        <v>1913.9003226759712</v>
      </c>
      <c r="H82" s="459">
        <f t="shared" si="26"/>
        <v>1922.9277360349465</v>
      </c>
      <c r="I82" s="459">
        <f t="shared" si="26"/>
        <v>1932.4181959309972</v>
      </c>
      <c r="J82" s="459">
        <f t="shared" si="26"/>
        <v>1945.9172621733474</v>
      </c>
      <c r="K82" s="459">
        <f t="shared" si="26"/>
        <v>1960.3421878450583</v>
      </c>
      <c r="L82" s="459">
        <f t="shared" si="26"/>
        <v>1971.0893668307685</v>
      </c>
      <c r="M82" s="459">
        <f t="shared" si="26"/>
        <v>1981.8795994317372</v>
      </c>
      <c r="N82" s="459">
        <f t="shared" si="26"/>
        <v>1991.6701704702446</v>
      </c>
    </row>
    <row r="83" spans="1:15">
      <c r="B83" s="338" t="str">
        <f t="shared" si="18"/>
        <v>50-54</v>
      </c>
      <c r="C83" s="459">
        <f t="shared" si="21"/>
        <v>1626.4833831562139</v>
      </c>
      <c r="D83" s="459">
        <f t="shared" ref="D83:N83" si="27">D49+(0.2*D48)-(0.2*D49)</f>
        <v>1612.037999989823</v>
      </c>
      <c r="E83" s="459">
        <f t="shared" si="27"/>
        <v>1594.3073998722718</v>
      </c>
      <c r="F83" s="459">
        <f t="shared" si="27"/>
        <v>1579.283349374587</v>
      </c>
      <c r="G83" s="459">
        <f t="shared" si="27"/>
        <v>1569.8574763133299</v>
      </c>
      <c r="H83" s="459">
        <f t="shared" si="27"/>
        <v>1563.2848195098213</v>
      </c>
      <c r="I83" s="459">
        <f t="shared" si="27"/>
        <v>1557.8024754597868</v>
      </c>
      <c r="J83" s="459">
        <f t="shared" si="27"/>
        <v>1556.2565692127089</v>
      </c>
      <c r="K83" s="459">
        <f t="shared" si="27"/>
        <v>1556.5108971466925</v>
      </c>
      <c r="L83" s="459">
        <f t="shared" si="27"/>
        <v>1555.2424547398325</v>
      </c>
      <c r="M83" s="459">
        <f t="shared" si="27"/>
        <v>1555.2916393378102</v>
      </c>
      <c r="N83" s="459">
        <f t="shared" si="27"/>
        <v>1555.8862237334254</v>
      </c>
    </row>
    <row r="84" spans="1:15">
      <c r="B84" s="338" t="str">
        <f t="shared" si="18"/>
        <v>55-59</v>
      </c>
      <c r="C84" s="459">
        <f t="shared" si="21"/>
        <v>1103.4918789931457</v>
      </c>
      <c r="D84" s="459">
        <f t="shared" ref="D84:N84" si="28">D50+(0.2*D49)-(0.2*D50)</f>
        <v>1020.1185974539874</v>
      </c>
      <c r="E84" s="459">
        <f t="shared" si="28"/>
        <v>961.69053465768422</v>
      </c>
      <c r="F84" s="459">
        <f t="shared" si="28"/>
        <v>922.31339745090554</v>
      </c>
      <c r="G84" s="459">
        <f t="shared" si="28"/>
        <v>897.14680224558902</v>
      </c>
      <c r="H84" s="459">
        <f t="shared" si="28"/>
        <v>879.83493152113647</v>
      </c>
      <c r="I84" s="459">
        <f t="shared" si="28"/>
        <v>866.67135946594522</v>
      </c>
      <c r="J84" s="459">
        <f t="shared" si="28"/>
        <v>858.30211681394144</v>
      </c>
      <c r="K84" s="459">
        <f t="shared" si="28"/>
        <v>852.28162189723798</v>
      </c>
      <c r="L84" s="459">
        <f t="shared" si="28"/>
        <v>845.91545429629105</v>
      </c>
      <c r="M84" s="459">
        <f t="shared" si="28"/>
        <v>841.20438524715519</v>
      </c>
      <c r="N84" s="459">
        <f t="shared" si="28"/>
        <v>837.434175977785</v>
      </c>
    </row>
    <row r="85" spans="1:15">
      <c r="B85" s="338" t="str">
        <f t="shared" si="18"/>
        <v>60-64</v>
      </c>
      <c r="C85" s="459">
        <f t="shared" si="21"/>
        <v>506.353043707545</v>
      </c>
      <c r="D85" s="459">
        <f t="shared" ref="D85:N85" si="29">D51+(0.2*D50)-(0.2*D51)</f>
        <v>449.2340853278327</v>
      </c>
      <c r="E85" s="459">
        <f t="shared" si="29"/>
        <v>405.82153821485804</v>
      </c>
      <c r="F85" s="459">
        <f t="shared" si="29"/>
        <v>375.34291180103662</v>
      </c>
      <c r="G85" s="459">
        <f t="shared" si="29"/>
        <v>355.24931442219429</v>
      </c>
      <c r="H85" s="459">
        <f t="shared" si="29"/>
        <v>341.42925509992551</v>
      </c>
      <c r="I85" s="459">
        <f t="shared" si="29"/>
        <v>331.25334620655235</v>
      </c>
      <c r="J85" s="459">
        <f t="shared" si="29"/>
        <v>324.61037853710951</v>
      </c>
      <c r="K85" s="459">
        <f t="shared" si="29"/>
        <v>319.73807963924685</v>
      </c>
      <c r="L85" s="459">
        <f t="shared" si="29"/>
        <v>314.95547499644164</v>
      </c>
      <c r="M85" s="459">
        <f t="shared" si="29"/>
        <v>311.31784548185163</v>
      </c>
      <c r="N85" s="459">
        <f t="shared" si="29"/>
        <v>308.32969001095586</v>
      </c>
    </row>
    <row r="86" spans="1:15">
      <c r="B86" s="338" t="str">
        <f t="shared" si="18"/>
        <v>65 plus</v>
      </c>
      <c r="C86" s="459">
        <f>C52+(0.2*C51)</f>
        <v>158.12935148910691</v>
      </c>
      <c r="D86" s="459">
        <f t="shared" ref="D86:N86" si="30">D52+(0.2*D51)</f>
        <v>161.94041516803824</v>
      </c>
      <c r="E86" s="459">
        <f t="shared" si="30"/>
        <v>155.83185178762329</v>
      </c>
      <c r="F86" s="459">
        <f t="shared" si="30"/>
        <v>146.97518210044632</v>
      </c>
      <c r="G86" s="459">
        <f t="shared" si="30"/>
        <v>138.67779091835956</v>
      </c>
      <c r="H86" s="459">
        <f t="shared" si="30"/>
        <v>131.61790110929221</v>
      </c>
      <c r="I86" s="459">
        <f t="shared" si="30"/>
        <v>125.77912007865326</v>
      </c>
      <c r="J86" s="459">
        <f t="shared" si="30"/>
        <v>121.47298877837795</v>
      </c>
      <c r="K86" s="459">
        <f t="shared" si="30"/>
        <v>118.18173615005627</v>
      </c>
      <c r="L86" s="459">
        <f t="shared" si="30"/>
        <v>115.23823391812391</v>
      </c>
      <c r="M86" s="459">
        <f t="shared" si="30"/>
        <v>112.92406007235653</v>
      </c>
      <c r="N86" s="459">
        <f t="shared" si="30"/>
        <v>111.03323574660112</v>
      </c>
    </row>
    <row r="87" spans="1:15">
      <c r="B87" s="338" t="str">
        <f t="shared" si="18"/>
        <v>Total</v>
      </c>
      <c r="C87" s="459">
        <f>SUM(C77:C86)</f>
        <v>13927.187317149352</v>
      </c>
      <c r="D87" s="459">
        <f t="shared" ref="D87:N87" si="31">SUM(D77:D86)</f>
        <v>14387.53326917559</v>
      </c>
      <c r="E87" s="459">
        <f t="shared" si="31"/>
        <v>14648.997103241474</v>
      </c>
      <c r="F87" s="459">
        <f t="shared" si="31"/>
        <v>14865.228752326864</v>
      </c>
      <c r="G87" s="459">
        <f t="shared" si="31"/>
        <v>15104.143892595723</v>
      </c>
      <c r="H87" s="459">
        <f t="shared" si="31"/>
        <v>15314.457631675121</v>
      </c>
      <c r="I87" s="459">
        <f t="shared" si="31"/>
        <v>15467.431358168975</v>
      </c>
      <c r="J87" s="459">
        <f t="shared" si="31"/>
        <v>15626.952468440863</v>
      </c>
      <c r="K87" s="459">
        <f t="shared" si="31"/>
        <v>15756.345541742205</v>
      </c>
      <c r="L87" s="459">
        <f t="shared" si="31"/>
        <v>15799.504364846385</v>
      </c>
      <c r="M87" s="459">
        <f t="shared" si="31"/>
        <v>15824.638777271331</v>
      </c>
      <c r="N87" s="459">
        <f t="shared" si="31"/>
        <v>15824.509756564839</v>
      </c>
    </row>
    <row r="88" spans="1:15">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5">
      <c r="B90" s="341" t="s">
        <v>50</v>
      </c>
      <c r="H90" s="325"/>
    </row>
    <row r="91" spans="1:15">
      <c r="H91" s="325"/>
    </row>
    <row r="92" spans="1:15">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5">
      <c r="B93" s="338" t="str">
        <f t="shared" si="33"/>
        <v>20-24</v>
      </c>
      <c r="C93" s="459">
        <f>C59-(0.2*C59)</f>
        <v>1069.0407772374276</v>
      </c>
      <c r="D93" s="459">
        <f t="shared" ref="D93:N93" si="35">D59-(0.2*D59)</f>
        <v>1252.8487705272819</v>
      </c>
      <c r="E93" s="459">
        <f t="shared" si="35"/>
        <v>1339.2718985373278</v>
      </c>
      <c r="F93" s="459">
        <f t="shared" si="35"/>
        <v>1389.8427409148392</v>
      </c>
      <c r="G93" s="459">
        <f t="shared" si="35"/>
        <v>1431.4879575887239</v>
      </c>
      <c r="H93" s="459">
        <f t="shared" si="35"/>
        <v>1456.1475844874622</v>
      </c>
      <c r="I93" s="459">
        <f t="shared" si="35"/>
        <v>1461.9560405002205</v>
      </c>
      <c r="J93" s="459">
        <f t="shared" si="35"/>
        <v>1468.9469911822689</v>
      </c>
      <c r="K93" s="459">
        <f t="shared" si="35"/>
        <v>1468.6565948329492</v>
      </c>
      <c r="L93" s="459">
        <f t="shared" si="35"/>
        <v>1449.3483666151467</v>
      </c>
      <c r="M93" s="459">
        <f t="shared" si="35"/>
        <v>1431.089919377481</v>
      </c>
      <c r="N93" s="459">
        <f t="shared" si="35"/>
        <v>1411.6942820489828</v>
      </c>
      <c r="O93" s="327"/>
    </row>
    <row r="94" spans="1:15">
      <c r="B94" s="338" t="str">
        <f t="shared" si="33"/>
        <v>25-29</v>
      </c>
      <c r="C94" s="459">
        <f t="shared" ref="C94:C101" si="36">C60+(0.2*C59)-(0.2*C60)</f>
        <v>2562.4200754647991</v>
      </c>
      <c r="D94" s="459">
        <f t="shared" ref="D94:N94" si="37">D60+(0.2*D59)-(0.2*D60)</f>
        <v>2670.1199583841353</v>
      </c>
      <c r="E94" s="459">
        <f t="shared" si="37"/>
        <v>2725.0486752401857</v>
      </c>
      <c r="F94" s="459">
        <f t="shared" si="37"/>
        <v>2766.7075829106843</v>
      </c>
      <c r="G94" s="459">
        <f t="shared" si="37"/>
        <v>2813.3810770419641</v>
      </c>
      <c r="H94" s="459">
        <f t="shared" si="37"/>
        <v>2848.3079561449686</v>
      </c>
      <c r="I94" s="459">
        <f t="shared" si="37"/>
        <v>2862.9229448237929</v>
      </c>
      <c r="J94" s="459">
        <f t="shared" si="37"/>
        <v>2878.1628640605941</v>
      </c>
      <c r="K94" s="459">
        <f t="shared" si="37"/>
        <v>2883.6445050818793</v>
      </c>
      <c r="L94" s="459">
        <f t="shared" si="37"/>
        <v>2862.9918959890706</v>
      </c>
      <c r="M94" s="459">
        <f t="shared" si="37"/>
        <v>2838.7421698831795</v>
      </c>
      <c r="N94" s="459">
        <f t="shared" si="37"/>
        <v>2809.6937000054359</v>
      </c>
      <c r="O94" s="327"/>
    </row>
    <row r="95" spans="1:15">
      <c r="B95" s="338" t="str">
        <f t="shared" si="33"/>
        <v>30-34</v>
      </c>
      <c r="C95" s="459">
        <f t="shared" si="36"/>
        <v>2396.9031611642713</v>
      </c>
      <c r="D95" s="459">
        <f t="shared" ref="D95:N95" si="38">D61+(0.2*D60)-(0.2*D61)</f>
        <v>2586.297215144119</v>
      </c>
      <c r="E95" s="459">
        <f t="shared" si="38"/>
        <v>2710.236166811243</v>
      </c>
      <c r="F95" s="459">
        <f t="shared" si="38"/>
        <v>2802.2546693236659</v>
      </c>
      <c r="G95" s="459">
        <f t="shared" si="38"/>
        <v>2881.2483791591344</v>
      </c>
      <c r="H95" s="459">
        <f t="shared" si="38"/>
        <v>2943.4121990329772</v>
      </c>
      <c r="I95" s="459">
        <f t="shared" si="38"/>
        <v>2985.9035911203741</v>
      </c>
      <c r="J95" s="459">
        <f t="shared" si="38"/>
        <v>3021.5969113889487</v>
      </c>
      <c r="K95" s="459">
        <f t="shared" si="38"/>
        <v>3046.2118429254729</v>
      </c>
      <c r="L95" s="459">
        <f t="shared" si="38"/>
        <v>3050.3041458103044</v>
      </c>
      <c r="M95" s="459">
        <f t="shared" si="38"/>
        <v>3045.9262966288707</v>
      </c>
      <c r="N95" s="459">
        <f t="shared" si="38"/>
        <v>3033.3145009369196</v>
      </c>
      <c r="O95" s="327"/>
    </row>
    <row r="96" spans="1:15">
      <c r="B96" s="338" t="str">
        <f t="shared" si="33"/>
        <v>35-39</v>
      </c>
      <c r="C96" s="459">
        <f t="shared" si="36"/>
        <v>2186.1118087880595</v>
      </c>
      <c r="D96" s="459">
        <f t="shared" ref="D96:N96" si="39">D62+(0.2*D61)-(0.2*D62)</f>
        <v>2295.2708445868252</v>
      </c>
      <c r="E96" s="459">
        <f t="shared" si="39"/>
        <v>2389.0749569479058</v>
      </c>
      <c r="F96" s="459">
        <f t="shared" si="39"/>
        <v>2475.7368059816849</v>
      </c>
      <c r="G96" s="459">
        <f t="shared" si="39"/>
        <v>2559.3685103000516</v>
      </c>
      <c r="H96" s="459">
        <f t="shared" si="39"/>
        <v>2633.0929718514572</v>
      </c>
      <c r="I96" s="459">
        <f t="shared" si="39"/>
        <v>2693.0246135407851</v>
      </c>
      <c r="J96" s="459">
        <f t="shared" si="39"/>
        <v>2746.3497379210771</v>
      </c>
      <c r="K96" s="459">
        <f t="shared" si="39"/>
        <v>2789.5573455408958</v>
      </c>
      <c r="L96" s="459">
        <f t="shared" si="39"/>
        <v>2816.4099926097365</v>
      </c>
      <c r="M96" s="459">
        <f t="shared" si="39"/>
        <v>2834.6055807793086</v>
      </c>
      <c r="N96" s="459">
        <f t="shared" si="39"/>
        <v>2843.9569532087639</v>
      </c>
      <c r="O96" s="327"/>
    </row>
    <row r="97" spans="1:15">
      <c r="B97" s="338" t="str">
        <f t="shared" si="33"/>
        <v>40-44</v>
      </c>
      <c r="C97" s="459">
        <f t="shared" si="36"/>
        <v>2136.0840675313652</v>
      </c>
      <c r="D97" s="459">
        <f t="shared" ref="D97:N97" si="40">D63+(0.2*D62)-(0.2*D63)</f>
        <v>2184.6876520022693</v>
      </c>
      <c r="E97" s="459">
        <f t="shared" si="40"/>
        <v>2223.239541783767</v>
      </c>
      <c r="F97" s="459">
        <f t="shared" si="40"/>
        <v>2264.8483140974395</v>
      </c>
      <c r="G97" s="459">
        <f t="shared" si="40"/>
        <v>2314.0448238504114</v>
      </c>
      <c r="H97" s="459">
        <f t="shared" si="40"/>
        <v>2363.8758215796565</v>
      </c>
      <c r="I97" s="459">
        <f t="shared" si="40"/>
        <v>2409.4991848174805</v>
      </c>
      <c r="J97" s="459">
        <f t="shared" si="40"/>
        <v>2455.385425206664</v>
      </c>
      <c r="K97" s="459">
        <f t="shared" si="40"/>
        <v>2496.9201645530584</v>
      </c>
      <c r="L97" s="459">
        <f t="shared" si="40"/>
        <v>2527.672031696377</v>
      </c>
      <c r="M97" s="459">
        <f t="shared" si="40"/>
        <v>2553.3592637114371</v>
      </c>
      <c r="N97" s="459">
        <f t="shared" si="40"/>
        <v>2572.9477958226958</v>
      </c>
      <c r="O97" s="327"/>
    </row>
    <row r="98" spans="1:15">
      <c r="B98" s="338" t="str">
        <f t="shared" si="33"/>
        <v>45-49</v>
      </c>
      <c r="C98" s="459">
        <f t="shared" si="36"/>
        <v>2128.1938841438327</v>
      </c>
      <c r="D98" s="459">
        <f t="shared" ref="D98:N98" si="41">D64+(0.2*D63)-(0.2*D64)</f>
        <v>2116.6204394541419</v>
      </c>
      <c r="E98" s="459">
        <f t="shared" si="41"/>
        <v>2102.9902396121743</v>
      </c>
      <c r="F98" s="459">
        <f t="shared" si="41"/>
        <v>2096.8037838929095</v>
      </c>
      <c r="G98" s="459">
        <f t="shared" si="41"/>
        <v>2102.0198299189892</v>
      </c>
      <c r="H98" s="459">
        <f t="shared" si="41"/>
        <v>2113.3910062716641</v>
      </c>
      <c r="I98" s="459">
        <f t="shared" si="41"/>
        <v>2127.0622139484667</v>
      </c>
      <c r="J98" s="459">
        <f t="shared" si="41"/>
        <v>2146.435512897945</v>
      </c>
      <c r="K98" s="459">
        <f t="shared" si="41"/>
        <v>2167.3210959729936</v>
      </c>
      <c r="L98" s="459">
        <f t="shared" si="41"/>
        <v>2183.8728445926258</v>
      </c>
      <c r="M98" s="459">
        <f t="shared" si="41"/>
        <v>2200.0619510902488</v>
      </c>
      <c r="N98" s="459">
        <f t="shared" si="41"/>
        <v>2214.4282113369031</v>
      </c>
      <c r="O98" s="327"/>
    </row>
    <row r="99" spans="1:15">
      <c r="B99" s="338" t="str">
        <f t="shared" si="33"/>
        <v>50-54</v>
      </c>
      <c r="C99" s="459">
        <f t="shared" si="36"/>
        <v>1847.5936519186082</v>
      </c>
      <c r="D99" s="459">
        <f t="shared" ref="D99:N99" si="42">D65+(0.2*D64)-(0.2*D65)</f>
        <v>1837.6579098562922</v>
      </c>
      <c r="E99" s="459">
        <f t="shared" si="42"/>
        <v>1817.8692854614922</v>
      </c>
      <c r="F99" s="459">
        <f t="shared" si="42"/>
        <v>1798.7126411554636</v>
      </c>
      <c r="G99" s="459">
        <f t="shared" si="42"/>
        <v>1785.4016185393673</v>
      </c>
      <c r="H99" s="459">
        <f t="shared" si="42"/>
        <v>1775.6908508347158</v>
      </c>
      <c r="I99" s="459">
        <f t="shared" si="42"/>
        <v>1767.9550409768087</v>
      </c>
      <c r="J99" s="459">
        <f t="shared" si="42"/>
        <v>1765.6371788881106</v>
      </c>
      <c r="K99" s="459">
        <f t="shared" si="42"/>
        <v>1766.2237347926512</v>
      </c>
      <c r="L99" s="459">
        <f t="shared" si="42"/>
        <v>1765.7042285725724</v>
      </c>
      <c r="M99" s="459">
        <f t="shared" si="42"/>
        <v>1767.1797175648171</v>
      </c>
      <c r="N99" s="459">
        <f t="shared" si="42"/>
        <v>1769.5519761246151</v>
      </c>
      <c r="O99" s="327"/>
    </row>
    <row r="100" spans="1:15">
      <c r="B100" s="338" t="str">
        <f t="shared" si="33"/>
        <v>55-59</v>
      </c>
      <c r="C100" s="459">
        <f t="shared" si="36"/>
        <v>1276.4659312683741</v>
      </c>
      <c r="D100" s="459">
        <f t="shared" ref="D100:N100" si="43">D66+(0.2*D65)-(0.2*D66)</f>
        <v>1191.2677976124476</v>
      </c>
      <c r="E100" s="459">
        <f t="shared" si="43"/>
        <v>1130.5415997262762</v>
      </c>
      <c r="F100" s="459">
        <f t="shared" si="43"/>
        <v>1088.4745822539626</v>
      </c>
      <c r="G100" s="459">
        <f t="shared" si="43"/>
        <v>1060.624640621191</v>
      </c>
      <c r="H100" s="459">
        <f t="shared" si="43"/>
        <v>1040.5835005707779</v>
      </c>
      <c r="I100" s="459">
        <f t="shared" si="43"/>
        <v>1024.7194823524494</v>
      </c>
      <c r="J100" s="459">
        <f t="shared" si="43"/>
        <v>1014.225815634083</v>
      </c>
      <c r="K100" s="459">
        <f t="shared" si="43"/>
        <v>1006.5561607640038</v>
      </c>
      <c r="L100" s="459">
        <f t="shared" si="43"/>
        <v>998.71538912233473</v>
      </c>
      <c r="M100" s="459">
        <f t="shared" si="43"/>
        <v>993.05574725030169</v>
      </c>
      <c r="N100" s="459">
        <f t="shared" si="43"/>
        <v>988.75158938219033</v>
      </c>
      <c r="O100" s="327"/>
    </row>
    <row r="101" spans="1:15">
      <c r="B101" s="338" t="str">
        <f t="shared" si="33"/>
        <v>60-64</v>
      </c>
      <c r="C101" s="459">
        <f t="shared" si="36"/>
        <v>497.15252807823163</v>
      </c>
      <c r="D101" s="459">
        <f t="shared" ref="D101:N101" si="44">D67+(0.2*D66)-(0.2*D67)</f>
        <v>469.56915697375456</v>
      </c>
      <c r="E101" s="459">
        <f t="shared" si="44"/>
        <v>439.9861216789472</v>
      </c>
      <c r="F101" s="459">
        <f t="shared" si="44"/>
        <v>416.21507800409734</v>
      </c>
      <c r="G101" s="459">
        <f t="shared" si="44"/>
        <v>399.46326761666501</v>
      </c>
      <c r="H101" s="459">
        <f t="shared" si="44"/>
        <v>387.09884494009282</v>
      </c>
      <c r="I101" s="459">
        <f t="shared" si="44"/>
        <v>377.29122093331728</v>
      </c>
      <c r="J101" s="459">
        <f t="shared" si="44"/>
        <v>370.6395372947722</v>
      </c>
      <c r="K101" s="459">
        <f t="shared" si="44"/>
        <v>365.49878058925469</v>
      </c>
      <c r="L101" s="459">
        <f t="shared" si="44"/>
        <v>360.18284431397024</v>
      </c>
      <c r="M101" s="459">
        <f t="shared" si="44"/>
        <v>356.10326285683834</v>
      </c>
      <c r="N101" s="459">
        <f t="shared" si="44"/>
        <v>352.74910262619215</v>
      </c>
      <c r="O101" s="327"/>
    </row>
    <row r="102" spans="1:15">
      <c r="B102" s="338" t="str">
        <f t="shared" si="33"/>
        <v>65 plus</v>
      </c>
      <c r="C102" s="459">
        <f>C68+(0.2*C67)</f>
        <v>122.84194827361303</v>
      </c>
      <c r="D102" s="459">
        <f t="shared" ref="D102:N102" si="45">D68+(0.2*D67)</f>
        <v>136.23714360061643</v>
      </c>
      <c r="E102" s="459">
        <f t="shared" si="45"/>
        <v>138.2757993217009</v>
      </c>
      <c r="F102" s="459">
        <f t="shared" si="45"/>
        <v>135.53674139159682</v>
      </c>
      <c r="G102" s="459">
        <f t="shared" si="45"/>
        <v>131.64401511505528</v>
      </c>
      <c r="H102" s="459">
        <f t="shared" si="45"/>
        <v>127.60983435676903</v>
      </c>
      <c r="I102" s="459">
        <f t="shared" si="45"/>
        <v>123.76863873370367</v>
      </c>
      <c r="J102" s="459">
        <f t="shared" si="45"/>
        <v>120.82009579598855</v>
      </c>
      <c r="K102" s="459">
        <f t="shared" si="45"/>
        <v>118.39890428881037</v>
      </c>
      <c r="L102" s="459">
        <f t="shared" si="45"/>
        <v>115.93070042919199</v>
      </c>
      <c r="M102" s="459">
        <f t="shared" si="45"/>
        <v>113.91978049464797</v>
      </c>
      <c r="N102" s="459">
        <f t="shared" si="45"/>
        <v>112.21466048471974</v>
      </c>
      <c r="O102" s="327"/>
    </row>
    <row r="103" spans="1:15">
      <c r="B103" s="338" t="str">
        <f t="shared" si="33"/>
        <v>Total</v>
      </c>
      <c r="C103" s="459">
        <f>SUM(C93:C102)</f>
        <v>16222.807833868583</v>
      </c>
      <c r="D103" s="459">
        <f t="shared" ref="D103:N103" si="46">SUM(D93:D102)</f>
        <v>16740.576888141884</v>
      </c>
      <c r="E103" s="459">
        <f t="shared" si="46"/>
        <v>17016.534285121019</v>
      </c>
      <c r="F103" s="459">
        <f t="shared" si="46"/>
        <v>17235.132939926341</v>
      </c>
      <c r="G103" s="459">
        <f t="shared" si="46"/>
        <v>17478.684119751557</v>
      </c>
      <c r="H103" s="459">
        <f t="shared" si="46"/>
        <v>17689.210570070543</v>
      </c>
      <c r="I103" s="459">
        <f t="shared" si="46"/>
        <v>17834.102971747401</v>
      </c>
      <c r="J103" s="459">
        <f t="shared" si="46"/>
        <v>17988.200070270454</v>
      </c>
      <c r="K103" s="459">
        <f t="shared" si="46"/>
        <v>18108.989129341971</v>
      </c>
      <c r="L103" s="459">
        <f t="shared" si="46"/>
        <v>18131.132439751331</v>
      </c>
      <c r="M103" s="459">
        <f t="shared" si="46"/>
        <v>18134.043689637136</v>
      </c>
      <c r="N103" s="459">
        <f t="shared" si="46"/>
        <v>18109.302771977418</v>
      </c>
      <c r="O103" s="327"/>
    </row>
    <row r="104" spans="1:15">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5" ht="15.75">
      <c r="B106" s="340" t="s">
        <v>151</v>
      </c>
      <c r="H106" s="325"/>
    </row>
    <row r="107" spans="1:15">
      <c r="D107" s="325"/>
      <c r="H107" s="325"/>
    </row>
    <row r="108" spans="1:15">
      <c r="B108" s="341" t="s">
        <v>49</v>
      </c>
      <c r="H108" s="325"/>
    </row>
    <row r="109" spans="1:15">
      <c r="H109" s="325"/>
    </row>
    <row r="110" spans="1:15">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5">
      <c r="B111" s="338" t="str">
        <f t="shared" si="48"/>
        <v>20-24</v>
      </c>
      <c r="C111" s="459">
        <f>C77*Group_1_rates!E74</f>
        <v>81.519073104151261</v>
      </c>
      <c r="D111" s="459">
        <f>D77*Group_1_rates!F74</f>
        <v>117.31759846582688</v>
      </c>
      <c r="E111" s="459">
        <f>E77*Group_1_rates!G74</f>
        <v>136.72215063694</v>
      </c>
      <c r="F111" s="459">
        <f>F77*Group_1_rates!H74</f>
        <v>148.82271968153606</v>
      </c>
      <c r="G111" s="459">
        <f>G77*Group_1_rates!I74</f>
        <v>157.88432543441425</v>
      </c>
      <c r="H111" s="459">
        <f>H77*Group_1_rates!J74</f>
        <v>163.55236370733394</v>
      </c>
      <c r="I111" s="459">
        <f>I77*Group_1_rates!K74</f>
        <v>166.04455285150797</v>
      </c>
      <c r="J111" s="459">
        <f>J77*Group_1_rates!L74</f>
        <v>168.11107691177924</v>
      </c>
      <c r="K111" s="459">
        <f>K77*Group_1_rates!M74</f>
        <v>168.897067556537</v>
      </c>
      <c r="L111" s="459">
        <f>L77*Group_1_rates!N74</f>
        <v>167.10843642051856</v>
      </c>
      <c r="M111" s="459">
        <f>M77*Group_1_rates!O74</f>
        <v>165.30490960773159</v>
      </c>
      <c r="N111" s="459">
        <f>N77*Group_1_rates!P74</f>
        <v>163.26290371805763</v>
      </c>
    </row>
    <row r="112" spans="1:15">
      <c r="B112" s="338" t="str">
        <f t="shared" si="48"/>
        <v>25-29</v>
      </c>
      <c r="C112" s="459">
        <f>C78*Group_1_rates!E75</f>
        <v>195.68902311338846</v>
      </c>
      <c r="D112" s="459">
        <f>D78*Group_1_rates!F75</f>
        <v>208.91783743639442</v>
      </c>
      <c r="E112" s="459">
        <f>E78*Group_1_rates!G75</f>
        <v>218.01955817049165</v>
      </c>
      <c r="F112" s="459">
        <f>F78*Group_1_rates!H75</f>
        <v>225.84324075766364</v>
      </c>
      <c r="G112" s="459">
        <f>G78*Group_1_rates!I75</f>
        <v>233.70388249575115</v>
      </c>
      <c r="H112" s="459">
        <f>H78*Group_1_rates!J75</f>
        <v>239.95779391250747</v>
      </c>
      <c r="I112" s="459">
        <f>I78*Group_1_rates!K75</f>
        <v>243.82287441273144</v>
      </c>
      <c r="J112" s="459">
        <f>J78*Group_1_rates!L75</f>
        <v>247.24567430182523</v>
      </c>
      <c r="K112" s="459">
        <f>K78*Group_1_rates!M75</f>
        <v>249.35579252205943</v>
      </c>
      <c r="L112" s="459">
        <f>L78*Group_1_rates!N75</f>
        <v>248.74733190225706</v>
      </c>
      <c r="M112" s="459">
        <f>M78*Group_1_rates!O75</f>
        <v>247.53532338591836</v>
      </c>
      <c r="N112" s="459">
        <f>N78*Group_1_rates!P75</f>
        <v>245.67191932720851</v>
      </c>
    </row>
    <row r="113" spans="1:16">
      <c r="B113" s="338" t="str">
        <f t="shared" si="48"/>
        <v>30-34</v>
      </c>
      <c r="C113" s="459">
        <f>C79*Group_1_rates!E76</f>
        <v>158.05731077934175</v>
      </c>
      <c r="D113" s="459">
        <f>D79*Group_1_rates!F76</f>
        <v>165.91688771956436</v>
      </c>
      <c r="E113" s="459">
        <f>E79*Group_1_rates!G76</f>
        <v>171.32989680374999</v>
      </c>
      <c r="F113" s="459">
        <f>F79*Group_1_rates!H76</f>
        <v>175.9884869111537</v>
      </c>
      <c r="G113" s="459">
        <f>G79*Group_1_rates!I76</f>
        <v>180.7150935196272</v>
      </c>
      <c r="H113" s="459">
        <f>H79*Group_1_rates!J76</f>
        <v>184.97621259028605</v>
      </c>
      <c r="I113" s="459">
        <f>I79*Group_1_rates!K76</f>
        <v>188.35558291022417</v>
      </c>
      <c r="J113" s="459">
        <f>J79*Group_1_rates!L76</f>
        <v>191.48272591079026</v>
      </c>
      <c r="K113" s="459">
        <f>K79*Group_1_rates!M76</f>
        <v>193.97446945336284</v>
      </c>
      <c r="L113" s="459">
        <f>L79*Group_1_rates!N76</f>
        <v>195.15700885451304</v>
      </c>
      <c r="M113" s="459">
        <f>M79*Group_1_rates!O76</f>
        <v>195.72870212237316</v>
      </c>
      <c r="N113" s="459">
        <f>N79*Group_1_rates!P76</f>
        <v>195.68170173953095</v>
      </c>
    </row>
    <row r="114" spans="1:16">
      <c r="B114" s="338" t="str">
        <f t="shared" si="48"/>
        <v>35-39</v>
      </c>
      <c r="C114" s="459">
        <f>C80*Group_1_rates!E77</f>
        <v>146.41738356079972</v>
      </c>
      <c r="D114" s="459">
        <f>D80*Group_1_rates!F77</f>
        <v>153.34430807611329</v>
      </c>
      <c r="E114" s="459">
        <f>E80*Group_1_rates!G77</f>
        <v>158.61257897298583</v>
      </c>
      <c r="F114" s="459">
        <f>F80*Group_1_rates!H77</f>
        <v>163.20601226103858</v>
      </c>
      <c r="G114" s="459">
        <f>G80*Group_1_rates!I77</f>
        <v>167.66319961248234</v>
      </c>
      <c r="H114" s="459">
        <f>H80*Group_1_rates!J77</f>
        <v>171.69882347425488</v>
      </c>
      <c r="I114" s="459">
        <f>I80*Group_1_rates!K77</f>
        <v>175.12035037782226</v>
      </c>
      <c r="J114" s="459">
        <f>J80*Group_1_rates!L77</f>
        <v>178.37091710548697</v>
      </c>
      <c r="K114" s="459">
        <f>K80*Group_1_rates!M77</f>
        <v>181.19631410989291</v>
      </c>
      <c r="L114" s="459">
        <f>L80*Group_1_rates!N77</f>
        <v>183.15710416303321</v>
      </c>
      <c r="M114" s="459">
        <f>M80*Group_1_rates!O77</f>
        <v>184.68179346395991</v>
      </c>
      <c r="N114" s="459">
        <f>N80*Group_1_rates!P77</f>
        <v>185.71225292568229</v>
      </c>
    </row>
    <row r="115" spans="1:16">
      <c r="B115" s="338" t="str">
        <f t="shared" si="48"/>
        <v>40-44</v>
      </c>
      <c r="C115" s="459">
        <f>C81*Group_1_rates!E78</f>
        <v>145.21711875451987</v>
      </c>
      <c r="D115" s="459">
        <f>D81*Group_1_rates!F78</f>
        <v>146.83779761141406</v>
      </c>
      <c r="E115" s="459">
        <f>E81*Group_1_rates!G78</f>
        <v>148.22682013687756</v>
      </c>
      <c r="F115" s="459">
        <f>F81*Group_1_rates!H78</f>
        <v>149.95793118960009</v>
      </c>
      <c r="G115" s="459">
        <f>G81*Group_1_rates!I78</f>
        <v>152.22776441950643</v>
      </c>
      <c r="H115" s="459">
        <f>H81*Group_1_rates!J78</f>
        <v>154.60335340442191</v>
      </c>
      <c r="I115" s="459">
        <f>I81*Group_1_rates!K78</f>
        <v>156.80690056945787</v>
      </c>
      <c r="J115" s="459">
        <f>J81*Group_1_rates!L78</f>
        <v>159.13326491357853</v>
      </c>
      <c r="K115" s="459">
        <f>K81*Group_1_rates!M78</f>
        <v>161.31627166055429</v>
      </c>
      <c r="L115" s="459">
        <f>L81*Group_1_rates!N78</f>
        <v>162.96680301157068</v>
      </c>
      <c r="M115" s="459">
        <f>M81*Group_1_rates!O78</f>
        <v>164.42706574657257</v>
      </c>
      <c r="N115" s="459">
        <f>N81*Group_1_rates!P78</f>
        <v>165.62035180064333</v>
      </c>
    </row>
    <row r="116" spans="1:16">
      <c r="B116" s="338" t="str">
        <f t="shared" si="48"/>
        <v>45-49</v>
      </c>
      <c r="C116" s="459">
        <f>C82*Group_1_rates!E79</f>
        <v>162.37581206620629</v>
      </c>
      <c r="D116" s="459">
        <f>D82*Group_1_rates!F79</f>
        <v>163.13079609138765</v>
      </c>
      <c r="E116" s="459">
        <f>E82*Group_1_rates!G79</f>
        <v>163.00574068832358</v>
      </c>
      <c r="F116" s="459">
        <f>F82*Group_1_rates!H79</f>
        <v>162.97875800187686</v>
      </c>
      <c r="G116" s="459">
        <f>G82*Group_1_rates!I79</f>
        <v>163.49545220272296</v>
      </c>
      <c r="H116" s="459">
        <f>H82*Group_1_rates!J79</f>
        <v>164.26662142813117</v>
      </c>
      <c r="I116" s="459">
        <f>I82*Group_1_rates!K79</f>
        <v>165.07734652908476</v>
      </c>
      <c r="J116" s="459">
        <f>J82*Group_1_rates!L79</f>
        <v>166.23050791030118</v>
      </c>
      <c r="K116" s="459">
        <f>K82*Group_1_rates!M79</f>
        <v>167.46276108343906</v>
      </c>
      <c r="L116" s="459">
        <f>L82*Group_1_rates!N79</f>
        <v>168.38084175219382</v>
      </c>
      <c r="M116" s="459">
        <f>M82*Group_1_rates!O79</f>
        <v>169.30260028766514</v>
      </c>
      <c r="N116" s="459">
        <f>N82*Group_1_rates!P79</f>
        <v>170.13896246405349</v>
      </c>
    </row>
    <row r="117" spans="1:16">
      <c r="B117" s="338" t="str">
        <f t="shared" si="48"/>
        <v>50-54</v>
      </c>
      <c r="C117" s="459">
        <f>C83*Group_1_rates!E80</f>
        <v>131.18931637718967</v>
      </c>
      <c r="D117" s="459">
        <f>D83*Group_1_rates!F80</f>
        <v>130.02417693461635</v>
      </c>
      <c r="E117" s="459">
        <f>E83*Group_1_rates!G80</f>
        <v>128.59405761555814</v>
      </c>
      <c r="F117" s="459">
        <f>F83*Group_1_rates!H80</f>
        <v>127.38224387407196</v>
      </c>
      <c r="G117" s="459">
        <f>G83*Group_1_rates!I80</f>
        <v>126.62196937267196</v>
      </c>
      <c r="H117" s="459">
        <f>H83*Group_1_rates!J80</f>
        <v>126.09183032436459</v>
      </c>
      <c r="I117" s="459">
        <f>I83*Group_1_rates!K80</f>
        <v>125.64963400344496</v>
      </c>
      <c r="J117" s="459">
        <f>J83*Group_1_rates!L80</f>
        <v>125.52494389849976</v>
      </c>
      <c r="K117" s="459">
        <f>K83*Group_1_rates!M80</f>
        <v>125.54545754661966</v>
      </c>
      <c r="L117" s="459">
        <f>L83*Group_1_rates!N80</f>
        <v>125.44314719168884</v>
      </c>
      <c r="M117" s="459">
        <f>M83*Group_1_rates!O80</f>
        <v>125.44711433568293</v>
      </c>
      <c r="N117" s="459">
        <f>N83*Group_1_rates!P80</f>
        <v>125.49507247727669</v>
      </c>
    </row>
    <row r="118" spans="1:16">
      <c r="B118" s="338" t="str">
        <f t="shared" si="48"/>
        <v>55-59</v>
      </c>
      <c r="C118" s="459">
        <f>C84*Group_1_rates!E81</f>
        <v>50.86815573737438</v>
      </c>
      <c r="D118" s="459">
        <f>D84*Group_1_rates!F81</f>
        <v>47.024860512094151</v>
      </c>
      <c r="E118" s="459">
        <f>E84*Group_1_rates!G81</f>
        <v>44.331476125371445</v>
      </c>
      <c r="F118" s="459">
        <f>F84*Group_1_rates!H81</f>
        <v>42.516290725226945</v>
      </c>
      <c r="G118" s="459">
        <f>G84*Group_1_rates!I81</f>
        <v>41.35617499745959</v>
      </c>
      <c r="H118" s="459">
        <f>H84*Group_1_rates!J81</f>
        <v>40.558141996147206</v>
      </c>
      <c r="I118" s="459">
        <f>I84*Group_1_rates!K81</f>
        <v>39.951334962846168</v>
      </c>
      <c r="J118" s="459">
        <f>J84*Group_1_rates!L81</f>
        <v>39.565534263511211</v>
      </c>
      <c r="K118" s="459">
        <f>K84*Group_1_rates!M81</f>
        <v>39.2880048327388</v>
      </c>
      <c r="L118" s="459">
        <f>L84*Group_1_rates!N81</f>
        <v>38.994540774561344</v>
      </c>
      <c r="M118" s="459">
        <f>M84*Group_1_rates!O81</f>
        <v>38.777372530151943</v>
      </c>
      <c r="N118" s="459">
        <f>N84*Group_1_rates!P81</f>
        <v>38.603575517298708</v>
      </c>
    </row>
    <row r="119" spans="1:16">
      <c r="B119" s="338" t="str">
        <f t="shared" si="48"/>
        <v>60-64</v>
      </c>
      <c r="C119" s="459">
        <f>C85*Group_1_rates!E82</f>
        <v>8.8626111759226092</v>
      </c>
      <c r="D119" s="459">
        <f>D85*Group_1_rates!F82</f>
        <v>7.862867765304391</v>
      </c>
      <c r="E119" s="459">
        <f>E85*Group_1_rates!G82</f>
        <v>7.1030253391553027</v>
      </c>
      <c r="F119" s="459">
        <f>F85*Group_1_rates!H82</f>
        <v>6.5695631264981644</v>
      </c>
      <c r="G119" s="459">
        <f>G85*Group_1_rates!I82</f>
        <v>6.2178683101891856</v>
      </c>
      <c r="H119" s="459">
        <f>H85*Group_1_rates!J82</f>
        <v>5.9759781631395423</v>
      </c>
      <c r="I119" s="459">
        <f>I85*Group_1_rates!K82</f>
        <v>5.7978709610513732</v>
      </c>
      <c r="J119" s="459">
        <f>J85*Group_1_rates!L82</f>
        <v>5.6816002281306863</v>
      </c>
      <c r="K119" s="459">
        <f>K85*Group_1_rates!M82</f>
        <v>5.5963212094672317</v>
      </c>
      <c r="L119" s="459">
        <f>L85*Group_1_rates!N82</f>
        <v>5.512612094089965</v>
      </c>
      <c r="M119" s="459">
        <f>M85*Group_1_rates!O82</f>
        <v>5.4489432835821496</v>
      </c>
      <c r="N119" s="459">
        <f>N85*Group_1_rates!P82</f>
        <v>5.3966421067632124</v>
      </c>
    </row>
    <row r="120" spans="1:16">
      <c r="B120" s="338" t="str">
        <f t="shared" si="48"/>
        <v>65 plus</v>
      </c>
      <c r="C120" s="459">
        <f>C86*Group_1_rates!E83</f>
        <v>2.9192751371759784</v>
      </c>
      <c r="D120" s="459">
        <f>D86*Group_1_rates!F83</f>
        <v>2.9896323690202196</v>
      </c>
      <c r="E120" s="459">
        <f>E86*Group_1_rates!G83</f>
        <v>2.8768602806483945</v>
      </c>
      <c r="F120" s="459">
        <f>F86*Group_1_rates!H83</f>
        <v>2.713354547067131</v>
      </c>
      <c r="G120" s="459">
        <f>G86*Group_1_rates!I83</f>
        <v>2.5601738279078692</v>
      </c>
      <c r="H120" s="459">
        <f>H86*Group_1_rates!J83</f>
        <v>2.4298390064675108</v>
      </c>
      <c r="I120" s="459">
        <f>I86*Group_1_rates!K83</f>
        <v>2.3220474539591001</v>
      </c>
      <c r="J120" s="459">
        <f>J86*Group_1_rates!L83</f>
        <v>2.2425506247877305</v>
      </c>
      <c r="K120" s="459">
        <f>K86*Group_1_rates!M83</f>
        <v>2.1817897864136704</v>
      </c>
      <c r="L120" s="459">
        <f>L86*Group_1_rates!N83</f>
        <v>2.127448876260162</v>
      </c>
      <c r="M120" s="459">
        <f>M86*Group_1_rates!O83</f>
        <v>2.0847261931691796</v>
      </c>
      <c r="N120" s="459">
        <f>N86*Group_1_rates!P83</f>
        <v>2.0498190972318038</v>
      </c>
    </row>
    <row r="121" spans="1:16">
      <c r="B121" s="338" t="str">
        <f t="shared" si="48"/>
        <v>Total</v>
      </c>
      <c r="C121" s="459">
        <f>SUM(C111:C120)</f>
        <v>1083.1150798060701</v>
      </c>
      <c r="D121" s="459">
        <f t="shared" ref="D121:N121" si="50">SUM(D111:D120)</f>
        <v>1143.3667629817357</v>
      </c>
      <c r="E121" s="459">
        <f t="shared" si="50"/>
        <v>1178.8221647701018</v>
      </c>
      <c r="F121" s="459">
        <f t="shared" si="50"/>
        <v>1205.9786010757334</v>
      </c>
      <c r="G121" s="459">
        <f t="shared" si="50"/>
        <v>1232.445904192733</v>
      </c>
      <c r="H121" s="459">
        <f t="shared" si="50"/>
        <v>1254.1109580070543</v>
      </c>
      <c r="I121" s="459">
        <f t="shared" si="50"/>
        <v>1268.94849503213</v>
      </c>
      <c r="J121" s="459">
        <f t="shared" si="50"/>
        <v>1283.5887960686907</v>
      </c>
      <c r="K121" s="459">
        <f t="shared" si="50"/>
        <v>1294.814249761085</v>
      </c>
      <c r="L121" s="459">
        <f t="shared" si="50"/>
        <v>1297.5952750406866</v>
      </c>
      <c r="M121" s="459">
        <f t="shared" si="50"/>
        <v>1298.7385509568071</v>
      </c>
      <c r="N121" s="459">
        <f t="shared" si="50"/>
        <v>1297.6332011737466</v>
      </c>
    </row>
    <row r="122" spans="1:16">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6">
      <c r="B124" s="341" t="s">
        <v>50</v>
      </c>
      <c r="C124" s="329"/>
      <c r="D124" s="329"/>
      <c r="E124" s="329"/>
      <c r="F124" s="329"/>
      <c r="G124" s="329"/>
      <c r="H124" s="339"/>
      <c r="I124" s="329"/>
      <c r="J124" s="329"/>
      <c r="K124" s="329"/>
      <c r="L124" s="329"/>
    </row>
    <row r="125" spans="1:16">
      <c r="C125" s="329"/>
      <c r="D125" s="329"/>
      <c r="E125" s="329"/>
      <c r="F125" s="329"/>
      <c r="G125" s="329"/>
      <c r="H125" s="339"/>
      <c r="I125" s="329"/>
      <c r="J125" s="329"/>
      <c r="K125" s="329"/>
      <c r="L125" s="329"/>
    </row>
    <row r="126" spans="1:16">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6">
      <c r="B127" s="338" t="str">
        <f t="shared" si="52"/>
        <v>20-24</v>
      </c>
      <c r="C127" s="459">
        <f>C93*Group_1_rates!E89</f>
        <v>132.36829035128309</v>
      </c>
      <c r="D127" s="459">
        <f>D93*Group_1_rates!F89</f>
        <v>155.12733784762992</v>
      </c>
      <c r="E127" s="459">
        <f>E93*Group_1_rates!G89</f>
        <v>165.828222177844</v>
      </c>
      <c r="F127" s="459">
        <f>F93*Group_1_rates!H89</f>
        <v>172.08988785951584</v>
      </c>
      <c r="G127" s="459">
        <f>G93*Group_1_rates!I89</f>
        <v>177.2463853943209</v>
      </c>
      <c r="H127" s="459">
        <f>H93*Group_1_rates!J89</f>
        <v>180.29973258442675</v>
      </c>
      <c r="I127" s="459">
        <f>I93*Group_1_rates!K89</f>
        <v>181.01893376773083</v>
      </c>
      <c r="J127" s="459">
        <f>J93*Group_1_rates!L89</f>
        <v>181.88455106635644</v>
      </c>
      <c r="K127" s="459">
        <f>K93*Group_1_rates!M89</f>
        <v>181.84859428238508</v>
      </c>
      <c r="L127" s="459">
        <f>L93*Group_1_rates!N89</f>
        <v>179.45785558155879</v>
      </c>
      <c r="M127" s="459">
        <f>M93*Group_1_rates!O89</f>
        <v>177.19710042910856</v>
      </c>
      <c r="N127" s="459">
        <f>N93*Group_1_rates!P89</f>
        <v>174.7955387598883</v>
      </c>
      <c r="O127" s="327"/>
      <c r="P127" s="327"/>
    </row>
    <row r="128" spans="1:16">
      <c r="B128" s="338" t="str">
        <f t="shared" si="52"/>
        <v>25-29</v>
      </c>
      <c r="C128" s="459">
        <f>C94*Group_1_rates!E90</f>
        <v>267.05938733791936</v>
      </c>
      <c r="D128" s="459">
        <f>D94*Group_1_rates!F90</f>
        <v>278.28403587396645</v>
      </c>
      <c r="E128" s="459">
        <f>E94*Group_1_rates!G90</f>
        <v>284.0087917839333</v>
      </c>
      <c r="F128" s="459">
        <f>F94*Group_1_rates!H90</f>
        <v>288.35054763660406</v>
      </c>
      <c r="G128" s="459">
        <f>G94*Group_1_rates!I90</f>
        <v>293.21493145367145</v>
      </c>
      <c r="H128" s="459">
        <f>H94*Group_1_rates!J90</f>
        <v>296.85506486668413</v>
      </c>
      <c r="I128" s="459">
        <f>I94*Group_1_rates!K90</f>
        <v>298.37826161334152</v>
      </c>
      <c r="J128" s="459">
        <f>J94*Group_1_rates!L90</f>
        <v>299.96658959025262</v>
      </c>
      <c r="K128" s="459">
        <f>K94*Group_1_rates!M90</f>
        <v>300.53789470402688</v>
      </c>
      <c r="L128" s="459">
        <f>L94*Group_1_rates!N90</f>
        <v>298.38544781053514</v>
      </c>
      <c r="M128" s="459">
        <f>M94*Group_1_rates!O90</f>
        <v>295.8581038129758</v>
      </c>
      <c r="N128" s="459">
        <f>N94*Group_1_rates!P90</f>
        <v>292.83062731022198</v>
      </c>
      <c r="O128" s="327"/>
      <c r="P128" s="327"/>
    </row>
    <row r="129" spans="1:16">
      <c r="B129" s="338" t="str">
        <f t="shared" si="52"/>
        <v>30-34</v>
      </c>
      <c r="C129" s="459">
        <f>C95*Group_1_rates!E91</f>
        <v>223.16760923329065</v>
      </c>
      <c r="D129" s="459">
        <f>D95*Group_1_rates!F91</f>
        <v>240.80145398534682</v>
      </c>
      <c r="E129" s="459">
        <f>E95*Group_1_rates!G91</f>
        <v>252.34099383100218</v>
      </c>
      <c r="F129" s="459">
        <f>F95*Group_1_rates!H91</f>
        <v>260.90852778216527</v>
      </c>
      <c r="G129" s="459">
        <f>G95*Group_1_rates!I91</f>
        <v>268.26336699890135</v>
      </c>
      <c r="H129" s="459">
        <f>H95*Group_1_rates!J91</f>
        <v>274.05123164309327</v>
      </c>
      <c r="I129" s="459">
        <f>I95*Group_1_rates!K91</f>
        <v>278.00746255754228</v>
      </c>
      <c r="J129" s="459">
        <f>J95*Group_1_rates!L91</f>
        <v>281.33074781954127</v>
      </c>
      <c r="K129" s="459">
        <f>K95*Group_1_rates!M91</f>
        <v>283.62256148621395</v>
      </c>
      <c r="L129" s="459">
        <f>L95*Group_1_rates!N91</f>
        <v>284.00358207388871</v>
      </c>
      <c r="M129" s="459">
        <f>M95*Group_1_rates!O91</f>
        <v>283.59597522884206</v>
      </c>
      <c r="N129" s="459">
        <f>N95*Group_1_rates!P91</f>
        <v>282.42173325765441</v>
      </c>
      <c r="O129" s="327"/>
      <c r="P129" s="327"/>
    </row>
    <row r="130" spans="1:16">
      <c r="B130" s="338" t="str">
        <f t="shared" si="52"/>
        <v>35-39</v>
      </c>
      <c r="C130" s="459">
        <f>C96*Group_1_rates!E92</f>
        <v>170.6312749752567</v>
      </c>
      <c r="D130" s="459">
        <f>D96*Group_1_rates!F92</f>
        <v>179.15139978247731</v>
      </c>
      <c r="E130" s="459">
        <f>E96*Group_1_rates!G92</f>
        <v>186.4730359521144</v>
      </c>
      <c r="F130" s="459">
        <f>F96*Group_1_rates!H92</f>
        <v>193.23720132229494</v>
      </c>
      <c r="G130" s="459">
        <f>G96*Group_1_rates!I92</f>
        <v>199.76485662282951</v>
      </c>
      <c r="H130" s="459">
        <f>H96*Group_1_rates!J92</f>
        <v>205.51922784062856</v>
      </c>
      <c r="I130" s="459">
        <f>I96*Group_1_rates!K92</f>
        <v>210.19703635513429</v>
      </c>
      <c r="J130" s="459">
        <f>J96*Group_1_rates!L92</f>
        <v>214.35919033309924</v>
      </c>
      <c r="K130" s="459">
        <f>K96*Group_1_rates!M92</f>
        <v>217.73164783832055</v>
      </c>
      <c r="L130" s="459">
        <f>L96*Group_1_rates!N92</f>
        <v>219.82756140843068</v>
      </c>
      <c r="M130" s="459">
        <f>M96*Group_1_rates!O92</f>
        <v>221.24777074805269</v>
      </c>
      <c r="N130" s="459">
        <f>N96*Group_1_rates!P92</f>
        <v>221.97766781644236</v>
      </c>
      <c r="O130" s="327"/>
      <c r="P130" s="327"/>
    </row>
    <row r="131" spans="1:16">
      <c r="B131" s="338" t="str">
        <f t="shared" si="52"/>
        <v>40-44</v>
      </c>
      <c r="C131" s="459">
        <f>C97*Group_1_rates!E93</f>
        <v>165.23708609400845</v>
      </c>
      <c r="D131" s="459">
        <f>D97*Group_1_rates!F93</f>
        <v>168.99682326623386</v>
      </c>
      <c r="E131" s="459">
        <f>E97*Group_1_rates!G93</f>
        <v>171.97901016970812</v>
      </c>
      <c r="F131" s="459">
        <f>F97*Group_1_rates!H93</f>
        <v>175.19766265514423</v>
      </c>
      <c r="G131" s="459">
        <f>G97*Group_1_rates!I93</f>
        <v>179.00326564668342</v>
      </c>
      <c r="H131" s="459">
        <f>H97*Group_1_rates!J93</f>
        <v>182.85794954564318</v>
      </c>
      <c r="I131" s="459">
        <f>I97*Group_1_rates!K93</f>
        <v>186.38715128157432</v>
      </c>
      <c r="J131" s="459">
        <f>J97*Group_1_rates!L93</f>
        <v>189.93668791684371</v>
      </c>
      <c r="K131" s="459">
        <f>K97*Group_1_rates!M93</f>
        <v>193.14961357159282</v>
      </c>
      <c r="L131" s="459">
        <f>L97*Group_1_rates!N93</f>
        <v>195.5284286172874</v>
      </c>
      <c r="M131" s="459">
        <f>M97*Group_1_rates!O93</f>
        <v>197.51546809410655</v>
      </c>
      <c r="N131" s="459">
        <f>N97*Group_1_rates!P93</f>
        <v>199.03074177463353</v>
      </c>
      <c r="O131" s="327"/>
      <c r="P131" s="327"/>
    </row>
    <row r="132" spans="1:16">
      <c r="B132" s="338" t="str">
        <f t="shared" si="52"/>
        <v>45-49</v>
      </c>
      <c r="C132" s="459">
        <f>C98*Group_1_rates!E94</f>
        <v>181.13058723210648</v>
      </c>
      <c r="D132" s="459">
        <f>D98*Group_1_rates!F94</f>
        <v>180.14557132328324</v>
      </c>
      <c r="E132" s="459">
        <f>E98*Group_1_rates!G94</f>
        <v>178.98550497789017</v>
      </c>
      <c r="F132" s="459">
        <f>F98*Group_1_rates!H94</f>
        <v>178.45897571490121</v>
      </c>
      <c r="G132" s="459">
        <f>G98*Group_1_rates!I94</f>
        <v>178.90291340628013</v>
      </c>
      <c r="H132" s="459">
        <f>H98*Group_1_rates!J94</f>
        <v>179.8707142563932</v>
      </c>
      <c r="I132" s="459">
        <f>I98*Group_1_rates!K94</f>
        <v>181.0342707787199</v>
      </c>
      <c r="J132" s="459">
        <f>J98*Group_1_rates!L94</f>
        <v>182.68313230467709</v>
      </c>
      <c r="K132" s="459">
        <f>K98*Group_1_rates!M94</f>
        <v>184.46070433664934</v>
      </c>
      <c r="L132" s="459">
        <f>L98*Group_1_rates!N94</f>
        <v>185.86942370640654</v>
      </c>
      <c r="M132" s="459">
        <f>M98*Group_1_rates!O94</f>
        <v>187.24727860417929</v>
      </c>
      <c r="N132" s="459">
        <f>N98*Group_1_rates!P94</f>
        <v>188.46999105260483</v>
      </c>
      <c r="O132" s="327"/>
      <c r="P132" s="327"/>
    </row>
    <row r="133" spans="1:16">
      <c r="B133" s="338" t="str">
        <f t="shared" si="52"/>
        <v>50-54</v>
      </c>
      <c r="C133" s="459">
        <f>C99*Group_1_rates!E95</f>
        <v>147.80817436272957</v>
      </c>
      <c r="D133" s="459">
        <f>D99*Group_1_rates!F95</f>
        <v>147.01331132905068</v>
      </c>
      <c r="E133" s="459">
        <f>E99*Group_1_rates!G95</f>
        <v>145.43021407067471</v>
      </c>
      <c r="F133" s="459">
        <f>F99*Group_1_rates!H95</f>
        <v>143.8976754527541</v>
      </c>
      <c r="G133" s="459">
        <f>G99*Group_1_rates!I95</f>
        <v>142.83278872847731</v>
      </c>
      <c r="H133" s="459">
        <f>H99*Group_1_rates!J95</f>
        <v>142.05592372648155</v>
      </c>
      <c r="I133" s="459">
        <f>I99*Group_1_rates!K95</f>
        <v>141.4370560814628</v>
      </c>
      <c r="J133" s="459">
        <f>J99*Group_1_rates!L95</f>
        <v>141.25162625851485</v>
      </c>
      <c r="K133" s="459">
        <f>K99*Group_1_rates!M95</f>
        <v>141.29855094745918</v>
      </c>
      <c r="L133" s="459">
        <f>L99*Group_1_rates!N95</f>
        <v>141.25699025802936</v>
      </c>
      <c r="M133" s="459">
        <f>M99*Group_1_rates!O95</f>
        <v>141.37502992222147</v>
      </c>
      <c r="N133" s="459">
        <f>N99*Group_1_rates!P95</f>
        <v>141.5648114829429</v>
      </c>
      <c r="O133" s="327"/>
      <c r="P133" s="327"/>
    </row>
    <row r="134" spans="1:16">
      <c r="B134" s="338" t="str">
        <f t="shared" si="52"/>
        <v>55-59</v>
      </c>
      <c r="C134" s="459">
        <f>C100*Group_1_rates!E96</f>
        <v>59.349116623254545</v>
      </c>
      <c r="D134" s="459">
        <f>D100*Group_1_rates!F96</f>
        <v>55.387840535451062</v>
      </c>
      <c r="E134" s="459">
        <f>E100*Group_1_rates!G96</f>
        <v>52.564383902454978</v>
      </c>
      <c r="F134" s="459">
        <f>F100*Group_1_rates!H96</f>
        <v>50.608483423798241</v>
      </c>
      <c r="G134" s="459">
        <f>G100*Group_1_rates!I96</f>
        <v>49.31360402794018</v>
      </c>
      <c r="H134" s="459">
        <f>H100*Group_1_rates!J96</f>
        <v>48.381793840939679</v>
      </c>
      <c r="I134" s="459">
        <f>I100*Group_1_rates!K96</f>
        <v>47.644198387516603</v>
      </c>
      <c r="J134" s="459">
        <f>J100*Group_1_rates!L96</f>
        <v>47.156296725107914</v>
      </c>
      <c r="K134" s="459">
        <f>K100*Group_1_rates!M96</f>
        <v>46.799697124449445</v>
      </c>
      <c r="L134" s="459">
        <f>L100*Group_1_rates!N96</f>
        <v>46.43514147186314</v>
      </c>
      <c r="M134" s="459">
        <f>M100*Group_1_rates!O96</f>
        <v>46.171997162813405</v>
      </c>
      <c r="N134" s="459">
        <f>N100*Group_1_rates!P96</f>
        <v>45.971875905346231</v>
      </c>
      <c r="O134" s="327"/>
      <c r="P134" s="327"/>
    </row>
    <row r="135" spans="1:16">
      <c r="B135" s="338" t="str">
        <f t="shared" si="52"/>
        <v>60-64</v>
      </c>
      <c r="C135" s="459">
        <f>C101*Group_1_rates!E97</f>
        <v>10.415059385108906</v>
      </c>
      <c r="D135" s="459">
        <f>D101*Group_1_rates!F97</f>
        <v>9.8372036328609376</v>
      </c>
      <c r="E135" s="459">
        <f>E101*Group_1_rates!G97</f>
        <v>9.217456066498956</v>
      </c>
      <c r="F135" s="459">
        <f>F101*Group_1_rates!H97</f>
        <v>8.7194663801614443</v>
      </c>
      <c r="G135" s="459">
        <f>G101*Group_1_rates!I97</f>
        <v>8.3685255920946133</v>
      </c>
      <c r="H135" s="459">
        <f>H101*Group_1_rates!J97</f>
        <v>8.1094980519212232</v>
      </c>
      <c r="I135" s="459">
        <f>I101*Group_1_rates!K97</f>
        <v>7.9040339726129254</v>
      </c>
      <c r="J135" s="459">
        <f>J101*Group_1_rates!L97</f>
        <v>7.7646850279858093</v>
      </c>
      <c r="K135" s="459">
        <f>K101*Group_1_rates!M97</f>
        <v>7.6569891331679187</v>
      </c>
      <c r="L135" s="459">
        <f>L101*Group_1_rates!N97</f>
        <v>7.5456233271675721</v>
      </c>
      <c r="M135" s="459">
        <f>M101*Group_1_rates!O97</f>
        <v>7.4601584431677628</v>
      </c>
      <c r="N135" s="459">
        <f>N101*Group_1_rates!P97</f>
        <v>7.3898907164312844</v>
      </c>
      <c r="O135" s="327"/>
      <c r="P135" s="327"/>
    </row>
    <row r="136" spans="1:16">
      <c r="B136" s="338" t="str">
        <f t="shared" si="52"/>
        <v>65 plus</v>
      </c>
      <c r="C136" s="459">
        <f>C102*Group_1_rates!E98</f>
        <v>3.9489352784562448</v>
      </c>
      <c r="D136" s="459">
        <f>D102*Group_1_rates!F98</f>
        <v>4.3795435530075073</v>
      </c>
      <c r="E136" s="459">
        <f>E102*Group_1_rates!G98</f>
        <v>4.4450791425252323</v>
      </c>
      <c r="F136" s="459">
        <f>F102*Group_1_rates!H98</f>
        <v>4.3570280928477114</v>
      </c>
      <c r="G136" s="459">
        <f>G102*Group_1_rates!I98</f>
        <v>4.2318906757125712</v>
      </c>
      <c r="H136" s="459">
        <f>H102*Group_1_rates!J98</f>
        <v>4.1022059960086761</v>
      </c>
      <c r="I136" s="459">
        <f>I102*Group_1_rates!K98</f>
        <v>3.9787251075943328</v>
      </c>
      <c r="J136" s="459">
        <f>J102*Group_1_rates!L98</f>
        <v>3.8839398539377257</v>
      </c>
      <c r="K136" s="459">
        <f>K102*Group_1_rates!M98</f>
        <v>3.8061070883966051</v>
      </c>
      <c r="L136" s="459">
        <f>L102*Group_1_rates!N98</f>
        <v>3.7267630415734518</v>
      </c>
      <c r="M136" s="459">
        <f>M102*Group_1_rates!O98</f>
        <v>3.6621190597474365</v>
      </c>
      <c r="N136" s="459">
        <f>N102*Group_1_rates!P98</f>
        <v>3.6073054667050211</v>
      </c>
      <c r="O136" s="327"/>
      <c r="P136" s="327"/>
    </row>
    <row r="137" spans="1:16">
      <c r="B137" s="338" t="str">
        <f t="shared" si="52"/>
        <v>Total</v>
      </c>
      <c r="C137" s="459">
        <f>SUM(C127:C136)</f>
        <v>1361.115520873414</v>
      </c>
      <c r="D137" s="459">
        <f t="shared" ref="D137:N137" si="54">SUM(D127:D136)</f>
        <v>1419.1245211293081</v>
      </c>
      <c r="E137" s="459">
        <f t="shared" si="54"/>
        <v>1451.2726920746459</v>
      </c>
      <c r="F137" s="459">
        <f t="shared" si="54"/>
        <v>1475.8254563201872</v>
      </c>
      <c r="G137" s="459">
        <f t="shared" si="54"/>
        <v>1501.1425285469109</v>
      </c>
      <c r="H137" s="459">
        <f t="shared" si="54"/>
        <v>1522.1033423522204</v>
      </c>
      <c r="I137" s="459">
        <f t="shared" si="54"/>
        <v>1535.9871299032297</v>
      </c>
      <c r="J137" s="459">
        <f t="shared" si="54"/>
        <v>1550.2174468963167</v>
      </c>
      <c r="K137" s="459">
        <f t="shared" si="54"/>
        <v>1560.9123605126617</v>
      </c>
      <c r="L137" s="459">
        <f t="shared" si="54"/>
        <v>1562.0368172967405</v>
      </c>
      <c r="M137" s="459">
        <f t="shared" si="54"/>
        <v>1561.331001505215</v>
      </c>
      <c r="N137" s="459">
        <f t="shared" si="54"/>
        <v>1558.0601835428706</v>
      </c>
      <c r="O137" s="327"/>
      <c r="P137" s="327"/>
    </row>
    <row r="138" spans="1:16">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6" ht="15.75">
      <c r="B140" s="340" t="s">
        <v>152</v>
      </c>
      <c r="H140" s="325"/>
    </row>
    <row r="141" spans="1:16">
      <c r="H141" s="325"/>
    </row>
    <row r="142" spans="1:16">
      <c r="B142" s="341" t="s">
        <v>49</v>
      </c>
      <c r="H142" s="325"/>
    </row>
    <row r="143" spans="1:16">
      <c r="H143" s="325"/>
    </row>
    <row r="144" spans="1:16">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5">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c r="O145" s="327"/>
    </row>
    <row r="146" spans="1:15">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c r="O146" s="327"/>
    </row>
    <row r="147" spans="1:15">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c r="O147" s="327"/>
    </row>
    <row r="148" spans="1:15">
      <c r="B148" s="338" t="str">
        <f t="shared" si="56"/>
        <v>35-39</v>
      </c>
      <c r="C148" s="459">
        <f>C80*Calc_SEC_retirement_rates!$G127</f>
        <v>0.80092868612354839</v>
      </c>
      <c r="D148" s="459">
        <f>D80*Calc_SEC_retirement_rates!$G127</f>
        <v>0.83882017425154987</v>
      </c>
      <c r="E148" s="459">
        <f>E80*Calc_SEC_retirement_rates!$G127</f>
        <v>0.86763853710545857</v>
      </c>
      <c r="F148" s="459">
        <f>F80*Calc_SEC_retirement_rates!$G127</f>
        <v>0.89276542025774874</v>
      </c>
      <c r="G148" s="459">
        <f>G80*Calc_SEC_retirement_rates!$G127</f>
        <v>0.91714701431700851</v>
      </c>
      <c r="H148" s="459">
        <f>H80*Calc_SEC_retirement_rates!$G127</f>
        <v>0.93922258238612455</v>
      </c>
      <c r="I148" s="459">
        <f>I80*Calc_SEC_retirement_rates!$G127</f>
        <v>0.95793893273172859</v>
      </c>
      <c r="J148" s="459">
        <f>J80*Calc_SEC_retirement_rates!$G127</f>
        <v>0.97572010102630002</v>
      </c>
      <c r="K148" s="459">
        <f>K80*Calc_SEC_retirement_rates!$G127</f>
        <v>0.99117551660252901</v>
      </c>
      <c r="L148" s="459">
        <f>L80*Calc_SEC_retirement_rates!$G127</f>
        <v>1.0019013809967225</v>
      </c>
      <c r="M148" s="459">
        <f>M80*Calc_SEC_retirement_rates!$G127</f>
        <v>1.0102416980331268</v>
      </c>
      <c r="N148" s="459">
        <f>N80*Calc_SEC_retirement_rates!$G127</f>
        <v>1.0158784914432355</v>
      </c>
      <c r="O148" s="327"/>
    </row>
    <row r="149" spans="1:15">
      <c r="B149" s="338" t="str">
        <f t="shared" si="56"/>
        <v>40-44</v>
      </c>
      <c r="C149" s="459">
        <f>C81*Calc_SEC_retirement_rates!$G128</f>
        <v>1.0403085407360153</v>
      </c>
      <c r="D149" s="459">
        <f>D81*Calc_SEC_retirement_rates!$G128</f>
        <v>1.0519187838745487</v>
      </c>
      <c r="E149" s="459">
        <f>E81*Calc_SEC_retirement_rates!$G128</f>
        <v>1.0618694839635452</v>
      </c>
      <c r="F149" s="459">
        <f>F81*Calc_SEC_retirement_rates!$G128</f>
        <v>1.0742708428980523</v>
      </c>
      <c r="G149" s="459">
        <f>G81*Calc_SEC_retirement_rates!$G128</f>
        <v>1.0905315077244193</v>
      </c>
      <c r="H149" s="459">
        <f>H81*Calc_SEC_retirement_rates!$G128</f>
        <v>1.1075497871909308</v>
      </c>
      <c r="I149" s="459">
        <f>I81*Calc_SEC_retirement_rates!$G128</f>
        <v>1.1233355909264851</v>
      </c>
      <c r="J149" s="459">
        <f>J81*Calc_SEC_retirement_rates!$G128</f>
        <v>1.1400012341840375</v>
      </c>
      <c r="K149" s="459">
        <f>K81*Calc_SEC_retirement_rates!$G128</f>
        <v>1.1556398901692331</v>
      </c>
      <c r="L149" s="459">
        <f>L81*Calc_SEC_retirement_rates!$G128</f>
        <v>1.1674639910461928</v>
      </c>
      <c r="M149" s="459">
        <f>M81*Calc_SEC_retirement_rates!$G128</f>
        <v>1.1779250428007659</v>
      </c>
      <c r="N149" s="459">
        <f>N81*Calc_SEC_retirement_rates!$G128</f>
        <v>1.1864735230642358</v>
      </c>
      <c r="O149" s="327"/>
    </row>
    <row r="150" spans="1:15">
      <c r="B150" s="338" t="str">
        <f t="shared" si="56"/>
        <v>45-49</v>
      </c>
      <c r="C150" s="459">
        <f>C82*Calc_SEC_retirement_rates!$G129</f>
        <v>2.3842693433619599</v>
      </c>
      <c r="D150" s="459">
        <f>D82*Calc_SEC_retirement_rates!$G129</f>
        <v>2.3953552633833115</v>
      </c>
      <c r="E150" s="459">
        <f>E82*Calc_SEC_retirement_rates!$G129</f>
        <v>2.3935189938062527</v>
      </c>
      <c r="F150" s="459">
        <f>F82*Calc_SEC_retirement_rates!$G129</f>
        <v>2.3931227895238667</v>
      </c>
      <c r="G150" s="459">
        <f>G82*Calc_SEC_retirement_rates!$G129</f>
        <v>2.4007097455322404</v>
      </c>
      <c r="H150" s="459">
        <f>H82*Calc_SEC_retirement_rates!$G129</f>
        <v>2.4120333233440348</v>
      </c>
      <c r="I150" s="459">
        <f>I82*Calc_SEC_retirement_rates!$G129</f>
        <v>2.4239377257270052</v>
      </c>
      <c r="J150" s="459">
        <f>J82*Calc_SEC_retirement_rates!$G129</f>
        <v>2.4408703420705171</v>
      </c>
      <c r="K150" s="459">
        <f>K82*Calc_SEC_retirement_rates!$G129</f>
        <v>2.4589643144829547</v>
      </c>
      <c r="L150" s="459">
        <f>L82*Calc_SEC_retirement_rates!$G129</f>
        <v>2.4724450882841209</v>
      </c>
      <c r="M150" s="459">
        <f>M82*Calc_SEC_retirement_rates!$G129</f>
        <v>2.4859798665872495</v>
      </c>
      <c r="N150" s="459">
        <f>N82*Calc_SEC_retirement_rates!$G129</f>
        <v>2.498260714773537</v>
      </c>
      <c r="O150" s="327"/>
    </row>
    <row r="151" spans="1:15">
      <c r="B151" s="338" t="str">
        <f t="shared" si="56"/>
        <v>50-54</v>
      </c>
      <c r="C151" s="459">
        <f>C83*Calc_SEC_retirement_rates!$G130</f>
        <v>45.756775754922408</v>
      </c>
      <c r="D151" s="459">
        <f>D83*Calc_SEC_retirement_rates!$G130</f>
        <v>45.35039339339108</v>
      </c>
      <c r="E151" s="459">
        <f>E83*Calc_SEC_retirement_rates!$G130</f>
        <v>44.851590207339058</v>
      </c>
      <c r="F151" s="459">
        <f>F83*Calc_SEC_retirement_rates!$G130</f>
        <v>44.428928582466398</v>
      </c>
      <c r="G151" s="459">
        <f>G83*Calc_SEC_retirement_rates!$G130</f>
        <v>44.163756761822668</v>
      </c>
      <c r="H151" s="459">
        <f>H83*Calc_SEC_retirement_rates!$G130</f>
        <v>43.978852577379904</v>
      </c>
      <c r="I151" s="459">
        <f>I83*Calc_SEC_retirement_rates!$G130</f>
        <v>43.824621436805948</v>
      </c>
      <c r="J151" s="459">
        <f>J83*Calc_SEC_retirement_rates!$G130</f>
        <v>43.781131484053766</v>
      </c>
      <c r="K151" s="459">
        <f>K83*Calc_SEC_retirement_rates!$G130</f>
        <v>43.78828632274687</v>
      </c>
      <c r="L151" s="459">
        <f>L83*Calc_SEC_retirement_rates!$G130</f>
        <v>43.752602075757459</v>
      </c>
      <c r="M151" s="459">
        <f>M83*Calc_SEC_retirement_rates!$G130</f>
        <v>43.753985753355131</v>
      </c>
      <c r="N151" s="459">
        <f>N83*Calc_SEC_retirement_rates!$G130</f>
        <v>43.770712800885576</v>
      </c>
      <c r="O151" s="327"/>
    </row>
    <row r="152" spans="1:15">
      <c r="B152" s="338" t="str">
        <f t="shared" si="56"/>
        <v>55-59</v>
      </c>
      <c r="C152" s="459">
        <f>C84*Calc_SEC_retirement_rates!$G131</f>
        <v>230.92062018555674</v>
      </c>
      <c r="D152" s="459">
        <f>D84*Calc_SEC_retirement_rates!$G131</f>
        <v>213.47363190550337</v>
      </c>
      <c r="E152" s="459">
        <f>E84*Calc_SEC_retirement_rates!$G131</f>
        <v>201.24676847858478</v>
      </c>
      <c r="F152" s="459">
        <f>F84*Calc_SEC_retirement_rates!$G131</f>
        <v>193.00656923650448</v>
      </c>
      <c r="G152" s="459">
        <f>G84*Calc_SEC_retirement_rates!$G131</f>
        <v>187.74011836051514</v>
      </c>
      <c r="H152" s="459">
        <f>H84*Calc_SEC_retirement_rates!$G131</f>
        <v>184.11737495808038</v>
      </c>
      <c r="I152" s="459">
        <f>I84*Calc_SEC_retirement_rates!$G131</f>
        <v>181.3627192322806</v>
      </c>
      <c r="J152" s="459">
        <f>J84*Calc_SEC_retirement_rates!$G131</f>
        <v>179.61134186333476</v>
      </c>
      <c r="K152" s="459">
        <f>K84*Calc_SEC_retirement_rates!$G131</f>
        <v>178.35147176691169</v>
      </c>
      <c r="L152" s="459">
        <f>L84*Calc_SEC_retirement_rates!$G131</f>
        <v>177.01926497989191</v>
      </c>
      <c r="M152" s="459">
        <f>M84*Calc_SEC_retirement_rates!$G131</f>
        <v>176.03340997971191</v>
      </c>
      <c r="N152" s="459">
        <f>N84*Calc_SEC_retirement_rates!$G131</f>
        <v>175.24444263044001</v>
      </c>
      <c r="O152" s="327"/>
    </row>
    <row r="153" spans="1:15">
      <c r="B153" s="338" t="str">
        <f t="shared" si="56"/>
        <v>60-64</v>
      </c>
      <c r="C153" s="459">
        <f>C85*Calc_SEC_retirement_rates!$G132</f>
        <v>189.97176827827764</v>
      </c>
      <c r="D153" s="459">
        <f>D85*Calc_SEC_retirement_rates!$G132</f>
        <v>168.542076760763</v>
      </c>
      <c r="E153" s="459">
        <f>E85*Calc_SEC_retirement_rates!$G132</f>
        <v>152.25470880079246</v>
      </c>
      <c r="F153" s="459">
        <f>F85*Calc_SEC_retirement_rates!$G132</f>
        <v>140.81984408243034</v>
      </c>
      <c r="G153" s="459">
        <f>G85*Calc_SEC_retirement_rates!$G132</f>
        <v>133.28119832416539</v>
      </c>
      <c r="H153" s="459">
        <f>H85*Calc_SEC_retirement_rates!$G132</f>
        <v>128.09623668566388</v>
      </c>
      <c r="I153" s="459">
        <f>I85*Calc_SEC_retirement_rates!$G132</f>
        <v>124.27847469067669</v>
      </c>
      <c r="J153" s="459">
        <f>J85*Calc_SEC_retirement_rates!$G132</f>
        <v>121.78618925769257</v>
      </c>
      <c r="K153" s="459">
        <f>K85*Calc_SEC_retirement_rates!$G132</f>
        <v>119.95821715658701</v>
      </c>
      <c r="L153" s="459">
        <f>L85*Calc_SEC_retirement_rates!$G132</f>
        <v>118.1638962331517</v>
      </c>
      <c r="M153" s="459">
        <f>M85*Calc_SEC_retirement_rates!$G132</f>
        <v>116.79914308351516</v>
      </c>
      <c r="N153" s="459">
        <f>N85*Calc_SEC_retirement_rates!$G132</f>
        <v>115.6780573395844</v>
      </c>
      <c r="O153" s="327"/>
    </row>
    <row r="154" spans="1:15">
      <c r="B154" s="338" t="str">
        <f t="shared" si="56"/>
        <v>65 plus</v>
      </c>
      <c r="C154" s="459">
        <f>C86*Calc_SEC_retirement_rates!$G133</f>
        <v>68.04336951410194</v>
      </c>
      <c r="D154" s="459">
        <f>D86*Calc_SEC_retirement_rates!$G133</f>
        <v>69.683277676029491</v>
      </c>
      <c r="E154" s="459">
        <f>E86*Calc_SEC_retirement_rates!$G133</f>
        <v>67.054750894760048</v>
      </c>
      <c r="F154" s="459">
        <f>F86*Calc_SEC_retirement_rates!$G133</f>
        <v>63.243708589749126</v>
      </c>
      <c r="G154" s="459">
        <f>G86*Calc_SEC_retirement_rates!$G133</f>
        <v>59.673324920372778</v>
      </c>
      <c r="H154" s="459">
        <f>H86*Calc_SEC_retirement_rates!$G133</f>
        <v>56.635440514451432</v>
      </c>
      <c r="I154" s="459">
        <f>I86*Calc_SEC_retirement_rates!$G133</f>
        <v>54.123001606440972</v>
      </c>
      <c r="J154" s="459">
        <f>J86*Calc_SEC_retirement_rates!$G133</f>
        <v>52.270064877859895</v>
      </c>
      <c r="K154" s="459">
        <f>K86*Calc_SEC_retirement_rates!$G133</f>
        <v>50.85383242863886</v>
      </c>
      <c r="L154" s="459">
        <f>L86*Calc_SEC_retirement_rates!$G133</f>
        <v>49.587237655771823</v>
      </c>
      <c r="M154" s="459">
        <f>M86*Calc_SEC_retirement_rates!$G133</f>
        <v>48.591444119501816</v>
      </c>
      <c r="N154" s="459">
        <f>N86*Calc_SEC_retirement_rates!$G133</f>
        <v>47.777818710480325</v>
      </c>
      <c r="O154" s="327"/>
    </row>
    <row r="155" spans="1:15">
      <c r="B155" s="338" t="str">
        <f t="shared" si="56"/>
        <v>Total</v>
      </c>
      <c r="C155" s="459">
        <f>SUM(C145:C154)</f>
        <v>538.91804030308026</v>
      </c>
      <c r="D155" s="459">
        <f t="shared" ref="D155:N155" si="58">SUM(D145:D154)</f>
        <v>501.33547395719631</v>
      </c>
      <c r="E155" s="459">
        <f t="shared" si="58"/>
        <v>469.73084539635164</v>
      </c>
      <c r="F155" s="459">
        <f t="shared" si="58"/>
        <v>445.85920954382999</v>
      </c>
      <c r="G155" s="459">
        <f t="shared" si="58"/>
        <v>429.26678663444966</v>
      </c>
      <c r="H155" s="459">
        <f t="shared" si="58"/>
        <v>417.28671042849669</v>
      </c>
      <c r="I155" s="459">
        <f t="shared" si="58"/>
        <v>408.09402921558944</v>
      </c>
      <c r="J155" s="459">
        <f t="shared" si="58"/>
        <v>402.00531916022186</v>
      </c>
      <c r="K155" s="459">
        <f t="shared" si="58"/>
        <v>397.55758739613913</v>
      </c>
      <c r="L155" s="459">
        <f t="shared" si="58"/>
        <v>393.16481140489998</v>
      </c>
      <c r="M155" s="459">
        <f t="shared" si="58"/>
        <v>389.85212954350516</v>
      </c>
      <c r="N155" s="459">
        <f t="shared" si="58"/>
        <v>387.17164421067133</v>
      </c>
      <c r="O155" s="327"/>
    </row>
    <row r="156" spans="1:15">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5">
      <c r="B158" s="341" t="s">
        <v>50</v>
      </c>
      <c r="C158" s="329"/>
      <c r="D158" s="329"/>
      <c r="E158" s="329"/>
      <c r="F158" s="329"/>
      <c r="G158" s="329"/>
      <c r="H158" s="339"/>
      <c r="I158" s="329"/>
      <c r="J158" s="329"/>
      <c r="K158" s="329"/>
      <c r="L158" s="329"/>
    </row>
    <row r="159" spans="1:15">
      <c r="C159" s="329"/>
      <c r="D159" s="329"/>
      <c r="E159" s="329"/>
      <c r="F159" s="329"/>
      <c r="G159" s="329"/>
      <c r="H159" s="339"/>
      <c r="I159" s="329"/>
      <c r="J159" s="329"/>
      <c r="K159" s="329"/>
      <c r="L159" s="329"/>
    </row>
    <row r="160" spans="1:15">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0.28946462495613884</v>
      </c>
      <c r="D163" s="459">
        <f>D95*Calc_SEC_retirement_rates!$G142</f>
        <v>0.31233700448838897</v>
      </c>
      <c r="E163" s="459">
        <f>E95*Calc_SEC_retirement_rates!$G142</f>
        <v>0.32730462718715275</v>
      </c>
      <c r="F163" s="459">
        <f>F95*Calc_SEC_retirement_rates!$G142</f>
        <v>0.3384173420228434</v>
      </c>
      <c r="G163" s="459">
        <f>G95*Calc_SEC_retirement_rates!$G142</f>
        <v>0.34795710356260923</v>
      </c>
      <c r="H163" s="459">
        <f>H95*Calc_SEC_retirement_rates!$G142</f>
        <v>0.35546438508201877</v>
      </c>
      <c r="I163" s="459">
        <f>I95*Calc_SEC_retirement_rates!$G142</f>
        <v>0.36059590439983219</v>
      </c>
      <c r="J163" s="459">
        <f>J95*Calc_SEC_retirement_rates!$G142</f>
        <v>0.36490644715866594</v>
      </c>
      <c r="K163" s="459">
        <f>K95*Calc_SEC_retirement_rates!$G142</f>
        <v>0.36787909621724535</v>
      </c>
      <c r="L163" s="459">
        <f>L95*Calc_SEC_retirement_rates!$G142</f>
        <v>0.36837330763928261</v>
      </c>
      <c r="M163" s="459">
        <f>M95*Calc_SEC_retirement_rates!$G142</f>
        <v>0.36784461190724366</v>
      </c>
      <c r="N163" s="459">
        <f>N95*Calc_SEC_retirement_rates!$G142</f>
        <v>0.36632153464273676</v>
      </c>
    </row>
    <row r="164" spans="1:14">
      <c r="B164" s="338" t="str">
        <f t="shared" si="60"/>
        <v>35-39</v>
      </c>
      <c r="C164" s="459">
        <f>C96*Calc_SEC_retirement_rates!$G143</f>
        <v>0.74675312563858431</v>
      </c>
      <c r="D164" s="459">
        <f>D96*Calc_SEC_retirement_rates!$G143</f>
        <v>0.78404072037492711</v>
      </c>
      <c r="E164" s="459">
        <f>E96*Calc_SEC_retirement_rates!$G143</f>
        <v>0.81608323248331893</v>
      </c>
      <c r="F164" s="459">
        <f>F96*Calc_SEC_retirement_rates!$G143</f>
        <v>0.84568602149870353</v>
      </c>
      <c r="G164" s="459">
        <f>G96*Calc_SEC_retirement_rates!$G143</f>
        <v>0.87425374449949766</v>
      </c>
      <c r="H164" s="459">
        <f>H96*Calc_SEC_retirement_rates!$G143</f>
        <v>0.89943725610133773</v>
      </c>
      <c r="I164" s="459">
        <f>I96*Calc_SEC_retirement_rates!$G143</f>
        <v>0.9199092834588809</v>
      </c>
      <c r="J164" s="459">
        <f>J96*Calc_SEC_retirement_rates!$G143</f>
        <v>0.93812459300799556</v>
      </c>
      <c r="K164" s="459">
        <f>K96*Calc_SEC_retirement_rates!$G143</f>
        <v>0.95288386374234668</v>
      </c>
      <c r="L164" s="459">
        <f>L96*Calc_SEC_retirement_rates!$G143</f>
        <v>0.9620564495404369</v>
      </c>
      <c r="M164" s="459">
        <f>M96*Calc_SEC_retirement_rates!$G143</f>
        <v>0.96827187378536295</v>
      </c>
      <c r="N164" s="459">
        <f>N96*Calc_SEC_retirement_rates!$G143</f>
        <v>0.97146620564095887</v>
      </c>
    </row>
    <row r="165" spans="1:14">
      <c r="B165" s="338" t="str">
        <f t="shared" si="60"/>
        <v>40-44</v>
      </c>
      <c r="C165" s="459">
        <f>C97*Calc_SEC_retirement_rates!$G144</f>
        <v>1.1740129075384709</v>
      </c>
      <c r="D165" s="459">
        <f>D97*Calc_SEC_retirement_rates!$G144</f>
        <v>1.2007259177560052</v>
      </c>
      <c r="E165" s="459">
        <f>E97*Calc_SEC_retirement_rates!$G144</f>
        <v>1.2219144172637917</v>
      </c>
      <c r="F165" s="459">
        <f>F97*Calc_SEC_retirement_rates!$G144</f>
        <v>1.2447830096125634</v>
      </c>
      <c r="G165" s="459">
        <f>G97*Calc_SEC_retirement_rates!$G144</f>
        <v>1.2718218974230888</v>
      </c>
      <c r="H165" s="459">
        <f>H97*Calc_SEC_retirement_rates!$G144</f>
        <v>1.2992095060939703</v>
      </c>
      <c r="I165" s="459">
        <f>I97*Calc_SEC_retirement_rates!$G144</f>
        <v>1.3242845572778981</v>
      </c>
      <c r="J165" s="459">
        <f>J97*Calc_SEC_retirement_rates!$G144</f>
        <v>1.3495040883413791</v>
      </c>
      <c r="K165" s="459">
        <f>K97*Calc_SEC_retirement_rates!$G144</f>
        <v>1.3723319914399061</v>
      </c>
      <c r="L165" s="459">
        <f>L97*Calc_SEC_retirement_rates!$G144</f>
        <v>1.3892335214433051</v>
      </c>
      <c r="M165" s="459">
        <f>M97*Calc_SEC_retirement_rates!$G144</f>
        <v>1.4033514779427738</v>
      </c>
      <c r="N165" s="459">
        <f>N97*Calc_SEC_retirement_rates!$G144</f>
        <v>1.4141175287213497</v>
      </c>
    </row>
    <row r="166" spans="1:14">
      <c r="B166" s="338" t="str">
        <f t="shared" si="60"/>
        <v>45-49</v>
      </c>
      <c r="C166" s="459">
        <f>C98*Calc_SEC_retirement_rates!$G145</f>
        <v>2.3713262993010549</v>
      </c>
      <c r="D166" s="459">
        <f>D98*Calc_SEC_retirement_rates!$G145</f>
        <v>2.3584306632546186</v>
      </c>
      <c r="E166" s="459">
        <f>E98*Calc_SEC_retirement_rates!$G145</f>
        <v>2.3432433010547737</v>
      </c>
      <c r="F166" s="459">
        <f>F98*Calc_SEC_retirement_rates!$G145</f>
        <v>2.3363500826991279</v>
      </c>
      <c r="G166" s="459">
        <f>G98*Calc_SEC_retirement_rates!$G145</f>
        <v>2.3421620283175053</v>
      </c>
      <c r="H166" s="459">
        <f>H98*Calc_SEC_retirement_rates!$G145</f>
        <v>2.354832288174932</v>
      </c>
      <c r="I166" s="459">
        <f>I98*Calc_SEC_retirement_rates!$G145</f>
        <v>2.3700653430900629</v>
      </c>
      <c r="J166" s="459">
        <f>J98*Calc_SEC_retirement_rates!$G145</f>
        <v>2.391651916402485</v>
      </c>
      <c r="K166" s="459">
        <f>K98*Calc_SEC_retirement_rates!$G145</f>
        <v>2.4149235425410143</v>
      </c>
      <c r="L166" s="459">
        <f>L98*Calc_SEC_retirement_rates!$G145</f>
        <v>2.4333662216096759</v>
      </c>
      <c r="M166" s="459">
        <f>M98*Calc_SEC_retirement_rates!$G145</f>
        <v>2.4514048290345083</v>
      </c>
      <c r="N166" s="459">
        <f>N98*Calc_SEC_retirement_rates!$G145</f>
        <v>2.4674123417894842</v>
      </c>
    </row>
    <row r="167" spans="1:14">
      <c r="B167" s="338" t="str">
        <f t="shared" si="60"/>
        <v>50-54</v>
      </c>
      <c r="C167" s="459">
        <f>C99*Calc_SEC_retirement_rates!$G146</f>
        <v>44.244808483894218</v>
      </c>
      <c r="D167" s="459">
        <f>D99*Calc_SEC_retirement_rates!$G146</f>
        <v>44.006874669694305</v>
      </c>
      <c r="E167" s="459">
        <f>E99*Calc_SEC_retirement_rates!$G146</f>
        <v>43.532991304919562</v>
      </c>
      <c r="F167" s="459">
        <f>F99*Calc_SEC_retirement_rates!$G146</f>
        <v>43.074242132646667</v>
      </c>
      <c r="G167" s="459">
        <f>G99*Calc_SEC_retirement_rates!$G146</f>
        <v>42.755479592105139</v>
      </c>
      <c r="H167" s="459">
        <f>H99*Calc_SEC_retirement_rates!$G146</f>
        <v>42.522933297697968</v>
      </c>
      <c r="I167" s="459">
        <f>I99*Calc_SEC_retirement_rates!$G146</f>
        <v>42.33768183546465</v>
      </c>
      <c r="J167" s="459">
        <f>J99*Calc_SEC_retirement_rates!$G146</f>
        <v>42.282175385710381</v>
      </c>
      <c r="K167" s="459">
        <f>K99*Calc_SEC_retirement_rates!$G146</f>
        <v>42.296221793390195</v>
      </c>
      <c r="L167" s="459">
        <f>L99*Calc_SEC_retirement_rates!$G146</f>
        <v>42.28378104204333</v>
      </c>
      <c r="M167" s="459">
        <f>M99*Calc_SEC_retirement_rates!$G146</f>
        <v>42.319114962905296</v>
      </c>
      <c r="N167" s="459">
        <f>N99*Calc_SEC_retirement_rates!$G146</f>
        <v>42.375924059182253</v>
      </c>
    </row>
    <row r="168" spans="1:14">
      <c r="B168" s="338" t="str">
        <f t="shared" si="60"/>
        <v>55-59</v>
      </c>
      <c r="C168" s="459">
        <f>C100*Calc_SEC_retirement_rates!$G147</f>
        <v>248.30930871144585</v>
      </c>
      <c r="D168" s="459">
        <f>D100*Calc_SEC_retirement_rates!$G147</f>
        <v>231.7358231577914</v>
      </c>
      <c r="E168" s="459">
        <f>E100*Calc_SEC_retirement_rates!$G147</f>
        <v>219.92283242422252</v>
      </c>
      <c r="F168" s="459">
        <f>F100*Calc_SEC_retirement_rates!$G147</f>
        <v>211.73958853793792</v>
      </c>
      <c r="G168" s="459">
        <f>G100*Calc_SEC_retirement_rates!$G147</f>
        <v>206.3219744950656</v>
      </c>
      <c r="H168" s="459">
        <f>H100*Calc_SEC_retirement_rates!$G147</f>
        <v>202.42339678154801</v>
      </c>
      <c r="I168" s="459">
        <f>I100*Calc_SEC_retirement_rates!$G147</f>
        <v>199.33738931304887</v>
      </c>
      <c r="J168" s="459">
        <f>J100*Calc_SEC_retirement_rates!$G147</f>
        <v>197.29606955287579</v>
      </c>
      <c r="K168" s="459">
        <f>K100*Calc_SEC_retirement_rates!$G147</f>
        <v>195.8041012580758</v>
      </c>
      <c r="L168" s="459">
        <f>L100*Calc_SEC_retirement_rates!$G147</f>
        <v>194.27884583337945</v>
      </c>
      <c r="M168" s="459">
        <f>M100*Calc_SEC_retirement_rates!$G147</f>
        <v>193.1778828336052</v>
      </c>
      <c r="N168" s="459">
        <f>N100*Calc_SEC_retirement_rates!$G147</f>
        <v>192.34060042861873</v>
      </c>
    </row>
    <row r="169" spans="1:14">
      <c r="B169" s="338" t="str">
        <f t="shared" si="60"/>
        <v>60-64</v>
      </c>
      <c r="C169" s="459">
        <f>C101*Calc_SEC_retirement_rates!$G148</f>
        <v>199.06921090117308</v>
      </c>
      <c r="D169" s="459">
        <f>D101*Calc_SEC_retirement_rates!$G148</f>
        <v>188.02431097682148</v>
      </c>
      <c r="E169" s="459">
        <f>E101*Calc_SEC_retirement_rates!$G148</f>
        <v>176.17870794838399</v>
      </c>
      <c r="F169" s="459">
        <f>F101*Calc_SEC_retirement_rates!$G148</f>
        <v>166.66033553872978</v>
      </c>
      <c r="G169" s="459">
        <f>G101*Calc_SEC_retirement_rates!$G148</f>
        <v>159.95259598869077</v>
      </c>
      <c r="H169" s="459">
        <f>H101*Calc_SEC_retirement_rates!$G148</f>
        <v>155.00164889205553</v>
      </c>
      <c r="I169" s="459">
        <f>I101*Calc_SEC_retirement_rates!$G148</f>
        <v>151.07449201046168</v>
      </c>
      <c r="J169" s="459">
        <f>J101*Calc_SEC_retirement_rates!$G148</f>
        <v>148.4110329344152</v>
      </c>
      <c r="K169" s="459">
        <f>K101*Calc_SEC_retirement_rates!$G148</f>
        <v>146.35257738404687</v>
      </c>
      <c r="L169" s="459">
        <f>L101*Calc_SEC_retirement_rates!$G148</f>
        <v>144.22397664331953</v>
      </c>
      <c r="M169" s="459">
        <f>M101*Calc_SEC_retirement_rates!$G148</f>
        <v>142.59043559583137</v>
      </c>
      <c r="N169" s="459">
        <f>N101*Calc_SEC_retirement_rates!$G148</f>
        <v>141.24736683395278</v>
      </c>
    </row>
    <row r="170" spans="1:14">
      <c r="B170" s="338" t="str">
        <f t="shared" si="60"/>
        <v>65 plus</v>
      </c>
      <c r="C170" s="459">
        <f>C102*Calc_SEC_retirement_rates!$G149</f>
        <v>55.699794825818671</v>
      </c>
      <c r="D170" s="459">
        <f>D102*Calc_SEC_retirement_rates!$G149</f>
        <v>61.773531377961277</v>
      </c>
      <c r="E170" s="459">
        <f>E102*Calc_SEC_retirement_rates!$G149</f>
        <v>62.697911909047967</v>
      </c>
      <c r="F170" s="459">
        <f>F102*Calc_SEC_retirement_rates!$G149</f>
        <v>61.455950454781451</v>
      </c>
      <c r="G170" s="459">
        <f>G102*Calc_SEC_retirement_rates!$G149</f>
        <v>59.690885198461253</v>
      </c>
      <c r="H170" s="459">
        <f>H102*Calc_SEC_retirement_rates!$G149</f>
        <v>57.861680731382016</v>
      </c>
      <c r="I170" s="459">
        <f>I102*Calc_SEC_retirement_rates!$G149</f>
        <v>56.119980838980261</v>
      </c>
      <c r="J170" s="459">
        <f>J102*Calc_SEC_retirement_rates!$G149</f>
        <v>54.783033330625521</v>
      </c>
      <c r="K170" s="459">
        <f>K102*Calc_SEC_retirement_rates!$G149</f>
        <v>53.685200936405771</v>
      </c>
      <c r="L170" s="459">
        <f>L102*Calc_SEC_retirement_rates!$G149</f>
        <v>52.566051895698408</v>
      </c>
      <c r="M170" s="459">
        <f>M102*Calc_SEC_retirement_rates!$G149</f>
        <v>51.654247505265189</v>
      </c>
      <c r="N170" s="459">
        <f>N102*Calc_SEC_retirement_rates!$G149</f>
        <v>50.881100904766335</v>
      </c>
    </row>
    <row r="171" spans="1:14">
      <c r="B171" s="338" t="str">
        <f t="shared" si="60"/>
        <v>Total</v>
      </c>
      <c r="C171" s="459">
        <f>SUM(C161:C170)</f>
        <v>551.90467987976604</v>
      </c>
      <c r="D171" s="459">
        <f t="shared" ref="D171:N171" si="62">SUM(D161:D170)</f>
        <v>530.19607448814247</v>
      </c>
      <c r="E171" s="459">
        <f t="shared" si="62"/>
        <v>507.04098916456303</v>
      </c>
      <c r="F171" s="459">
        <f t="shared" si="62"/>
        <v>487.69535311992905</v>
      </c>
      <c r="G171" s="459">
        <f t="shared" si="62"/>
        <v>473.55713004812549</v>
      </c>
      <c r="H171" s="459">
        <f t="shared" si="62"/>
        <v>462.71860313813579</v>
      </c>
      <c r="I171" s="459">
        <f t="shared" si="62"/>
        <v>453.84439908618219</v>
      </c>
      <c r="J171" s="459">
        <f t="shared" si="62"/>
        <v>447.81649824853747</v>
      </c>
      <c r="K171" s="459">
        <f t="shared" si="62"/>
        <v>443.2461198658591</v>
      </c>
      <c r="L171" s="459">
        <f t="shared" si="62"/>
        <v>438.5056849146734</v>
      </c>
      <c r="M171" s="459">
        <f t="shared" si="62"/>
        <v>434.9325536902769</v>
      </c>
      <c r="N171" s="459">
        <f t="shared" si="62"/>
        <v>432.06430983731462</v>
      </c>
    </row>
    <row r="172" spans="1:14">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0.50191563355241342</v>
      </c>
      <c r="D181" s="459">
        <f>D79*Calc_SEC_death_rates!$G126</f>
        <v>0.5268739510130529</v>
      </c>
      <c r="E181" s="459">
        <f>E79*Calc_SEC_death_rates!$G126</f>
        <v>0.54406312037521498</v>
      </c>
      <c r="F181" s="459">
        <f>F79*Calc_SEC_death_rates!$G126</f>
        <v>0.55885661011440746</v>
      </c>
      <c r="G181" s="459">
        <f>G79*Calc_SEC_death_rates!$G126</f>
        <v>0.57386608825083463</v>
      </c>
      <c r="H181" s="459">
        <f>H79*Calc_SEC_death_rates!$G126</f>
        <v>0.58739739703653071</v>
      </c>
      <c r="I181" s="459">
        <f>I79*Calc_SEC_death_rates!$G126</f>
        <v>0.59812868676160968</v>
      </c>
      <c r="J181" s="459">
        <f>J79*Calc_SEC_death_rates!$G126</f>
        <v>0.60805902122446376</v>
      </c>
      <c r="K181" s="459">
        <f>K79*Calc_SEC_death_rates!$G126</f>
        <v>0.615971626042639</v>
      </c>
      <c r="L181" s="459">
        <f>L79*Calc_SEC_death_rates!$G126</f>
        <v>0.61972681464987533</v>
      </c>
      <c r="M181" s="459">
        <f>M79*Calc_SEC_death_rates!$G126</f>
        <v>0.6215422434163197</v>
      </c>
      <c r="N181" s="459">
        <f>N79*Calc_SEC_death_rates!$G126</f>
        <v>0.62139299231989698</v>
      </c>
    </row>
    <row r="182" spans="1:14">
      <c r="B182" s="338" t="str">
        <f t="shared" si="64"/>
        <v>35-39</v>
      </c>
      <c r="C182" s="459">
        <f>C80*Calc_SEC_death_rates!$G127</f>
        <v>0.84636344392589113</v>
      </c>
      <c r="D182" s="459">
        <f>D80*Calc_SEC_death_rates!$G127</f>
        <v>0.88640442503084982</v>
      </c>
      <c r="E182" s="459">
        <f>E80*Calc_SEC_death_rates!$G127</f>
        <v>0.91685758428949782</v>
      </c>
      <c r="F182" s="459">
        <f>F80*Calc_SEC_death_rates!$G127</f>
        <v>0.9434098550825748</v>
      </c>
      <c r="G182" s="459">
        <f>G80*Calc_SEC_death_rates!$G127</f>
        <v>0.96917455832509902</v>
      </c>
      <c r="H182" s="459">
        <f>H80*Calc_SEC_death_rates!$G127</f>
        <v>0.99250242026999569</v>
      </c>
      <c r="I182" s="459">
        <f>I80*Calc_SEC_death_rates!$G127</f>
        <v>1.0122805041502194</v>
      </c>
      <c r="J182" s="459">
        <f>J80*Calc_SEC_death_rates!$G127</f>
        <v>1.0310703553511513</v>
      </c>
      <c r="K182" s="459">
        <f>K80*Calc_SEC_death_rates!$G127</f>
        <v>1.0474025194764167</v>
      </c>
      <c r="L182" s="459">
        <f>L80*Calc_SEC_death_rates!$G127</f>
        <v>1.0587368363575971</v>
      </c>
      <c r="M182" s="459">
        <f>M80*Calc_SEC_death_rates!$G127</f>
        <v>1.0675502795175988</v>
      </c>
      <c r="N182" s="459">
        <f>N80*Calc_SEC_death_rates!$G127</f>
        <v>1.073506834659067</v>
      </c>
    </row>
    <row r="183" spans="1:14">
      <c r="B183" s="338" t="str">
        <f t="shared" si="64"/>
        <v>40-44</v>
      </c>
      <c r="C183" s="459">
        <f>C81*Calc_SEC_death_rates!$G128</f>
        <v>1.547542166625312</v>
      </c>
      <c r="D183" s="459">
        <f>D81*Calc_SEC_death_rates!$G128</f>
        <v>1.5648133319749122</v>
      </c>
      <c r="E183" s="459">
        <f>E81*Calc_SEC_death_rates!$G128</f>
        <v>1.5796157942946669</v>
      </c>
      <c r="F183" s="459">
        <f>F81*Calc_SEC_death_rates!$G128</f>
        <v>1.5980638076706097</v>
      </c>
      <c r="G183" s="459">
        <f>G81*Calc_SEC_death_rates!$G128</f>
        <v>1.6222528472591538</v>
      </c>
      <c r="H183" s="459">
        <f>H81*Calc_SEC_death_rates!$G128</f>
        <v>1.6475688992250512</v>
      </c>
      <c r="I183" s="459">
        <f>I81*Calc_SEC_death_rates!$G128</f>
        <v>1.6710515449577859</v>
      </c>
      <c r="J183" s="459">
        <f>J81*Calc_SEC_death_rates!$G128</f>
        <v>1.6958430223561645</v>
      </c>
      <c r="K183" s="459">
        <f>K81*Calc_SEC_death_rates!$G128</f>
        <v>1.7191067740401744</v>
      </c>
      <c r="L183" s="459">
        <f>L81*Calc_SEC_death_rates!$G128</f>
        <v>1.7366960698817531</v>
      </c>
      <c r="M183" s="459">
        <f>M81*Calc_SEC_death_rates!$G128</f>
        <v>1.7522577211261019</v>
      </c>
      <c r="N183" s="459">
        <f>N81*Calc_SEC_death_rates!$G128</f>
        <v>1.7649742692945178</v>
      </c>
    </row>
    <row r="184" spans="1:14">
      <c r="B184" s="338" t="str">
        <f t="shared" si="64"/>
        <v>45-49</v>
      </c>
      <c r="C184" s="459">
        <f>C82*Calc_SEC_death_rates!$G129</f>
        <v>1.53992927229027</v>
      </c>
      <c r="D184" s="459">
        <f>D82*Calc_SEC_death_rates!$G129</f>
        <v>1.5470893411804214</v>
      </c>
      <c r="E184" s="459">
        <f>E82*Calc_SEC_death_rates!$G129</f>
        <v>1.5459033488002392</v>
      </c>
      <c r="F184" s="459">
        <f>F82*Calc_SEC_death_rates!$G129</f>
        <v>1.5456474521357322</v>
      </c>
      <c r="G184" s="459">
        <f>G82*Calc_SEC_death_rates!$G129</f>
        <v>1.5505476433315803</v>
      </c>
      <c r="H184" s="459">
        <f>H82*Calc_SEC_death_rates!$G129</f>
        <v>1.5578612083815975</v>
      </c>
      <c r="I184" s="459">
        <f>I82*Calc_SEC_death_rates!$G129</f>
        <v>1.5655499108974</v>
      </c>
      <c r="J184" s="459">
        <f>J82*Calc_SEC_death_rates!$G129</f>
        <v>1.5764861885610078</v>
      </c>
      <c r="K184" s="459">
        <f>K82*Calc_SEC_death_rates!$G129</f>
        <v>1.588172551868702</v>
      </c>
      <c r="L184" s="459">
        <f>L82*Calc_SEC_death_rates!$G129</f>
        <v>1.5968793862065827</v>
      </c>
      <c r="M184" s="459">
        <f>M82*Calc_SEC_death_rates!$G129</f>
        <v>1.6056211004600391</v>
      </c>
      <c r="N184" s="459">
        <f>N82*Calc_SEC_death_rates!$G129</f>
        <v>1.6135529382212672</v>
      </c>
    </row>
    <row r="185" spans="1:14">
      <c r="B185" s="338" t="str">
        <f t="shared" si="64"/>
        <v>50-54</v>
      </c>
      <c r="C185" s="459">
        <f>C83*Calc_SEC_death_rates!$G130</f>
        <v>2.592263354314067</v>
      </c>
      <c r="D185" s="459">
        <f>D83*Calc_SEC_death_rates!$G130</f>
        <v>2.5692405323110563</v>
      </c>
      <c r="E185" s="459">
        <f>E83*Calc_SEC_death_rates!$G130</f>
        <v>2.5409817837675979</v>
      </c>
      <c r="F185" s="459">
        <f>F83*Calc_SEC_death_rates!$G130</f>
        <v>2.5170366909730215</v>
      </c>
      <c r="G185" s="459">
        <f>G83*Calc_SEC_death_rates!$G130</f>
        <v>2.5020138843632806</v>
      </c>
      <c r="H185" s="459">
        <f>H83*Calc_SEC_death_rates!$G130</f>
        <v>2.4915384884578176</v>
      </c>
      <c r="I185" s="459">
        <f>I83*Calc_SEC_death_rates!$G130</f>
        <v>2.4828008156824164</v>
      </c>
      <c r="J185" s="459">
        <f>J83*Calc_SEC_death_rates!$G130</f>
        <v>2.4803369748863742</v>
      </c>
      <c r="K185" s="459">
        <f>K83*Calc_SEC_death_rates!$G130</f>
        <v>2.4807423187036375</v>
      </c>
      <c r="L185" s="459">
        <f>L83*Calc_SEC_death_rates!$G130</f>
        <v>2.4787206953643444</v>
      </c>
      <c r="M185" s="459">
        <f>M83*Calc_SEC_death_rates!$G130</f>
        <v>2.4787990849945456</v>
      </c>
      <c r="N185" s="459">
        <f>N83*Calc_SEC_death_rates!$G130</f>
        <v>2.4797467241501385</v>
      </c>
    </row>
    <row r="186" spans="1:14">
      <c r="B186" s="338" t="str">
        <f t="shared" si="64"/>
        <v>55-59</v>
      </c>
      <c r="C186" s="459">
        <f>C84*Calc_SEC_death_rates!$G131</f>
        <v>1.584425573446262</v>
      </c>
      <c r="D186" s="459">
        <f>D84*Calc_SEC_death_rates!$G131</f>
        <v>1.4647158031004139</v>
      </c>
      <c r="E186" s="459">
        <f>E84*Calc_SEC_death_rates!$G131</f>
        <v>1.3808230997070239</v>
      </c>
      <c r="F186" s="459">
        <f>F84*Calc_SEC_death_rates!$G131</f>
        <v>1.3242842665835315</v>
      </c>
      <c r="G186" s="459">
        <f>G84*Calc_SEC_death_rates!$G131</f>
        <v>1.2881493408999314</v>
      </c>
      <c r="H186" s="459">
        <f>H84*Calc_SEC_death_rates!$G131</f>
        <v>1.2632924559312395</v>
      </c>
      <c r="I186" s="459">
        <f>I84*Calc_SEC_death_rates!$G131</f>
        <v>1.2443918182381213</v>
      </c>
      <c r="J186" s="459">
        <f>J84*Calc_SEC_death_rates!$G131</f>
        <v>1.2323750174436188</v>
      </c>
      <c r="K186" s="459">
        <f>K84*Calc_SEC_death_rates!$G131</f>
        <v>1.2237306166170971</v>
      </c>
      <c r="L186" s="459">
        <f>L84*Calc_SEC_death_rates!$G131</f>
        <v>1.2145898889472309</v>
      </c>
      <c r="M186" s="459">
        <f>M84*Calc_SEC_death_rates!$G131</f>
        <v>1.2078255996744067</v>
      </c>
      <c r="N186" s="459">
        <f>N84*Calc_SEC_death_rates!$G131</f>
        <v>1.2024122241006012</v>
      </c>
    </row>
    <row r="187" spans="1:14">
      <c r="B187" s="338" t="str">
        <f t="shared" si="64"/>
        <v>60-64</v>
      </c>
      <c r="C187" s="459">
        <f>C85*Calc_SEC_death_rates!$G132</f>
        <v>1.4692057772273575</v>
      </c>
      <c r="D187" s="459">
        <f>D85*Calc_SEC_death_rates!$G132</f>
        <v>1.3034725903065896</v>
      </c>
      <c r="E187" s="459">
        <f>E85*Calc_SEC_death_rates!$G132</f>
        <v>1.177509162585247</v>
      </c>
      <c r="F187" s="459">
        <f>F85*Calc_SEC_death_rates!$G132</f>
        <v>1.0890740784762156</v>
      </c>
      <c r="G187" s="459">
        <f>G85*Calc_SEC_death_rates!$G132</f>
        <v>1.0307716159529992</v>
      </c>
      <c r="H187" s="459">
        <f>H85*Calc_SEC_death_rates!$G132</f>
        <v>0.99067210188820498</v>
      </c>
      <c r="I187" s="459">
        <f>I85*Calc_SEC_death_rates!$G132</f>
        <v>0.96114625165293299</v>
      </c>
      <c r="J187" s="459">
        <f>J85*Calc_SEC_death_rates!$G132</f>
        <v>0.94187138681472149</v>
      </c>
      <c r="K187" s="459">
        <f>K85*Calc_SEC_death_rates!$G132</f>
        <v>0.92773419582105421</v>
      </c>
      <c r="L187" s="459">
        <f>L85*Calc_SEC_death_rates!$G132</f>
        <v>0.91385725668002638</v>
      </c>
      <c r="M187" s="459">
        <f>M85*Calc_SEC_death_rates!$G132</f>
        <v>0.90330251357210267</v>
      </c>
      <c r="N187" s="459">
        <f>N85*Calc_SEC_death_rates!$G132</f>
        <v>0.89463224816015174</v>
      </c>
    </row>
    <row r="188" spans="1:14">
      <c r="B188" s="338" t="str">
        <f t="shared" si="64"/>
        <v>65 plus</v>
      </c>
      <c r="C188" s="459">
        <f>C86*Calc_SEC_death_rates!$G133</f>
        <v>1.4950888765991015</v>
      </c>
      <c r="D188" s="459">
        <f>D86*Calc_SEC_death_rates!$G133</f>
        <v>1.5311219018453577</v>
      </c>
      <c r="E188" s="459">
        <f>E86*Calc_SEC_death_rates!$G133</f>
        <v>1.4733663676826305</v>
      </c>
      <c r="F188" s="459">
        <f>F86*Calc_SEC_death_rates!$G133</f>
        <v>1.389627907944984</v>
      </c>
      <c r="G188" s="459">
        <f>G86*Calc_SEC_death_rates!$G133</f>
        <v>1.3111773410874834</v>
      </c>
      <c r="H188" s="459">
        <f>H86*Calc_SEC_death_rates!$G133</f>
        <v>1.2444271607815895</v>
      </c>
      <c r="I188" s="459">
        <f>I86*Calc_SEC_death_rates!$G133</f>
        <v>1.1892223775481146</v>
      </c>
      <c r="J188" s="459">
        <f>J86*Calc_SEC_death_rates!$G133</f>
        <v>1.1485085635244079</v>
      </c>
      <c r="K188" s="459">
        <f>K86*Calc_SEC_death_rates!$G133</f>
        <v>1.1173902724017108</v>
      </c>
      <c r="L188" s="459">
        <f>L86*Calc_SEC_death_rates!$G133</f>
        <v>1.0895599081855529</v>
      </c>
      <c r="M188" s="459">
        <f>M86*Calc_SEC_death_rates!$G133</f>
        <v>1.0676797477805333</v>
      </c>
      <c r="N188" s="459">
        <f>N86*Calc_SEC_death_rates!$G133</f>
        <v>1.0498022924541284</v>
      </c>
    </row>
    <row r="189" spans="1:14">
      <c r="B189" s="338" t="str">
        <f t="shared" si="64"/>
        <v>Total</v>
      </c>
      <c r="C189" s="459">
        <f>SUM(C179:C188)</f>
        <v>11.576734097980674</v>
      </c>
      <c r="D189" s="459">
        <f t="shared" ref="D189:N189" si="66">SUM(D179:D188)</f>
        <v>11.393731876762656</v>
      </c>
      <c r="E189" s="459">
        <f t="shared" si="66"/>
        <v>11.159120261502117</v>
      </c>
      <c r="F189" s="459">
        <f t="shared" si="66"/>
        <v>10.966000668981076</v>
      </c>
      <c r="G189" s="459">
        <f t="shared" si="66"/>
        <v>10.847953319470363</v>
      </c>
      <c r="H189" s="459">
        <f t="shared" si="66"/>
        <v>10.775260131972026</v>
      </c>
      <c r="I189" s="459">
        <f t="shared" si="66"/>
        <v>10.724571909888599</v>
      </c>
      <c r="J189" s="459">
        <f t="shared" si="66"/>
        <v>10.71455053016191</v>
      </c>
      <c r="K189" s="459">
        <f t="shared" si="66"/>
        <v>10.72025087497143</v>
      </c>
      <c r="L189" s="459">
        <f t="shared" si="66"/>
        <v>10.708766856272963</v>
      </c>
      <c r="M189" s="459">
        <f t="shared" si="66"/>
        <v>10.704578290541647</v>
      </c>
      <c r="N189" s="459">
        <f t="shared" si="66"/>
        <v>10.700020523359768</v>
      </c>
    </row>
    <row r="190" spans="1:14">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4">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8"/>
        <v>30-34</v>
      </c>
      <c r="C197" s="459">
        <f>C95*Calc_SEC_death_rates!$G142</f>
        <v>0.16221780344105449</v>
      </c>
      <c r="D197" s="459">
        <f>D95*Calc_SEC_death_rates!$G142</f>
        <v>0.1750356293420742</v>
      </c>
      <c r="E197" s="459">
        <f>E95*Calc_SEC_death_rates!$G142</f>
        <v>0.18342357960472147</v>
      </c>
      <c r="F197" s="459">
        <f>F95*Calc_SEC_death_rates!$G142</f>
        <v>0.18965121516186667</v>
      </c>
      <c r="G197" s="459">
        <f>G95*Calc_SEC_death_rates!$G142</f>
        <v>0.19499735776069632</v>
      </c>
      <c r="H197" s="459">
        <f>H95*Calc_SEC_death_rates!$G142</f>
        <v>0.19920448572348889</v>
      </c>
      <c r="I197" s="459">
        <f>I95*Calc_SEC_death_rates!$G142</f>
        <v>0.20208022154846983</v>
      </c>
      <c r="J197" s="459">
        <f>J95*Calc_SEC_death_rates!$G142</f>
        <v>0.20449587692633406</v>
      </c>
      <c r="K197" s="459">
        <f>K95*Calc_SEC_death_rates!$G142</f>
        <v>0.20616176822741078</v>
      </c>
      <c r="L197" s="459">
        <f>L95*Calc_SEC_death_rates!$G142</f>
        <v>0.20643872742866212</v>
      </c>
      <c r="M197" s="459">
        <f>M95*Calc_SEC_death_rates!$G142</f>
        <v>0.20614244300235954</v>
      </c>
      <c r="N197" s="459">
        <f>N95*Calc_SEC_death_rates!$G142</f>
        <v>0.20528890088695681</v>
      </c>
    </row>
    <row r="198" spans="1:14">
      <c r="B198" s="338" t="str">
        <f t="shared" si="68"/>
        <v>35-39</v>
      </c>
      <c r="C198" s="459">
        <f>C96*Calc_SEC_death_rates!$G143</f>
        <v>0.56606931700287921</v>
      </c>
      <c r="D198" s="459">
        <f>D96*Calc_SEC_death_rates!$G143</f>
        <v>0.5943348341602821</v>
      </c>
      <c r="E198" s="459">
        <f>E96*Calc_SEC_death_rates!$G143</f>
        <v>0.61862436482510919</v>
      </c>
      <c r="F198" s="459">
        <f>F96*Calc_SEC_death_rates!$G143</f>
        <v>0.64106448590928844</v>
      </c>
      <c r="G198" s="459">
        <f>G96*Calc_SEC_death_rates!$G143</f>
        <v>0.66271998475110183</v>
      </c>
      <c r="H198" s="459">
        <f>H96*Calc_SEC_death_rates!$G143</f>
        <v>0.68181011336622754</v>
      </c>
      <c r="I198" s="459">
        <f>I96*Calc_SEC_death_rates!$G143</f>
        <v>0.69732874482028251</v>
      </c>
      <c r="J198" s="459">
        <f>J96*Calc_SEC_death_rates!$G143</f>
        <v>0.71113669216117348</v>
      </c>
      <c r="K198" s="459">
        <f>K96*Calc_SEC_death_rates!$G143</f>
        <v>0.72232482116553509</v>
      </c>
      <c r="L198" s="459">
        <f>L96*Calc_SEC_death_rates!$G143</f>
        <v>0.72927801519928614</v>
      </c>
      <c r="M198" s="459">
        <f>M96*Calc_SEC_death_rates!$G143</f>
        <v>0.73398956020179251</v>
      </c>
      <c r="N198" s="459">
        <f>N96*Calc_SEC_death_rates!$G143</f>
        <v>0.73641099399255361</v>
      </c>
    </row>
    <row r="199" spans="1:14">
      <c r="B199" s="338" t="str">
        <f t="shared" si="68"/>
        <v>40-44</v>
      </c>
      <c r="C199" s="459">
        <f>C97*Calc_SEC_death_rates!$G144</f>
        <v>0.6213531397713643</v>
      </c>
      <c r="D199" s="459">
        <f>D97*Calc_SEC_death_rates!$G144</f>
        <v>0.63549115534583589</v>
      </c>
      <c r="E199" s="459">
        <f>E97*Calc_SEC_death_rates!$G144</f>
        <v>0.64670529158886148</v>
      </c>
      <c r="F199" s="459">
        <f>F97*Calc_SEC_death_rates!$G144</f>
        <v>0.6588086267113461</v>
      </c>
      <c r="G199" s="459">
        <f>G97*Calc_SEC_death_rates!$G144</f>
        <v>0.67311911489177112</v>
      </c>
      <c r="H199" s="459">
        <f>H97*Calc_SEC_death_rates!$G144</f>
        <v>0.68761416560987754</v>
      </c>
      <c r="I199" s="459">
        <f>I97*Calc_SEC_death_rates!$G144</f>
        <v>0.70088528186679189</v>
      </c>
      <c r="J199" s="459">
        <f>J97*Calc_SEC_death_rates!$G144</f>
        <v>0.71423286493784266</v>
      </c>
      <c r="K199" s="459">
        <f>K97*Calc_SEC_death_rates!$G144</f>
        <v>0.72631466503866582</v>
      </c>
      <c r="L199" s="459">
        <f>L97*Calc_SEC_death_rates!$G144</f>
        <v>0.73525989781005929</v>
      </c>
      <c r="M199" s="459">
        <f>M97*Calc_SEC_death_rates!$G144</f>
        <v>0.7427319081617112</v>
      </c>
      <c r="N199" s="459">
        <f>N97*Calc_SEC_death_rates!$G144</f>
        <v>0.74842990297186351</v>
      </c>
    </row>
    <row r="200" spans="1:14">
      <c r="B200" s="338" t="str">
        <f t="shared" si="68"/>
        <v>45-49</v>
      </c>
      <c r="C200" s="459">
        <f>C98*Calc_SEC_death_rates!$G145</f>
        <v>0.91108607458377822</v>
      </c>
      <c r="D200" s="459">
        <f>D98*Calc_SEC_death_rates!$G145</f>
        <v>0.90613144879977214</v>
      </c>
      <c r="E200" s="459">
        <f>E98*Calc_SEC_death_rates!$G145</f>
        <v>0.90029632007285798</v>
      </c>
      <c r="F200" s="459">
        <f>F98*Calc_SEC_death_rates!$G145</f>
        <v>0.89764788014506502</v>
      </c>
      <c r="G200" s="459">
        <f>G98*Calc_SEC_death_rates!$G145</f>
        <v>0.8998808848229547</v>
      </c>
      <c r="H200" s="459">
        <f>H98*Calc_SEC_death_rates!$G145</f>
        <v>0.90474891893570486</v>
      </c>
      <c r="I200" s="459">
        <f>I98*Calc_SEC_death_rates!$G145</f>
        <v>0.9106016032375811</v>
      </c>
      <c r="J200" s="459">
        <f>J98*Calc_SEC_death_rates!$G145</f>
        <v>0.91889536962001728</v>
      </c>
      <c r="K200" s="459">
        <f>K98*Calc_SEC_death_rates!$G145</f>
        <v>0.92783654929401793</v>
      </c>
      <c r="L200" s="459">
        <f>L98*Calc_SEC_death_rates!$G145</f>
        <v>0.93492240166381968</v>
      </c>
      <c r="M200" s="459">
        <f>M98*Calc_SEC_death_rates!$G145</f>
        <v>0.94185300587231346</v>
      </c>
      <c r="N200" s="459">
        <f>N98*Calc_SEC_death_rates!$G145</f>
        <v>0.94800324422798798</v>
      </c>
    </row>
    <row r="201" spans="1:14">
      <c r="B201" s="338" t="str">
        <f t="shared" si="68"/>
        <v>50-54</v>
      </c>
      <c r="C201" s="459">
        <f>C99*Calc_SEC_death_rates!$G146</f>
        <v>1.0587676581243273</v>
      </c>
      <c r="D201" s="459">
        <f>D99*Calc_SEC_death_rates!$G146</f>
        <v>1.0530739590016216</v>
      </c>
      <c r="E201" s="459">
        <f>E99*Calc_SEC_death_rates!$G146</f>
        <v>1.0417340437089773</v>
      </c>
      <c r="F201" s="459">
        <f>F99*Calc_SEC_death_rates!$G146</f>
        <v>1.0307562860140682</v>
      </c>
      <c r="G201" s="459">
        <f>G99*Calc_SEC_death_rates!$G146</f>
        <v>1.0231283748508915</v>
      </c>
      <c r="H201" s="459">
        <f>H99*Calc_SEC_death_rates!$G146</f>
        <v>1.0175635977850217</v>
      </c>
      <c r="I201" s="459">
        <f>I99*Calc_SEC_death_rates!$G146</f>
        <v>1.0131305747128512</v>
      </c>
      <c r="J201" s="459">
        <f>J99*Calc_SEC_death_rates!$G146</f>
        <v>1.0118023186794112</v>
      </c>
      <c r="K201" s="459">
        <f>K99*Calc_SEC_death_rates!$G146</f>
        <v>1.0121384458471814</v>
      </c>
      <c r="L201" s="459">
        <f>L99*Calc_SEC_death_rates!$G146</f>
        <v>1.0118407416504589</v>
      </c>
      <c r="M201" s="459">
        <f>M99*Calc_SEC_death_rates!$G146</f>
        <v>1.012686273904418</v>
      </c>
      <c r="N201" s="459">
        <f>N99*Calc_SEC_death_rates!$G146</f>
        <v>1.0140457019568008</v>
      </c>
    </row>
    <row r="202" spans="1:14">
      <c r="B202" s="338" t="str">
        <f t="shared" si="68"/>
        <v>55-59</v>
      </c>
      <c r="C202" s="459">
        <f>C100*Calc_SEC_death_rates!$G147</f>
        <v>2.01409830452448</v>
      </c>
      <c r="D202" s="459">
        <f>D100*Calc_SEC_death_rates!$G147</f>
        <v>1.8796666582567712</v>
      </c>
      <c r="E202" s="459">
        <f>E100*Calc_SEC_death_rates!$G147</f>
        <v>1.7838485645601987</v>
      </c>
      <c r="F202" s="459">
        <f>F100*Calc_SEC_death_rates!$G147</f>
        <v>1.7174722465622725</v>
      </c>
      <c r="G202" s="459">
        <f>G100*Calc_SEC_death_rates!$G147</f>
        <v>1.6735286372189866</v>
      </c>
      <c r="H202" s="459">
        <f>H100*Calc_SEC_death_rates!$G147</f>
        <v>1.6419063077799505</v>
      </c>
      <c r="I202" s="459">
        <f>I100*Calc_SEC_death_rates!$G147</f>
        <v>1.6168749368566921</v>
      </c>
      <c r="J202" s="459">
        <f>J100*Calc_SEC_death_rates!$G147</f>
        <v>1.6003172866852495</v>
      </c>
      <c r="K202" s="459">
        <f>K100*Calc_SEC_death_rates!$G147</f>
        <v>1.5882155623135188</v>
      </c>
      <c r="L202" s="459">
        <f>L100*Calc_SEC_death_rates!$G147</f>
        <v>1.5758438377865998</v>
      </c>
      <c r="M202" s="459">
        <f>M100*Calc_SEC_death_rates!$G147</f>
        <v>1.5669136542075124</v>
      </c>
      <c r="N202" s="459">
        <f>N100*Calc_SEC_death_rates!$G147</f>
        <v>1.5601222492414943</v>
      </c>
    </row>
    <row r="203" spans="1:14">
      <c r="B203" s="338" t="str">
        <f t="shared" si="68"/>
        <v>60-64</v>
      </c>
      <c r="C203" s="459">
        <f>C101*Calc_SEC_death_rates!$G148</f>
        <v>1.1865455882966502</v>
      </c>
      <c r="D203" s="459">
        <f>D101*Calc_SEC_death_rates!$G148</f>
        <v>1.1207128197881968</v>
      </c>
      <c r="E203" s="459">
        <f>E101*Calc_SEC_death_rates!$G148</f>
        <v>1.0501074863442237</v>
      </c>
      <c r="F203" s="459">
        <f>F101*Calc_SEC_death_rates!$G148</f>
        <v>0.99337353567795716</v>
      </c>
      <c r="G203" s="459">
        <f>G101*Calc_SEC_death_rates!$G148</f>
        <v>0.95339227119957959</v>
      </c>
      <c r="H203" s="459">
        <f>H101*Calc_SEC_death_rates!$G148</f>
        <v>0.92388231127755505</v>
      </c>
      <c r="I203" s="459">
        <f>I101*Calc_SEC_death_rates!$G148</f>
        <v>0.90047461979523269</v>
      </c>
      <c r="J203" s="459">
        <f>J101*Calc_SEC_death_rates!$G148</f>
        <v>0.88459915818072654</v>
      </c>
      <c r="K203" s="459">
        <f>K101*Calc_SEC_death_rates!$G148</f>
        <v>0.87232980049885556</v>
      </c>
      <c r="L203" s="459">
        <f>L101*Calc_SEC_death_rates!$G148</f>
        <v>0.85964234468024137</v>
      </c>
      <c r="M203" s="459">
        <f>M101*Calc_SEC_death_rates!$G148</f>
        <v>0.8499056761395658</v>
      </c>
      <c r="N203" s="459">
        <f>N101*Calc_SEC_death_rates!$G148</f>
        <v>0.84190035825553999</v>
      </c>
    </row>
    <row r="204" spans="1:14">
      <c r="B204" s="338" t="str">
        <f t="shared" si="68"/>
        <v>65 plus</v>
      </c>
      <c r="C204" s="459">
        <f>C102*Calc_SEC_death_rates!$G149</f>
        <v>1.7934843290544125</v>
      </c>
      <c r="D204" s="459">
        <f>D102*Calc_SEC_death_rates!$G149</f>
        <v>1.9890532958546889</v>
      </c>
      <c r="E204" s="459">
        <f>E102*Calc_SEC_death_rates!$G149</f>
        <v>2.0188175346956281</v>
      </c>
      <c r="F204" s="459">
        <f>F102*Calc_SEC_death_rates!$G149</f>
        <v>1.9788274698761408</v>
      </c>
      <c r="G204" s="459">
        <f>G102*Calc_SEC_death_rates!$G149</f>
        <v>1.9219939234175225</v>
      </c>
      <c r="H204" s="459">
        <f>H102*Calc_SEC_death_rates!$G149</f>
        <v>1.8630951508708369</v>
      </c>
      <c r="I204" s="459">
        <f>I102*Calc_SEC_death_rates!$G149</f>
        <v>1.8070139485485197</v>
      </c>
      <c r="J204" s="459">
        <f>J102*Calc_SEC_death_rates!$G149</f>
        <v>1.7639654164578573</v>
      </c>
      <c r="K204" s="459">
        <f>K102*Calc_SEC_death_rates!$G149</f>
        <v>1.7286161804127589</v>
      </c>
      <c r="L204" s="459">
        <f>L102*Calc_SEC_death_rates!$G149</f>
        <v>1.6925805671279763</v>
      </c>
      <c r="M204" s="459">
        <f>M102*Calc_SEC_death_rates!$G149</f>
        <v>1.6632212689381207</v>
      </c>
      <c r="N204" s="459">
        <f>N102*Calc_SEC_death_rates!$G149</f>
        <v>1.6383266294445182</v>
      </c>
    </row>
    <row r="205" spans="1:14">
      <c r="B205" s="338" t="str">
        <f t="shared" si="68"/>
        <v>Total</v>
      </c>
      <c r="C205" s="459">
        <f>SUM(C195:C204)</f>
        <v>8.3136222147989471</v>
      </c>
      <c r="D205" s="459">
        <f t="shared" ref="D205:N205" si="70">SUM(D195:D204)</f>
        <v>8.3534998005492422</v>
      </c>
      <c r="E205" s="459">
        <f t="shared" si="70"/>
        <v>8.2435571854005776</v>
      </c>
      <c r="F205" s="459">
        <f t="shared" si="70"/>
        <v>8.1076017460580054</v>
      </c>
      <c r="G205" s="459">
        <f t="shared" si="70"/>
        <v>8.0027605489135034</v>
      </c>
      <c r="H205" s="459">
        <f t="shared" si="70"/>
        <v>7.9198250513486625</v>
      </c>
      <c r="I205" s="459">
        <f t="shared" si="70"/>
        <v>7.8483899313864214</v>
      </c>
      <c r="J205" s="459">
        <f t="shared" si="70"/>
        <v>7.8094449836486124</v>
      </c>
      <c r="K205" s="459">
        <f t="shared" si="70"/>
        <v>7.7839377927979445</v>
      </c>
      <c r="L205" s="459">
        <f t="shared" si="70"/>
        <v>7.7458065333471042</v>
      </c>
      <c r="M205" s="459">
        <f t="shared" si="70"/>
        <v>7.7174437904277946</v>
      </c>
      <c r="N205" s="459">
        <f t="shared" si="70"/>
        <v>7.6925279809777143</v>
      </c>
    </row>
    <row r="206" spans="1:14">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81.519073104151261</v>
      </c>
      <c r="D213" s="459">
        <f t="shared" ref="D213:N213" si="75">D111+D145+D179</f>
        <v>117.31759846582688</v>
      </c>
      <c r="E213" s="459">
        <f t="shared" si="75"/>
        <v>136.72215063694</v>
      </c>
      <c r="F213" s="459">
        <f t="shared" si="75"/>
        <v>148.82271968153606</v>
      </c>
      <c r="G213" s="459">
        <f t="shared" si="75"/>
        <v>157.88432543441425</v>
      </c>
      <c r="H213" s="459">
        <f t="shared" si="75"/>
        <v>163.55236370733394</v>
      </c>
      <c r="I213" s="459">
        <f t="shared" si="75"/>
        <v>166.04455285150797</v>
      </c>
      <c r="J213" s="459">
        <f t="shared" si="75"/>
        <v>168.11107691177924</v>
      </c>
      <c r="K213" s="459">
        <f t="shared" si="75"/>
        <v>168.897067556537</v>
      </c>
      <c r="L213" s="459">
        <f t="shared" si="75"/>
        <v>167.10843642051856</v>
      </c>
      <c r="M213" s="459">
        <f t="shared" si="75"/>
        <v>165.30490960773159</v>
      </c>
      <c r="N213" s="459">
        <f t="shared" si="75"/>
        <v>163.26290371805763</v>
      </c>
    </row>
    <row r="214" spans="1:14">
      <c r="B214" s="338" t="str">
        <f t="shared" si="72"/>
        <v>25-29</v>
      </c>
      <c r="C214" s="459">
        <f t="shared" si="74"/>
        <v>195.68902311338846</v>
      </c>
      <c r="D214" s="459">
        <f t="shared" ref="D214:N214" si="76">D112+D146+D180</f>
        <v>208.91783743639442</v>
      </c>
      <c r="E214" s="459">
        <f t="shared" si="76"/>
        <v>218.01955817049165</v>
      </c>
      <c r="F214" s="459">
        <f t="shared" si="76"/>
        <v>225.84324075766364</v>
      </c>
      <c r="G214" s="459">
        <f t="shared" si="76"/>
        <v>233.70388249575115</v>
      </c>
      <c r="H214" s="459">
        <f t="shared" si="76"/>
        <v>239.95779391250747</v>
      </c>
      <c r="I214" s="459">
        <f t="shared" si="76"/>
        <v>243.82287441273144</v>
      </c>
      <c r="J214" s="459">
        <f t="shared" si="76"/>
        <v>247.24567430182523</v>
      </c>
      <c r="K214" s="459">
        <f t="shared" si="76"/>
        <v>249.35579252205943</v>
      </c>
      <c r="L214" s="459">
        <f t="shared" si="76"/>
        <v>248.74733190225706</v>
      </c>
      <c r="M214" s="459">
        <f t="shared" si="76"/>
        <v>247.53532338591836</v>
      </c>
      <c r="N214" s="459">
        <f t="shared" si="76"/>
        <v>245.67191932720851</v>
      </c>
    </row>
    <row r="215" spans="1:14">
      <c r="B215" s="338" t="str">
        <f t="shared" si="72"/>
        <v>30-34</v>
      </c>
      <c r="C215" s="459">
        <f t="shared" si="74"/>
        <v>158.55922641289416</v>
      </c>
      <c r="D215" s="459">
        <f t="shared" ref="D215:N215" si="77">D113+D147+D181</f>
        <v>166.4437616705774</v>
      </c>
      <c r="E215" s="459">
        <f t="shared" si="77"/>
        <v>171.87395992412522</v>
      </c>
      <c r="F215" s="459">
        <f t="shared" si="77"/>
        <v>176.54734352126812</v>
      </c>
      <c r="G215" s="459">
        <f t="shared" si="77"/>
        <v>181.28895960787804</v>
      </c>
      <c r="H215" s="459">
        <f t="shared" si="77"/>
        <v>185.56360998732259</v>
      </c>
      <c r="I215" s="459">
        <f t="shared" si="77"/>
        <v>188.95371159698578</v>
      </c>
      <c r="J215" s="459">
        <f t="shared" si="77"/>
        <v>192.09078493201474</v>
      </c>
      <c r="K215" s="459">
        <f t="shared" si="77"/>
        <v>194.59044107940548</v>
      </c>
      <c r="L215" s="459">
        <f t="shared" si="77"/>
        <v>195.77673566916292</v>
      </c>
      <c r="M215" s="459">
        <f t="shared" si="77"/>
        <v>196.35024436578948</v>
      </c>
      <c r="N215" s="459">
        <f t="shared" si="77"/>
        <v>196.30309473185085</v>
      </c>
    </row>
    <row r="216" spans="1:14">
      <c r="B216" s="338" t="str">
        <f t="shared" si="72"/>
        <v>35-39</v>
      </c>
      <c r="C216" s="459">
        <f t="shared" si="74"/>
        <v>148.06467569084916</v>
      </c>
      <c r="D216" s="459">
        <f t="shared" ref="D216:N216" si="78">D114+D148+D182</f>
        <v>155.06953267539569</v>
      </c>
      <c r="E216" s="459">
        <f t="shared" si="78"/>
        <v>160.39707509438077</v>
      </c>
      <c r="F216" s="459">
        <f t="shared" si="78"/>
        <v>165.04218753637889</v>
      </c>
      <c r="G216" s="459">
        <f t="shared" si="78"/>
        <v>169.54952118512446</v>
      </c>
      <c r="H216" s="459">
        <f t="shared" si="78"/>
        <v>173.630548476911</v>
      </c>
      <c r="I216" s="459">
        <f t="shared" si="78"/>
        <v>177.09056981470422</v>
      </c>
      <c r="J216" s="459">
        <f t="shared" si="78"/>
        <v>180.37770756186441</v>
      </c>
      <c r="K216" s="459">
        <f t="shared" si="78"/>
        <v>183.23489214597186</v>
      </c>
      <c r="L216" s="459">
        <f t="shared" si="78"/>
        <v>185.21774238038753</v>
      </c>
      <c r="M216" s="459">
        <f t="shared" si="78"/>
        <v>186.75958544151064</v>
      </c>
      <c r="N216" s="459">
        <f t="shared" si="78"/>
        <v>187.8016382517846</v>
      </c>
    </row>
    <row r="217" spans="1:14">
      <c r="B217" s="338" t="str">
        <f t="shared" si="72"/>
        <v>40-44</v>
      </c>
      <c r="C217" s="459">
        <f t="shared" si="74"/>
        <v>147.8049694618812</v>
      </c>
      <c r="D217" s="459">
        <f t="shared" ref="D217:N217" si="79">D115+D149+D183</f>
        <v>149.45452972726352</v>
      </c>
      <c r="E217" s="459">
        <f t="shared" si="79"/>
        <v>150.86830541513575</v>
      </c>
      <c r="F217" s="459">
        <f t="shared" si="79"/>
        <v>152.63026584016873</v>
      </c>
      <c r="G217" s="459">
        <f t="shared" si="79"/>
        <v>154.94054877449</v>
      </c>
      <c r="H217" s="459">
        <f t="shared" si="79"/>
        <v>157.35847209083789</v>
      </c>
      <c r="I217" s="459">
        <f t="shared" si="79"/>
        <v>159.60128770534212</v>
      </c>
      <c r="J217" s="459">
        <f t="shared" si="79"/>
        <v>161.96910917011874</v>
      </c>
      <c r="K217" s="459">
        <f t="shared" si="79"/>
        <v>164.19101832476369</v>
      </c>
      <c r="L217" s="459">
        <f t="shared" si="79"/>
        <v>165.87096307249863</v>
      </c>
      <c r="M217" s="459">
        <f t="shared" si="79"/>
        <v>167.35724851049946</v>
      </c>
      <c r="N217" s="459">
        <f t="shared" si="79"/>
        <v>168.57179959300208</v>
      </c>
    </row>
    <row r="218" spans="1:14">
      <c r="B218" s="338" t="str">
        <f t="shared" si="72"/>
        <v>45-49</v>
      </c>
      <c r="C218" s="459">
        <f t="shared" si="74"/>
        <v>166.30001068185851</v>
      </c>
      <c r="D218" s="459">
        <f t="shared" ref="D218:N218" si="80">D116+D150+D184</f>
        <v>167.0732406959514</v>
      </c>
      <c r="E218" s="459">
        <f t="shared" si="80"/>
        <v>166.94516303093008</v>
      </c>
      <c r="F218" s="459">
        <f t="shared" si="80"/>
        <v>166.91752824353645</v>
      </c>
      <c r="G218" s="459">
        <f t="shared" si="80"/>
        <v>167.4467095915868</v>
      </c>
      <c r="H218" s="459">
        <f t="shared" si="80"/>
        <v>168.23651595985683</v>
      </c>
      <c r="I218" s="459">
        <f t="shared" si="80"/>
        <v>169.06683416570917</v>
      </c>
      <c r="J218" s="459">
        <f t="shared" si="80"/>
        <v>170.24786444093272</v>
      </c>
      <c r="K218" s="459">
        <f t="shared" si="80"/>
        <v>171.50989794979071</v>
      </c>
      <c r="L218" s="459">
        <f t="shared" si="80"/>
        <v>172.45016622668453</v>
      </c>
      <c r="M218" s="459">
        <f t="shared" si="80"/>
        <v>173.39420125471244</v>
      </c>
      <c r="N218" s="459">
        <f t="shared" si="80"/>
        <v>174.2507761170483</v>
      </c>
    </row>
    <row r="219" spans="1:14">
      <c r="B219" s="338" t="str">
        <f t="shared" si="72"/>
        <v>50-54</v>
      </c>
      <c r="C219" s="459">
        <f t="shared" si="74"/>
        <v>179.53835548642616</v>
      </c>
      <c r="D219" s="459">
        <f t="shared" ref="D219:N219" si="81">D117+D151+D185</f>
        <v>177.94381086031848</v>
      </c>
      <c r="E219" s="459">
        <f t="shared" si="81"/>
        <v>175.98662960666479</v>
      </c>
      <c r="F219" s="459">
        <f t="shared" si="81"/>
        <v>174.32820914751139</v>
      </c>
      <c r="G219" s="459">
        <f t="shared" si="81"/>
        <v>173.2877400188579</v>
      </c>
      <c r="H219" s="459">
        <f t="shared" si="81"/>
        <v>172.56222139020232</v>
      </c>
      <c r="I219" s="459">
        <f t="shared" si="81"/>
        <v>171.95705625593334</v>
      </c>
      <c r="J219" s="459">
        <f t="shared" si="81"/>
        <v>171.7864123574399</v>
      </c>
      <c r="K219" s="459">
        <f t="shared" si="81"/>
        <v>171.81448618807016</v>
      </c>
      <c r="L219" s="459">
        <f t="shared" si="81"/>
        <v>171.67446996281063</v>
      </c>
      <c r="M219" s="459">
        <f t="shared" si="81"/>
        <v>171.67989917403258</v>
      </c>
      <c r="N219" s="459">
        <f t="shared" si="81"/>
        <v>171.74553200231242</v>
      </c>
    </row>
    <row r="220" spans="1:14">
      <c r="B220" s="338" t="str">
        <f t="shared" si="72"/>
        <v>55-59</v>
      </c>
      <c r="C220" s="459">
        <f t="shared" si="74"/>
        <v>283.37320149637736</v>
      </c>
      <c r="D220" s="459">
        <f t="shared" ref="D220:N220" si="82">D118+D152+D186</f>
        <v>261.96320822069794</v>
      </c>
      <c r="E220" s="459">
        <f t="shared" si="82"/>
        <v>246.95906770366324</v>
      </c>
      <c r="F220" s="459">
        <f t="shared" si="82"/>
        <v>236.84714422831496</v>
      </c>
      <c r="G220" s="459">
        <f t="shared" si="82"/>
        <v>230.38444269887466</v>
      </c>
      <c r="H220" s="459">
        <f t="shared" si="82"/>
        <v>225.93880941015883</v>
      </c>
      <c r="I220" s="459">
        <f t="shared" si="82"/>
        <v>222.55844601336489</v>
      </c>
      <c r="J220" s="459">
        <f t="shared" si="82"/>
        <v>220.40925114428958</v>
      </c>
      <c r="K220" s="459">
        <f t="shared" si="82"/>
        <v>218.8632072162676</v>
      </c>
      <c r="L220" s="459">
        <f t="shared" si="82"/>
        <v>217.22839564340049</v>
      </c>
      <c r="M220" s="459">
        <f t="shared" si="82"/>
        <v>216.01860810953826</v>
      </c>
      <c r="N220" s="459">
        <f t="shared" si="82"/>
        <v>215.05043037183933</v>
      </c>
    </row>
    <row r="221" spans="1:14">
      <c r="B221" s="338" t="str">
        <f t="shared" si="72"/>
        <v>60-64</v>
      </c>
      <c r="C221" s="459">
        <f t="shared" si="74"/>
        <v>200.3035852314276</v>
      </c>
      <c r="D221" s="459">
        <f t="shared" ref="D221:N221" si="83">D119+D153+D187</f>
        <v>177.70841711637399</v>
      </c>
      <c r="E221" s="459">
        <f t="shared" si="83"/>
        <v>160.53524330253299</v>
      </c>
      <c r="F221" s="459">
        <f t="shared" si="83"/>
        <v>148.47848128740472</v>
      </c>
      <c r="G221" s="459">
        <f t="shared" si="83"/>
        <v>140.52983825030756</v>
      </c>
      <c r="H221" s="459">
        <f t="shared" si="83"/>
        <v>135.06288695069162</v>
      </c>
      <c r="I221" s="459">
        <f t="shared" si="83"/>
        <v>131.03749190338098</v>
      </c>
      <c r="J221" s="459">
        <f t="shared" si="83"/>
        <v>128.40966087263797</v>
      </c>
      <c r="K221" s="459">
        <f t="shared" si="83"/>
        <v>126.48227256187531</v>
      </c>
      <c r="L221" s="459">
        <f t="shared" si="83"/>
        <v>124.5903655839217</v>
      </c>
      <c r="M221" s="459">
        <f t="shared" si="83"/>
        <v>123.15138888066942</v>
      </c>
      <c r="N221" s="459">
        <f t="shared" si="83"/>
        <v>121.96933169450776</v>
      </c>
    </row>
    <row r="222" spans="1:14">
      <c r="B222" s="338" t="str">
        <f t="shared" si="72"/>
        <v>65 plus</v>
      </c>
      <c r="C222" s="459">
        <f t="shared" si="74"/>
        <v>72.457733527877011</v>
      </c>
      <c r="D222" s="459">
        <f t="shared" ref="D222:N222" si="84">D120+D154+D188</f>
        <v>74.204031946895057</v>
      </c>
      <c r="E222" s="459">
        <f t="shared" si="84"/>
        <v>71.404977543091078</v>
      </c>
      <c r="F222" s="459">
        <f t="shared" si="84"/>
        <v>67.346691044761243</v>
      </c>
      <c r="G222" s="459">
        <f t="shared" si="84"/>
        <v>63.544676089368131</v>
      </c>
      <c r="H222" s="459">
        <f t="shared" si="84"/>
        <v>60.309706681700533</v>
      </c>
      <c r="I222" s="459">
        <f t="shared" si="84"/>
        <v>57.634271437948186</v>
      </c>
      <c r="J222" s="459">
        <f t="shared" si="84"/>
        <v>55.661124066172036</v>
      </c>
      <c r="K222" s="459">
        <f t="shared" si="84"/>
        <v>54.153012487454241</v>
      </c>
      <c r="L222" s="459">
        <f t="shared" si="84"/>
        <v>52.80424644021754</v>
      </c>
      <c r="M222" s="459">
        <f t="shared" si="84"/>
        <v>51.743850060451528</v>
      </c>
      <c r="N222" s="459">
        <f t="shared" si="84"/>
        <v>50.877440100166261</v>
      </c>
    </row>
    <row r="223" spans="1:14">
      <c r="B223" s="338" t="str">
        <f t="shared" si="72"/>
        <v>Total</v>
      </c>
      <c r="C223" s="459">
        <f>SUM(C213:C222)</f>
        <v>1633.6098542071309</v>
      </c>
      <c r="D223" s="459">
        <f t="shared" ref="D223:N223" si="85">SUM(D213:D222)</f>
        <v>1656.0959688156947</v>
      </c>
      <c r="E223" s="459">
        <f t="shared" si="85"/>
        <v>1659.7121304279556</v>
      </c>
      <c r="F223" s="459">
        <f t="shared" si="85"/>
        <v>1662.8038112885442</v>
      </c>
      <c r="G223" s="459">
        <f t="shared" si="85"/>
        <v>1672.560644146653</v>
      </c>
      <c r="H223" s="459">
        <f t="shared" si="85"/>
        <v>1682.1729285675231</v>
      </c>
      <c r="I223" s="459">
        <f t="shared" si="85"/>
        <v>1687.7670961576077</v>
      </c>
      <c r="J223" s="459">
        <f t="shared" si="85"/>
        <v>1696.3086657590745</v>
      </c>
      <c r="K223" s="459">
        <f t="shared" si="85"/>
        <v>1703.0920880321951</v>
      </c>
      <c r="L223" s="459">
        <f t="shared" si="85"/>
        <v>1701.4688533018598</v>
      </c>
      <c r="M223" s="459">
        <f t="shared" si="85"/>
        <v>1699.2952587908535</v>
      </c>
      <c r="N223" s="459">
        <f t="shared" si="85"/>
        <v>1695.5048659077777</v>
      </c>
    </row>
    <row r="224" spans="1:14">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5">
      <c r="B226" s="341" t="s">
        <v>50</v>
      </c>
      <c r="C226" s="329"/>
      <c r="D226" s="329"/>
      <c r="E226" s="329"/>
      <c r="F226" s="329"/>
      <c r="G226" s="329"/>
      <c r="H226" s="339"/>
      <c r="I226" s="329"/>
      <c r="J226" s="329"/>
      <c r="K226" s="329"/>
      <c r="L226" s="329"/>
    </row>
    <row r="227" spans="1:15">
      <c r="C227" s="329"/>
      <c r="D227" s="329"/>
      <c r="E227" s="329"/>
      <c r="F227" s="329"/>
      <c r="G227" s="329"/>
      <c r="H227" s="339"/>
      <c r="I227" s="329"/>
      <c r="J227" s="329"/>
      <c r="K227" s="329"/>
      <c r="L227" s="329"/>
    </row>
    <row r="228" spans="1:15">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5">
      <c r="B229" s="338" t="str">
        <f t="shared" si="87"/>
        <v>20-24</v>
      </c>
      <c r="C229" s="459">
        <f t="shared" ref="C229:C238" si="89">C195+C161+C127</f>
        <v>132.36829035128309</v>
      </c>
      <c r="D229" s="459">
        <f t="shared" ref="D229:N229" si="90">D195+D161+D127</f>
        <v>155.12733784762992</v>
      </c>
      <c r="E229" s="459">
        <f t="shared" si="90"/>
        <v>165.828222177844</v>
      </c>
      <c r="F229" s="459">
        <f t="shared" si="90"/>
        <v>172.08988785951584</v>
      </c>
      <c r="G229" s="459">
        <f t="shared" si="90"/>
        <v>177.2463853943209</v>
      </c>
      <c r="H229" s="459">
        <f t="shared" si="90"/>
        <v>180.29973258442675</v>
      </c>
      <c r="I229" s="459">
        <f t="shared" si="90"/>
        <v>181.01893376773083</v>
      </c>
      <c r="J229" s="459">
        <f t="shared" si="90"/>
        <v>181.88455106635644</v>
      </c>
      <c r="K229" s="459">
        <f t="shared" si="90"/>
        <v>181.84859428238508</v>
      </c>
      <c r="L229" s="459">
        <f t="shared" si="90"/>
        <v>179.45785558155879</v>
      </c>
      <c r="M229" s="459">
        <f t="shared" si="90"/>
        <v>177.19710042910856</v>
      </c>
      <c r="N229" s="459">
        <f t="shared" si="90"/>
        <v>174.7955387598883</v>
      </c>
      <c r="O229" s="327"/>
    </row>
    <row r="230" spans="1:15">
      <c r="B230" s="338" t="str">
        <f t="shared" si="87"/>
        <v>25-29</v>
      </c>
      <c r="C230" s="459">
        <f t="shared" si="89"/>
        <v>267.05938733791936</v>
      </c>
      <c r="D230" s="459">
        <f t="shared" ref="D230:N230" si="91">D196+D162+D128</f>
        <v>278.28403587396645</v>
      </c>
      <c r="E230" s="459">
        <f t="shared" si="91"/>
        <v>284.0087917839333</v>
      </c>
      <c r="F230" s="459">
        <f t="shared" si="91"/>
        <v>288.35054763660406</v>
      </c>
      <c r="G230" s="459">
        <f t="shared" si="91"/>
        <v>293.21493145367145</v>
      </c>
      <c r="H230" s="459">
        <f t="shared" si="91"/>
        <v>296.85506486668413</v>
      </c>
      <c r="I230" s="459">
        <f t="shared" si="91"/>
        <v>298.37826161334152</v>
      </c>
      <c r="J230" s="459">
        <f t="shared" si="91"/>
        <v>299.96658959025262</v>
      </c>
      <c r="K230" s="459">
        <f t="shared" si="91"/>
        <v>300.53789470402688</v>
      </c>
      <c r="L230" s="459">
        <f t="shared" si="91"/>
        <v>298.38544781053514</v>
      </c>
      <c r="M230" s="459">
        <f t="shared" si="91"/>
        <v>295.8581038129758</v>
      </c>
      <c r="N230" s="459">
        <f t="shared" si="91"/>
        <v>292.83062731022198</v>
      </c>
      <c r="O230" s="327"/>
    </row>
    <row r="231" spans="1:15">
      <c r="B231" s="338" t="str">
        <f t="shared" si="87"/>
        <v>30-34</v>
      </c>
      <c r="C231" s="459">
        <f t="shared" si="89"/>
        <v>223.61929166168784</v>
      </c>
      <c r="D231" s="459">
        <f t="shared" ref="D231:N231" si="92">D197+D163+D129</f>
        <v>241.28882661917729</v>
      </c>
      <c r="E231" s="459">
        <f t="shared" si="92"/>
        <v>252.85172203779405</v>
      </c>
      <c r="F231" s="459">
        <f t="shared" si="92"/>
        <v>261.43659633934999</v>
      </c>
      <c r="G231" s="459">
        <f t="shared" si="92"/>
        <v>268.80632146022464</v>
      </c>
      <c r="H231" s="459">
        <f t="shared" si="92"/>
        <v>274.6059005138988</v>
      </c>
      <c r="I231" s="459">
        <f t="shared" si="92"/>
        <v>278.5701386834906</v>
      </c>
      <c r="J231" s="459">
        <f t="shared" si="92"/>
        <v>281.90015014362626</v>
      </c>
      <c r="K231" s="459">
        <f t="shared" si="92"/>
        <v>284.19660235065862</v>
      </c>
      <c r="L231" s="459">
        <f t="shared" si="92"/>
        <v>284.57839410895667</v>
      </c>
      <c r="M231" s="459">
        <f t="shared" si="92"/>
        <v>284.16996228375166</v>
      </c>
      <c r="N231" s="459">
        <f t="shared" si="92"/>
        <v>282.9933436931841</v>
      </c>
      <c r="O231" s="327"/>
    </row>
    <row r="232" spans="1:15">
      <c r="B232" s="338" t="str">
        <f t="shared" si="87"/>
        <v>35-39</v>
      </c>
      <c r="C232" s="459">
        <f t="shared" si="89"/>
        <v>171.94409741789818</v>
      </c>
      <c r="D232" s="459">
        <f t="shared" ref="D232:N232" si="93">D198+D164+D130</f>
        <v>180.52977533701252</v>
      </c>
      <c r="E232" s="459">
        <f t="shared" si="93"/>
        <v>187.90774354942283</v>
      </c>
      <c r="F232" s="459">
        <f t="shared" si="93"/>
        <v>194.72395182970294</v>
      </c>
      <c r="G232" s="459">
        <f t="shared" si="93"/>
        <v>201.30183035208012</v>
      </c>
      <c r="H232" s="459">
        <f t="shared" si="93"/>
        <v>207.10047521009614</v>
      </c>
      <c r="I232" s="459">
        <f t="shared" si="93"/>
        <v>211.81427438341345</v>
      </c>
      <c r="J232" s="459">
        <f t="shared" si="93"/>
        <v>216.0084516182684</v>
      </c>
      <c r="K232" s="459">
        <f t="shared" si="93"/>
        <v>219.40685652322844</v>
      </c>
      <c r="L232" s="459">
        <f t="shared" si="93"/>
        <v>221.51889587317041</v>
      </c>
      <c r="M232" s="459">
        <f t="shared" si="93"/>
        <v>222.95003218203985</v>
      </c>
      <c r="N232" s="459">
        <f t="shared" si="93"/>
        <v>223.68554501607588</v>
      </c>
      <c r="O232" s="327"/>
    </row>
    <row r="233" spans="1:15">
      <c r="B233" s="338" t="str">
        <f t="shared" si="87"/>
        <v>40-44</v>
      </c>
      <c r="C233" s="459">
        <f t="shared" si="89"/>
        <v>167.03245214131829</v>
      </c>
      <c r="D233" s="459">
        <f t="shared" ref="D233:N233" si="94">D199+D165+D131</f>
        <v>170.8330403393357</v>
      </c>
      <c r="E233" s="459">
        <f t="shared" si="94"/>
        <v>173.84762987856078</v>
      </c>
      <c r="F233" s="459">
        <f t="shared" si="94"/>
        <v>177.10125429146814</v>
      </c>
      <c r="G233" s="459">
        <f t="shared" si="94"/>
        <v>180.94820665899829</v>
      </c>
      <c r="H233" s="459">
        <f t="shared" si="94"/>
        <v>184.84477321734704</v>
      </c>
      <c r="I233" s="459">
        <f t="shared" si="94"/>
        <v>188.41232112071901</v>
      </c>
      <c r="J233" s="459">
        <f t="shared" si="94"/>
        <v>192.00042487012294</v>
      </c>
      <c r="K233" s="459">
        <f t="shared" si="94"/>
        <v>195.24826022807139</v>
      </c>
      <c r="L233" s="459">
        <f t="shared" si="94"/>
        <v>197.65292203654076</v>
      </c>
      <c r="M233" s="459">
        <f t="shared" si="94"/>
        <v>199.66155148021105</v>
      </c>
      <c r="N233" s="459">
        <f t="shared" si="94"/>
        <v>201.19328920632674</v>
      </c>
      <c r="O233" s="327"/>
    </row>
    <row r="234" spans="1:15">
      <c r="B234" s="338" t="str">
        <f t="shared" si="87"/>
        <v>45-49</v>
      </c>
      <c r="C234" s="459">
        <f t="shared" si="89"/>
        <v>184.4129996059913</v>
      </c>
      <c r="D234" s="459">
        <f t="shared" ref="D234:N234" si="95">D200+D166+D132</f>
        <v>183.41013343533763</v>
      </c>
      <c r="E234" s="459">
        <f t="shared" si="95"/>
        <v>182.22904459901781</v>
      </c>
      <c r="F234" s="459">
        <f t="shared" si="95"/>
        <v>181.69297367774541</v>
      </c>
      <c r="G234" s="459">
        <f t="shared" si="95"/>
        <v>182.1449563194206</v>
      </c>
      <c r="H234" s="459">
        <f t="shared" si="95"/>
        <v>183.13029546350384</v>
      </c>
      <c r="I234" s="459">
        <f t="shared" si="95"/>
        <v>184.31493772504754</v>
      </c>
      <c r="J234" s="459">
        <f t="shared" si="95"/>
        <v>185.9936795906996</v>
      </c>
      <c r="K234" s="459">
        <f t="shared" si="95"/>
        <v>187.80346442848438</v>
      </c>
      <c r="L234" s="459">
        <f t="shared" si="95"/>
        <v>189.23771232968002</v>
      </c>
      <c r="M234" s="459">
        <f t="shared" si="95"/>
        <v>190.64053643908611</v>
      </c>
      <c r="N234" s="459">
        <f t="shared" si="95"/>
        <v>191.8854066386223</v>
      </c>
      <c r="O234" s="327"/>
    </row>
    <row r="235" spans="1:15">
      <c r="B235" s="338" t="str">
        <f t="shared" si="87"/>
        <v>50-54</v>
      </c>
      <c r="C235" s="459">
        <f t="shared" si="89"/>
        <v>193.1117505047481</v>
      </c>
      <c r="D235" s="459">
        <f t="shared" ref="D235:N235" si="96">D201+D167+D133</f>
        <v>192.07325995774661</v>
      </c>
      <c r="E235" s="459">
        <f t="shared" si="96"/>
        <v>190.00493941930324</v>
      </c>
      <c r="F235" s="459">
        <f t="shared" si="96"/>
        <v>188.00267387141483</v>
      </c>
      <c r="G235" s="459">
        <f t="shared" si="96"/>
        <v>186.61139669543334</v>
      </c>
      <c r="H235" s="459">
        <f t="shared" si="96"/>
        <v>185.59642062196454</v>
      </c>
      <c r="I235" s="459">
        <f t="shared" si="96"/>
        <v>184.7878684916403</v>
      </c>
      <c r="J235" s="459">
        <f t="shared" si="96"/>
        <v>184.54560396290464</v>
      </c>
      <c r="K235" s="459">
        <f t="shared" si="96"/>
        <v>184.60691118669655</v>
      </c>
      <c r="L235" s="459">
        <f t="shared" si="96"/>
        <v>184.55261204172314</v>
      </c>
      <c r="M235" s="459">
        <f t="shared" si="96"/>
        <v>184.7068311590312</v>
      </c>
      <c r="N235" s="459">
        <f t="shared" si="96"/>
        <v>184.95478124408197</v>
      </c>
      <c r="O235" s="327"/>
    </row>
    <row r="236" spans="1:15">
      <c r="B236" s="338" t="str">
        <f t="shared" si="87"/>
        <v>55-59</v>
      </c>
      <c r="C236" s="459">
        <f t="shared" si="89"/>
        <v>309.67252363922489</v>
      </c>
      <c r="D236" s="459">
        <f t="shared" ref="D236:N236" si="97">D202+D168+D134</f>
        <v>289.00333035149924</v>
      </c>
      <c r="E236" s="459">
        <f t="shared" si="97"/>
        <v>274.2710648912377</v>
      </c>
      <c r="F236" s="459">
        <f t="shared" si="97"/>
        <v>264.06554420829843</v>
      </c>
      <c r="G236" s="459">
        <f t="shared" si="97"/>
        <v>257.30910716022476</v>
      </c>
      <c r="H236" s="459">
        <f t="shared" si="97"/>
        <v>252.44709693026763</v>
      </c>
      <c r="I236" s="459">
        <f t="shared" si="97"/>
        <v>248.59846263742219</v>
      </c>
      <c r="J236" s="459">
        <f t="shared" si="97"/>
        <v>246.05268356466897</v>
      </c>
      <c r="K236" s="459">
        <f t="shared" si="97"/>
        <v>244.19201394483875</v>
      </c>
      <c r="L236" s="459">
        <f t="shared" si="97"/>
        <v>242.2898311430292</v>
      </c>
      <c r="M236" s="459">
        <f t="shared" si="97"/>
        <v>240.91679365062612</v>
      </c>
      <c r="N236" s="459">
        <f t="shared" si="97"/>
        <v>239.87259858320644</v>
      </c>
      <c r="O236" s="327"/>
    </row>
    <row r="237" spans="1:15">
      <c r="B237" s="338" t="str">
        <f t="shared" si="87"/>
        <v>60-64</v>
      </c>
      <c r="C237" s="459">
        <f t="shared" si="89"/>
        <v>210.67081587457864</v>
      </c>
      <c r="D237" s="459">
        <f t="shared" ref="D237:N237" si="98">D203+D169+D135</f>
        <v>198.98222742947061</v>
      </c>
      <c r="E237" s="459">
        <f t="shared" si="98"/>
        <v>186.44627150122716</v>
      </c>
      <c r="F237" s="459">
        <f t="shared" si="98"/>
        <v>176.37317545456918</v>
      </c>
      <c r="G237" s="459">
        <f t="shared" si="98"/>
        <v>169.27451385198498</v>
      </c>
      <c r="H237" s="459">
        <f t="shared" si="98"/>
        <v>164.03502925525433</v>
      </c>
      <c r="I237" s="459">
        <f t="shared" si="98"/>
        <v>159.87900060286984</v>
      </c>
      <c r="J237" s="459">
        <f t="shared" si="98"/>
        <v>157.06031712058174</v>
      </c>
      <c r="K237" s="459">
        <f t="shared" si="98"/>
        <v>154.88189631771363</v>
      </c>
      <c r="L237" s="459">
        <f t="shared" si="98"/>
        <v>152.62924231516735</v>
      </c>
      <c r="M237" s="459">
        <f t="shared" si="98"/>
        <v>150.90049971513869</v>
      </c>
      <c r="N237" s="459">
        <f t="shared" si="98"/>
        <v>149.47915790863962</v>
      </c>
      <c r="O237" s="327"/>
    </row>
    <row r="238" spans="1:15">
      <c r="B238" s="338" t="str">
        <f t="shared" si="87"/>
        <v>65 plus</v>
      </c>
      <c r="C238" s="459">
        <f t="shared" si="89"/>
        <v>61.442214433329333</v>
      </c>
      <c r="D238" s="459">
        <f t="shared" ref="D238:N238" si="99">D204+D170+D136</f>
        <v>68.142128226823473</v>
      </c>
      <c r="E238" s="459">
        <f t="shared" si="99"/>
        <v>69.161808586268819</v>
      </c>
      <c r="F238" s="459">
        <f t="shared" si="99"/>
        <v>67.791806017505309</v>
      </c>
      <c r="G238" s="459">
        <f t="shared" si="99"/>
        <v>65.844769797591354</v>
      </c>
      <c r="H238" s="459">
        <f t="shared" si="99"/>
        <v>63.826981878261527</v>
      </c>
      <c r="I238" s="459">
        <f t="shared" si="99"/>
        <v>61.90571989512312</v>
      </c>
      <c r="J238" s="459">
        <f t="shared" si="99"/>
        <v>60.430938601021104</v>
      </c>
      <c r="K238" s="459">
        <f t="shared" si="99"/>
        <v>59.219924205215136</v>
      </c>
      <c r="L238" s="459">
        <f t="shared" si="99"/>
        <v>57.985395504399833</v>
      </c>
      <c r="M238" s="459">
        <f t="shared" si="99"/>
        <v>56.979587833950752</v>
      </c>
      <c r="N238" s="459">
        <f t="shared" si="99"/>
        <v>56.126733000915877</v>
      </c>
      <c r="O238" s="327"/>
    </row>
    <row r="239" spans="1:15">
      <c r="B239" s="338" t="str">
        <f t="shared" si="87"/>
        <v>Total</v>
      </c>
      <c r="C239" s="459">
        <f>SUM(C229:C238)</f>
        <v>1921.3338229679789</v>
      </c>
      <c r="D239" s="459">
        <f t="shared" ref="D239:N239" si="100">SUM(D229:D238)</f>
        <v>1957.6740954179995</v>
      </c>
      <c r="E239" s="459">
        <f t="shared" si="100"/>
        <v>1966.5572384246097</v>
      </c>
      <c r="F239" s="459">
        <f t="shared" si="100"/>
        <v>1971.6284111861742</v>
      </c>
      <c r="G239" s="459">
        <f t="shared" si="100"/>
        <v>1982.7024191439505</v>
      </c>
      <c r="H239" s="459">
        <f t="shared" si="100"/>
        <v>1992.7417705417049</v>
      </c>
      <c r="I239" s="459">
        <f t="shared" si="100"/>
        <v>1997.6799189207984</v>
      </c>
      <c r="J239" s="459">
        <f t="shared" si="100"/>
        <v>2005.8433901285027</v>
      </c>
      <c r="K239" s="459">
        <f t="shared" si="100"/>
        <v>2011.9424181713189</v>
      </c>
      <c r="L239" s="459">
        <f t="shared" si="100"/>
        <v>2008.2883087447615</v>
      </c>
      <c r="M239" s="459">
        <f t="shared" si="100"/>
        <v>2003.9809989859198</v>
      </c>
      <c r="N239" s="459">
        <f t="shared" si="100"/>
        <v>1997.8170213611629</v>
      </c>
      <c r="O239" s="327"/>
    </row>
    <row r="240" spans="1:15">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492.75912289945268</v>
      </c>
      <c r="D247" s="459">
        <f t="shared" ref="D247:N247" si="105">D77-D213</f>
        <v>709.15081243419036</v>
      </c>
      <c r="E247" s="459">
        <f t="shared" si="105"/>
        <v>826.44569501802414</v>
      </c>
      <c r="F247" s="459">
        <f t="shared" si="105"/>
        <v>899.59012075727833</v>
      </c>
      <c r="G247" s="459">
        <f t="shared" si="105"/>
        <v>954.36489594570594</v>
      </c>
      <c r="H247" s="459">
        <f t="shared" si="105"/>
        <v>988.6265412462609</v>
      </c>
      <c r="I247" s="459">
        <f t="shared" si="105"/>
        <v>1003.691100864275</v>
      </c>
      <c r="J247" s="459">
        <f t="shared" si="105"/>
        <v>1016.1826386678129</v>
      </c>
      <c r="K247" s="459">
        <f t="shared" si="105"/>
        <v>1020.9337238552412</v>
      </c>
      <c r="L247" s="459">
        <f t="shared" si="105"/>
        <v>1010.121968075719</v>
      </c>
      <c r="M247" s="459">
        <f t="shared" si="105"/>
        <v>999.22017225599575</v>
      </c>
      <c r="N247" s="459">
        <f t="shared" si="105"/>
        <v>986.87683967337819</v>
      </c>
    </row>
    <row r="248" spans="2:14">
      <c r="B248" s="338" t="str">
        <f t="shared" si="102"/>
        <v>25-29</v>
      </c>
      <c r="C248" s="459">
        <f t="shared" si="104"/>
        <v>1661.6063655102346</v>
      </c>
      <c r="D248" s="459">
        <f t="shared" ref="D248:N248" si="106">D78-D214</f>
        <v>1773.9329627692089</v>
      </c>
      <c r="E248" s="459">
        <f t="shared" si="106"/>
        <v>1851.2161791104209</v>
      </c>
      <c r="F248" s="459">
        <f t="shared" si="106"/>
        <v>1917.64750255284</v>
      </c>
      <c r="G248" s="459">
        <f t="shared" si="106"/>
        <v>1984.3926481987123</v>
      </c>
      <c r="H248" s="459">
        <f t="shared" si="106"/>
        <v>2037.494957434516</v>
      </c>
      <c r="I248" s="459">
        <f t="shared" si="106"/>
        <v>2070.3135706617913</v>
      </c>
      <c r="J248" s="459">
        <f t="shared" si="106"/>
        <v>2099.3767546518843</v>
      </c>
      <c r="K248" s="459">
        <f t="shared" si="106"/>
        <v>2117.2938856740402</v>
      </c>
      <c r="L248" s="459">
        <f t="shared" si="106"/>
        <v>2112.1274127521528</v>
      </c>
      <c r="M248" s="459">
        <f t="shared" si="106"/>
        <v>2101.8361811145251</v>
      </c>
      <c r="N248" s="459">
        <f t="shared" si="106"/>
        <v>2086.0139137425026</v>
      </c>
    </row>
    <row r="249" spans="2:14">
      <c r="B249" s="338" t="str">
        <f t="shared" si="102"/>
        <v>30-34</v>
      </c>
      <c r="C249" s="459">
        <f t="shared" si="104"/>
        <v>2000.1377688277539</v>
      </c>
      <c r="D249" s="459">
        <f t="shared" ref="D249:N249" si="107">D79-D215</f>
        <v>2099.5968612774122</v>
      </c>
      <c r="E249" s="459">
        <f t="shared" si="107"/>
        <v>2168.0958371166394</v>
      </c>
      <c r="F249" s="459">
        <f t="shared" si="107"/>
        <v>2227.0480107134294</v>
      </c>
      <c r="G249" s="459">
        <f t="shared" si="107"/>
        <v>2286.8608997812239</v>
      </c>
      <c r="H249" s="459">
        <f t="shared" si="107"/>
        <v>2340.7832722970729</v>
      </c>
      <c r="I249" s="459">
        <f t="shared" si="107"/>
        <v>2383.5475467139654</v>
      </c>
      <c r="J249" s="459">
        <f t="shared" si="107"/>
        <v>2423.1200080769804</v>
      </c>
      <c r="K249" s="459">
        <f t="shared" si="107"/>
        <v>2454.6518008498551</v>
      </c>
      <c r="L249" s="459">
        <f t="shared" si="107"/>
        <v>2469.6162571455179</v>
      </c>
      <c r="M249" s="459">
        <f t="shared" si="107"/>
        <v>2476.8507551361104</v>
      </c>
      <c r="N249" s="459">
        <f t="shared" si="107"/>
        <v>2476.2559883365961</v>
      </c>
    </row>
    <row r="250" spans="2:14">
      <c r="B250" s="338" t="str">
        <f t="shared" si="102"/>
        <v>35-39</v>
      </c>
      <c r="C250" s="459">
        <f t="shared" si="104"/>
        <v>1855.8263816791123</v>
      </c>
      <c r="D250" s="459">
        <f t="shared" ref="D250:N250" si="108">D80-D216</f>
        <v>1943.6244897096426</v>
      </c>
      <c r="E250" s="459">
        <f t="shared" si="108"/>
        <v>2010.3993212117261</v>
      </c>
      <c r="F250" s="459">
        <f t="shared" si="108"/>
        <v>2068.6206503403914</v>
      </c>
      <c r="G250" s="459">
        <f t="shared" si="108"/>
        <v>2125.1150752080571</v>
      </c>
      <c r="H250" s="459">
        <f t="shared" si="108"/>
        <v>2176.2662230231062</v>
      </c>
      <c r="I250" s="459">
        <f t="shared" si="108"/>
        <v>2219.6337504221219</v>
      </c>
      <c r="J250" s="459">
        <f t="shared" si="108"/>
        <v>2260.8343738856843</v>
      </c>
      <c r="K250" s="459">
        <f t="shared" si="108"/>
        <v>2296.6460116296162</v>
      </c>
      <c r="L250" s="459">
        <f t="shared" si="108"/>
        <v>2321.4988386714322</v>
      </c>
      <c r="M250" s="459">
        <f t="shared" si="108"/>
        <v>2340.8241302434444</v>
      </c>
      <c r="N250" s="459">
        <f t="shared" si="108"/>
        <v>2353.8851057082957</v>
      </c>
    </row>
    <row r="251" spans="2:14">
      <c r="B251" s="338" t="str">
        <f t="shared" si="102"/>
        <v>40-44</v>
      </c>
      <c r="C251" s="459">
        <f t="shared" si="104"/>
        <v>1889.9693923542686</v>
      </c>
      <c r="D251" s="459">
        <f t="shared" ref="D251:N251" si="109">D81-D217</f>
        <v>1911.0621771487636</v>
      </c>
      <c r="E251" s="459">
        <f t="shared" si="109"/>
        <v>1929.1400048934001</v>
      </c>
      <c r="F251" s="459">
        <f t="shared" si="109"/>
        <v>1951.6700408318106</v>
      </c>
      <c r="G251" s="459">
        <f t="shared" si="109"/>
        <v>1981.2114293889229</v>
      </c>
      <c r="H251" s="459">
        <f t="shared" si="109"/>
        <v>2012.1292062241314</v>
      </c>
      <c r="I251" s="459">
        <f t="shared" si="109"/>
        <v>2040.8078959836153</v>
      </c>
      <c r="J251" s="459">
        <f t="shared" si="109"/>
        <v>2071.0850247654139</v>
      </c>
      <c r="K251" s="459">
        <f t="shared" si="109"/>
        <v>2099.4963854264215</v>
      </c>
      <c r="L251" s="459">
        <f t="shared" si="109"/>
        <v>2120.9776939752801</v>
      </c>
      <c r="M251" s="459">
        <f t="shared" si="109"/>
        <v>2139.982697638894</v>
      </c>
      <c r="N251" s="459">
        <f t="shared" si="109"/>
        <v>2155.5130575431513</v>
      </c>
    </row>
    <row r="252" spans="2:14">
      <c r="B252" s="338" t="str">
        <f t="shared" si="102"/>
        <v>45-49</v>
      </c>
      <c r="C252" s="459">
        <f t="shared" si="104"/>
        <v>1734.4936500674971</v>
      </c>
      <c r="D252" s="459">
        <f t="shared" ref="D252:N252" si="110">D82-D218</f>
        <v>1742.5583672252815</v>
      </c>
      <c r="E252" s="459">
        <f t="shared" si="110"/>
        <v>1741.2225290868228</v>
      </c>
      <c r="F252" s="459">
        <f t="shared" si="110"/>
        <v>1740.9343008235851</v>
      </c>
      <c r="G252" s="459">
        <f t="shared" si="110"/>
        <v>1746.4536130843844</v>
      </c>
      <c r="H252" s="459">
        <f t="shared" si="110"/>
        <v>1754.6912200750896</v>
      </c>
      <c r="I252" s="459">
        <f t="shared" si="110"/>
        <v>1763.3513617652879</v>
      </c>
      <c r="J252" s="459">
        <f t="shared" si="110"/>
        <v>1775.6693977324146</v>
      </c>
      <c r="K252" s="459">
        <f t="shared" si="110"/>
        <v>1788.8322898952676</v>
      </c>
      <c r="L252" s="459">
        <f t="shared" si="110"/>
        <v>1798.639200604084</v>
      </c>
      <c r="M252" s="459">
        <f t="shared" si="110"/>
        <v>1808.4853981770248</v>
      </c>
      <c r="N252" s="459">
        <f t="shared" si="110"/>
        <v>1817.4193943531964</v>
      </c>
    </row>
    <row r="253" spans="2:14">
      <c r="B253" s="338" t="str">
        <f t="shared" si="102"/>
        <v>50-54</v>
      </c>
      <c r="C253" s="459">
        <f t="shared" si="104"/>
        <v>1446.9450276697878</v>
      </c>
      <c r="D253" s="459">
        <f t="shared" ref="D253:N253" si="111">D83-D219</f>
        <v>1434.0941891295045</v>
      </c>
      <c r="E253" s="459">
        <f t="shared" si="111"/>
        <v>1418.3207702656071</v>
      </c>
      <c r="F253" s="459">
        <f t="shared" si="111"/>
        <v>1404.9551402270756</v>
      </c>
      <c r="G253" s="459">
        <f t="shared" si="111"/>
        <v>1396.569736294472</v>
      </c>
      <c r="H253" s="459">
        <f t="shared" si="111"/>
        <v>1390.7225981196191</v>
      </c>
      <c r="I253" s="459">
        <f t="shared" si="111"/>
        <v>1385.8454192038535</v>
      </c>
      <c r="J253" s="459">
        <f t="shared" si="111"/>
        <v>1384.4701568552689</v>
      </c>
      <c r="K253" s="459">
        <f t="shared" si="111"/>
        <v>1384.6964109586224</v>
      </c>
      <c r="L253" s="459">
        <f t="shared" si="111"/>
        <v>1383.5679847770218</v>
      </c>
      <c r="M253" s="459">
        <f t="shared" si="111"/>
        <v>1383.6117401637775</v>
      </c>
      <c r="N253" s="459">
        <f t="shared" si="111"/>
        <v>1384.1406917311128</v>
      </c>
    </row>
    <row r="254" spans="2:14">
      <c r="B254" s="338" t="str">
        <f t="shared" si="102"/>
        <v>55-59</v>
      </c>
      <c r="C254" s="459">
        <f t="shared" si="104"/>
        <v>820.11867749676844</v>
      </c>
      <c r="D254" s="459">
        <f t="shared" ref="D254:N254" si="112">D84-D220</f>
        <v>758.1553892332895</v>
      </c>
      <c r="E254" s="459">
        <f t="shared" si="112"/>
        <v>714.73146695402102</v>
      </c>
      <c r="F254" s="459">
        <f t="shared" si="112"/>
        <v>685.46625322259058</v>
      </c>
      <c r="G254" s="459">
        <f t="shared" si="112"/>
        <v>666.76235954671438</v>
      </c>
      <c r="H254" s="459">
        <f t="shared" si="112"/>
        <v>653.89612211097767</v>
      </c>
      <c r="I254" s="459">
        <f t="shared" si="112"/>
        <v>644.1129134525803</v>
      </c>
      <c r="J254" s="459">
        <f t="shared" si="112"/>
        <v>637.89286566965188</v>
      </c>
      <c r="K254" s="459">
        <f t="shared" si="112"/>
        <v>633.41841468097039</v>
      </c>
      <c r="L254" s="459">
        <f t="shared" si="112"/>
        <v>628.68705865289053</v>
      </c>
      <c r="M254" s="459">
        <f t="shared" si="112"/>
        <v>625.18577713761692</v>
      </c>
      <c r="N254" s="459">
        <f t="shared" si="112"/>
        <v>622.38374560594571</v>
      </c>
    </row>
    <row r="255" spans="2:14">
      <c r="B255" s="338" t="str">
        <f t="shared" si="102"/>
        <v>60-64</v>
      </c>
      <c r="C255" s="459">
        <f t="shared" si="104"/>
        <v>306.04945847611737</v>
      </c>
      <c r="D255" s="459">
        <f t="shared" ref="D255:N255" si="113">D85-D221</f>
        <v>271.52566821145871</v>
      </c>
      <c r="E255" s="459">
        <f t="shared" si="113"/>
        <v>245.28629491232505</v>
      </c>
      <c r="F255" s="459">
        <f t="shared" si="113"/>
        <v>226.8644305136319</v>
      </c>
      <c r="G255" s="459">
        <f t="shared" si="113"/>
        <v>214.71947617188673</v>
      </c>
      <c r="H255" s="459">
        <f t="shared" si="113"/>
        <v>206.36636814923389</v>
      </c>
      <c r="I255" s="459">
        <f t="shared" si="113"/>
        <v>200.21585430317137</v>
      </c>
      <c r="J255" s="459">
        <f t="shared" si="113"/>
        <v>196.20071766447154</v>
      </c>
      <c r="K255" s="459">
        <f t="shared" si="113"/>
        <v>193.25580707737154</v>
      </c>
      <c r="L255" s="459">
        <f t="shared" si="113"/>
        <v>190.36510941251993</v>
      </c>
      <c r="M255" s="459">
        <f t="shared" si="113"/>
        <v>188.16645660118223</v>
      </c>
      <c r="N255" s="459">
        <f t="shared" si="113"/>
        <v>186.3603583164481</v>
      </c>
    </row>
    <row r="256" spans="2:14">
      <c r="B256" s="338" t="str">
        <f t="shared" si="102"/>
        <v>65 plus</v>
      </c>
      <c r="C256" s="459">
        <f t="shared" si="104"/>
        <v>85.671617961229899</v>
      </c>
      <c r="D256" s="459">
        <f t="shared" ref="D256:N256" si="114">D86-D222</f>
        <v>87.736383221143186</v>
      </c>
      <c r="E256" s="459">
        <f t="shared" si="114"/>
        <v>84.426874244532215</v>
      </c>
      <c r="F256" s="459">
        <f t="shared" si="114"/>
        <v>79.628491055685075</v>
      </c>
      <c r="G256" s="459">
        <f t="shared" si="114"/>
        <v>75.133114828991438</v>
      </c>
      <c r="H256" s="459">
        <f t="shared" si="114"/>
        <v>71.308194427591673</v>
      </c>
      <c r="I256" s="459">
        <f t="shared" si="114"/>
        <v>68.144848640705078</v>
      </c>
      <c r="J256" s="459">
        <f t="shared" si="114"/>
        <v>65.811864712205917</v>
      </c>
      <c r="K256" s="459">
        <f t="shared" si="114"/>
        <v>64.028723662602033</v>
      </c>
      <c r="L256" s="459">
        <f t="shared" si="114"/>
        <v>62.433987477906371</v>
      </c>
      <c r="M256" s="459">
        <f t="shared" si="114"/>
        <v>61.180210011904997</v>
      </c>
      <c r="N256" s="459">
        <f t="shared" si="114"/>
        <v>60.155795646434861</v>
      </c>
    </row>
    <row r="257" spans="1:15">
      <c r="B257" s="338" t="str">
        <f t="shared" si="102"/>
        <v>Total</v>
      </c>
      <c r="C257" s="459">
        <f>SUM(C247:C256)</f>
        <v>12293.577462942225</v>
      </c>
      <c r="D257" s="459">
        <f t="shared" ref="D257:N257" si="115">SUM(D247:D256)</f>
        <v>12731.437300359898</v>
      </c>
      <c r="E257" s="459">
        <f t="shared" si="115"/>
        <v>12989.284972813519</v>
      </c>
      <c r="F257" s="459">
        <f t="shared" si="115"/>
        <v>13202.424941038316</v>
      </c>
      <c r="G257" s="459">
        <f t="shared" si="115"/>
        <v>13431.583248449071</v>
      </c>
      <c r="H257" s="459">
        <f t="shared" si="115"/>
        <v>13632.2847031076</v>
      </c>
      <c r="I257" s="459">
        <f t="shared" si="115"/>
        <v>13779.664262011365</v>
      </c>
      <c r="J257" s="459">
        <f t="shared" si="115"/>
        <v>13930.643802681787</v>
      </c>
      <c r="K257" s="459">
        <f t="shared" si="115"/>
        <v>14053.253453710013</v>
      </c>
      <c r="L257" s="459">
        <f t="shared" si="115"/>
        <v>14098.035511544525</v>
      </c>
      <c r="M257" s="459">
        <f t="shared" si="115"/>
        <v>14125.343518480477</v>
      </c>
      <c r="N257" s="459">
        <f t="shared" si="115"/>
        <v>14129.004890657063</v>
      </c>
    </row>
    <row r="258" spans="1:15">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5">
      <c r="B260" s="341" t="s">
        <v>50</v>
      </c>
      <c r="C260" s="329"/>
      <c r="D260" s="329"/>
      <c r="E260" s="329"/>
      <c r="F260" s="329"/>
      <c r="G260" s="329"/>
      <c r="H260" s="339"/>
      <c r="I260" s="329"/>
      <c r="J260" s="329"/>
      <c r="K260" s="329"/>
      <c r="L260" s="329"/>
    </row>
    <row r="261" spans="1:15">
      <c r="C261" s="329"/>
      <c r="D261" s="329"/>
      <c r="E261" s="329"/>
      <c r="F261" s="329"/>
      <c r="G261" s="329"/>
      <c r="H261" s="339"/>
      <c r="I261" s="329"/>
      <c r="J261" s="329"/>
      <c r="K261" s="329"/>
      <c r="L261" s="329"/>
    </row>
    <row r="262" spans="1:15">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5">
      <c r="B263" s="338" t="str">
        <f t="shared" si="117"/>
        <v>20-24</v>
      </c>
      <c r="C263" s="459">
        <f t="shared" ref="C263:C272" si="119">C93-C229</f>
        <v>936.6724868861445</v>
      </c>
      <c r="D263" s="459">
        <f t="shared" ref="D263:N263" si="120">D93-D229</f>
        <v>1097.721432679652</v>
      </c>
      <c r="E263" s="459">
        <f t="shared" si="120"/>
        <v>1173.4436763594838</v>
      </c>
      <c r="F263" s="459">
        <f t="shared" si="120"/>
        <v>1217.7528530553234</v>
      </c>
      <c r="G263" s="459">
        <f t="shared" si="120"/>
        <v>1254.241572194403</v>
      </c>
      <c r="H263" s="459">
        <f t="shared" si="120"/>
        <v>1275.8478519030355</v>
      </c>
      <c r="I263" s="459">
        <f t="shared" si="120"/>
        <v>1280.9371067324896</v>
      </c>
      <c r="J263" s="459">
        <f t="shared" si="120"/>
        <v>1287.0624401159125</v>
      </c>
      <c r="K263" s="459">
        <f t="shared" si="120"/>
        <v>1286.808000550564</v>
      </c>
      <c r="L263" s="459">
        <f t="shared" si="120"/>
        <v>1269.8905110335879</v>
      </c>
      <c r="M263" s="459">
        <f t="shared" si="120"/>
        <v>1253.8928189483725</v>
      </c>
      <c r="N263" s="459">
        <f t="shared" si="120"/>
        <v>1236.8987432890945</v>
      </c>
      <c r="O263" s="327"/>
    </row>
    <row r="264" spans="1:15">
      <c r="B264" s="338" t="str">
        <f t="shared" si="117"/>
        <v>25-29</v>
      </c>
      <c r="C264" s="459">
        <f t="shared" si="119"/>
        <v>2295.3606881268797</v>
      </c>
      <c r="D264" s="459">
        <f t="shared" ref="D264:N264" si="121">D94-D230</f>
        <v>2391.835922510169</v>
      </c>
      <c r="E264" s="459">
        <f t="shared" si="121"/>
        <v>2441.0398834562525</v>
      </c>
      <c r="F264" s="459">
        <f t="shared" si="121"/>
        <v>2478.3570352740803</v>
      </c>
      <c r="G264" s="459">
        <f t="shared" si="121"/>
        <v>2520.1661455882927</v>
      </c>
      <c r="H264" s="459">
        <f t="shared" si="121"/>
        <v>2551.4528912782844</v>
      </c>
      <c r="I264" s="459">
        <f t="shared" si="121"/>
        <v>2564.5446832104512</v>
      </c>
      <c r="J264" s="459">
        <f t="shared" si="121"/>
        <v>2578.1962744703415</v>
      </c>
      <c r="K264" s="459">
        <f t="shared" si="121"/>
        <v>2583.1066103778526</v>
      </c>
      <c r="L264" s="459">
        <f t="shared" si="121"/>
        <v>2564.6064481785356</v>
      </c>
      <c r="M264" s="459">
        <f t="shared" si="121"/>
        <v>2542.8840660702035</v>
      </c>
      <c r="N264" s="459">
        <f t="shared" si="121"/>
        <v>2516.8630726952138</v>
      </c>
      <c r="O264" s="327"/>
    </row>
    <row r="265" spans="1:15">
      <c r="B265" s="338" t="str">
        <f t="shared" si="117"/>
        <v>30-34</v>
      </c>
      <c r="C265" s="459">
        <f t="shared" si="119"/>
        <v>2173.2838695025835</v>
      </c>
      <c r="D265" s="459">
        <f t="shared" ref="D265:N265" si="122">D95-D231</f>
        <v>2345.0083885249419</v>
      </c>
      <c r="E265" s="459">
        <f t="shared" si="122"/>
        <v>2457.3844447734491</v>
      </c>
      <c r="F265" s="459">
        <f t="shared" si="122"/>
        <v>2540.8180729843161</v>
      </c>
      <c r="G265" s="459">
        <f t="shared" si="122"/>
        <v>2612.4420576989096</v>
      </c>
      <c r="H265" s="459">
        <f t="shared" si="122"/>
        <v>2668.8062985190786</v>
      </c>
      <c r="I265" s="459">
        <f t="shared" si="122"/>
        <v>2707.3334524368834</v>
      </c>
      <c r="J265" s="459">
        <f t="shared" si="122"/>
        <v>2739.6967612453223</v>
      </c>
      <c r="K265" s="459">
        <f t="shared" si="122"/>
        <v>2762.015240574814</v>
      </c>
      <c r="L265" s="459">
        <f t="shared" si="122"/>
        <v>2765.7257517013477</v>
      </c>
      <c r="M265" s="459">
        <f t="shared" si="122"/>
        <v>2761.7563343451188</v>
      </c>
      <c r="N265" s="459">
        <f t="shared" si="122"/>
        <v>2750.3211572437353</v>
      </c>
      <c r="O265" s="327"/>
    </row>
    <row r="266" spans="1:15">
      <c r="B266" s="338" t="str">
        <f t="shared" si="117"/>
        <v>35-39</v>
      </c>
      <c r="C266" s="459">
        <f t="shared" si="119"/>
        <v>2014.1677113701614</v>
      </c>
      <c r="D266" s="459">
        <f t="shared" ref="D266:N266" si="123">D96-D232</f>
        <v>2114.7410692498129</v>
      </c>
      <c r="E266" s="459">
        <f t="shared" si="123"/>
        <v>2201.167213398483</v>
      </c>
      <c r="F266" s="459">
        <f t="shared" si="123"/>
        <v>2281.0128541519821</v>
      </c>
      <c r="G266" s="459">
        <f t="shared" si="123"/>
        <v>2358.0666799479714</v>
      </c>
      <c r="H266" s="459">
        <f t="shared" si="123"/>
        <v>2425.992496641361</v>
      </c>
      <c r="I266" s="459">
        <f t="shared" si="123"/>
        <v>2481.2103391573719</v>
      </c>
      <c r="J266" s="459">
        <f t="shared" si="123"/>
        <v>2530.3412863028088</v>
      </c>
      <c r="K266" s="459">
        <f t="shared" si="123"/>
        <v>2570.1504890176675</v>
      </c>
      <c r="L266" s="459">
        <f t="shared" si="123"/>
        <v>2594.8910967365659</v>
      </c>
      <c r="M266" s="459">
        <f t="shared" si="123"/>
        <v>2611.655548597269</v>
      </c>
      <c r="N266" s="459">
        <f t="shared" si="123"/>
        <v>2620.2714081926879</v>
      </c>
      <c r="O266" s="327"/>
    </row>
    <row r="267" spans="1:15">
      <c r="B267" s="338" t="str">
        <f t="shared" si="117"/>
        <v>40-44</v>
      </c>
      <c r="C267" s="459">
        <f t="shared" si="119"/>
        <v>1969.0516153900469</v>
      </c>
      <c r="D267" s="459">
        <f t="shared" ref="D267:N267" si="124">D97-D233</f>
        <v>2013.8546116629336</v>
      </c>
      <c r="E267" s="459">
        <f t="shared" si="124"/>
        <v>2049.3919119052061</v>
      </c>
      <c r="F267" s="459">
        <f t="shared" si="124"/>
        <v>2087.7470598059713</v>
      </c>
      <c r="G267" s="459">
        <f t="shared" si="124"/>
        <v>2133.0966171914133</v>
      </c>
      <c r="H267" s="459">
        <f t="shared" si="124"/>
        <v>2179.0310483623093</v>
      </c>
      <c r="I267" s="459">
        <f t="shared" si="124"/>
        <v>2221.0868636967616</v>
      </c>
      <c r="J267" s="459">
        <f t="shared" si="124"/>
        <v>2263.385000336541</v>
      </c>
      <c r="K267" s="459">
        <f t="shared" si="124"/>
        <v>2301.6719043249868</v>
      </c>
      <c r="L267" s="459">
        <f t="shared" si="124"/>
        <v>2330.0191096598364</v>
      </c>
      <c r="M267" s="459">
        <f t="shared" si="124"/>
        <v>2353.697712231226</v>
      </c>
      <c r="N267" s="459">
        <f t="shared" si="124"/>
        <v>2371.7545066163689</v>
      </c>
      <c r="O267" s="327"/>
    </row>
    <row r="268" spans="1:15">
      <c r="B268" s="338" t="str">
        <f t="shared" si="117"/>
        <v>45-49</v>
      </c>
      <c r="C268" s="459">
        <f t="shared" si="119"/>
        <v>1943.7808845378415</v>
      </c>
      <c r="D268" s="459">
        <f t="shared" ref="D268:N268" si="125">D98-D234</f>
        <v>1933.2103060188042</v>
      </c>
      <c r="E268" s="459">
        <f t="shared" si="125"/>
        <v>1920.7611950131563</v>
      </c>
      <c r="F268" s="459">
        <f t="shared" si="125"/>
        <v>1915.1108102151641</v>
      </c>
      <c r="G268" s="459">
        <f t="shared" si="125"/>
        <v>1919.8748735995687</v>
      </c>
      <c r="H268" s="459">
        <f t="shared" si="125"/>
        <v>1930.2607108081602</v>
      </c>
      <c r="I268" s="459">
        <f t="shared" si="125"/>
        <v>1942.7472762234192</v>
      </c>
      <c r="J268" s="459">
        <f t="shared" si="125"/>
        <v>1960.4418333072454</v>
      </c>
      <c r="K268" s="459">
        <f t="shared" si="125"/>
        <v>1979.5176315445092</v>
      </c>
      <c r="L268" s="459">
        <f t="shared" si="125"/>
        <v>1994.6351322629457</v>
      </c>
      <c r="M268" s="459">
        <f t="shared" si="125"/>
        <v>2009.4214146511626</v>
      </c>
      <c r="N268" s="459">
        <f t="shared" si="125"/>
        <v>2022.5428046982809</v>
      </c>
      <c r="O268" s="327"/>
    </row>
    <row r="269" spans="1:15">
      <c r="B269" s="338" t="str">
        <f t="shared" si="117"/>
        <v>50-54</v>
      </c>
      <c r="C269" s="459">
        <f t="shared" si="119"/>
        <v>1654.4819014138602</v>
      </c>
      <c r="D269" s="459">
        <f t="shared" ref="D269:N269" si="126">D99-D235</f>
        <v>1645.5846498985456</v>
      </c>
      <c r="E269" s="459">
        <f t="shared" si="126"/>
        <v>1627.864346042189</v>
      </c>
      <c r="F269" s="459">
        <f t="shared" si="126"/>
        <v>1610.7099672840488</v>
      </c>
      <c r="G269" s="459">
        <f t="shared" si="126"/>
        <v>1598.790221843934</v>
      </c>
      <c r="H269" s="459">
        <f t="shared" si="126"/>
        <v>1590.0944302127511</v>
      </c>
      <c r="I269" s="459">
        <f t="shared" si="126"/>
        <v>1583.1671724851685</v>
      </c>
      <c r="J269" s="459">
        <f t="shared" si="126"/>
        <v>1581.091574925206</v>
      </c>
      <c r="K269" s="459">
        <f t="shared" si="126"/>
        <v>1581.6168236059546</v>
      </c>
      <c r="L269" s="459">
        <f t="shared" si="126"/>
        <v>1581.1516165308494</v>
      </c>
      <c r="M269" s="459">
        <f t="shared" si="126"/>
        <v>1582.4728864057859</v>
      </c>
      <c r="N269" s="459">
        <f t="shared" si="126"/>
        <v>1584.5971948805332</v>
      </c>
      <c r="O269" s="327"/>
    </row>
    <row r="270" spans="1:15">
      <c r="B270" s="338" t="str">
        <f t="shared" si="117"/>
        <v>55-59</v>
      </c>
      <c r="C270" s="459">
        <f t="shared" si="119"/>
        <v>966.79340762914921</v>
      </c>
      <c r="D270" s="459">
        <f t="shared" ref="D270:N270" si="127">D100-D236</f>
        <v>902.26446726094832</v>
      </c>
      <c r="E270" s="459">
        <f t="shared" si="127"/>
        <v>856.27053483503846</v>
      </c>
      <c r="F270" s="459">
        <f t="shared" si="127"/>
        <v>824.40903804566415</v>
      </c>
      <c r="G270" s="459">
        <f t="shared" si="127"/>
        <v>803.31553346096621</v>
      </c>
      <c r="H270" s="459">
        <f t="shared" si="127"/>
        <v>788.13640364051025</v>
      </c>
      <c r="I270" s="459">
        <f t="shared" si="127"/>
        <v>776.12101971502716</v>
      </c>
      <c r="J270" s="459">
        <f t="shared" si="127"/>
        <v>768.17313206941401</v>
      </c>
      <c r="K270" s="459">
        <f t="shared" si="127"/>
        <v>762.36414681916506</v>
      </c>
      <c r="L270" s="459">
        <f t="shared" si="127"/>
        <v>756.42555797930549</v>
      </c>
      <c r="M270" s="459">
        <f t="shared" si="127"/>
        <v>752.13895359967557</v>
      </c>
      <c r="N270" s="459">
        <f t="shared" si="127"/>
        <v>748.87899079898386</v>
      </c>
      <c r="O270" s="327"/>
    </row>
    <row r="271" spans="1:15">
      <c r="B271" s="338" t="str">
        <f t="shared" si="117"/>
        <v>60-64</v>
      </c>
      <c r="C271" s="459">
        <f t="shared" si="119"/>
        <v>286.48171220365299</v>
      </c>
      <c r="D271" s="459">
        <f t="shared" ref="D271:N271" si="128">D101-D237</f>
        <v>270.58692954428398</v>
      </c>
      <c r="E271" s="459">
        <f t="shared" si="128"/>
        <v>253.53985017772004</v>
      </c>
      <c r="F271" s="459">
        <f t="shared" si="128"/>
        <v>239.84190254952816</v>
      </c>
      <c r="G271" s="459">
        <f t="shared" si="128"/>
        <v>230.18875376468003</v>
      </c>
      <c r="H271" s="459">
        <f t="shared" si="128"/>
        <v>223.06381568483849</v>
      </c>
      <c r="I271" s="459">
        <f t="shared" si="128"/>
        <v>217.41222033044744</v>
      </c>
      <c r="J271" s="459">
        <f t="shared" si="128"/>
        <v>213.57922017419045</v>
      </c>
      <c r="K271" s="459">
        <f t="shared" si="128"/>
        <v>210.61688427154107</v>
      </c>
      <c r="L271" s="459">
        <f t="shared" si="128"/>
        <v>207.55360199880289</v>
      </c>
      <c r="M271" s="459">
        <f t="shared" si="128"/>
        <v>205.20276314169965</v>
      </c>
      <c r="N271" s="459">
        <f t="shared" si="128"/>
        <v>203.26994471755253</v>
      </c>
      <c r="O271" s="327"/>
    </row>
    <row r="272" spans="1:15">
      <c r="B272" s="338" t="str">
        <f t="shared" si="117"/>
        <v>65 plus</v>
      </c>
      <c r="C272" s="459">
        <f t="shared" si="119"/>
        <v>61.399733840283695</v>
      </c>
      <c r="D272" s="459">
        <f t="shared" ref="D272:N272" si="129">D102-D238</f>
        <v>68.095015373792961</v>
      </c>
      <c r="E272" s="459">
        <f t="shared" si="129"/>
        <v>69.113990735432083</v>
      </c>
      <c r="F272" s="459">
        <f t="shared" si="129"/>
        <v>67.744935374091511</v>
      </c>
      <c r="G272" s="459">
        <f t="shared" si="129"/>
        <v>65.799245317463928</v>
      </c>
      <c r="H272" s="459">
        <f t="shared" si="129"/>
        <v>63.7828524785075</v>
      </c>
      <c r="I272" s="459">
        <f t="shared" si="129"/>
        <v>61.862918838580548</v>
      </c>
      <c r="J272" s="459">
        <f t="shared" si="129"/>
        <v>60.389157194967446</v>
      </c>
      <c r="K272" s="459">
        <f t="shared" si="129"/>
        <v>59.178980083595235</v>
      </c>
      <c r="L272" s="459">
        <f t="shared" si="129"/>
        <v>57.945304924792154</v>
      </c>
      <c r="M272" s="459">
        <f t="shared" si="129"/>
        <v>56.940192660697214</v>
      </c>
      <c r="N272" s="459">
        <f t="shared" si="129"/>
        <v>56.087927483803867</v>
      </c>
      <c r="O272" s="327"/>
    </row>
    <row r="273" spans="1:15">
      <c r="B273" s="338" t="str">
        <f t="shared" si="117"/>
        <v>Total</v>
      </c>
      <c r="C273" s="459">
        <f>SUM(C263:C272)</f>
        <v>14301.474010900607</v>
      </c>
      <c r="D273" s="459">
        <f t="shared" ref="D273:N273" si="130">SUM(D263:D272)</f>
        <v>14782.902792723884</v>
      </c>
      <c r="E273" s="459">
        <f t="shared" si="130"/>
        <v>15049.977046696409</v>
      </c>
      <c r="F273" s="459">
        <f t="shared" si="130"/>
        <v>15263.50452874017</v>
      </c>
      <c r="G273" s="459">
        <f t="shared" si="130"/>
        <v>15495.981700607603</v>
      </c>
      <c r="H273" s="459">
        <f t="shared" si="130"/>
        <v>15696.468799528837</v>
      </c>
      <c r="I273" s="459">
        <f t="shared" si="130"/>
        <v>15836.423052826598</v>
      </c>
      <c r="J273" s="459">
        <f t="shared" si="130"/>
        <v>15982.356680141949</v>
      </c>
      <c r="K273" s="459">
        <f t="shared" si="130"/>
        <v>16097.046711170651</v>
      </c>
      <c r="L273" s="459">
        <f t="shared" si="130"/>
        <v>16122.84413100657</v>
      </c>
      <c r="M273" s="459">
        <f t="shared" si="130"/>
        <v>16130.06269065121</v>
      </c>
      <c r="N273" s="459">
        <f t="shared" si="130"/>
        <v>16111.485750616255</v>
      </c>
      <c r="O273" s="327"/>
    </row>
    <row r="274" spans="1:15">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5" ht="15.75">
      <c r="B275" s="340"/>
      <c r="H275" s="327"/>
    </row>
    <row r="276" spans="1:15" ht="15.75">
      <c r="B276" s="340" t="s">
        <v>1621</v>
      </c>
      <c r="H276" s="327"/>
    </row>
    <row r="277" spans="1:15" ht="15.75">
      <c r="B277" s="340"/>
      <c r="H277" s="327"/>
    </row>
    <row r="278" spans="1:15"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5">
      <c r="B279" s="326" t="s">
        <v>585</v>
      </c>
      <c r="C279" s="459">
        <f>C223+C239</f>
        <v>3554.9436771751098</v>
      </c>
      <c r="D279" s="459">
        <f t="shared" ref="D279:N279" si="133">D223+D239</f>
        <v>3613.770064233694</v>
      </c>
      <c r="E279" s="459">
        <f t="shared" si="133"/>
        <v>3626.2693688525651</v>
      </c>
      <c r="F279" s="459">
        <f t="shared" si="133"/>
        <v>3634.4322224747184</v>
      </c>
      <c r="G279" s="459">
        <f t="shared" si="133"/>
        <v>3655.2630632906034</v>
      </c>
      <c r="H279" s="459">
        <f t="shared" si="133"/>
        <v>3674.914699109228</v>
      </c>
      <c r="I279" s="459">
        <f t="shared" si="133"/>
        <v>3685.4470150784064</v>
      </c>
      <c r="J279" s="459">
        <f t="shared" si="133"/>
        <v>3702.1520558875773</v>
      </c>
      <c r="K279" s="459">
        <f t="shared" si="133"/>
        <v>3715.034506203514</v>
      </c>
      <c r="L279" s="459">
        <f t="shared" si="133"/>
        <v>3709.7571620466215</v>
      </c>
      <c r="M279" s="459">
        <f t="shared" si="133"/>
        <v>3703.2762577767735</v>
      </c>
      <c r="N279" s="459">
        <f t="shared" si="133"/>
        <v>3693.3218872689404</v>
      </c>
    </row>
    <row r="280" spans="1:15">
      <c r="B280" s="326" t="s">
        <v>586</v>
      </c>
      <c r="C280" s="459">
        <f>C155+C171</f>
        <v>1090.8227201828463</v>
      </c>
      <c r="D280" s="459">
        <f t="shared" ref="D280:N280" si="134">D155+D171</f>
        <v>1031.5315484453388</v>
      </c>
      <c r="E280" s="459">
        <f t="shared" si="134"/>
        <v>976.77183456091461</v>
      </c>
      <c r="F280" s="459">
        <f t="shared" si="134"/>
        <v>933.55456266375904</v>
      </c>
      <c r="G280" s="459">
        <f t="shared" si="134"/>
        <v>902.82391668257515</v>
      </c>
      <c r="H280" s="459">
        <f t="shared" si="134"/>
        <v>880.00531356663248</v>
      </c>
      <c r="I280" s="459">
        <f t="shared" si="134"/>
        <v>861.93842830177164</v>
      </c>
      <c r="J280" s="459">
        <f t="shared" si="134"/>
        <v>849.82181740875933</v>
      </c>
      <c r="K280" s="459">
        <f t="shared" si="134"/>
        <v>840.80370726199817</v>
      </c>
      <c r="L280" s="459">
        <f t="shared" si="134"/>
        <v>831.67049631957343</v>
      </c>
      <c r="M280" s="459">
        <f t="shared" si="134"/>
        <v>824.78468323378206</v>
      </c>
      <c r="N280" s="459">
        <f t="shared" si="134"/>
        <v>819.23595404798596</v>
      </c>
    </row>
    <row r="281" spans="1:15">
      <c r="B281" s="326" t="s">
        <v>587</v>
      </c>
      <c r="C281" s="459">
        <f>C189+C205</f>
        <v>19.890356312779623</v>
      </c>
      <c r="D281" s="459">
        <f t="shared" ref="D281:N281" si="135">D189+D205</f>
        <v>19.747231677311898</v>
      </c>
      <c r="E281" s="459">
        <f t="shared" si="135"/>
        <v>19.402677446902693</v>
      </c>
      <c r="F281" s="459">
        <f t="shared" si="135"/>
        <v>19.073602415039083</v>
      </c>
      <c r="G281" s="459">
        <f t="shared" si="135"/>
        <v>18.850713868383867</v>
      </c>
      <c r="H281" s="459">
        <f t="shared" si="135"/>
        <v>18.695085183320689</v>
      </c>
      <c r="I281" s="459">
        <f t="shared" si="135"/>
        <v>18.572961841275021</v>
      </c>
      <c r="J281" s="459">
        <f t="shared" si="135"/>
        <v>18.523995513810522</v>
      </c>
      <c r="K281" s="459">
        <f t="shared" si="135"/>
        <v>18.504188667769377</v>
      </c>
      <c r="L281" s="459">
        <f t="shared" si="135"/>
        <v>18.454573389620066</v>
      </c>
      <c r="M281" s="459">
        <f t="shared" si="135"/>
        <v>18.422022080969441</v>
      </c>
      <c r="N281" s="459">
        <f t="shared" si="135"/>
        <v>18.392548504337483</v>
      </c>
    </row>
    <row r="282" spans="1:15">
      <c r="B282" s="326" t="s">
        <v>588</v>
      </c>
      <c r="C282" s="459">
        <f>C121+C137</f>
        <v>2444.2306006794843</v>
      </c>
      <c r="D282" s="459">
        <f t="shared" ref="D282:N282" si="136">D121+D137</f>
        <v>2562.4912841110436</v>
      </c>
      <c r="E282" s="459">
        <f t="shared" si="136"/>
        <v>2630.0948568447475</v>
      </c>
      <c r="F282" s="459">
        <f t="shared" si="136"/>
        <v>2681.8040573959206</v>
      </c>
      <c r="G282" s="459">
        <f t="shared" si="136"/>
        <v>2733.5884327396438</v>
      </c>
      <c r="H282" s="459">
        <f t="shared" si="136"/>
        <v>2776.2143003592746</v>
      </c>
      <c r="I282" s="459">
        <f t="shared" si="136"/>
        <v>2804.9356249353596</v>
      </c>
      <c r="J282" s="459">
        <f t="shared" si="136"/>
        <v>2833.8062429650072</v>
      </c>
      <c r="K282" s="459">
        <f t="shared" si="136"/>
        <v>2855.7266102737467</v>
      </c>
      <c r="L282" s="459">
        <f t="shared" si="136"/>
        <v>2859.6320923374269</v>
      </c>
      <c r="M282" s="459">
        <f t="shared" si="136"/>
        <v>2860.0695524620223</v>
      </c>
      <c r="N282" s="459">
        <f t="shared" si="136"/>
        <v>2855.6933847166174</v>
      </c>
    </row>
    <row r="283" spans="1:15"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5" ht="15.75">
      <c r="B284" s="340"/>
      <c r="H284" s="327"/>
    </row>
    <row r="285" spans="1:15" ht="15.75">
      <c r="B285" s="340" t="s">
        <v>1622</v>
      </c>
      <c r="F285" s="364"/>
      <c r="G285" s="364" t="s">
        <v>265</v>
      </c>
      <c r="H285" s="327"/>
    </row>
    <row r="286" spans="1:15" ht="15.75">
      <c r="B286" s="340"/>
      <c r="H286" s="327"/>
    </row>
    <row r="287" spans="1:15" ht="15.75">
      <c r="B287" s="340" t="s">
        <v>199</v>
      </c>
      <c r="H287" s="327"/>
    </row>
    <row r="288" spans="1:15" ht="15.75">
      <c r="B288" s="340"/>
      <c r="H288" s="327"/>
    </row>
    <row r="289" spans="2:16" ht="15.75">
      <c r="B289" s="340"/>
      <c r="C289" s="326" t="str">
        <f>C278</f>
        <v>2016/17</v>
      </c>
      <c r="D289" s="326" t="str">
        <f t="shared" ref="D289:L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row>
    <row r="290" spans="2:16" ht="15.75">
      <c r="B290" s="340"/>
      <c r="C290" s="459">
        <f>C53+C69-C15</f>
        <v>0</v>
      </c>
      <c r="D290" s="459">
        <f>D53+D69-D15</f>
        <v>0</v>
      </c>
      <c r="E290" s="459">
        <f>E53+E69-E15</f>
        <v>0</v>
      </c>
      <c r="F290" s="459">
        <f t="shared" ref="F290:L290" si="139">F53+F69-F15</f>
        <v>0</v>
      </c>
      <c r="G290" s="459">
        <f t="shared" si="139"/>
        <v>0</v>
      </c>
      <c r="H290" s="459">
        <f t="shared" si="139"/>
        <v>0</v>
      </c>
      <c r="I290" s="459">
        <f t="shared" si="139"/>
        <v>0</v>
      </c>
      <c r="J290" s="459">
        <f t="shared" si="139"/>
        <v>0</v>
      </c>
      <c r="K290" s="459">
        <f t="shared" si="139"/>
        <v>0</v>
      </c>
      <c r="L290" s="459">
        <f t="shared" si="139"/>
        <v>0</v>
      </c>
    </row>
    <row r="291" spans="2:16" ht="15.75">
      <c r="B291" s="340"/>
      <c r="H291" s="327"/>
    </row>
    <row r="292" spans="2:16" ht="15.75">
      <c r="B292" s="340" t="s">
        <v>263</v>
      </c>
      <c r="H292" s="327"/>
    </row>
    <row r="293" spans="2:16"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6">
      <c r="B294" s="363" t="s">
        <v>266</v>
      </c>
      <c r="C294" s="459">
        <f>C36-C15+C279-C290</f>
        <v>4533.0586834746464</v>
      </c>
      <c r="D294" s="459">
        <f>D36-D15+D279-D290</f>
        <v>4151.1912952787143</v>
      </c>
      <c r="E294" s="459">
        <f>E36-E15+E279-E290</f>
        <v>4061.0996727432757</v>
      </c>
      <c r="F294" s="459">
        <f t="shared" ref="F294:N294" si="141">F36-F15+F279-F290</f>
        <v>4116.8985425687888</v>
      </c>
      <c r="G294" s="459">
        <f t="shared" si="141"/>
        <v>4076.1032526889899</v>
      </c>
      <c r="H294" s="459">
        <f t="shared" si="141"/>
        <v>3972.780827279938</v>
      </c>
      <c r="I294" s="459">
        <f t="shared" si="141"/>
        <v>3999.0652238733483</v>
      </c>
      <c r="J294" s="459">
        <f t="shared" si="141"/>
        <v>3952.3341882604354</v>
      </c>
      <c r="K294" s="459">
        <f t="shared" si="141"/>
        <v>3780.3366397170557</v>
      </c>
      <c r="L294" s="459">
        <f t="shared" si="141"/>
        <v>3737.8028243573672</v>
      </c>
      <c r="M294" s="459">
        <f t="shared" si="141"/>
        <v>3678.4063194105711</v>
      </c>
      <c r="N294" s="459">
        <f t="shared" si="141"/>
        <v>3612.9428403986103</v>
      </c>
    </row>
    <row r="295" spans="2:16" ht="12.75" customHeight="1">
      <c r="B295" s="1243" t="s">
        <v>264</v>
      </c>
      <c r="C295" s="1243"/>
      <c r="D295" s="1243"/>
      <c r="E295" s="1243"/>
      <c r="F295" s="1243"/>
      <c r="G295" s="1243"/>
      <c r="H295" s="1243"/>
      <c r="I295" s="1243"/>
      <c r="J295" s="1243"/>
      <c r="K295" s="1243"/>
      <c r="L295" s="1243"/>
      <c r="M295" s="1243"/>
      <c r="N295" s="1243"/>
    </row>
    <row r="296" spans="2:16">
      <c r="B296" s="545" t="s">
        <v>560</v>
      </c>
      <c r="C296" s="546">
        <f>IF(C294&lt;0,0,C294)</f>
        <v>4533.0586834746464</v>
      </c>
      <c r="D296" s="546">
        <f t="shared" ref="D296:N296" si="142">IF(D294&lt;0,0,D294)</f>
        <v>4151.1912952787143</v>
      </c>
      <c r="E296" s="546">
        <f t="shared" si="142"/>
        <v>4061.0996727432757</v>
      </c>
      <c r="F296" s="546">
        <f t="shared" si="142"/>
        <v>4116.8985425687888</v>
      </c>
      <c r="G296" s="546">
        <f t="shared" si="142"/>
        <v>4076.1032526889899</v>
      </c>
      <c r="H296" s="546">
        <f t="shared" si="142"/>
        <v>3972.780827279938</v>
      </c>
      <c r="I296" s="546">
        <f t="shared" si="142"/>
        <v>3999.0652238733483</v>
      </c>
      <c r="J296" s="546">
        <f t="shared" si="142"/>
        <v>3952.3341882604354</v>
      </c>
      <c r="K296" s="546">
        <f t="shared" si="142"/>
        <v>3780.3366397170557</v>
      </c>
      <c r="L296" s="546">
        <f t="shared" si="142"/>
        <v>3737.8028243573672</v>
      </c>
      <c r="M296" s="546">
        <f t="shared" si="142"/>
        <v>3678.4063194105711</v>
      </c>
      <c r="N296" s="546">
        <f t="shared" si="142"/>
        <v>3612.9428403986103</v>
      </c>
    </row>
    <row r="297" spans="2:16" ht="15.75">
      <c r="B297" s="340"/>
      <c r="H297" s="327"/>
    </row>
    <row r="298" spans="2:16" ht="15.75">
      <c r="B298" s="340" t="s">
        <v>162</v>
      </c>
      <c r="H298" s="327"/>
    </row>
    <row r="299" spans="2:16" ht="15.75">
      <c r="B299" s="340"/>
      <c r="H299" s="327"/>
    </row>
    <row r="300" spans="2:16">
      <c r="B300" s="341" t="s">
        <v>49</v>
      </c>
      <c r="H300" s="325"/>
    </row>
    <row r="301" spans="2:16">
      <c r="H301" s="325"/>
    </row>
    <row r="302" spans="2:16">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6">
      <c r="B303" s="338" t="str">
        <f t="shared" si="143"/>
        <v>20-24</v>
      </c>
      <c r="C303" s="459">
        <f>C$296*Entrant_age_breakdowns!$K76*$G$31</f>
        <v>540.32639072556879</v>
      </c>
      <c r="D303" s="459">
        <f>D$296*Entrant_age_breakdowns!$K76*$G$31</f>
        <v>494.80899463451476</v>
      </c>
      <c r="E303" s="459">
        <f>E$296*Entrant_age_breakdowns!$K76*$G$31</f>
        <v>484.07035553049354</v>
      </c>
      <c r="F303" s="459">
        <f>F$296*Entrant_age_breakdowns!$K76*$G$31</f>
        <v>490.7214059678717</v>
      </c>
      <c r="G303" s="459">
        <f>G$296*Entrant_age_breakdowns!$K76*$G$31</f>
        <v>485.85873524628761</v>
      </c>
      <c r="H303" s="459">
        <f>H$296*Entrant_age_breakdowns!$K76*$G$31</f>
        <v>473.5430258984677</v>
      </c>
      <c r="I303" s="459">
        <f>I$296*Entrant_age_breakdowns!$K76*$G$31</f>
        <v>476.67604361021523</v>
      </c>
      <c r="J303" s="459">
        <f>J$296*Entrant_age_breakdowns!$K76*$G$31</f>
        <v>471.10585059690987</v>
      </c>
      <c r="K303" s="459">
        <f>K$296*Entrant_age_breakdowns!$K76*$G$31</f>
        <v>450.60428176505565</v>
      </c>
      <c r="L303" s="459">
        <f>L$296*Entrant_age_breakdowns!$K76*$G$31</f>
        <v>445.53438425394017</v>
      </c>
      <c r="M303" s="459">
        <f>M$296*Entrant_age_breakdowns!$K76*$G$31</f>
        <v>438.45450698329881</v>
      </c>
      <c r="N303" s="459">
        <f>N$296*Entrant_age_breakdowns!$K76*$G$31</f>
        <v>430.65146541496</v>
      </c>
      <c r="O303" s="327"/>
      <c r="P303" s="327"/>
    </row>
    <row r="304" spans="2:16">
      <c r="B304" s="338" t="str">
        <f t="shared" si="143"/>
        <v>25-29</v>
      </c>
      <c r="C304" s="459">
        <f>C$296*Entrant_age_breakdowns!$K77*$G$31</f>
        <v>558.68575634051388</v>
      </c>
      <c r="D304" s="459">
        <f>D$296*Entrant_age_breakdowns!$K77*$G$31</f>
        <v>511.62175706475557</v>
      </c>
      <c r="E304" s="459">
        <f>E$296*Entrant_age_breakdowns!$K77*$G$31</f>
        <v>500.51823739057949</v>
      </c>
      <c r="F304" s="459">
        <f>F$296*Entrant_age_breakdowns!$K77*$G$31</f>
        <v>507.39527913395199</v>
      </c>
      <c r="G304" s="459">
        <f>G$296*Entrant_age_breakdowns!$K77*$G$31</f>
        <v>502.36738318706881</v>
      </c>
      <c r="H304" s="459">
        <f>H$296*Entrant_age_breakdowns!$K77*$G$31</f>
        <v>489.63320712245502</v>
      </c>
      <c r="I304" s="459">
        <f>I$296*Entrant_age_breakdowns!$K77*$G$31</f>
        <v>492.87267941172337</v>
      </c>
      <c r="J304" s="459">
        <f>J$296*Entrant_age_breakdowns!$K77*$G$31</f>
        <v>487.11322077705955</v>
      </c>
      <c r="K304" s="459">
        <f>K$296*Entrant_age_breakdowns!$K77*$G$31</f>
        <v>465.91504373889779</v>
      </c>
      <c r="L304" s="459">
        <f>L$296*Entrant_age_breakdowns!$K77*$G$31</f>
        <v>460.67287979098688</v>
      </c>
      <c r="M304" s="459">
        <f>M$296*Entrant_age_breakdowns!$K77*$G$31</f>
        <v>453.35244041279026</v>
      </c>
      <c r="N304" s="459">
        <f>N$296*Entrant_age_breakdowns!$K77*$G$31</f>
        <v>445.28426485225577</v>
      </c>
      <c r="O304" s="327"/>
      <c r="P304" s="327"/>
    </row>
    <row r="305" spans="1:16">
      <c r="B305" s="338" t="str">
        <f t="shared" si="143"/>
        <v>30-34</v>
      </c>
      <c r="C305" s="459">
        <f>C$296*Entrant_age_breakdowns!$K78*$G$31</f>
        <v>277.33997939454576</v>
      </c>
      <c r="D305" s="459">
        <f>D$296*Entrant_age_breakdowns!$K78*$G$31</f>
        <v>253.97670506505273</v>
      </c>
      <c r="E305" s="459">
        <f>E$296*Entrant_age_breakdowns!$K78*$G$31</f>
        <v>248.46475155148215</v>
      </c>
      <c r="F305" s="459">
        <f>F$296*Entrant_age_breakdowns!$K78*$G$31</f>
        <v>251.87861810124951</v>
      </c>
      <c r="G305" s="459">
        <f>G$296*Entrant_age_breakdowns!$K78*$G$31</f>
        <v>249.38269522782548</v>
      </c>
      <c r="H305" s="459">
        <f>H$296*Entrant_age_breakdowns!$K78*$G$31</f>
        <v>243.06125945237326</v>
      </c>
      <c r="I305" s="459">
        <f>I$296*Entrant_age_breakdowns!$K78*$G$31</f>
        <v>244.66938202889963</v>
      </c>
      <c r="J305" s="459">
        <f>J$296*Entrant_age_breakdowns!$K78*$G$31</f>
        <v>241.81030047735953</v>
      </c>
      <c r="K305" s="459">
        <f>K$296*Entrant_age_breakdowns!$K78*$G$31</f>
        <v>231.28720781526116</v>
      </c>
      <c r="L305" s="459">
        <f>L$296*Entrant_age_breakdowns!$K78*$G$31</f>
        <v>228.68491909607224</v>
      </c>
      <c r="M305" s="459">
        <f>M$296*Entrant_age_breakdowns!$K78*$G$31</f>
        <v>225.05094331761936</v>
      </c>
      <c r="N305" s="459">
        <f>N$296*Entrant_age_breakdowns!$K78*$G$31</f>
        <v>221.04578009604907</v>
      </c>
      <c r="O305" s="327"/>
      <c r="P305" s="327"/>
    </row>
    <row r="306" spans="1:16">
      <c r="B306" s="338" t="str">
        <f t="shared" si="143"/>
        <v>35-39</v>
      </c>
      <c r="C306" s="459">
        <f>C$296*Entrant_age_breakdowns!$K79*$G$31</f>
        <v>198.1717092466105</v>
      </c>
      <c r="D306" s="459">
        <f>D$296*Entrant_age_breakdowns!$K79*$G$31</f>
        <v>181.47761408737449</v>
      </c>
      <c r="E306" s="459">
        <f>E$296*Entrant_age_breakdowns!$K79*$G$31</f>
        <v>177.53907896720631</v>
      </c>
      <c r="F306" s="459">
        <f>F$296*Entrant_age_breakdowns!$K79*$G$31</f>
        <v>179.97843794741593</v>
      </c>
      <c r="G306" s="459">
        <f>G$296*Entrant_age_breakdowns!$K79*$G$31</f>
        <v>178.19499041470189</v>
      </c>
      <c r="H306" s="459">
        <f>H$296*Entrant_age_breakdowns!$K79*$G$31</f>
        <v>173.67804433556523</v>
      </c>
      <c r="I306" s="459">
        <f>I$296*Entrant_age_breakdowns!$K79*$G$31</f>
        <v>174.82711920159792</v>
      </c>
      <c r="J306" s="459">
        <f>J$296*Entrant_age_breakdowns!$K79*$G$31</f>
        <v>172.78417869521633</v>
      </c>
      <c r="K306" s="459">
        <f>K$296*Entrant_age_breakdowns!$K79*$G$31</f>
        <v>165.26496251887912</v>
      </c>
      <c r="L306" s="459">
        <f>L$296*Entrant_age_breakdowns!$K79*$G$31</f>
        <v>163.40551187436458</v>
      </c>
      <c r="M306" s="459">
        <f>M$296*Entrant_age_breakdowns!$K79*$G$31</f>
        <v>160.80887509322346</v>
      </c>
      <c r="N306" s="459">
        <f>N$296*Entrant_age_breakdowns!$K79*$G$31</f>
        <v>157.947008429921</v>
      </c>
      <c r="O306" s="327"/>
      <c r="P306" s="327"/>
    </row>
    <row r="307" spans="1:16">
      <c r="B307" s="338" t="str">
        <f t="shared" si="143"/>
        <v>40-44</v>
      </c>
      <c r="C307" s="459">
        <f>C$296*Entrant_age_breakdowns!$K80*$G$31</f>
        <v>172.17696850933439</v>
      </c>
      <c r="D307" s="459">
        <f>D$296*Entrant_age_breakdowns!$K80*$G$31</f>
        <v>157.67268478765189</v>
      </c>
      <c r="E307" s="459">
        <f>E$296*Entrant_age_breakdowns!$K80*$G$31</f>
        <v>154.25077840184062</v>
      </c>
      <c r="F307" s="459">
        <f>F$296*Entrant_age_breakdowns!$K80*$G$31</f>
        <v>156.37015980050361</v>
      </c>
      <c r="G307" s="459">
        <f>G$296*Entrant_age_breakdowns!$K80*$G$31</f>
        <v>154.82065209909891</v>
      </c>
      <c r="H307" s="459">
        <f>H$296*Entrant_age_breakdowns!$K80*$G$31</f>
        <v>150.89620654739775</v>
      </c>
      <c r="I307" s="459">
        <f>I$296*Entrant_age_breakdowns!$K80*$G$31</f>
        <v>151.89455402987102</v>
      </c>
      <c r="J307" s="459">
        <f>J$296*Entrant_age_breakdowns!$K80*$G$31</f>
        <v>150.11959177834206</v>
      </c>
      <c r="K307" s="459">
        <f>K$296*Entrant_age_breakdowns!$K80*$G$31</f>
        <v>143.58669234617838</v>
      </c>
      <c r="L307" s="459">
        <f>L$296*Entrant_age_breakdowns!$K80*$G$31</f>
        <v>141.97115107501321</v>
      </c>
      <c r="M307" s="459">
        <f>M$296*Entrant_age_breakdowns!$K80*$G$31</f>
        <v>139.71512244713097</v>
      </c>
      <c r="N307" s="459">
        <f>N$296*Entrant_age_breakdowns!$K80*$G$31</f>
        <v>137.22865488706083</v>
      </c>
      <c r="O307" s="327"/>
      <c r="P307" s="327"/>
    </row>
    <row r="308" spans="1:16">
      <c r="B308" s="338" t="str">
        <f t="shared" si="143"/>
        <v>45-49</v>
      </c>
      <c r="C308" s="459">
        <f>C$296*Entrant_age_breakdowns!$K81*$G$31</f>
        <v>137.00926961814329</v>
      </c>
      <c r="D308" s="459">
        <f>D$296*Entrant_age_breakdowns!$K81*$G$31</f>
        <v>125.46753243780543</v>
      </c>
      <c r="E308" s="459">
        <f>E$296*Entrant_age_breakdowns!$K81*$G$31</f>
        <v>122.74456142326906</v>
      </c>
      <c r="F308" s="459">
        <f>F$296*Entrant_age_breakdowns!$K81*$G$31</f>
        <v>124.43105236330061</v>
      </c>
      <c r="G308" s="459">
        <f>G$296*Entrant_age_breakdowns!$K81*$G$31</f>
        <v>123.19803658729319</v>
      </c>
      <c r="H308" s="459">
        <f>H$296*Entrant_age_breakdowns!$K81*$G$31</f>
        <v>120.07517164577463</v>
      </c>
      <c r="I308" s="459">
        <f>I$296*Entrant_age_breakdowns!$K81*$G$31</f>
        <v>120.86960344802442</v>
      </c>
      <c r="J308" s="459">
        <f>J$296*Entrant_age_breakdowns!$K81*$G$31</f>
        <v>119.45718293796892</v>
      </c>
      <c r="K308" s="459">
        <f>K$296*Entrant_age_breakdowns!$K81*$G$31</f>
        <v>114.25864920004334</v>
      </c>
      <c r="L308" s="459">
        <f>L$296*Entrant_age_breakdowns!$K81*$G$31</f>
        <v>112.97308742301445</v>
      </c>
      <c r="M308" s="459">
        <f>M$296*Entrant_age_breakdowns!$K81*$G$31</f>
        <v>111.17785988927486</v>
      </c>
      <c r="N308" s="459">
        <f>N$296*Entrant_age_breakdowns!$K81*$G$31</f>
        <v>109.19926131547118</v>
      </c>
      <c r="O308" s="327"/>
      <c r="P308" s="327"/>
    </row>
    <row r="309" spans="1:16">
      <c r="B309" s="338" t="str">
        <f t="shared" si="143"/>
        <v>50-54</v>
      </c>
      <c r="C309" s="459">
        <f>C$296*Entrant_age_breakdowns!$K82*$G$31</f>
        <v>100.22674239608082</v>
      </c>
      <c r="D309" s="459">
        <f>D$296*Entrant_age_breakdowns!$K82*$G$31</f>
        <v>91.783585795063502</v>
      </c>
      <c r="E309" s="459">
        <f>E$296*Entrant_age_breakdowns!$K82*$G$31</f>
        <v>89.791643825103591</v>
      </c>
      <c r="F309" s="459">
        <f>F$296*Entrant_age_breakdowns!$K82*$G$31</f>
        <v>91.025366867865401</v>
      </c>
      <c r="G309" s="459">
        <f>G$296*Entrant_age_breakdowns!$K82*$G$31</f>
        <v>90.12337567488531</v>
      </c>
      <c r="H309" s="459">
        <f>H$296*Entrant_age_breakdowns!$K82*$G$31</f>
        <v>87.838898274898611</v>
      </c>
      <c r="I309" s="459">
        <f>I$296*Entrant_age_breakdowns!$K82*$G$31</f>
        <v>88.420051008704561</v>
      </c>
      <c r="J309" s="459">
        <f>J$296*Entrant_age_breakdowns!$K82*$G$31</f>
        <v>87.386819410500905</v>
      </c>
      <c r="K309" s="459">
        <f>K$296*Entrant_age_breakdowns!$K82*$G$31</f>
        <v>83.583922692340394</v>
      </c>
      <c r="L309" s="459">
        <f>L$296*Entrant_age_breakdowns!$K82*$G$31</f>
        <v>82.643492388466569</v>
      </c>
      <c r="M309" s="459">
        <f>M$296*Entrant_age_breakdowns!$K82*$G$31</f>
        <v>81.330224986429116</v>
      </c>
      <c r="N309" s="459">
        <f>N$296*Entrant_age_breakdowns!$K82*$G$31</f>
        <v>79.882815697155621</v>
      </c>
      <c r="O309" s="327"/>
      <c r="P309" s="327"/>
    </row>
    <row r="310" spans="1:16">
      <c r="B310" s="338" t="str">
        <f t="shared" si="143"/>
        <v>55-59</v>
      </c>
      <c r="C310" s="459">
        <f>C$296*Entrant_age_breakdowns!$K83*$G$31</f>
        <v>68.236626804248502</v>
      </c>
      <c r="D310" s="459">
        <f>D$296*Entrant_age_breakdowns!$K83*$G$31</f>
        <v>62.488335357673698</v>
      </c>
      <c r="E310" s="459">
        <f>E$296*Entrant_age_breakdowns!$K83*$G$31</f>
        <v>61.132176336933256</v>
      </c>
      <c r="F310" s="459">
        <f>F$296*Entrant_age_breakdowns!$K83*$G$31</f>
        <v>61.972122810660323</v>
      </c>
      <c r="G310" s="459">
        <f>G$296*Entrant_age_breakdowns!$K83*$G$31</f>
        <v>61.358026862366707</v>
      </c>
      <c r="H310" s="459">
        <f>H$296*Entrant_age_breakdowns!$K83*$G$31</f>
        <v>59.802703122824227</v>
      </c>
      <c r="I310" s="459">
        <f>I$296*Entrant_age_breakdowns!$K83*$G$31</f>
        <v>60.198365011706862</v>
      </c>
      <c r="J310" s="459">
        <f>J$296*Entrant_age_breakdowns!$K83*$G$31</f>
        <v>59.494917635453142</v>
      </c>
      <c r="K310" s="459">
        <f>K$296*Entrant_age_breakdowns!$K83*$G$31</f>
        <v>56.905819776652869</v>
      </c>
      <c r="L310" s="459">
        <f>L$296*Entrant_age_breakdowns!$K83*$G$31</f>
        <v>56.265553614681366</v>
      </c>
      <c r="M310" s="459">
        <f>M$296*Entrant_age_breakdowns!$K83*$G$31</f>
        <v>55.371451547062748</v>
      </c>
      <c r="N310" s="459">
        <f>N$296*Entrant_age_breakdowns!$K83*$G$31</f>
        <v>54.386022657087977</v>
      </c>
      <c r="O310" s="327"/>
      <c r="P310" s="327"/>
    </row>
    <row r="311" spans="1:16">
      <c r="B311" s="338" t="str">
        <f t="shared" si="143"/>
        <v>60-64</v>
      </c>
      <c r="C311" s="459">
        <f>C$296*Entrant_age_breakdowns!$K84*$G$31</f>
        <v>33.404322108419237</v>
      </c>
      <c r="D311" s="459">
        <f>D$296*Entrant_age_breakdowns!$K84*$G$31</f>
        <v>30.590323409373049</v>
      </c>
      <c r="E311" s="459">
        <f>E$296*Entrant_age_breakdowns!$K84*$G$31</f>
        <v>29.926434016232186</v>
      </c>
      <c r="F311" s="459">
        <f>F$296*Entrant_age_breakdowns!$K84*$G$31</f>
        <v>30.337618505798176</v>
      </c>
      <c r="G311" s="459">
        <f>G$296*Entrant_age_breakdowns!$K84*$G$31</f>
        <v>30.036996100749896</v>
      </c>
      <c r="H311" s="459">
        <f>H$296*Entrant_age_breakdowns!$K84*$G$31</f>
        <v>29.275608300506033</v>
      </c>
      <c r="I311" s="459">
        <f>I$296*Entrant_age_breakdowns!$K84*$G$31</f>
        <v>29.469299252143728</v>
      </c>
      <c r="J311" s="459">
        <f>J$296*Entrant_age_breakdowns!$K84*$G$31</f>
        <v>29.124936058310723</v>
      </c>
      <c r="K311" s="459">
        <f>K$296*Entrant_age_breakdowns!$K84*$G$31</f>
        <v>27.857478053774688</v>
      </c>
      <c r="L311" s="459">
        <f>L$296*Entrant_age_breakdowns!$K84*$G$31</f>
        <v>27.54404437290162</v>
      </c>
      <c r="M311" s="459">
        <f>M$296*Entrant_age_breakdowns!$K84*$G$31</f>
        <v>27.1063487413427</v>
      </c>
      <c r="N311" s="459">
        <f>N$296*Entrant_age_breakdowns!$K84*$G$31</f>
        <v>26.623945293263557</v>
      </c>
      <c r="O311" s="327"/>
      <c r="P311" s="327"/>
    </row>
    <row r="312" spans="1:16">
      <c r="B312" s="338" t="str">
        <f t="shared" si="143"/>
        <v>65 plus</v>
      </c>
      <c r="C312" s="459">
        <f>C$296*Entrant_age_breakdowns!$K85*$G$31</f>
        <v>8.3780410899010178</v>
      </c>
      <c r="D312" s="459">
        <f>D$296*Entrant_age_breakdowns!$K85*$G$31</f>
        <v>7.672270242313755</v>
      </c>
      <c r="E312" s="459">
        <f>E$296*Entrant_age_breakdowns!$K85*$G$31</f>
        <v>7.5057620702026444</v>
      </c>
      <c r="F312" s="459">
        <f>F$296*Entrant_age_breakdowns!$K85*$G$31</f>
        <v>7.6088900587884565</v>
      </c>
      <c r="G312" s="459">
        <f>G$296*Entrant_age_breakdowns!$K85*$G$31</f>
        <v>7.5334918257734369</v>
      </c>
      <c r="H312" s="459">
        <f>H$296*Entrant_age_breakdowns!$K85*$G$31</f>
        <v>7.3425303611136084</v>
      </c>
      <c r="I312" s="459">
        <f>I$296*Entrant_age_breakdowns!$K85*$G$31</f>
        <v>7.3911094266098551</v>
      </c>
      <c r="J312" s="459">
        <f>J$296*Entrant_age_breakdowns!$K85*$G$31</f>
        <v>7.3047406932938976</v>
      </c>
      <c r="K312" s="459">
        <f>K$296*Entrant_age_breakdowns!$K85*$G$31</f>
        <v>6.9868532292926293</v>
      </c>
      <c r="L312" s="459">
        <f>L$296*Entrant_age_breakdowns!$K85*$G$31</f>
        <v>6.9082418373658463</v>
      </c>
      <c r="M312" s="459">
        <f>M$296*Entrant_age_breakdowns!$K85*$G$31</f>
        <v>6.7984646661911441</v>
      </c>
      <c r="N312" s="459">
        <f>N$296*Entrant_age_breakdowns!$K85*$G$31</f>
        <v>6.6774744572954408</v>
      </c>
      <c r="O312" s="327"/>
      <c r="P312" s="327"/>
    </row>
    <row r="313" spans="1:16">
      <c r="B313" s="338" t="str">
        <f t="shared" si="143"/>
        <v>Total</v>
      </c>
      <c r="C313" s="459">
        <f>C$296*Entrant_age_breakdowns!$K86*$G$31</f>
        <v>2093.9558062333663</v>
      </c>
      <c r="D313" s="459">
        <f>D$296*Entrant_age_breakdowns!$K86*$G$31</f>
        <v>1917.5598028815787</v>
      </c>
      <c r="E313" s="459">
        <f>E$296*Entrant_age_breakdowns!$K86*$G$31</f>
        <v>1875.9437795133426</v>
      </c>
      <c r="F313" s="459">
        <f>F$296*Entrant_age_breakdowns!$K86*$G$31</f>
        <v>1901.7189515574057</v>
      </c>
      <c r="G313" s="459">
        <f>G$296*Entrant_age_breakdowns!$K86*$G$31</f>
        <v>1882.8743832260511</v>
      </c>
      <c r="H313" s="459">
        <f>H$296*Entrant_age_breakdowns!$K86*$G$31</f>
        <v>1835.1466550613759</v>
      </c>
      <c r="I313" s="459">
        <f>I$296*Entrant_age_breakdowns!$K86*$G$31</f>
        <v>1847.2882064294965</v>
      </c>
      <c r="J313" s="459">
        <f>J$296*Entrant_age_breakdowns!$K86*$G$31</f>
        <v>1825.7017390604149</v>
      </c>
      <c r="K313" s="459">
        <f>K$296*Entrant_age_breakdowns!$K86*$G$31</f>
        <v>1746.2509111363759</v>
      </c>
      <c r="L313" s="459">
        <f>L$296*Entrant_age_breakdowns!$K86*$G$31</f>
        <v>1726.6032657268067</v>
      </c>
      <c r="M313" s="459">
        <f>M$296*Entrant_age_breakdowns!$K86*$G$31</f>
        <v>1699.1662380843634</v>
      </c>
      <c r="N313" s="459">
        <f>N$296*Entrant_age_breakdowns!$K86*$G$31</f>
        <v>1668.9266931005204</v>
      </c>
      <c r="O313" s="327"/>
      <c r="P313" s="327"/>
    </row>
    <row r="314" spans="1:16">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6">
      <c r="B316" s="341" t="s">
        <v>50</v>
      </c>
      <c r="H316" s="325"/>
    </row>
    <row r="317" spans="1:16">
      <c r="H317" s="325"/>
    </row>
    <row r="318" spans="1:16">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6">
      <c r="B319" s="338" t="str">
        <f t="shared" si="146"/>
        <v>20-24</v>
      </c>
      <c r="C319" s="459">
        <f>C$296*Entrant_age_breakdowns!$K76*$H$31</f>
        <v>629.38847627295775</v>
      </c>
      <c r="D319" s="459">
        <f>D$296*Entrant_age_breakdowns!$K76*$H$31</f>
        <v>576.36844049200784</v>
      </c>
      <c r="E319" s="459">
        <f>E$296*Entrant_age_breakdowns!$K76*$H$31</f>
        <v>563.85974978406512</v>
      </c>
      <c r="F319" s="459">
        <f>F$296*Entrant_age_breakdowns!$K76*$H$31</f>
        <v>571.60709393058153</v>
      </c>
      <c r="G319" s="459">
        <f>G$296*Entrant_age_breakdowns!$K76*$H$31</f>
        <v>565.94290841492455</v>
      </c>
      <c r="H319" s="459">
        <f>H$296*Entrant_age_breakdowns!$K76*$H$31</f>
        <v>551.59719872224014</v>
      </c>
      <c r="I319" s="459">
        <f>I$296*Entrant_age_breakdowns!$K76*$H$31</f>
        <v>555.24663224534652</v>
      </c>
      <c r="J319" s="459">
        <f>J$296*Entrant_age_breakdowns!$K76*$H$31</f>
        <v>548.75830342527388</v>
      </c>
      <c r="K319" s="459">
        <f>K$296*Entrant_age_breakdowns!$K76*$H$31</f>
        <v>524.87745771836944</v>
      </c>
      <c r="L319" s="459">
        <f>L$296*Entrant_age_breakdowns!$K76*$H$31</f>
        <v>518.97188818826351</v>
      </c>
      <c r="M319" s="459">
        <f>M$296*Entrant_age_breakdowns!$K76*$H$31</f>
        <v>510.72503361285607</v>
      </c>
      <c r="N319" s="459">
        <f>N$296*Entrant_age_breakdowns!$K76*$H$31</f>
        <v>501.6358154527058</v>
      </c>
      <c r="O319" s="327"/>
    </row>
    <row r="320" spans="1:16">
      <c r="B320" s="338" t="str">
        <f t="shared" si="146"/>
        <v>25-29</v>
      </c>
      <c r="C320" s="459">
        <f>C$296*Entrant_age_breakdowns!$K77*$H$31</f>
        <v>650.77401906351395</v>
      </c>
      <c r="D320" s="459">
        <f>D$296*Entrant_age_breakdowns!$K77*$H$31</f>
        <v>595.95245324714813</v>
      </c>
      <c r="E320" s="459">
        <f>E$296*Entrant_age_breakdowns!$K77*$H$31</f>
        <v>583.01873864621564</v>
      </c>
      <c r="F320" s="459">
        <f>F$296*Entrant_age_breakdowns!$K77*$H$31</f>
        <v>591.02932428189865</v>
      </c>
      <c r="G320" s="459">
        <f>G$296*Entrant_age_breakdowns!$K77*$H$31</f>
        <v>585.17267944058642</v>
      </c>
      <c r="H320" s="459">
        <f>H$296*Entrant_age_breakdowns!$K77*$H$31</f>
        <v>570.33952709513767</v>
      </c>
      <c r="I320" s="459">
        <f>I$296*Entrant_age_breakdowns!$K77*$H$31</f>
        <v>574.11296212083232</v>
      </c>
      <c r="J320" s="459">
        <f>J$296*Entrant_age_breakdowns!$K77*$H$31</f>
        <v>567.40417099671106</v>
      </c>
      <c r="K320" s="459">
        <f>K$296*Entrant_age_breakdowns!$K77*$H$31</f>
        <v>542.71189504125186</v>
      </c>
      <c r="L320" s="459">
        <f>L$296*Entrant_age_breakdowns!$K77*$H$31</f>
        <v>536.60566436997522</v>
      </c>
      <c r="M320" s="459">
        <f>M$296*Entrant_age_breakdowns!$K77*$H$31</f>
        <v>528.0785957962845</v>
      </c>
      <c r="N320" s="459">
        <f>N$296*Entrant_age_breakdowns!$K77*$H$31</f>
        <v>518.68054156552853</v>
      </c>
      <c r="O320" s="327"/>
    </row>
    <row r="321" spans="1:15">
      <c r="B321" s="338" t="str">
        <f t="shared" si="146"/>
        <v>30-34</v>
      </c>
      <c r="C321" s="459">
        <f>C$296*Entrant_age_breakdowns!$K78*$H$31</f>
        <v>323.05397262996684</v>
      </c>
      <c r="D321" s="459">
        <f>D$296*Entrant_age_breakdowns!$K78*$H$31</f>
        <v>295.83972604978231</v>
      </c>
      <c r="E321" s="459">
        <f>E$296*Entrant_age_breakdowns!$K78*$H$31</f>
        <v>289.41923635551615</v>
      </c>
      <c r="F321" s="459">
        <f>F$296*Entrant_age_breakdowns!$K78*$H$31</f>
        <v>293.39581107560713</v>
      </c>
      <c r="G321" s="459">
        <f>G$296*Entrant_age_breakdowns!$K78*$H$31</f>
        <v>290.48848483509221</v>
      </c>
      <c r="H321" s="459">
        <f>H$296*Entrant_age_breakdowns!$K78*$H$31</f>
        <v>283.12508578803363</v>
      </c>
      <c r="I321" s="459">
        <f>I$296*Entrant_age_breakdowns!$K78*$H$31</f>
        <v>284.9982754664814</v>
      </c>
      <c r="J321" s="459">
        <f>J$296*Entrant_age_breakdowns!$K78*$H$31</f>
        <v>281.66793104475596</v>
      </c>
      <c r="K321" s="459">
        <f>K$296*Entrant_age_breakdowns!$K78*$H$31</f>
        <v>269.41031533329033</v>
      </c>
      <c r="L321" s="459">
        <f>L$296*Entrant_age_breakdowns!$K78*$H$31</f>
        <v>266.37909094761255</v>
      </c>
      <c r="M321" s="459">
        <f>M$296*Entrant_age_breakdowns!$K78*$H$31</f>
        <v>262.14612635940875</v>
      </c>
      <c r="N321" s="459">
        <f>N$296*Entrant_age_breakdowns!$K78*$H$31</f>
        <v>257.4807914423717</v>
      </c>
      <c r="O321" s="327"/>
    </row>
    <row r="322" spans="1:15">
      <c r="B322" s="338" t="str">
        <f t="shared" si="146"/>
        <v>35-39</v>
      </c>
      <c r="C322" s="459">
        <f>C$296*Entrant_age_breakdowns!$K79*$H$31</f>
        <v>230.8363838302329</v>
      </c>
      <c r="D322" s="459">
        <f>D$296*Entrant_age_breakdowns!$K79*$H$31</f>
        <v>211.39059829138841</v>
      </c>
      <c r="E322" s="459">
        <f>E$296*Entrant_age_breakdowns!$K79*$H$31</f>
        <v>206.80287379638185</v>
      </c>
      <c r="F322" s="459">
        <f>F$296*Entrant_age_breakdowns!$K79*$H$31</f>
        <v>209.64431270810186</v>
      </c>
      <c r="G322" s="459">
        <f>G$296*Entrant_age_breakdowns!$K79*$H$31</f>
        <v>207.56689923284975</v>
      </c>
      <c r="H322" s="459">
        <f>H$296*Entrant_age_breakdowns!$K79*$H$31</f>
        <v>202.30542420784241</v>
      </c>
      <c r="I322" s="459">
        <f>I$296*Entrant_age_breakdowns!$K79*$H$31</f>
        <v>203.64390126813313</v>
      </c>
      <c r="J322" s="459">
        <f>J$296*Entrant_age_breakdowns!$K79*$H$31</f>
        <v>201.2642225507912</v>
      </c>
      <c r="K322" s="459">
        <f>K$296*Entrant_age_breakdowns!$K79*$H$31</f>
        <v>192.50561276747695</v>
      </c>
      <c r="L322" s="459">
        <f>L$296*Entrant_age_breakdowns!$K79*$H$31</f>
        <v>190.33966857532997</v>
      </c>
      <c r="M322" s="459">
        <f>M$296*Entrant_age_breakdowns!$K79*$H$31</f>
        <v>187.31502773755389</v>
      </c>
      <c r="N322" s="459">
        <f>N$296*Entrant_age_breakdowns!$K79*$H$31</f>
        <v>183.98143913364808</v>
      </c>
      <c r="O322" s="327"/>
    </row>
    <row r="323" spans="1:15">
      <c r="B323" s="338" t="str">
        <f t="shared" si="146"/>
        <v>40-44</v>
      </c>
      <c r="C323" s="459">
        <f>C$296*Entrant_age_breakdowns!$K80*$H$31</f>
        <v>200.55692581269099</v>
      </c>
      <c r="D323" s="459">
        <f>D$296*Entrant_age_breakdowns!$K80*$H$31</f>
        <v>183.66189868147515</v>
      </c>
      <c r="E323" s="459">
        <f>E$296*Entrant_age_breakdowns!$K80*$H$31</f>
        <v>179.67595891787713</v>
      </c>
      <c r="F323" s="459">
        <f>F$296*Entrant_age_breakdowns!$K80*$H$31</f>
        <v>182.14467829202155</v>
      </c>
      <c r="G323" s="459">
        <f>G$296*Entrant_age_breakdowns!$K80*$H$31</f>
        <v>180.33976498795229</v>
      </c>
      <c r="H323" s="459">
        <f>H$296*Entrant_age_breakdowns!$K80*$H$31</f>
        <v>175.76845244724041</v>
      </c>
      <c r="I323" s="459">
        <f>I$296*Entrant_age_breakdowns!$K80*$H$31</f>
        <v>176.93135770519206</v>
      </c>
      <c r="J323" s="459">
        <f>J$296*Entrant_age_breakdowns!$K80*$H$31</f>
        <v>174.8638281413821</v>
      </c>
      <c r="K323" s="459">
        <f>K$296*Entrant_age_breakdowns!$K80*$H$31</f>
        <v>167.25410984919836</v>
      </c>
      <c r="L323" s="459">
        <f>L$296*Entrant_age_breakdowns!$K80*$H$31</f>
        <v>165.37227865148594</v>
      </c>
      <c r="M323" s="459">
        <f>M$296*Entrant_age_breakdowns!$K80*$H$31</f>
        <v>162.74438846343821</v>
      </c>
      <c r="N323" s="459">
        <f>N$296*Entrant_age_breakdowns!$K80*$H$31</f>
        <v>159.8480760570921</v>
      </c>
      <c r="O323" s="327"/>
    </row>
    <row r="324" spans="1:15">
      <c r="B324" s="338" t="str">
        <f t="shared" si="146"/>
        <v>45-49</v>
      </c>
      <c r="C324" s="459">
        <f>C$296*Entrant_age_breakdowns!$K81*$H$31</f>
        <v>159.59252947915181</v>
      </c>
      <c r="D324" s="459">
        <f>D$296*Entrant_age_breakdowns!$K81*$H$31</f>
        <v>146.1483659103113</v>
      </c>
      <c r="E324" s="459">
        <f>E$296*Entrant_age_breakdowns!$K81*$H$31</f>
        <v>142.97656714720975</v>
      </c>
      <c r="F324" s="459">
        <f>F$296*Entrant_age_breakdowns!$K81*$H$31</f>
        <v>144.94104265907444</v>
      </c>
      <c r="G324" s="459">
        <f>G$296*Entrant_age_breakdowns!$K81*$H$31</f>
        <v>143.50478869516991</v>
      </c>
      <c r="H324" s="459">
        <f>H$296*Entrant_age_breakdowns!$K81*$H$31</f>
        <v>139.86718142503588</v>
      </c>
      <c r="I324" s="459">
        <f>I$296*Entrant_age_breakdowns!$K81*$H$31</f>
        <v>140.79255954852405</v>
      </c>
      <c r="J324" s="459">
        <f>J$296*Entrant_age_breakdowns!$K81*$H$31</f>
        <v>139.14732953951642</v>
      </c>
      <c r="K324" s="459">
        <f>K$296*Entrant_age_breakdowns!$K81*$H$31</f>
        <v>133.09192065272683</v>
      </c>
      <c r="L324" s="459">
        <f>L$296*Entrant_age_breakdowns!$K81*$H$31</f>
        <v>131.59445952203421</v>
      </c>
      <c r="M324" s="459">
        <f>M$296*Entrant_age_breakdowns!$K81*$H$31</f>
        <v>129.50332434630025</v>
      </c>
      <c r="N324" s="459">
        <f>N$296*Entrant_age_breakdowns!$K81*$H$31</f>
        <v>127.19859305259106</v>
      </c>
      <c r="O324" s="327"/>
    </row>
    <row r="325" spans="1:15">
      <c r="B325" s="338" t="str">
        <f t="shared" si="146"/>
        <v>50-54</v>
      </c>
      <c r="C325" s="459">
        <f>C$296*Entrant_age_breakdowns!$K82*$H$31</f>
        <v>116.74713240225688</v>
      </c>
      <c r="D325" s="459">
        <f>D$296*Entrant_age_breakdowns!$K82*$H$31</f>
        <v>106.9122889460407</v>
      </c>
      <c r="E325" s="459">
        <f>E$296*Entrant_age_breakdowns!$K82*$H$31</f>
        <v>104.59201486204918</v>
      </c>
      <c r="F325" s="459">
        <f>F$296*Entrant_age_breakdowns!$K82*$H$31</f>
        <v>106.02909267160054</v>
      </c>
      <c r="G325" s="459">
        <f>G$296*Entrant_age_breakdowns!$K82*$H$31</f>
        <v>104.97842612577618</v>
      </c>
      <c r="H325" s="459">
        <f>H$296*Entrant_age_breakdowns!$K82*$H$31</f>
        <v>102.31739794996031</v>
      </c>
      <c r="I325" s="459">
        <f>I$296*Entrant_age_breakdowns!$K82*$H$31</f>
        <v>102.99434218198427</v>
      </c>
      <c r="J325" s="459">
        <f>J$296*Entrant_age_breakdowns!$K82*$H$31</f>
        <v>101.79080285391773</v>
      </c>
      <c r="K325" s="459">
        <f>K$296*Entrant_age_breakdowns!$K82*$H$31</f>
        <v>97.361074060451983</v>
      </c>
      <c r="L325" s="459">
        <f>L$296*Entrant_age_breakdowns!$K82*$H$31</f>
        <v>96.265632478927074</v>
      </c>
      <c r="M325" s="459">
        <f>M$296*Entrant_age_breakdowns!$K82*$H$31</f>
        <v>94.735899000617096</v>
      </c>
      <c r="N325" s="459">
        <f>N$296*Entrant_age_breakdowns!$K82*$H$31</f>
        <v>93.049913006307492</v>
      </c>
      <c r="O325" s="327"/>
    </row>
    <row r="326" spans="1:15">
      <c r="B326" s="338" t="str">
        <f t="shared" si="146"/>
        <v>55-59</v>
      </c>
      <c r="C326" s="459">
        <f>C$296*Entrant_age_breakdowns!$K83*$H$31</f>
        <v>79.484080932380991</v>
      </c>
      <c r="D326" s="459">
        <f>D$296*Entrant_age_breakdowns!$K83*$H$31</f>
        <v>72.788297685750493</v>
      </c>
      <c r="E326" s="459">
        <f>E$296*Entrant_age_breakdowns!$K83*$H$31</f>
        <v>71.208602756355177</v>
      </c>
      <c r="F326" s="459">
        <f>F$296*Entrant_age_breakdowns!$K83*$H$31</f>
        <v>72.186997741912023</v>
      </c>
      <c r="G326" s="459">
        <f>G$296*Entrant_age_breakdowns!$K83*$H$31</f>
        <v>71.471680260078671</v>
      </c>
      <c r="H326" s="459">
        <f>H$296*Entrant_age_breakdowns!$K83*$H$31</f>
        <v>69.659992259373581</v>
      </c>
      <c r="I326" s="459">
        <f>I$296*Entrant_age_breakdowns!$K83*$H$31</f>
        <v>70.120871160788568</v>
      </c>
      <c r="J326" s="459">
        <f>J$296*Entrant_age_breakdowns!$K83*$H$31</f>
        <v>69.301474440809727</v>
      </c>
      <c r="K326" s="459">
        <f>K$296*Entrant_age_breakdowns!$K83*$H$31</f>
        <v>66.28561516715169</v>
      </c>
      <c r="L326" s="459">
        <f>L$296*Entrant_age_breakdowns!$K83*$H$31</f>
        <v>65.539813831127276</v>
      </c>
      <c r="M326" s="459">
        <f>M$296*Entrant_age_breakdowns!$K83*$H$31</f>
        <v>64.498336776461628</v>
      </c>
      <c r="N326" s="459">
        <f>N$296*Entrant_age_breakdowns!$K83*$H$31</f>
        <v>63.350479484679667</v>
      </c>
      <c r="O326" s="327"/>
    </row>
    <row r="327" spans="1:15">
      <c r="B327" s="338" t="str">
        <f t="shared" si="146"/>
        <v>60-64</v>
      </c>
      <c r="C327" s="459">
        <f>C$296*Entrant_age_breakdowns!$K84*$H$31</f>
        <v>38.910361873157655</v>
      </c>
      <c r="D327" s="459">
        <f>D$296*Entrant_age_breakdowns!$K84*$H$31</f>
        <v>35.632531317725274</v>
      </c>
      <c r="E327" s="459">
        <f>E$296*Entrant_age_breakdowns!$K84*$H$31</f>
        <v>34.859212929553244</v>
      </c>
      <c r="F327" s="459">
        <f>F$296*Entrant_age_breakdowns!$K84*$H$31</f>
        <v>35.338173024409045</v>
      </c>
      <c r="G327" s="459">
        <f>G$296*Entrant_age_breakdowns!$K84*$H$31</f>
        <v>34.987998980174829</v>
      </c>
      <c r="H327" s="459">
        <f>H$296*Entrant_age_breakdowns!$K84*$H$31</f>
        <v>34.101111506837086</v>
      </c>
      <c r="I327" s="459">
        <f>I$296*Entrant_age_breakdowns!$K84*$H$31</f>
        <v>34.326728569063874</v>
      </c>
      <c r="J327" s="459">
        <f>J$296*Entrant_age_breakdowns!$K84*$H$31</f>
        <v>33.925603934821972</v>
      </c>
      <c r="K327" s="459">
        <f>K$296*Entrant_age_breakdowns!$K84*$H$31</f>
        <v>32.449230624342562</v>
      </c>
      <c r="L327" s="459">
        <f>L$296*Entrant_age_breakdowns!$K84*$H$31</f>
        <v>32.084133619636901</v>
      </c>
      <c r="M327" s="459">
        <f>M$296*Entrant_age_breakdowns!$K84*$H$31</f>
        <v>31.574292547006202</v>
      </c>
      <c r="N327" s="459">
        <f>N$296*Entrant_age_breakdowns!$K84*$H$31</f>
        <v>31.012374461295739</v>
      </c>
      <c r="O327" s="327"/>
    </row>
    <row r="328" spans="1:15">
      <c r="B328" s="338" t="str">
        <f t="shared" si="146"/>
        <v>65 plus</v>
      </c>
      <c r="C328" s="459">
        <f>C$296*Entrant_age_breakdowns!$K85*$H$31</f>
        <v>9.7589949449705919</v>
      </c>
      <c r="D328" s="459">
        <f>D$296*Entrant_age_breakdowns!$K85*$H$31</f>
        <v>8.9368917755060622</v>
      </c>
      <c r="E328" s="459">
        <f>E$296*Entrant_age_breakdowns!$K85*$H$31</f>
        <v>8.7429380347100949</v>
      </c>
      <c r="F328" s="459">
        <f>F$296*Entrant_age_breakdowns!$K85*$H$31</f>
        <v>8.8630646261763353</v>
      </c>
      <c r="G328" s="459">
        <f>G$296*Entrant_age_breakdowns!$K85*$H$31</f>
        <v>8.7752384903341234</v>
      </c>
      <c r="H328" s="459">
        <f>H$296*Entrant_age_breakdowns!$K85*$H$31</f>
        <v>8.5528008168610441</v>
      </c>
      <c r="I328" s="459">
        <f>I$296*Entrant_age_breakdowns!$K85*$H$31</f>
        <v>8.6093871775057451</v>
      </c>
      <c r="J328" s="459">
        <f>J$296*Entrant_age_breakdowns!$K85*$H$31</f>
        <v>8.5087822720404382</v>
      </c>
      <c r="K328" s="459">
        <f>K$296*Entrant_age_breakdowns!$K85*$H$31</f>
        <v>8.1384973664200313</v>
      </c>
      <c r="L328" s="459">
        <f>L$296*Entrant_age_breakdowns!$K85*$H$31</f>
        <v>8.0469284461678576</v>
      </c>
      <c r="M328" s="459">
        <f>M$296*Entrant_age_breakdowns!$K85*$H$31</f>
        <v>7.919056686281353</v>
      </c>
      <c r="N328" s="459">
        <f>N$296*Entrant_age_breakdowns!$K85*$H$31</f>
        <v>7.7781236418698878</v>
      </c>
      <c r="O328" s="327"/>
    </row>
    <row r="329" spans="1:15">
      <c r="B329" s="338" t="str">
        <f t="shared" si="146"/>
        <v>Total</v>
      </c>
      <c r="C329" s="459">
        <f>C$296*Entrant_age_breakdowns!$K86*$H$31</f>
        <v>2439.1028772412801</v>
      </c>
      <c r="D329" s="459">
        <f>D$296*Entrant_age_breakdowns!$K86*$H$31</f>
        <v>2233.6314923971354</v>
      </c>
      <c r="E329" s="459">
        <f>E$296*Entrant_age_breakdowns!$K86*$H$31</f>
        <v>2185.1558932299331</v>
      </c>
      <c r="F329" s="459">
        <f>F$296*Entrant_age_breakdowns!$K86*$H$31</f>
        <v>2215.1795910113833</v>
      </c>
      <c r="G329" s="459">
        <f>G$296*Entrant_age_breakdowns!$K86*$H$31</f>
        <v>2193.2288694629387</v>
      </c>
      <c r="H329" s="459">
        <f>H$296*Entrant_age_breakdowns!$K86*$H$31</f>
        <v>2137.6341722185621</v>
      </c>
      <c r="I329" s="459">
        <f>I$296*Entrant_age_breakdowns!$K86*$H$31</f>
        <v>2151.7770174438519</v>
      </c>
      <c r="J329" s="459">
        <f>J$296*Entrant_age_breakdowns!$K86*$H$31</f>
        <v>2126.6324492000203</v>
      </c>
      <c r="K329" s="459">
        <f>K$296*Entrant_age_breakdowns!$K86*$H$31</f>
        <v>2034.0857285806799</v>
      </c>
      <c r="L329" s="459">
        <f>L$296*Entrant_age_breakdowns!$K86*$H$31</f>
        <v>2011.1995586305604</v>
      </c>
      <c r="M329" s="459">
        <f>M$296*Entrant_age_breakdowns!$K86*$H$31</f>
        <v>1979.2400813262077</v>
      </c>
      <c r="N329" s="459">
        <f>N$296*Entrant_age_breakdowns!$K86*$H$31</f>
        <v>1944.0161472980899</v>
      </c>
      <c r="O329" s="327"/>
    </row>
    <row r="330" spans="1:15">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5">
      <c r="C331" s="329">
        <f>C296</f>
        <v>4533.0586834746464</v>
      </c>
      <c r="D331" s="329">
        <f t="shared" ref="D331:N331" si="149">D296</f>
        <v>4151.1912952787143</v>
      </c>
      <c r="E331" s="329">
        <f t="shared" si="149"/>
        <v>4061.0996727432757</v>
      </c>
      <c r="F331" s="329">
        <f t="shared" si="149"/>
        <v>4116.8985425687888</v>
      </c>
      <c r="G331" s="329">
        <f t="shared" si="149"/>
        <v>4076.1032526889899</v>
      </c>
      <c r="H331" s="329">
        <f t="shared" si="149"/>
        <v>3972.780827279938</v>
      </c>
      <c r="I331" s="329">
        <f t="shared" si="149"/>
        <v>3999.0652238733483</v>
      </c>
      <c r="J331" s="329">
        <f t="shared" si="149"/>
        <v>3952.3341882604354</v>
      </c>
      <c r="K331" s="329">
        <f t="shared" si="149"/>
        <v>3780.3366397170557</v>
      </c>
      <c r="L331" s="329">
        <f t="shared" si="149"/>
        <v>3737.8028243573672</v>
      </c>
      <c r="M331" s="329">
        <f t="shared" si="149"/>
        <v>3678.4063194105711</v>
      </c>
      <c r="N331" s="329">
        <f t="shared" si="149"/>
        <v>3612.9428403986103</v>
      </c>
    </row>
    <row r="332" spans="1:15">
      <c r="C332" s="329">
        <f>C313+C329</f>
        <v>4533.0586834746464</v>
      </c>
      <c r="D332" s="329">
        <f t="shared" ref="D332:N332" si="150">D313+D329</f>
        <v>4151.1912952787143</v>
      </c>
      <c r="E332" s="329">
        <f t="shared" si="150"/>
        <v>4061.0996727432757</v>
      </c>
      <c r="F332" s="329">
        <f t="shared" si="150"/>
        <v>4116.8985425687888</v>
      </c>
      <c r="G332" s="329">
        <f t="shared" si="150"/>
        <v>4076.1032526889899</v>
      </c>
      <c r="H332" s="329">
        <f t="shared" si="150"/>
        <v>3972.780827279938</v>
      </c>
      <c r="I332" s="329">
        <f t="shared" si="150"/>
        <v>3999.0652238733483</v>
      </c>
      <c r="J332" s="329">
        <f t="shared" si="150"/>
        <v>3952.3341882604354</v>
      </c>
      <c r="K332" s="329">
        <f t="shared" si="150"/>
        <v>3780.3366397170557</v>
      </c>
      <c r="L332" s="329">
        <f t="shared" si="150"/>
        <v>3737.8028243573672</v>
      </c>
      <c r="M332" s="329">
        <f t="shared" si="150"/>
        <v>3678.4063194105711</v>
      </c>
      <c r="N332" s="329">
        <f t="shared" si="150"/>
        <v>3612.9428403986103</v>
      </c>
    </row>
    <row r="333" spans="1:15">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5">
      <c r="C334" s="329"/>
      <c r="D334" s="329"/>
      <c r="E334" s="329"/>
      <c r="F334" s="329"/>
      <c r="G334" s="329"/>
      <c r="H334" s="342"/>
      <c r="I334" s="329"/>
      <c r="J334" s="329"/>
      <c r="K334" s="329"/>
      <c r="L334" s="329"/>
    </row>
    <row r="335" spans="1:15" ht="15.75">
      <c r="B335" s="340" t="s">
        <v>163</v>
      </c>
      <c r="C335" s="329"/>
      <c r="D335" s="329"/>
      <c r="E335" s="329"/>
      <c r="F335" s="329"/>
      <c r="G335" s="329"/>
      <c r="H335" s="342"/>
      <c r="I335" s="329"/>
      <c r="J335" s="329"/>
      <c r="K335" s="329"/>
      <c r="L335" s="329"/>
    </row>
    <row r="336" spans="1:15"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1033.0855136250216</v>
      </c>
      <c r="D340" s="459">
        <f t="shared" si="154"/>
        <v>1203.9598070687052</v>
      </c>
      <c r="E340" s="459">
        <f t="shared" si="154"/>
        <v>1310.5160505485178</v>
      </c>
      <c r="F340" s="459">
        <f t="shared" si="154"/>
        <v>1390.3115267251501</v>
      </c>
      <c r="G340" s="459">
        <f t="shared" si="154"/>
        <v>1440.2236311919935</v>
      </c>
      <c r="H340" s="459">
        <f t="shared" si="154"/>
        <v>1462.1695671447287</v>
      </c>
      <c r="I340" s="459">
        <f t="shared" si="154"/>
        <v>1480.3671444744903</v>
      </c>
      <c r="J340" s="459">
        <f t="shared" si="154"/>
        <v>1487.2884892647228</v>
      </c>
      <c r="K340" s="459">
        <f t="shared" si="154"/>
        <v>1471.5380056202969</v>
      </c>
      <c r="L340" s="459">
        <f t="shared" si="154"/>
        <v>1455.6563523296591</v>
      </c>
      <c r="M340" s="459">
        <f t="shared" si="154"/>
        <v>1437.6746792392946</v>
      </c>
      <c r="N340" s="459">
        <f t="shared" si="154"/>
        <v>1417.5283050883381</v>
      </c>
    </row>
    <row r="341" spans="1:14">
      <c r="B341" s="338" t="str">
        <f t="shared" si="153"/>
        <v>25-29</v>
      </c>
      <c r="C341" s="459">
        <f t="shared" ref="C341:N341" si="155">C304+C248</f>
        <v>2220.2921218507486</v>
      </c>
      <c r="D341" s="459">
        <f t="shared" si="155"/>
        <v>2285.5547198339646</v>
      </c>
      <c r="E341" s="459">
        <f t="shared" si="155"/>
        <v>2351.7344165010004</v>
      </c>
      <c r="F341" s="459">
        <f t="shared" si="155"/>
        <v>2425.0427816867918</v>
      </c>
      <c r="G341" s="459">
        <f t="shared" si="155"/>
        <v>2486.7600313857811</v>
      </c>
      <c r="H341" s="459">
        <f t="shared" si="155"/>
        <v>2527.1281645569711</v>
      </c>
      <c r="I341" s="459">
        <f t="shared" si="155"/>
        <v>2563.1862500735147</v>
      </c>
      <c r="J341" s="459">
        <f t="shared" si="155"/>
        <v>2586.489975428944</v>
      </c>
      <c r="K341" s="459">
        <f t="shared" si="155"/>
        <v>2583.2089294129382</v>
      </c>
      <c r="L341" s="459">
        <f t="shared" si="155"/>
        <v>2572.8002925431397</v>
      </c>
      <c r="M341" s="459">
        <f t="shared" si="155"/>
        <v>2555.1886215273153</v>
      </c>
      <c r="N341" s="459">
        <f t="shared" si="155"/>
        <v>2531.2981785947586</v>
      </c>
    </row>
    <row r="342" spans="1:14">
      <c r="B342" s="338" t="str">
        <f t="shared" si="153"/>
        <v>30-34</v>
      </c>
      <c r="C342" s="459">
        <f t="shared" ref="C342:N342" si="156">C305+C249</f>
        <v>2277.4777482222999</v>
      </c>
      <c r="D342" s="459">
        <f t="shared" si="156"/>
        <v>2353.5735663424648</v>
      </c>
      <c r="E342" s="459">
        <f t="shared" si="156"/>
        <v>2416.5605886681215</v>
      </c>
      <c r="F342" s="459">
        <f t="shared" si="156"/>
        <v>2478.9266288146791</v>
      </c>
      <c r="G342" s="459">
        <f t="shared" si="156"/>
        <v>2536.2435950090494</v>
      </c>
      <c r="H342" s="459">
        <f t="shared" si="156"/>
        <v>2583.8445317494461</v>
      </c>
      <c r="I342" s="459">
        <f t="shared" si="156"/>
        <v>2628.2169287428651</v>
      </c>
      <c r="J342" s="459">
        <f t="shared" si="156"/>
        <v>2664.9303085543397</v>
      </c>
      <c r="K342" s="459">
        <f t="shared" si="156"/>
        <v>2685.9390086651165</v>
      </c>
      <c r="L342" s="459">
        <f t="shared" si="156"/>
        <v>2698.3011762415899</v>
      </c>
      <c r="M342" s="459">
        <f t="shared" si="156"/>
        <v>2701.9016984537298</v>
      </c>
      <c r="N342" s="459">
        <f t="shared" si="156"/>
        <v>2697.3017684326451</v>
      </c>
    </row>
    <row r="343" spans="1:14">
      <c r="B343" s="338" t="str">
        <f t="shared" si="153"/>
        <v>35-39</v>
      </c>
      <c r="C343" s="459">
        <f t="shared" ref="C343:N343" si="157">C306+C250</f>
        <v>2053.9980909257229</v>
      </c>
      <c r="D343" s="459">
        <f t="shared" si="157"/>
        <v>2125.1021037970172</v>
      </c>
      <c r="E343" s="459">
        <f t="shared" si="157"/>
        <v>2187.9384001789326</v>
      </c>
      <c r="F343" s="459">
        <f t="shared" si="157"/>
        <v>2248.5990882878073</v>
      </c>
      <c r="G343" s="459">
        <f t="shared" si="157"/>
        <v>2303.3100656227589</v>
      </c>
      <c r="H343" s="459">
        <f t="shared" si="157"/>
        <v>2349.9442673586714</v>
      </c>
      <c r="I343" s="459">
        <f t="shared" si="157"/>
        <v>2394.4608696237196</v>
      </c>
      <c r="J343" s="459">
        <f t="shared" si="157"/>
        <v>2433.6185525809005</v>
      </c>
      <c r="K343" s="459">
        <f t="shared" si="157"/>
        <v>2461.9109741484954</v>
      </c>
      <c r="L343" s="459">
        <f t="shared" si="157"/>
        <v>2484.9043505457967</v>
      </c>
      <c r="M343" s="459">
        <f t="shared" si="157"/>
        <v>2501.6330053366678</v>
      </c>
      <c r="N343" s="459">
        <f t="shared" si="157"/>
        <v>2511.8321141382166</v>
      </c>
    </row>
    <row r="344" spans="1:14">
      <c r="B344" s="338" t="str">
        <f t="shared" si="153"/>
        <v>40-44</v>
      </c>
      <c r="C344" s="459">
        <f t="shared" ref="C344:N344" si="158">C307+C251</f>
        <v>2062.1463608636031</v>
      </c>
      <c r="D344" s="459">
        <f t="shared" si="158"/>
        <v>2068.7348619364157</v>
      </c>
      <c r="E344" s="459">
        <f t="shared" si="158"/>
        <v>2083.3907832952409</v>
      </c>
      <c r="F344" s="459">
        <f t="shared" si="158"/>
        <v>2108.0402006323143</v>
      </c>
      <c r="G344" s="459">
        <f t="shared" si="158"/>
        <v>2136.032081488022</v>
      </c>
      <c r="H344" s="459">
        <f t="shared" si="158"/>
        <v>2163.0254127715293</v>
      </c>
      <c r="I344" s="459">
        <f t="shared" si="158"/>
        <v>2192.7024500134862</v>
      </c>
      <c r="J344" s="459">
        <f t="shared" si="158"/>
        <v>2221.2046165437559</v>
      </c>
      <c r="K344" s="459">
        <f t="shared" si="158"/>
        <v>2243.0830777726001</v>
      </c>
      <c r="L344" s="459">
        <f t="shared" si="158"/>
        <v>2262.9488450502931</v>
      </c>
      <c r="M344" s="459">
        <f t="shared" si="158"/>
        <v>2279.6978200860249</v>
      </c>
      <c r="N344" s="459">
        <f t="shared" si="158"/>
        <v>2292.7417124302119</v>
      </c>
    </row>
    <row r="345" spans="1:14">
      <c r="B345" s="338" t="str">
        <f t="shared" si="153"/>
        <v>45-49</v>
      </c>
      <c r="C345" s="459">
        <f t="shared" ref="C345:N345" si="159">C308+C252</f>
        <v>1871.5029196856403</v>
      </c>
      <c r="D345" s="459">
        <f t="shared" si="159"/>
        <v>1868.0258996630869</v>
      </c>
      <c r="E345" s="459">
        <f t="shared" si="159"/>
        <v>1863.9670905100918</v>
      </c>
      <c r="F345" s="459">
        <f t="shared" si="159"/>
        <v>1865.3653531868856</v>
      </c>
      <c r="G345" s="459">
        <f t="shared" si="159"/>
        <v>1869.6516496716777</v>
      </c>
      <c r="H345" s="459">
        <f t="shared" si="159"/>
        <v>1874.7663917208642</v>
      </c>
      <c r="I345" s="459">
        <f t="shared" si="159"/>
        <v>1884.2209652133124</v>
      </c>
      <c r="J345" s="459">
        <f t="shared" si="159"/>
        <v>1895.1265806703836</v>
      </c>
      <c r="K345" s="459">
        <f t="shared" si="159"/>
        <v>1903.0909390953109</v>
      </c>
      <c r="L345" s="459">
        <f t="shared" si="159"/>
        <v>1911.6122880270984</v>
      </c>
      <c r="M345" s="459">
        <f t="shared" si="159"/>
        <v>1919.6632580662997</v>
      </c>
      <c r="N345" s="459">
        <f t="shared" si="159"/>
        <v>1926.6186556686675</v>
      </c>
    </row>
    <row r="346" spans="1:14">
      <c r="B346" s="338" t="str">
        <f t="shared" si="153"/>
        <v>50-54</v>
      </c>
      <c r="C346" s="459">
        <f t="shared" ref="C346:N346" si="160">C309+C253</f>
        <v>1547.1717700658687</v>
      </c>
      <c r="D346" s="459">
        <f t="shared" si="160"/>
        <v>1525.877774924568</v>
      </c>
      <c r="E346" s="459">
        <f t="shared" si="160"/>
        <v>1508.1124140907107</v>
      </c>
      <c r="F346" s="459">
        <f t="shared" si="160"/>
        <v>1495.980507094941</v>
      </c>
      <c r="G346" s="459">
        <f t="shared" si="160"/>
        <v>1486.6931119693572</v>
      </c>
      <c r="H346" s="459">
        <f t="shared" si="160"/>
        <v>1478.5614963945177</v>
      </c>
      <c r="I346" s="459">
        <f t="shared" si="160"/>
        <v>1474.2654702125581</v>
      </c>
      <c r="J346" s="459">
        <f t="shared" si="160"/>
        <v>1471.8569762657698</v>
      </c>
      <c r="K346" s="459">
        <f t="shared" si="160"/>
        <v>1468.2803336509628</v>
      </c>
      <c r="L346" s="459">
        <f t="shared" si="160"/>
        <v>1466.2114771654883</v>
      </c>
      <c r="M346" s="459">
        <f t="shared" si="160"/>
        <v>1464.9419651502067</v>
      </c>
      <c r="N346" s="459">
        <f t="shared" si="160"/>
        <v>1464.0235074282684</v>
      </c>
    </row>
    <row r="347" spans="1:14">
      <c r="B347" s="338" t="str">
        <f t="shared" si="153"/>
        <v>55-59</v>
      </c>
      <c r="C347" s="459">
        <f t="shared" ref="C347:N347" si="161">C310+C254</f>
        <v>888.35530430101699</v>
      </c>
      <c r="D347" s="459">
        <f t="shared" si="161"/>
        <v>820.64372459096319</v>
      </c>
      <c r="E347" s="459">
        <f t="shared" si="161"/>
        <v>775.86364329095431</v>
      </c>
      <c r="F347" s="459">
        <f t="shared" si="161"/>
        <v>747.43837603325096</v>
      </c>
      <c r="G347" s="459">
        <f t="shared" si="161"/>
        <v>728.12038640908111</v>
      </c>
      <c r="H347" s="459">
        <f t="shared" si="161"/>
        <v>713.69882523380193</v>
      </c>
      <c r="I347" s="459">
        <f t="shared" si="161"/>
        <v>704.31127846428717</v>
      </c>
      <c r="J347" s="459">
        <f t="shared" si="161"/>
        <v>697.38778330510502</v>
      </c>
      <c r="K347" s="459">
        <f t="shared" si="161"/>
        <v>690.32423445762322</v>
      </c>
      <c r="L347" s="459">
        <f t="shared" si="161"/>
        <v>684.95261226757191</v>
      </c>
      <c r="M347" s="459">
        <f t="shared" si="161"/>
        <v>680.55722868467967</v>
      </c>
      <c r="N347" s="459">
        <f t="shared" si="161"/>
        <v>676.76976826303371</v>
      </c>
    </row>
    <row r="348" spans="1:14">
      <c r="B348" s="338" t="str">
        <f t="shared" si="153"/>
        <v>60-64</v>
      </c>
      <c r="C348" s="459">
        <f t="shared" ref="C348:N348" si="162">C311+C255</f>
        <v>339.45378058453662</v>
      </c>
      <c r="D348" s="459">
        <f t="shared" si="162"/>
        <v>302.11599162083178</v>
      </c>
      <c r="E348" s="459">
        <f t="shared" si="162"/>
        <v>275.21272892855723</v>
      </c>
      <c r="F348" s="459">
        <f t="shared" si="162"/>
        <v>257.20204901943009</v>
      </c>
      <c r="G348" s="459">
        <f t="shared" si="162"/>
        <v>244.75647227263661</v>
      </c>
      <c r="H348" s="459">
        <f t="shared" si="162"/>
        <v>235.64197644973993</v>
      </c>
      <c r="I348" s="459">
        <f t="shared" si="162"/>
        <v>229.68515355531508</v>
      </c>
      <c r="J348" s="459">
        <f t="shared" si="162"/>
        <v>225.32565372278225</v>
      </c>
      <c r="K348" s="459">
        <f t="shared" si="162"/>
        <v>221.11328513114623</v>
      </c>
      <c r="L348" s="459">
        <f t="shared" si="162"/>
        <v>217.90915378542155</v>
      </c>
      <c r="M348" s="459">
        <f t="shared" si="162"/>
        <v>215.27280534252492</v>
      </c>
      <c r="N348" s="459">
        <f t="shared" si="162"/>
        <v>212.98430360971165</v>
      </c>
    </row>
    <row r="349" spans="1:14">
      <c r="B349" s="338" t="str">
        <f t="shared" si="153"/>
        <v>65 plus</v>
      </c>
      <c r="C349" s="459">
        <f t="shared" ref="C349:N349" si="163">C312+C256</f>
        <v>94.049659051130917</v>
      </c>
      <c r="D349" s="459">
        <f t="shared" si="163"/>
        <v>95.408653463456943</v>
      </c>
      <c r="E349" s="459">
        <f t="shared" si="163"/>
        <v>91.932636314734864</v>
      </c>
      <c r="F349" s="459">
        <f t="shared" si="163"/>
        <v>87.237381114473536</v>
      </c>
      <c r="G349" s="459">
        <f t="shared" si="163"/>
        <v>82.666606654764877</v>
      </c>
      <c r="H349" s="459">
        <f t="shared" si="163"/>
        <v>78.650724788705276</v>
      </c>
      <c r="I349" s="459">
        <f t="shared" si="163"/>
        <v>75.535958067314937</v>
      </c>
      <c r="J349" s="459">
        <f t="shared" si="163"/>
        <v>73.116605405499811</v>
      </c>
      <c r="K349" s="459">
        <f t="shared" si="163"/>
        <v>71.015576891894668</v>
      </c>
      <c r="L349" s="459">
        <f t="shared" si="163"/>
        <v>69.34222931527222</v>
      </c>
      <c r="M349" s="459">
        <f t="shared" si="163"/>
        <v>67.978674678096141</v>
      </c>
      <c r="N349" s="459">
        <f t="shared" si="163"/>
        <v>66.8332701037303</v>
      </c>
    </row>
    <row r="350" spans="1:14">
      <c r="B350" s="338" t="str">
        <f t="shared" si="153"/>
        <v>Total</v>
      </c>
      <c r="C350" s="459">
        <f t="shared" ref="C350:N350" si="164">SUM(C340:C349)</f>
        <v>14387.533269175588</v>
      </c>
      <c r="D350" s="459">
        <f t="shared" si="164"/>
        <v>14648.997103241474</v>
      </c>
      <c r="E350" s="459">
        <f t="shared" si="164"/>
        <v>14865.228752326862</v>
      </c>
      <c r="F350" s="459">
        <f t="shared" si="164"/>
        <v>15104.143892595725</v>
      </c>
      <c r="G350" s="459">
        <f t="shared" si="164"/>
        <v>15314.457631675121</v>
      </c>
      <c r="H350" s="459">
        <f t="shared" si="164"/>
        <v>15467.431358168975</v>
      </c>
      <c r="I350" s="459">
        <f t="shared" si="164"/>
        <v>15626.952468440863</v>
      </c>
      <c r="J350" s="459">
        <f t="shared" si="164"/>
        <v>15756.345541742205</v>
      </c>
      <c r="K350" s="459">
        <f t="shared" si="164"/>
        <v>15799.504364846385</v>
      </c>
      <c r="L350" s="459">
        <f t="shared" si="164"/>
        <v>15824.638777271331</v>
      </c>
      <c r="M350" s="459">
        <f t="shared" si="164"/>
        <v>15824.509756564839</v>
      </c>
      <c r="N350" s="459">
        <f t="shared" si="164"/>
        <v>15797.931583757583</v>
      </c>
    </row>
    <row r="351" spans="1:14">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4">
      <c r="B356" s="338" t="str">
        <f t="shared" si="166"/>
        <v>20-24</v>
      </c>
      <c r="C356" s="459">
        <f t="shared" ref="C356:N356" si="168">C319+C263</f>
        <v>1566.0609631591024</v>
      </c>
      <c r="D356" s="459">
        <f t="shared" si="168"/>
        <v>1674.0898731716597</v>
      </c>
      <c r="E356" s="459">
        <f t="shared" si="168"/>
        <v>1737.3034261435489</v>
      </c>
      <c r="F356" s="459">
        <f t="shared" si="168"/>
        <v>1789.359946985905</v>
      </c>
      <c r="G356" s="459">
        <f t="shared" si="168"/>
        <v>1820.1844806093277</v>
      </c>
      <c r="H356" s="459">
        <f t="shared" si="168"/>
        <v>1827.4450506252756</v>
      </c>
      <c r="I356" s="459">
        <f t="shared" si="168"/>
        <v>1836.1837389778361</v>
      </c>
      <c r="J356" s="459">
        <f t="shared" si="168"/>
        <v>1835.8207435411864</v>
      </c>
      <c r="K356" s="459">
        <f t="shared" si="168"/>
        <v>1811.6854582689334</v>
      </c>
      <c r="L356" s="459">
        <f t="shared" si="168"/>
        <v>1788.8623992218513</v>
      </c>
      <c r="M356" s="459">
        <f t="shared" si="168"/>
        <v>1764.6178525612286</v>
      </c>
      <c r="N356" s="459">
        <f t="shared" si="168"/>
        <v>1738.5345587418003</v>
      </c>
    </row>
    <row r="357" spans="1:14">
      <c r="B357" s="338" t="str">
        <f t="shared" si="166"/>
        <v>25-29</v>
      </c>
      <c r="C357" s="459">
        <f t="shared" ref="C357:N357" si="169">C320+C264</f>
        <v>2946.1347071903938</v>
      </c>
      <c r="D357" s="459">
        <f t="shared" si="169"/>
        <v>2987.7883757573172</v>
      </c>
      <c r="E357" s="459">
        <f t="shared" si="169"/>
        <v>3024.0586221024682</v>
      </c>
      <c r="F357" s="459">
        <f t="shared" si="169"/>
        <v>3069.3863595559787</v>
      </c>
      <c r="G357" s="459">
        <f t="shared" si="169"/>
        <v>3105.338825028879</v>
      </c>
      <c r="H357" s="459">
        <f t="shared" si="169"/>
        <v>3121.7924183734222</v>
      </c>
      <c r="I357" s="459">
        <f t="shared" si="169"/>
        <v>3138.6576453312837</v>
      </c>
      <c r="J357" s="459">
        <f t="shared" si="169"/>
        <v>3145.6004454670524</v>
      </c>
      <c r="K357" s="459">
        <f t="shared" si="169"/>
        <v>3125.8185054191044</v>
      </c>
      <c r="L357" s="459">
        <f t="shared" si="169"/>
        <v>3101.212112548511</v>
      </c>
      <c r="M357" s="459">
        <f t="shared" si="169"/>
        <v>3070.9626618664879</v>
      </c>
      <c r="N357" s="459">
        <f t="shared" si="169"/>
        <v>3035.5436142607423</v>
      </c>
    </row>
    <row r="358" spans="1:14">
      <c r="B358" s="338" t="str">
        <f t="shared" si="166"/>
        <v>30-34</v>
      </c>
      <c r="C358" s="459">
        <f t="shared" ref="C358:N358" si="170">C321+C265</f>
        <v>2496.3378421325501</v>
      </c>
      <c r="D358" s="459">
        <f t="shared" si="170"/>
        <v>2640.8481145747241</v>
      </c>
      <c r="E358" s="459">
        <f t="shared" si="170"/>
        <v>2746.8036811289653</v>
      </c>
      <c r="F358" s="459">
        <f t="shared" si="170"/>
        <v>2834.2138840599232</v>
      </c>
      <c r="G358" s="459">
        <f t="shared" si="170"/>
        <v>2902.9305425340017</v>
      </c>
      <c r="H358" s="459">
        <f t="shared" si="170"/>
        <v>2951.9313843071122</v>
      </c>
      <c r="I358" s="459">
        <f t="shared" si="170"/>
        <v>2992.3317279033649</v>
      </c>
      <c r="J358" s="459">
        <f t="shared" si="170"/>
        <v>3021.364692290078</v>
      </c>
      <c r="K358" s="459">
        <f t="shared" si="170"/>
        <v>3031.4255559081043</v>
      </c>
      <c r="L358" s="459">
        <f t="shared" si="170"/>
        <v>3032.1048426489601</v>
      </c>
      <c r="M358" s="459">
        <f t="shared" si="170"/>
        <v>3023.9024607045276</v>
      </c>
      <c r="N358" s="459">
        <f t="shared" si="170"/>
        <v>3007.8019486861072</v>
      </c>
    </row>
    <row r="359" spans="1:14">
      <c r="B359" s="338" t="str">
        <f t="shared" si="166"/>
        <v>35-39</v>
      </c>
      <c r="C359" s="459">
        <f t="shared" ref="C359:N359" si="171">C322+C266</f>
        <v>2245.0040952003942</v>
      </c>
      <c r="D359" s="459">
        <f t="shared" si="171"/>
        <v>2326.1316675412013</v>
      </c>
      <c r="E359" s="459">
        <f t="shared" si="171"/>
        <v>2407.9700871948648</v>
      </c>
      <c r="F359" s="459">
        <f t="shared" si="171"/>
        <v>2490.6571668600841</v>
      </c>
      <c r="G359" s="459">
        <f t="shared" si="171"/>
        <v>2565.633579180821</v>
      </c>
      <c r="H359" s="459">
        <f t="shared" si="171"/>
        <v>2628.2979208492034</v>
      </c>
      <c r="I359" s="459">
        <f t="shared" si="171"/>
        <v>2684.8542404255049</v>
      </c>
      <c r="J359" s="459">
        <f t="shared" si="171"/>
        <v>2731.6055088536</v>
      </c>
      <c r="K359" s="459">
        <f t="shared" si="171"/>
        <v>2762.6561017851445</v>
      </c>
      <c r="L359" s="459">
        <f t="shared" si="171"/>
        <v>2785.230765311896</v>
      </c>
      <c r="M359" s="459">
        <f t="shared" si="171"/>
        <v>2798.9705763348229</v>
      </c>
      <c r="N359" s="459">
        <f t="shared" si="171"/>
        <v>2804.252847326336</v>
      </c>
    </row>
    <row r="360" spans="1:14">
      <c r="B360" s="338" t="str">
        <f t="shared" si="166"/>
        <v>40-44</v>
      </c>
      <c r="C360" s="459">
        <f t="shared" ref="C360:N360" si="172">C323+C267</f>
        <v>2169.6085412027378</v>
      </c>
      <c r="D360" s="459">
        <f t="shared" si="172"/>
        <v>2197.5165103444087</v>
      </c>
      <c r="E360" s="459">
        <f t="shared" si="172"/>
        <v>2229.0678708230835</v>
      </c>
      <c r="F360" s="459">
        <f t="shared" si="172"/>
        <v>2269.8917380979929</v>
      </c>
      <c r="G360" s="459">
        <f t="shared" si="172"/>
        <v>2313.4363821793654</v>
      </c>
      <c r="H360" s="459">
        <f t="shared" si="172"/>
        <v>2354.7995008095495</v>
      </c>
      <c r="I360" s="459">
        <f t="shared" si="172"/>
        <v>2398.0182214019537</v>
      </c>
      <c r="J360" s="459">
        <f t="shared" si="172"/>
        <v>2438.2488284779229</v>
      </c>
      <c r="K360" s="459">
        <f t="shared" si="172"/>
        <v>2468.9260141741852</v>
      </c>
      <c r="L360" s="459">
        <f t="shared" si="172"/>
        <v>2495.3913883113223</v>
      </c>
      <c r="M360" s="459">
        <f t="shared" si="172"/>
        <v>2516.4421006946641</v>
      </c>
      <c r="N360" s="459">
        <f t="shared" si="172"/>
        <v>2531.6025826734608</v>
      </c>
    </row>
    <row r="361" spans="1:14">
      <c r="B361" s="338" t="str">
        <f t="shared" si="166"/>
        <v>45-49</v>
      </c>
      <c r="C361" s="459">
        <f t="shared" ref="C361:N361" si="173">C324+C268</f>
        <v>2103.3734140169931</v>
      </c>
      <c r="D361" s="459">
        <f t="shared" si="173"/>
        <v>2079.3586719291156</v>
      </c>
      <c r="E361" s="459">
        <f t="shared" si="173"/>
        <v>2063.7377621603659</v>
      </c>
      <c r="F361" s="459">
        <f t="shared" si="173"/>
        <v>2060.0518528742386</v>
      </c>
      <c r="G361" s="459">
        <f t="shared" si="173"/>
        <v>2063.3796622947384</v>
      </c>
      <c r="H361" s="459">
        <f t="shared" si="173"/>
        <v>2070.1278922331962</v>
      </c>
      <c r="I361" s="459">
        <f t="shared" si="173"/>
        <v>2083.5398357719432</v>
      </c>
      <c r="J361" s="459">
        <f t="shared" si="173"/>
        <v>2099.5891628467616</v>
      </c>
      <c r="K361" s="459">
        <f t="shared" si="173"/>
        <v>2112.6095521972361</v>
      </c>
      <c r="L361" s="459">
        <f t="shared" si="173"/>
        <v>2126.2295917849801</v>
      </c>
      <c r="M361" s="459">
        <f t="shared" si="173"/>
        <v>2138.924738997463</v>
      </c>
      <c r="N361" s="459">
        <f t="shared" si="173"/>
        <v>2149.7413977508718</v>
      </c>
    </row>
    <row r="362" spans="1:14">
      <c r="B362" s="338" t="str">
        <f t="shared" si="166"/>
        <v>50-54</v>
      </c>
      <c r="C362" s="459">
        <f t="shared" ref="C362:N362" si="174">C325+C269</f>
        <v>1771.2290338161172</v>
      </c>
      <c r="D362" s="459">
        <f t="shared" si="174"/>
        <v>1752.4969388445863</v>
      </c>
      <c r="E362" s="459">
        <f t="shared" si="174"/>
        <v>1732.4563609042382</v>
      </c>
      <c r="F362" s="459">
        <f t="shared" si="174"/>
        <v>1716.7390599556493</v>
      </c>
      <c r="G362" s="459">
        <f t="shared" si="174"/>
        <v>1703.7686479697102</v>
      </c>
      <c r="H362" s="459">
        <f t="shared" si="174"/>
        <v>1692.4118281627116</v>
      </c>
      <c r="I362" s="459">
        <f t="shared" si="174"/>
        <v>1686.1615146671527</v>
      </c>
      <c r="J362" s="459">
        <f t="shared" si="174"/>
        <v>1682.8823777791238</v>
      </c>
      <c r="K362" s="459">
        <f t="shared" si="174"/>
        <v>1678.9778976664065</v>
      </c>
      <c r="L362" s="459">
        <f t="shared" si="174"/>
        <v>1677.4172490097765</v>
      </c>
      <c r="M362" s="459">
        <f t="shared" si="174"/>
        <v>1677.208785406403</v>
      </c>
      <c r="N362" s="459">
        <f t="shared" si="174"/>
        <v>1677.6471078868406</v>
      </c>
    </row>
    <row r="363" spans="1:14">
      <c r="B363" s="338" t="str">
        <f t="shared" si="166"/>
        <v>55-59</v>
      </c>
      <c r="C363" s="459">
        <f t="shared" ref="C363:N363" si="175">C326+C270</f>
        <v>1046.2774885615302</v>
      </c>
      <c r="D363" s="459">
        <f t="shared" si="175"/>
        <v>975.05276494669886</v>
      </c>
      <c r="E363" s="459">
        <f t="shared" si="175"/>
        <v>927.47913759139362</v>
      </c>
      <c r="F363" s="459">
        <f t="shared" si="175"/>
        <v>896.59603578757617</v>
      </c>
      <c r="G363" s="459">
        <f t="shared" si="175"/>
        <v>874.78721372104485</v>
      </c>
      <c r="H363" s="459">
        <f t="shared" si="175"/>
        <v>857.79639589988381</v>
      </c>
      <c r="I363" s="459">
        <f t="shared" si="175"/>
        <v>846.24189087581567</v>
      </c>
      <c r="J363" s="459">
        <f t="shared" si="175"/>
        <v>837.47460651022379</v>
      </c>
      <c r="K363" s="459">
        <f t="shared" si="175"/>
        <v>828.64976198631678</v>
      </c>
      <c r="L363" s="459">
        <f t="shared" si="175"/>
        <v>821.96537181043277</v>
      </c>
      <c r="M363" s="459">
        <f t="shared" si="175"/>
        <v>816.63729037613723</v>
      </c>
      <c r="N363" s="459">
        <f t="shared" si="175"/>
        <v>812.22947028366355</v>
      </c>
    </row>
    <row r="364" spans="1:14">
      <c r="B364" s="338" t="str">
        <f t="shared" si="166"/>
        <v>60-64</v>
      </c>
      <c r="C364" s="459">
        <f t="shared" ref="C364:N364" si="176">C327+C271</f>
        <v>325.39207407681067</v>
      </c>
      <c r="D364" s="459">
        <f t="shared" si="176"/>
        <v>306.21946086200927</v>
      </c>
      <c r="E364" s="459">
        <f t="shared" si="176"/>
        <v>288.39906310727326</v>
      </c>
      <c r="F364" s="459">
        <f t="shared" si="176"/>
        <v>275.18007557393719</v>
      </c>
      <c r="G364" s="459">
        <f t="shared" si="176"/>
        <v>265.17675274485487</v>
      </c>
      <c r="H364" s="459">
        <f t="shared" si="176"/>
        <v>257.16492719167559</v>
      </c>
      <c r="I364" s="459">
        <f t="shared" si="176"/>
        <v>251.73894889951131</v>
      </c>
      <c r="J364" s="459">
        <f t="shared" si="176"/>
        <v>247.50482410901242</v>
      </c>
      <c r="K364" s="459">
        <f t="shared" si="176"/>
        <v>243.06611489588363</v>
      </c>
      <c r="L364" s="459">
        <f t="shared" si="176"/>
        <v>239.63773561843979</v>
      </c>
      <c r="M364" s="459">
        <f t="shared" si="176"/>
        <v>236.77705568870584</v>
      </c>
      <c r="N364" s="459">
        <f t="shared" si="176"/>
        <v>234.28231917884827</v>
      </c>
    </row>
    <row r="365" spans="1:14">
      <c r="B365" s="338" t="str">
        <f t="shared" si="166"/>
        <v>65 plus</v>
      </c>
      <c r="C365" s="459">
        <f t="shared" ref="C365:N365" si="177">C328+C272</f>
        <v>71.158728785254283</v>
      </c>
      <c r="D365" s="459">
        <f t="shared" si="177"/>
        <v>77.03190714929903</v>
      </c>
      <c r="E365" s="459">
        <f t="shared" si="177"/>
        <v>77.856928770142176</v>
      </c>
      <c r="F365" s="459">
        <f t="shared" si="177"/>
        <v>76.60800000026785</v>
      </c>
      <c r="G365" s="459">
        <f t="shared" si="177"/>
        <v>74.574483807798046</v>
      </c>
      <c r="H365" s="459">
        <f t="shared" si="177"/>
        <v>72.335653295368544</v>
      </c>
      <c r="I365" s="459">
        <f t="shared" si="177"/>
        <v>70.472306016086293</v>
      </c>
      <c r="J365" s="459">
        <f t="shared" si="177"/>
        <v>68.897939467007888</v>
      </c>
      <c r="K365" s="459">
        <f t="shared" si="177"/>
        <v>67.317477450015261</v>
      </c>
      <c r="L365" s="459">
        <f t="shared" si="177"/>
        <v>65.992233370960008</v>
      </c>
      <c r="M365" s="459">
        <f t="shared" si="177"/>
        <v>64.859249346978572</v>
      </c>
      <c r="N365" s="459">
        <f t="shared" si="177"/>
        <v>63.866051125673756</v>
      </c>
    </row>
    <row r="366" spans="1:14">
      <c r="B366" s="338" t="str">
        <f t="shared" si="166"/>
        <v>Total</v>
      </c>
      <c r="C366" s="459">
        <f t="shared" ref="C366:N366" si="178">SUM(C356:C365)</f>
        <v>16740.576888141881</v>
      </c>
      <c r="D366" s="459">
        <f t="shared" si="178"/>
        <v>17016.534285121023</v>
      </c>
      <c r="E366" s="459">
        <f t="shared" si="178"/>
        <v>17235.132939926345</v>
      </c>
      <c r="F366" s="459">
        <f t="shared" si="178"/>
        <v>17478.684119751557</v>
      </c>
      <c r="G366" s="459">
        <f t="shared" si="178"/>
        <v>17689.21057007054</v>
      </c>
      <c r="H366" s="459">
        <f t="shared" si="178"/>
        <v>17834.102971747401</v>
      </c>
      <c r="I366" s="459">
        <f t="shared" si="178"/>
        <v>17988.200070270454</v>
      </c>
      <c r="J366" s="459">
        <f t="shared" si="178"/>
        <v>18108.989129341968</v>
      </c>
      <c r="K366" s="459">
        <f t="shared" si="178"/>
        <v>18131.132439751331</v>
      </c>
      <c r="L366" s="459">
        <f t="shared" si="178"/>
        <v>18134.043689637128</v>
      </c>
      <c r="M366" s="459">
        <f t="shared" si="178"/>
        <v>18109.302771977418</v>
      </c>
      <c r="N366" s="459">
        <f t="shared" si="178"/>
        <v>18055.501897914342</v>
      </c>
    </row>
    <row r="367" spans="1:14">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4">
      <c r="C368" s="329">
        <f>C350+C366</f>
        <v>31128.110157317467</v>
      </c>
      <c r="D368" s="329">
        <f t="shared" ref="D368:N368" si="180">D350+D366</f>
        <v>31665.531388362499</v>
      </c>
      <c r="E368" s="329">
        <f t="shared" si="180"/>
        <v>32100.361692253209</v>
      </c>
      <c r="F368" s="329">
        <f t="shared" si="180"/>
        <v>32582.82801234728</v>
      </c>
      <c r="G368" s="329">
        <f t="shared" si="180"/>
        <v>33003.668201745662</v>
      </c>
      <c r="H368" s="329">
        <f t="shared" si="180"/>
        <v>33301.53432991638</v>
      </c>
      <c r="I368" s="329">
        <f t="shared" si="180"/>
        <v>33615.152538711314</v>
      </c>
      <c r="J368" s="329">
        <f t="shared" si="180"/>
        <v>33865.334671084172</v>
      </c>
      <c r="K368" s="329">
        <f t="shared" si="180"/>
        <v>33930.636804597714</v>
      </c>
      <c r="L368" s="329">
        <f t="shared" si="180"/>
        <v>33958.68246690846</v>
      </c>
      <c r="M368" s="329">
        <f t="shared" si="180"/>
        <v>33933.812528542257</v>
      </c>
      <c r="N368" s="329">
        <f t="shared" si="180"/>
        <v>33853.433481671927</v>
      </c>
    </row>
    <row r="369" spans="1:14">
      <c r="C369" s="329">
        <f t="shared" ref="C369:N369" si="181">C36</f>
        <v>31128.110157317467</v>
      </c>
      <c r="D369" s="329">
        <f t="shared" si="181"/>
        <v>31665.531388362488</v>
      </c>
      <c r="E369" s="329">
        <f t="shared" si="181"/>
        <v>32100.361692253198</v>
      </c>
      <c r="F369" s="329">
        <f t="shared" si="181"/>
        <v>32582.828012347269</v>
      </c>
      <c r="G369" s="329">
        <f t="shared" si="181"/>
        <v>33003.668201745655</v>
      </c>
      <c r="H369" s="329">
        <f t="shared" si="181"/>
        <v>33301.534329916365</v>
      </c>
      <c r="I369" s="329">
        <f t="shared" si="181"/>
        <v>33615.152538711307</v>
      </c>
      <c r="J369" s="329">
        <f t="shared" si="181"/>
        <v>33865.334671084165</v>
      </c>
      <c r="K369" s="329">
        <f t="shared" si="181"/>
        <v>33930.636804597707</v>
      </c>
      <c r="L369" s="329">
        <f t="shared" si="181"/>
        <v>33958.682466908453</v>
      </c>
      <c r="M369" s="329">
        <f t="shared" si="181"/>
        <v>33933.81252854225</v>
      </c>
      <c r="N369" s="329">
        <f t="shared" si="181"/>
        <v>33853.43348167192</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02060"/>
  </sheetPr>
  <dimension ref="A1:Q35"/>
  <sheetViews>
    <sheetView showGridLines="0" workbookViewId="0"/>
  </sheetViews>
  <sheetFormatPr defaultRowHeight="12.75"/>
  <cols>
    <col min="1" max="1" width="11.7109375" customWidth="1"/>
    <col min="2" max="2" width="25.7109375" customWidth="1"/>
    <col min="3" max="3" width="115.5703125" customWidth="1"/>
  </cols>
  <sheetData>
    <row r="1" spans="1:17" s="99" customFormat="1" ht="15.75">
      <c r="A1" s="98" t="str">
        <f>ModelBanner</f>
        <v>TSM_201718 for publication</v>
      </c>
      <c r="C1" s="98"/>
    </row>
    <row r="2" spans="1:17" s="100" customFormat="1" ht="15">
      <c r="A2" s="1003" t="s">
        <v>13</v>
      </c>
      <c r="B2" s="1003" t="s">
        <v>30</v>
      </c>
      <c r="C2" s="67"/>
    </row>
    <row r="3" spans="1:17" s="100" customFormat="1" ht="15">
      <c r="A3" s="67"/>
      <c r="C3" s="67"/>
    </row>
    <row r="4" spans="1:17" s="101" customFormat="1">
      <c r="A4" s="101" t="s">
        <v>26</v>
      </c>
      <c r="C4" s="102"/>
      <c r="D4" s="102"/>
    </row>
    <row r="5" spans="1:17" s="106" customFormat="1" ht="15">
      <c r="A5" s="103"/>
      <c r="B5" s="231" t="s">
        <v>393</v>
      </c>
      <c r="C5" s="104"/>
      <c r="D5" s="105"/>
      <c r="E5" s="64"/>
      <c r="F5" s="64"/>
      <c r="G5" s="64"/>
      <c r="H5" s="64"/>
      <c r="I5" s="64"/>
      <c r="J5" s="64"/>
      <c r="K5" s="64"/>
      <c r="L5" s="64"/>
      <c r="M5" s="64"/>
      <c r="N5" s="64"/>
      <c r="O5" s="64"/>
      <c r="P5" s="64"/>
      <c r="Q5" s="64"/>
    </row>
    <row r="7" spans="1:17">
      <c r="B7" s="5" t="s">
        <v>35</v>
      </c>
    </row>
    <row r="8" spans="1:17">
      <c r="B8" s="12"/>
    </row>
    <row r="9" spans="1:17">
      <c r="B9" s="12" t="s">
        <v>1468</v>
      </c>
    </row>
    <row r="10" spans="1:17">
      <c r="B10" s="12"/>
    </row>
    <row r="11" spans="1:17">
      <c r="B11" s="12" t="s">
        <v>615</v>
      </c>
    </row>
    <row r="12" spans="1:17">
      <c r="B12" s="12"/>
    </row>
    <row r="13" spans="1:17">
      <c r="B13" s="150" t="s">
        <v>1296</v>
      </c>
    </row>
    <row r="14" spans="1:17">
      <c r="B14" s="12"/>
    </row>
    <row r="15" spans="1:17">
      <c r="B15" s="76" t="s">
        <v>36</v>
      </c>
      <c r="C15" s="76" t="s">
        <v>37</v>
      </c>
    </row>
    <row r="16" spans="1:17">
      <c r="D16" s="3"/>
      <c r="E16" s="3"/>
      <c r="F16" s="3"/>
      <c r="G16" s="3"/>
      <c r="H16" s="3"/>
      <c r="I16" s="3"/>
      <c r="J16" s="3"/>
      <c r="K16" s="3"/>
      <c r="L16" s="3"/>
    </row>
    <row r="17" spans="1:12">
      <c r="B17" s="392" t="s">
        <v>558</v>
      </c>
      <c r="C17" s="393" t="s">
        <v>625</v>
      </c>
      <c r="D17" s="3"/>
      <c r="E17" s="3"/>
      <c r="I17" s="3"/>
      <c r="J17" s="3"/>
      <c r="K17" s="3"/>
      <c r="L17" s="3"/>
    </row>
    <row r="18" spans="1:12">
      <c r="B18" s="392" t="s">
        <v>7</v>
      </c>
      <c r="C18" s="394" t="s">
        <v>421</v>
      </c>
      <c r="D18" s="3"/>
      <c r="E18" s="3"/>
      <c r="I18" s="3"/>
      <c r="J18" s="3"/>
      <c r="K18" s="3"/>
      <c r="L18" s="3"/>
    </row>
    <row r="19" spans="1:12" ht="25.5">
      <c r="B19" s="392" t="s">
        <v>427</v>
      </c>
      <c r="C19" s="395" t="s">
        <v>623</v>
      </c>
      <c r="D19" s="3"/>
      <c r="E19" s="3"/>
      <c r="I19" s="3"/>
      <c r="J19" s="3"/>
      <c r="K19" s="3"/>
      <c r="L19" s="3"/>
    </row>
    <row r="20" spans="1:12">
      <c r="B20" s="392" t="s">
        <v>3</v>
      </c>
      <c r="C20" s="393" t="s">
        <v>405</v>
      </c>
      <c r="D20" s="3"/>
      <c r="E20" s="3"/>
      <c r="I20" s="3"/>
      <c r="J20" s="3"/>
      <c r="K20" s="3"/>
      <c r="L20" s="3"/>
    </row>
    <row r="21" spans="1:12">
      <c r="B21" s="392" t="s">
        <v>85</v>
      </c>
      <c r="C21" s="395" t="s">
        <v>626</v>
      </c>
      <c r="D21" s="3"/>
      <c r="E21" s="3"/>
      <c r="I21" s="3"/>
      <c r="J21" s="3"/>
      <c r="K21" s="3"/>
      <c r="L21" s="3"/>
    </row>
    <row r="22" spans="1:12">
      <c r="B22" s="392" t="s">
        <v>103</v>
      </c>
      <c r="C22" s="393" t="s">
        <v>624</v>
      </c>
      <c r="D22" s="3"/>
      <c r="E22" s="3"/>
      <c r="I22" s="3"/>
      <c r="J22" s="3"/>
      <c r="K22" s="3"/>
      <c r="L22" s="3"/>
    </row>
    <row r="23" spans="1:12" ht="25.5">
      <c r="A23" s="12"/>
      <c r="B23" s="392" t="s">
        <v>559</v>
      </c>
      <c r="C23" s="396" t="s">
        <v>484</v>
      </c>
      <c r="D23" s="12"/>
    </row>
    <row r="24" spans="1:12" ht="15">
      <c r="A24" s="12"/>
      <c r="B24" s="392" t="s">
        <v>6</v>
      </c>
      <c r="C24" s="394" t="s">
        <v>406</v>
      </c>
      <c r="H24" s="132"/>
    </row>
    <row r="25" spans="1:12" ht="15">
      <c r="B25" s="392" t="s">
        <v>1</v>
      </c>
      <c r="C25" s="394" t="s">
        <v>407</v>
      </c>
      <c r="H25" s="132"/>
    </row>
    <row r="26" spans="1:12" ht="15">
      <c r="B26" s="392" t="s">
        <v>396</v>
      </c>
      <c r="C26" s="394" t="s">
        <v>408</v>
      </c>
      <c r="H26" s="132"/>
    </row>
    <row r="27" spans="1:12" ht="15">
      <c r="B27" s="392" t="s">
        <v>4</v>
      </c>
      <c r="C27" s="394" t="s">
        <v>409</v>
      </c>
      <c r="H27" s="132"/>
    </row>
    <row r="28" spans="1:12" ht="15">
      <c r="B28" s="392" t="s">
        <v>0</v>
      </c>
      <c r="C28" s="394" t="s">
        <v>410</v>
      </c>
      <c r="H28" s="132"/>
    </row>
    <row r="29" spans="1:12" ht="15">
      <c r="B29" s="392" t="s">
        <v>560</v>
      </c>
      <c r="C29" s="394" t="s">
        <v>411</v>
      </c>
      <c r="H29" s="132"/>
    </row>
    <row r="30" spans="1:12">
      <c r="B30" s="392" t="s">
        <v>570</v>
      </c>
      <c r="C30" s="394" t="s">
        <v>574</v>
      </c>
    </row>
    <row r="31" spans="1:12" ht="15">
      <c r="B31" s="392" t="s">
        <v>5</v>
      </c>
      <c r="C31" s="394" t="s">
        <v>412</v>
      </c>
      <c r="H31" s="132"/>
    </row>
    <row r="32" spans="1:12" ht="25.5">
      <c r="B32" s="301" t="s">
        <v>44</v>
      </c>
      <c r="C32" s="397" t="s">
        <v>629</v>
      </c>
      <c r="H32" s="132"/>
    </row>
    <row r="33" spans="2:8" ht="15">
      <c r="B33" s="392" t="s">
        <v>562</v>
      </c>
      <c r="C33" s="394" t="s">
        <v>415</v>
      </c>
      <c r="H33" s="132"/>
    </row>
    <row r="34" spans="2:8">
      <c r="B34" s="392" t="s">
        <v>2</v>
      </c>
      <c r="C34" s="393" t="s">
        <v>414</v>
      </c>
    </row>
    <row r="35" spans="2:8">
      <c r="B35" s="392" t="s">
        <v>563</v>
      </c>
      <c r="C35" s="394" t="s">
        <v>413</v>
      </c>
    </row>
  </sheetData>
  <phoneticPr fontId="4" type="noConversion"/>
  <hyperlinks>
    <hyperlink ref="B2" location="Map_of_sheets!A1" display="Map of sheets"/>
    <hyperlink ref="A2" location="'Title_&amp;_Contents'!A1" display="Contents"/>
  </hyperlinks>
  <pageMargins left="0.75" right="0.75" top="1" bottom="1" header="0.5" footer="0.5"/>
  <pageSetup paperSize="9"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0000"/>
  </sheetPr>
  <dimension ref="A1:Q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1700</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ht="13.5" customHeigh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2" t="str">
        <f>Forecast_stock_figures!B29</f>
        <v>Modern Foreign Languages</v>
      </c>
      <c r="C15" s="307">
        <f>Forecast_stock_figures!C53</f>
        <v>15054.501758556102</v>
      </c>
      <c r="D15" s="307">
        <f>Forecast_stock_figures!D53</f>
        <v>14939.764306075618</v>
      </c>
      <c r="E15" s="307">
        <f>Forecast_stock_figures!E53</f>
        <v>15070.257443396837</v>
      </c>
      <c r="F15" s="307">
        <f>Forecast_stock_figures!F53</f>
        <v>16557.230196768789</v>
      </c>
      <c r="G15" s="307">
        <f>Forecast_stock_figures!G53</f>
        <v>18106.97526873889</v>
      </c>
      <c r="H15" s="307">
        <f>Forecast_stock_figures!H53</f>
        <v>18695.254319919968</v>
      </c>
      <c r="I15" s="307">
        <f>Forecast_stock_figures!I53</f>
        <v>18855.304901959025</v>
      </c>
      <c r="J15" s="307">
        <f>Forecast_stock_figures!J53</f>
        <v>18999.002831661492</v>
      </c>
      <c r="K15" s="307">
        <f>Forecast_stock_figures!K53</f>
        <v>19138.350839311574</v>
      </c>
      <c r="L15" s="307">
        <f>Forecast_stock_figures!L53</f>
        <v>19151.937836517376</v>
      </c>
      <c r="M15" s="307">
        <f>Forecast_stock_figures!M53</f>
        <v>19109.119672158304</v>
      </c>
      <c r="N15" s="307">
        <f>Forecast_stock_figures!N53</f>
        <v>19031.45661965046</v>
      </c>
    </row>
    <row r="17" spans="1:9" ht="15.75">
      <c r="B17" s="340" t="s">
        <v>149</v>
      </c>
    </row>
    <row r="19" spans="1:9">
      <c r="B19" s="1243" t="str">
        <f>Stock_ages_breakdowns!B73</f>
        <v>Age group</v>
      </c>
      <c r="C19" s="1241" t="str">
        <f>Stock_ages_breakdowns!AC73</f>
        <v>Modern Foreign Languages</v>
      </c>
      <c r="D19" s="1248"/>
      <c r="H19" s="325" t="s">
        <v>120</v>
      </c>
    </row>
    <row r="20" spans="1:9">
      <c r="B20" s="1243"/>
      <c r="C20" s="363" t="str">
        <f>Stock_ages_breakdowns!AC74</f>
        <v>Male</v>
      </c>
      <c r="D20" s="363" t="str">
        <f>Stock_ages_breakdowns!AD74</f>
        <v>Female</v>
      </c>
    </row>
    <row r="21" spans="1:9">
      <c r="B21" s="363" t="str">
        <f>Stock_ages_breakdowns!B75</f>
        <v>20-24</v>
      </c>
      <c r="C21" s="331">
        <f>Stock_ages_breakdowns!AC20</f>
        <v>61.918451316735023</v>
      </c>
      <c r="D21" s="331">
        <f>Stock_ages_breakdowns!AD20</f>
        <v>323.38027874388354</v>
      </c>
    </row>
    <row r="22" spans="1:9">
      <c r="B22" s="363" t="str">
        <f>Stock_ages_breakdowns!B76</f>
        <v>25-29</v>
      </c>
      <c r="C22" s="331">
        <f>Stock_ages_breakdowns!AC21</f>
        <v>388.42212695095361</v>
      </c>
      <c r="D22" s="331">
        <f>Stock_ages_breakdowns!AD21</f>
        <v>1707.2634996038846</v>
      </c>
    </row>
    <row r="23" spans="1:9">
      <c r="B23" s="363" t="str">
        <f>Stock_ages_breakdowns!B77</f>
        <v>30-34</v>
      </c>
      <c r="C23" s="331">
        <f>Stock_ages_breakdowns!AC22</f>
        <v>416.54666050817889</v>
      </c>
      <c r="D23" s="331">
        <f>Stock_ages_breakdowns!AD22</f>
        <v>1705.054583859283</v>
      </c>
    </row>
    <row r="24" spans="1:9">
      <c r="B24" s="363" t="str">
        <f>Stock_ages_breakdowns!B78</f>
        <v>35-39</v>
      </c>
      <c r="C24" s="331">
        <f>Stock_ages_breakdowns!AC23</f>
        <v>465.45993339360496</v>
      </c>
      <c r="D24" s="331">
        <f>Stock_ages_breakdowns!AD23</f>
        <v>2052.9094496027205</v>
      </c>
    </row>
    <row r="25" spans="1:9">
      <c r="B25" s="363" t="str">
        <f>Stock_ages_breakdowns!B79</f>
        <v>40-44</v>
      </c>
      <c r="C25" s="331">
        <f>Stock_ages_breakdowns!AC24</f>
        <v>473.37712621364648</v>
      </c>
      <c r="D25" s="331">
        <f>Stock_ages_breakdowns!AD24</f>
        <v>2181.3536618253825</v>
      </c>
    </row>
    <row r="26" spans="1:9">
      <c r="B26" s="363" t="str">
        <f>Stock_ages_breakdowns!B80</f>
        <v>45-49</v>
      </c>
      <c r="C26" s="331">
        <f>Stock_ages_breakdowns!AC25</f>
        <v>397.16105637305009</v>
      </c>
      <c r="D26" s="331">
        <f>Stock_ages_breakdowns!AD25</f>
        <v>1736.0801268526466</v>
      </c>
    </row>
    <row r="27" spans="1:9">
      <c r="B27" s="363" t="str">
        <f>Stock_ages_breakdowns!B81</f>
        <v>50-54</v>
      </c>
      <c r="C27" s="331">
        <f>Stock_ages_breakdowns!AC26</f>
        <v>309.93032540418073</v>
      </c>
      <c r="D27" s="331">
        <f>Stock_ages_breakdowns!AD26</f>
        <v>1328.2145550834098</v>
      </c>
    </row>
    <row r="28" spans="1:9">
      <c r="B28" s="363" t="str">
        <f>Stock_ages_breakdowns!B82</f>
        <v>55-59</v>
      </c>
      <c r="C28" s="331">
        <f>Stock_ages_breakdowns!AC27</f>
        <v>200.37309073773108</v>
      </c>
      <c r="D28" s="331">
        <f>Stock_ages_breakdowns!AD27</f>
        <v>971.15703719948306</v>
      </c>
    </row>
    <row r="29" spans="1:9">
      <c r="B29" s="363" t="str">
        <f>Stock_ages_breakdowns!B83</f>
        <v>60-64</v>
      </c>
      <c r="C29" s="331">
        <f>Stock_ages_breakdowns!AC28</f>
        <v>55.064330362944176</v>
      </c>
      <c r="D29" s="331">
        <f>Stock_ages_breakdowns!AD28</f>
        <v>236.87654532707489</v>
      </c>
      <c r="F29" s="325"/>
    </row>
    <row r="30" spans="1:9">
      <c r="B30" s="363" t="str">
        <f>Stock_ages_breakdowns!B84</f>
        <v>65 plus</v>
      </c>
      <c r="C30" s="331">
        <f>Stock_ages_breakdowns!AC29</f>
        <v>9.3322950510075273</v>
      </c>
      <c r="D30" s="331">
        <f>Stock_ages_breakdowns!AD29</f>
        <v>34.626624146300848</v>
      </c>
      <c r="G30" s="326" t="s">
        <v>49</v>
      </c>
      <c r="H30" s="326" t="s">
        <v>50</v>
      </c>
    </row>
    <row r="31" spans="1:9">
      <c r="A31" s="309">
        <f>I31</f>
        <v>0</v>
      </c>
      <c r="B31" s="363" t="str">
        <f>Stock_ages_breakdowns!B85</f>
        <v>Total</v>
      </c>
      <c r="C31" s="331">
        <f>Stock_ages_breakdowns!AC30</f>
        <v>2777.5853963120321</v>
      </c>
      <c r="D31" s="331">
        <f>Stock_ages_breakdowns!AD30</f>
        <v>12276.91636224407</v>
      </c>
      <c r="E31" s="327">
        <f>SUM(C31:D31)</f>
        <v>15054.501758556102</v>
      </c>
      <c r="G31" s="366">
        <f>C31/$E$31</f>
        <v>0.18450198092629763</v>
      </c>
      <c r="H31" s="366">
        <f>D31/$E$31</f>
        <v>0.81549801907370234</v>
      </c>
      <c r="I31" s="309">
        <f>(G31+H31)-1</f>
        <v>0</v>
      </c>
    </row>
    <row r="33" spans="2:15" ht="15.75">
      <c r="B33" s="340" t="s">
        <v>262</v>
      </c>
      <c r="H33" s="325"/>
    </row>
    <row r="34" spans="2:15">
      <c r="H34" s="325"/>
    </row>
    <row r="35" spans="2:15">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5">
      <c r="B36" s="322" t="str">
        <f>B15</f>
        <v>Modern Foreign Languages</v>
      </c>
      <c r="C36" s="307">
        <f>Teacher_need_by_subject!C633</f>
        <v>14939.764306075618</v>
      </c>
      <c r="D36" s="307">
        <f>Teacher_need_by_subject!D633</f>
        <v>15070.257443396837</v>
      </c>
      <c r="E36" s="307">
        <f>Teacher_need_by_subject!E633</f>
        <v>16557.230196768789</v>
      </c>
      <c r="F36" s="307">
        <f>Teacher_need_by_subject!F633</f>
        <v>18106.97526873889</v>
      </c>
      <c r="G36" s="307">
        <f>Teacher_need_by_subject!G633</f>
        <v>18695.254319919968</v>
      </c>
      <c r="H36" s="307">
        <f>Teacher_need_by_subject!H633</f>
        <v>18855.304901959025</v>
      </c>
      <c r="I36" s="307">
        <f>Teacher_need_by_subject!I633</f>
        <v>18999.002831661492</v>
      </c>
      <c r="J36" s="307">
        <f>Teacher_need_by_subject!J633</f>
        <v>19138.350839311574</v>
      </c>
      <c r="K36" s="307">
        <f>Teacher_need_by_subject!K633</f>
        <v>19151.937836517376</v>
      </c>
      <c r="L36" s="307">
        <f>Teacher_need_by_subject!L633</f>
        <v>19109.119672158304</v>
      </c>
      <c r="M36" s="307">
        <f>Teacher_need_by_subject!M633</f>
        <v>19031.45661965046</v>
      </c>
      <c r="N36" s="307">
        <f>Teacher_need_by_subject!N633</f>
        <v>18975.956019871268</v>
      </c>
    </row>
    <row r="37" spans="2:15">
      <c r="H37" s="325"/>
    </row>
    <row r="38" spans="2:15" ht="15.75">
      <c r="B38" s="340" t="s">
        <v>157</v>
      </c>
      <c r="H38" s="325"/>
    </row>
    <row r="39" spans="2:15">
      <c r="H39" s="325"/>
    </row>
    <row r="40" spans="2:15">
      <c r="B40" s="341" t="s">
        <v>49</v>
      </c>
      <c r="H40" s="325"/>
    </row>
    <row r="41" spans="2:15">
      <c r="H41" s="325"/>
    </row>
    <row r="42" spans="2:15">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5">
      <c r="B43" s="363" t="str">
        <f>B21</f>
        <v>20-24</v>
      </c>
      <c r="C43" s="307">
        <f>C21</f>
        <v>61.918451316735023</v>
      </c>
      <c r="D43" s="307">
        <f>C340</f>
        <v>119.47527614323266</v>
      </c>
      <c r="E43" s="307">
        <f t="shared" ref="E43:L43" si="2">D340</f>
        <v>170.07929656470992</v>
      </c>
      <c r="F43" s="307">
        <f t="shared" si="2"/>
        <v>270.04966646850772</v>
      </c>
      <c r="G43" s="307">
        <f t="shared" si="2"/>
        <v>350.20448545939223</v>
      </c>
      <c r="H43" s="307">
        <f t="shared" si="2"/>
        <v>368.02981551723633</v>
      </c>
      <c r="I43" s="307">
        <f t="shared" si="2"/>
        <v>362.57257695098207</v>
      </c>
      <c r="J43" s="307">
        <f t="shared" si="2"/>
        <v>358.29635531008677</v>
      </c>
      <c r="K43" s="307">
        <f t="shared" si="2"/>
        <v>355.45751212194773</v>
      </c>
      <c r="L43" s="307">
        <f t="shared" si="2"/>
        <v>347.90590517368719</v>
      </c>
      <c r="M43" s="307">
        <f>L340</f>
        <v>339.75452966712868</v>
      </c>
      <c r="N43" s="307">
        <f>M340</f>
        <v>331.96652458069821</v>
      </c>
      <c r="O43" s="327"/>
    </row>
    <row r="44" spans="2:15">
      <c r="B44" s="363" t="str">
        <f t="shared" ref="B44:C53" si="3">B22</f>
        <v>25-29</v>
      </c>
      <c r="C44" s="307">
        <f t="shared" si="3"/>
        <v>388.42212695095361</v>
      </c>
      <c r="D44" s="307">
        <f t="shared" ref="D44:K53" si="4">C341</f>
        <v>366.87574710606759</v>
      </c>
      <c r="E44" s="307">
        <f t="shared" si="4"/>
        <v>372.40512553318536</v>
      </c>
      <c r="F44" s="307">
        <f t="shared" si="4"/>
        <v>452.09259167154698</v>
      </c>
      <c r="G44" s="307">
        <f t="shared" si="4"/>
        <v>537.25430151218177</v>
      </c>
      <c r="H44" s="307">
        <f t="shared" si="4"/>
        <v>572.69199955867623</v>
      </c>
      <c r="I44" s="307">
        <f t="shared" si="4"/>
        <v>582.60349695521552</v>
      </c>
      <c r="J44" s="307">
        <f t="shared" si="4"/>
        <v>588.23304782773528</v>
      </c>
      <c r="K44" s="307">
        <f t="shared" si="4"/>
        <v>591.64888855677987</v>
      </c>
      <c r="L44" s="307">
        <f t="shared" ref="L44:L53" si="5">K341</f>
        <v>587.82766086625531</v>
      </c>
      <c r="M44" s="307">
        <f t="shared" ref="M44:M53" si="6">L341</f>
        <v>580.79529657442606</v>
      </c>
      <c r="N44" s="307">
        <f t="shared" ref="N44:N53" si="7">M341</f>
        <v>572.17489272516013</v>
      </c>
      <c r="O44" s="327"/>
    </row>
    <row r="45" spans="2:15">
      <c r="B45" s="363" t="str">
        <f t="shared" si="3"/>
        <v>30-34</v>
      </c>
      <c r="C45" s="307">
        <f t="shared" si="3"/>
        <v>416.54666050817889</v>
      </c>
      <c r="D45" s="307">
        <f t="shared" si="4"/>
        <v>420.69922830666849</v>
      </c>
      <c r="E45" s="307">
        <f t="shared" si="4"/>
        <v>425.0622724593461</v>
      </c>
      <c r="F45" s="307">
        <f t="shared" si="4"/>
        <v>462.44965123402505</v>
      </c>
      <c r="G45" s="307">
        <f t="shared" si="4"/>
        <v>510.22795738439447</v>
      </c>
      <c r="H45" s="307">
        <f t="shared" si="4"/>
        <v>541.87536288328465</v>
      </c>
      <c r="I45" s="307">
        <f t="shared" si="4"/>
        <v>562.76132533691759</v>
      </c>
      <c r="J45" s="307">
        <f t="shared" si="4"/>
        <v>579.88757322955621</v>
      </c>
      <c r="K45" s="307">
        <f t="shared" si="4"/>
        <v>593.73819522213739</v>
      </c>
      <c r="L45" s="307">
        <f t="shared" si="5"/>
        <v>601.80809891998842</v>
      </c>
      <c r="M45" s="307">
        <f t="shared" si="6"/>
        <v>605.62533645774454</v>
      </c>
      <c r="N45" s="307">
        <f t="shared" si="7"/>
        <v>606.08859307140278</v>
      </c>
      <c r="O45" s="327"/>
    </row>
    <row r="46" spans="2:15">
      <c r="B46" s="363" t="str">
        <f t="shared" si="3"/>
        <v>35-39</v>
      </c>
      <c r="C46" s="307">
        <f t="shared" si="3"/>
        <v>465.45993339360496</v>
      </c>
      <c r="D46" s="307">
        <f t="shared" si="4"/>
        <v>455.42355014966654</v>
      </c>
      <c r="E46" s="307">
        <f t="shared" si="4"/>
        <v>452.44263128890117</v>
      </c>
      <c r="F46" s="307">
        <f t="shared" si="4"/>
        <v>474.68869651680319</v>
      </c>
      <c r="G46" s="307">
        <f t="shared" si="4"/>
        <v>502.11520793110321</v>
      </c>
      <c r="H46" s="307">
        <f t="shared" si="4"/>
        <v>517.6103215370473</v>
      </c>
      <c r="I46" s="307">
        <f t="shared" si="4"/>
        <v>528.59744228710531</v>
      </c>
      <c r="J46" s="307">
        <f t="shared" si="4"/>
        <v>540.59651203367832</v>
      </c>
      <c r="K46" s="307">
        <f t="shared" si="4"/>
        <v>552.87339839586457</v>
      </c>
      <c r="L46" s="307">
        <f t="shared" si="5"/>
        <v>562.64642384219417</v>
      </c>
      <c r="M46" s="307">
        <f t="shared" si="6"/>
        <v>570.44627393383371</v>
      </c>
      <c r="N46" s="307">
        <f t="shared" si="7"/>
        <v>576.25454877140908</v>
      </c>
      <c r="O46" s="327"/>
    </row>
    <row r="47" spans="2:15">
      <c r="B47" s="363" t="str">
        <f t="shared" si="3"/>
        <v>40-44</v>
      </c>
      <c r="C47" s="307">
        <f t="shared" si="3"/>
        <v>473.37712621364648</v>
      </c>
      <c r="D47" s="307">
        <f t="shared" si="4"/>
        <v>464.88605389777877</v>
      </c>
      <c r="E47" s="307">
        <f t="shared" si="4"/>
        <v>459.94494481368952</v>
      </c>
      <c r="F47" s="307">
        <f t="shared" si="4"/>
        <v>476.25685994423037</v>
      </c>
      <c r="G47" s="307">
        <f t="shared" si="4"/>
        <v>495.82711952049385</v>
      </c>
      <c r="H47" s="307">
        <f t="shared" si="4"/>
        <v>503.36109653533498</v>
      </c>
      <c r="I47" s="307">
        <f t="shared" si="4"/>
        <v>506.16681703469584</v>
      </c>
      <c r="J47" s="307">
        <f t="shared" si="4"/>
        <v>510.17094183630911</v>
      </c>
      <c r="K47" s="307">
        <f t="shared" si="4"/>
        <v>515.45390827868039</v>
      </c>
      <c r="L47" s="307">
        <f t="shared" si="5"/>
        <v>519.92169881001894</v>
      </c>
      <c r="M47" s="307">
        <f t="shared" si="6"/>
        <v>524.17353790833715</v>
      </c>
      <c r="N47" s="307">
        <f t="shared" si="7"/>
        <v>528.1451166486645</v>
      </c>
      <c r="O47" s="327"/>
    </row>
    <row r="48" spans="2:15">
      <c r="B48" s="363" t="str">
        <f t="shared" si="3"/>
        <v>45-49</v>
      </c>
      <c r="C48" s="307">
        <f t="shared" si="3"/>
        <v>397.16105637305009</v>
      </c>
      <c r="D48" s="307">
        <f t="shared" si="4"/>
        <v>400.69071246460754</v>
      </c>
      <c r="E48" s="307">
        <f t="shared" si="4"/>
        <v>404.33992934905967</v>
      </c>
      <c r="F48" s="307">
        <f t="shared" si="4"/>
        <v>422.48686649987218</v>
      </c>
      <c r="G48" s="307">
        <f t="shared" si="4"/>
        <v>441.49784006675389</v>
      </c>
      <c r="H48" s="307">
        <f t="shared" si="4"/>
        <v>449.4656169015459</v>
      </c>
      <c r="I48" s="307">
        <f t="shared" si="4"/>
        <v>452.20412028257243</v>
      </c>
      <c r="J48" s="307">
        <f t="shared" si="4"/>
        <v>454.63413410024606</v>
      </c>
      <c r="K48" s="307">
        <f t="shared" si="4"/>
        <v>457.21227307308396</v>
      </c>
      <c r="L48" s="307">
        <f t="shared" si="5"/>
        <v>458.6862270728621</v>
      </c>
      <c r="M48" s="307">
        <f t="shared" si="6"/>
        <v>459.87747639342712</v>
      </c>
      <c r="N48" s="307">
        <f t="shared" si="7"/>
        <v>461.01829516073587</v>
      </c>
      <c r="O48" s="327"/>
    </row>
    <row r="49" spans="1:15">
      <c r="B49" s="363" t="str">
        <f t="shared" si="3"/>
        <v>50-54</v>
      </c>
      <c r="C49" s="307">
        <f t="shared" si="3"/>
        <v>309.93032540418073</v>
      </c>
      <c r="D49" s="307">
        <f t="shared" si="4"/>
        <v>307.29921183346221</v>
      </c>
      <c r="E49" s="307">
        <f t="shared" si="4"/>
        <v>307.95445547917359</v>
      </c>
      <c r="F49" s="307">
        <f t="shared" si="4"/>
        <v>321.04611524966657</v>
      </c>
      <c r="G49" s="307">
        <f t="shared" si="4"/>
        <v>335.55440960008752</v>
      </c>
      <c r="H49" s="307">
        <f t="shared" si="4"/>
        <v>342.24543590892819</v>
      </c>
      <c r="I49" s="307">
        <f t="shared" si="4"/>
        <v>345.13787779961592</v>
      </c>
      <c r="J49" s="307">
        <f t="shared" si="4"/>
        <v>347.61651184298387</v>
      </c>
      <c r="K49" s="307">
        <f t="shared" si="4"/>
        <v>349.8565919658547</v>
      </c>
      <c r="L49" s="307">
        <f t="shared" si="5"/>
        <v>350.89134361926313</v>
      </c>
      <c r="M49" s="307">
        <f t="shared" si="6"/>
        <v>351.36587328923395</v>
      </c>
      <c r="N49" s="307">
        <f t="shared" si="7"/>
        <v>351.53373432847502</v>
      </c>
      <c r="O49" s="327"/>
    </row>
    <row r="50" spans="1:15">
      <c r="B50" s="363" t="str">
        <f t="shared" si="3"/>
        <v>55-59</v>
      </c>
      <c r="C50" s="307">
        <f t="shared" si="3"/>
        <v>200.37309073773108</v>
      </c>
      <c r="D50" s="307">
        <f t="shared" si="4"/>
        <v>173.40043038229123</v>
      </c>
      <c r="E50" s="307">
        <f t="shared" si="4"/>
        <v>158.4119820767298</v>
      </c>
      <c r="F50" s="307">
        <f t="shared" si="4"/>
        <v>157.82169016917499</v>
      </c>
      <c r="G50" s="307">
        <f t="shared" si="4"/>
        <v>160.68201288048064</v>
      </c>
      <c r="H50" s="307">
        <f t="shared" si="4"/>
        <v>159.66663642041232</v>
      </c>
      <c r="I50" s="307">
        <f t="shared" si="4"/>
        <v>157.78809674337967</v>
      </c>
      <c r="J50" s="307">
        <f t="shared" si="4"/>
        <v>157.04972216669853</v>
      </c>
      <c r="K50" s="307">
        <f t="shared" si="4"/>
        <v>156.99951443077879</v>
      </c>
      <c r="L50" s="307">
        <f t="shared" si="5"/>
        <v>156.59749170491716</v>
      </c>
      <c r="M50" s="307">
        <f t="shared" si="6"/>
        <v>156.15161155350745</v>
      </c>
      <c r="N50" s="307">
        <f t="shared" si="7"/>
        <v>155.69626500232098</v>
      </c>
      <c r="O50" s="327"/>
    </row>
    <row r="51" spans="1:15">
      <c r="B51" s="363" t="str">
        <f t="shared" si="3"/>
        <v>60-64</v>
      </c>
      <c r="C51" s="307">
        <f t="shared" si="3"/>
        <v>55.064330362944176</v>
      </c>
      <c r="D51" s="307">
        <f t="shared" si="4"/>
        <v>55.450553550951682</v>
      </c>
      <c r="E51" s="307">
        <f t="shared" si="4"/>
        <v>53.018837228093929</v>
      </c>
      <c r="F51" s="307">
        <f t="shared" si="4"/>
        <v>54.026117858724994</v>
      </c>
      <c r="G51" s="307">
        <f t="shared" si="4"/>
        <v>55.067091502372904</v>
      </c>
      <c r="H51" s="307">
        <f t="shared" si="4"/>
        <v>53.545371134826148</v>
      </c>
      <c r="I51" s="307">
        <f t="shared" si="4"/>
        <v>51.579225965261998</v>
      </c>
      <c r="J51" s="307">
        <f t="shared" si="4"/>
        <v>50.375757883310776</v>
      </c>
      <c r="K51" s="307">
        <f t="shared" si="4"/>
        <v>49.715603054914432</v>
      </c>
      <c r="L51" s="307">
        <f t="shared" si="5"/>
        <v>49.047054559125442</v>
      </c>
      <c r="M51" s="307">
        <f t="shared" si="6"/>
        <v>48.499021157829048</v>
      </c>
      <c r="N51" s="307">
        <f t="shared" si="7"/>
        <v>48.052291170857195</v>
      </c>
      <c r="O51" s="327"/>
    </row>
    <row r="52" spans="1:15">
      <c r="B52" s="363" t="str">
        <f t="shared" si="3"/>
        <v>65 plus</v>
      </c>
      <c r="C52" s="307">
        <f t="shared" si="3"/>
        <v>9.3322950510075273</v>
      </c>
      <c r="D52" s="307">
        <f t="shared" si="4"/>
        <v>12.113481954155295</v>
      </c>
      <c r="E52" s="307">
        <f t="shared" si="4"/>
        <v>13.809099078266215</v>
      </c>
      <c r="F52" s="307">
        <f t="shared" si="4"/>
        <v>15.459427798616218</v>
      </c>
      <c r="G52" s="307">
        <f t="shared" si="4"/>
        <v>16.611607239085032</v>
      </c>
      <c r="H52" s="307">
        <f t="shared" si="4"/>
        <v>16.748474978951453</v>
      </c>
      <c r="I52" s="307">
        <f t="shared" si="4"/>
        <v>16.380249410261719</v>
      </c>
      <c r="J52" s="307">
        <f t="shared" si="4"/>
        <v>15.964012147616721</v>
      </c>
      <c r="K52" s="307">
        <f t="shared" si="4"/>
        <v>15.613405739154084</v>
      </c>
      <c r="L52" s="307">
        <f t="shared" si="5"/>
        <v>15.267778833524247</v>
      </c>
      <c r="M52" s="307">
        <f t="shared" si="6"/>
        <v>14.965812871697832</v>
      </c>
      <c r="N52" s="307">
        <f t="shared" si="7"/>
        <v>14.712411729835397</v>
      </c>
      <c r="O52" s="327"/>
    </row>
    <row r="53" spans="1:15">
      <c r="B53" s="363" t="str">
        <f t="shared" si="3"/>
        <v>Total</v>
      </c>
      <c r="C53" s="307">
        <f t="shared" si="3"/>
        <v>2777.5853963120321</v>
      </c>
      <c r="D53" s="307">
        <f t="shared" si="4"/>
        <v>2776.3142457888821</v>
      </c>
      <c r="E53" s="307">
        <f t="shared" si="4"/>
        <v>2817.4685738711551</v>
      </c>
      <c r="F53" s="307">
        <f t="shared" si="4"/>
        <v>3106.3776834111677</v>
      </c>
      <c r="G53" s="307">
        <f t="shared" si="4"/>
        <v>3405.0420330963457</v>
      </c>
      <c r="H53" s="307">
        <f t="shared" si="4"/>
        <v>3525.2401313762439</v>
      </c>
      <c r="I53" s="307">
        <f t="shared" si="4"/>
        <v>3565.7912287660083</v>
      </c>
      <c r="J53" s="307">
        <f t="shared" si="4"/>
        <v>3602.824568378222</v>
      </c>
      <c r="K53" s="307">
        <f t="shared" si="4"/>
        <v>3638.5692908391957</v>
      </c>
      <c r="L53" s="307">
        <f t="shared" si="5"/>
        <v>3650.5996834018356</v>
      </c>
      <c r="M53" s="307">
        <f t="shared" si="6"/>
        <v>3651.6547698071654</v>
      </c>
      <c r="N53" s="307">
        <f t="shared" si="7"/>
        <v>3645.642673189559</v>
      </c>
      <c r="O53" s="327"/>
    </row>
    <row r="54" spans="1:15">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5">
      <c r="B56" s="341" t="s">
        <v>50</v>
      </c>
      <c r="H56" s="325"/>
    </row>
    <row r="57" spans="1:15">
      <c r="H57" s="325"/>
    </row>
    <row r="58" spans="1:15">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5">
      <c r="B59" s="338" t="str">
        <f t="shared" si="9"/>
        <v>20-24</v>
      </c>
      <c r="C59" s="307">
        <f t="shared" ref="C59:C69" si="11">D21</f>
        <v>323.38027874388354</v>
      </c>
      <c r="D59" s="307">
        <f>C356</f>
        <v>567.65409676919489</v>
      </c>
      <c r="E59" s="307">
        <f t="shared" ref="E59:L59" si="12">D356</f>
        <v>787.82485321173249</v>
      </c>
      <c r="F59" s="307">
        <f t="shared" si="12"/>
        <v>1230.4829482305649</v>
      </c>
      <c r="G59" s="307">
        <f t="shared" si="12"/>
        <v>1591.834643108077</v>
      </c>
      <c r="H59" s="307">
        <f t="shared" si="12"/>
        <v>1680.8914367666935</v>
      </c>
      <c r="I59" s="307">
        <f t="shared" si="12"/>
        <v>1665.2743086758771</v>
      </c>
      <c r="J59" s="307">
        <f t="shared" si="12"/>
        <v>1652.1003656350154</v>
      </c>
      <c r="K59" s="307">
        <f t="shared" si="12"/>
        <v>1643.3704176093845</v>
      </c>
      <c r="L59" s="307">
        <f t="shared" si="12"/>
        <v>1612.5381094264528</v>
      </c>
      <c r="M59" s="307">
        <f>L356</f>
        <v>1577.8385545327378</v>
      </c>
      <c r="N59" s="307">
        <f>M356</f>
        <v>1543.8362047921808</v>
      </c>
    </row>
    <row r="60" spans="1:15">
      <c r="B60" s="338" t="str">
        <f t="shared" si="9"/>
        <v>25-29</v>
      </c>
      <c r="C60" s="307">
        <f t="shared" si="11"/>
        <v>1707.2634996038846</v>
      </c>
      <c r="D60" s="307">
        <f t="shared" ref="D60:K69" si="13">C357</f>
        <v>1635.9212331411268</v>
      </c>
      <c r="E60" s="307">
        <f t="shared" si="13"/>
        <v>1675.5316214571935</v>
      </c>
      <c r="F60" s="307">
        <f t="shared" si="13"/>
        <v>2038.6005828810621</v>
      </c>
      <c r="G60" s="307">
        <f t="shared" si="13"/>
        <v>2426.1534164717823</v>
      </c>
      <c r="H60" s="307">
        <f t="shared" si="13"/>
        <v>2595.2800855652913</v>
      </c>
      <c r="I60" s="307">
        <f t="shared" si="13"/>
        <v>2651.1491395962462</v>
      </c>
      <c r="J60" s="307">
        <f t="shared" si="13"/>
        <v>2686.5108392647694</v>
      </c>
      <c r="K60" s="307">
        <f t="shared" si="13"/>
        <v>2710.3277048071791</v>
      </c>
      <c r="L60" s="307">
        <f t="shared" ref="L60:L69" si="14">K357</f>
        <v>2700.4885455727176</v>
      </c>
      <c r="M60" s="307">
        <f t="shared" ref="M60:M69" si="15">L357</f>
        <v>2674.7697434437828</v>
      </c>
      <c r="N60" s="307">
        <f t="shared" ref="N60:N69" si="16">M357</f>
        <v>2640.4958036737034</v>
      </c>
    </row>
    <row r="61" spans="1:15">
      <c r="B61" s="338" t="str">
        <f t="shared" si="9"/>
        <v>30-34</v>
      </c>
      <c r="C61" s="307">
        <f t="shared" si="11"/>
        <v>1705.054583859283</v>
      </c>
      <c r="D61" s="307">
        <f t="shared" si="13"/>
        <v>1720.4224676700321</v>
      </c>
      <c r="E61" s="307">
        <f t="shared" si="13"/>
        <v>1741.9680797788267</v>
      </c>
      <c r="F61" s="307">
        <f t="shared" si="13"/>
        <v>1911.1841242832115</v>
      </c>
      <c r="G61" s="307">
        <f t="shared" si="13"/>
        <v>2122.9119435238754</v>
      </c>
      <c r="H61" s="307">
        <f t="shared" si="13"/>
        <v>2260.0311286839456</v>
      </c>
      <c r="I61" s="307">
        <f t="shared" si="13"/>
        <v>2349.5700668199602</v>
      </c>
      <c r="J61" s="307">
        <f t="shared" si="13"/>
        <v>2423.6881063772653</v>
      </c>
      <c r="K61" s="307">
        <f t="shared" si="13"/>
        <v>2484.2723324788249</v>
      </c>
      <c r="L61" s="307">
        <f t="shared" si="14"/>
        <v>2519.9592556561342</v>
      </c>
      <c r="M61" s="307">
        <f t="shared" si="15"/>
        <v>2537.5904529308796</v>
      </c>
      <c r="N61" s="307">
        <f t="shared" si="16"/>
        <v>2541.0082503823332</v>
      </c>
    </row>
    <row r="62" spans="1:15">
      <c r="B62" s="338" t="str">
        <f t="shared" si="9"/>
        <v>35-39</v>
      </c>
      <c r="C62" s="307">
        <f t="shared" si="11"/>
        <v>2052.9094496027205</v>
      </c>
      <c r="D62" s="307">
        <f t="shared" si="13"/>
        <v>1944.5454220022079</v>
      </c>
      <c r="E62" s="307">
        <f t="shared" si="13"/>
        <v>1884.4399980712096</v>
      </c>
      <c r="F62" s="307">
        <f t="shared" si="13"/>
        <v>1948.8419421863498</v>
      </c>
      <c r="G62" s="307">
        <f t="shared" si="13"/>
        <v>2043.644658738991</v>
      </c>
      <c r="H62" s="307">
        <f t="shared" si="13"/>
        <v>2090.046317866319</v>
      </c>
      <c r="I62" s="307">
        <f t="shared" si="13"/>
        <v>2120.2260112983481</v>
      </c>
      <c r="J62" s="307">
        <f t="shared" si="13"/>
        <v>2158.1041105605732</v>
      </c>
      <c r="K62" s="307">
        <f t="shared" si="13"/>
        <v>2199.794398306562</v>
      </c>
      <c r="L62" s="307">
        <f t="shared" si="14"/>
        <v>2232.5276071625231</v>
      </c>
      <c r="M62" s="307">
        <f t="shared" si="15"/>
        <v>2258.4879727203629</v>
      </c>
      <c r="N62" s="307">
        <f t="shared" si="16"/>
        <v>2277.4273038802003</v>
      </c>
    </row>
    <row r="63" spans="1:15">
      <c r="B63" s="338" t="str">
        <f t="shared" si="9"/>
        <v>40-44</v>
      </c>
      <c r="C63" s="307">
        <f t="shared" si="11"/>
        <v>2181.3536618253825</v>
      </c>
      <c r="D63" s="307">
        <f t="shared" si="13"/>
        <v>2099.3706477083738</v>
      </c>
      <c r="E63" s="307">
        <f t="shared" si="13"/>
        <v>2033.2170570735348</v>
      </c>
      <c r="F63" s="307">
        <f t="shared" si="13"/>
        <v>2064.0758866941487</v>
      </c>
      <c r="G63" s="307">
        <f t="shared" si="13"/>
        <v>2113.0583400232181</v>
      </c>
      <c r="H63" s="307">
        <f t="shared" si="13"/>
        <v>2112.8211875686952</v>
      </c>
      <c r="I63" s="307">
        <f t="shared" si="13"/>
        <v>2095.9498440495117</v>
      </c>
      <c r="J63" s="307">
        <f t="shared" si="13"/>
        <v>2088.4157698528675</v>
      </c>
      <c r="K63" s="307">
        <f t="shared" si="13"/>
        <v>2090.0672247504858</v>
      </c>
      <c r="L63" s="307">
        <f t="shared" si="14"/>
        <v>2091.1586453997875</v>
      </c>
      <c r="M63" s="307">
        <f t="shared" si="15"/>
        <v>2093.9852838009551</v>
      </c>
      <c r="N63" s="307">
        <f t="shared" si="16"/>
        <v>2097.9464935875544</v>
      </c>
    </row>
    <row r="64" spans="1:15">
      <c r="B64" s="338" t="str">
        <f t="shared" si="9"/>
        <v>45-49</v>
      </c>
      <c r="C64" s="307">
        <f t="shared" si="11"/>
        <v>1736.0801268526466</v>
      </c>
      <c r="D64" s="307">
        <f t="shared" si="13"/>
        <v>1757.0786345143945</v>
      </c>
      <c r="E64" s="307">
        <f t="shared" si="13"/>
        <v>1768.9758929260695</v>
      </c>
      <c r="F64" s="307">
        <f t="shared" si="13"/>
        <v>1837.8904907977615</v>
      </c>
      <c r="G64" s="307">
        <f t="shared" si="13"/>
        <v>1905.3937190890385</v>
      </c>
      <c r="H64" s="307">
        <f t="shared" si="13"/>
        <v>1920.8827293038869</v>
      </c>
      <c r="I64" s="307">
        <f t="shared" si="13"/>
        <v>1912.0788269373249</v>
      </c>
      <c r="J64" s="307">
        <f t="shared" si="13"/>
        <v>1902.0284131693452</v>
      </c>
      <c r="K64" s="307">
        <f t="shared" si="13"/>
        <v>1893.4589042807579</v>
      </c>
      <c r="L64" s="307">
        <f t="shared" si="14"/>
        <v>1881.246962272271</v>
      </c>
      <c r="M64" s="307">
        <f t="shared" si="15"/>
        <v>1869.2909889402192</v>
      </c>
      <c r="N64" s="307">
        <f t="shared" si="16"/>
        <v>1858.7185878452506</v>
      </c>
    </row>
    <row r="65" spans="1:14">
      <c r="B65" s="338" t="str">
        <f t="shared" si="9"/>
        <v>50-54</v>
      </c>
      <c r="C65" s="307">
        <f t="shared" si="11"/>
        <v>1328.2145550834098</v>
      </c>
      <c r="D65" s="307">
        <f t="shared" si="13"/>
        <v>1322.9527742321131</v>
      </c>
      <c r="E65" s="307">
        <f t="shared" si="13"/>
        <v>1331.3778084898718</v>
      </c>
      <c r="F65" s="307">
        <f t="shared" si="13"/>
        <v>1392.4331442569749</v>
      </c>
      <c r="G65" s="307">
        <f t="shared" si="13"/>
        <v>1456.7343811764979</v>
      </c>
      <c r="H65" s="307">
        <f t="shared" si="13"/>
        <v>1483.3827379551553</v>
      </c>
      <c r="I65" s="307">
        <f t="shared" si="13"/>
        <v>1490.5031577734455</v>
      </c>
      <c r="J65" s="307">
        <f t="shared" si="13"/>
        <v>1493.6502847778961</v>
      </c>
      <c r="K65" s="307">
        <f t="shared" si="13"/>
        <v>1494.232537903792</v>
      </c>
      <c r="L65" s="307">
        <f t="shared" si="14"/>
        <v>1488.555528883586</v>
      </c>
      <c r="M65" s="307">
        <f t="shared" si="15"/>
        <v>1479.964628764558</v>
      </c>
      <c r="N65" s="307">
        <f t="shared" si="16"/>
        <v>1469.9775168985404</v>
      </c>
    </row>
    <row r="66" spans="1:14">
      <c r="B66" s="338" t="str">
        <f t="shared" si="9"/>
        <v>55-59</v>
      </c>
      <c r="C66" s="307">
        <f t="shared" si="11"/>
        <v>971.15703719948306</v>
      </c>
      <c r="D66" s="307">
        <f t="shared" si="13"/>
        <v>828.00446733963622</v>
      </c>
      <c r="E66" s="307">
        <f t="shared" si="13"/>
        <v>746.66664564720952</v>
      </c>
      <c r="F66" s="307">
        <f t="shared" si="13"/>
        <v>734.92525944180352</v>
      </c>
      <c r="G66" s="307">
        <f t="shared" si="13"/>
        <v>742.70152880469527</v>
      </c>
      <c r="H66" s="307">
        <f t="shared" si="13"/>
        <v>735.68754381432041</v>
      </c>
      <c r="I66" s="307">
        <f t="shared" si="13"/>
        <v>725.45950138861747</v>
      </c>
      <c r="J66" s="307">
        <f t="shared" si="13"/>
        <v>720.11425693700778</v>
      </c>
      <c r="K66" s="307">
        <f t="shared" si="13"/>
        <v>717.45398831837508</v>
      </c>
      <c r="L66" s="307">
        <f t="shared" si="14"/>
        <v>712.83297361755217</v>
      </c>
      <c r="M66" s="307">
        <f t="shared" si="15"/>
        <v>707.59480442577365</v>
      </c>
      <c r="N66" s="307">
        <f t="shared" si="16"/>
        <v>701.98288482591659</v>
      </c>
    </row>
    <row r="67" spans="1:14">
      <c r="B67" s="338" t="str">
        <f t="shared" si="9"/>
        <v>60-64</v>
      </c>
      <c r="C67" s="307">
        <f t="shared" si="11"/>
        <v>236.87654532707489</v>
      </c>
      <c r="D67" s="307">
        <f t="shared" si="13"/>
        <v>241.54238657244775</v>
      </c>
      <c r="E67" s="307">
        <f t="shared" si="13"/>
        <v>230.0304510014445</v>
      </c>
      <c r="F67" s="307">
        <f t="shared" si="13"/>
        <v>233.00572792205733</v>
      </c>
      <c r="G67" s="307">
        <f t="shared" si="13"/>
        <v>235.79149105715626</v>
      </c>
      <c r="H67" s="307">
        <f t="shared" si="13"/>
        <v>227.4966337549622</v>
      </c>
      <c r="I67" s="307">
        <f t="shared" si="13"/>
        <v>217.96911638390077</v>
      </c>
      <c r="J67" s="307">
        <f t="shared" si="13"/>
        <v>212.28376722144938</v>
      </c>
      <c r="K67" s="307">
        <f t="shared" si="13"/>
        <v>209.09511261736833</v>
      </c>
      <c r="L67" s="307">
        <f t="shared" si="14"/>
        <v>205.80145914009441</v>
      </c>
      <c r="M67" s="307">
        <f t="shared" si="15"/>
        <v>202.97207579476998</v>
      </c>
      <c r="N67" s="307">
        <f t="shared" si="16"/>
        <v>200.49944356781955</v>
      </c>
    </row>
    <row r="68" spans="1:14">
      <c r="B68" s="338" t="str">
        <f t="shared" si="9"/>
        <v>65 plus</v>
      </c>
      <c r="C68" s="307">
        <f t="shared" si="11"/>
        <v>34.626624146300848</v>
      </c>
      <c r="D68" s="307">
        <f t="shared" si="13"/>
        <v>45.957930337208737</v>
      </c>
      <c r="E68" s="307">
        <f t="shared" si="13"/>
        <v>52.756461868588516</v>
      </c>
      <c r="F68" s="307">
        <f t="shared" si="13"/>
        <v>59.412406663685758</v>
      </c>
      <c r="G68" s="307">
        <f t="shared" si="13"/>
        <v>63.709113649213073</v>
      </c>
      <c r="H68" s="307">
        <f t="shared" si="13"/>
        <v>63.494387264454758</v>
      </c>
      <c r="I68" s="307">
        <f t="shared" si="13"/>
        <v>61.333700269784678</v>
      </c>
      <c r="J68" s="307">
        <f t="shared" si="13"/>
        <v>59.282349487080999</v>
      </c>
      <c r="K68" s="307">
        <f t="shared" si="13"/>
        <v>57.708927399648786</v>
      </c>
      <c r="L68" s="307">
        <f t="shared" si="14"/>
        <v>56.229065984422334</v>
      </c>
      <c r="M68" s="307">
        <f t="shared" si="15"/>
        <v>54.970396997100607</v>
      </c>
      <c r="N68" s="307">
        <f t="shared" si="16"/>
        <v>53.921457007402459</v>
      </c>
    </row>
    <row r="69" spans="1:14">
      <c r="B69" s="338" t="str">
        <f t="shared" si="9"/>
        <v>Total</v>
      </c>
      <c r="C69" s="307">
        <f t="shared" si="11"/>
        <v>12276.91636224407</v>
      </c>
      <c r="D69" s="307">
        <f t="shared" si="13"/>
        <v>12163.450060286737</v>
      </c>
      <c r="E69" s="307">
        <f t="shared" si="13"/>
        <v>12252.788869525682</v>
      </c>
      <c r="F69" s="307">
        <f t="shared" si="13"/>
        <v>13450.85251335762</v>
      </c>
      <c r="G69" s="307">
        <f t="shared" si="13"/>
        <v>14701.933235642546</v>
      </c>
      <c r="H69" s="307">
        <f t="shared" si="13"/>
        <v>15170.014188543722</v>
      </c>
      <c r="I69" s="307">
        <f t="shared" si="13"/>
        <v>15289.513673193016</v>
      </c>
      <c r="J69" s="307">
        <f t="shared" si="13"/>
        <v>15396.178263283269</v>
      </c>
      <c r="K69" s="307">
        <f t="shared" si="13"/>
        <v>15499.781548472378</v>
      </c>
      <c r="L69" s="307">
        <f t="shared" si="14"/>
        <v>15501.338153115543</v>
      </c>
      <c r="M69" s="307">
        <f t="shared" si="15"/>
        <v>15457.464902351141</v>
      </c>
      <c r="N69" s="307">
        <f t="shared" si="16"/>
        <v>15385.813946460903</v>
      </c>
    </row>
    <row r="70" spans="1:14">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4" ht="15.75">
      <c r="B72" s="340" t="s">
        <v>150</v>
      </c>
      <c r="H72" s="325"/>
    </row>
    <row r="73" spans="1:14">
      <c r="H73" s="325"/>
    </row>
    <row r="74" spans="1:14">
      <c r="B74" s="341" t="s">
        <v>49</v>
      </c>
      <c r="C74" s="262" t="s">
        <v>453</v>
      </c>
      <c r="H74" s="325"/>
    </row>
    <row r="75" spans="1:14">
      <c r="H75" s="325"/>
    </row>
    <row r="76" spans="1:14">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4">
      <c r="B77" s="338" t="str">
        <f t="shared" si="18"/>
        <v>20-24</v>
      </c>
      <c r="C77" s="459">
        <f>C43-(0.2*C43)</f>
        <v>49.534761053388017</v>
      </c>
      <c r="D77" s="459">
        <f>D43-(0.2*D43)</f>
        <v>95.580220914586135</v>
      </c>
      <c r="E77" s="459">
        <f t="shared" ref="E77:N77" si="20">E43-(0.2*E43)</f>
        <v>136.06343725176794</v>
      </c>
      <c r="F77" s="459">
        <f t="shared" si="20"/>
        <v>216.03973317480617</v>
      </c>
      <c r="G77" s="459">
        <f t="shared" si="20"/>
        <v>280.1635883675138</v>
      </c>
      <c r="H77" s="459">
        <f t="shared" si="20"/>
        <v>294.42385241378906</v>
      </c>
      <c r="I77" s="459">
        <f t="shared" si="20"/>
        <v>290.05806156078563</v>
      </c>
      <c r="J77" s="459">
        <f t="shared" si="20"/>
        <v>286.63708424806941</v>
      </c>
      <c r="K77" s="459">
        <f t="shared" si="20"/>
        <v>284.36600969755818</v>
      </c>
      <c r="L77" s="459">
        <f t="shared" si="20"/>
        <v>278.32472413894976</v>
      </c>
      <c r="M77" s="459">
        <f t="shared" si="20"/>
        <v>271.80362373370292</v>
      </c>
      <c r="N77" s="459">
        <f t="shared" si="20"/>
        <v>265.57321966455856</v>
      </c>
    </row>
    <row r="78" spans="1:14">
      <c r="B78" s="338" t="str">
        <f t="shared" si="18"/>
        <v>25-29</v>
      </c>
      <c r="C78" s="459">
        <f t="shared" ref="C78:C85" si="21">C44+(0.2*C43)-(0.2*C44)</f>
        <v>323.12139182410993</v>
      </c>
      <c r="D78" s="459">
        <f t="shared" ref="D78:N78" si="22">D44+(0.2*D43)-(0.2*D44)</f>
        <v>317.39565291350061</v>
      </c>
      <c r="E78" s="459">
        <f t="shared" si="22"/>
        <v>331.93995973949029</v>
      </c>
      <c r="F78" s="459">
        <f t="shared" si="22"/>
        <v>415.68400663093917</v>
      </c>
      <c r="G78" s="459">
        <f t="shared" si="22"/>
        <v>499.84433830162391</v>
      </c>
      <c r="H78" s="459">
        <f t="shared" si="22"/>
        <v>531.75956275038823</v>
      </c>
      <c r="I78" s="459">
        <f t="shared" si="22"/>
        <v>538.59731295436882</v>
      </c>
      <c r="J78" s="459">
        <f t="shared" si="22"/>
        <v>542.24570932420556</v>
      </c>
      <c r="K78" s="459">
        <f t="shared" si="22"/>
        <v>544.41061326981344</v>
      </c>
      <c r="L78" s="459">
        <f t="shared" si="22"/>
        <v>539.84330972774171</v>
      </c>
      <c r="M78" s="459">
        <f t="shared" si="22"/>
        <v>532.58714319296655</v>
      </c>
      <c r="N78" s="459">
        <f t="shared" si="22"/>
        <v>524.13321909626779</v>
      </c>
    </row>
    <row r="79" spans="1:14">
      <c r="B79" s="338" t="str">
        <f t="shared" si="18"/>
        <v>30-34</v>
      </c>
      <c r="C79" s="459">
        <f t="shared" si="21"/>
        <v>410.92175379673381</v>
      </c>
      <c r="D79" s="459">
        <f t="shared" ref="D79:N79" si="23">D45+(0.2*D44)-(0.2*D45)</f>
        <v>409.93453206654829</v>
      </c>
      <c r="E79" s="459">
        <f t="shared" si="23"/>
        <v>414.53084307411393</v>
      </c>
      <c r="F79" s="459">
        <f t="shared" si="23"/>
        <v>460.37823932152946</v>
      </c>
      <c r="G79" s="459">
        <f t="shared" si="23"/>
        <v>515.63322620995189</v>
      </c>
      <c r="H79" s="459">
        <f t="shared" si="23"/>
        <v>548.03869021836294</v>
      </c>
      <c r="I79" s="459">
        <f t="shared" si="23"/>
        <v>566.7297596605772</v>
      </c>
      <c r="J79" s="459">
        <f t="shared" si="23"/>
        <v>581.55666814919209</v>
      </c>
      <c r="K79" s="459">
        <f t="shared" si="23"/>
        <v>593.32033388906586</v>
      </c>
      <c r="L79" s="459">
        <f t="shared" si="23"/>
        <v>599.01201130924187</v>
      </c>
      <c r="M79" s="459">
        <f t="shared" si="23"/>
        <v>600.65932848108082</v>
      </c>
      <c r="N79" s="459">
        <f t="shared" si="23"/>
        <v>599.30585300215421</v>
      </c>
    </row>
    <row r="80" spans="1:14">
      <c r="B80" s="338" t="str">
        <f t="shared" si="18"/>
        <v>35-39</v>
      </c>
      <c r="C80" s="459">
        <f t="shared" si="21"/>
        <v>455.67727881651967</v>
      </c>
      <c r="D80" s="459">
        <f t="shared" ref="D80:N80" si="24">D46+(0.2*D45)-(0.2*D46)</f>
        <v>448.47868578106687</v>
      </c>
      <c r="E80" s="459">
        <f t="shared" si="24"/>
        <v>446.96655952299011</v>
      </c>
      <c r="F80" s="459">
        <f t="shared" si="24"/>
        <v>472.24088746024756</v>
      </c>
      <c r="G80" s="459">
        <f t="shared" si="24"/>
        <v>503.73775782176153</v>
      </c>
      <c r="H80" s="459">
        <f t="shared" si="24"/>
        <v>522.46332980629484</v>
      </c>
      <c r="I80" s="459">
        <f t="shared" si="24"/>
        <v>535.43021889706768</v>
      </c>
      <c r="J80" s="459">
        <f t="shared" si="24"/>
        <v>548.45472427285392</v>
      </c>
      <c r="K80" s="459">
        <f t="shared" si="24"/>
        <v>561.04635776111911</v>
      </c>
      <c r="L80" s="459">
        <f t="shared" si="24"/>
        <v>570.47875885775306</v>
      </c>
      <c r="M80" s="459">
        <f t="shared" si="24"/>
        <v>577.48208643861585</v>
      </c>
      <c r="N80" s="459">
        <f t="shared" si="24"/>
        <v>582.22135763140784</v>
      </c>
    </row>
    <row r="81" spans="1:17">
      <c r="B81" s="338" t="str">
        <f t="shared" si="18"/>
        <v>40-44</v>
      </c>
      <c r="C81" s="459">
        <f t="shared" si="21"/>
        <v>471.79368764963812</v>
      </c>
      <c r="D81" s="459">
        <f t="shared" ref="D81:N81" si="25">D47+(0.2*D46)-(0.2*D47)</f>
        <v>462.99355314815637</v>
      </c>
      <c r="E81" s="459">
        <f t="shared" si="25"/>
        <v>458.44448210873185</v>
      </c>
      <c r="F81" s="459">
        <f t="shared" si="25"/>
        <v>475.94322725874491</v>
      </c>
      <c r="G81" s="459">
        <f t="shared" si="25"/>
        <v>497.08473720261571</v>
      </c>
      <c r="H81" s="459">
        <f t="shared" si="25"/>
        <v>506.21094153567748</v>
      </c>
      <c r="I81" s="459">
        <f t="shared" si="25"/>
        <v>510.6529420851777</v>
      </c>
      <c r="J81" s="459">
        <f t="shared" si="25"/>
        <v>516.25605587578298</v>
      </c>
      <c r="K81" s="459">
        <f t="shared" si="25"/>
        <v>522.93780630211722</v>
      </c>
      <c r="L81" s="459">
        <f t="shared" si="25"/>
        <v>528.46664381645405</v>
      </c>
      <c r="M81" s="459">
        <f t="shared" si="25"/>
        <v>533.42808511343651</v>
      </c>
      <c r="N81" s="459">
        <f t="shared" si="25"/>
        <v>537.76700307321335</v>
      </c>
    </row>
    <row r="82" spans="1:17">
      <c r="B82" s="338" t="str">
        <f t="shared" si="18"/>
        <v>45-49</v>
      </c>
      <c r="C82" s="459">
        <f t="shared" si="21"/>
        <v>412.40427034116937</v>
      </c>
      <c r="D82" s="459">
        <f t="shared" ref="D82:N82" si="26">D48+(0.2*D47)-(0.2*D48)</f>
        <v>413.52978075124179</v>
      </c>
      <c r="E82" s="459">
        <f t="shared" si="26"/>
        <v>415.46093244198562</v>
      </c>
      <c r="F82" s="459">
        <f t="shared" si="26"/>
        <v>433.24086518874378</v>
      </c>
      <c r="G82" s="459">
        <f t="shared" si="26"/>
        <v>452.36369595750188</v>
      </c>
      <c r="H82" s="459">
        <f t="shared" si="26"/>
        <v>460.24471282830376</v>
      </c>
      <c r="I82" s="459">
        <f t="shared" si="26"/>
        <v>462.99665963299714</v>
      </c>
      <c r="J82" s="459">
        <f t="shared" si="26"/>
        <v>465.74149564745869</v>
      </c>
      <c r="K82" s="459">
        <f t="shared" si="26"/>
        <v>468.86060011420324</v>
      </c>
      <c r="L82" s="459">
        <f t="shared" si="26"/>
        <v>470.93332142029345</v>
      </c>
      <c r="M82" s="459">
        <f t="shared" si="26"/>
        <v>472.73668869640915</v>
      </c>
      <c r="N82" s="459">
        <f t="shared" si="26"/>
        <v>474.44365945832163</v>
      </c>
    </row>
    <row r="83" spans="1:17">
      <c r="B83" s="338" t="str">
        <f t="shared" si="18"/>
        <v>50-54</v>
      </c>
      <c r="C83" s="459">
        <f t="shared" si="21"/>
        <v>327.37647159795461</v>
      </c>
      <c r="D83" s="459">
        <f t="shared" ref="D83:N83" si="27">D49+(0.2*D48)-(0.2*D49)</f>
        <v>325.9775119596913</v>
      </c>
      <c r="E83" s="459">
        <f t="shared" si="27"/>
        <v>327.23155025315083</v>
      </c>
      <c r="F83" s="459">
        <f t="shared" si="27"/>
        <v>341.33426549970767</v>
      </c>
      <c r="G83" s="459">
        <f t="shared" si="27"/>
        <v>356.7430956934208</v>
      </c>
      <c r="H83" s="459">
        <f t="shared" si="27"/>
        <v>363.68947210745171</v>
      </c>
      <c r="I83" s="459">
        <f t="shared" si="27"/>
        <v>366.5511262962072</v>
      </c>
      <c r="J83" s="459">
        <f t="shared" si="27"/>
        <v>369.0200362944363</v>
      </c>
      <c r="K83" s="459">
        <f t="shared" si="27"/>
        <v>371.32772818730052</v>
      </c>
      <c r="L83" s="459">
        <f t="shared" si="27"/>
        <v>372.45032030998294</v>
      </c>
      <c r="M83" s="459">
        <f t="shared" si="27"/>
        <v>373.06819391007264</v>
      </c>
      <c r="N83" s="459">
        <f t="shared" si="27"/>
        <v>373.4306464949272</v>
      </c>
    </row>
    <row r="84" spans="1:17">
      <c r="B84" s="338" t="str">
        <f t="shared" si="18"/>
        <v>55-59</v>
      </c>
      <c r="C84" s="459">
        <f t="shared" si="21"/>
        <v>222.28453767102098</v>
      </c>
      <c r="D84" s="459">
        <f t="shared" ref="D84:N84" si="28">D50+(0.2*D49)-(0.2*D50)</f>
        <v>200.18018667252542</v>
      </c>
      <c r="E84" s="459">
        <f t="shared" si="28"/>
        <v>188.32047675721856</v>
      </c>
      <c r="F84" s="459">
        <f t="shared" si="28"/>
        <v>190.46657518527331</v>
      </c>
      <c r="G84" s="459">
        <f t="shared" si="28"/>
        <v>195.65649222440203</v>
      </c>
      <c r="H84" s="459">
        <f t="shared" si="28"/>
        <v>196.18239631811548</v>
      </c>
      <c r="I84" s="459">
        <f t="shared" si="28"/>
        <v>195.25805295462692</v>
      </c>
      <c r="J84" s="459">
        <f t="shared" si="28"/>
        <v>195.16308010195559</v>
      </c>
      <c r="K84" s="459">
        <f t="shared" si="28"/>
        <v>195.57092993779398</v>
      </c>
      <c r="L84" s="459">
        <f t="shared" si="28"/>
        <v>195.45626208778634</v>
      </c>
      <c r="M84" s="459">
        <f t="shared" si="28"/>
        <v>195.19446390065275</v>
      </c>
      <c r="N84" s="459">
        <f t="shared" si="28"/>
        <v>194.86375886755178</v>
      </c>
    </row>
    <row r="85" spans="1:17">
      <c r="B85" s="338" t="str">
        <f t="shared" si="18"/>
        <v>60-64</v>
      </c>
      <c r="C85" s="459">
        <f t="shared" si="21"/>
        <v>84.126082437901559</v>
      </c>
      <c r="D85" s="459">
        <f t="shared" ref="D85:N85" si="29">D51+(0.2*D50)-(0.2*D51)</f>
        <v>79.040528917219575</v>
      </c>
      <c r="E85" s="459">
        <f t="shared" si="29"/>
        <v>74.097466197821106</v>
      </c>
      <c r="F85" s="459">
        <f t="shared" si="29"/>
        <v>74.785232320814984</v>
      </c>
      <c r="G85" s="459">
        <f t="shared" si="29"/>
        <v>76.190075777994451</v>
      </c>
      <c r="H85" s="459">
        <f t="shared" si="29"/>
        <v>74.769624191943379</v>
      </c>
      <c r="I85" s="459">
        <f t="shared" si="29"/>
        <v>72.821000120885529</v>
      </c>
      <c r="J85" s="459">
        <f t="shared" si="29"/>
        <v>71.710550739988335</v>
      </c>
      <c r="K85" s="459">
        <f t="shared" si="29"/>
        <v>71.172385330087295</v>
      </c>
      <c r="L85" s="459">
        <f t="shared" si="29"/>
        <v>70.557141988283774</v>
      </c>
      <c r="M85" s="459">
        <f t="shared" si="29"/>
        <v>70.029539236964737</v>
      </c>
      <c r="N85" s="459">
        <f t="shared" si="29"/>
        <v>69.581085937149965</v>
      </c>
    </row>
    <row r="86" spans="1:17">
      <c r="B86" s="338" t="str">
        <f t="shared" si="18"/>
        <v>65 plus</v>
      </c>
      <c r="C86" s="459">
        <f>C52+(0.2*C51)</f>
        <v>20.345161123596363</v>
      </c>
      <c r="D86" s="459">
        <f t="shared" ref="D86:N86" si="30">D52+(0.2*D51)</f>
        <v>23.203592664345635</v>
      </c>
      <c r="E86" s="459">
        <f t="shared" si="30"/>
        <v>24.412866523885</v>
      </c>
      <c r="F86" s="459">
        <f t="shared" si="30"/>
        <v>26.264651370361218</v>
      </c>
      <c r="G86" s="459">
        <f t="shared" si="30"/>
        <v>27.625025539559616</v>
      </c>
      <c r="H86" s="459">
        <f t="shared" si="30"/>
        <v>27.457549205916685</v>
      </c>
      <c r="I86" s="459">
        <f t="shared" si="30"/>
        <v>26.696094603314119</v>
      </c>
      <c r="J86" s="459">
        <f t="shared" si="30"/>
        <v>26.039163724278879</v>
      </c>
      <c r="K86" s="459">
        <f t="shared" si="30"/>
        <v>25.55652635013697</v>
      </c>
      <c r="L86" s="459">
        <f t="shared" si="30"/>
        <v>25.077189745349337</v>
      </c>
      <c r="M86" s="459">
        <f t="shared" si="30"/>
        <v>24.665617103263642</v>
      </c>
      <c r="N86" s="459">
        <f t="shared" si="30"/>
        <v>24.322869964006834</v>
      </c>
    </row>
    <row r="87" spans="1:17">
      <c r="B87" s="338" t="str">
        <f t="shared" si="18"/>
        <v>Total</v>
      </c>
      <c r="C87" s="459">
        <f>SUM(C77:C86)</f>
        <v>2777.5853963120326</v>
      </c>
      <c r="D87" s="459">
        <f t="shared" ref="D87:N87" si="31">SUM(D77:D86)</f>
        <v>2776.3142457888821</v>
      </c>
      <c r="E87" s="459">
        <f t="shared" si="31"/>
        <v>2817.4685738711555</v>
      </c>
      <c r="F87" s="459">
        <f t="shared" si="31"/>
        <v>3106.3776834111682</v>
      </c>
      <c r="G87" s="459">
        <f t="shared" si="31"/>
        <v>3405.0420330963457</v>
      </c>
      <c r="H87" s="459">
        <f t="shared" si="31"/>
        <v>3525.2401313762439</v>
      </c>
      <c r="I87" s="459">
        <f t="shared" si="31"/>
        <v>3565.7912287660083</v>
      </c>
      <c r="J87" s="459">
        <f t="shared" si="31"/>
        <v>3602.8245683782211</v>
      </c>
      <c r="K87" s="459">
        <f t="shared" si="31"/>
        <v>3638.5692908391961</v>
      </c>
      <c r="L87" s="459">
        <f t="shared" si="31"/>
        <v>3650.5996834018365</v>
      </c>
      <c r="M87" s="459">
        <f t="shared" si="31"/>
        <v>3651.6547698071658</v>
      </c>
      <c r="N87" s="459">
        <f t="shared" si="31"/>
        <v>3645.6426731895594</v>
      </c>
    </row>
    <row r="88" spans="1:17">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7">
      <c r="B90" s="341" t="s">
        <v>50</v>
      </c>
      <c r="H90" s="325"/>
    </row>
    <row r="91" spans="1:17">
      <c r="H91" s="325"/>
    </row>
    <row r="92" spans="1:17">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7">
      <c r="B93" s="338" t="str">
        <f t="shared" si="33"/>
        <v>20-24</v>
      </c>
      <c r="C93" s="459">
        <f>C59-(0.2*C59)</f>
        <v>258.70422299510682</v>
      </c>
      <c r="D93" s="459">
        <f t="shared" ref="D93:N93" si="35">D59-(0.2*D59)</f>
        <v>454.12327741535591</v>
      </c>
      <c r="E93" s="459">
        <f t="shared" si="35"/>
        <v>630.25988256938604</v>
      </c>
      <c r="F93" s="459">
        <f t="shared" si="35"/>
        <v>984.38635858445195</v>
      </c>
      <c r="G93" s="459">
        <f t="shared" si="35"/>
        <v>1273.4677144864615</v>
      </c>
      <c r="H93" s="459">
        <f t="shared" si="35"/>
        <v>1344.7131494133548</v>
      </c>
      <c r="I93" s="459">
        <f t="shared" si="35"/>
        <v>1332.2194469407018</v>
      </c>
      <c r="J93" s="459">
        <f t="shared" si="35"/>
        <v>1321.6802925080124</v>
      </c>
      <c r="K93" s="459">
        <f t="shared" si="35"/>
        <v>1314.6963340875077</v>
      </c>
      <c r="L93" s="459">
        <f t="shared" si="35"/>
        <v>1290.0304875411623</v>
      </c>
      <c r="M93" s="459">
        <f t="shared" si="35"/>
        <v>1262.2708436261903</v>
      </c>
      <c r="N93" s="459">
        <f t="shared" si="35"/>
        <v>1235.0689638337446</v>
      </c>
      <c r="O93" s="327"/>
      <c r="P93" s="327"/>
      <c r="Q93" s="327"/>
    </row>
    <row r="94" spans="1:17">
      <c r="B94" s="338" t="str">
        <f t="shared" si="33"/>
        <v>25-29</v>
      </c>
      <c r="C94" s="459">
        <f t="shared" ref="C94:C101" si="36">C60+(0.2*C59)-(0.2*C60)</f>
        <v>1430.4868554318844</v>
      </c>
      <c r="D94" s="459">
        <f t="shared" ref="D94:N94" si="37">D60+(0.2*D59)-(0.2*D60)</f>
        <v>1422.2678058667404</v>
      </c>
      <c r="E94" s="459">
        <f t="shared" si="37"/>
        <v>1497.9902678081012</v>
      </c>
      <c r="F94" s="459">
        <f t="shared" si="37"/>
        <v>1876.9770559509627</v>
      </c>
      <c r="G94" s="459">
        <f t="shared" si="37"/>
        <v>2259.2896617990414</v>
      </c>
      <c r="H94" s="459">
        <f t="shared" si="37"/>
        <v>2412.4023558055719</v>
      </c>
      <c r="I94" s="459">
        <f t="shared" si="37"/>
        <v>2453.9741734121726</v>
      </c>
      <c r="J94" s="459">
        <f t="shared" si="37"/>
        <v>2479.6287445388184</v>
      </c>
      <c r="K94" s="459">
        <f t="shared" si="37"/>
        <v>2496.9362473676201</v>
      </c>
      <c r="L94" s="459">
        <f t="shared" si="37"/>
        <v>2482.8984583434644</v>
      </c>
      <c r="M94" s="459">
        <f t="shared" si="37"/>
        <v>2455.383505661574</v>
      </c>
      <c r="N94" s="459">
        <f t="shared" si="37"/>
        <v>2421.1638838973986</v>
      </c>
      <c r="O94" s="327"/>
      <c r="P94" s="327"/>
      <c r="Q94" s="327"/>
    </row>
    <row r="95" spans="1:17">
      <c r="B95" s="338" t="str">
        <f t="shared" si="33"/>
        <v>30-34</v>
      </c>
      <c r="C95" s="459">
        <f t="shared" si="36"/>
        <v>1705.4963670082034</v>
      </c>
      <c r="D95" s="459">
        <f t="shared" ref="D95:N95" si="38">D61+(0.2*D60)-(0.2*D61)</f>
        <v>1703.522220764251</v>
      </c>
      <c r="E95" s="459">
        <f t="shared" si="38"/>
        <v>1728.6807881144998</v>
      </c>
      <c r="F95" s="459">
        <f t="shared" si="38"/>
        <v>1936.6674160027819</v>
      </c>
      <c r="G95" s="459">
        <f t="shared" si="38"/>
        <v>2183.5602381134568</v>
      </c>
      <c r="H95" s="459">
        <f t="shared" si="38"/>
        <v>2327.0809200602148</v>
      </c>
      <c r="I95" s="459">
        <f t="shared" si="38"/>
        <v>2409.8858813752172</v>
      </c>
      <c r="J95" s="459">
        <f t="shared" si="38"/>
        <v>2476.2526529547663</v>
      </c>
      <c r="K95" s="459">
        <f t="shared" si="38"/>
        <v>2529.483406944496</v>
      </c>
      <c r="L95" s="459">
        <f t="shared" si="38"/>
        <v>2556.0651136394508</v>
      </c>
      <c r="M95" s="459">
        <f t="shared" si="38"/>
        <v>2565.0263110334599</v>
      </c>
      <c r="N95" s="459">
        <f t="shared" si="38"/>
        <v>2560.9057610406071</v>
      </c>
      <c r="O95" s="327"/>
      <c r="P95" s="327"/>
      <c r="Q95" s="327"/>
    </row>
    <row r="96" spans="1:17">
      <c r="B96" s="338" t="str">
        <f t="shared" si="33"/>
        <v>35-39</v>
      </c>
      <c r="C96" s="459">
        <f t="shared" si="36"/>
        <v>1983.3384764540328</v>
      </c>
      <c r="D96" s="459">
        <f t="shared" ref="D96:N96" si="39">D62+(0.2*D61)-(0.2*D62)</f>
        <v>1899.7208311357729</v>
      </c>
      <c r="E96" s="459">
        <f t="shared" si="39"/>
        <v>1855.945614412733</v>
      </c>
      <c r="F96" s="459">
        <f t="shared" si="39"/>
        <v>1941.3103786057222</v>
      </c>
      <c r="G96" s="459">
        <f t="shared" si="39"/>
        <v>2059.4981156959675</v>
      </c>
      <c r="H96" s="459">
        <f t="shared" si="39"/>
        <v>2124.043280029844</v>
      </c>
      <c r="I96" s="459">
        <f t="shared" si="39"/>
        <v>2166.0948224026706</v>
      </c>
      <c r="J96" s="459">
        <f t="shared" si="39"/>
        <v>2211.2209097239115</v>
      </c>
      <c r="K96" s="459">
        <f t="shared" si="39"/>
        <v>2256.6899851410144</v>
      </c>
      <c r="L96" s="459">
        <f t="shared" si="39"/>
        <v>2290.0139368612454</v>
      </c>
      <c r="M96" s="459">
        <f t="shared" si="39"/>
        <v>2314.308468762466</v>
      </c>
      <c r="N96" s="459">
        <f t="shared" si="39"/>
        <v>2330.143493180627</v>
      </c>
      <c r="O96" s="327"/>
      <c r="P96" s="327"/>
      <c r="Q96" s="327"/>
    </row>
    <row r="97" spans="1:17">
      <c r="B97" s="338" t="str">
        <f t="shared" si="33"/>
        <v>40-44</v>
      </c>
      <c r="C97" s="459">
        <f t="shared" si="36"/>
        <v>2155.6648193808501</v>
      </c>
      <c r="D97" s="459">
        <f t="shared" ref="D97:N97" si="40">D63+(0.2*D62)-(0.2*D63)</f>
        <v>2068.4056025671407</v>
      </c>
      <c r="E97" s="459">
        <f t="shared" si="40"/>
        <v>2003.4616452730697</v>
      </c>
      <c r="F97" s="459">
        <f t="shared" si="40"/>
        <v>2041.029097792589</v>
      </c>
      <c r="G97" s="459">
        <f t="shared" si="40"/>
        <v>2099.1756037663727</v>
      </c>
      <c r="H97" s="459">
        <f t="shared" si="40"/>
        <v>2108.2662136282202</v>
      </c>
      <c r="I97" s="459">
        <f t="shared" si="40"/>
        <v>2100.8050774992789</v>
      </c>
      <c r="J97" s="459">
        <f t="shared" si="40"/>
        <v>2102.3534379944085</v>
      </c>
      <c r="K97" s="459">
        <f t="shared" si="40"/>
        <v>2112.0126594617013</v>
      </c>
      <c r="L97" s="459">
        <f t="shared" si="40"/>
        <v>2119.4324377523349</v>
      </c>
      <c r="M97" s="459">
        <f t="shared" si="40"/>
        <v>2126.8858215848368</v>
      </c>
      <c r="N97" s="459">
        <f t="shared" si="40"/>
        <v>2133.8426556460836</v>
      </c>
      <c r="O97" s="327"/>
      <c r="P97" s="327"/>
      <c r="Q97" s="327"/>
    </row>
    <row r="98" spans="1:17">
      <c r="B98" s="338" t="str">
        <f t="shared" si="33"/>
        <v>45-49</v>
      </c>
      <c r="C98" s="459">
        <f t="shared" si="36"/>
        <v>1825.1348338471939</v>
      </c>
      <c r="D98" s="459">
        <f t="shared" ref="D98:N98" si="41">D64+(0.2*D63)-(0.2*D64)</f>
        <v>1825.5370371531901</v>
      </c>
      <c r="E98" s="459">
        <f t="shared" si="41"/>
        <v>1821.8241257555626</v>
      </c>
      <c r="F98" s="459">
        <f t="shared" si="41"/>
        <v>1883.1275699770388</v>
      </c>
      <c r="G98" s="459">
        <f t="shared" si="41"/>
        <v>1946.9266432758745</v>
      </c>
      <c r="H98" s="459">
        <f t="shared" si="41"/>
        <v>1959.2704209568487</v>
      </c>
      <c r="I98" s="459">
        <f t="shared" si="41"/>
        <v>1948.8530303597622</v>
      </c>
      <c r="J98" s="459">
        <f t="shared" si="41"/>
        <v>1939.3058845060498</v>
      </c>
      <c r="K98" s="459">
        <f t="shared" si="41"/>
        <v>1932.7805683747033</v>
      </c>
      <c r="L98" s="459">
        <f t="shared" si="41"/>
        <v>1923.2292988977742</v>
      </c>
      <c r="M98" s="459">
        <f t="shared" si="41"/>
        <v>1914.2298479123665</v>
      </c>
      <c r="N98" s="459">
        <f t="shared" si="41"/>
        <v>1906.5641689937111</v>
      </c>
      <c r="O98" s="327"/>
      <c r="P98" s="327"/>
      <c r="Q98" s="327"/>
    </row>
    <row r="99" spans="1:17">
      <c r="B99" s="338" t="str">
        <f t="shared" si="33"/>
        <v>50-54</v>
      </c>
      <c r="C99" s="459">
        <f t="shared" si="36"/>
        <v>1409.7876694372571</v>
      </c>
      <c r="D99" s="459">
        <f t="shared" ref="D99:N99" si="42">D65+(0.2*D64)-(0.2*D65)</f>
        <v>1409.7779462885694</v>
      </c>
      <c r="E99" s="459">
        <f t="shared" si="42"/>
        <v>1418.8974253771114</v>
      </c>
      <c r="F99" s="459">
        <f t="shared" si="42"/>
        <v>1481.5246135651323</v>
      </c>
      <c r="G99" s="459">
        <f t="shared" si="42"/>
        <v>1546.466248759006</v>
      </c>
      <c r="H99" s="459">
        <f t="shared" si="42"/>
        <v>1570.8827362249017</v>
      </c>
      <c r="I99" s="459">
        <f t="shared" si="42"/>
        <v>1574.8182916062215</v>
      </c>
      <c r="J99" s="459">
        <f t="shared" si="42"/>
        <v>1575.3259104561857</v>
      </c>
      <c r="K99" s="459">
        <f t="shared" si="42"/>
        <v>1574.0778111791851</v>
      </c>
      <c r="L99" s="459">
        <f t="shared" si="42"/>
        <v>1567.093815561323</v>
      </c>
      <c r="M99" s="459">
        <f t="shared" si="42"/>
        <v>1557.8299007996902</v>
      </c>
      <c r="N99" s="459">
        <f t="shared" si="42"/>
        <v>1547.7257310878827</v>
      </c>
      <c r="O99" s="327"/>
      <c r="P99" s="327"/>
      <c r="Q99" s="327"/>
    </row>
    <row r="100" spans="1:17">
      <c r="B100" s="338" t="str">
        <f t="shared" si="33"/>
        <v>55-59</v>
      </c>
      <c r="C100" s="459">
        <f t="shared" si="36"/>
        <v>1042.5685407762683</v>
      </c>
      <c r="D100" s="459">
        <f t="shared" ref="D100:N100" si="43">D66+(0.2*D65)-(0.2*D66)</f>
        <v>926.99412871813172</v>
      </c>
      <c r="E100" s="459">
        <f t="shared" si="43"/>
        <v>863.60887821574192</v>
      </c>
      <c r="F100" s="459">
        <f t="shared" si="43"/>
        <v>866.42683640483779</v>
      </c>
      <c r="G100" s="459">
        <f t="shared" si="43"/>
        <v>885.50809927905573</v>
      </c>
      <c r="H100" s="459">
        <f t="shared" si="43"/>
        <v>885.22658264248741</v>
      </c>
      <c r="I100" s="459">
        <f t="shared" si="43"/>
        <v>878.46823266558306</v>
      </c>
      <c r="J100" s="459">
        <f t="shared" si="43"/>
        <v>874.82146250518542</v>
      </c>
      <c r="K100" s="459">
        <f t="shared" si="43"/>
        <v>872.80969823545843</v>
      </c>
      <c r="L100" s="459">
        <f t="shared" si="43"/>
        <v>867.97748467075894</v>
      </c>
      <c r="M100" s="459">
        <f t="shared" si="43"/>
        <v>862.06876929353052</v>
      </c>
      <c r="N100" s="459">
        <f t="shared" si="43"/>
        <v>855.58181124044131</v>
      </c>
      <c r="O100" s="327"/>
      <c r="P100" s="327"/>
      <c r="Q100" s="327"/>
    </row>
    <row r="101" spans="1:17">
      <c r="B101" s="338" t="str">
        <f t="shared" si="33"/>
        <v>60-64</v>
      </c>
      <c r="C101" s="459">
        <f t="shared" si="36"/>
        <v>383.73264370155653</v>
      </c>
      <c r="D101" s="459">
        <f t="shared" ref="D101:N101" si="44">D67+(0.2*D66)-(0.2*D67)</f>
        <v>358.83480272588542</v>
      </c>
      <c r="E101" s="459">
        <f t="shared" si="44"/>
        <v>333.35768993059753</v>
      </c>
      <c r="F101" s="459">
        <f t="shared" si="44"/>
        <v>333.38963422600659</v>
      </c>
      <c r="G101" s="459">
        <f t="shared" si="44"/>
        <v>337.17349860666405</v>
      </c>
      <c r="H101" s="459">
        <f t="shared" si="44"/>
        <v>329.13481576683381</v>
      </c>
      <c r="I101" s="459">
        <f t="shared" si="44"/>
        <v>319.46719338484417</v>
      </c>
      <c r="J101" s="459">
        <f t="shared" si="44"/>
        <v>313.84986516456109</v>
      </c>
      <c r="K101" s="459">
        <f t="shared" si="44"/>
        <v>310.76688775756963</v>
      </c>
      <c r="L101" s="459">
        <f t="shared" si="44"/>
        <v>307.20776203558592</v>
      </c>
      <c r="M101" s="459">
        <f t="shared" si="44"/>
        <v>303.89662152097071</v>
      </c>
      <c r="N101" s="459">
        <f t="shared" si="44"/>
        <v>300.79613181943898</v>
      </c>
      <c r="O101" s="327"/>
      <c r="P101" s="327"/>
      <c r="Q101" s="327"/>
    </row>
    <row r="102" spans="1:17">
      <c r="B102" s="338" t="str">
        <f t="shared" si="33"/>
        <v>65 plus</v>
      </c>
      <c r="C102" s="459">
        <f>C68+(0.2*C67)</f>
        <v>82.001933211715823</v>
      </c>
      <c r="D102" s="459">
        <f t="shared" ref="D102:N102" si="45">D68+(0.2*D67)</f>
        <v>94.266407651698287</v>
      </c>
      <c r="E102" s="459">
        <f t="shared" si="45"/>
        <v>98.762552068877426</v>
      </c>
      <c r="F102" s="459">
        <f t="shared" si="45"/>
        <v>106.01355224809723</v>
      </c>
      <c r="G102" s="459">
        <f t="shared" si="45"/>
        <v>110.86741186064432</v>
      </c>
      <c r="H102" s="459">
        <f t="shared" si="45"/>
        <v>108.99371401544721</v>
      </c>
      <c r="I102" s="459">
        <f t="shared" si="45"/>
        <v>104.92752354656483</v>
      </c>
      <c r="J102" s="459">
        <f t="shared" si="45"/>
        <v>101.73910293137088</v>
      </c>
      <c r="K102" s="459">
        <f t="shared" si="45"/>
        <v>99.527949923122463</v>
      </c>
      <c r="L102" s="459">
        <f t="shared" si="45"/>
        <v>97.389357812441219</v>
      </c>
      <c r="M102" s="459">
        <f t="shared" si="45"/>
        <v>95.564812156054614</v>
      </c>
      <c r="N102" s="459">
        <f t="shared" si="45"/>
        <v>94.021345720966366</v>
      </c>
      <c r="O102" s="327"/>
      <c r="P102" s="327"/>
      <c r="Q102" s="327"/>
    </row>
    <row r="103" spans="1:17">
      <c r="B103" s="338" t="str">
        <f t="shared" si="33"/>
        <v>Total</v>
      </c>
      <c r="C103" s="459">
        <f>SUM(C93:C102)</f>
        <v>12276.91636224407</v>
      </c>
      <c r="D103" s="459">
        <f t="shared" ref="D103:N103" si="46">SUM(D93:D102)</f>
        <v>12163.450060286736</v>
      </c>
      <c r="E103" s="459">
        <f t="shared" si="46"/>
        <v>12252.788869525681</v>
      </c>
      <c r="F103" s="459">
        <f t="shared" si="46"/>
        <v>13450.852513357622</v>
      </c>
      <c r="G103" s="459">
        <f t="shared" si="46"/>
        <v>14701.933235642546</v>
      </c>
      <c r="H103" s="459">
        <f t="shared" si="46"/>
        <v>15170.014188543726</v>
      </c>
      <c r="I103" s="459">
        <f t="shared" si="46"/>
        <v>15289.513673193018</v>
      </c>
      <c r="J103" s="459">
        <f t="shared" si="46"/>
        <v>15396.178263283271</v>
      </c>
      <c r="K103" s="459">
        <f t="shared" si="46"/>
        <v>15499.781548472378</v>
      </c>
      <c r="L103" s="459">
        <f t="shared" si="46"/>
        <v>15501.338153115541</v>
      </c>
      <c r="M103" s="459">
        <f t="shared" si="46"/>
        <v>15457.464902351141</v>
      </c>
      <c r="N103" s="459">
        <f t="shared" si="46"/>
        <v>15385.813946460901</v>
      </c>
      <c r="O103" s="327"/>
      <c r="P103" s="327"/>
      <c r="Q103" s="327"/>
    </row>
    <row r="104" spans="1:17">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7" ht="15.75">
      <c r="B106" s="340" t="s">
        <v>151</v>
      </c>
      <c r="H106" s="325"/>
    </row>
    <row r="107" spans="1:17">
      <c r="H107" s="325"/>
    </row>
    <row r="108" spans="1:17">
      <c r="B108" s="341" t="s">
        <v>49</v>
      </c>
      <c r="H108" s="325"/>
    </row>
    <row r="109" spans="1:17">
      <c r="H109" s="325"/>
    </row>
    <row r="110" spans="1:17">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7">
      <c r="B111" s="338" t="str">
        <f t="shared" si="48"/>
        <v>20-24</v>
      </c>
      <c r="C111" s="459">
        <f>C77*Group_2_rates!E74</f>
        <v>6.1620674445575796</v>
      </c>
      <c r="D111" s="459">
        <f>D77*Group_2_rates!F74</f>
        <v>11.890069824029341</v>
      </c>
      <c r="E111" s="459">
        <f>E77*Group_2_rates!G74</f>
        <v>16.926135490591534</v>
      </c>
      <c r="F111" s="459">
        <f>F77*Group_2_rates!H74</f>
        <v>26.875094947819999</v>
      </c>
      <c r="G111" s="459">
        <f>G77*Group_2_rates!I74</f>
        <v>34.852028965461379</v>
      </c>
      <c r="H111" s="459">
        <f>H77*Group_2_rates!J74</f>
        <v>36.625989452232268</v>
      </c>
      <c r="I111" s="459">
        <f>I77*Group_2_rates!K74</f>
        <v>36.082890078924606</v>
      </c>
      <c r="J111" s="459">
        <f>J77*Group_2_rates!L74</f>
        <v>35.657324426058359</v>
      </c>
      <c r="K111" s="459">
        <f>K77*Group_2_rates!M74</f>
        <v>35.374805357544325</v>
      </c>
      <c r="L111" s="459">
        <f>L77*Group_2_rates!N74</f>
        <v>34.623276365129193</v>
      </c>
      <c r="M111" s="459">
        <f>M77*Group_2_rates!O74</f>
        <v>33.81205895627658</v>
      </c>
      <c r="N111" s="459">
        <f>N77*Group_2_rates!P74</f>
        <v>33.037003838123596</v>
      </c>
      <c r="O111" s="327"/>
      <c r="P111" s="327"/>
    </row>
    <row r="112" spans="1:17">
      <c r="B112" s="338" t="str">
        <f t="shared" si="48"/>
        <v>25-29</v>
      </c>
      <c r="C112" s="459">
        <f>C78*Group_2_rates!E75</f>
        <v>34.934062704817002</v>
      </c>
      <c r="D112" s="459">
        <f>D78*Group_2_rates!F75</f>
        <v>34.315028102974487</v>
      </c>
      <c r="E112" s="459">
        <f>E78*Group_2_rates!G75</f>
        <v>35.887476537257662</v>
      </c>
      <c r="F112" s="459">
        <f>F78*Group_2_rates!H75</f>
        <v>44.941410629165468</v>
      </c>
      <c r="G112" s="459">
        <f>G78*Group_2_rates!I75</f>
        <v>54.040351083848549</v>
      </c>
      <c r="H112" s="459">
        <f>H78*Group_2_rates!J75</f>
        <v>57.490845171650541</v>
      </c>
      <c r="I112" s="459">
        <f>I78*Group_2_rates!K75</f>
        <v>58.230104163564519</v>
      </c>
      <c r="J112" s="459">
        <f>J78*Group_2_rates!L75</f>
        <v>58.624548204661252</v>
      </c>
      <c r="K112" s="459">
        <f>K78*Group_2_rates!M75</f>
        <v>58.858605410712592</v>
      </c>
      <c r="L112" s="459">
        <f>L78*Group_2_rates!N75</f>
        <v>58.364814308149136</v>
      </c>
      <c r="M112" s="459">
        <f>M78*Group_2_rates!O75</f>
        <v>57.58031850212582</v>
      </c>
      <c r="N112" s="459">
        <f>N78*Group_2_rates!P75</f>
        <v>56.666327903024296</v>
      </c>
      <c r="O112" s="327"/>
      <c r="P112" s="327"/>
    </row>
    <row r="113" spans="1:16">
      <c r="B113" s="338" t="str">
        <f t="shared" si="48"/>
        <v>30-34</v>
      </c>
      <c r="C113" s="459">
        <f>C79*Group_2_rates!E76</f>
        <v>29.189092203744892</v>
      </c>
      <c r="D113" s="459">
        <f>D79*Group_2_rates!F76</f>
        <v>29.118966672931112</v>
      </c>
      <c r="E113" s="459">
        <f>E79*Group_2_rates!G76</f>
        <v>29.445457408837211</v>
      </c>
      <c r="F113" s="459">
        <f>F79*Group_2_rates!H76</f>
        <v>32.702145242962963</v>
      </c>
      <c r="G113" s="459">
        <f>G79*Group_2_rates!I76</f>
        <v>36.627084460955018</v>
      </c>
      <c r="H113" s="459">
        <f>H79*Group_2_rates!J76</f>
        <v>38.928948667722075</v>
      </c>
      <c r="I113" s="459">
        <f>I79*Group_2_rates!K76</f>
        <v>40.256635372780927</v>
      </c>
      <c r="J113" s="459">
        <f>J79*Group_2_rates!L76</f>
        <v>41.309838312201727</v>
      </c>
      <c r="K113" s="459">
        <f>K79*Group_2_rates!M76</f>
        <v>42.14544927891891</v>
      </c>
      <c r="L113" s="459">
        <f>L79*Group_2_rates!N76</f>
        <v>42.549747409831859</v>
      </c>
      <c r="M113" s="459">
        <f>M79*Group_2_rates!O76</f>
        <v>42.666761640335224</v>
      </c>
      <c r="N113" s="459">
        <f>N79*Group_2_rates!P76</f>
        <v>42.570619929206835</v>
      </c>
      <c r="O113" s="327"/>
      <c r="P113" s="327"/>
    </row>
    <row r="114" spans="1:16">
      <c r="B114" s="338" t="str">
        <f t="shared" si="48"/>
        <v>35-39</v>
      </c>
      <c r="C114" s="459">
        <f>C80*Group_2_rates!E77</f>
        <v>27.790749471846429</v>
      </c>
      <c r="D114" s="459">
        <f>D80*Group_2_rates!F77</f>
        <v>27.35172320282194</v>
      </c>
      <c r="E114" s="459">
        <f>E80*Group_2_rates!G77</f>
        <v>27.25950196651814</v>
      </c>
      <c r="F114" s="459">
        <f>F80*Group_2_rates!H77</f>
        <v>28.800927331412034</v>
      </c>
      <c r="G114" s="459">
        <f>G80*Group_2_rates!I77</f>
        <v>30.721851797159889</v>
      </c>
      <c r="H114" s="459">
        <f>H80*Group_2_rates!J77</f>
        <v>31.863883019543334</v>
      </c>
      <c r="I114" s="459">
        <f>I80*Group_2_rates!K77</f>
        <v>32.65470490797896</v>
      </c>
      <c r="J114" s="459">
        <f>J80*Group_2_rates!L77</f>
        <v>33.449040686214978</v>
      </c>
      <c r="K114" s="459">
        <f>K80*Group_2_rates!M77</f>
        <v>34.216976565358493</v>
      </c>
      <c r="L114" s="459">
        <f>L80*Group_2_rates!N77</f>
        <v>34.792237847806753</v>
      </c>
      <c r="M114" s="459">
        <f>M80*Group_2_rates!O77</f>
        <v>35.219355308599432</v>
      </c>
      <c r="N114" s="459">
        <f>N80*Group_2_rates!P77</f>
        <v>35.508392977407702</v>
      </c>
      <c r="O114" s="327"/>
      <c r="P114" s="327"/>
    </row>
    <row r="115" spans="1:16">
      <c r="B115" s="338" t="str">
        <f t="shared" si="48"/>
        <v>40-44</v>
      </c>
      <c r="C115" s="459">
        <f>C81*Group_2_rates!E78</f>
        <v>30.558848744020864</v>
      </c>
      <c r="D115" s="459">
        <f>D81*Group_2_rates!F78</f>
        <v>29.988849640180529</v>
      </c>
      <c r="E115" s="459">
        <f>E81*Group_2_rates!G78</f>
        <v>29.694198869179086</v>
      </c>
      <c r="F115" s="459">
        <f>F81*Group_2_rates!H78</f>
        <v>30.827621210866976</v>
      </c>
      <c r="G115" s="459">
        <f>G81*Group_2_rates!I78</f>
        <v>32.19699138581246</v>
      </c>
      <c r="H115" s="459">
        <f>H81*Group_2_rates!J78</f>
        <v>32.788110565915119</v>
      </c>
      <c r="I115" s="459">
        <f>I81*Group_2_rates!K78</f>
        <v>33.075826206175741</v>
      </c>
      <c r="J115" s="459">
        <f>J81*Group_2_rates!L78</f>
        <v>33.438749050005306</v>
      </c>
      <c r="K115" s="459">
        <f>K81*Group_2_rates!M78</f>
        <v>33.871536952787245</v>
      </c>
      <c r="L115" s="459">
        <f>L81*Group_2_rates!N78</f>
        <v>34.229648800727773</v>
      </c>
      <c r="M115" s="459">
        <f>M81*Group_2_rates!O78</f>
        <v>34.551009467722153</v>
      </c>
      <c r="N115" s="459">
        <f>N81*Group_2_rates!P78</f>
        <v>34.832048280059972</v>
      </c>
      <c r="O115" s="327"/>
      <c r="P115" s="327"/>
    </row>
    <row r="116" spans="1:16">
      <c r="B116" s="338" t="str">
        <f t="shared" si="48"/>
        <v>45-49</v>
      </c>
      <c r="C116" s="459">
        <f>C82*Group_2_rates!E79</f>
        <v>30.159296769187034</v>
      </c>
      <c r="D116" s="459">
        <f>D82*Group_2_rates!F79</f>
        <v>30.241605816195936</v>
      </c>
      <c r="E116" s="459">
        <f>E82*Group_2_rates!G79</f>
        <v>30.382831747002324</v>
      </c>
      <c r="F116" s="459">
        <f>F82*Group_2_rates!H79</f>
        <v>31.683085664843812</v>
      </c>
      <c r="G116" s="459">
        <f>G82*Group_2_rates!I79</f>
        <v>33.081546276672114</v>
      </c>
      <c r="H116" s="459">
        <f>H82*Group_2_rates!J79</f>
        <v>33.657888336498154</v>
      </c>
      <c r="I116" s="459">
        <f>I82*Group_2_rates!K79</f>
        <v>33.859139357267416</v>
      </c>
      <c r="J116" s="459">
        <f>J82*Group_2_rates!L79</f>
        <v>34.059870362973093</v>
      </c>
      <c r="K116" s="459">
        <f>K82*Group_2_rates!M79</f>
        <v>34.287971777123886</v>
      </c>
      <c r="L116" s="459">
        <f>L82*Group_2_rates!N79</f>
        <v>34.439550753108975</v>
      </c>
      <c r="M116" s="459">
        <f>M82*Group_2_rates!O79</f>
        <v>34.571431756230545</v>
      </c>
      <c r="N116" s="459">
        <f>N82*Group_2_rates!P79</f>
        <v>34.696263241952686</v>
      </c>
      <c r="O116" s="327"/>
      <c r="P116" s="327"/>
    </row>
    <row r="117" spans="1:16">
      <c r="B117" s="338" t="str">
        <f t="shared" si="48"/>
        <v>50-54</v>
      </c>
      <c r="C117" s="459">
        <f>C83*Group_2_rates!E80</f>
        <v>24.462121121954951</v>
      </c>
      <c r="D117" s="459">
        <f>D83*Group_2_rates!F80</f>
        <v>24.357588502524834</v>
      </c>
      <c r="E117" s="459">
        <f>E83*Group_2_rates!G80</f>
        <v>24.451292355084679</v>
      </c>
      <c r="F117" s="459">
        <f>F83*Group_2_rates!H80</f>
        <v>25.505070981342772</v>
      </c>
      <c r="G117" s="459">
        <f>G83*Group_2_rates!I80</f>
        <v>26.656444715400092</v>
      </c>
      <c r="H117" s="459">
        <f>H83*Group_2_rates!J80</f>
        <v>27.175489655830003</v>
      </c>
      <c r="I117" s="459">
        <f>I83*Group_2_rates!K80</f>
        <v>27.389317274634738</v>
      </c>
      <c r="J117" s="459">
        <f>J83*Group_2_rates!L80</f>
        <v>27.573798386307466</v>
      </c>
      <c r="K117" s="459">
        <f>K83*Group_2_rates!M80</f>
        <v>27.746233009723912</v>
      </c>
      <c r="L117" s="459">
        <f>L83*Group_2_rates!N80</f>
        <v>27.830114983103279</v>
      </c>
      <c r="M117" s="459">
        <f>M83*Group_2_rates!O80</f>
        <v>27.876283538741003</v>
      </c>
      <c r="N117" s="459">
        <f>N83*Group_2_rates!P80</f>
        <v>27.903366606098899</v>
      </c>
      <c r="O117" s="327"/>
      <c r="P117" s="327"/>
    </row>
    <row r="118" spans="1:16">
      <c r="B118" s="338" t="str">
        <f t="shared" si="48"/>
        <v>55-59</v>
      </c>
      <c r="C118" s="459">
        <f>C84*Group_2_rates!E81</f>
        <v>11.659721934904216</v>
      </c>
      <c r="D118" s="459">
        <f>D84*Group_2_rates!F81</f>
        <v>10.50025943294909</v>
      </c>
      <c r="E118" s="459">
        <f>E84*Group_2_rates!G81</f>
        <v>9.8781697397570287</v>
      </c>
      <c r="F118" s="459">
        <f>F84*Group_2_rates!H81</f>
        <v>9.9907412716243833</v>
      </c>
      <c r="G118" s="459">
        <f>G84*Group_2_rates!I81</f>
        <v>10.262973385362411</v>
      </c>
      <c r="H118" s="459">
        <f>H84*Group_2_rates!J81</f>
        <v>10.29055917950434</v>
      </c>
      <c r="I118" s="459">
        <f>I84*Group_2_rates!K81</f>
        <v>10.242073636139189</v>
      </c>
      <c r="J118" s="459">
        <f>J84*Group_2_rates!L81</f>
        <v>10.237091926367045</v>
      </c>
      <c r="K118" s="459">
        <f>K84*Group_2_rates!M81</f>
        <v>10.25848529779493</v>
      </c>
      <c r="L118" s="459">
        <f>L84*Group_2_rates!N81</f>
        <v>10.252470505853166</v>
      </c>
      <c r="M118" s="459">
        <f>M84*Group_2_rates!O81</f>
        <v>10.238738133385779</v>
      </c>
      <c r="N118" s="459">
        <f>N84*Group_2_rates!P81</f>
        <v>10.221391318493339</v>
      </c>
      <c r="O118" s="327"/>
      <c r="P118" s="327"/>
    </row>
    <row r="119" spans="1:16">
      <c r="B119" s="338" t="str">
        <f t="shared" si="48"/>
        <v>60-64</v>
      </c>
      <c r="C119" s="459">
        <f>C85*Group_2_rates!E82</f>
        <v>1.5741542775938686</v>
      </c>
      <c r="D119" s="459">
        <f>D85*Group_2_rates!F82</f>
        <v>1.4789941845938956</v>
      </c>
      <c r="E119" s="459">
        <f>E85*Group_2_rates!G82</f>
        <v>1.3865003574874259</v>
      </c>
      <c r="F119" s="459">
        <f>F85*Group_2_rates!H82</f>
        <v>1.3993697310885815</v>
      </c>
      <c r="G119" s="459">
        <f>G85*Group_2_rates!I82</f>
        <v>1.4256569451532708</v>
      </c>
      <c r="H119" s="459">
        <f>H85*Group_2_rates!J82</f>
        <v>1.3990776741887894</v>
      </c>
      <c r="I119" s="459">
        <f>I85*Group_2_rates!K82</f>
        <v>1.3626153211588317</v>
      </c>
      <c r="J119" s="459">
        <f>J85*Group_2_rates!L82</f>
        <v>1.3418367636373745</v>
      </c>
      <c r="K119" s="459">
        <f>K85*Group_2_rates!M82</f>
        <v>1.3317666955027492</v>
      </c>
      <c r="L119" s="459">
        <f>L85*Group_2_rates!N82</f>
        <v>1.3202543569961265</v>
      </c>
      <c r="M119" s="459">
        <f>M85*Group_2_rates!O82</f>
        <v>1.3103819356995303</v>
      </c>
      <c r="N119" s="459">
        <f>N85*Group_2_rates!P82</f>
        <v>1.3019905467301747</v>
      </c>
      <c r="O119" s="327"/>
      <c r="P119" s="327"/>
    </row>
    <row r="120" spans="1:16">
      <c r="B120" s="338" t="str">
        <f t="shared" si="48"/>
        <v>65 plus</v>
      </c>
      <c r="C120" s="459">
        <f>C86*Group_2_rates!E83</f>
        <v>0.46476615165091129</v>
      </c>
      <c r="D120" s="459">
        <f>D86*Group_2_rates!F83</f>
        <v>0.53006434314131068</v>
      </c>
      <c r="E120" s="459">
        <f>E86*Group_2_rates!G83</f>
        <v>0.55768907191961026</v>
      </c>
      <c r="F120" s="459">
        <f>F86*Group_2_rates!H83</f>
        <v>0.59999136245217555</v>
      </c>
      <c r="G120" s="459">
        <f>G86*Group_2_rates!I83</f>
        <v>0.63106783629196017</v>
      </c>
      <c r="H120" s="459">
        <f>H86*Group_2_rates!J83</f>
        <v>0.62724199629949373</v>
      </c>
      <c r="I120" s="459">
        <f>I86*Group_2_rates!K83</f>
        <v>0.60984727904173675</v>
      </c>
      <c r="J120" s="459">
        <f>J86*Group_2_rates!L83</f>
        <v>0.59484030835740287</v>
      </c>
      <c r="K120" s="459">
        <f>K86*Group_2_rates!M83</f>
        <v>0.58381490955814364</v>
      </c>
      <c r="L120" s="459">
        <f>L86*Group_2_rates!N83</f>
        <v>0.57286491374345416</v>
      </c>
      <c r="M120" s="459">
        <f>M86*Group_2_rates!O83</f>
        <v>0.5634629221924945</v>
      </c>
      <c r="N120" s="459">
        <f>N86*Group_2_rates!P83</f>
        <v>0.55563318479528157</v>
      </c>
      <c r="O120" s="327"/>
      <c r="P120" s="327"/>
    </row>
    <row r="121" spans="1:16">
      <c r="B121" s="338" t="str">
        <f t="shared" si="48"/>
        <v>Total</v>
      </c>
      <c r="C121" s="459">
        <f>SUM(C111:C120)</f>
        <v>196.95488082427769</v>
      </c>
      <c r="D121" s="459">
        <f t="shared" ref="D121:N121" si="50">SUM(D111:D120)</f>
        <v>199.77314972234248</v>
      </c>
      <c r="E121" s="459">
        <f t="shared" si="50"/>
        <v>205.8692535436347</v>
      </c>
      <c r="F121" s="459">
        <f t="shared" si="50"/>
        <v>233.32545837357915</v>
      </c>
      <c r="G121" s="459">
        <f t="shared" si="50"/>
        <v>260.49599685211712</v>
      </c>
      <c r="H121" s="459">
        <f t="shared" si="50"/>
        <v>270.84803371938415</v>
      </c>
      <c r="I121" s="459">
        <f t="shared" si="50"/>
        <v>273.7631535976667</v>
      </c>
      <c r="J121" s="459">
        <f t="shared" si="50"/>
        <v>276.28693842678399</v>
      </c>
      <c r="K121" s="459">
        <f t="shared" si="50"/>
        <v>278.67564525502519</v>
      </c>
      <c r="L121" s="459">
        <f t="shared" si="50"/>
        <v>278.97498024444974</v>
      </c>
      <c r="M121" s="459">
        <f t="shared" si="50"/>
        <v>278.38980216130852</v>
      </c>
      <c r="N121" s="459">
        <f t="shared" si="50"/>
        <v>277.29303782589278</v>
      </c>
      <c r="O121" s="327"/>
      <c r="P121" s="327"/>
    </row>
    <row r="122" spans="1:16">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6">
      <c r="B124" s="341" t="s">
        <v>50</v>
      </c>
      <c r="C124" s="329"/>
      <c r="D124" s="329"/>
      <c r="E124" s="329"/>
      <c r="F124" s="329"/>
      <c r="G124" s="329"/>
      <c r="H124" s="339"/>
      <c r="I124" s="329"/>
      <c r="J124" s="329"/>
      <c r="K124" s="329"/>
      <c r="L124" s="329"/>
    </row>
    <row r="125" spans="1:16">
      <c r="C125" s="329"/>
      <c r="D125" s="329"/>
      <c r="E125" s="329"/>
      <c r="F125" s="329"/>
      <c r="G125" s="329"/>
      <c r="H125" s="339"/>
      <c r="I125" s="329"/>
      <c r="J125" s="329"/>
      <c r="K125" s="329"/>
      <c r="L125" s="329"/>
    </row>
    <row r="126" spans="1:16">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6">
      <c r="B127" s="338" t="str">
        <f t="shared" si="52"/>
        <v>20-24</v>
      </c>
      <c r="C127" s="459">
        <f>C93*Group_2_rates!E89</f>
        <v>27.423237189904437</v>
      </c>
      <c r="D127" s="459">
        <f>D93*Group_2_rates!F89</f>
        <v>48.138102292414551</v>
      </c>
      <c r="E127" s="459">
        <f>E93*Group_2_rates!G89</f>
        <v>66.808983830575116</v>
      </c>
      <c r="F127" s="459">
        <f>F93*Group_2_rates!H89</f>
        <v>104.34719729518423</v>
      </c>
      <c r="G127" s="459">
        <f>G93*Group_2_rates!I89</f>
        <v>134.99047979865512</v>
      </c>
      <c r="H127" s="459">
        <f>H93*Group_2_rates!J89</f>
        <v>142.54265825975062</v>
      </c>
      <c r="I127" s="459">
        <f>I93*Group_2_rates!K89</f>
        <v>141.21829732616766</v>
      </c>
      <c r="J127" s="459">
        <f>J93*Group_2_rates!L89</f>
        <v>140.10112293897512</v>
      </c>
      <c r="K127" s="459">
        <f>K93*Group_2_rates!M89</f>
        <v>139.36080743089178</v>
      </c>
      <c r="L127" s="459">
        <f>L93*Group_2_rates!N89</f>
        <v>136.74617148680437</v>
      </c>
      <c r="M127" s="459">
        <f>M93*Group_2_rates!O89</f>
        <v>133.80358597129091</v>
      </c>
      <c r="N127" s="459">
        <f>N93*Group_2_rates!P89</f>
        <v>130.9201247238353</v>
      </c>
    </row>
    <row r="128" spans="1:16">
      <c r="B128" s="338" t="str">
        <f t="shared" si="52"/>
        <v>25-29</v>
      </c>
      <c r="C128" s="459">
        <f>C94*Group_2_rates!E90</f>
        <v>142.36811563033919</v>
      </c>
      <c r="D128" s="459">
        <f>D94*Group_2_rates!F90</f>
        <v>141.55012097738683</v>
      </c>
      <c r="E128" s="459">
        <f>E94*Group_2_rates!G90</f>
        <v>149.08634137434171</v>
      </c>
      <c r="F128" s="459">
        <f>F94*Group_2_rates!H90</f>
        <v>186.80471304047197</v>
      </c>
      <c r="G128" s="459">
        <f>G94*Group_2_rates!I90</f>
        <v>224.85408418263646</v>
      </c>
      <c r="H128" s="459">
        <f>H94*Group_2_rates!J90</f>
        <v>240.0925085288799</v>
      </c>
      <c r="I128" s="459">
        <f>I94*Group_2_rates!K90</f>
        <v>244.22991203839558</v>
      </c>
      <c r="J128" s="459">
        <f>J94*Group_2_rates!L90</f>
        <v>246.78316370564167</v>
      </c>
      <c r="K128" s="459">
        <f>K94*Group_2_rates!M90</f>
        <v>248.50567975299069</v>
      </c>
      <c r="L128" s="459">
        <f>L94*Group_2_rates!N90</f>
        <v>247.10857948366879</v>
      </c>
      <c r="M128" s="459">
        <f>M94*Group_2_rates!O90</f>
        <v>244.3701747579602</v>
      </c>
      <c r="N128" s="459">
        <f>N94*Group_2_rates!P90</f>
        <v>240.96449294435297</v>
      </c>
    </row>
    <row r="129" spans="1:14">
      <c r="B129" s="338" t="str">
        <f t="shared" si="52"/>
        <v>30-34</v>
      </c>
      <c r="C129" s="459">
        <f>C95*Group_2_rates!E91</f>
        <v>157.40687678431473</v>
      </c>
      <c r="D129" s="459">
        <f>D95*Group_2_rates!F91</f>
        <v>157.22467516806554</v>
      </c>
      <c r="E129" s="459">
        <f>E95*Group_2_rates!G91</f>
        <v>159.54665696033251</v>
      </c>
      <c r="F129" s="459">
        <f>F95*Group_2_rates!H91</f>
        <v>178.74254980543199</v>
      </c>
      <c r="G129" s="459">
        <f>G95*Group_2_rates!I91</f>
        <v>201.52924626558331</v>
      </c>
      <c r="H129" s="459">
        <f>H95*Group_2_rates!J91</f>
        <v>214.77532684142395</v>
      </c>
      <c r="I129" s="459">
        <f>I95*Group_2_rates!K91</f>
        <v>222.41771799216266</v>
      </c>
      <c r="J129" s="459">
        <f>J95*Group_2_rates!L91</f>
        <v>228.54296483447658</v>
      </c>
      <c r="K129" s="459">
        <f>K95*Group_2_rates!M91</f>
        <v>233.45583764762475</v>
      </c>
      <c r="L129" s="459">
        <f>L95*Group_2_rates!N91</f>
        <v>235.90916649158436</v>
      </c>
      <c r="M129" s="459">
        <f>M95*Group_2_rates!O91</f>
        <v>236.73623016719517</v>
      </c>
      <c r="N129" s="459">
        <f>N95*Group_2_rates!P91</f>
        <v>236.35592862123153</v>
      </c>
    </row>
    <row r="130" spans="1:14">
      <c r="B130" s="338" t="str">
        <f t="shared" si="52"/>
        <v>35-39</v>
      </c>
      <c r="C130" s="459">
        <f>C96*Group_2_rates!E92</f>
        <v>160.97120276989918</v>
      </c>
      <c r="D130" s="459">
        <f>D96*Group_2_rates!F92</f>
        <v>154.18464913850286</v>
      </c>
      <c r="E130" s="459">
        <f>E96*Group_2_rates!G92</f>
        <v>150.63177635804882</v>
      </c>
      <c r="F130" s="459">
        <f>F96*Group_2_rates!H92</f>
        <v>157.56012919819639</v>
      </c>
      <c r="G130" s="459">
        <f>G96*Group_2_rates!I92</f>
        <v>167.15245164740512</v>
      </c>
      <c r="H130" s="459">
        <f>H96*Group_2_rates!J92</f>
        <v>172.39104952626076</v>
      </c>
      <c r="I130" s="459">
        <f>I96*Group_2_rates!K92</f>
        <v>175.80402589637868</v>
      </c>
      <c r="J130" s="459">
        <f>J96*Group_2_rates!L92</f>
        <v>179.46653768578679</v>
      </c>
      <c r="K130" s="459">
        <f>K96*Group_2_rates!M92</f>
        <v>183.15688698602938</v>
      </c>
      <c r="L130" s="459">
        <f>L96*Group_2_rates!N92</f>
        <v>185.86151690832187</v>
      </c>
      <c r="M130" s="459">
        <f>M96*Group_2_rates!O92</f>
        <v>187.83330340230603</v>
      </c>
      <c r="N130" s="459">
        <f>N96*Group_2_rates!P92</f>
        <v>189.11850154510583</v>
      </c>
    </row>
    <row r="131" spans="1:14">
      <c r="B131" s="338" t="str">
        <f t="shared" si="52"/>
        <v>40-44</v>
      </c>
      <c r="C131" s="459">
        <f>C97*Group_2_rates!E93</f>
        <v>161.66886265510732</v>
      </c>
      <c r="D131" s="459">
        <f>D97*Group_2_rates!F93</f>
        <v>155.12466421961045</v>
      </c>
      <c r="E131" s="459">
        <f>E97*Group_2_rates!G93</f>
        <v>150.25404814903322</v>
      </c>
      <c r="F131" s="459">
        <f>F97*Group_2_rates!H93</f>
        <v>153.07150254503941</v>
      </c>
      <c r="G131" s="459">
        <f>G97*Group_2_rates!I93</f>
        <v>157.43232868258801</v>
      </c>
      <c r="H131" s="459">
        <f>H97*Group_2_rates!J93</f>
        <v>158.11409912481673</v>
      </c>
      <c r="I131" s="459">
        <f>I97*Group_2_rates!K93</f>
        <v>157.5545346780456</v>
      </c>
      <c r="J131" s="459">
        <f>J97*Group_2_rates!L93</f>
        <v>157.67065740639239</v>
      </c>
      <c r="K131" s="459">
        <f>K97*Group_2_rates!M93</f>
        <v>158.39507213669333</v>
      </c>
      <c r="L131" s="459">
        <f>L97*Group_2_rates!N93</f>
        <v>158.95153486068227</v>
      </c>
      <c r="M131" s="459">
        <f>M97*Group_2_rates!O93</f>
        <v>159.51051790679361</v>
      </c>
      <c r="N131" s="459">
        <f>N97*Group_2_rates!P93</f>
        <v>160.03226110186284</v>
      </c>
    </row>
    <row r="132" spans="1:14">
      <c r="B132" s="338" t="str">
        <f t="shared" si="52"/>
        <v>45-49</v>
      </c>
      <c r="C132" s="459">
        <f>C98*Group_2_rates!E94</f>
        <v>150.53453365613606</v>
      </c>
      <c r="D132" s="459">
        <f>D98*Group_2_rates!F94</f>
        <v>150.56770681462291</v>
      </c>
      <c r="E132" s="459">
        <f>E98*Group_2_rates!G94</f>
        <v>150.26147114623109</v>
      </c>
      <c r="F132" s="459">
        <f>F98*Group_2_rates!H94</f>
        <v>155.3176923175418</v>
      </c>
      <c r="G132" s="459">
        <f>G98*Group_2_rates!I94</f>
        <v>160.57974943717375</v>
      </c>
      <c r="H132" s="459">
        <f>H98*Group_2_rates!J94</f>
        <v>161.59784672089259</v>
      </c>
      <c r="I132" s="459">
        <f>I98*Group_2_rates!K94</f>
        <v>160.7386351128709</v>
      </c>
      <c r="J132" s="459">
        <f>J98*Group_2_rates!L94</f>
        <v>159.95120005756252</v>
      </c>
      <c r="K132" s="459">
        <f>K98*Group_2_rates!M94</f>
        <v>159.41300123379642</v>
      </c>
      <c r="L132" s="459">
        <f>L98*Group_2_rates!N94</f>
        <v>158.62522606789108</v>
      </c>
      <c r="M132" s="459">
        <f>M98*Group_2_rates!O94</f>
        <v>157.88296410886969</v>
      </c>
      <c r="N132" s="459">
        <f>N98*Group_2_rates!P94</f>
        <v>157.25070977906486</v>
      </c>
    </row>
    <row r="133" spans="1:14">
      <c r="B133" s="338" t="str">
        <f t="shared" si="52"/>
        <v>50-54</v>
      </c>
      <c r="C133" s="459">
        <f>C99*Group_2_rates!E95</f>
        <v>114.66130366635673</v>
      </c>
      <c r="D133" s="459">
        <f>D99*Group_2_rates!F95</f>
        <v>114.66051286010382</v>
      </c>
      <c r="E133" s="459">
        <f>E99*Group_2_rates!G95</f>
        <v>115.40222126323356</v>
      </c>
      <c r="F133" s="459">
        <f>F99*Group_2_rates!H95</f>
        <v>120.49583585376486</v>
      </c>
      <c r="G133" s="459">
        <f>G99*Group_2_rates!I95</f>
        <v>125.77768979176025</v>
      </c>
      <c r="H133" s="459">
        <f>H99*Group_2_rates!J95</f>
        <v>127.76353939485004</v>
      </c>
      <c r="I133" s="459">
        <f>I99*Group_2_rates!K95</f>
        <v>128.08362724953628</v>
      </c>
      <c r="J133" s="459">
        <f>J99*Group_2_rates!L95</f>
        <v>128.12491306892903</v>
      </c>
      <c r="K133" s="459">
        <f>K99*Group_2_rates!M95</f>
        <v>128.02340225754347</v>
      </c>
      <c r="L133" s="459">
        <f>L99*Group_2_rates!N95</f>
        <v>127.45537768213784</v>
      </c>
      <c r="M133" s="459">
        <f>M99*Group_2_rates!O95</f>
        <v>126.70192199044007</v>
      </c>
      <c r="N133" s="459">
        <f>N99*Group_2_rates!P95</f>
        <v>125.88012641317812</v>
      </c>
    </row>
    <row r="134" spans="1:14">
      <c r="B134" s="338" t="str">
        <f t="shared" si="52"/>
        <v>55-59</v>
      </c>
      <c r="C134" s="459">
        <f>C100*Group_2_rates!E96</f>
        <v>52.589308288213502</v>
      </c>
      <c r="D134" s="459">
        <f>D100*Group_2_rates!F96</f>
        <v>46.759496483774377</v>
      </c>
      <c r="E134" s="459">
        <f>E100*Group_2_rates!G96</f>
        <v>43.562213668091232</v>
      </c>
      <c r="F134" s="459">
        <f>F100*Group_2_rates!H96</f>
        <v>43.704357293333665</v>
      </c>
      <c r="G134" s="459">
        <f>G100*Group_2_rates!I96</f>
        <v>44.666855562342946</v>
      </c>
      <c r="H134" s="459">
        <f>H100*Group_2_rates!J96</f>
        <v>44.652655282352022</v>
      </c>
      <c r="I134" s="459">
        <f>I100*Group_2_rates!K96</f>
        <v>44.311750165274127</v>
      </c>
      <c r="J134" s="459">
        <f>J100*Group_2_rates!L96</f>
        <v>44.127799554143458</v>
      </c>
      <c r="K134" s="459">
        <f>K100*Group_2_rates!M96</f>
        <v>44.026322013582799</v>
      </c>
      <c r="L134" s="459">
        <f>L100*Group_2_rates!N96</f>
        <v>43.78257519125949</v>
      </c>
      <c r="M134" s="459">
        <f>M100*Group_2_rates!O96</f>
        <v>43.48452739640755</v>
      </c>
      <c r="N134" s="459">
        <f>N100*Group_2_rates!P96</f>
        <v>43.157311847919381</v>
      </c>
    </row>
    <row r="135" spans="1:14">
      <c r="B135" s="338" t="str">
        <f t="shared" si="52"/>
        <v>60-64</v>
      </c>
      <c r="C135" s="459">
        <f>C101*Group_2_rates!E97</f>
        <v>8.4160729932668197</v>
      </c>
      <c r="D135" s="459">
        <f>D101*Group_2_rates!F97</f>
        <v>7.8700103883116723</v>
      </c>
      <c r="E135" s="459">
        <f>E101*Group_2_rates!G97</f>
        <v>7.311243120365619</v>
      </c>
      <c r="F135" s="459">
        <f>F101*Group_2_rates!H97</f>
        <v>7.3119437267025935</v>
      </c>
      <c r="G135" s="459">
        <f>G101*Group_2_rates!I97</f>
        <v>7.3949319200370205</v>
      </c>
      <c r="H135" s="459">
        <f>H101*Group_2_rates!J97</f>
        <v>7.2186265088081809</v>
      </c>
      <c r="I135" s="459">
        <f>I101*Group_2_rates!K97</f>
        <v>7.0065949890153423</v>
      </c>
      <c r="J135" s="459">
        <f>J101*Group_2_rates!L97</f>
        <v>6.8833950342942414</v>
      </c>
      <c r="K135" s="459">
        <f>K101*Group_2_rates!M97</f>
        <v>6.8157787829283238</v>
      </c>
      <c r="L135" s="459">
        <f>L101*Group_2_rates!N97</f>
        <v>6.7377195863494554</v>
      </c>
      <c r="M135" s="459">
        <f>M101*Group_2_rates!O97</f>
        <v>6.6650992327794381</v>
      </c>
      <c r="N135" s="459">
        <f>N101*Group_2_rates!P97</f>
        <v>6.5970988995493647</v>
      </c>
    </row>
    <row r="136" spans="1:14">
      <c r="B136" s="338" t="str">
        <f t="shared" si="52"/>
        <v>65 plus</v>
      </c>
      <c r="C136" s="459">
        <f>C102*Group_2_rates!E98</f>
        <v>2.8805700322415633</v>
      </c>
      <c r="D136" s="459">
        <f>D102*Group_2_rates!F98</f>
        <v>3.3113974060522895</v>
      </c>
      <c r="E136" s="459">
        <f>E102*Group_2_rates!G98</f>
        <v>3.4693383028274649</v>
      </c>
      <c r="F136" s="459">
        <f>F102*Group_2_rates!H98</f>
        <v>3.7240519784930353</v>
      </c>
      <c r="G136" s="459">
        <f>G102*Group_2_rates!I98</f>
        <v>3.8945587213586195</v>
      </c>
      <c r="H136" s="459">
        <f>H102*Group_2_rates!J98</f>
        <v>3.8287393235596019</v>
      </c>
      <c r="I136" s="459">
        <f>I102*Group_2_rates!K98</f>
        <v>3.6859018811811652</v>
      </c>
      <c r="J136" s="459">
        <f>J102*Group_2_rates!L98</f>
        <v>3.5738988037586359</v>
      </c>
      <c r="K136" s="459">
        <f>K102*Group_2_rates!M98</f>
        <v>3.4962252557970719</v>
      </c>
      <c r="L136" s="459">
        <f>L102*Group_2_rates!N98</f>
        <v>3.4211006324627466</v>
      </c>
      <c r="M136" s="459">
        <f>M102*Group_2_rates!O98</f>
        <v>3.3570078564220367</v>
      </c>
      <c r="N136" s="459">
        <f>N102*Group_2_rates!P98</f>
        <v>3.3027888522528679</v>
      </c>
    </row>
    <row r="137" spans="1:14">
      <c r="B137" s="338" t="str">
        <f t="shared" si="52"/>
        <v>Total</v>
      </c>
      <c r="C137" s="459">
        <f>SUM(C127:C136)</f>
        <v>978.92008366577943</v>
      </c>
      <c r="D137" s="459">
        <f t="shared" ref="D137:N137" si="54">SUM(D127:D136)</f>
        <v>979.39133574884522</v>
      </c>
      <c r="E137" s="459">
        <f t="shared" si="54"/>
        <v>996.33429417308025</v>
      </c>
      <c r="F137" s="459">
        <f t="shared" si="54"/>
        <v>1111.0799730541598</v>
      </c>
      <c r="G137" s="459">
        <f t="shared" si="54"/>
        <v>1228.2723760095405</v>
      </c>
      <c r="H137" s="459">
        <f t="shared" si="54"/>
        <v>1272.9770495115947</v>
      </c>
      <c r="I137" s="459">
        <f t="shared" si="54"/>
        <v>1285.050997329028</v>
      </c>
      <c r="J137" s="459">
        <f t="shared" si="54"/>
        <v>1295.2256530899601</v>
      </c>
      <c r="K137" s="459">
        <f t="shared" si="54"/>
        <v>1304.6490134978781</v>
      </c>
      <c r="L137" s="459">
        <f t="shared" si="54"/>
        <v>1304.5989683911621</v>
      </c>
      <c r="M137" s="459">
        <f t="shared" si="54"/>
        <v>1300.3453327904649</v>
      </c>
      <c r="N137" s="459">
        <f t="shared" si="54"/>
        <v>1293.5793447283531</v>
      </c>
    </row>
    <row r="138" spans="1:14">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4" ht="15.75">
      <c r="B140" s="340" t="s">
        <v>152</v>
      </c>
      <c r="H140" s="325"/>
    </row>
    <row r="141" spans="1:14">
      <c r="H141" s="325"/>
    </row>
    <row r="142" spans="1:14">
      <c r="B142" s="341" t="s">
        <v>49</v>
      </c>
      <c r="H142" s="325"/>
    </row>
    <row r="143" spans="1:14">
      <c r="H143" s="325"/>
    </row>
    <row r="144" spans="1:14">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0.1821281665370936</v>
      </c>
      <c r="D148" s="459">
        <f>D80*Calc_SEC_retirement_rates!$G127</f>
        <v>0.17925098434666534</v>
      </c>
      <c r="E148" s="459">
        <f>E80*Calc_SEC_retirement_rates!$G127</f>
        <v>0.17864660753053049</v>
      </c>
      <c r="F148" s="459">
        <f>F80*Calc_SEC_retirement_rates!$G127</f>
        <v>0.18874842129580147</v>
      </c>
      <c r="G148" s="459">
        <f>G80*Calc_SEC_retirement_rates!$G127</f>
        <v>0.20133730276361955</v>
      </c>
      <c r="H148" s="459">
        <f>H80*Calc_SEC_retirement_rates!$G127</f>
        <v>0.20882166560426638</v>
      </c>
      <c r="I148" s="459">
        <f>I80*Calc_SEC_retirement_rates!$G127</f>
        <v>0.21400435924641134</v>
      </c>
      <c r="J148" s="459">
        <f>J80*Calc_SEC_retirement_rates!$G127</f>
        <v>0.21921008135374428</v>
      </c>
      <c r="K148" s="459">
        <f>K80*Calc_SEC_retirement_rates!$G127</f>
        <v>0.22424279030706518</v>
      </c>
      <c r="L148" s="459">
        <f>L80*Calc_SEC_retirement_rates!$G127</f>
        <v>0.22801279596158047</v>
      </c>
      <c r="M148" s="459">
        <f>M80*Calc_SEC_retirement_rates!$G127</f>
        <v>0.23081193313882556</v>
      </c>
      <c r="N148" s="459">
        <f>N80*Calc_SEC_retirement_rates!$G127</f>
        <v>0.23270615699678715</v>
      </c>
    </row>
    <row r="149" spans="1:14">
      <c r="B149" s="338" t="str">
        <f t="shared" si="56"/>
        <v>40-44</v>
      </c>
      <c r="C149" s="459">
        <f>C81*Calc_SEC_retirement_rates!$G128</f>
        <v>0.24085640290901839</v>
      </c>
      <c r="D149" s="459">
        <f>D81*Calc_SEC_retirement_rates!$G128</f>
        <v>0.23636382745362894</v>
      </c>
      <c r="E149" s="459">
        <f>E81*Calc_SEC_retirement_rates!$G128</f>
        <v>0.23404147148360366</v>
      </c>
      <c r="F149" s="459">
        <f>F81*Calc_SEC_retirement_rates!$G128</f>
        <v>0.24297479323542767</v>
      </c>
      <c r="G149" s="459">
        <f>G81*Calc_SEC_retirement_rates!$G128</f>
        <v>0.2537677906206055</v>
      </c>
      <c r="H149" s="459">
        <f>H81*Calc_SEC_retirement_rates!$G128</f>
        <v>0.25842682868197592</v>
      </c>
      <c r="I149" s="459">
        <f>I81*Calc_SEC_retirement_rates!$G128</f>
        <v>0.26069452386756098</v>
      </c>
      <c r="J149" s="459">
        <f>J81*Calc_SEC_retirement_rates!$G128</f>
        <v>0.26355498145320227</v>
      </c>
      <c r="K149" s="459">
        <f>K81*Calc_SEC_retirement_rates!$G128</f>
        <v>0.26696609613097599</v>
      </c>
      <c r="L149" s="459">
        <f>L81*Calc_SEC_retirement_rates!$G128</f>
        <v>0.26978863477621645</v>
      </c>
      <c r="M149" s="459">
        <f>M81*Calc_SEC_retirement_rates!$G128</f>
        <v>0.27232151076696703</v>
      </c>
      <c r="N149" s="459">
        <f>N81*Calc_SEC_retirement_rates!$G128</f>
        <v>0.27453658103955886</v>
      </c>
    </row>
    <row r="150" spans="1:14">
      <c r="B150" s="338" t="str">
        <f t="shared" si="56"/>
        <v>45-49</v>
      </c>
      <c r="C150" s="459">
        <f>C82*Calc_SEC_retirement_rates!$G129</f>
        <v>0.51730120904252463</v>
      </c>
      <c r="D150" s="459">
        <f>D82*Calc_SEC_retirement_rates!$G129</f>
        <v>0.51871299824499517</v>
      </c>
      <c r="E150" s="459">
        <f>E82*Calc_SEC_retirement_rates!$G129</f>
        <v>0.52113534732406719</v>
      </c>
      <c r="F150" s="459">
        <f>F82*Calc_SEC_retirement_rates!$G129</f>
        <v>0.54343768842006002</v>
      </c>
      <c r="G150" s="459">
        <f>G82*Calc_SEC_retirement_rates!$G129</f>
        <v>0.56742449987768773</v>
      </c>
      <c r="H150" s="459">
        <f>H82*Calc_SEC_retirement_rates!$G129</f>
        <v>0.57731008993808575</v>
      </c>
      <c r="I150" s="459">
        <f>I82*Calc_SEC_retirement_rates!$G129</f>
        <v>0.58076200717480808</v>
      </c>
      <c r="J150" s="459">
        <f>J82*Calc_SEC_retirement_rates!$G129</f>
        <v>0.58420500495882666</v>
      </c>
      <c r="K150" s="459">
        <f>K82*Calc_SEC_retirement_rates!$G129</f>
        <v>0.58811746811165011</v>
      </c>
      <c r="L150" s="459">
        <f>L82*Calc_SEC_retirement_rates!$G129</f>
        <v>0.59071739569426618</v>
      </c>
      <c r="M150" s="459">
        <f>M82*Calc_SEC_retirement_rates!$G129</f>
        <v>0.59297945780024441</v>
      </c>
      <c r="N150" s="459">
        <f>N82*Calc_SEC_retirement_rates!$G129</f>
        <v>0.59512060449158954</v>
      </c>
    </row>
    <row r="151" spans="1:14">
      <c r="B151" s="338" t="str">
        <f t="shared" si="56"/>
        <v>50-54</v>
      </c>
      <c r="C151" s="459">
        <f>C83*Calc_SEC_retirement_rates!$G130</f>
        <v>9.2098646401643709</v>
      </c>
      <c r="D151" s="459">
        <f>D83*Calc_SEC_retirement_rates!$G130</f>
        <v>9.1705086386699168</v>
      </c>
      <c r="E151" s="459">
        <f>E83*Calc_SEC_retirement_rates!$G130</f>
        <v>9.2057876643126892</v>
      </c>
      <c r="F151" s="459">
        <f>F83*Calc_SEC_retirement_rates!$G130</f>
        <v>9.6025299770561645</v>
      </c>
      <c r="G151" s="459">
        <f>G83*Calc_SEC_retirement_rates!$G130</f>
        <v>10.036016353321031</v>
      </c>
      <c r="H151" s="459">
        <f>H83*Calc_SEC_retirement_rates!$G130</f>
        <v>10.231434143123048</v>
      </c>
      <c r="I151" s="459">
        <f>I83*Calc_SEC_retirement_rates!$G130</f>
        <v>10.311939158027615</v>
      </c>
      <c r="J151" s="459">
        <f>J83*Calc_SEC_retirement_rates!$G130</f>
        <v>10.381395361710947</v>
      </c>
      <c r="K151" s="459">
        <f>K83*Calc_SEC_retirement_rates!$G130</f>
        <v>10.446316123611593</v>
      </c>
      <c r="L151" s="459">
        <f>L83*Calc_SEC_retirement_rates!$G130</f>
        <v>10.477897261515471</v>
      </c>
      <c r="M151" s="459">
        <f>M83*Calc_SEC_retirement_rates!$G130</f>
        <v>10.495279488753063</v>
      </c>
      <c r="N151" s="459">
        <f>N83*Calc_SEC_retirement_rates!$G130</f>
        <v>10.505476126369366</v>
      </c>
    </row>
    <row r="152" spans="1:14">
      <c r="B152" s="338" t="str">
        <f t="shared" si="56"/>
        <v>55-59</v>
      </c>
      <c r="C152" s="459">
        <f>C84*Calc_SEC_retirement_rates!$G131</f>
        <v>46.516049890178436</v>
      </c>
      <c r="D152" s="459">
        <f>D84*Calc_SEC_retirement_rates!$G131</f>
        <v>41.890415086205827</v>
      </c>
      <c r="E152" s="459">
        <f>E84*Calc_SEC_retirement_rates!$G131</f>
        <v>39.408610171282241</v>
      </c>
      <c r="F152" s="459">
        <f>F84*Calc_SEC_retirement_rates!$G131</f>
        <v>39.857710331799801</v>
      </c>
      <c r="G152" s="459">
        <f>G84*Calc_SEC_retirement_rates!$G131</f>
        <v>40.943770758887581</v>
      </c>
      <c r="H152" s="459">
        <f>H84*Calc_SEC_retirement_rates!$G131</f>
        <v>41.053823312776096</v>
      </c>
      <c r="I152" s="459">
        <f>I84*Calc_SEC_retirement_rates!$G131</f>
        <v>40.860391945654541</v>
      </c>
      <c r="J152" s="459">
        <f>J84*Calc_SEC_retirement_rates!$G131</f>
        <v>40.840517590022976</v>
      </c>
      <c r="K152" s="459">
        <f>K84*Calc_SEC_retirement_rates!$G131</f>
        <v>40.925865691651339</v>
      </c>
      <c r="L152" s="459">
        <f>L84*Calc_SEC_retirement_rates!$G131</f>
        <v>40.901869891099302</v>
      </c>
      <c r="M152" s="459">
        <f>M84*Calc_SEC_retirement_rates!$G131</f>
        <v>40.847085074928742</v>
      </c>
      <c r="N152" s="459">
        <f>N84*Calc_SEC_retirement_rates!$G131</f>
        <v>40.777880568039357</v>
      </c>
    </row>
    <row r="153" spans="1:14">
      <c r="B153" s="338" t="str">
        <f t="shared" si="56"/>
        <v>60-64</v>
      </c>
      <c r="C153" s="459">
        <f>C85*Calc_SEC_retirement_rates!$G132</f>
        <v>31.562130094122271</v>
      </c>
      <c r="D153" s="459">
        <f>D85*Calc_SEC_retirement_rates!$G132</f>
        <v>29.654149867670281</v>
      </c>
      <c r="E153" s="459">
        <f>E85*Calc_SEC_retirement_rates!$G132</f>
        <v>27.799628842895078</v>
      </c>
      <c r="F153" s="459">
        <f>F85*Calc_SEC_retirement_rates!$G132</f>
        <v>28.057662537311863</v>
      </c>
      <c r="G153" s="459">
        <f>G85*Calc_SEC_retirement_rates!$G132</f>
        <v>28.584726804093865</v>
      </c>
      <c r="H153" s="459">
        <f>H85*Calc_SEC_retirement_rates!$G132</f>
        <v>28.051806733978399</v>
      </c>
      <c r="I153" s="459">
        <f>I85*Calc_SEC_retirement_rates!$G132</f>
        <v>27.320728753725781</v>
      </c>
      <c r="J153" s="459">
        <f>J85*Calc_SEC_retirement_rates!$G132</f>
        <v>26.904114229345833</v>
      </c>
      <c r="K153" s="459">
        <f>K85*Calc_SEC_retirement_rates!$G132</f>
        <v>26.702207208512057</v>
      </c>
      <c r="L153" s="459">
        <f>L85*Calc_SEC_retirement_rates!$G132</f>
        <v>26.471382358111125</v>
      </c>
      <c r="M153" s="459">
        <f>M85*Calc_SEC_retirement_rates!$G132</f>
        <v>26.273438198671151</v>
      </c>
      <c r="N153" s="459">
        <f>N85*Calc_SEC_retirement_rates!$G132</f>
        <v>26.105189054295028</v>
      </c>
    </row>
    <row r="154" spans="1:14">
      <c r="B154" s="338" t="str">
        <f t="shared" si="56"/>
        <v>65 plus</v>
      </c>
      <c r="C154" s="459">
        <f>C86*Calc_SEC_retirement_rates!$G133</f>
        <v>8.7545626610134608</v>
      </c>
      <c r="D154" s="459">
        <f>D86*Calc_SEC_retirement_rates!$G133</f>
        <v>9.9845513489223272</v>
      </c>
      <c r="E154" s="459">
        <f>E86*Calc_SEC_retirement_rates!$G133</f>
        <v>10.504904258066139</v>
      </c>
      <c r="F154" s="459">
        <f>F86*Calc_SEC_retirement_rates!$G133</f>
        <v>11.301730902726575</v>
      </c>
      <c r="G154" s="459">
        <f>G86*Calc_SEC_retirement_rates!$G133</f>
        <v>11.88710257092432</v>
      </c>
      <c r="H154" s="459">
        <f>H86*Calc_SEC_retirement_rates!$G133</f>
        <v>11.815037176690929</v>
      </c>
      <c r="I154" s="459">
        <f>I86*Calc_SEC_retirement_rates!$G133</f>
        <v>11.487381770498555</v>
      </c>
      <c r="J154" s="459">
        <f>J86*Calc_SEC_retirement_rates!$G133</f>
        <v>11.204703127182308</v>
      </c>
      <c r="K154" s="459">
        <f>K86*Calc_SEC_retirement_rates!$G133</f>
        <v>10.997023320234412</v>
      </c>
      <c r="L154" s="459">
        <f>L86*Calc_SEC_retirement_rates!$G133</f>
        <v>10.790763840801544</v>
      </c>
      <c r="M154" s="459">
        <f>M86*Calc_SEC_retirement_rates!$G133</f>
        <v>10.613663327180193</v>
      </c>
      <c r="N154" s="459">
        <f>N86*Calc_SEC_retirement_rates!$G133</f>
        <v>10.466178562165148</v>
      </c>
    </row>
    <row r="155" spans="1:14">
      <c r="B155" s="338" t="str">
        <f t="shared" si="56"/>
        <v>Total</v>
      </c>
      <c r="C155" s="459">
        <f>SUM(C145:C154)</f>
        <v>96.982893063967182</v>
      </c>
      <c r="D155" s="459">
        <f t="shared" ref="D155:N155" si="58">SUM(D145:D154)</f>
        <v>91.633952751513633</v>
      </c>
      <c r="E155" s="459">
        <f t="shared" si="58"/>
        <v>87.852754362894345</v>
      </c>
      <c r="F155" s="459">
        <f t="shared" si="58"/>
        <v>89.794794651845692</v>
      </c>
      <c r="G155" s="459">
        <f t="shared" si="58"/>
        <v>92.474146080488708</v>
      </c>
      <c r="H155" s="459">
        <f t="shared" si="58"/>
        <v>92.196659950792792</v>
      </c>
      <c r="I155" s="459">
        <f t="shared" si="58"/>
        <v>91.035902518195286</v>
      </c>
      <c r="J155" s="459">
        <f t="shared" si="58"/>
        <v>90.397700376027842</v>
      </c>
      <c r="K155" s="459">
        <f t="shared" si="58"/>
        <v>90.150738698559081</v>
      </c>
      <c r="L155" s="459">
        <f t="shared" si="58"/>
        <v>89.730432177959514</v>
      </c>
      <c r="M155" s="459">
        <f t="shared" si="58"/>
        <v>89.325578991239183</v>
      </c>
      <c r="N155" s="459">
        <f t="shared" si="58"/>
        <v>88.957087653396826</v>
      </c>
    </row>
    <row r="156" spans="1:14">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6">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c r="O161" s="327"/>
      <c r="P161" s="327"/>
    </row>
    <row r="162" spans="1:16">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c r="O162" s="327"/>
      <c r="P162" s="327"/>
    </row>
    <row r="163" spans="1:16">
      <c r="B163" s="338" t="str">
        <f t="shared" si="60"/>
        <v>30-34</v>
      </c>
      <c r="C163" s="459">
        <f>C95*Calc_SEC_retirement_rates!$G142</f>
        <v>0.20596612922830243</v>
      </c>
      <c r="D163" s="459">
        <f>D95*Calc_SEC_retirement_rates!$G142</f>
        <v>0.20572771930362416</v>
      </c>
      <c r="E163" s="459">
        <f>E95*Calc_SEC_retirement_rates!$G142</f>
        <v>0.20876602113428142</v>
      </c>
      <c r="F163" s="459">
        <f>F95*Calc_SEC_retirement_rates!$G142</f>
        <v>0.23388375313657461</v>
      </c>
      <c r="G163" s="459">
        <f>G95*Calc_SEC_retirement_rates!$G142</f>
        <v>0.26370003412554666</v>
      </c>
      <c r="H163" s="459">
        <f>H95*Calc_SEC_retirement_rates!$G142</f>
        <v>0.28103246584255764</v>
      </c>
      <c r="I163" s="459">
        <f>I95*Calc_SEC_retirement_rates!$G142</f>
        <v>0.29103249732481079</v>
      </c>
      <c r="J163" s="459">
        <f>J95*Calc_SEC_retirement_rates!$G142</f>
        <v>0.2990473528918135</v>
      </c>
      <c r="K163" s="459">
        <f>K95*Calc_SEC_retirement_rates!$G142</f>
        <v>0.30547582296495784</v>
      </c>
      <c r="L163" s="459">
        <f>L95*Calc_SEC_retirement_rates!$G142</f>
        <v>0.30868599177103168</v>
      </c>
      <c r="M163" s="459">
        <f>M95*Calc_SEC_retirement_rates!$G142</f>
        <v>0.30976820054977716</v>
      </c>
      <c r="N163" s="459">
        <f>N95*Calc_SEC_retirement_rates!$G142</f>
        <v>0.30927057783492584</v>
      </c>
      <c r="O163" s="327"/>
      <c r="P163" s="327"/>
    </row>
    <row r="164" spans="1:16">
      <c r="B164" s="338" t="str">
        <f t="shared" si="60"/>
        <v>35-39</v>
      </c>
      <c r="C164" s="459">
        <f>C96*Calc_SEC_retirement_rates!$G143</f>
        <v>0.67748785791171029</v>
      </c>
      <c r="D164" s="459">
        <f>D96*Calc_SEC_retirement_rates!$G143</f>
        <v>0.64892493731957201</v>
      </c>
      <c r="E164" s="459">
        <f>E96*Calc_SEC_retirement_rates!$G143</f>
        <v>0.63397177720121611</v>
      </c>
      <c r="F164" s="459">
        <f>F96*Calc_SEC_retirement_rates!$G143</f>
        <v>0.66313149548472661</v>
      </c>
      <c r="G164" s="459">
        <f>G96*Calc_SEC_retirement_rates!$G143</f>
        <v>0.70350320096177632</v>
      </c>
      <c r="H164" s="459">
        <f>H96*Calc_SEC_retirement_rates!$G143</f>
        <v>0.72555115981613116</v>
      </c>
      <c r="I164" s="459">
        <f>I96*Calc_SEC_retirement_rates!$G143</f>
        <v>0.73991553064958837</v>
      </c>
      <c r="J164" s="459">
        <f>J96*Calc_SEC_retirement_rates!$G143</f>
        <v>0.75533013415683437</v>
      </c>
      <c r="K164" s="459">
        <f>K96*Calc_SEC_retirement_rates!$G143</f>
        <v>0.77086189884111267</v>
      </c>
      <c r="L164" s="459">
        <f>L96*Calc_SEC_retirement_rates!$G143</f>
        <v>0.78224501520582757</v>
      </c>
      <c r="M164" s="459">
        <f>M96*Calc_SEC_retirement_rates!$G143</f>
        <v>0.79054377538828147</v>
      </c>
      <c r="N164" s="459">
        <f>N96*Calc_SEC_retirement_rates!$G143</f>
        <v>0.79595285553289707</v>
      </c>
      <c r="O164" s="327"/>
      <c r="P164" s="327"/>
    </row>
    <row r="165" spans="1:16">
      <c r="B165" s="338" t="str">
        <f t="shared" si="60"/>
        <v>40-44</v>
      </c>
      <c r="C165" s="459">
        <f>C97*Calc_SEC_retirement_rates!$G144</f>
        <v>1.1847746822083085</v>
      </c>
      <c r="D165" s="459">
        <f>D97*Calc_SEC_retirement_rates!$G144</f>
        <v>1.1368161545463402</v>
      </c>
      <c r="E165" s="459">
        <f>E97*Calc_SEC_retirement_rates!$G144</f>
        <v>1.101122313986038</v>
      </c>
      <c r="F165" s="459">
        <f>F97*Calc_SEC_retirement_rates!$G144</f>
        <v>1.1217697570486256</v>
      </c>
      <c r="G165" s="459">
        <f>G97*Calc_SEC_retirement_rates!$G144</f>
        <v>1.1537276512060297</v>
      </c>
      <c r="H165" s="459">
        <f>H97*Calc_SEC_retirement_rates!$G144</f>
        <v>1.1587239401992526</v>
      </c>
      <c r="I165" s="459">
        <f>I97*Calc_SEC_retirement_rates!$G144</f>
        <v>1.1546232260684637</v>
      </c>
      <c r="J165" s="459">
        <f>J97*Calc_SEC_retirement_rates!$G144</f>
        <v>1.1554742202940353</v>
      </c>
      <c r="K165" s="459">
        <f>K97*Calc_SEC_retirement_rates!$G144</f>
        <v>1.1607830238433638</v>
      </c>
      <c r="L165" s="459">
        <f>L97*Calc_SEC_retirement_rates!$G144</f>
        <v>1.1648610072976127</v>
      </c>
      <c r="M165" s="459">
        <f>M97*Calc_SEC_retirement_rates!$G144</f>
        <v>1.1689574606896875</v>
      </c>
      <c r="N165" s="459">
        <f>N97*Calc_SEC_retirement_rates!$G144</f>
        <v>1.1727810054216821</v>
      </c>
      <c r="O165" s="327"/>
      <c r="P165" s="327"/>
    </row>
    <row r="166" spans="1:16">
      <c r="B166" s="338" t="str">
        <f t="shared" si="60"/>
        <v>45-49</v>
      </c>
      <c r="C166" s="459">
        <f>C98*Calc_SEC_retirement_rates!$G145</f>
        <v>2.0336447085569236</v>
      </c>
      <c r="D166" s="459">
        <f>D98*Calc_SEC_retirement_rates!$G145</f>
        <v>2.0340928609946691</v>
      </c>
      <c r="E166" s="459">
        <f>E98*Calc_SEC_retirement_rates!$G145</f>
        <v>2.0299557734342892</v>
      </c>
      <c r="F166" s="459">
        <f>F98*Calc_SEC_retirement_rates!$G145</f>
        <v>2.0982627404842407</v>
      </c>
      <c r="G166" s="459">
        <f>G98*Calc_SEC_retirement_rates!$G145</f>
        <v>2.1693504461259794</v>
      </c>
      <c r="H166" s="459">
        <f>H98*Calc_SEC_retirement_rates!$G145</f>
        <v>2.1831044207359551</v>
      </c>
      <c r="I166" s="459">
        <f>I98*Calc_SEC_retirement_rates!$G145</f>
        <v>2.1714969105006268</v>
      </c>
      <c r="J166" s="459">
        <f>J98*Calc_SEC_retirement_rates!$G145</f>
        <v>2.1608590648537396</v>
      </c>
      <c r="K166" s="459">
        <f>K98*Calc_SEC_retirement_rates!$G145</f>
        <v>2.1535882734710547</v>
      </c>
      <c r="L166" s="459">
        <f>L98*Calc_SEC_retirement_rates!$G145</f>
        <v>2.1429458331036138</v>
      </c>
      <c r="M166" s="459">
        <f>M98*Calc_SEC_retirement_rates!$G145</f>
        <v>2.1329182529287212</v>
      </c>
      <c r="N166" s="459">
        <f>N98*Calc_SEC_retirement_rates!$G145</f>
        <v>2.124376819670577</v>
      </c>
      <c r="O166" s="327"/>
      <c r="P166" s="327"/>
    </row>
    <row r="167" spans="1:16">
      <c r="B167" s="338" t="str">
        <f t="shared" si="60"/>
        <v>50-54</v>
      </c>
      <c r="C167" s="459">
        <f>C99*Calc_SEC_retirement_rates!$G146</f>
        <v>33.760554098263832</v>
      </c>
      <c r="D167" s="459">
        <f>D99*Calc_SEC_retirement_rates!$G146</f>
        <v>33.760321255478786</v>
      </c>
      <c r="E167" s="459">
        <f>E99*Calc_SEC_retirement_rates!$G146</f>
        <v>33.978707806724195</v>
      </c>
      <c r="F167" s="459">
        <f>F99*Calc_SEC_retirement_rates!$G146</f>
        <v>35.478457464548768</v>
      </c>
      <c r="G167" s="459">
        <f>G99*Calc_SEC_retirement_rates!$G146</f>
        <v>37.033631790245387</v>
      </c>
      <c r="H167" s="459">
        <f>H99*Calc_SEC_retirement_rates!$G146</f>
        <v>37.618339802559746</v>
      </c>
      <c r="I167" s="459">
        <f>I99*Calc_SEC_retirement_rates!$G146</f>
        <v>37.712585576755508</v>
      </c>
      <c r="J167" s="459">
        <f>J99*Calc_SEC_retirement_rates!$G146</f>
        <v>37.724741658140701</v>
      </c>
      <c r="K167" s="459">
        <f>K99*Calc_SEC_retirement_rates!$G146</f>
        <v>37.694853098271253</v>
      </c>
      <c r="L167" s="459">
        <f>L99*Calc_SEC_retirement_rates!$G146</f>
        <v>37.527605528307056</v>
      </c>
      <c r="M167" s="459">
        <f>M99*Calc_SEC_retirement_rates!$G146</f>
        <v>37.305760138216044</v>
      </c>
      <c r="N167" s="459">
        <f>N99*Calc_SEC_retirement_rates!$G146</f>
        <v>37.063792943035736</v>
      </c>
      <c r="O167" s="327"/>
      <c r="P167" s="327"/>
    </row>
    <row r="168" spans="1:16">
      <c r="B168" s="338" t="str">
        <f t="shared" si="60"/>
        <v>55-59</v>
      </c>
      <c r="C168" s="459">
        <f>C100*Calc_SEC_retirement_rates!$G147</f>
        <v>202.80954415071434</v>
      </c>
      <c r="D168" s="459">
        <f>D100*Calc_SEC_retirement_rates!$G147</f>
        <v>180.32699944670381</v>
      </c>
      <c r="E168" s="459">
        <f>E100*Calc_SEC_retirement_rates!$G147</f>
        <v>167.99674655925631</v>
      </c>
      <c r="F168" s="459">
        <f>F100*Calc_SEC_retirement_rates!$G147</f>
        <v>168.54492041393715</v>
      </c>
      <c r="G168" s="459">
        <f>G100*Calc_SEC_retirement_rates!$G147</f>
        <v>172.25677443022914</v>
      </c>
      <c r="H168" s="459">
        <f>H100*Calc_SEC_retirement_rates!$G147</f>
        <v>172.20201135375001</v>
      </c>
      <c r="I168" s="459">
        <f>I100*Calc_SEC_retirement_rates!$G147</f>
        <v>170.88731805118172</v>
      </c>
      <c r="J168" s="459">
        <f>J100*Calc_SEC_retirement_rates!$G147</f>
        <v>170.17791644838448</v>
      </c>
      <c r="K168" s="459">
        <f>K100*Calc_SEC_retirement_rates!$G147</f>
        <v>169.78657048068604</v>
      </c>
      <c r="L168" s="459">
        <f>L100*Calc_SEC_retirement_rates!$G147</f>
        <v>168.84656606662045</v>
      </c>
      <c r="M168" s="459">
        <f>M100*Calc_SEC_retirement_rates!$G147</f>
        <v>167.69715111182072</v>
      </c>
      <c r="N168" s="459">
        <f>N100*Calc_SEC_retirement_rates!$G147</f>
        <v>166.43525133812116</v>
      </c>
      <c r="O168" s="327"/>
      <c r="P168" s="327"/>
    </row>
    <row r="169" spans="1:16">
      <c r="B169" s="338" t="str">
        <f t="shared" si="60"/>
        <v>60-64</v>
      </c>
      <c r="C169" s="459">
        <f>C101*Calc_SEC_retirement_rates!$G148</f>
        <v>153.65375868443593</v>
      </c>
      <c r="D169" s="459">
        <f>D101*Calc_SEC_retirement_rates!$G148</f>
        <v>143.68419546944247</v>
      </c>
      <c r="E169" s="459">
        <f>E101*Calc_SEC_retirement_rates!$G148</f>
        <v>133.482680936663</v>
      </c>
      <c r="F169" s="459">
        <f>F101*Calc_SEC_retirement_rates!$G148</f>
        <v>133.49547203259579</v>
      </c>
      <c r="G169" s="459">
        <f>G101*Calc_SEC_retirement_rates!$G148</f>
        <v>135.01060240782743</v>
      </c>
      <c r="H169" s="459">
        <f>H101*Calc_SEC_retirement_rates!$G148</f>
        <v>131.7917627977873</v>
      </c>
      <c r="I169" s="459">
        <f>I101*Calc_SEC_retirement_rates!$G148</f>
        <v>127.92066519658923</v>
      </c>
      <c r="J169" s="459">
        <f>J101*Calc_SEC_retirement_rates!$G148</f>
        <v>125.67138145964989</v>
      </c>
      <c r="K169" s="459">
        <f>K101*Calc_SEC_retirement_rates!$G148</f>
        <v>124.43689939434023</v>
      </c>
      <c r="L169" s="459">
        <f>L101*Calc_SEC_retirement_rates!$G148</f>
        <v>123.01175859959831</v>
      </c>
      <c r="M169" s="459">
        <f>M101*Calc_SEC_retirement_rates!$G148</f>
        <v>121.68591574011349</v>
      </c>
      <c r="N169" s="459">
        <f>N101*Calc_SEC_retirement_rates!$G148</f>
        <v>120.44442142311382</v>
      </c>
      <c r="O169" s="327"/>
      <c r="P169" s="327"/>
    </row>
    <row r="170" spans="1:16">
      <c r="B170" s="338" t="str">
        <f t="shared" si="60"/>
        <v>65 plus</v>
      </c>
      <c r="C170" s="459">
        <f>C102*Calc_SEC_retirement_rates!$G149</f>
        <v>37.181849680856729</v>
      </c>
      <c r="D170" s="459">
        <f>D102*Calc_SEC_retirement_rates!$G149</f>
        <v>42.742887417183965</v>
      </c>
      <c r="E170" s="459">
        <f>E102*Calc_SEC_retirement_rates!$G149</f>
        <v>44.781558449869976</v>
      </c>
      <c r="F170" s="459">
        <f>F102*Calc_SEC_retirement_rates!$G149</f>
        <v>48.069354092486563</v>
      </c>
      <c r="G170" s="459">
        <f>G102*Calc_SEC_retirement_rates!$G149</f>
        <v>50.27022267469119</v>
      </c>
      <c r="H170" s="459">
        <f>H102*Calc_SEC_retirement_rates!$G149</f>
        <v>49.420638416139703</v>
      </c>
      <c r="I170" s="459">
        <f>I102*Calc_SEC_retirement_rates!$G149</f>
        <v>47.576919897975351</v>
      </c>
      <c r="J170" s="459">
        <f>J102*Calc_SEC_retirement_rates!$G149</f>
        <v>46.131205493567279</v>
      </c>
      <c r="K170" s="459">
        <f>K102*Calc_SEC_retirement_rates!$G149</f>
        <v>45.128610121067929</v>
      </c>
      <c r="L170" s="459">
        <f>L102*Calc_SEC_retirement_rates!$G149</f>
        <v>44.158915782487931</v>
      </c>
      <c r="M170" s="459">
        <f>M102*Calc_SEC_retirement_rates!$G149</f>
        <v>43.331618428942924</v>
      </c>
      <c r="N170" s="459">
        <f>N102*Calc_SEC_retirement_rates!$G149</f>
        <v>42.631769843315922</v>
      </c>
      <c r="O170" s="327"/>
      <c r="P170" s="327"/>
    </row>
    <row r="171" spans="1:16">
      <c r="B171" s="338" t="str">
        <f t="shared" si="60"/>
        <v>Total</v>
      </c>
      <c r="C171" s="459">
        <f>SUM(C161:C170)</f>
        <v>431.50757999217609</v>
      </c>
      <c r="D171" s="459">
        <f t="shared" ref="D171:N171" si="62">SUM(D161:D170)</f>
        <v>404.53996526097325</v>
      </c>
      <c r="E171" s="459">
        <f t="shared" si="62"/>
        <v>384.21350963826933</v>
      </c>
      <c r="F171" s="459">
        <f t="shared" si="62"/>
        <v>389.70525174972244</v>
      </c>
      <c r="G171" s="459">
        <f t="shared" si="62"/>
        <v>398.86151263541245</v>
      </c>
      <c r="H171" s="459">
        <f t="shared" si="62"/>
        <v>395.38116435683065</v>
      </c>
      <c r="I171" s="459">
        <f t="shared" si="62"/>
        <v>388.45455688704533</v>
      </c>
      <c r="J171" s="459">
        <f t="shared" si="62"/>
        <v>384.07595583193876</v>
      </c>
      <c r="K171" s="459">
        <f t="shared" si="62"/>
        <v>381.43764211348594</v>
      </c>
      <c r="L171" s="459">
        <f t="shared" si="62"/>
        <v>377.94358382439185</v>
      </c>
      <c r="M171" s="459">
        <f t="shared" si="62"/>
        <v>374.42263310864968</v>
      </c>
      <c r="N171" s="459">
        <f t="shared" si="62"/>
        <v>370.97761680604668</v>
      </c>
      <c r="O171" s="327"/>
      <c r="P171" s="327"/>
    </row>
    <row r="172" spans="1:16">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6" ht="15.75">
      <c r="B174" s="340" t="s">
        <v>516</v>
      </c>
      <c r="H174" s="325"/>
    </row>
    <row r="175" spans="1:16">
      <c r="H175" s="325"/>
    </row>
    <row r="176" spans="1:16">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9.5542844990324491E-2</v>
      </c>
      <c r="D181" s="459">
        <f>D79*Calc_SEC_death_rates!$G126</f>
        <v>9.5313307440008155E-2</v>
      </c>
      <c r="E181" s="459">
        <f>E79*Calc_SEC_death_rates!$G126</f>
        <v>9.6381989314515082E-2</v>
      </c>
      <c r="F181" s="459">
        <f>F79*Calc_SEC_death_rates!$G126</f>
        <v>0.10704190359844859</v>
      </c>
      <c r="G181" s="459">
        <f>G79*Calc_SEC_death_rates!$G126</f>
        <v>0.11988916368737143</v>
      </c>
      <c r="H181" s="459">
        <f>H79*Calc_SEC_death_rates!$G126</f>
        <v>0.12742371301699071</v>
      </c>
      <c r="I181" s="459">
        <f>I79*Calc_SEC_death_rates!$G126</f>
        <v>0.13176954755585579</v>
      </c>
      <c r="J181" s="459">
        <f>J79*Calc_SEC_death_rates!$G126</f>
        <v>0.1352169314101411</v>
      </c>
      <c r="K181" s="459">
        <f>K79*Calc_SEC_death_rates!$G126</f>
        <v>0.13795208495681538</v>
      </c>
      <c r="L181" s="459">
        <f>L79*Calc_SEC_death_rates!$G126</f>
        <v>0.1392754489512166</v>
      </c>
      <c r="M181" s="459">
        <f>M79*Calc_SEC_death_rates!$G126</f>
        <v>0.13965846437384805</v>
      </c>
      <c r="N181" s="459">
        <f>N79*Calc_SEC_death_rates!$G126</f>
        <v>0.13934376967422099</v>
      </c>
    </row>
    <row r="182" spans="1:14">
      <c r="B182" s="338" t="str">
        <f t="shared" si="64"/>
        <v>35-39</v>
      </c>
      <c r="C182" s="459">
        <f>C80*Calc_SEC_death_rates!$G127</f>
        <v>0.19245985933192644</v>
      </c>
      <c r="D182" s="459">
        <f>D80*Calc_SEC_death_rates!$G127</f>
        <v>0.18941946151663647</v>
      </c>
      <c r="E182" s="459">
        <f>E80*Calc_SEC_death_rates!$G127</f>
        <v>0.18878079985749599</v>
      </c>
      <c r="F182" s="459">
        <f>F80*Calc_SEC_death_rates!$G127</f>
        <v>0.19945566521867231</v>
      </c>
      <c r="G182" s="459">
        <f>G80*Calc_SEC_death_rates!$G127</f>
        <v>0.21275868365074505</v>
      </c>
      <c r="H182" s="459">
        <f>H80*Calc_SEC_death_rates!$G127</f>
        <v>0.2206676163923845</v>
      </c>
      <c r="I182" s="459">
        <f>I80*Calc_SEC_death_rates!$G127</f>
        <v>0.22614431177834798</v>
      </c>
      <c r="J182" s="459">
        <f>J80*Calc_SEC_death_rates!$G127</f>
        <v>0.23164534197893666</v>
      </c>
      <c r="K182" s="459">
        <f>K80*Calc_SEC_death_rates!$G127</f>
        <v>0.2369635444054537</v>
      </c>
      <c r="L182" s="459">
        <f>L80*Calc_SEC_death_rates!$G127</f>
        <v>0.2409474134123423</v>
      </c>
      <c r="M182" s="459">
        <f>M80*Calc_SEC_death_rates!$G127</f>
        <v>0.24390533890858146</v>
      </c>
      <c r="N182" s="459">
        <f>N80*Calc_SEC_death_rates!$G127</f>
        <v>0.24590701752962119</v>
      </c>
    </row>
    <row r="183" spans="1:14">
      <c r="B183" s="338" t="str">
        <f t="shared" si="64"/>
        <v>40-44</v>
      </c>
      <c r="C183" s="459">
        <f>C81*Calc_SEC_death_rates!$G128</f>
        <v>0.35829316496785862</v>
      </c>
      <c r="D183" s="459">
        <f>D81*Calc_SEC_death_rates!$G128</f>
        <v>0.35161009962549178</v>
      </c>
      <c r="E183" s="459">
        <f>E81*Calc_SEC_death_rates!$G128</f>
        <v>0.34815540935928918</v>
      </c>
      <c r="F183" s="459">
        <f>F81*Calc_SEC_death_rates!$G128</f>
        <v>0.36144444002436271</v>
      </c>
      <c r="G183" s="459">
        <f>G81*Calc_SEC_death_rates!$G128</f>
        <v>0.37749988694592929</v>
      </c>
      <c r="H183" s="459">
        <f>H81*Calc_SEC_death_rates!$G128</f>
        <v>0.38443057872971664</v>
      </c>
      <c r="I183" s="459">
        <f>I81*Calc_SEC_death_rates!$G128</f>
        <v>0.3878039567068533</v>
      </c>
      <c r="J183" s="459">
        <f>J81*Calc_SEC_death_rates!$G128</f>
        <v>0.39205911616799871</v>
      </c>
      <c r="K183" s="459">
        <f>K81*Calc_SEC_death_rates!$G128</f>
        <v>0.39713342209969332</v>
      </c>
      <c r="L183" s="459">
        <f>L81*Calc_SEC_death_rates!$G128</f>
        <v>0.40133217410392924</v>
      </c>
      <c r="M183" s="459">
        <f>M81*Calc_SEC_death_rates!$G128</f>
        <v>0.40510002974005249</v>
      </c>
      <c r="N183" s="459">
        <f>N81*Calc_SEC_death_rates!$G128</f>
        <v>0.40839512394974614</v>
      </c>
    </row>
    <row r="184" spans="1:14">
      <c r="B184" s="338" t="str">
        <f t="shared" si="64"/>
        <v>45-49</v>
      </c>
      <c r="C184" s="459">
        <f>C82*Calc_SEC_death_rates!$G129</f>
        <v>0.33410959907426763</v>
      </c>
      <c r="D184" s="459">
        <f>D82*Calc_SEC_death_rates!$G129</f>
        <v>0.33502143209566704</v>
      </c>
      <c r="E184" s="459">
        <f>E82*Calc_SEC_death_rates!$G129</f>
        <v>0.33658595594652885</v>
      </c>
      <c r="F184" s="459">
        <f>F82*Calc_SEC_death_rates!$G129</f>
        <v>0.35099038050952491</v>
      </c>
      <c r="G184" s="459">
        <f>G82*Calc_SEC_death_rates!$G129</f>
        <v>0.36648275481503173</v>
      </c>
      <c r="H184" s="459">
        <f>H82*Calc_SEC_death_rates!$G129</f>
        <v>0.37286756597332277</v>
      </c>
      <c r="I184" s="459">
        <f>I82*Calc_SEC_death_rates!$G129</f>
        <v>0.37509705754194589</v>
      </c>
      <c r="J184" s="459">
        <f>J82*Calc_SEC_death_rates!$G129</f>
        <v>0.37732078829904425</v>
      </c>
      <c r="K184" s="459">
        <f>K82*Calc_SEC_death_rates!$G129</f>
        <v>0.37984773289637508</v>
      </c>
      <c r="L184" s="459">
        <f>L82*Calc_SEC_death_rates!$G129</f>
        <v>0.38152694946704152</v>
      </c>
      <c r="M184" s="459">
        <f>M82*Calc_SEC_death_rates!$G129</f>
        <v>0.38298794868780178</v>
      </c>
      <c r="N184" s="459">
        <f>N82*Calc_SEC_death_rates!$G129</f>
        <v>0.38437085220725925</v>
      </c>
    </row>
    <row r="185" spans="1:14">
      <c r="B185" s="338" t="str">
        <f t="shared" si="64"/>
        <v>50-54</v>
      </c>
      <c r="C185" s="459">
        <f>C83*Calc_SEC_death_rates!$G130</f>
        <v>0.5217674150111562</v>
      </c>
      <c r="D185" s="459">
        <f>D83*Calc_SEC_death_rates!$G130</f>
        <v>0.51953777538373058</v>
      </c>
      <c r="E185" s="459">
        <f>E83*Calc_SEC_death_rates!$G130</f>
        <v>0.52153644167611746</v>
      </c>
      <c r="F185" s="459">
        <f>F83*Calc_SEC_death_rates!$G130</f>
        <v>0.54401312499705878</v>
      </c>
      <c r="G185" s="459">
        <f>G83*Calc_SEC_death_rates!$G130</f>
        <v>0.56857147355300863</v>
      </c>
      <c r="H185" s="459">
        <f>H83*Calc_SEC_death_rates!$G130</f>
        <v>0.5796424978314253</v>
      </c>
      <c r="I185" s="459">
        <f>I83*Calc_SEC_death_rates!$G130</f>
        <v>0.58420335677597546</v>
      </c>
      <c r="J185" s="459">
        <f>J83*Calc_SEC_death_rates!$G130</f>
        <v>0.5881382662744602</v>
      </c>
      <c r="K185" s="459">
        <f>K83*Calc_SEC_death_rates!$G130</f>
        <v>0.59181622892004904</v>
      </c>
      <c r="L185" s="459">
        <f>L83*Calc_SEC_death_rates!$G130</f>
        <v>0.59360539839549997</v>
      </c>
      <c r="M185" s="459">
        <f>M83*Calc_SEC_death_rates!$G130</f>
        <v>0.59459015551487648</v>
      </c>
      <c r="N185" s="459">
        <f>N83*Calc_SEC_death_rates!$G130</f>
        <v>0.59516782668147128</v>
      </c>
    </row>
    <row r="186" spans="1:14">
      <c r="B186" s="338" t="str">
        <f t="shared" si="64"/>
        <v>55-59</v>
      </c>
      <c r="C186" s="459">
        <f>C84*Calc_SEC_death_rates!$G131</f>
        <v>0.31916257180704838</v>
      </c>
      <c r="D186" s="459">
        <f>D84*Calc_SEC_death_rates!$G131</f>
        <v>0.28742450497287797</v>
      </c>
      <c r="E186" s="459">
        <f>E84*Calc_SEC_death_rates!$G131</f>
        <v>0.2703959902722427</v>
      </c>
      <c r="F186" s="459">
        <f>F84*Calc_SEC_death_rates!$G131</f>
        <v>0.27347742050047902</v>
      </c>
      <c r="G186" s="459">
        <f>G84*Calc_SEC_death_rates!$G131</f>
        <v>0.28092925357455922</v>
      </c>
      <c r="H186" s="459">
        <f>H84*Calc_SEC_death_rates!$G131</f>
        <v>0.28168436189127827</v>
      </c>
      <c r="I186" s="459">
        <f>I84*Calc_SEC_death_rates!$G131</f>
        <v>0.28035716294071339</v>
      </c>
      <c r="J186" s="459">
        <f>J84*Calc_SEC_death_rates!$G131</f>
        <v>0.28022079817045981</v>
      </c>
      <c r="K186" s="459">
        <f>K84*Calc_SEC_death_rates!$G131</f>
        <v>0.28080640076738855</v>
      </c>
      <c r="L186" s="459">
        <f>L84*Calc_SEC_death_rates!$G131</f>
        <v>0.28064175735001246</v>
      </c>
      <c r="M186" s="459">
        <f>M84*Calc_SEC_death_rates!$G131</f>
        <v>0.28026585993683456</v>
      </c>
      <c r="N186" s="459">
        <f>N84*Calc_SEC_death_rates!$G131</f>
        <v>0.27979102408014422</v>
      </c>
    </row>
    <row r="187" spans="1:14">
      <c r="B187" s="338" t="str">
        <f t="shared" si="64"/>
        <v>60-64</v>
      </c>
      <c r="C187" s="459">
        <f>C85*Calc_SEC_death_rates!$G132</f>
        <v>0.24409555322957013</v>
      </c>
      <c r="D187" s="459">
        <f>D85*Calc_SEC_death_rates!$G132</f>
        <v>0.22933959450504757</v>
      </c>
      <c r="E187" s="459">
        <f>E85*Calc_SEC_death_rates!$G132</f>
        <v>0.21499707914982846</v>
      </c>
      <c r="F187" s="459">
        <f>F85*Calc_SEC_death_rates!$G132</f>
        <v>0.21699266300943193</v>
      </c>
      <c r="G187" s="459">
        <f>G85*Calc_SEC_death_rates!$G132</f>
        <v>0.22106887850578871</v>
      </c>
      <c r="H187" s="459">
        <f>H85*Calc_SEC_death_rates!$G132</f>
        <v>0.21694737533239544</v>
      </c>
      <c r="I187" s="459">
        <f>I85*Calc_SEC_death_rates!$G132</f>
        <v>0.21129335630669757</v>
      </c>
      <c r="J187" s="459">
        <f>J85*Calc_SEC_death_rates!$G132</f>
        <v>0.20807133825820925</v>
      </c>
      <c r="K187" s="459">
        <f>K85*Calc_SEC_death_rates!$G132</f>
        <v>0.20650982749184521</v>
      </c>
      <c r="L187" s="459">
        <f>L85*Calc_SEC_death_rates!$G132</f>
        <v>0.20472467169311662</v>
      </c>
      <c r="M187" s="459">
        <f>M85*Calc_SEC_death_rates!$G132</f>
        <v>0.20319380894833436</v>
      </c>
      <c r="N187" s="459">
        <f>N85*Calc_SEC_death_rates!$G132</f>
        <v>0.20189260184176647</v>
      </c>
    </row>
    <row r="188" spans="1:14">
      <c r="B188" s="338" t="str">
        <f t="shared" si="64"/>
        <v>65 plus</v>
      </c>
      <c r="C188" s="459">
        <f>C86*Calc_SEC_death_rates!$G133</f>
        <v>0.19236039231211796</v>
      </c>
      <c r="D188" s="459">
        <f>D86*Calc_SEC_death_rates!$G133</f>
        <v>0.21938642613094803</v>
      </c>
      <c r="E188" s="459">
        <f>E86*Calc_SEC_death_rates!$G133</f>
        <v>0.23081992585211722</v>
      </c>
      <c r="F188" s="459">
        <f>F86*Calc_SEC_death_rates!$G133</f>
        <v>0.248328268862125</v>
      </c>
      <c r="G188" s="459">
        <f>G86*Calc_SEC_death_rates!$G133</f>
        <v>0.26119039894251922</v>
      </c>
      <c r="H188" s="459">
        <f>H86*Calc_SEC_death_rates!$G133</f>
        <v>0.25960693577666671</v>
      </c>
      <c r="I188" s="459">
        <f>I86*Calc_SEC_death_rates!$G133</f>
        <v>0.25240749876092261</v>
      </c>
      <c r="J188" s="459">
        <f>J86*Calc_SEC_death_rates!$G133</f>
        <v>0.24619631759378982</v>
      </c>
      <c r="K188" s="459">
        <f>K86*Calc_SEC_death_rates!$G133</f>
        <v>0.24163305490589931</v>
      </c>
      <c r="L188" s="459">
        <f>L86*Calc_SEC_death_rates!$G133</f>
        <v>0.23710100048832244</v>
      </c>
      <c r="M188" s="459">
        <f>M86*Calc_SEC_death_rates!$G133</f>
        <v>0.23320964399251584</v>
      </c>
      <c r="N188" s="459">
        <f>N86*Calc_SEC_death_rates!$G133</f>
        <v>0.22996902211831358</v>
      </c>
    </row>
    <row r="189" spans="1:14">
      <c r="B189" s="338" t="str">
        <f t="shared" si="64"/>
        <v>Total</v>
      </c>
      <c r="C189" s="459">
        <f>SUM(C179:C188)</f>
        <v>2.2577914007242699</v>
      </c>
      <c r="D189" s="459">
        <f t="shared" ref="D189:N189" si="66">SUM(D179:D188)</f>
        <v>2.2270526016704073</v>
      </c>
      <c r="E189" s="459">
        <f t="shared" si="66"/>
        <v>2.2076535914281346</v>
      </c>
      <c r="F189" s="459">
        <f t="shared" si="66"/>
        <v>2.3017438667201033</v>
      </c>
      <c r="G189" s="459">
        <f t="shared" si="66"/>
        <v>2.4083904936749532</v>
      </c>
      <c r="H189" s="459">
        <f t="shared" si="66"/>
        <v>2.4432706449441803</v>
      </c>
      <c r="I189" s="459">
        <f t="shared" si="66"/>
        <v>2.4490762483673119</v>
      </c>
      <c r="J189" s="459">
        <f t="shared" si="66"/>
        <v>2.4588688981530398</v>
      </c>
      <c r="K189" s="459">
        <f t="shared" si="66"/>
        <v>2.4726622964435196</v>
      </c>
      <c r="L189" s="459">
        <f t="shared" si="66"/>
        <v>2.4791548138614812</v>
      </c>
      <c r="M189" s="459">
        <f t="shared" si="66"/>
        <v>2.4829112501028447</v>
      </c>
      <c r="N189" s="459">
        <f t="shared" si="66"/>
        <v>2.4848372380825432</v>
      </c>
    </row>
    <row r="190" spans="1:14">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4">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8"/>
        <v>30-34</v>
      </c>
      <c r="C197" s="459">
        <f>C95*Calc_SEC_death_rates!$G142</f>
        <v>0.11542471924413651</v>
      </c>
      <c r="D197" s="459">
        <f>D95*Calc_SEC_death_rates!$G142</f>
        <v>0.11529111281707927</v>
      </c>
      <c r="E197" s="459">
        <f>E95*Calc_SEC_death_rates!$G142</f>
        <v>0.1169937963461455</v>
      </c>
      <c r="F197" s="459">
        <f>F95*Calc_SEC_death_rates!$G142</f>
        <v>0.13106993194803634</v>
      </c>
      <c r="G197" s="459">
        <f>G95*Calc_SEC_death_rates!$G142</f>
        <v>0.14777916406766131</v>
      </c>
      <c r="H197" s="459">
        <f>H95*Calc_SEC_death_rates!$G142</f>
        <v>0.15749236823501553</v>
      </c>
      <c r="I197" s="459">
        <f>I95*Calc_SEC_death_rates!$G142</f>
        <v>0.1630964490156577</v>
      </c>
      <c r="J197" s="459">
        <f>J95*Calc_SEC_death_rates!$G142</f>
        <v>0.16758802467943182</v>
      </c>
      <c r="K197" s="459">
        <f>K95*Calc_SEC_death_rates!$G142</f>
        <v>0.17119057989636047</v>
      </c>
      <c r="L197" s="459">
        <f>L95*Calc_SEC_death_rates!$G142</f>
        <v>0.1729895787635802</v>
      </c>
      <c r="M197" s="459">
        <f>M95*Calc_SEC_death_rates!$G142</f>
        <v>0.17359605539601611</v>
      </c>
      <c r="N197" s="459">
        <f>N95*Calc_SEC_death_rates!$G142</f>
        <v>0.17331718448473366</v>
      </c>
    </row>
    <row r="198" spans="1:14">
      <c r="B198" s="338" t="str">
        <f t="shared" si="68"/>
        <v>35-39</v>
      </c>
      <c r="C198" s="459">
        <f>C96*Calc_SEC_death_rates!$G143</f>
        <v>0.51356341987570786</v>
      </c>
      <c r="D198" s="459">
        <f>D96*Calc_SEC_death_rates!$G143</f>
        <v>0.49191156145546666</v>
      </c>
      <c r="E198" s="459">
        <f>E96*Calc_SEC_death_rates!$G143</f>
        <v>0.48057645639247282</v>
      </c>
      <c r="F198" s="459">
        <f>F96*Calc_SEC_death_rates!$G143</f>
        <v>0.50268071179632901</v>
      </c>
      <c r="G198" s="459">
        <f>G96*Calc_SEC_death_rates!$G143</f>
        <v>0.53328411064530201</v>
      </c>
      <c r="H198" s="459">
        <f>H96*Calc_SEC_death_rates!$G143</f>
        <v>0.54999736243024688</v>
      </c>
      <c r="I198" s="459">
        <f>I96*Calc_SEC_death_rates!$G143</f>
        <v>0.56088614120826386</v>
      </c>
      <c r="J198" s="459">
        <f>J96*Calc_SEC_death_rates!$G143</f>
        <v>0.57257103917471708</v>
      </c>
      <c r="K198" s="459">
        <f>K96*Calc_SEC_death_rates!$G143</f>
        <v>0.58434475009043685</v>
      </c>
      <c r="L198" s="459">
        <f>L96*Calc_SEC_death_rates!$G143</f>
        <v>0.59297361642484714</v>
      </c>
      <c r="M198" s="459">
        <f>M96*Calc_SEC_death_rates!$G143</f>
        <v>0.59926441501298189</v>
      </c>
      <c r="N198" s="459">
        <f>N96*Calc_SEC_death_rates!$G143</f>
        <v>0.60336471830994898</v>
      </c>
    </row>
    <row r="199" spans="1:14">
      <c r="B199" s="338" t="str">
        <f t="shared" si="68"/>
        <v>40-44</v>
      </c>
      <c r="C199" s="459">
        <f>C97*Calc_SEC_death_rates!$G144</f>
        <v>0.6270488714261685</v>
      </c>
      <c r="D199" s="459">
        <f>D97*Calc_SEC_death_rates!$G144</f>
        <v>0.60166654253503637</v>
      </c>
      <c r="E199" s="459">
        <f>E97*Calc_SEC_death_rates!$G144</f>
        <v>0.5827753704190981</v>
      </c>
      <c r="F199" s="459">
        <f>F97*Calc_SEC_death_rates!$G144</f>
        <v>0.59370314940075197</v>
      </c>
      <c r="G199" s="459">
        <f>G97*Calc_SEC_death_rates!$G144</f>
        <v>0.61061705021707102</v>
      </c>
      <c r="H199" s="459">
        <f>H97*Calc_SEC_death_rates!$G144</f>
        <v>0.61326136514172813</v>
      </c>
      <c r="I199" s="459">
        <f>I97*Calc_SEC_death_rates!$G144</f>
        <v>0.6110910384067243</v>
      </c>
      <c r="J199" s="459">
        <f>J97*Calc_SEC_death_rates!$G144</f>
        <v>0.61154143203578148</v>
      </c>
      <c r="K199" s="459">
        <f>K97*Calc_SEC_death_rates!$G144</f>
        <v>0.61435114710162408</v>
      </c>
      <c r="L199" s="459">
        <f>L97*Calc_SEC_death_rates!$G144</f>
        <v>0.61650944349424719</v>
      </c>
      <c r="M199" s="459">
        <f>M97*Calc_SEC_death_rates!$G144</f>
        <v>0.61867751520857739</v>
      </c>
      <c r="N199" s="459">
        <f>N97*Calc_SEC_death_rates!$G144</f>
        <v>0.62070114843188007</v>
      </c>
    </row>
    <row r="200" spans="1:14">
      <c r="B200" s="338" t="str">
        <f t="shared" si="68"/>
        <v>45-49</v>
      </c>
      <c r="C200" s="459">
        <f>C98*Calc_SEC_death_rates!$G145</f>
        <v>0.78134560189515756</v>
      </c>
      <c r="D200" s="459">
        <f>D98*Calc_SEC_death_rates!$G145</f>
        <v>0.7815177863159356</v>
      </c>
      <c r="E200" s="459">
        <f>E98*Calc_SEC_death_rates!$G145</f>
        <v>0.77992827800292641</v>
      </c>
      <c r="F200" s="459">
        <f>F98*Calc_SEC_death_rates!$G145</f>
        <v>0.80617246316403535</v>
      </c>
      <c r="G200" s="459">
        <f>G98*Calc_SEC_death_rates!$G145</f>
        <v>0.83348503448894695</v>
      </c>
      <c r="H200" s="459">
        <f>H98*Calc_SEC_death_rates!$G145</f>
        <v>0.83876944209705262</v>
      </c>
      <c r="I200" s="459">
        <f>I98*Calc_SEC_death_rates!$G145</f>
        <v>0.83430972647752211</v>
      </c>
      <c r="J200" s="459">
        <f>J98*Calc_SEC_death_rates!$G145</f>
        <v>0.83022256519764792</v>
      </c>
      <c r="K200" s="459">
        <f>K98*Calc_SEC_death_rates!$G145</f>
        <v>0.82742905812866285</v>
      </c>
      <c r="L200" s="459">
        <f>L98*Calc_SEC_death_rates!$G145</f>
        <v>0.82334013151353536</v>
      </c>
      <c r="M200" s="459">
        <f>M98*Calc_SEC_death_rates!$G145</f>
        <v>0.81948744002109519</v>
      </c>
      <c r="N200" s="459">
        <f>N98*Calc_SEC_death_rates!$G145</f>
        <v>0.81620574028168114</v>
      </c>
    </row>
    <row r="201" spans="1:14">
      <c r="B201" s="338" t="str">
        <f t="shared" si="68"/>
        <v>50-54</v>
      </c>
      <c r="C201" s="459">
        <f>C99*Calc_SEC_death_rates!$G146</f>
        <v>0.8078819645611085</v>
      </c>
      <c r="D201" s="459">
        <f>D99*Calc_SEC_death_rates!$G146</f>
        <v>0.80787639268909262</v>
      </c>
      <c r="E201" s="459">
        <f>E99*Calc_SEC_death_rates!$G146</f>
        <v>0.81310233049628466</v>
      </c>
      <c r="F201" s="459">
        <f>F99*Calc_SEC_death_rates!$G146</f>
        <v>0.84899098020228803</v>
      </c>
      <c r="G201" s="459">
        <f>G99*Calc_SEC_death_rates!$G146</f>
        <v>0.88620592892089889</v>
      </c>
      <c r="H201" s="459">
        <f>H99*Calc_SEC_death_rates!$G146</f>
        <v>0.90019785145594511</v>
      </c>
      <c r="I201" s="459">
        <f>I99*Calc_SEC_death_rates!$G146</f>
        <v>0.90245313023446416</v>
      </c>
      <c r="J201" s="459">
        <f>J99*Calc_SEC_death_rates!$G146</f>
        <v>0.90274402234726092</v>
      </c>
      <c r="K201" s="459">
        <f>K99*Calc_SEC_death_rates!$G146</f>
        <v>0.9020287962761796</v>
      </c>
      <c r="L201" s="459">
        <f>L99*Calc_SEC_death_rates!$G146</f>
        <v>0.89802660202908646</v>
      </c>
      <c r="M201" s="459">
        <f>M99*Calc_SEC_death_rates!$G146</f>
        <v>0.89271789503766974</v>
      </c>
      <c r="N201" s="459">
        <f>N99*Calc_SEC_death_rates!$G146</f>
        <v>0.88692767807521589</v>
      </c>
    </row>
    <row r="202" spans="1:14">
      <c r="B202" s="338" t="str">
        <f t="shared" si="68"/>
        <v>55-59</v>
      </c>
      <c r="C202" s="459">
        <f>C100*Calc_SEC_death_rates!$G147</f>
        <v>1.6450384447327311</v>
      </c>
      <c r="D202" s="459">
        <f>D100*Calc_SEC_death_rates!$G147</f>
        <v>1.4626769561331849</v>
      </c>
      <c r="E202" s="459">
        <f>E100*Calc_SEC_death_rates!$G147</f>
        <v>1.3626632209903538</v>
      </c>
      <c r="F202" s="459">
        <f>F100*Calc_SEC_death_rates!$G147</f>
        <v>1.3671095948980687</v>
      </c>
      <c r="G202" s="459">
        <f>G100*Calc_SEC_death_rates!$G147</f>
        <v>1.3972173621809449</v>
      </c>
      <c r="H202" s="459">
        <f>H100*Calc_SEC_death_rates!$G147</f>
        <v>1.3967731653038342</v>
      </c>
      <c r="I202" s="459">
        <f>I100*Calc_SEC_death_rates!$G147</f>
        <v>1.3861093623017906</v>
      </c>
      <c r="J202" s="459">
        <f>J100*Calc_SEC_death_rates!$G147</f>
        <v>1.3803552301960094</v>
      </c>
      <c r="K202" s="459">
        <f>K100*Calc_SEC_death_rates!$G147</f>
        <v>1.3771809261229395</v>
      </c>
      <c r="L202" s="459">
        <f>L100*Calc_SEC_death_rates!$G147</f>
        <v>1.3695563174989627</v>
      </c>
      <c r="M202" s="459">
        <f>M100*Calc_SEC_death_rates!$G147</f>
        <v>1.3602331281120215</v>
      </c>
      <c r="N202" s="459">
        <f>N100*Calc_SEC_death_rates!$G147</f>
        <v>1.3499975464986007</v>
      </c>
    </row>
    <row r="203" spans="1:14">
      <c r="B203" s="338" t="str">
        <f t="shared" si="68"/>
        <v>60-64</v>
      </c>
      <c r="C203" s="459">
        <f>C101*Calc_SEC_death_rates!$G148</f>
        <v>0.91584825532224579</v>
      </c>
      <c r="D203" s="459">
        <f>D101*Calc_SEC_death_rates!$G148</f>
        <v>0.85642499646446257</v>
      </c>
      <c r="E203" s="459">
        <f>E101*Calc_SEC_death_rates!$G148</f>
        <v>0.79561919928459168</v>
      </c>
      <c r="F203" s="459">
        <f>F101*Calc_SEC_death_rates!$G148</f>
        <v>0.79569544019788929</v>
      </c>
      <c r="G203" s="459">
        <f>G101*Calc_SEC_death_rates!$G148</f>
        <v>0.80472632575918213</v>
      </c>
      <c r="H203" s="459">
        <f>H101*Calc_SEC_death_rates!$G148</f>
        <v>0.78554053644782684</v>
      </c>
      <c r="I203" s="459">
        <f>I101*Calc_SEC_death_rates!$G148</f>
        <v>0.76246698449183103</v>
      </c>
      <c r="J203" s="459">
        <f>J101*Calc_SEC_death_rates!$G148</f>
        <v>0.74906020158044595</v>
      </c>
      <c r="K203" s="459">
        <f>K101*Calc_SEC_death_rates!$G148</f>
        <v>0.74170211118668983</v>
      </c>
      <c r="L203" s="459">
        <f>L101*Calc_SEC_death_rates!$G148</f>
        <v>0.73320760560721032</v>
      </c>
      <c r="M203" s="459">
        <f>M101*Calc_SEC_death_rates!$G148</f>
        <v>0.72530496215685103</v>
      </c>
      <c r="N203" s="459">
        <f>N101*Calc_SEC_death_rates!$G148</f>
        <v>0.71790507546386262</v>
      </c>
    </row>
    <row r="204" spans="1:14">
      <c r="B204" s="338" t="str">
        <f t="shared" si="68"/>
        <v>65 plus</v>
      </c>
      <c r="C204" s="459">
        <f>C102*Calc_SEC_death_rates!$G149</f>
        <v>1.1972228073084867</v>
      </c>
      <c r="D204" s="459">
        <f>D102*Calc_SEC_death_rates!$G149</f>
        <v>1.3762833238610543</v>
      </c>
      <c r="E204" s="459">
        <f>E102*Calc_SEC_death_rates!$G149</f>
        <v>1.4419267353072434</v>
      </c>
      <c r="F204" s="459">
        <f>F102*Calc_SEC_death_rates!$G149</f>
        <v>1.5477908588754861</v>
      </c>
      <c r="G204" s="459">
        <f>G102*Calc_SEC_death_rates!$G149</f>
        <v>1.6186568885410486</v>
      </c>
      <c r="H204" s="459">
        <f>H102*Calc_SEC_death_rates!$G149</f>
        <v>1.5913010237898715</v>
      </c>
      <c r="I204" s="459">
        <f>I102*Calc_SEC_death_rates!$G149</f>
        <v>1.5319349115832528</v>
      </c>
      <c r="J204" s="459">
        <f>J102*Calc_SEC_death_rates!$G149</f>
        <v>1.4853841812492834</v>
      </c>
      <c r="K204" s="459">
        <f>K102*Calc_SEC_death_rates!$G149</f>
        <v>1.4531014934120465</v>
      </c>
      <c r="L204" s="459">
        <f>L102*Calc_SEC_death_rates!$G149</f>
        <v>1.421878189885444</v>
      </c>
      <c r="M204" s="459">
        <f>M102*Calc_SEC_death_rates!$G149</f>
        <v>1.3952399438435863</v>
      </c>
      <c r="N204" s="459">
        <f>N102*Calc_SEC_death_rates!$G149</f>
        <v>1.3727054358627577</v>
      </c>
    </row>
    <row r="205" spans="1:14">
      <c r="B205" s="338" t="str">
        <f t="shared" si="68"/>
        <v>Total</v>
      </c>
      <c r="C205" s="459">
        <f>SUM(C195:C204)</f>
        <v>6.6033740843657425</v>
      </c>
      <c r="D205" s="459">
        <f t="shared" ref="D205:N205" si="70">SUM(D195:D204)</f>
        <v>6.4936486722713127</v>
      </c>
      <c r="E205" s="459">
        <f t="shared" si="70"/>
        <v>6.3735853872391166</v>
      </c>
      <c r="F205" s="459">
        <f t="shared" si="70"/>
        <v>6.5932131304828845</v>
      </c>
      <c r="G205" s="459">
        <f t="shared" si="70"/>
        <v>6.831971864821055</v>
      </c>
      <c r="H205" s="459">
        <f t="shared" si="70"/>
        <v>6.8333331149015208</v>
      </c>
      <c r="I205" s="459">
        <f t="shared" si="70"/>
        <v>6.7523477437195067</v>
      </c>
      <c r="J205" s="459">
        <f t="shared" si="70"/>
        <v>6.6994666964605774</v>
      </c>
      <c r="K205" s="459">
        <f t="shared" si="70"/>
        <v>6.6713288622149403</v>
      </c>
      <c r="L205" s="459">
        <f t="shared" si="70"/>
        <v>6.6284814852169127</v>
      </c>
      <c r="M205" s="459">
        <f t="shared" si="70"/>
        <v>6.5845213547887997</v>
      </c>
      <c r="N205" s="459">
        <f t="shared" si="70"/>
        <v>6.5411245274086802</v>
      </c>
    </row>
    <row r="206" spans="1:14">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4" ht="15.75">
      <c r="B208" s="340" t="s">
        <v>153</v>
      </c>
      <c r="C208" s="329"/>
      <c r="D208" s="329"/>
      <c r="E208" s="329"/>
      <c r="F208" s="329"/>
      <c r="G208" s="329"/>
      <c r="H208" s="339"/>
      <c r="I208" s="329"/>
      <c r="J208" s="329"/>
      <c r="K208" s="329"/>
      <c r="L208" s="329"/>
    </row>
    <row r="209" spans="1:15">
      <c r="C209" s="329"/>
      <c r="D209" s="329"/>
      <c r="E209" s="329"/>
      <c r="F209" s="329"/>
      <c r="G209" s="329"/>
      <c r="H209" s="339"/>
      <c r="I209" s="329"/>
      <c r="J209" s="329"/>
      <c r="K209" s="329"/>
      <c r="L209" s="329"/>
    </row>
    <row r="210" spans="1:15">
      <c r="B210" s="341" t="s">
        <v>49</v>
      </c>
      <c r="C210" s="329"/>
      <c r="D210" s="329"/>
      <c r="E210" s="329"/>
      <c r="F210" s="329"/>
      <c r="G210" s="329"/>
      <c r="H210" s="339"/>
      <c r="I210" s="329"/>
      <c r="J210" s="329"/>
      <c r="K210" s="329"/>
      <c r="L210" s="329"/>
    </row>
    <row r="211" spans="1:15">
      <c r="C211" s="329"/>
      <c r="D211" s="329"/>
      <c r="E211" s="329"/>
      <c r="F211" s="329"/>
      <c r="G211" s="329"/>
      <c r="H211" s="339"/>
      <c r="I211" s="329"/>
      <c r="J211" s="329"/>
      <c r="K211" s="329"/>
      <c r="L211" s="329"/>
    </row>
    <row r="212" spans="1:15">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5">
      <c r="B213" s="338" t="str">
        <f t="shared" si="72"/>
        <v>20-24</v>
      </c>
      <c r="C213" s="459">
        <f t="shared" ref="C213:C222" si="74">C111+C145+C179</f>
        <v>6.1620674445575796</v>
      </c>
      <c r="D213" s="459">
        <f t="shared" ref="D213:N213" si="75">D111+D145+D179</f>
        <v>11.890069824029341</v>
      </c>
      <c r="E213" s="459">
        <f t="shared" si="75"/>
        <v>16.926135490591534</v>
      </c>
      <c r="F213" s="459">
        <f t="shared" si="75"/>
        <v>26.875094947819999</v>
      </c>
      <c r="G213" s="459">
        <f t="shared" si="75"/>
        <v>34.852028965461379</v>
      </c>
      <c r="H213" s="459">
        <f t="shared" si="75"/>
        <v>36.625989452232268</v>
      </c>
      <c r="I213" s="459">
        <f t="shared" si="75"/>
        <v>36.082890078924606</v>
      </c>
      <c r="J213" s="459">
        <f t="shared" si="75"/>
        <v>35.657324426058359</v>
      </c>
      <c r="K213" s="459">
        <f t="shared" si="75"/>
        <v>35.374805357544325</v>
      </c>
      <c r="L213" s="459">
        <f t="shared" si="75"/>
        <v>34.623276365129193</v>
      </c>
      <c r="M213" s="459">
        <f t="shared" si="75"/>
        <v>33.81205895627658</v>
      </c>
      <c r="N213" s="459">
        <f t="shared" si="75"/>
        <v>33.037003838123596</v>
      </c>
      <c r="O213" s="327"/>
    </row>
    <row r="214" spans="1:15">
      <c r="B214" s="338" t="str">
        <f t="shared" si="72"/>
        <v>25-29</v>
      </c>
      <c r="C214" s="459">
        <f t="shared" si="74"/>
        <v>34.934062704817002</v>
      </c>
      <c r="D214" s="459">
        <f t="shared" ref="D214:N214" si="76">D112+D146+D180</f>
        <v>34.315028102974487</v>
      </c>
      <c r="E214" s="459">
        <f t="shared" si="76"/>
        <v>35.887476537257662</v>
      </c>
      <c r="F214" s="459">
        <f t="shared" si="76"/>
        <v>44.941410629165468</v>
      </c>
      <c r="G214" s="459">
        <f t="shared" si="76"/>
        <v>54.040351083848549</v>
      </c>
      <c r="H214" s="459">
        <f t="shared" si="76"/>
        <v>57.490845171650541</v>
      </c>
      <c r="I214" s="459">
        <f t="shared" si="76"/>
        <v>58.230104163564519</v>
      </c>
      <c r="J214" s="459">
        <f t="shared" si="76"/>
        <v>58.624548204661252</v>
      </c>
      <c r="K214" s="459">
        <f t="shared" si="76"/>
        <v>58.858605410712592</v>
      </c>
      <c r="L214" s="459">
        <f t="shared" si="76"/>
        <v>58.364814308149136</v>
      </c>
      <c r="M214" s="459">
        <f t="shared" si="76"/>
        <v>57.58031850212582</v>
      </c>
      <c r="N214" s="459">
        <f t="shared" si="76"/>
        <v>56.666327903024296</v>
      </c>
      <c r="O214" s="327"/>
    </row>
    <row r="215" spans="1:15">
      <c r="B215" s="338" t="str">
        <f t="shared" si="72"/>
        <v>30-34</v>
      </c>
      <c r="C215" s="459">
        <f t="shared" si="74"/>
        <v>29.284635048735215</v>
      </c>
      <c r="D215" s="459">
        <f t="shared" ref="D215:N215" si="77">D113+D147+D181</f>
        <v>29.214279980371121</v>
      </c>
      <c r="E215" s="459">
        <f t="shared" si="77"/>
        <v>29.541839398151726</v>
      </c>
      <c r="F215" s="459">
        <f t="shared" si="77"/>
        <v>32.809187146561413</v>
      </c>
      <c r="G215" s="459">
        <f t="shared" si="77"/>
        <v>36.746973624642386</v>
      </c>
      <c r="H215" s="459">
        <f t="shared" si="77"/>
        <v>39.056372380739063</v>
      </c>
      <c r="I215" s="459">
        <f t="shared" si="77"/>
        <v>40.388404920336782</v>
      </c>
      <c r="J215" s="459">
        <f t="shared" si="77"/>
        <v>41.445055243611868</v>
      </c>
      <c r="K215" s="459">
        <f t="shared" si="77"/>
        <v>42.283401363875726</v>
      </c>
      <c r="L215" s="459">
        <f t="shared" si="77"/>
        <v>42.689022858783076</v>
      </c>
      <c r="M215" s="459">
        <f t="shared" si="77"/>
        <v>42.806420104709069</v>
      </c>
      <c r="N215" s="459">
        <f t="shared" si="77"/>
        <v>42.709963698881054</v>
      </c>
      <c r="O215" s="327"/>
    </row>
    <row r="216" spans="1:15">
      <c r="B216" s="338" t="str">
        <f t="shared" si="72"/>
        <v>35-39</v>
      </c>
      <c r="C216" s="459">
        <f t="shared" si="74"/>
        <v>28.165337497715448</v>
      </c>
      <c r="D216" s="459">
        <f t="shared" ref="D216:N216" si="78">D114+D148+D182</f>
        <v>27.720393648685242</v>
      </c>
      <c r="E216" s="459">
        <f t="shared" si="78"/>
        <v>27.626929373906169</v>
      </c>
      <c r="F216" s="459">
        <f t="shared" si="78"/>
        <v>29.189131417926507</v>
      </c>
      <c r="G216" s="459">
        <f t="shared" si="78"/>
        <v>31.135947783574252</v>
      </c>
      <c r="H216" s="459">
        <f t="shared" si="78"/>
        <v>32.293372301539982</v>
      </c>
      <c r="I216" s="459">
        <f t="shared" si="78"/>
        <v>33.094853579003718</v>
      </c>
      <c r="J216" s="459">
        <f t="shared" si="78"/>
        <v>33.899896109547662</v>
      </c>
      <c r="K216" s="459">
        <f t="shared" si="78"/>
        <v>34.678182900071015</v>
      </c>
      <c r="L216" s="459">
        <f t="shared" si="78"/>
        <v>35.261198057180678</v>
      </c>
      <c r="M216" s="459">
        <f t="shared" si="78"/>
        <v>35.694072580646839</v>
      </c>
      <c r="N216" s="459">
        <f t="shared" si="78"/>
        <v>35.987006151934111</v>
      </c>
      <c r="O216" s="327"/>
    </row>
    <row r="217" spans="1:15">
      <c r="B217" s="338" t="str">
        <f t="shared" si="72"/>
        <v>40-44</v>
      </c>
      <c r="C217" s="459">
        <f t="shared" si="74"/>
        <v>31.157998311897739</v>
      </c>
      <c r="D217" s="459">
        <f t="shared" ref="D217:N217" si="79">D115+D149+D183</f>
        <v>30.576823567259652</v>
      </c>
      <c r="E217" s="459">
        <f t="shared" si="79"/>
        <v>30.27639575002198</v>
      </c>
      <c r="F217" s="459">
        <f t="shared" si="79"/>
        <v>31.432040444126766</v>
      </c>
      <c r="G217" s="459">
        <f t="shared" si="79"/>
        <v>32.828259063378994</v>
      </c>
      <c r="H217" s="459">
        <f t="shared" si="79"/>
        <v>33.430967973326815</v>
      </c>
      <c r="I217" s="459">
        <f t="shared" si="79"/>
        <v>33.724324686750158</v>
      </c>
      <c r="J217" s="459">
        <f t="shared" si="79"/>
        <v>34.09436314762651</v>
      </c>
      <c r="K217" s="459">
        <f t="shared" si="79"/>
        <v>34.535636471017916</v>
      </c>
      <c r="L217" s="459">
        <f t="shared" si="79"/>
        <v>34.90076960960792</v>
      </c>
      <c r="M217" s="459">
        <f t="shared" si="79"/>
        <v>35.228431008229173</v>
      </c>
      <c r="N217" s="459">
        <f t="shared" si="79"/>
        <v>35.514979985049273</v>
      </c>
      <c r="O217" s="327"/>
    </row>
    <row r="218" spans="1:15">
      <c r="B218" s="338" t="str">
        <f t="shared" si="72"/>
        <v>45-49</v>
      </c>
      <c r="C218" s="459">
        <f t="shared" si="74"/>
        <v>31.010707577303826</v>
      </c>
      <c r="D218" s="459">
        <f t="shared" ref="D218:N218" si="80">D116+D150+D184</f>
        <v>31.095340246536601</v>
      </c>
      <c r="E218" s="459">
        <f t="shared" si="80"/>
        <v>31.240553050272919</v>
      </c>
      <c r="F218" s="459">
        <f t="shared" si="80"/>
        <v>32.577513733773394</v>
      </c>
      <c r="G218" s="459">
        <f t="shared" si="80"/>
        <v>34.015453531364834</v>
      </c>
      <c r="H218" s="459">
        <f t="shared" si="80"/>
        <v>34.608065992409564</v>
      </c>
      <c r="I218" s="459">
        <f t="shared" si="80"/>
        <v>34.814998421984164</v>
      </c>
      <c r="J218" s="459">
        <f t="shared" si="80"/>
        <v>35.021396156230963</v>
      </c>
      <c r="K218" s="459">
        <f t="shared" si="80"/>
        <v>35.255936978131906</v>
      </c>
      <c r="L218" s="459">
        <f t="shared" si="80"/>
        <v>35.411795098270282</v>
      </c>
      <c r="M218" s="459">
        <f t="shared" si="80"/>
        <v>35.547399162718591</v>
      </c>
      <c r="N218" s="459">
        <f t="shared" si="80"/>
        <v>35.675754698651538</v>
      </c>
      <c r="O218" s="327"/>
    </row>
    <row r="219" spans="1:15">
      <c r="B219" s="338" t="str">
        <f t="shared" si="72"/>
        <v>50-54</v>
      </c>
      <c r="C219" s="459">
        <f t="shared" si="74"/>
        <v>34.193753177130475</v>
      </c>
      <c r="D219" s="459">
        <f t="shared" ref="D219:N219" si="81">D117+D151+D185</f>
        <v>34.047634916578481</v>
      </c>
      <c r="E219" s="459">
        <f t="shared" si="81"/>
        <v>34.178616461073489</v>
      </c>
      <c r="F219" s="459">
        <f t="shared" si="81"/>
        <v>35.651614083395991</v>
      </c>
      <c r="G219" s="459">
        <f t="shared" si="81"/>
        <v>37.26103254227413</v>
      </c>
      <c r="H219" s="459">
        <f t="shared" si="81"/>
        <v>37.986566296784474</v>
      </c>
      <c r="I219" s="459">
        <f t="shared" si="81"/>
        <v>38.285459789438328</v>
      </c>
      <c r="J219" s="459">
        <f t="shared" si="81"/>
        <v>38.543332014292879</v>
      </c>
      <c r="K219" s="459">
        <f t="shared" si="81"/>
        <v>38.784365362255556</v>
      </c>
      <c r="L219" s="459">
        <f t="shared" si="81"/>
        <v>38.901617643014255</v>
      </c>
      <c r="M219" s="459">
        <f t="shared" si="81"/>
        <v>38.966153183008942</v>
      </c>
      <c r="N219" s="459">
        <f t="shared" si="81"/>
        <v>39.004010559149734</v>
      </c>
      <c r="O219" s="327"/>
    </row>
    <row r="220" spans="1:15">
      <c r="B220" s="338" t="str">
        <f t="shared" si="72"/>
        <v>55-59</v>
      </c>
      <c r="C220" s="459">
        <f t="shared" si="74"/>
        <v>58.494934396889697</v>
      </c>
      <c r="D220" s="459">
        <f t="shared" ref="D220:N220" si="82">D118+D152+D186</f>
        <v>52.678099024127789</v>
      </c>
      <c r="E220" s="459">
        <f t="shared" si="82"/>
        <v>49.55717590131151</v>
      </c>
      <c r="F220" s="459">
        <f t="shared" si="82"/>
        <v>50.121929023924658</v>
      </c>
      <c r="G220" s="459">
        <f t="shared" si="82"/>
        <v>51.487673397824558</v>
      </c>
      <c r="H220" s="459">
        <f t="shared" si="82"/>
        <v>51.626066854171718</v>
      </c>
      <c r="I220" s="459">
        <f t="shared" si="82"/>
        <v>51.38282274473444</v>
      </c>
      <c r="J220" s="459">
        <f t="shared" si="82"/>
        <v>51.357830314560481</v>
      </c>
      <c r="K220" s="459">
        <f t="shared" si="82"/>
        <v>51.465157390213662</v>
      </c>
      <c r="L220" s="459">
        <f t="shared" si="82"/>
        <v>51.434982154302482</v>
      </c>
      <c r="M220" s="459">
        <f t="shared" si="82"/>
        <v>51.366089068251355</v>
      </c>
      <c r="N220" s="459">
        <f t="shared" si="82"/>
        <v>51.279062910612843</v>
      </c>
      <c r="O220" s="327"/>
    </row>
    <row r="221" spans="1:15">
      <c r="B221" s="338" t="str">
        <f t="shared" si="72"/>
        <v>60-64</v>
      </c>
      <c r="C221" s="459">
        <f t="shared" si="74"/>
        <v>33.380379924945707</v>
      </c>
      <c r="D221" s="459">
        <f t="shared" ref="D221:N221" si="83">D119+D153+D187</f>
        <v>31.362483646769224</v>
      </c>
      <c r="E221" s="459">
        <f t="shared" si="83"/>
        <v>29.401126279532331</v>
      </c>
      <c r="F221" s="459">
        <f t="shared" si="83"/>
        <v>29.674024931409875</v>
      </c>
      <c r="G221" s="459">
        <f t="shared" si="83"/>
        <v>30.231452627752926</v>
      </c>
      <c r="H221" s="459">
        <f t="shared" si="83"/>
        <v>29.667831783499583</v>
      </c>
      <c r="I221" s="459">
        <f t="shared" si="83"/>
        <v>28.89463743119131</v>
      </c>
      <c r="J221" s="459">
        <f t="shared" si="83"/>
        <v>28.454022331241415</v>
      </c>
      <c r="K221" s="459">
        <f t="shared" si="83"/>
        <v>28.240483731506654</v>
      </c>
      <c r="L221" s="459">
        <f t="shared" si="83"/>
        <v>27.99636138680037</v>
      </c>
      <c r="M221" s="459">
        <f t="shared" si="83"/>
        <v>27.787013943319018</v>
      </c>
      <c r="N221" s="459">
        <f t="shared" si="83"/>
        <v>27.609072202866969</v>
      </c>
      <c r="O221" s="327"/>
    </row>
    <row r="222" spans="1:15">
      <c r="B222" s="338" t="str">
        <f t="shared" si="72"/>
        <v>65 plus</v>
      </c>
      <c r="C222" s="459">
        <f t="shared" si="74"/>
        <v>9.41168920497649</v>
      </c>
      <c r="D222" s="459">
        <f t="shared" ref="D222:N222" si="84">D120+D154+D188</f>
        <v>10.734002118194585</v>
      </c>
      <c r="E222" s="459">
        <f t="shared" si="84"/>
        <v>11.293413255837866</v>
      </c>
      <c r="F222" s="459">
        <f t="shared" si="84"/>
        <v>12.150050534040876</v>
      </c>
      <c r="G222" s="459">
        <f t="shared" si="84"/>
        <v>12.779360806158799</v>
      </c>
      <c r="H222" s="459">
        <f t="shared" si="84"/>
        <v>12.70188610876709</v>
      </c>
      <c r="I222" s="459">
        <f t="shared" si="84"/>
        <v>12.349636548301214</v>
      </c>
      <c r="J222" s="459">
        <f t="shared" si="84"/>
        <v>12.045739753133502</v>
      </c>
      <c r="K222" s="459">
        <f t="shared" si="84"/>
        <v>11.822471284698453</v>
      </c>
      <c r="L222" s="459">
        <f t="shared" si="84"/>
        <v>11.600729755033321</v>
      </c>
      <c r="M222" s="459">
        <f t="shared" si="84"/>
        <v>11.410335893365204</v>
      </c>
      <c r="N222" s="459">
        <f t="shared" si="84"/>
        <v>11.251780769078742</v>
      </c>
      <c r="O222" s="327"/>
    </row>
    <row r="223" spans="1:15">
      <c r="B223" s="338" t="str">
        <f t="shared" si="72"/>
        <v>Total</v>
      </c>
      <c r="C223" s="459">
        <f>SUM(C213:C222)</f>
        <v>296.19556528896919</v>
      </c>
      <c r="D223" s="459">
        <f t="shared" ref="D223:N223" si="85">SUM(D213:D222)</f>
        <v>293.63415507552656</v>
      </c>
      <c r="E223" s="459">
        <f t="shared" si="85"/>
        <v>295.92966149795723</v>
      </c>
      <c r="F223" s="459">
        <f t="shared" si="85"/>
        <v>325.42199689214493</v>
      </c>
      <c r="G223" s="459">
        <f t="shared" si="85"/>
        <v>355.3785334262808</v>
      </c>
      <c r="H223" s="459">
        <f t="shared" si="85"/>
        <v>365.48796431512108</v>
      </c>
      <c r="I223" s="459">
        <f t="shared" si="85"/>
        <v>367.24813236422921</v>
      </c>
      <c r="J223" s="459">
        <f t="shared" si="85"/>
        <v>369.14350770096485</v>
      </c>
      <c r="K223" s="459">
        <f t="shared" si="85"/>
        <v>371.2990462500278</v>
      </c>
      <c r="L223" s="459">
        <f t="shared" si="85"/>
        <v>371.18456723627071</v>
      </c>
      <c r="M223" s="459">
        <f t="shared" si="85"/>
        <v>370.19829240265057</v>
      </c>
      <c r="N223" s="459">
        <f t="shared" si="85"/>
        <v>368.73496271737213</v>
      </c>
      <c r="O223" s="327"/>
    </row>
    <row r="224" spans="1:15">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27.423237189904437</v>
      </c>
      <c r="D229" s="459">
        <f t="shared" ref="D229:N229" si="90">D195+D161+D127</f>
        <v>48.138102292414551</v>
      </c>
      <c r="E229" s="459">
        <f t="shared" si="90"/>
        <v>66.808983830575116</v>
      </c>
      <c r="F229" s="459">
        <f t="shared" si="90"/>
        <v>104.34719729518423</v>
      </c>
      <c r="G229" s="459">
        <f t="shared" si="90"/>
        <v>134.99047979865512</v>
      </c>
      <c r="H229" s="459">
        <f t="shared" si="90"/>
        <v>142.54265825975062</v>
      </c>
      <c r="I229" s="459">
        <f t="shared" si="90"/>
        <v>141.21829732616766</v>
      </c>
      <c r="J229" s="459">
        <f t="shared" si="90"/>
        <v>140.10112293897512</v>
      </c>
      <c r="K229" s="459">
        <f t="shared" si="90"/>
        <v>139.36080743089178</v>
      </c>
      <c r="L229" s="459">
        <f t="shared" si="90"/>
        <v>136.74617148680437</v>
      </c>
      <c r="M229" s="459">
        <f t="shared" si="90"/>
        <v>133.80358597129091</v>
      </c>
      <c r="N229" s="459">
        <f t="shared" si="90"/>
        <v>130.9201247238353</v>
      </c>
    </row>
    <row r="230" spans="1:14">
      <c r="B230" s="338" t="str">
        <f t="shared" si="87"/>
        <v>25-29</v>
      </c>
      <c r="C230" s="459">
        <f t="shared" si="89"/>
        <v>142.36811563033919</v>
      </c>
      <c r="D230" s="459">
        <f t="shared" ref="D230:N230" si="91">D196+D162+D128</f>
        <v>141.55012097738683</v>
      </c>
      <c r="E230" s="459">
        <f t="shared" si="91"/>
        <v>149.08634137434171</v>
      </c>
      <c r="F230" s="459">
        <f t="shared" si="91"/>
        <v>186.80471304047197</v>
      </c>
      <c r="G230" s="459">
        <f t="shared" si="91"/>
        <v>224.85408418263646</v>
      </c>
      <c r="H230" s="459">
        <f t="shared" si="91"/>
        <v>240.0925085288799</v>
      </c>
      <c r="I230" s="459">
        <f t="shared" si="91"/>
        <v>244.22991203839558</v>
      </c>
      <c r="J230" s="459">
        <f t="shared" si="91"/>
        <v>246.78316370564167</v>
      </c>
      <c r="K230" s="459">
        <f t="shared" si="91"/>
        <v>248.50567975299069</v>
      </c>
      <c r="L230" s="459">
        <f t="shared" si="91"/>
        <v>247.10857948366879</v>
      </c>
      <c r="M230" s="459">
        <f t="shared" si="91"/>
        <v>244.3701747579602</v>
      </c>
      <c r="N230" s="459">
        <f t="shared" si="91"/>
        <v>240.96449294435297</v>
      </c>
    </row>
    <row r="231" spans="1:14">
      <c r="B231" s="338" t="str">
        <f t="shared" si="87"/>
        <v>30-34</v>
      </c>
      <c r="C231" s="459">
        <f t="shared" si="89"/>
        <v>157.72826763278718</v>
      </c>
      <c r="D231" s="459">
        <f t="shared" ref="D231:N231" si="92">D197+D163+D129</f>
        <v>157.54569400018624</v>
      </c>
      <c r="E231" s="459">
        <f t="shared" si="92"/>
        <v>159.87241677781293</v>
      </c>
      <c r="F231" s="459">
        <f t="shared" si="92"/>
        <v>179.10750349051659</v>
      </c>
      <c r="G231" s="459">
        <f t="shared" si="92"/>
        <v>201.94072546377652</v>
      </c>
      <c r="H231" s="459">
        <f t="shared" si="92"/>
        <v>215.21385167550153</v>
      </c>
      <c r="I231" s="459">
        <f t="shared" si="92"/>
        <v>222.87184693850313</v>
      </c>
      <c r="J231" s="459">
        <f t="shared" si="92"/>
        <v>229.00960021204781</v>
      </c>
      <c r="K231" s="459">
        <f t="shared" si="92"/>
        <v>233.93250405048607</v>
      </c>
      <c r="L231" s="459">
        <f t="shared" si="92"/>
        <v>236.39084206211896</v>
      </c>
      <c r="M231" s="459">
        <f t="shared" si="92"/>
        <v>237.21959442314096</v>
      </c>
      <c r="N231" s="459">
        <f t="shared" si="92"/>
        <v>236.83851638355119</v>
      </c>
    </row>
    <row r="232" spans="1:14">
      <c r="B232" s="338" t="str">
        <f t="shared" si="87"/>
        <v>35-39</v>
      </c>
      <c r="C232" s="459">
        <f t="shared" si="89"/>
        <v>162.16225404768659</v>
      </c>
      <c r="D232" s="459">
        <f t="shared" ref="D232:N232" si="93">D198+D164+D130</f>
        <v>155.32548563727789</v>
      </c>
      <c r="E232" s="459">
        <f t="shared" si="93"/>
        <v>151.74632459164252</v>
      </c>
      <c r="F232" s="459">
        <f t="shared" si="93"/>
        <v>158.72594140547744</v>
      </c>
      <c r="G232" s="459">
        <f t="shared" si="93"/>
        <v>168.3892389590122</v>
      </c>
      <c r="H232" s="459">
        <f t="shared" si="93"/>
        <v>173.66659804850713</v>
      </c>
      <c r="I232" s="459">
        <f t="shared" si="93"/>
        <v>177.10482756823652</v>
      </c>
      <c r="J232" s="459">
        <f t="shared" si="93"/>
        <v>180.79443885911834</v>
      </c>
      <c r="K232" s="459">
        <f t="shared" si="93"/>
        <v>184.51209363496093</v>
      </c>
      <c r="L232" s="459">
        <f t="shared" si="93"/>
        <v>187.23673553995255</v>
      </c>
      <c r="M232" s="459">
        <f t="shared" si="93"/>
        <v>189.22311159270728</v>
      </c>
      <c r="N232" s="459">
        <f t="shared" si="93"/>
        <v>190.51781911894867</v>
      </c>
    </row>
    <row r="233" spans="1:14">
      <c r="B233" s="338" t="str">
        <f t="shared" si="87"/>
        <v>40-44</v>
      </c>
      <c r="C233" s="459">
        <f t="shared" si="89"/>
        <v>163.48068620874179</v>
      </c>
      <c r="D233" s="459">
        <f t="shared" ref="D233:N233" si="94">D199+D165+D131</f>
        <v>156.86314691669182</v>
      </c>
      <c r="E233" s="459">
        <f t="shared" si="94"/>
        <v>151.93794583343836</v>
      </c>
      <c r="F233" s="459">
        <f t="shared" si="94"/>
        <v>154.78697545148879</v>
      </c>
      <c r="G233" s="459">
        <f t="shared" si="94"/>
        <v>159.19667338401112</v>
      </c>
      <c r="H233" s="459">
        <f t="shared" si="94"/>
        <v>159.88608443015772</v>
      </c>
      <c r="I233" s="459">
        <f t="shared" si="94"/>
        <v>159.32024894252078</v>
      </c>
      <c r="J233" s="459">
        <f t="shared" si="94"/>
        <v>159.4376730587222</v>
      </c>
      <c r="K233" s="459">
        <f t="shared" si="94"/>
        <v>160.17020630763832</v>
      </c>
      <c r="L233" s="459">
        <f t="shared" si="94"/>
        <v>160.73290531147413</v>
      </c>
      <c r="M233" s="459">
        <f t="shared" si="94"/>
        <v>161.29815288269188</v>
      </c>
      <c r="N233" s="459">
        <f t="shared" si="94"/>
        <v>161.82574325571642</v>
      </c>
    </row>
    <row r="234" spans="1:14">
      <c r="B234" s="338" t="str">
        <f t="shared" si="87"/>
        <v>45-49</v>
      </c>
      <c r="C234" s="459">
        <f t="shared" si="89"/>
        <v>153.34952396658815</v>
      </c>
      <c r="D234" s="459">
        <f t="shared" ref="D234:N234" si="95">D200+D166+D132</f>
        <v>153.3833174619335</v>
      </c>
      <c r="E234" s="459">
        <f t="shared" si="95"/>
        <v>153.07135519766831</v>
      </c>
      <c r="F234" s="459">
        <f t="shared" si="95"/>
        <v>158.22212752119006</v>
      </c>
      <c r="G234" s="459">
        <f t="shared" si="95"/>
        <v>163.58258491778867</v>
      </c>
      <c r="H234" s="459">
        <f t="shared" si="95"/>
        <v>164.61972058372561</v>
      </c>
      <c r="I234" s="459">
        <f t="shared" si="95"/>
        <v>163.74444174984905</v>
      </c>
      <c r="J234" s="459">
        <f t="shared" si="95"/>
        <v>162.9422816876139</v>
      </c>
      <c r="K234" s="459">
        <f t="shared" si="95"/>
        <v>162.39401856539615</v>
      </c>
      <c r="L234" s="459">
        <f t="shared" si="95"/>
        <v>161.59151203250823</v>
      </c>
      <c r="M234" s="459">
        <f t="shared" si="95"/>
        <v>160.8353698018195</v>
      </c>
      <c r="N234" s="459">
        <f t="shared" si="95"/>
        <v>160.19129233901711</v>
      </c>
    </row>
    <row r="235" spans="1:14">
      <c r="B235" s="338" t="str">
        <f t="shared" si="87"/>
        <v>50-54</v>
      </c>
      <c r="C235" s="459">
        <f t="shared" si="89"/>
        <v>149.22973972918169</v>
      </c>
      <c r="D235" s="459">
        <f t="shared" ref="D235:N235" si="96">D201+D167+D133</f>
        <v>149.22871050827172</v>
      </c>
      <c r="E235" s="459">
        <f t="shared" si="96"/>
        <v>150.19403140045404</v>
      </c>
      <c r="F235" s="459">
        <f t="shared" si="96"/>
        <v>156.82328429851592</v>
      </c>
      <c r="G235" s="459">
        <f t="shared" si="96"/>
        <v>163.69752751092653</v>
      </c>
      <c r="H235" s="459">
        <f t="shared" si="96"/>
        <v>166.28207704886574</v>
      </c>
      <c r="I235" s="459">
        <f t="shared" si="96"/>
        <v>166.69866595652624</v>
      </c>
      <c r="J235" s="459">
        <f t="shared" si="96"/>
        <v>166.75239874941701</v>
      </c>
      <c r="K235" s="459">
        <f t="shared" si="96"/>
        <v>166.6202841520909</v>
      </c>
      <c r="L235" s="459">
        <f t="shared" si="96"/>
        <v>165.88100981247396</v>
      </c>
      <c r="M235" s="459">
        <f t="shared" si="96"/>
        <v>164.90040002369378</v>
      </c>
      <c r="N235" s="459">
        <f t="shared" si="96"/>
        <v>163.83084703428906</v>
      </c>
    </row>
    <row r="236" spans="1:14">
      <c r="B236" s="338" t="str">
        <f t="shared" si="87"/>
        <v>55-59</v>
      </c>
      <c r="C236" s="459">
        <f t="shared" si="89"/>
        <v>257.04389088366059</v>
      </c>
      <c r="D236" s="459">
        <f t="shared" ref="D236:N236" si="97">D202+D168+D134</f>
        <v>228.54917288661136</v>
      </c>
      <c r="E236" s="459">
        <f t="shared" si="97"/>
        <v>212.9216234483379</v>
      </c>
      <c r="F236" s="459">
        <f t="shared" si="97"/>
        <v>213.61638730216887</v>
      </c>
      <c r="G236" s="459">
        <f t="shared" si="97"/>
        <v>218.32084735475303</v>
      </c>
      <c r="H236" s="459">
        <f t="shared" si="97"/>
        <v>218.25143980140587</v>
      </c>
      <c r="I236" s="459">
        <f t="shared" si="97"/>
        <v>216.58517757875765</v>
      </c>
      <c r="J236" s="459">
        <f t="shared" si="97"/>
        <v>215.68607123272395</v>
      </c>
      <c r="K236" s="459">
        <f t="shared" si="97"/>
        <v>215.1900734203918</v>
      </c>
      <c r="L236" s="459">
        <f t="shared" si="97"/>
        <v>213.99869757537891</v>
      </c>
      <c r="M236" s="459">
        <f t="shared" si="97"/>
        <v>212.54191163634027</v>
      </c>
      <c r="N236" s="459">
        <f t="shared" si="97"/>
        <v>210.94256073253914</v>
      </c>
    </row>
    <row r="237" spans="1:14">
      <c r="B237" s="338" t="str">
        <f t="shared" si="87"/>
        <v>60-64</v>
      </c>
      <c r="C237" s="459">
        <f t="shared" si="89"/>
        <v>162.98567993302501</v>
      </c>
      <c r="D237" s="459">
        <f t="shared" ref="D237:N237" si="98">D203+D169+D135</f>
        <v>152.4106308542186</v>
      </c>
      <c r="E237" s="459">
        <f t="shared" si="98"/>
        <v>141.58954325631322</v>
      </c>
      <c r="F237" s="459">
        <f t="shared" si="98"/>
        <v>141.60311119949628</v>
      </c>
      <c r="G237" s="459">
        <f t="shared" si="98"/>
        <v>143.21026065362364</v>
      </c>
      <c r="H237" s="459">
        <f t="shared" si="98"/>
        <v>139.7959298430433</v>
      </c>
      <c r="I237" s="459">
        <f t="shared" si="98"/>
        <v>135.6897271700964</v>
      </c>
      <c r="J237" s="459">
        <f t="shared" si="98"/>
        <v>133.30383669552458</v>
      </c>
      <c r="K237" s="459">
        <f t="shared" si="98"/>
        <v>131.99438028845523</v>
      </c>
      <c r="L237" s="459">
        <f t="shared" si="98"/>
        <v>130.48268579155496</v>
      </c>
      <c r="M237" s="459">
        <f t="shared" si="98"/>
        <v>129.07631993504978</v>
      </c>
      <c r="N237" s="459">
        <f t="shared" si="98"/>
        <v>127.75942539812705</v>
      </c>
    </row>
    <row r="238" spans="1:14">
      <c r="B238" s="338" t="str">
        <f t="shared" si="87"/>
        <v>65 plus</v>
      </c>
      <c r="C238" s="459">
        <f t="shared" si="89"/>
        <v>41.259642520406778</v>
      </c>
      <c r="D238" s="459">
        <f t="shared" ref="D238:N238" si="99">D204+D170+D136</f>
        <v>47.430568147097304</v>
      </c>
      <c r="E238" s="459">
        <f t="shared" si="99"/>
        <v>49.692823488004684</v>
      </c>
      <c r="F238" s="459">
        <f t="shared" si="99"/>
        <v>53.341196929855087</v>
      </c>
      <c r="G238" s="459">
        <f t="shared" si="99"/>
        <v>55.783438284590858</v>
      </c>
      <c r="H238" s="459">
        <f t="shared" si="99"/>
        <v>54.84067876348918</v>
      </c>
      <c r="I238" s="459">
        <f t="shared" si="99"/>
        <v>52.794756690739767</v>
      </c>
      <c r="J238" s="459">
        <f t="shared" si="99"/>
        <v>51.190488478575197</v>
      </c>
      <c r="K238" s="459">
        <f t="shared" si="99"/>
        <v>50.07793687027705</v>
      </c>
      <c r="L238" s="459">
        <f t="shared" si="99"/>
        <v>49.001894604836124</v>
      </c>
      <c r="M238" s="459">
        <f t="shared" si="99"/>
        <v>48.083866229208546</v>
      </c>
      <c r="N238" s="459">
        <f t="shared" si="99"/>
        <v>47.307264131431545</v>
      </c>
    </row>
    <row r="239" spans="1:14">
      <c r="B239" s="338" t="str">
        <f t="shared" si="87"/>
        <v>Total</v>
      </c>
      <c r="C239" s="459">
        <f>SUM(C229:C238)</f>
        <v>1417.0310377423214</v>
      </c>
      <c r="D239" s="459">
        <f t="shared" ref="D239:N239" si="100">SUM(D229:D238)</f>
        <v>1390.4249496820898</v>
      </c>
      <c r="E239" s="459">
        <f t="shared" si="100"/>
        <v>1386.9213891985887</v>
      </c>
      <c r="F239" s="459">
        <f t="shared" si="100"/>
        <v>1507.3784379343654</v>
      </c>
      <c r="G239" s="459">
        <f t="shared" si="100"/>
        <v>1633.9658605097738</v>
      </c>
      <c r="H239" s="459">
        <f t="shared" si="100"/>
        <v>1675.1915469833268</v>
      </c>
      <c r="I239" s="459">
        <f t="shared" si="100"/>
        <v>1680.2579019597927</v>
      </c>
      <c r="J239" s="459">
        <f t="shared" si="100"/>
        <v>1686.0010756183597</v>
      </c>
      <c r="K239" s="459">
        <f t="shared" si="100"/>
        <v>1692.757984473579</v>
      </c>
      <c r="L239" s="459">
        <f t="shared" si="100"/>
        <v>1689.1710337007707</v>
      </c>
      <c r="M239" s="459">
        <f t="shared" si="100"/>
        <v>1681.3524872539028</v>
      </c>
      <c r="N239" s="459">
        <f t="shared" si="100"/>
        <v>1671.0980860618083</v>
      </c>
    </row>
    <row r="240" spans="1:14">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5" ht="15.75">
      <c r="B242" s="340" t="s">
        <v>154</v>
      </c>
      <c r="C242" s="329"/>
      <c r="D242" s="329"/>
      <c r="E242" s="329"/>
      <c r="F242" s="329"/>
      <c r="G242" s="329"/>
      <c r="H242" s="339"/>
      <c r="I242" s="329"/>
      <c r="J242" s="329"/>
      <c r="K242" s="329"/>
      <c r="L242" s="329"/>
    </row>
    <row r="243" spans="2:15">
      <c r="C243" s="329"/>
      <c r="D243" s="329"/>
      <c r="E243" s="329"/>
      <c r="F243" s="329"/>
      <c r="G243" s="329"/>
      <c r="H243" s="339"/>
      <c r="I243" s="329"/>
      <c r="J243" s="329"/>
      <c r="K243" s="329"/>
      <c r="L243" s="329"/>
    </row>
    <row r="244" spans="2:15">
      <c r="B244" s="341" t="s">
        <v>49</v>
      </c>
      <c r="C244" s="329"/>
      <c r="D244" s="329"/>
      <c r="E244" s="329"/>
      <c r="F244" s="329"/>
      <c r="G244" s="329"/>
      <c r="H244" s="339"/>
      <c r="I244" s="329"/>
      <c r="J244" s="329"/>
      <c r="K244" s="329"/>
      <c r="L244" s="329"/>
    </row>
    <row r="245" spans="2:15">
      <c r="C245" s="329"/>
      <c r="D245" s="329"/>
      <c r="E245" s="329"/>
      <c r="F245" s="329"/>
      <c r="G245" s="329"/>
      <c r="H245" s="339"/>
      <c r="I245" s="329"/>
      <c r="J245" s="329"/>
      <c r="K245" s="329"/>
      <c r="L245" s="329"/>
    </row>
    <row r="246" spans="2:15">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5">
      <c r="B247" s="338" t="str">
        <f t="shared" si="102"/>
        <v>20-24</v>
      </c>
      <c r="C247" s="459">
        <f t="shared" ref="C247:C256" si="104">C77-C213</f>
        <v>43.372693608830438</v>
      </c>
      <c r="D247" s="459">
        <f t="shared" ref="D247:N247" si="105">D77-D213</f>
        <v>83.690151090556796</v>
      </c>
      <c r="E247" s="459">
        <f t="shared" si="105"/>
        <v>119.1373017611764</v>
      </c>
      <c r="F247" s="459">
        <f t="shared" si="105"/>
        <v>189.16463822698617</v>
      </c>
      <c r="G247" s="459">
        <f t="shared" si="105"/>
        <v>245.31155940205241</v>
      </c>
      <c r="H247" s="459">
        <f t="shared" si="105"/>
        <v>257.7978629615568</v>
      </c>
      <c r="I247" s="459">
        <f t="shared" si="105"/>
        <v>253.97517148186103</v>
      </c>
      <c r="J247" s="459">
        <f t="shared" si="105"/>
        <v>250.97975982201106</v>
      </c>
      <c r="K247" s="459">
        <f t="shared" si="105"/>
        <v>248.99120434001387</v>
      </c>
      <c r="L247" s="459">
        <f t="shared" si="105"/>
        <v>243.70144777382058</v>
      </c>
      <c r="M247" s="459">
        <f t="shared" si="105"/>
        <v>237.99156477742633</v>
      </c>
      <c r="N247" s="459">
        <f t="shared" si="105"/>
        <v>232.53621582643495</v>
      </c>
      <c r="O247" s="327"/>
    </row>
    <row r="248" spans="2:15">
      <c r="B248" s="338" t="str">
        <f t="shared" si="102"/>
        <v>25-29</v>
      </c>
      <c r="C248" s="459">
        <f t="shared" si="104"/>
        <v>288.18732911929294</v>
      </c>
      <c r="D248" s="459">
        <f t="shared" ref="D248:N248" si="106">D78-D214</f>
        <v>283.0806248105261</v>
      </c>
      <c r="E248" s="459">
        <f t="shared" si="106"/>
        <v>296.05248320223262</v>
      </c>
      <c r="F248" s="459">
        <f t="shared" si="106"/>
        <v>370.74259600177368</v>
      </c>
      <c r="G248" s="459">
        <f t="shared" si="106"/>
        <v>445.80398721777533</v>
      </c>
      <c r="H248" s="459">
        <f t="shared" si="106"/>
        <v>474.26871757873766</v>
      </c>
      <c r="I248" s="459">
        <f t="shared" si="106"/>
        <v>480.36720879080428</v>
      </c>
      <c r="J248" s="459">
        <f t="shared" si="106"/>
        <v>483.6211611195443</v>
      </c>
      <c r="K248" s="459">
        <f t="shared" si="106"/>
        <v>485.55200785910085</v>
      </c>
      <c r="L248" s="459">
        <f t="shared" si="106"/>
        <v>481.4784954195926</v>
      </c>
      <c r="M248" s="459">
        <f t="shared" si="106"/>
        <v>475.00682469084074</v>
      </c>
      <c r="N248" s="459">
        <f t="shared" si="106"/>
        <v>467.4668911932435</v>
      </c>
      <c r="O248" s="327"/>
    </row>
    <row r="249" spans="2:15">
      <c r="B249" s="338" t="str">
        <f t="shared" si="102"/>
        <v>30-34</v>
      </c>
      <c r="C249" s="459">
        <f t="shared" si="104"/>
        <v>381.63711874799861</v>
      </c>
      <c r="D249" s="459">
        <f t="shared" ref="D249:N249" si="107">D79-D215</f>
        <v>380.72025208617714</v>
      </c>
      <c r="E249" s="459">
        <f t="shared" si="107"/>
        <v>384.98900367596218</v>
      </c>
      <c r="F249" s="459">
        <f t="shared" si="107"/>
        <v>427.56905217496808</v>
      </c>
      <c r="G249" s="459">
        <f t="shared" si="107"/>
        <v>478.88625258530948</v>
      </c>
      <c r="H249" s="459">
        <f t="shared" si="107"/>
        <v>508.9823178376239</v>
      </c>
      <c r="I249" s="459">
        <f t="shared" si="107"/>
        <v>526.34135474024038</v>
      </c>
      <c r="J249" s="459">
        <f t="shared" si="107"/>
        <v>540.11161290558027</v>
      </c>
      <c r="K249" s="459">
        <f t="shared" si="107"/>
        <v>551.0369325251902</v>
      </c>
      <c r="L249" s="459">
        <f t="shared" si="107"/>
        <v>556.32298845045875</v>
      </c>
      <c r="M249" s="459">
        <f t="shared" si="107"/>
        <v>557.85290837637172</v>
      </c>
      <c r="N249" s="459">
        <f t="shared" si="107"/>
        <v>556.59588930327311</v>
      </c>
      <c r="O249" s="327"/>
    </row>
    <row r="250" spans="2:15">
      <c r="B250" s="338" t="str">
        <f t="shared" si="102"/>
        <v>35-39</v>
      </c>
      <c r="C250" s="459">
        <f t="shared" si="104"/>
        <v>427.51194131880425</v>
      </c>
      <c r="D250" s="459">
        <f t="shared" ref="D250:N250" si="108">D80-D216</f>
        <v>420.75829213238165</v>
      </c>
      <c r="E250" s="459">
        <f t="shared" si="108"/>
        <v>419.33963014908392</v>
      </c>
      <c r="F250" s="459">
        <f t="shared" si="108"/>
        <v>443.05175604232107</v>
      </c>
      <c r="G250" s="459">
        <f t="shared" si="108"/>
        <v>472.6018100381873</v>
      </c>
      <c r="H250" s="459">
        <f t="shared" si="108"/>
        <v>490.16995750475485</v>
      </c>
      <c r="I250" s="459">
        <f t="shared" si="108"/>
        <v>502.33536531806396</v>
      </c>
      <c r="J250" s="459">
        <f t="shared" si="108"/>
        <v>514.5548281633063</v>
      </c>
      <c r="K250" s="459">
        <f t="shared" si="108"/>
        <v>526.36817486104815</v>
      </c>
      <c r="L250" s="459">
        <f t="shared" si="108"/>
        <v>535.21756080057241</v>
      </c>
      <c r="M250" s="459">
        <f t="shared" si="108"/>
        <v>541.78801385796896</v>
      </c>
      <c r="N250" s="459">
        <f t="shared" si="108"/>
        <v>546.23435147947373</v>
      </c>
      <c r="O250" s="327"/>
    </row>
    <row r="251" spans="2:15">
      <c r="B251" s="338" t="str">
        <f t="shared" si="102"/>
        <v>40-44</v>
      </c>
      <c r="C251" s="459">
        <f t="shared" si="104"/>
        <v>440.63568933774036</v>
      </c>
      <c r="D251" s="459">
        <f t="shared" ref="D251:N251" si="109">D81-D217</f>
        <v>432.41672958089669</v>
      </c>
      <c r="E251" s="459">
        <f t="shared" si="109"/>
        <v>428.16808635870984</v>
      </c>
      <c r="F251" s="459">
        <f t="shared" si="109"/>
        <v>444.51118681461816</v>
      </c>
      <c r="G251" s="459">
        <f t="shared" si="109"/>
        <v>464.25647813923672</v>
      </c>
      <c r="H251" s="459">
        <f t="shared" si="109"/>
        <v>472.77997356235068</v>
      </c>
      <c r="I251" s="459">
        <f t="shared" si="109"/>
        <v>476.92861739842755</v>
      </c>
      <c r="J251" s="459">
        <f t="shared" si="109"/>
        <v>482.16169272815648</v>
      </c>
      <c r="K251" s="459">
        <f t="shared" si="109"/>
        <v>488.40216983109929</v>
      </c>
      <c r="L251" s="459">
        <f t="shared" si="109"/>
        <v>493.56587420684616</v>
      </c>
      <c r="M251" s="459">
        <f t="shared" si="109"/>
        <v>498.19965410520734</v>
      </c>
      <c r="N251" s="459">
        <f t="shared" si="109"/>
        <v>502.25202308816409</v>
      </c>
      <c r="O251" s="327"/>
    </row>
    <row r="252" spans="2:15">
      <c r="B252" s="338" t="str">
        <f t="shared" si="102"/>
        <v>45-49</v>
      </c>
      <c r="C252" s="459">
        <f t="shared" si="104"/>
        <v>381.39356276386553</v>
      </c>
      <c r="D252" s="459">
        <f t="shared" ref="D252:N252" si="110">D82-D218</f>
        <v>382.43444050470521</v>
      </c>
      <c r="E252" s="459">
        <f t="shared" si="110"/>
        <v>384.2203793917127</v>
      </c>
      <c r="F252" s="459">
        <f t="shared" si="110"/>
        <v>400.66335145497038</v>
      </c>
      <c r="G252" s="459">
        <f t="shared" si="110"/>
        <v>418.34824242613706</v>
      </c>
      <c r="H252" s="459">
        <f t="shared" si="110"/>
        <v>425.63664683589423</v>
      </c>
      <c r="I252" s="459">
        <f t="shared" si="110"/>
        <v>428.18166121101297</v>
      </c>
      <c r="J252" s="459">
        <f t="shared" si="110"/>
        <v>430.72009949122776</v>
      </c>
      <c r="K252" s="459">
        <f t="shared" si="110"/>
        <v>433.60466313607134</v>
      </c>
      <c r="L252" s="459">
        <f t="shared" si="110"/>
        <v>435.52152632202319</v>
      </c>
      <c r="M252" s="459">
        <f t="shared" si="110"/>
        <v>437.18928953369056</v>
      </c>
      <c r="N252" s="459">
        <f t="shared" si="110"/>
        <v>438.7679047596701</v>
      </c>
      <c r="O252" s="327"/>
    </row>
    <row r="253" spans="2:15">
      <c r="B253" s="338" t="str">
        <f t="shared" si="102"/>
        <v>50-54</v>
      </c>
      <c r="C253" s="459">
        <f t="shared" si="104"/>
        <v>293.18271842082413</v>
      </c>
      <c r="D253" s="459">
        <f t="shared" ref="D253:N253" si="111">D83-D219</f>
        <v>291.92987704311281</v>
      </c>
      <c r="E253" s="459">
        <f t="shared" si="111"/>
        <v>293.05293379207734</v>
      </c>
      <c r="F253" s="459">
        <f t="shared" si="111"/>
        <v>305.68265141631167</v>
      </c>
      <c r="G253" s="459">
        <f t="shared" si="111"/>
        <v>319.48206315114669</v>
      </c>
      <c r="H253" s="459">
        <f t="shared" si="111"/>
        <v>325.70290581066723</v>
      </c>
      <c r="I253" s="459">
        <f t="shared" si="111"/>
        <v>328.26566650676887</v>
      </c>
      <c r="J253" s="459">
        <f t="shared" si="111"/>
        <v>330.47670428014339</v>
      </c>
      <c r="K253" s="459">
        <f t="shared" si="111"/>
        <v>332.54336282504494</v>
      </c>
      <c r="L253" s="459">
        <f t="shared" si="111"/>
        <v>333.54870266696867</v>
      </c>
      <c r="M253" s="459">
        <f t="shared" si="111"/>
        <v>334.1020407270637</v>
      </c>
      <c r="N253" s="459">
        <f t="shared" si="111"/>
        <v>334.42663593577748</v>
      </c>
      <c r="O253" s="327"/>
    </row>
    <row r="254" spans="2:15">
      <c r="B254" s="338" t="str">
        <f t="shared" si="102"/>
        <v>55-59</v>
      </c>
      <c r="C254" s="459">
        <f t="shared" si="104"/>
        <v>163.78960327413128</v>
      </c>
      <c r="D254" s="459">
        <f t="shared" ref="D254:N254" si="112">D84-D220</f>
        <v>147.50208764839763</v>
      </c>
      <c r="E254" s="459">
        <f t="shared" si="112"/>
        <v>138.76330085590706</v>
      </c>
      <c r="F254" s="459">
        <f t="shared" si="112"/>
        <v>140.34464616134866</v>
      </c>
      <c r="G254" s="459">
        <f t="shared" si="112"/>
        <v>144.16881882657748</v>
      </c>
      <c r="H254" s="459">
        <f t="shared" si="112"/>
        <v>144.55632946394377</v>
      </c>
      <c r="I254" s="459">
        <f t="shared" si="112"/>
        <v>143.87523020989249</v>
      </c>
      <c r="J254" s="459">
        <f t="shared" si="112"/>
        <v>143.8052497873951</v>
      </c>
      <c r="K254" s="459">
        <f t="shared" si="112"/>
        <v>144.10577254758033</v>
      </c>
      <c r="L254" s="459">
        <f t="shared" si="112"/>
        <v>144.02127993348387</v>
      </c>
      <c r="M254" s="459">
        <f t="shared" si="112"/>
        <v>143.82837483240138</v>
      </c>
      <c r="N254" s="459">
        <f t="shared" si="112"/>
        <v>143.58469595693893</v>
      </c>
      <c r="O254" s="327"/>
    </row>
    <row r="255" spans="2:15">
      <c r="B255" s="338" t="str">
        <f t="shared" si="102"/>
        <v>60-64</v>
      </c>
      <c r="C255" s="459">
        <f t="shared" si="104"/>
        <v>50.745702512955852</v>
      </c>
      <c r="D255" s="459">
        <f t="shared" ref="D255:N255" si="113">D85-D221</f>
        <v>47.678045270450355</v>
      </c>
      <c r="E255" s="459">
        <f t="shared" si="113"/>
        <v>44.696339918288771</v>
      </c>
      <c r="F255" s="459">
        <f t="shared" si="113"/>
        <v>45.111207389405109</v>
      </c>
      <c r="G255" s="459">
        <f t="shared" si="113"/>
        <v>45.958623150241522</v>
      </c>
      <c r="H255" s="459">
        <f t="shared" si="113"/>
        <v>45.101792408443799</v>
      </c>
      <c r="I255" s="459">
        <f t="shared" si="113"/>
        <v>43.926362689694216</v>
      </c>
      <c r="J255" s="459">
        <f t="shared" si="113"/>
        <v>43.256528408746917</v>
      </c>
      <c r="K255" s="459">
        <f t="shared" si="113"/>
        <v>42.931901598580637</v>
      </c>
      <c r="L255" s="459">
        <f t="shared" si="113"/>
        <v>42.560780601483401</v>
      </c>
      <c r="M255" s="459">
        <f t="shared" si="113"/>
        <v>42.24252529364572</v>
      </c>
      <c r="N255" s="459">
        <f t="shared" si="113"/>
        <v>41.972013734282996</v>
      </c>
      <c r="O255" s="327"/>
    </row>
    <row r="256" spans="2:15">
      <c r="B256" s="338" t="str">
        <f t="shared" si="102"/>
        <v>65 plus</v>
      </c>
      <c r="C256" s="459">
        <f t="shared" si="104"/>
        <v>10.933471918619873</v>
      </c>
      <c r="D256" s="459">
        <f t="shared" ref="D256:N256" si="114">D86-D222</f>
        <v>12.46959054615105</v>
      </c>
      <c r="E256" s="459">
        <f t="shared" si="114"/>
        <v>13.119453268047135</v>
      </c>
      <c r="F256" s="459">
        <f t="shared" si="114"/>
        <v>14.114600836320342</v>
      </c>
      <c r="G256" s="459">
        <f t="shared" si="114"/>
        <v>14.845664733400817</v>
      </c>
      <c r="H256" s="459">
        <f t="shared" si="114"/>
        <v>14.755663097149595</v>
      </c>
      <c r="I256" s="459">
        <f t="shared" si="114"/>
        <v>14.346458055012905</v>
      </c>
      <c r="J256" s="459">
        <f t="shared" si="114"/>
        <v>13.993423971145377</v>
      </c>
      <c r="K256" s="459">
        <f t="shared" si="114"/>
        <v>13.734055065438517</v>
      </c>
      <c r="L256" s="459">
        <f t="shared" si="114"/>
        <v>13.476459990316016</v>
      </c>
      <c r="M256" s="459">
        <f t="shared" si="114"/>
        <v>13.255281209898438</v>
      </c>
      <c r="N256" s="459">
        <f t="shared" si="114"/>
        <v>13.071089194928092</v>
      </c>
      <c r="O256" s="327"/>
    </row>
    <row r="257" spans="1:15">
      <c r="B257" s="338" t="str">
        <f t="shared" si="102"/>
        <v>Total</v>
      </c>
      <c r="C257" s="459">
        <f>SUM(C247:C256)</f>
        <v>2481.3898310230634</v>
      </c>
      <c r="D257" s="459">
        <f t="shared" ref="D257:N257" si="115">SUM(D247:D256)</f>
        <v>2482.6800907133552</v>
      </c>
      <c r="E257" s="459">
        <f t="shared" si="115"/>
        <v>2521.5389123731975</v>
      </c>
      <c r="F257" s="459">
        <f t="shared" si="115"/>
        <v>2780.9556865190234</v>
      </c>
      <c r="G257" s="459">
        <f t="shared" si="115"/>
        <v>3049.663499670065</v>
      </c>
      <c r="H257" s="459">
        <f t="shared" si="115"/>
        <v>3159.7521670611222</v>
      </c>
      <c r="I257" s="459">
        <f t="shared" si="115"/>
        <v>3198.5430964017783</v>
      </c>
      <c r="J257" s="459">
        <f t="shared" si="115"/>
        <v>3233.6810606772569</v>
      </c>
      <c r="K257" s="459">
        <f t="shared" si="115"/>
        <v>3267.2702445891678</v>
      </c>
      <c r="L257" s="459">
        <f t="shared" si="115"/>
        <v>3279.4151161655659</v>
      </c>
      <c r="M257" s="459">
        <f t="shared" si="115"/>
        <v>3281.4564774045148</v>
      </c>
      <c r="N257" s="459">
        <f t="shared" si="115"/>
        <v>3276.9077104721873</v>
      </c>
      <c r="O257" s="327"/>
    </row>
    <row r="258" spans="1:15">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5">
      <c r="B260" s="341" t="s">
        <v>50</v>
      </c>
      <c r="C260" s="329"/>
      <c r="D260" s="329"/>
      <c r="E260" s="329"/>
      <c r="F260" s="329"/>
      <c r="G260" s="329"/>
      <c r="H260" s="339"/>
      <c r="I260" s="329"/>
      <c r="J260" s="329"/>
      <c r="K260" s="329"/>
      <c r="L260" s="329"/>
    </row>
    <row r="261" spans="1:15">
      <c r="C261" s="329"/>
      <c r="D261" s="329"/>
      <c r="E261" s="329"/>
      <c r="F261" s="329"/>
      <c r="G261" s="329"/>
      <c r="H261" s="339"/>
      <c r="I261" s="329"/>
      <c r="J261" s="329"/>
      <c r="K261" s="329"/>
      <c r="L261" s="329"/>
    </row>
    <row r="262" spans="1:15">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5">
      <c r="B263" s="338" t="str">
        <f t="shared" si="117"/>
        <v>20-24</v>
      </c>
      <c r="C263" s="459">
        <f t="shared" ref="C263:C272" si="119">C93-C229</f>
        <v>231.28098580520239</v>
      </c>
      <c r="D263" s="459">
        <f t="shared" ref="D263:N263" si="120">D93-D229</f>
        <v>405.98517512294137</v>
      </c>
      <c r="E263" s="459">
        <f t="shared" si="120"/>
        <v>563.45089873881091</v>
      </c>
      <c r="F263" s="459">
        <f t="shared" si="120"/>
        <v>880.03916128926767</v>
      </c>
      <c r="G263" s="459">
        <f t="shared" si="120"/>
        <v>1138.4772346878065</v>
      </c>
      <c r="H263" s="459">
        <f t="shared" si="120"/>
        <v>1202.1704911536042</v>
      </c>
      <c r="I263" s="459">
        <f t="shared" si="120"/>
        <v>1191.0011496145341</v>
      </c>
      <c r="J263" s="459">
        <f t="shared" si="120"/>
        <v>1181.5791695690373</v>
      </c>
      <c r="K263" s="459">
        <f t="shared" si="120"/>
        <v>1175.3355266566159</v>
      </c>
      <c r="L263" s="459">
        <f t="shared" si="120"/>
        <v>1153.284316054358</v>
      </c>
      <c r="M263" s="459">
        <f t="shared" si="120"/>
        <v>1128.4672576548994</v>
      </c>
      <c r="N263" s="459">
        <f t="shared" si="120"/>
        <v>1104.1488391099094</v>
      </c>
    </row>
    <row r="264" spans="1:15">
      <c r="B264" s="338" t="str">
        <f t="shared" si="117"/>
        <v>25-29</v>
      </c>
      <c r="C264" s="459">
        <f t="shared" si="119"/>
        <v>1288.1187398015452</v>
      </c>
      <c r="D264" s="459">
        <f t="shared" ref="D264:N264" si="121">D94-D230</f>
        <v>1280.7176848893537</v>
      </c>
      <c r="E264" s="459">
        <f t="shared" si="121"/>
        <v>1348.9039264337594</v>
      </c>
      <c r="F264" s="459">
        <f t="shared" si="121"/>
        <v>1690.1723429104907</v>
      </c>
      <c r="G264" s="459">
        <f t="shared" si="121"/>
        <v>2034.435577616405</v>
      </c>
      <c r="H264" s="459">
        <f t="shared" si="121"/>
        <v>2172.3098472766919</v>
      </c>
      <c r="I264" s="459">
        <f t="shared" si="121"/>
        <v>2209.7442613737771</v>
      </c>
      <c r="J264" s="459">
        <f t="shared" si="121"/>
        <v>2232.8455808331769</v>
      </c>
      <c r="K264" s="459">
        <f t="shared" si="121"/>
        <v>2248.4305676146296</v>
      </c>
      <c r="L264" s="459">
        <f t="shared" si="121"/>
        <v>2235.7898788597959</v>
      </c>
      <c r="M264" s="459">
        <f t="shared" si="121"/>
        <v>2211.0133309036137</v>
      </c>
      <c r="N264" s="459">
        <f t="shared" si="121"/>
        <v>2180.1993909530456</v>
      </c>
    </row>
    <row r="265" spans="1:15">
      <c r="B265" s="338" t="str">
        <f t="shared" si="117"/>
        <v>30-34</v>
      </c>
      <c r="C265" s="459">
        <f t="shared" si="119"/>
        <v>1547.7680993754161</v>
      </c>
      <c r="D265" s="459">
        <f t="shared" ref="D265:N265" si="122">D95-D231</f>
        <v>1545.9765267640646</v>
      </c>
      <c r="E265" s="459">
        <f t="shared" si="122"/>
        <v>1568.8083713366868</v>
      </c>
      <c r="F265" s="459">
        <f t="shared" si="122"/>
        <v>1757.5599125122653</v>
      </c>
      <c r="G265" s="459">
        <f t="shared" si="122"/>
        <v>1981.6195126496802</v>
      </c>
      <c r="H265" s="459">
        <f t="shared" si="122"/>
        <v>2111.8670683847131</v>
      </c>
      <c r="I265" s="459">
        <f t="shared" si="122"/>
        <v>2187.0140344367142</v>
      </c>
      <c r="J265" s="459">
        <f t="shared" si="122"/>
        <v>2247.2430527427186</v>
      </c>
      <c r="K265" s="459">
        <f t="shared" si="122"/>
        <v>2295.5509028940101</v>
      </c>
      <c r="L265" s="459">
        <f t="shared" si="122"/>
        <v>2319.6742715773316</v>
      </c>
      <c r="M265" s="459">
        <f t="shared" si="122"/>
        <v>2327.8067166103192</v>
      </c>
      <c r="N265" s="459">
        <f t="shared" si="122"/>
        <v>2324.0672446570561</v>
      </c>
    </row>
    <row r="266" spans="1:15">
      <c r="B266" s="338" t="str">
        <f t="shared" si="117"/>
        <v>35-39</v>
      </c>
      <c r="C266" s="459">
        <f t="shared" si="119"/>
        <v>1821.1762224063464</v>
      </c>
      <c r="D266" s="459">
        <f t="shared" ref="D266:N266" si="123">D96-D232</f>
        <v>1744.3953454984949</v>
      </c>
      <c r="E266" s="459">
        <f t="shared" si="123"/>
        <v>1704.1992898210906</v>
      </c>
      <c r="F266" s="459">
        <f t="shared" si="123"/>
        <v>1782.5844372002448</v>
      </c>
      <c r="G266" s="459">
        <f t="shared" si="123"/>
        <v>1891.1088767369554</v>
      </c>
      <c r="H266" s="459">
        <f t="shared" si="123"/>
        <v>1950.3766819813368</v>
      </c>
      <c r="I266" s="459">
        <f t="shared" si="123"/>
        <v>1988.9899948344341</v>
      </c>
      <c r="J266" s="459">
        <f t="shared" si="123"/>
        <v>2030.4264708647931</v>
      </c>
      <c r="K266" s="459">
        <f t="shared" si="123"/>
        <v>2072.1778915060536</v>
      </c>
      <c r="L266" s="459">
        <f t="shared" si="123"/>
        <v>2102.777201321293</v>
      </c>
      <c r="M266" s="459">
        <f t="shared" si="123"/>
        <v>2125.0853571697585</v>
      </c>
      <c r="N266" s="459">
        <f t="shared" si="123"/>
        <v>2139.6256740616782</v>
      </c>
    </row>
    <row r="267" spans="1:15">
      <c r="B267" s="338" t="str">
        <f t="shared" si="117"/>
        <v>40-44</v>
      </c>
      <c r="C267" s="459">
        <f t="shared" si="119"/>
        <v>1992.1841331721082</v>
      </c>
      <c r="D267" s="459">
        <f t="shared" ref="D267:N267" si="124">D97-D233</f>
        <v>1911.5424556504488</v>
      </c>
      <c r="E267" s="459">
        <f t="shared" si="124"/>
        <v>1851.5236994396314</v>
      </c>
      <c r="F267" s="459">
        <f t="shared" si="124"/>
        <v>1886.2421223411002</v>
      </c>
      <c r="G267" s="459">
        <f t="shared" si="124"/>
        <v>1939.9789303823616</v>
      </c>
      <c r="H267" s="459">
        <f t="shared" si="124"/>
        <v>1948.3801291980624</v>
      </c>
      <c r="I267" s="459">
        <f t="shared" si="124"/>
        <v>1941.4848285567582</v>
      </c>
      <c r="J267" s="459">
        <f t="shared" si="124"/>
        <v>1942.9157649356864</v>
      </c>
      <c r="K267" s="459">
        <f t="shared" si="124"/>
        <v>1951.8424531540629</v>
      </c>
      <c r="L267" s="459">
        <f t="shared" si="124"/>
        <v>1958.6995324408608</v>
      </c>
      <c r="M267" s="459">
        <f t="shared" si="124"/>
        <v>1965.5876687021448</v>
      </c>
      <c r="N267" s="459">
        <f t="shared" si="124"/>
        <v>1972.0169123903672</v>
      </c>
    </row>
    <row r="268" spans="1:15">
      <c r="B268" s="338" t="str">
        <f t="shared" si="117"/>
        <v>45-49</v>
      </c>
      <c r="C268" s="459">
        <f t="shared" si="119"/>
        <v>1671.7853098806058</v>
      </c>
      <c r="D268" s="459">
        <f t="shared" ref="D268:N268" si="125">D98-D234</f>
        <v>1672.1537196912566</v>
      </c>
      <c r="E268" s="459">
        <f t="shared" si="125"/>
        <v>1668.7527705578943</v>
      </c>
      <c r="F268" s="459">
        <f t="shared" si="125"/>
        <v>1724.9054424558487</v>
      </c>
      <c r="G268" s="459">
        <f t="shared" si="125"/>
        <v>1783.3440583580859</v>
      </c>
      <c r="H268" s="459">
        <f t="shared" si="125"/>
        <v>1794.6507003731231</v>
      </c>
      <c r="I268" s="459">
        <f t="shared" si="125"/>
        <v>1785.1085886099131</v>
      </c>
      <c r="J268" s="459">
        <f t="shared" si="125"/>
        <v>1776.363602818436</v>
      </c>
      <c r="K268" s="459">
        <f t="shared" si="125"/>
        <v>1770.3865498093071</v>
      </c>
      <c r="L268" s="459">
        <f t="shared" si="125"/>
        <v>1761.637786865266</v>
      </c>
      <c r="M268" s="459">
        <f t="shared" si="125"/>
        <v>1753.394478110547</v>
      </c>
      <c r="N268" s="459">
        <f t="shared" si="125"/>
        <v>1746.372876654694</v>
      </c>
    </row>
    <row r="269" spans="1:15">
      <c r="B269" s="338" t="str">
        <f t="shared" si="117"/>
        <v>50-54</v>
      </c>
      <c r="C269" s="459">
        <f t="shared" si="119"/>
        <v>1260.5579297080753</v>
      </c>
      <c r="D269" s="459">
        <f t="shared" ref="D269:N269" si="126">D99-D235</f>
        <v>1260.5492357802977</v>
      </c>
      <c r="E269" s="459">
        <f t="shared" si="126"/>
        <v>1268.7033939766575</v>
      </c>
      <c r="F269" s="459">
        <f t="shared" si="126"/>
        <v>1324.7013292666163</v>
      </c>
      <c r="G269" s="459">
        <f t="shared" si="126"/>
        <v>1382.7687212480796</v>
      </c>
      <c r="H269" s="459">
        <f t="shared" si="126"/>
        <v>1404.6006591760361</v>
      </c>
      <c r="I269" s="459">
        <f t="shared" si="126"/>
        <v>1408.1196256496953</v>
      </c>
      <c r="J269" s="459">
        <f t="shared" si="126"/>
        <v>1408.5735117067688</v>
      </c>
      <c r="K269" s="459">
        <f t="shared" si="126"/>
        <v>1407.4575270270943</v>
      </c>
      <c r="L269" s="459">
        <f t="shared" si="126"/>
        <v>1401.212805748849</v>
      </c>
      <c r="M269" s="459">
        <f t="shared" si="126"/>
        <v>1392.9295007759965</v>
      </c>
      <c r="N269" s="459">
        <f t="shared" si="126"/>
        <v>1383.8948840535936</v>
      </c>
    </row>
    <row r="270" spans="1:15">
      <c r="B270" s="338" t="str">
        <f t="shared" si="117"/>
        <v>55-59</v>
      </c>
      <c r="C270" s="459">
        <f t="shared" si="119"/>
        <v>785.52464989260761</v>
      </c>
      <c r="D270" s="459">
        <f t="shared" ref="D270:N270" si="127">D100-D236</f>
        <v>698.44495583152036</v>
      </c>
      <c r="E270" s="459">
        <f t="shared" si="127"/>
        <v>650.68725476740406</v>
      </c>
      <c r="F270" s="459">
        <f t="shared" si="127"/>
        <v>652.81044910266894</v>
      </c>
      <c r="G270" s="459">
        <f t="shared" si="127"/>
        <v>667.1872519243027</v>
      </c>
      <c r="H270" s="459">
        <f t="shared" si="127"/>
        <v>666.97514284108161</v>
      </c>
      <c r="I270" s="459">
        <f t="shared" si="127"/>
        <v>661.88305508682538</v>
      </c>
      <c r="J270" s="459">
        <f t="shared" si="127"/>
        <v>659.13539127246145</v>
      </c>
      <c r="K270" s="459">
        <f t="shared" si="127"/>
        <v>657.61962481506657</v>
      </c>
      <c r="L270" s="459">
        <f t="shared" si="127"/>
        <v>653.97878709538008</v>
      </c>
      <c r="M270" s="459">
        <f t="shared" si="127"/>
        <v>649.52685765719025</v>
      </c>
      <c r="N270" s="459">
        <f t="shared" si="127"/>
        <v>644.63925050790215</v>
      </c>
    </row>
    <row r="271" spans="1:15">
      <c r="B271" s="338" t="str">
        <f t="shared" si="117"/>
        <v>60-64</v>
      </c>
      <c r="C271" s="459">
        <f t="shared" si="119"/>
        <v>220.74696376853151</v>
      </c>
      <c r="D271" s="459">
        <f t="shared" ref="D271:N271" si="128">D101-D237</f>
        <v>206.42417187166683</v>
      </c>
      <c r="E271" s="459">
        <f t="shared" si="128"/>
        <v>191.76814667428431</v>
      </c>
      <c r="F271" s="459">
        <f t="shared" si="128"/>
        <v>191.78652302651031</v>
      </c>
      <c r="G271" s="459">
        <f t="shared" si="128"/>
        <v>193.96323795304042</v>
      </c>
      <c r="H271" s="459">
        <f t="shared" si="128"/>
        <v>189.33888592379051</v>
      </c>
      <c r="I271" s="459">
        <f t="shared" si="128"/>
        <v>183.77746621474776</v>
      </c>
      <c r="J271" s="459">
        <f t="shared" si="128"/>
        <v>180.54602846903651</v>
      </c>
      <c r="K271" s="459">
        <f t="shared" si="128"/>
        <v>178.7725074691144</v>
      </c>
      <c r="L271" s="459">
        <f t="shared" si="128"/>
        <v>176.72507624403096</v>
      </c>
      <c r="M271" s="459">
        <f t="shared" si="128"/>
        <v>174.82030158592093</v>
      </c>
      <c r="N271" s="459">
        <f t="shared" si="128"/>
        <v>173.03670642131192</v>
      </c>
    </row>
    <row r="272" spans="1:15">
      <c r="B272" s="338" t="str">
        <f t="shared" si="117"/>
        <v>65 plus</v>
      </c>
      <c r="C272" s="459">
        <f t="shared" si="119"/>
        <v>40.742290691309044</v>
      </c>
      <c r="D272" s="459">
        <f t="shared" ref="D272:N272" si="129">D102-D238</f>
        <v>46.835839504600983</v>
      </c>
      <c r="E272" s="459">
        <f t="shared" si="129"/>
        <v>49.069728580872741</v>
      </c>
      <c r="F272" s="459">
        <f t="shared" si="129"/>
        <v>52.67235531824214</v>
      </c>
      <c r="G272" s="459">
        <f t="shared" si="129"/>
        <v>55.083973576053467</v>
      </c>
      <c r="H272" s="459">
        <f t="shared" si="129"/>
        <v>54.15303525195803</v>
      </c>
      <c r="I272" s="459">
        <f t="shared" si="129"/>
        <v>52.132766855825061</v>
      </c>
      <c r="J272" s="459">
        <f t="shared" si="129"/>
        <v>50.548614452795682</v>
      </c>
      <c r="K272" s="459">
        <f t="shared" si="129"/>
        <v>49.450013052845414</v>
      </c>
      <c r="L272" s="459">
        <f t="shared" si="129"/>
        <v>48.387463207605094</v>
      </c>
      <c r="M272" s="459">
        <f t="shared" si="129"/>
        <v>47.480945926846069</v>
      </c>
      <c r="N272" s="459">
        <f t="shared" si="129"/>
        <v>46.714081589534821</v>
      </c>
    </row>
    <row r="273" spans="1:14">
      <c r="B273" s="338" t="str">
        <f t="shared" si="117"/>
        <v>Total</v>
      </c>
      <c r="C273" s="459">
        <f>SUM(C263:C272)</f>
        <v>10859.885324501747</v>
      </c>
      <c r="D273" s="459">
        <f t="shared" ref="D273:N273" si="130">SUM(D263:D272)</f>
        <v>10773.025110604647</v>
      </c>
      <c r="E273" s="459">
        <f t="shared" si="130"/>
        <v>10865.867480327093</v>
      </c>
      <c r="F273" s="459">
        <f t="shared" si="130"/>
        <v>11943.474075423255</v>
      </c>
      <c r="G273" s="459">
        <f t="shared" si="130"/>
        <v>13067.967375132772</v>
      </c>
      <c r="H273" s="459">
        <f t="shared" si="130"/>
        <v>13494.822641560397</v>
      </c>
      <c r="I273" s="459">
        <f t="shared" si="130"/>
        <v>13609.255771233224</v>
      </c>
      <c r="J273" s="459">
        <f t="shared" si="130"/>
        <v>13710.177187664909</v>
      </c>
      <c r="K273" s="459">
        <f t="shared" si="130"/>
        <v>13807.023563998799</v>
      </c>
      <c r="L273" s="459">
        <f t="shared" si="130"/>
        <v>13812.167119414773</v>
      </c>
      <c r="M273" s="459">
        <f t="shared" si="130"/>
        <v>13776.112415097237</v>
      </c>
      <c r="N273" s="459">
        <f t="shared" si="130"/>
        <v>13714.715860399092</v>
      </c>
    </row>
    <row r="274" spans="1:14">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4" ht="25.5">
      <c r="B279" s="338" t="s">
        <v>589</v>
      </c>
      <c r="C279" s="462">
        <f>C223+C239</f>
        <v>1713.2266030312906</v>
      </c>
      <c r="D279" s="462">
        <f t="shared" ref="D279:N279" si="133">D223+D239</f>
        <v>1684.0591047576163</v>
      </c>
      <c r="E279" s="462">
        <f t="shared" si="133"/>
        <v>1682.8510506965458</v>
      </c>
      <c r="F279" s="462">
        <f t="shared" si="133"/>
        <v>1832.8004348265104</v>
      </c>
      <c r="G279" s="462">
        <f t="shared" si="133"/>
        <v>1989.3443939360545</v>
      </c>
      <c r="H279" s="462">
        <f t="shared" si="133"/>
        <v>2040.6795112984478</v>
      </c>
      <c r="I279" s="462">
        <f t="shared" si="133"/>
        <v>2047.5060343240218</v>
      </c>
      <c r="J279" s="462">
        <f t="shared" si="133"/>
        <v>2055.1445833193247</v>
      </c>
      <c r="K279" s="462">
        <f t="shared" si="133"/>
        <v>2064.0570307236067</v>
      </c>
      <c r="L279" s="462">
        <f t="shared" si="133"/>
        <v>2060.3556009370413</v>
      </c>
      <c r="M279" s="462">
        <f t="shared" si="133"/>
        <v>2051.5507796565535</v>
      </c>
      <c r="N279" s="462">
        <f t="shared" si="133"/>
        <v>2039.8330487791804</v>
      </c>
    </row>
    <row r="280" spans="1:14" ht="25.5">
      <c r="B280" s="338" t="s">
        <v>590</v>
      </c>
      <c r="C280" s="462">
        <f>C155+C171</f>
        <v>528.49047305614329</v>
      </c>
      <c r="D280" s="462">
        <f t="shared" ref="D280:N280" si="134">D155+D171</f>
        <v>496.17391801248687</v>
      </c>
      <c r="E280" s="462">
        <f t="shared" si="134"/>
        <v>472.06626400116369</v>
      </c>
      <c r="F280" s="462">
        <f t="shared" si="134"/>
        <v>479.50004640156811</v>
      </c>
      <c r="G280" s="462">
        <f t="shared" si="134"/>
        <v>491.33565871590116</v>
      </c>
      <c r="H280" s="462">
        <f t="shared" si="134"/>
        <v>487.57782430762347</v>
      </c>
      <c r="I280" s="462">
        <f t="shared" si="134"/>
        <v>479.49045940524059</v>
      </c>
      <c r="J280" s="462">
        <f t="shared" si="134"/>
        <v>474.4736562079666</v>
      </c>
      <c r="K280" s="462">
        <f t="shared" si="134"/>
        <v>471.58838081204499</v>
      </c>
      <c r="L280" s="462">
        <f t="shared" si="134"/>
        <v>467.67401600235138</v>
      </c>
      <c r="M280" s="462">
        <f t="shared" si="134"/>
        <v>463.74821209988886</v>
      </c>
      <c r="N280" s="462">
        <f t="shared" si="134"/>
        <v>459.93470445944354</v>
      </c>
    </row>
    <row r="281" spans="1:14" ht="25.5">
      <c r="B281" s="338" t="s">
        <v>591</v>
      </c>
      <c r="C281" s="462">
        <f>C189+C205</f>
        <v>8.8611654850900123</v>
      </c>
      <c r="D281" s="462">
        <f t="shared" ref="D281:N281" si="135">D189+D205</f>
        <v>8.7207012739417209</v>
      </c>
      <c r="E281" s="462">
        <f t="shared" si="135"/>
        <v>8.5812389786672512</v>
      </c>
      <c r="F281" s="462">
        <f t="shared" si="135"/>
        <v>8.8949569972029874</v>
      </c>
      <c r="G281" s="462">
        <f t="shared" si="135"/>
        <v>9.2403623584960073</v>
      </c>
      <c r="H281" s="462">
        <f t="shared" si="135"/>
        <v>9.2766037598457007</v>
      </c>
      <c r="I281" s="462">
        <f t="shared" si="135"/>
        <v>9.2014239920868182</v>
      </c>
      <c r="J281" s="462">
        <f t="shared" si="135"/>
        <v>9.158335594613618</v>
      </c>
      <c r="K281" s="462">
        <f t="shared" si="135"/>
        <v>9.1439911586584603</v>
      </c>
      <c r="L281" s="462">
        <f t="shared" si="135"/>
        <v>9.1076362990783934</v>
      </c>
      <c r="M281" s="462">
        <f t="shared" si="135"/>
        <v>9.0674326048916445</v>
      </c>
      <c r="N281" s="462">
        <f t="shared" si="135"/>
        <v>9.025961765491223</v>
      </c>
    </row>
    <row r="282" spans="1:14" ht="25.5">
      <c r="B282" s="338" t="s">
        <v>592</v>
      </c>
      <c r="C282" s="462">
        <f>C121+C137</f>
        <v>1175.8749644900572</v>
      </c>
      <c r="D282" s="462">
        <f t="shared" ref="D282:N282" si="136">D121+D137</f>
        <v>1179.1644854711876</v>
      </c>
      <c r="E282" s="462">
        <f t="shared" si="136"/>
        <v>1202.2035477167149</v>
      </c>
      <c r="F282" s="462">
        <f t="shared" si="136"/>
        <v>1344.4054314277389</v>
      </c>
      <c r="G282" s="462">
        <f t="shared" si="136"/>
        <v>1488.7683728616576</v>
      </c>
      <c r="H282" s="462">
        <f t="shared" si="136"/>
        <v>1543.8250832309789</v>
      </c>
      <c r="I282" s="462">
        <f t="shared" si="136"/>
        <v>1558.8141509266948</v>
      </c>
      <c r="J282" s="462">
        <f t="shared" si="136"/>
        <v>1571.5125915167441</v>
      </c>
      <c r="K282" s="462">
        <f t="shared" si="136"/>
        <v>1583.3246587529034</v>
      </c>
      <c r="L282" s="462">
        <f t="shared" si="136"/>
        <v>1583.5739486356119</v>
      </c>
      <c r="M282" s="462">
        <f t="shared" si="136"/>
        <v>1578.7351349517735</v>
      </c>
      <c r="N282" s="462">
        <f t="shared" si="136"/>
        <v>1570.8723825542459</v>
      </c>
    </row>
    <row r="283" spans="1:14"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6"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6"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c r="O290" s="327"/>
      <c r="P290" s="327"/>
    </row>
    <row r="291" spans="2:16" ht="15.75">
      <c r="B291" s="340"/>
      <c r="H291" s="327"/>
    </row>
    <row r="292" spans="2:16" ht="15.75">
      <c r="B292" s="340" t="s">
        <v>263</v>
      </c>
      <c r="H292" s="327"/>
    </row>
    <row r="293" spans="2:16"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6">
      <c r="B294" s="363" t="s">
        <v>266</v>
      </c>
      <c r="C294" s="459">
        <f>C36-C15+C279-C290</f>
        <v>1598.4891505508069</v>
      </c>
      <c r="D294" s="459">
        <f>D36-D15+D279-D290</f>
        <v>1814.5522420788348</v>
      </c>
      <c r="E294" s="459">
        <f>E36-E15+E279-E290</f>
        <v>3169.8238040684982</v>
      </c>
      <c r="F294" s="459">
        <f t="shared" ref="F294:N294" si="141">F36-F15+F279-F290</f>
        <v>3382.5455067966113</v>
      </c>
      <c r="G294" s="459">
        <f t="shared" si="141"/>
        <v>2577.6234451171326</v>
      </c>
      <c r="H294" s="459">
        <f t="shared" si="141"/>
        <v>2200.730093337505</v>
      </c>
      <c r="I294" s="459">
        <f t="shared" si="141"/>
        <v>2191.2039640264884</v>
      </c>
      <c r="J294" s="459">
        <f t="shared" si="141"/>
        <v>2194.4925909694066</v>
      </c>
      <c r="K294" s="459">
        <f t="shared" si="141"/>
        <v>2077.6440279294093</v>
      </c>
      <c r="L294" s="459">
        <f t="shared" si="141"/>
        <v>2017.5374365779689</v>
      </c>
      <c r="M294" s="459">
        <f t="shared" si="141"/>
        <v>1973.8877271487099</v>
      </c>
      <c r="N294" s="459">
        <f t="shared" si="141"/>
        <v>1984.3324489999882</v>
      </c>
    </row>
    <row r="295" spans="2:16" ht="12.75" customHeight="1">
      <c r="B295" s="1243" t="s">
        <v>264</v>
      </c>
      <c r="C295" s="1243"/>
      <c r="D295" s="1243"/>
      <c r="E295" s="1243"/>
      <c r="F295" s="1243"/>
      <c r="G295" s="1243"/>
      <c r="H295" s="1243"/>
      <c r="I295" s="1243"/>
      <c r="J295" s="1243"/>
      <c r="K295" s="1243"/>
      <c r="L295" s="1243"/>
      <c r="M295" s="1243"/>
      <c r="N295" s="1243"/>
    </row>
    <row r="296" spans="2:16">
      <c r="B296" s="545" t="s">
        <v>561</v>
      </c>
      <c r="C296" s="546">
        <f>IF(C294&lt;0,0,C294)</f>
        <v>1598.4891505508069</v>
      </c>
      <c r="D296" s="546">
        <f t="shared" ref="D296:N296" si="142">IF(D294&lt;0,0,D294)</f>
        <v>1814.5522420788348</v>
      </c>
      <c r="E296" s="546">
        <f t="shared" si="142"/>
        <v>3169.8238040684982</v>
      </c>
      <c r="F296" s="546">
        <f t="shared" si="142"/>
        <v>3382.5455067966113</v>
      </c>
      <c r="G296" s="546">
        <f t="shared" si="142"/>
        <v>2577.6234451171326</v>
      </c>
      <c r="H296" s="546">
        <f t="shared" si="142"/>
        <v>2200.730093337505</v>
      </c>
      <c r="I296" s="546">
        <f t="shared" si="142"/>
        <v>2191.2039640264884</v>
      </c>
      <c r="J296" s="546">
        <f t="shared" si="142"/>
        <v>2194.4925909694066</v>
      </c>
      <c r="K296" s="546">
        <f t="shared" si="142"/>
        <v>2077.6440279294093</v>
      </c>
      <c r="L296" s="546">
        <f t="shared" si="142"/>
        <v>2017.5374365779689</v>
      </c>
      <c r="M296" s="546">
        <f t="shared" si="142"/>
        <v>1973.8877271487099</v>
      </c>
      <c r="N296" s="546">
        <f t="shared" si="142"/>
        <v>1984.3324489999882</v>
      </c>
    </row>
    <row r="297" spans="2:16" ht="15.75">
      <c r="B297" s="340"/>
      <c r="H297" s="327"/>
    </row>
    <row r="298" spans="2:16" ht="15.75">
      <c r="B298" s="340" t="s">
        <v>162</v>
      </c>
      <c r="H298" s="327"/>
    </row>
    <row r="299" spans="2:16" ht="15.75">
      <c r="B299" s="340"/>
      <c r="H299" s="327"/>
    </row>
    <row r="300" spans="2:16">
      <c r="B300" s="341" t="s">
        <v>49</v>
      </c>
      <c r="H300" s="325"/>
    </row>
    <row r="301" spans="2:16">
      <c r="H301" s="325"/>
    </row>
    <row r="302" spans="2:16">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6">
      <c r="B303" s="338" t="str">
        <f t="shared" si="143"/>
        <v>20-24</v>
      </c>
      <c r="C303" s="459">
        <f>C$296*Entrant_age_breakdowns!$K76*$G$31</f>
        <v>76.102582534402217</v>
      </c>
      <c r="D303" s="459">
        <f>D$296*Entrant_age_breakdowns!$K76*$G$31</f>
        <v>86.389145474153111</v>
      </c>
      <c r="E303" s="459">
        <f>E$296*Entrant_age_breakdowns!$K76*$G$31</f>
        <v>150.91236470733134</v>
      </c>
      <c r="F303" s="459">
        <f>F$296*Entrant_age_breakdowns!$K76*$G$31</f>
        <v>161.03984723240606</v>
      </c>
      <c r="G303" s="459">
        <f>G$296*Entrant_age_breakdowns!$K76*$G$31</f>
        <v>122.71825611518393</v>
      </c>
      <c r="H303" s="459">
        <f>H$296*Entrant_age_breakdowns!$K76*$G$31</f>
        <v>104.77471398942527</v>
      </c>
      <c r="I303" s="459">
        <f>I$296*Entrant_age_breakdowns!$K76*$G$31</f>
        <v>104.32118382822573</v>
      </c>
      <c r="J303" s="459">
        <f>J$296*Entrant_age_breakdowns!$K76*$G$31</f>
        <v>104.4777522999367</v>
      </c>
      <c r="K303" s="459">
        <f>K$296*Entrant_age_breakdowns!$K76*$G$31</f>
        <v>98.914700833673351</v>
      </c>
      <c r="L303" s="459">
        <f>L$296*Entrant_age_breakdowns!$K76*$G$31</f>
        <v>96.053081893308089</v>
      </c>
      <c r="M303" s="459">
        <f>M$296*Entrant_age_breakdowns!$K76*$G$31</f>
        <v>93.974959803271872</v>
      </c>
      <c r="N303" s="459">
        <f>N$296*Entrant_age_breakdowns!$K76*$G$31</f>
        <v>94.472223301408164</v>
      </c>
    </row>
    <row r="304" spans="2:16">
      <c r="B304" s="338" t="str">
        <f t="shared" si="143"/>
        <v>25-29</v>
      </c>
      <c r="C304" s="459">
        <f>C$296*Entrant_age_breakdowns!$K77*$G$31</f>
        <v>78.688417986774667</v>
      </c>
      <c r="D304" s="459">
        <f>D$296*Entrant_age_breakdowns!$K77*$G$31</f>
        <v>89.324500722659224</v>
      </c>
      <c r="E304" s="459">
        <f>E$296*Entrant_age_breakdowns!$K77*$G$31</f>
        <v>156.04010846931436</v>
      </c>
      <c r="F304" s="459">
        <f>F$296*Entrant_age_breakdowns!$K77*$G$31</f>
        <v>166.51170551040806</v>
      </c>
      <c r="G304" s="459">
        <f>G$296*Entrant_age_breakdowns!$K77*$G$31</f>
        <v>126.88801234090094</v>
      </c>
      <c r="H304" s="459">
        <f>H$296*Entrant_age_breakdowns!$K77*$G$31</f>
        <v>108.33477937647788</v>
      </c>
      <c r="I304" s="459">
        <f>I$296*Entrant_age_breakdowns!$K77*$G$31</f>
        <v>107.86583903693098</v>
      </c>
      <c r="J304" s="459">
        <f>J$296*Entrant_age_breakdowns!$K77*$G$31</f>
        <v>108.02772743723557</v>
      </c>
      <c r="K304" s="459">
        <f>K$296*Entrant_age_breakdowns!$K77*$G$31</f>
        <v>102.2756530071545</v>
      </c>
      <c r="L304" s="459">
        <f>L$296*Entrant_age_breakdowns!$K77*$G$31</f>
        <v>99.316801154833428</v>
      </c>
      <c r="M304" s="459">
        <f>M$296*Entrant_age_breakdowns!$K77*$G$31</f>
        <v>97.168068034319447</v>
      </c>
      <c r="N304" s="459">
        <f>N$296*Entrant_age_breakdowns!$K77*$G$31</f>
        <v>97.682227694712367</v>
      </c>
    </row>
    <row r="305" spans="1:15">
      <c r="B305" s="338" t="str">
        <f t="shared" si="143"/>
        <v>30-34</v>
      </c>
      <c r="C305" s="459">
        <f>C$296*Entrant_age_breakdowns!$K78*$G$31</f>
        <v>39.06210955866986</v>
      </c>
      <c r="D305" s="459">
        <f>D$296*Entrant_age_breakdowns!$K78*$G$31</f>
        <v>44.342020373168992</v>
      </c>
      <c r="E305" s="459">
        <f>E$296*Entrant_age_breakdowns!$K78*$G$31</f>
        <v>77.460647558062874</v>
      </c>
      <c r="F305" s="459">
        <f>F$296*Entrant_age_breakdowns!$K78*$G$31</f>
        <v>82.658905209426422</v>
      </c>
      <c r="G305" s="459">
        <f>G$296*Entrant_age_breakdowns!$K78*$G$31</f>
        <v>62.989110297975209</v>
      </c>
      <c r="H305" s="459">
        <f>H$296*Entrant_age_breakdowns!$K78*$G$31</f>
        <v>53.779007499293648</v>
      </c>
      <c r="I305" s="459">
        <f>I$296*Entrant_age_breakdowns!$K78*$G$31</f>
        <v>53.546218489315841</v>
      </c>
      <c r="J305" s="459">
        <f>J$296*Entrant_age_breakdowns!$K78*$G$31</f>
        <v>53.626582316557077</v>
      </c>
      <c r="K305" s="459">
        <f>K$296*Entrant_age_breakdowns!$K78*$G$31</f>
        <v>50.771166394798257</v>
      </c>
      <c r="L305" s="459">
        <f>L$296*Entrant_age_breakdowns!$K78*$G$31</f>
        <v>49.302348007285815</v>
      </c>
      <c r="M305" s="459">
        <f>M$296*Entrant_age_breakdowns!$K78*$G$31</f>
        <v>48.235684695031054</v>
      </c>
      <c r="N305" s="459">
        <f>N$296*Entrant_age_breakdowns!$K78*$G$31</f>
        <v>48.490921253329802</v>
      </c>
    </row>
    <row r="306" spans="1:15">
      <c r="B306" s="338" t="str">
        <f t="shared" si="143"/>
        <v>35-39</v>
      </c>
      <c r="C306" s="459">
        <f>C$296*Entrant_age_breakdowns!$K79*$G$31</f>
        <v>27.911608830862288</v>
      </c>
      <c r="D306" s="459">
        <f>D$296*Entrant_age_breakdowns!$K79*$G$31</f>
        <v>31.684339156519528</v>
      </c>
      <c r="E306" s="459">
        <f>E$296*Entrant_age_breakdowns!$K79*$G$31</f>
        <v>55.349066367719253</v>
      </c>
      <c r="F306" s="459">
        <f>F$296*Entrant_age_breakdowns!$K79*$G$31</f>
        <v>59.063451888782161</v>
      </c>
      <c r="G306" s="459">
        <f>G$296*Entrant_age_breakdowns!$K79*$G$31</f>
        <v>45.008511498860052</v>
      </c>
      <c r="H306" s="459">
        <f>H$296*Entrant_age_breakdowns!$K79*$G$31</f>
        <v>38.427484782350483</v>
      </c>
      <c r="I306" s="459">
        <f>I$296*Entrant_age_breakdowns!$K79*$G$31</f>
        <v>38.261146715614352</v>
      </c>
      <c r="J306" s="459">
        <f>J$296*Entrant_age_breakdowns!$K79*$G$31</f>
        <v>38.318570232558301</v>
      </c>
      <c r="K306" s="459">
        <f>K$296*Entrant_age_breakdowns!$K79*$G$31</f>
        <v>36.278248981146028</v>
      </c>
      <c r="L306" s="459">
        <f>L$296*Entrant_age_breakdowns!$K79*$G$31</f>
        <v>35.228713133261294</v>
      </c>
      <c r="M306" s="459">
        <f>M$296*Entrant_age_breakdowns!$K79*$G$31</f>
        <v>34.466534913440114</v>
      </c>
      <c r="N306" s="459">
        <f>N$296*Entrant_age_breakdowns!$K79*$G$31</f>
        <v>34.648912748509929</v>
      </c>
    </row>
    <row r="307" spans="1:15">
      <c r="B307" s="338" t="str">
        <f t="shared" si="143"/>
        <v>40-44</v>
      </c>
      <c r="C307" s="459">
        <f>C$296*Entrant_age_breakdowns!$K80*$G$31</f>
        <v>24.250364560038385</v>
      </c>
      <c r="D307" s="459">
        <f>D$296*Entrant_age_breakdowns!$K80*$G$31</f>
        <v>27.528215232792817</v>
      </c>
      <c r="E307" s="459">
        <f>E$296*Entrant_age_breakdowns!$K80*$G$31</f>
        <v>48.088773585520521</v>
      </c>
      <c r="F307" s="459">
        <f>F$296*Entrant_age_breakdowns!$K80*$G$31</f>
        <v>51.315932705875703</v>
      </c>
      <c r="G307" s="459">
        <f>G$296*Entrant_age_breakdowns!$K80*$G$31</f>
        <v>39.10461839609826</v>
      </c>
      <c r="H307" s="459">
        <f>H$296*Entrant_age_breakdowns!$K80*$G$31</f>
        <v>33.386843472345184</v>
      </c>
      <c r="I307" s="459">
        <f>I$296*Entrant_age_breakdowns!$K80*$G$31</f>
        <v>33.242324437881535</v>
      </c>
      <c r="J307" s="459">
        <f>J$296*Entrant_age_breakdowns!$K80*$G$31</f>
        <v>33.292215550523899</v>
      </c>
      <c r="K307" s="459">
        <f>K$296*Entrant_age_breakdowns!$K80*$G$31</f>
        <v>31.51952897891961</v>
      </c>
      <c r="L307" s="459">
        <f>L$296*Entrant_age_breakdowns!$K80*$G$31</f>
        <v>30.607663701490971</v>
      </c>
      <c r="M307" s="459">
        <f>M$296*Entrant_age_breakdowns!$K80*$G$31</f>
        <v>29.945462543457136</v>
      </c>
      <c r="N307" s="459">
        <f>N$296*Entrant_age_breakdowns!$K80*$G$31</f>
        <v>30.103917364707822</v>
      </c>
    </row>
    <row r="308" spans="1:15">
      <c r="B308" s="338" t="str">
        <f t="shared" si="143"/>
        <v>45-49</v>
      </c>
      <c r="C308" s="459">
        <f>C$296*Entrant_age_breakdowns!$K81*$G$31</f>
        <v>19.297149700741997</v>
      </c>
      <c r="D308" s="459">
        <f>D$296*Entrant_age_breakdowns!$K81*$G$31</f>
        <v>21.905488844354441</v>
      </c>
      <c r="E308" s="459">
        <f>E$296*Entrant_age_breakdowns!$K81*$G$31</f>
        <v>38.266487108159502</v>
      </c>
      <c r="F308" s="459">
        <f>F$296*Entrant_age_breakdowns!$K81*$G$31</f>
        <v>40.834488611783506</v>
      </c>
      <c r="G308" s="459">
        <f>G$296*Entrant_age_breakdowns!$K81*$G$31</f>
        <v>31.117374475408837</v>
      </c>
      <c r="H308" s="459">
        <f>H$296*Entrant_age_breakdowns!$K81*$G$31</f>
        <v>26.567473446678189</v>
      </c>
      <c r="I308" s="459">
        <f>I$296*Entrant_age_breakdowns!$K81*$G$31</f>
        <v>26.452472889233075</v>
      </c>
      <c r="J308" s="459">
        <f>J$296*Entrant_age_breakdowns!$K81*$G$31</f>
        <v>26.492173581856182</v>
      </c>
      <c r="K308" s="459">
        <f>K$296*Entrant_age_breakdowns!$K81*$G$31</f>
        <v>25.081563936790751</v>
      </c>
      <c r="L308" s="459">
        <f>L$296*Entrant_age_breakdowns!$K81*$G$31</f>
        <v>24.355950071403928</v>
      </c>
      <c r="M308" s="459">
        <f>M$296*Entrant_age_breakdowns!$K81*$G$31</f>
        <v>23.829005627045294</v>
      </c>
      <c r="N308" s="459">
        <f>N$296*Entrant_age_breakdowns!$K81*$G$31</f>
        <v>23.955095542061152</v>
      </c>
    </row>
    <row r="309" spans="1:15">
      <c r="B309" s="338" t="str">
        <f t="shared" si="143"/>
        <v>50-54</v>
      </c>
      <c r="C309" s="459">
        <f>C$296*Entrant_age_breakdowns!$K82*$G$31</f>
        <v>14.116493412638098</v>
      </c>
      <c r="D309" s="459">
        <f>D$296*Entrant_age_breakdowns!$K82*$G$31</f>
        <v>16.024578436060771</v>
      </c>
      <c r="E309" s="459">
        <f>E$296*Entrant_age_breakdowns!$K82*$G$31</f>
        <v>27.99318145758922</v>
      </c>
      <c r="F309" s="459">
        <f>F$296*Entrant_age_breakdowns!$K82*$G$31</f>
        <v>29.871758183775839</v>
      </c>
      <c r="G309" s="459">
        <f>G$296*Entrant_age_breakdowns!$K82*$G$31</f>
        <v>22.763372757781493</v>
      </c>
      <c r="H309" s="459">
        <f>H$296*Entrant_age_breakdowns!$K82*$G$31</f>
        <v>19.434971988948686</v>
      </c>
      <c r="I309" s="459">
        <f>I$296*Entrant_age_breakdowns!$K82*$G$31</f>
        <v>19.350845336215031</v>
      </c>
      <c r="J309" s="459">
        <f>J$296*Entrant_age_breakdowns!$K82*$G$31</f>
        <v>19.379887685711321</v>
      </c>
      <c r="K309" s="459">
        <f>K$296*Entrant_age_breakdowns!$K82*$G$31</f>
        <v>18.347980794218209</v>
      </c>
      <c r="L309" s="459">
        <f>L$296*Entrant_age_breakdowns!$K82*$G$31</f>
        <v>17.817170622265301</v>
      </c>
      <c r="M309" s="459">
        <f>M$296*Entrant_age_breakdowns!$K82*$G$31</f>
        <v>17.43169360141134</v>
      </c>
      <c r="N309" s="459">
        <f>N$296*Entrant_age_breakdowns!$K82*$G$31</f>
        <v>17.523932480329972</v>
      </c>
    </row>
    <row r="310" spans="1:15">
      <c r="B310" s="338" t="str">
        <f t="shared" si="143"/>
        <v>55-59</v>
      </c>
      <c r="C310" s="459">
        <f>C$296*Entrant_age_breakdowns!$K83*$G$31</f>
        <v>9.6108271081599526</v>
      </c>
      <c r="D310" s="459">
        <f>D$296*Entrant_age_breakdowns!$K83*$G$31</f>
        <v>10.909894428332178</v>
      </c>
      <c r="E310" s="459">
        <f>E$296*Entrant_age_breakdowns!$K83*$G$31</f>
        <v>19.058389313267927</v>
      </c>
      <c r="F310" s="459">
        <f>F$296*Entrant_age_breakdowns!$K83*$G$31</f>
        <v>20.337366719131971</v>
      </c>
      <c r="G310" s="459">
        <f>G$296*Entrant_age_breakdowns!$K83*$G$31</f>
        <v>15.497817593834828</v>
      </c>
      <c r="H310" s="459">
        <f>H$296*Entrant_age_breakdowns!$K83*$G$31</f>
        <v>13.231767279435912</v>
      </c>
      <c r="I310" s="459">
        <f>I$296*Entrant_age_breakdowns!$K83*$G$31</f>
        <v>13.174491956806037</v>
      </c>
      <c r="J310" s="459">
        <f>J$296*Entrant_age_breakdowns!$K83*$G$31</f>
        <v>13.194264643383693</v>
      </c>
      <c r="K310" s="459">
        <f>K$296*Entrant_age_breakdowns!$K83*$G$31</f>
        <v>12.491719157336835</v>
      </c>
      <c r="L310" s="459">
        <f>L$296*Entrant_age_breakdowns!$K83*$G$31</f>
        <v>12.130331620023579</v>
      </c>
      <c r="M310" s="459">
        <f>M$296*Entrant_age_breakdowns!$K83*$G$31</f>
        <v>11.867890169919601</v>
      </c>
      <c r="N310" s="459">
        <f>N$296*Entrant_age_breakdowns!$K83*$G$31</f>
        <v>11.930688479104788</v>
      </c>
    </row>
    <row r="311" spans="1:15">
      <c r="B311" s="338" t="str">
        <f t="shared" si="143"/>
        <v>60-64</v>
      </c>
      <c r="C311" s="459">
        <f>C$296*Entrant_age_breakdowns!$K84*$G$31</f>
        <v>4.7048510379958266</v>
      </c>
      <c r="D311" s="459">
        <f>D$296*Entrant_age_breakdowns!$K84*$G$31</f>
        <v>5.3407919576435763</v>
      </c>
      <c r="E311" s="459">
        <f>E$296*Entrant_age_breakdowns!$K84*$G$31</f>
        <v>9.3297779404362231</v>
      </c>
      <c r="F311" s="459">
        <f>F$296*Entrant_age_breakdowns!$K84*$G$31</f>
        <v>9.9558841129677909</v>
      </c>
      <c r="G311" s="459">
        <f>G$296*Entrant_age_breakdowns!$K84*$G$31</f>
        <v>7.5867479845846235</v>
      </c>
      <c r="H311" s="459">
        <f>H$296*Entrant_age_breakdowns!$K84*$G$31</f>
        <v>6.4774335568181982</v>
      </c>
      <c r="I311" s="459">
        <f>I$296*Entrant_age_breakdowns!$K84*$G$31</f>
        <v>6.4493951936165619</v>
      </c>
      <c r="J311" s="459">
        <f>J$296*Entrant_age_breakdowns!$K84*$G$31</f>
        <v>6.4590746461675153</v>
      </c>
      <c r="K311" s="459">
        <f>K$296*Entrant_age_breakdowns!$K84*$G$31</f>
        <v>6.1151529605448021</v>
      </c>
      <c r="L311" s="459">
        <f>L$296*Entrant_age_breakdowns!$K84*$G$31</f>
        <v>5.9382405563456437</v>
      </c>
      <c r="M311" s="459">
        <f>M$296*Entrant_age_breakdowns!$K84*$G$31</f>
        <v>5.8097658772114738</v>
      </c>
      <c r="N311" s="459">
        <f>N$296*Entrant_age_breakdowns!$K84*$G$31</f>
        <v>5.8405079441355001</v>
      </c>
    </row>
    <row r="312" spans="1:15">
      <c r="B312" s="338" t="str">
        <f t="shared" si="143"/>
        <v>65 plus</v>
      </c>
      <c r="C312" s="459">
        <f>C$296*Entrant_age_breakdowns!$K85*$G$31</f>
        <v>1.1800100355354228</v>
      </c>
      <c r="D312" s="459">
        <f>D$296*Entrant_age_breakdowns!$K85*$G$31</f>
        <v>1.3395085321151639</v>
      </c>
      <c r="E312" s="459">
        <f>E$296*Entrant_age_breakdowns!$K85*$G$31</f>
        <v>2.3399745305690836</v>
      </c>
      <c r="F312" s="459">
        <f>F$296*Entrant_age_breakdowns!$K85*$G$31</f>
        <v>2.497006402764689</v>
      </c>
      <c r="G312" s="459">
        <f>G$296*Entrant_age_breakdowns!$K85*$G$31</f>
        <v>1.9028102455506348</v>
      </c>
      <c r="H312" s="459">
        <f>H$296*Entrant_age_breakdowns!$K85*$G$31</f>
        <v>1.6245863131121221</v>
      </c>
      <c r="I312" s="459">
        <f>I$296*Entrant_age_breakdowns!$K85*$G$31</f>
        <v>1.6175540926038163</v>
      </c>
      <c r="J312" s="459">
        <f>J$296*Entrant_age_breakdowns!$K85*$G$31</f>
        <v>1.6199817680087063</v>
      </c>
      <c r="K312" s="459">
        <f>K$296*Entrant_age_breakdowns!$K85*$G$31</f>
        <v>1.5337237680857299</v>
      </c>
      <c r="L312" s="459">
        <f>L$296*Entrant_age_breakdowns!$K85*$G$31</f>
        <v>1.4893528813818155</v>
      </c>
      <c r="M312" s="459">
        <f>M$296*Entrant_age_breakdowns!$K85*$G$31</f>
        <v>1.4571305199369582</v>
      </c>
      <c r="N312" s="459">
        <f>N$296*Entrant_age_breakdowns!$K85*$G$31</f>
        <v>1.4648408485298283</v>
      </c>
    </row>
    <row r="313" spans="1:15">
      <c r="B313" s="338" t="str">
        <f t="shared" si="143"/>
        <v>Total</v>
      </c>
      <c r="C313" s="459">
        <f>C$296*Entrant_age_breakdowns!$K86*$G$31</f>
        <v>294.92441476581871</v>
      </c>
      <c r="D313" s="459">
        <f>D$296*Entrant_age_breakdowns!$K86*$G$31</f>
        <v>334.78848315779976</v>
      </c>
      <c r="E313" s="459">
        <f>E$296*Entrant_age_breakdowns!$K86*$G$31</f>
        <v>584.83877103797022</v>
      </c>
      <c r="F313" s="459">
        <f>F$296*Entrant_age_breakdowns!$K86*$G$31</f>
        <v>624.08634657732216</v>
      </c>
      <c r="G313" s="459">
        <f>G$296*Entrant_age_breakdowns!$K86*$G$31</f>
        <v>475.57663170617877</v>
      </c>
      <c r="H313" s="459">
        <f>H$296*Entrant_age_breakdowns!$K86*$G$31</f>
        <v>406.03906170488557</v>
      </c>
      <c r="I313" s="459">
        <f>I$296*Entrant_age_breakdowns!$K86*$G$31</f>
        <v>404.2814719764429</v>
      </c>
      <c r="J313" s="459">
        <f>J$296*Entrant_age_breakdowns!$K86*$G$31</f>
        <v>404.88823016193891</v>
      </c>
      <c r="K313" s="459">
        <f>K$296*Entrant_age_breakdowns!$K86*$G$31</f>
        <v>383.32943881266806</v>
      </c>
      <c r="L313" s="459">
        <f>L$296*Entrant_age_breakdowns!$K86*$G$31</f>
        <v>372.23965364159983</v>
      </c>
      <c r="M313" s="459">
        <f>M$296*Entrant_age_breakdowns!$K86*$G$31</f>
        <v>364.18619578504428</v>
      </c>
      <c r="N313" s="459">
        <f>N$296*Entrant_age_breakdowns!$K86*$G$31</f>
        <v>366.11326765682929</v>
      </c>
    </row>
    <row r="314" spans="1:15">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5">
      <c r="B316" s="341" t="s">
        <v>50</v>
      </c>
      <c r="H316" s="325"/>
    </row>
    <row r="317" spans="1:15">
      <c r="H317" s="325"/>
    </row>
    <row r="318" spans="1:15">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5">
      <c r="B319" s="338" t="str">
        <f t="shared" si="146"/>
        <v>20-24</v>
      </c>
      <c r="C319" s="459">
        <f>C$296*Entrant_age_breakdowns!$K76*$H$31</f>
        <v>336.37311096399247</v>
      </c>
      <c r="D319" s="459">
        <f>D$296*Entrant_age_breakdowns!$K76*$H$31</f>
        <v>381.83967808879112</v>
      </c>
      <c r="E319" s="459">
        <f>E$296*Entrant_age_breakdowns!$K76*$H$31</f>
        <v>667.03204949175404</v>
      </c>
      <c r="F319" s="459">
        <f>F$296*Entrant_age_breakdowns!$K76*$H$31</f>
        <v>711.79548181880932</v>
      </c>
      <c r="G319" s="459">
        <f>G$296*Entrant_age_breakdowns!$K76*$H$31</f>
        <v>542.414202078887</v>
      </c>
      <c r="H319" s="459">
        <f>H$296*Entrant_age_breakdowns!$K76*$H$31</f>
        <v>463.103817522273</v>
      </c>
      <c r="I319" s="459">
        <f>I$296*Entrant_age_breakdowns!$K76*$H$31</f>
        <v>461.09921602048126</v>
      </c>
      <c r="J319" s="459">
        <f>J$296*Entrant_age_breakdowns!$K76*$H$31</f>
        <v>461.79124804034723</v>
      </c>
      <c r="K319" s="459">
        <f>K$296*Entrant_age_breakdowns!$K76*$H$31</f>
        <v>437.20258276983691</v>
      </c>
      <c r="L319" s="459">
        <f>L$296*Entrant_age_breakdowns!$K76*$H$31</f>
        <v>424.55423847837983</v>
      </c>
      <c r="M319" s="459">
        <f>M$296*Entrant_age_breakdowns!$K76*$H$31</f>
        <v>415.3689471372814</v>
      </c>
      <c r="N319" s="459">
        <f>N$296*Entrant_age_breakdowns!$K76*$H$31</f>
        <v>417.56684981372899</v>
      </c>
      <c r="O319" s="327"/>
    </row>
    <row r="320" spans="1:15">
      <c r="B320" s="338" t="str">
        <f t="shared" si="146"/>
        <v>25-29</v>
      </c>
      <c r="C320" s="459">
        <f>C$296*Entrant_age_breakdowns!$K77*$H$31</f>
        <v>347.80249333958153</v>
      </c>
      <c r="D320" s="459">
        <f>D$296*Entrant_age_breakdowns!$K77*$H$31</f>
        <v>394.8139365678399</v>
      </c>
      <c r="E320" s="459">
        <f>E$296*Entrant_age_breakdowns!$K77*$H$31</f>
        <v>689.69665644730276</v>
      </c>
      <c r="F320" s="459">
        <f>F$296*Entrant_age_breakdowns!$K77*$H$31</f>
        <v>735.98107356129151</v>
      </c>
      <c r="G320" s="459">
        <f>G$296*Entrant_age_breakdowns!$K77*$H$31</f>
        <v>560.8445079488863</v>
      </c>
      <c r="H320" s="459">
        <f>H$296*Entrant_age_breakdowns!$K77*$H$31</f>
        <v>478.83929231955443</v>
      </c>
      <c r="I320" s="459">
        <f>I$296*Entrant_age_breakdowns!$K77*$H$31</f>
        <v>476.76657789099227</v>
      </c>
      <c r="J320" s="459">
        <f>J$296*Entrant_age_breakdowns!$K77*$H$31</f>
        <v>477.48212397400226</v>
      </c>
      <c r="K320" s="459">
        <f>K$296*Entrant_age_breakdowns!$K77*$H$31</f>
        <v>452.05797795808809</v>
      </c>
      <c r="L320" s="459">
        <f>L$296*Entrant_age_breakdowns!$K77*$H$31</f>
        <v>438.9798645839868</v>
      </c>
      <c r="M320" s="459">
        <f>M$296*Entrant_age_breakdowns!$K77*$H$31</f>
        <v>429.48247277008983</v>
      </c>
      <c r="N320" s="459">
        <f>N$296*Entrant_age_breakdowns!$K77*$H$31</f>
        <v>431.75505641625415</v>
      </c>
      <c r="O320" s="327"/>
    </row>
    <row r="321" spans="1:15">
      <c r="B321" s="338" t="str">
        <f t="shared" si="146"/>
        <v>30-34</v>
      </c>
      <c r="C321" s="459">
        <f>C$296*Entrant_age_breakdowns!$K78*$H$31</f>
        <v>172.65436829461598</v>
      </c>
      <c r="D321" s="459">
        <f>D$296*Entrant_age_breakdowns!$K78*$H$31</f>
        <v>195.99155301476199</v>
      </c>
      <c r="E321" s="459">
        <f>E$296*Entrant_age_breakdowns!$K78*$H$31</f>
        <v>342.3757529465247</v>
      </c>
      <c r="F321" s="459">
        <f>F$296*Entrant_age_breakdowns!$K78*$H$31</f>
        <v>365.35203101161005</v>
      </c>
      <c r="G321" s="459">
        <f>G$296*Entrant_age_breakdowns!$K78*$H$31</f>
        <v>278.41161603426536</v>
      </c>
      <c r="H321" s="459">
        <f>H$296*Entrant_age_breakdowns!$K78*$H$31</f>
        <v>237.70299843524728</v>
      </c>
      <c r="I321" s="459">
        <f>I$296*Entrant_age_breakdowns!$K78*$H$31</f>
        <v>236.67407194055093</v>
      </c>
      <c r="J321" s="459">
        <f>J$296*Entrant_age_breakdowns!$K78*$H$31</f>
        <v>237.02927973610619</v>
      </c>
      <c r="K321" s="459">
        <f>K$296*Entrant_age_breakdowns!$K78*$H$31</f>
        <v>224.40835276212417</v>
      </c>
      <c r="L321" s="459">
        <f>L$296*Entrant_age_breakdowns!$K78*$H$31</f>
        <v>217.91618135354773</v>
      </c>
      <c r="M321" s="459">
        <f>M$296*Entrant_age_breakdowns!$K78*$H$31</f>
        <v>213.20153377201399</v>
      </c>
      <c r="N321" s="459">
        <f>N$296*Entrant_age_breakdowns!$K78*$H$31</f>
        <v>214.3296783406675</v>
      </c>
      <c r="O321" s="327"/>
    </row>
    <row r="322" spans="1:15">
      <c r="B322" s="338" t="str">
        <f t="shared" si="146"/>
        <v>35-39</v>
      </c>
      <c r="C322" s="459">
        <f>C$296*Entrant_age_breakdowns!$K79*$H$31</f>
        <v>123.36919959586155</v>
      </c>
      <c r="D322" s="459">
        <f>D$296*Entrant_age_breakdowns!$K79*$H$31</f>
        <v>140.04465257271485</v>
      </c>
      <c r="E322" s="459">
        <f>E$296*Entrant_age_breakdowns!$K79*$H$31</f>
        <v>244.64265236525929</v>
      </c>
      <c r="F322" s="459">
        <f>F$296*Entrant_age_breakdowns!$K79*$H$31</f>
        <v>261.06022153874613</v>
      </c>
      <c r="G322" s="459">
        <f>G$296*Entrant_age_breakdowns!$K79*$H$31</f>
        <v>198.93744112936375</v>
      </c>
      <c r="H322" s="459">
        <f>H$296*Entrant_age_breakdowns!$K79*$H$31</f>
        <v>169.8493293170113</v>
      </c>
      <c r="I322" s="459">
        <f>I$296*Entrant_age_breakdowns!$K79*$H$31</f>
        <v>169.11411572613906</v>
      </c>
      <c r="J322" s="459">
        <f>J$296*Entrant_age_breakdowns!$K79*$H$31</f>
        <v>169.36792744176904</v>
      </c>
      <c r="K322" s="459">
        <f>K$296*Entrant_age_breakdowns!$K79*$H$31</f>
        <v>160.3497156564693</v>
      </c>
      <c r="L322" s="459">
        <f>L$296*Entrant_age_breakdowns!$K79*$H$31</f>
        <v>155.71077139907001</v>
      </c>
      <c r="M322" s="459">
        <f>M$296*Entrant_age_breakdowns!$K79*$H$31</f>
        <v>152.34194671044199</v>
      </c>
      <c r="N322" s="459">
        <f>N$296*Entrant_age_breakdowns!$K79*$H$31</f>
        <v>153.14805601331062</v>
      </c>
      <c r="O322" s="327"/>
    </row>
    <row r="323" spans="1:15">
      <c r="B323" s="338" t="str">
        <f t="shared" si="146"/>
        <v>40-44</v>
      </c>
      <c r="C323" s="459">
        <f>C$296*Entrant_age_breakdowns!$K80*$H$31</f>
        <v>107.1865145362657</v>
      </c>
      <c r="D323" s="459">
        <f>D$296*Entrant_age_breakdowns!$K80*$H$31</f>
        <v>121.67460142308589</v>
      </c>
      <c r="E323" s="459">
        <f>E$296*Entrant_age_breakdowns!$K80*$H$31</f>
        <v>212.55218725451715</v>
      </c>
      <c r="F323" s="459">
        <f>F$296*Entrant_age_breakdowns!$K80*$H$31</f>
        <v>226.8162176821177</v>
      </c>
      <c r="G323" s="459">
        <f>G$296*Entrant_age_breakdowns!$K80*$H$31</f>
        <v>172.84225718633382</v>
      </c>
      <c r="H323" s="459">
        <f>H$296*Entrant_age_breakdowns!$K80*$H$31</f>
        <v>147.56971485144922</v>
      </c>
      <c r="I323" s="459">
        <f>I$296*Entrant_age_breakdowns!$K80*$H$31</f>
        <v>146.93094129610932</v>
      </c>
      <c r="J323" s="459">
        <f>J$296*Entrant_age_breakdowns!$K80*$H$31</f>
        <v>147.15145981479927</v>
      </c>
      <c r="K323" s="459">
        <f>K$296*Entrant_age_breakdowns!$K80*$H$31</f>
        <v>139.31619224572461</v>
      </c>
      <c r="L323" s="459">
        <f>L$296*Entrant_age_breakdowns!$K80*$H$31</f>
        <v>135.28575136009425</v>
      </c>
      <c r="M323" s="459">
        <f>M$296*Entrant_age_breakdowns!$K80*$H$31</f>
        <v>132.3588248854098</v>
      </c>
      <c r="N323" s="459">
        <f>N$296*Entrant_age_breakdowns!$K80*$H$31</f>
        <v>133.05919456271008</v>
      </c>
      <c r="O323" s="327"/>
    </row>
    <row r="324" spans="1:15">
      <c r="B324" s="338" t="str">
        <f t="shared" si="146"/>
        <v>45-49</v>
      </c>
      <c r="C324" s="459">
        <f>C$296*Entrant_age_breakdowns!$K81*$H$31</f>
        <v>85.293324633788657</v>
      </c>
      <c r="D324" s="459">
        <f>D$296*Entrant_age_breakdowns!$K81*$H$31</f>
        <v>96.82217323481288</v>
      </c>
      <c r="E324" s="459">
        <f>E$296*Entrant_age_breakdowns!$K81*$H$31</f>
        <v>169.13772023986718</v>
      </c>
      <c r="F324" s="459">
        <f>F$296*Entrant_age_breakdowns!$K81*$H$31</f>
        <v>180.48827663318977</v>
      </c>
      <c r="G324" s="459">
        <f>G$296*Entrant_age_breakdowns!$K81*$H$31</f>
        <v>137.53867094580096</v>
      </c>
      <c r="H324" s="459">
        <f>H$296*Entrant_age_breakdowns!$K81*$H$31</f>
        <v>117.42812656420195</v>
      </c>
      <c r="I324" s="459">
        <f>I$296*Entrant_age_breakdowns!$K81*$H$31</f>
        <v>116.919824559432</v>
      </c>
      <c r="J324" s="459">
        <f>J$296*Entrant_age_breakdowns!$K81*$H$31</f>
        <v>117.0953014623219</v>
      </c>
      <c r="K324" s="459">
        <f>K$296*Entrant_age_breakdowns!$K81*$H$31</f>
        <v>110.86041246296398</v>
      </c>
      <c r="L324" s="459">
        <f>L$296*Entrant_age_breakdowns!$K81*$H$31</f>
        <v>107.65320207495333</v>
      </c>
      <c r="M324" s="459">
        <f>M$296*Entrant_age_breakdowns!$K81*$H$31</f>
        <v>105.3241097347035</v>
      </c>
      <c r="N324" s="459">
        <f>N$296*Entrant_age_breakdowns!$K81*$H$31</f>
        <v>105.88142665566208</v>
      </c>
      <c r="O324" s="327"/>
    </row>
    <row r="325" spans="1:15">
      <c r="B325" s="338" t="str">
        <f t="shared" si="146"/>
        <v>50-54</v>
      </c>
      <c r="C325" s="459">
        <f>C$296*Entrant_age_breakdowns!$K82*$H$31</f>
        <v>62.394844524037843</v>
      </c>
      <c r="D325" s="459">
        <f>D$296*Entrant_age_breakdowns!$K82*$H$31</f>
        <v>70.82857270957409</v>
      </c>
      <c r="E325" s="459">
        <f>E$296*Entrant_age_breakdowns!$K82*$H$31</f>
        <v>123.72975028031748</v>
      </c>
      <c r="F325" s="459">
        <f>F$296*Entrant_age_breakdowns!$K82*$H$31</f>
        <v>132.03305190988166</v>
      </c>
      <c r="G325" s="459">
        <f>G$296*Entrant_age_breakdowns!$K82*$H$31</f>
        <v>100.61401670707579</v>
      </c>
      <c r="H325" s="459">
        <f>H$296*Entrant_age_breakdowns!$K82*$H$31</f>
        <v>85.902498597409448</v>
      </c>
      <c r="I325" s="459">
        <f>I$296*Entrant_age_breakdowns!$K82*$H$31</f>
        <v>85.530659128200696</v>
      </c>
      <c r="J325" s="459">
        <f>J$296*Entrant_age_breakdowns!$K82*$H$31</f>
        <v>85.659026197023294</v>
      </c>
      <c r="K325" s="459">
        <f>K$296*Entrant_age_breakdowns!$K82*$H$31</f>
        <v>81.09800185649172</v>
      </c>
      <c r="L325" s="459">
        <f>L$296*Entrant_age_breakdowns!$K82*$H$31</f>
        <v>78.751823015709036</v>
      </c>
      <c r="M325" s="459">
        <f>M$296*Entrant_age_breakdowns!$K82*$H$31</f>
        <v>77.04801612254397</v>
      </c>
      <c r="N325" s="459">
        <f>N$296*Entrant_age_breakdowns!$K82*$H$31</f>
        <v>77.455711599102415</v>
      </c>
      <c r="O325" s="327"/>
    </row>
    <row r="326" spans="1:15">
      <c r="B326" s="338" t="str">
        <f t="shared" si="146"/>
        <v>55-59</v>
      </c>
      <c r="C326" s="459">
        <f>C$296*Entrant_age_breakdowns!$K83*$H$31</f>
        <v>42.479817447028623</v>
      </c>
      <c r="D326" s="459">
        <f>D$296*Entrant_age_breakdowns!$K83*$H$31</f>
        <v>48.221689815689111</v>
      </c>
      <c r="E326" s="459">
        <f>E$296*Entrant_age_breakdowns!$K83*$H$31</f>
        <v>84.23800467439942</v>
      </c>
      <c r="F326" s="459">
        <f>F$296*Entrant_age_breakdowns!$K83*$H$31</f>
        <v>89.891079702026332</v>
      </c>
      <c r="G326" s="459">
        <f>G$296*Entrant_age_breakdowns!$K83*$H$31</f>
        <v>68.500291890017749</v>
      </c>
      <c r="H326" s="459">
        <f>H$296*Entrant_age_breakdowns!$K83*$H$31</f>
        <v>58.484358547535891</v>
      </c>
      <c r="I326" s="459">
        <f>I$296*Entrant_age_breakdowns!$K83*$H$31</f>
        <v>58.231201850182444</v>
      </c>
      <c r="J326" s="459">
        <f>J$296*Entrant_age_breakdowns!$K83*$H$31</f>
        <v>58.318597045913613</v>
      </c>
      <c r="K326" s="459">
        <f>K$296*Entrant_age_breakdowns!$K83*$H$31</f>
        <v>55.213348802485548</v>
      </c>
      <c r="L326" s="459">
        <f>L$296*Entrant_age_breakdowns!$K83*$H$31</f>
        <v>53.616017330393603</v>
      </c>
      <c r="M326" s="459">
        <f>M$296*Entrant_age_breakdowns!$K83*$H$31</f>
        <v>52.456027168726351</v>
      </c>
      <c r="N326" s="459">
        <f>N$296*Entrant_age_breakdowns!$K83*$H$31</f>
        <v>52.733595444603864</v>
      </c>
      <c r="O326" s="327"/>
    </row>
    <row r="327" spans="1:15">
      <c r="B327" s="338" t="str">
        <f t="shared" si="146"/>
        <v>60-64</v>
      </c>
      <c r="C327" s="459">
        <f>C$296*Entrant_age_breakdowns!$K84*$H$31</f>
        <v>20.795422803916242</v>
      </c>
      <c r="D327" s="459">
        <f>D$296*Entrant_age_breakdowns!$K84*$H$31</f>
        <v>23.606279129777668</v>
      </c>
      <c r="E327" s="459">
        <f>E$296*Entrant_age_breakdowns!$K84*$H$31</f>
        <v>41.237581247773022</v>
      </c>
      <c r="F327" s="459">
        <f>F$296*Entrant_age_breakdowns!$K84*$H$31</f>
        <v>44.004968030645955</v>
      </c>
      <c r="G327" s="459">
        <f>G$296*Entrant_age_breakdowns!$K84*$H$31</f>
        <v>33.533395801921792</v>
      </c>
      <c r="H327" s="459">
        <f>H$296*Entrant_age_breakdowns!$K84*$H$31</f>
        <v>28.630230460110248</v>
      </c>
      <c r="I327" s="459">
        <f>I$296*Entrant_age_breakdowns!$K84*$H$31</f>
        <v>28.50630100670163</v>
      </c>
      <c r="J327" s="459">
        <f>J$296*Entrant_age_breakdowns!$K84*$H$31</f>
        <v>28.549084148331822</v>
      </c>
      <c r="K327" s="459">
        <f>K$296*Entrant_age_breakdowns!$K84*$H$31</f>
        <v>27.02895167098</v>
      </c>
      <c r="L327" s="459">
        <f>L$296*Entrant_age_breakdowns!$K84*$H$31</f>
        <v>26.246999550739016</v>
      </c>
      <c r="M327" s="459">
        <f>M$296*Entrant_age_breakdowns!$K84*$H$31</f>
        <v>25.679141981898617</v>
      </c>
      <c r="N327" s="459">
        <f>N$296*Entrant_age_breakdowns!$K84*$H$31</f>
        <v>25.815021794965716</v>
      </c>
      <c r="O327" s="327"/>
    </row>
    <row r="328" spans="1:15">
      <c r="B328" s="338" t="str">
        <f t="shared" si="146"/>
        <v>65 plus</v>
      </c>
      <c r="C328" s="459">
        <f>C$296*Entrant_age_breakdowns!$K85*$H$31</f>
        <v>5.2156396458996905</v>
      </c>
      <c r="D328" s="459">
        <f>D$296*Entrant_age_breakdowns!$K85*$H$31</f>
        <v>5.9206223639875333</v>
      </c>
      <c r="E328" s="459">
        <f>E$296*Entrant_age_breakdowns!$K85*$H$31</f>
        <v>10.34267808281302</v>
      </c>
      <c r="F328" s="459">
        <f>F$296*Entrant_age_breakdowns!$K85*$H$31</f>
        <v>11.036758330970931</v>
      </c>
      <c r="G328" s="459">
        <f>G$296*Entrant_age_breakdowns!$K85*$H$31</f>
        <v>8.4104136884012934</v>
      </c>
      <c r="H328" s="459">
        <f>H$296*Entrant_age_breakdowns!$K85*$H$31</f>
        <v>7.1806650178266489</v>
      </c>
      <c r="I328" s="459">
        <f>I$296*Entrant_age_breakdowns!$K85*$H$31</f>
        <v>7.1495826312559405</v>
      </c>
      <c r="J328" s="459">
        <f>J$296*Entrant_age_breakdowns!$K85*$H$31</f>
        <v>7.1603129468531073</v>
      </c>
      <c r="K328" s="459">
        <f>K$296*Entrant_age_breakdowns!$K85*$H$31</f>
        <v>6.7790529315769206</v>
      </c>
      <c r="L328" s="459">
        <f>L$296*Entrant_age_breakdowns!$K85*$H$31</f>
        <v>6.5829337894955131</v>
      </c>
      <c r="M328" s="459">
        <f>M$296*Entrant_age_breakdowns!$K85*$H$31</f>
        <v>6.4405110805563881</v>
      </c>
      <c r="N328" s="459">
        <f>N$296*Entrant_age_breakdowns!$K85*$H$31</f>
        <v>6.4745907021535389</v>
      </c>
      <c r="O328" s="327"/>
    </row>
    <row r="329" spans="1:15">
      <c r="B329" s="338" t="str">
        <f t="shared" si="146"/>
        <v>Total</v>
      </c>
      <c r="C329" s="459">
        <f>C$296*Entrant_age_breakdowns!$K86*$H$31</f>
        <v>1303.5647357849882</v>
      </c>
      <c r="D329" s="459">
        <f>D$296*Entrant_age_breakdowns!$K86*$H$31</f>
        <v>1479.7637589210349</v>
      </c>
      <c r="E329" s="459">
        <f>E$296*Entrant_age_breakdowns!$K86*$H$31</f>
        <v>2584.985033030528</v>
      </c>
      <c r="F329" s="459">
        <f>F$296*Entrant_age_breakdowns!$K86*$H$31</f>
        <v>2758.4591602192891</v>
      </c>
      <c r="G329" s="459">
        <f>G$296*Entrant_age_breakdowns!$K86*$H$31</f>
        <v>2102.0468134109537</v>
      </c>
      <c r="H329" s="459">
        <f>H$296*Entrant_age_breakdowns!$K86*$H$31</f>
        <v>1794.6910316326193</v>
      </c>
      <c r="I329" s="459">
        <f>I$296*Entrant_age_breakdowns!$K86*$H$31</f>
        <v>1786.9224920500453</v>
      </c>
      <c r="J329" s="459">
        <f>J$296*Entrant_age_breakdowns!$K86*$H$31</f>
        <v>1789.6043608074676</v>
      </c>
      <c r="K329" s="459">
        <f>K$296*Entrant_age_breakdowns!$K86*$H$31</f>
        <v>1694.3145891167412</v>
      </c>
      <c r="L329" s="459">
        <f>L$296*Entrant_age_breakdowns!$K86*$H$31</f>
        <v>1645.297782936369</v>
      </c>
      <c r="M329" s="459">
        <f>M$296*Entrant_age_breakdowns!$K86*$H$31</f>
        <v>1609.7015313636657</v>
      </c>
      <c r="N329" s="459">
        <f>N$296*Entrant_age_breakdowns!$K86*$H$31</f>
        <v>1618.2191813431589</v>
      </c>
      <c r="O329" s="327"/>
    </row>
    <row r="330" spans="1:15">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5">
      <c r="C331" s="329">
        <f>C296</f>
        <v>1598.4891505508069</v>
      </c>
      <c r="D331" s="329">
        <f t="shared" ref="D331:N331" si="149">D296</f>
        <v>1814.5522420788348</v>
      </c>
      <c r="E331" s="329">
        <f t="shared" si="149"/>
        <v>3169.8238040684982</v>
      </c>
      <c r="F331" s="329">
        <f t="shared" si="149"/>
        <v>3382.5455067966113</v>
      </c>
      <c r="G331" s="329">
        <f t="shared" si="149"/>
        <v>2577.6234451171326</v>
      </c>
      <c r="H331" s="329">
        <f t="shared" si="149"/>
        <v>2200.730093337505</v>
      </c>
      <c r="I331" s="329">
        <f t="shared" si="149"/>
        <v>2191.2039640264884</v>
      </c>
      <c r="J331" s="329">
        <f t="shared" si="149"/>
        <v>2194.4925909694066</v>
      </c>
      <c r="K331" s="329">
        <f t="shared" si="149"/>
        <v>2077.6440279294093</v>
      </c>
      <c r="L331" s="329">
        <f t="shared" si="149"/>
        <v>2017.5374365779689</v>
      </c>
      <c r="M331" s="329">
        <f t="shared" si="149"/>
        <v>1973.8877271487099</v>
      </c>
      <c r="N331" s="329">
        <f t="shared" si="149"/>
        <v>1984.3324489999882</v>
      </c>
    </row>
    <row r="332" spans="1:15">
      <c r="C332" s="329">
        <f>C313+C329</f>
        <v>1598.4891505508069</v>
      </c>
      <c r="D332" s="329">
        <f t="shared" ref="D332:N332" si="150">D313+D329</f>
        <v>1814.5522420788348</v>
      </c>
      <c r="E332" s="329">
        <f t="shared" si="150"/>
        <v>3169.8238040684982</v>
      </c>
      <c r="F332" s="329">
        <f t="shared" si="150"/>
        <v>3382.5455067966113</v>
      </c>
      <c r="G332" s="329">
        <f t="shared" si="150"/>
        <v>2577.6234451171326</v>
      </c>
      <c r="H332" s="329">
        <f t="shared" si="150"/>
        <v>2200.730093337505</v>
      </c>
      <c r="I332" s="329">
        <f t="shared" si="150"/>
        <v>2191.2039640264884</v>
      </c>
      <c r="J332" s="329">
        <f t="shared" si="150"/>
        <v>2194.4925909694066</v>
      </c>
      <c r="K332" s="329">
        <f t="shared" si="150"/>
        <v>2077.6440279294093</v>
      </c>
      <c r="L332" s="329">
        <f t="shared" si="150"/>
        <v>2017.5374365779689</v>
      </c>
      <c r="M332" s="329">
        <f t="shared" si="150"/>
        <v>1973.8877271487099</v>
      </c>
      <c r="N332" s="329">
        <f t="shared" si="150"/>
        <v>1984.3324489999882</v>
      </c>
    </row>
    <row r="333" spans="1:15">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5">
      <c r="C334" s="329"/>
      <c r="D334" s="329"/>
      <c r="E334" s="329"/>
      <c r="F334" s="329"/>
      <c r="G334" s="329"/>
      <c r="H334" s="342"/>
      <c r="I334" s="329"/>
      <c r="J334" s="329"/>
      <c r="K334" s="329"/>
      <c r="L334" s="329"/>
    </row>
    <row r="335" spans="1:15" ht="15.75">
      <c r="B335" s="340" t="s">
        <v>163</v>
      </c>
      <c r="C335" s="329"/>
      <c r="D335" s="329"/>
      <c r="E335" s="329"/>
      <c r="F335" s="329"/>
      <c r="G335" s="329"/>
      <c r="H335" s="342"/>
      <c r="I335" s="329"/>
      <c r="J335" s="329"/>
      <c r="K335" s="329"/>
      <c r="L335" s="329"/>
    </row>
    <row r="336" spans="1:15"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119.47527614323266</v>
      </c>
      <c r="D340" s="459">
        <f t="shared" si="154"/>
        <v>170.07929656470992</v>
      </c>
      <c r="E340" s="459">
        <f t="shared" si="154"/>
        <v>270.04966646850772</v>
      </c>
      <c r="F340" s="459">
        <f t="shared" si="154"/>
        <v>350.20448545939223</v>
      </c>
      <c r="G340" s="459">
        <f t="shared" si="154"/>
        <v>368.02981551723633</v>
      </c>
      <c r="H340" s="459">
        <f t="shared" si="154"/>
        <v>362.57257695098207</v>
      </c>
      <c r="I340" s="459">
        <f t="shared" si="154"/>
        <v>358.29635531008677</v>
      </c>
      <c r="J340" s="459">
        <f t="shared" si="154"/>
        <v>355.45751212194773</v>
      </c>
      <c r="K340" s="459">
        <f t="shared" si="154"/>
        <v>347.90590517368719</v>
      </c>
      <c r="L340" s="459">
        <f t="shared" si="154"/>
        <v>339.75452966712868</v>
      </c>
      <c r="M340" s="459">
        <f t="shared" si="154"/>
        <v>331.96652458069821</v>
      </c>
      <c r="N340" s="459">
        <f t="shared" si="154"/>
        <v>327.00843912784313</v>
      </c>
    </row>
    <row r="341" spans="1:14">
      <c r="B341" s="338" t="str">
        <f t="shared" si="153"/>
        <v>25-29</v>
      </c>
      <c r="C341" s="459">
        <f t="shared" ref="C341:N341" si="155">C304+C248</f>
        <v>366.87574710606759</v>
      </c>
      <c r="D341" s="459">
        <f t="shared" si="155"/>
        <v>372.40512553318536</v>
      </c>
      <c r="E341" s="459">
        <f t="shared" si="155"/>
        <v>452.09259167154698</v>
      </c>
      <c r="F341" s="459">
        <f t="shared" si="155"/>
        <v>537.25430151218177</v>
      </c>
      <c r="G341" s="459">
        <f t="shared" si="155"/>
        <v>572.69199955867623</v>
      </c>
      <c r="H341" s="459">
        <f t="shared" si="155"/>
        <v>582.60349695521552</v>
      </c>
      <c r="I341" s="459">
        <f t="shared" si="155"/>
        <v>588.23304782773528</v>
      </c>
      <c r="J341" s="459">
        <f t="shared" si="155"/>
        <v>591.64888855677987</v>
      </c>
      <c r="K341" s="459">
        <f t="shared" si="155"/>
        <v>587.82766086625531</v>
      </c>
      <c r="L341" s="459">
        <f t="shared" si="155"/>
        <v>580.79529657442606</v>
      </c>
      <c r="M341" s="459">
        <f t="shared" si="155"/>
        <v>572.17489272516013</v>
      </c>
      <c r="N341" s="459">
        <f t="shared" si="155"/>
        <v>565.14911888795586</v>
      </c>
    </row>
    <row r="342" spans="1:14">
      <c r="B342" s="338" t="str">
        <f t="shared" si="153"/>
        <v>30-34</v>
      </c>
      <c r="C342" s="459">
        <f t="shared" ref="C342:N342" si="156">C305+C249</f>
        <v>420.69922830666849</v>
      </c>
      <c r="D342" s="459">
        <f t="shared" si="156"/>
        <v>425.0622724593461</v>
      </c>
      <c r="E342" s="459">
        <f t="shared" si="156"/>
        <v>462.44965123402505</v>
      </c>
      <c r="F342" s="459">
        <f t="shared" si="156"/>
        <v>510.22795738439447</v>
      </c>
      <c r="G342" s="459">
        <f t="shared" si="156"/>
        <v>541.87536288328465</v>
      </c>
      <c r="H342" s="459">
        <f t="shared" si="156"/>
        <v>562.76132533691759</v>
      </c>
      <c r="I342" s="459">
        <f t="shared" si="156"/>
        <v>579.88757322955621</v>
      </c>
      <c r="J342" s="459">
        <f t="shared" si="156"/>
        <v>593.73819522213739</v>
      </c>
      <c r="K342" s="459">
        <f t="shared" si="156"/>
        <v>601.80809891998842</v>
      </c>
      <c r="L342" s="459">
        <f t="shared" si="156"/>
        <v>605.62533645774454</v>
      </c>
      <c r="M342" s="459">
        <f t="shared" si="156"/>
        <v>606.08859307140278</v>
      </c>
      <c r="N342" s="459">
        <f t="shared" si="156"/>
        <v>605.08681055660293</v>
      </c>
    </row>
    <row r="343" spans="1:14">
      <c r="B343" s="338" t="str">
        <f t="shared" si="153"/>
        <v>35-39</v>
      </c>
      <c r="C343" s="459">
        <f t="shared" ref="C343:N343" si="157">C306+C250</f>
        <v>455.42355014966654</v>
      </c>
      <c r="D343" s="459">
        <f t="shared" si="157"/>
        <v>452.44263128890117</v>
      </c>
      <c r="E343" s="459">
        <f t="shared" si="157"/>
        <v>474.68869651680319</v>
      </c>
      <c r="F343" s="459">
        <f t="shared" si="157"/>
        <v>502.11520793110321</v>
      </c>
      <c r="G343" s="459">
        <f t="shared" si="157"/>
        <v>517.6103215370473</v>
      </c>
      <c r="H343" s="459">
        <f t="shared" si="157"/>
        <v>528.59744228710531</v>
      </c>
      <c r="I343" s="459">
        <f t="shared" si="157"/>
        <v>540.59651203367832</v>
      </c>
      <c r="J343" s="459">
        <f t="shared" si="157"/>
        <v>552.87339839586457</v>
      </c>
      <c r="K343" s="459">
        <f t="shared" si="157"/>
        <v>562.64642384219417</v>
      </c>
      <c r="L343" s="459">
        <f t="shared" si="157"/>
        <v>570.44627393383371</v>
      </c>
      <c r="M343" s="459">
        <f t="shared" si="157"/>
        <v>576.25454877140908</v>
      </c>
      <c r="N343" s="459">
        <f t="shared" si="157"/>
        <v>580.88326422798366</v>
      </c>
    </row>
    <row r="344" spans="1:14">
      <c r="B344" s="338" t="str">
        <f t="shared" si="153"/>
        <v>40-44</v>
      </c>
      <c r="C344" s="459">
        <f t="shared" ref="C344:N344" si="158">C307+C251</f>
        <v>464.88605389777877</v>
      </c>
      <c r="D344" s="459">
        <f t="shared" si="158"/>
        <v>459.94494481368952</v>
      </c>
      <c r="E344" s="459">
        <f t="shared" si="158"/>
        <v>476.25685994423037</v>
      </c>
      <c r="F344" s="459">
        <f t="shared" si="158"/>
        <v>495.82711952049385</v>
      </c>
      <c r="G344" s="459">
        <f t="shared" si="158"/>
        <v>503.36109653533498</v>
      </c>
      <c r="H344" s="459">
        <f t="shared" si="158"/>
        <v>506.16681703469584</v>
      </c>
      <c r="I344" s="459">
        <f t="shared" si="158"/>
        <v>510.17094183630911</v>
      </c>
      <c r="J344" s="459">
        <f t="shared" si="158"/>
        <v>515.45390827868039</v>
      </c>
      <c r="K344" s="459">
        <f t="shared" si="158"/>
        <v>519.92169881001894</v>
      </c>
      <c r="L344" s="459">
        <f t="shared" si="158"/>
        <v>524.17353790833715</v>
      </c>
      <c r="M344" s="459">
        <f t="shared" si="158"/>
        <v>528.1451166486645</v>
      </c>
      <c r="N344" s="459">
        <f t="shared" si="158"/>
        <v>532.35594045287189</v>
      </c>
    </row>
    <row r="345" spans="1:14">
      <c r="B345" s="338" t="str">
        <f t="shared" si="153"/>
        <v>45-49</v>
      </c>
      <c r="C345" s="459">
        <f t="shared" ref="C345:N345" si="159">C308+C252</f>
        <v>400.69071246460754</v>
      </c>
      <c r="D345" s="459">
        <f t="shared" si="159"/>
        <v>404.33992934905967</v>
      </c>
      <c r="E345" s="459">
        <f t="shared" si="159"/>
        <v>422.48686649987218</v>
      </c>
      <c r="F345" s="459">
        <f t="shared" si="159"/>
        <v>441.49784006675389</v>
      </c>
      <c r="G345" s="459">
        <f t="shared" si="159"/>
        <v>449.4656169015459</v>
      </c>
      <c r="H345" s="459">
        <f t="shared" si="159"/>
        <v>452.20412028257243</v>
      </c>
      <c r="I345" s="459">
        <f t="shared" si="159"/>
        <v>454.63413410024606</v>
      </c>
      <c r="J345" s="459">
        <f t="shared" si="159"/>
        <v>457.21227307308396</v>
      </c>
      <c r="K345" s="459">
        <f t="shared" si="159"/>
        <v>458.6862270728621</v>
      </c>
      <c r="L345" s="459">
        <f t="shared" si="159"/>
        <v>459.87747639342712</v>
      </c>
      <c r="M345" s="459">
        <f t="shared" si="159"/>
        <v>461.01829516073587</v>
      </c>
      <c r="N345" s="459">
        <f t="shared" si="159"/>
        <v>462.72300030173125</v>
      </c>
    </row>
    <row r="346" spans="1:14">
      <c r="B346" s="338" t="str">
        <f t="shared" si="153"/>
        <v>50-54</v>
      </c>
      <c r="C346" s="459">
        <f t="shared" ref="C346:N346" si="160">C309+C253</f>
        <v>307.29921183346221</v>
      </c>
      <c r="D346" s="459">
        <f t="shared" si="160"/>
        <v>307.95445547917359</v>
      </c>
      <c r="E346" s="459">
        <f t="shared" si="160"/>
        <v>321.04611524966657</v>
      </c>
      <c r="F346" s="459">
        <f t="shared" si="160"/>
        <v>335.55440960008752</v>
      </c>
      <c r="G346" s="459">
        <f t="shared" si="160"/>
        <v>342.24543590892819</v>
      </c>
      <c r="H346" s="459">
        <f t="shared" si="160"/>
        <v>345.13787779961592</v>
      </c>
      <c r="I346" s="459">
        <f t="shared" si="160"/>
        <v>347.61651184298387</v>
      </c>
      <c r="J346" s="459">
        <f t="shared" si="160"/>
        <v>349.8565919658547</v>
      </c>
      <c r="K346" s="459">
        <f t="shared" si="160"/>
        <v>350.89134361926313</v>
      </c>
      <c r="L346" s="459">
        <f t="shared" si="160"/>
        <v>351.36587328923395</v>
      </c>
      <c r="M346" s="459">
        <f t="shared" si="160"/>
        <v>351.53373432847502</v>
      </c>
      <c r="N346" s="459">
        <f t="shared" si="160"/>
        <v>351.95056841610744</v>
      </c>
    </row>
    <row r="347" spans="1:14">
      <c r="B347" s="338" t="str">
        <f t="shared" si="153"/>
        <v>55-59</v>
      </c>
      <c r="C347" s="459">
        <f t="shared" ref="C347:N347" si="161">C310+C254</f>
        <v>173.40043038229123</v>
      </c>
      <c r="D347" s="459">
        <f t="shared" si="161"/>
        <v>158.4119820767298</v>
      </c>
      <c r="E347" s="459">
        <f t="shared" si="161"/>
        <v>157.82169016917499</v>
      </c>
      <c r="F347" s="459">
        <f t="shared" si="161"/>
        <v>160.68201288048064</v>
      </c>
      <c r="G347" s="459">
        <f t="shared" si="161"/>
        <v>159.66663642041232</v>
      </c>
      <c r="H347" s="459">
        <f t="shared" si="161"/>
        <v>157.78809674337967</v>
      </c>
      <c r="I347" s="459">
        <f t="shared" si="161"/>
        <v>157.04972216669853</v>
      </c>
      <c r="J347" s="459">
        <f t="shared" si="161"/>
        <v>156.99951443077879</v>
      </c>
      <c r="K347" s="459">
        <f t="shared" si="161"/>
        <v>156.59749170491716</v>
      </c>
      <c r="L347" s="459">
        <f t="shared" si="161"/>
        <v>156.15161155350745</v>
      </c>
      <c r="M347" s="459">
        <f t="shared" si="161"/>
        <v>155.69626500232098</v>
      </c>
      <c r="N347" s="459">
        <f t="shared" si="161"/>
        <v>155.51538443604372</v>
      </c>
    </row>
    <row r="348" spans="1:14">
      <c r="B348" s="338" t="str">
        <f t="shared" si="153"/>
        <v>60-64</v>
      </c>
      <c r="C348" s="459">
        <f t="shared" ref="C348:N348" si="162">C311+C255</f>
        <v>55.450553550951682</v>
      </c>
      <c r="D348" s="459">
        <f t="shared" si="162"/>
        <v>53.018837228093929</v>
      </c>
      <c r="E348" s="459">
        <f t="shared" si="162"/>
        <v>54.026117858724994</v>
      </c>
      <c r="F348" s="459">
        <f t="shared" si="162"/>
        <v>55.067091502372904</v>
      </c>
      <c r="G348" s="459">
        <f t="shared" si="162"/>
        <v>53.545371134826148</v>
      </c>
      <c r="H348" s="459">
        <f t="shared" si="162"/>
        <v>51.579225965261998</v>
      </c>
      <c r="I348" s="459">
        <f t="shared" si="162"/>
        <v>50.375757883310776</v>
      </c>
      <c r="J348" s="459">
        <f t="shared" si="162"/>
        <v>49.715603054914432</v>
      </c>
      <c r="K348" s="459">
        <f t="shared" si="162"/>
        <v>49.047054559125442</v>
      </c>
      <c r="L348" s="459">
        <f t="shared" si="162"/>
        <v>48.499021157829048</v>
      </c>
      <c r="M348" s="459">
        <f t="shared" si="162"/>
        <v>48.052291170857195</v>
      </c>
      <c r="N348" s="459">
        <f t="shared" si="162"/>
        <v>47.812521678418499</v>
      </c>
    </row>
    <row r="349" spans="1:14">
      <c r="B349" s="338" t="str">
        <f t="shared" si="153"/>
        <v>65 plus</v>
      </c>
      <c r="C349" s="459">
        <f t="shared" ref="C349:N349" si="163">C312+C256</f>
        <v>12.113481954155295</v>
      </c>
      <c r="D349" s="459">
        <f t="shared" si="163"/>
        <v>13.809099078266215</v>
      </c>
      <c r="E349" s="459">
        <f t="shared" si="163"/>
        <v>15.459427798616218</v>
      </c>
      <c r="F349" s="459">
        <f t="shared" si="163"/>
        <v>16.611607239085032</v>
      </c>
      <c r="G349" s="459">
        <f t="shared" si="163"/>
        <v>16.748474978951453</v>
      </c>
      <c r="H349" s="459">
        <f t="shared" si="163"/>
        <v>16.380249410261719</v>
      </c>
      <c r="I349" s="459">
        <f t="shared" si="163"/>
        <v>15.964012147616721</v>
      </c>
      <c r="J349" s="459">
        <f t="shared" si="163"/>
        <v>15.613405739154084</v>
      </c>
      <c r="K349" s="459">
        <f t="shared" si="163"/>
        <v>15.267778833524247</v>
      </c>
      <c r="L349" s="459">
        <f t="shared" si="163"/>
        <v>14.965812871697832</v>
      </c>
      <c r="M349" s="459">
        <f t="shared" si="163"/>
        <v>14.712411729835397</v>
      </c>
      <c r="N349" s="459">
        <f t="shared" si="163"/>
        <v>14.53593004345792</v>
      </c>
    </row>
    <row r="350" spans="1:14">
      <c r="B350" s="338" t="str">
        <f t="shared" si="153"/>
        <v>Total</v>
      </c>
      <c r="C350" s="459">
        <f t="shared" ref="C350:N350" si="164">SUM(C340:C349)</f>
        <v>2776.3142457888821</v>
      </c>
      <c r="D350" s="459">
        <f t="shared" si="164"/>
        <v>2817.4685738711551</v>
      </c>
      <c r="E350" s="459">
        <f t="shared" si="164"/>
        <v>3106.3776834111677</v>
      </c>
      <c r="F350" s="459">
        <f t="shared" si="164"/>
        <v>3405.0420330963457</v>
      </c>
      <c r="G350" s="459">
        <f t="shared" si="164"/>
        <v>3525.2401313762439</v>
      </c>
      <c r="H350" s="459">
        <f t="shared" si="164"/>
        <v>3565.7912287660083</v>
      </c>
      <c r="I350" s="459">
        <f t="shared" si="164"/>
        <v>3602.824568378222</v>
      </c>
      <c r="J350" s="459">
        <f t="shared" si="164"/>
        <v>3638.5692908391957</v>
      </c>
      <c r="K350" s="459">
        <f t="shared" si="164"/>
        <v>3650.5996834018356</v>
      </c>
      <c r="L350" s="459">
        <f t="shared" si="164"/>
        <v>3651.6547698071654</v>
      </c>
      <c r="M350" s="459">
        <f t="shared" si="164"/>
        <v>3645.642673189559</v>
      </c>
      <c r="N350" s="459">
        <f t="shared" si="164"/>
        <v>3643.0209781290164</v>
      </c>
    </row>
    <row r="351" spans="1:14">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4">
      <c r="B356" s="338" t="str">
        <f t="shared" si="166"/>
        <v>20-24</v>
      </c>
      <c r="C356" s="459">
        <f t="shared" ref="C356:N356" si="168">C319+C263</f>
        <v>567.65409676919489</v>
      </c>
      <c r="D356" s="459">
        <f t="shared" si="168"/>
        <v>787.82485321173249</v>
      </c>
      <c r="E356" s="459">
        <f t="shared" si="168"/>
        <v>1230.4829482305649</v>
      </c>
      <c r="F356" s="459">
        <f t="shared" si="168"/>
        <v>1591.834643108077</v>
      </c>
      <c r="G356" s="459">
        <f t="shared" si="168"/>
        <v>1680.8914367666935</v>
      </c>
      <c r="H356" s="459">
        <f t="shared" si="168"/>
        <v>1665.2743086758771</v>
      </c>
      <c r="I356" s="459">
        <f t="shared" si="168"/>
        <v>1652.1003656350154</v>
      </c>
      <c r="J356" s="459">
        <f t="shared" si="168"/>
        <v>1643.3704176093845</v>
      </c>
      <c r="K356" s="459">
        <f t="shared" si="168"/>
        <v>1612.5381094264528</v>
      </c>
      <c r="L356" s="459">
        <f t="shared" si="168"/>
        <v>1577.8385545327378</v>
      </c>
      <c r="M356" s="459">
        <f t="shared" si="168"/>
        <v>1543.8362047921808</v>
      </c>
      <c r="N356" s="459">
        <f t="shared" si="168"/>
        <v>1521.7156889236385</v>
      </c>
    </row>
    <row r="357" spans="1:14">
      <c r="B357" s="338" t="str">
        <f t="shared" si="166"/>
        <v>25-29</v>
      </c>
      <c r="C357" s="459">
        <f t="shared" ref="C357:N357" si="169">C320+C264</f>
        <v>1635.9212331411268</v>
      </c>
      <c r="D357" s="459">
        <f t="shared" si="169"/>
        <v>1675.5316214571935</v>
      </c>
      <c r="E357" s="459">
        <f t="shared" si="169"/>
        <v>2038.6005828810621</v>
      </c>
      <c r="F357" s="459">
        <f t="shared" si="169"/>
        <v>2426.1534164717823</v>
      </c>
      <c r="G357" s="459">
        <f t="shared" si="169"/>
        <v>2595.2800855652913</v>
      </c>
      <c r="H357" s="459">
        <f t="shared" si="169"/>
        <v>2651.1491395962462</v>
      </c>
      <c r="I357" s="459">
        <f t="shared" si="169"/>
        <v>2686.5108392647694</v>
      </c>
      <c r="J357" s="459">
        <f t="shared" si="169"/>
        <v>2710.3277048071791</v>
      </c>
      <c r="K357" s="459">
        <f t="shared" si="169"/>
        <v>2700.4885455727176</v>
      </c>
      <c r="L357" s="459">
        <f t="shared" si="169"/>
        <v>2674.7697434437828</v>
      </c>
      <c r="M357" s="459">
        <f t="shared" si="169"/>
        <v>2640.4958036737034</v>
      </c>
      <c r="N357" s="459">
        <f t="shared" si="169"/>
        <v>2611.9544473692999</v>
      </c>
    </row>
    <row r="358" spans="1:14">
      <c r="B358" s="338" t="str">
        <f t="shared" si="166"/>
        <v>30-34</v>
      </c>
      <c r="C358" s="459">
        <f t="shared" ref="C358:N358" si="170">C321+C265</f>
        <v>1720.4224676700321</v>
      </c>
      <c r="D358" s="459">
        <f t="shared" si="170"/>
        <v>1741.9680797788267</v>
      </c>
      <c r="E358" s="459">
        <f t="shared" si="170"/>
        <v>1911.1841242832115</v>
      </c>
      <c r="F358" s="459">
        <f t="shared" si="170"/>
        <v>2122.9119435238754</v>
      </c>
      <c r="G358" s="459">
        <f t="shared" si="170"/>
        <v>2260.0311286839456</v>
      </c>
      <c r="H358" s="459">
        <f t="shared" si="170"/>
        <v>2349.5700668199602</v>
      </c>
      <c r="I358" s="459">
        <f t="shared" si="170"/>
        <v>2423.6881063772653</v>
      </c>
      <c r="J358" s="459">
        <f t="shared" si="170"/>
        <v>2484.2723324788249</v>
      </c>
      <c r="K358" s="459">
        <f t="shared" si="170"/>
        <v>2519.9592556561342</v>
      </c>
      <c r="L358" s="459">
        <f t="shared" si="170"/>
        <v>2537.5904529308796</v>
      </c>
      <c r="M358" s="459">
        <f t="shared" si="170"/>
        <v>2541.0082503823332</v>
      </c>
      <c r="N358" s="459">
        <f t="shared" si="170"/>
        <v>2538.3969229977238</v>
      </c>
    </row>
    <row r="359" spans="1:14">
      <c r="B359" s="338" t="str">
        <f t="shared" si="166"/>
        <v>35-39</v>
      </c>
      <c r="C359" s="459">
        <f t="shared" ref="C359:N359" si="171">C322+C266</f>
        <v>1944.5454220022079</v>
      </c>
      <c r="D359" s="459">
        <f t="shared" si="171"/>
        <v>1884.4399980712096</v>
      </c>
      <c r="E359" s="459">
        <f t="shared" si="171"/>
        <v>1948.8419421863498</v>
      </c>
      <c r="F359" s="459">
        <f t="shared" si="171"/>
        <v>2043.644658738991</v>
      </c>
      <c r="G359" s="459">
        <f t="shared" si="171"/>
        <v>2090.046317866319</v>
      </c>
      <c r="H359" s="459">
        <f t="shared" si="171"/>
        <v>2120.2260112983481</v>
      </c>
      <c r="I359" s="459">
        <f t="shared" si="171"/>
        <v>2158.1041105605732</v>
      </c>
      <c r="J359" s="459">
        <f t="shared" si="171"/>
        <v>2199.794398306562</v>
      </c>
      <c r="K359" s="459">
        <f t="shared" si="171"/>
        <v>2232.5276071625231</v>
      </c>
      <c r="L359" s="459">
        <f t="shared" si="171"/>
        <v>2258.4879727203629</v>
      </c>
      <c r="M359" s="459">
        <f t="shared" si="171"/>
        <v>2277.4273038802003</v>
      </c>
      <c r="N359" s="459">
        <f t="shared" si="171"/>
        <v>2292.7737300749886</v>
      </c>
    </row>
    <row r="360" spans="1:14">
      <c r="B360" s="338" t="str">
        <f t="shared" si="166"/>
        <v>40-44</v>
      </c>
      <c r="C360" s="459">
        <f t="shared" ref="C360:N360" si="172">C323+C267</f>
        <v>2099.3706477083738</v>
      </c>
      <c r="D360" s="459">
        <f t="shared" si="172"/>
        <v>2033.2170570735348</v>
      </c>
      <c r="E360" s="459">
        <f t="shared" si="172"/>
        <v>2064.0758866941487</v>
      </c>
      <c r="F360" s="459">
        <f t="shared" si="172"/>
        <v>2113.0583400232181</v>
      </c>
      <c r="G360" s="459">
        <f t="shared" si="172"/>
        <v>2112.8211875686952</v>
      </c>
      <c r="H360" s="459">
        <f t="shared" si="172"/>
        <v>2095.9498440495117</v>
      </c>
      <c r="I360" s="459">
        <f t="shared" si="172"/>
        <v>2088.4157698528675</v>
      </c>
      <c r="J360" s="459">
        <f t="shared" si="172"/>
        <v>2090.0672247504858</v>
      </c>
      <c r="K360" s="459">
        <f t="shared" si="172"/>
        <v>2091.1586453997875</v>
      </c>
      <c r="L360" s="459">
        <f t="shared" si="172"/>
        <v>2093.9852838009551</v>
      </c>
      <c r="M360" s="459">
        <f t="shared" si="172"/>
        <v>2097.9464935875544</v>
      </c>
      <c r="N360" s="459">
        <f t="shared" si="172"/>
        <v>2105.0761069530772</v>
      </c>
    </row>
    <row r="361" spans="1:14">
      <c r="B361" s="338" t="str">
        <f t="shared" si="166"/>
        <v>45-49</v>
      </c>
      <c r="C361" s="459">
        <f t="shared" ref="C361:N361" si="173">C324+C268</f>
        <v>1757.0786345143945</v>
      </c>
      <c r="D361" s="459">
        <f t="shared" si="173"/>
        <v>1768.9758929260695</v>
      </c>
      <c r="E361" s="459">
        <f t="shared" si="173"/>
        <v>1837.8904907977615</v>
      </c>
      <c r="F361" s="459">
        <f t="shared" si="173"/>
        <v>1905.3937190890385</v>
      </c>
      <c r="G361" s="459">
        <f t="shared" si="173"/>
        <v>1920.8827293038869</v>
      </c>
      <c r="H361" s="459">
        <f t="shared" si="173"/>
        <v>1912.0788269373249</v>
      </c>
      <c r="I361" s="459">
        <f t="shared" si="173"/>
        <v>1902.0284131693452</v>
      </c>
      <c r="J361" s="459">
        <f t="shared" si="173"/>
        <v>1893.4589042807579</v>
      </c>
      <c r="K361" s="459">
        <f t="shared" si="173"/>
        <v>1881.246962272271</v>
      </c>
      <c r="L361" s="459">
        <f t="shared" si="173"/>
        <v>1869.2909889402192</v>
      </c>
      <c r="M361" s="459">
        <f t="shared" si="173"/>
        <v>1858.7185878452506</v>
      </c>
      <c r="N361" s="459">
        <f t="shared" si="173"/>
        <v>1852.2543033103561</v>
      </c>
    </row>
    <row r="362" spans="1:14">
      <c r="B362" s="338" t="str">
        <f t="shared" si="166"/>
        <v>50-54</v>
      </c>
      <c r="C362" s="459">
        <f t="shared" ref="C362:N362" si="174">C325+C269</f>
        <v>1322.9527742321131</v>
      </c>
      <c r="D362" s="459">
        <f t="shared" si="174"/>
        <v>1331.3778084898718</v>
      </c>
      <c r="E362" s="459">
        <f t="shared" si="174"/>
        <v>1392.4331442569749</v>
      </c>
      <c r="F362" s="459">
        <f t="shared" si="174"/>
        <v>1456.7343811764979</v>
      </c>
      <c r="G362" s="459">
        <f t="shared" si="174"/>
        <v>1483.3827379551553</v>
      </c>
      <c r="H362" s="459">
        <f t="shared" si="174"/>
        <v>1490.5031577734455</v>
      </c>
      <c r="I362" s="459">
        <f t="shared" si="174"/>
        <v>1493.6502847778961</v>
      </c>
      <c r="J362" s="459">
        <f t="shared" si="174"/>
        <v>1494.232537903792</v>
      </c>
      <c r="K362" s="459">
        <f t="shared" si="174"/>
        <v>1488.555528883586</v>
      </c>
      <c r="L362" s="459">
        <f t="shared" si="174"/>
        <v>1479.964628764558</v>
      </c>
      <c r="M362" s="459">
        <f t="shared" si="174"/>
        <v>1469.9775168985404</v>
      </c>
      <c r="N362" s="459">
        <f t="shared" si="174"/>
        <v>1461.350595652696</v>
      </c>
    </row>
    <row r="363" spans="1:14">
      <c r="B363" s="338" t="str">
        <f t="shared" si="166"/>
        <v>55-59</v>
      </c>
      <c r="C363" s="459">
        <f t="shared" ref="C363:N363" si="175">C326+C270</f>
        <v>828.00446733963622</v>
      </c>
      <c r="D363" s="459">
        <f t="shared" si="175"/>
        <v>746.66664564720952</v>
      </c>
      <c r="E363" s="459">
        <f t="shared" si="175"/>
        <v>734.92525944180352</v>
      </c>
      <c r="F363" s="459">
        <f t="shared" si="175"/>
        <v>742.70152880469527</v>
      </c>
      <c r="G363" s="459">
        <f t="shared" si="175"/>
        <v>735.68754381432041</v>
      </c>
      <c r="H363" s="459">
        <f t="shared" si="175"/>
        <v>725.45950138861747</v>
      </c>
      <c r="I363" s="459">
        <f t="shared" si="175"/>
        <v>720.11425693700778</v>
      </c>
      <c r="J363" s="459">
        <f t="shared" si="175"/>
        <v>717.45398831837508</v>
      </c>
      <c r="K363" s="459">
        <f t="shared" si="175"/>
        <v>712.83297361755217</v>
      </c>
      <c r="L363" s="459">
        <f t="shared" si="175"/>
        <v>707.59480442577365</v>
      </c>
      <c r="M363" s="459">
        <f t="shared" si="175"/>
        <v>701.98288482591659</v>
      </c>
      <c r="N363" s="459">
        <f t="shared" si="175"/>
        <v>697.37284595250605</v>
      </c>
    </row>
    <row r="364" spans="1:14">
      <c r="B364" s="338" t="str">
        <f t="shared" si="166"/>
        <v>60-64</v>
      </c>
      <c r="C364" s="459">
        <f t="shared" ref="C364:N364" si="176">C327+C271</f>
        <v>241.54238657244775</v>
      </c>
      <c r="D364" s="459">
        <f t="shared" si="176"/>
        <v>230.0304510014445</v>
      </c>
      <c r="E364" s="459">
        <f t="shared" si="176"/>
        <v>233.00572792205733</v>
      </c>
      <c r="F364" s="459">
        <f t="shared" si="176"/>
        <v>235.79149105715626</v>
      </c>
      <c r="G364" s="459">
        <f t="shared" si="176"/>
        <v>227.4966337549622</v>
      </c>
      <c r="H364" s="459">
        <f t="shared" si="176"/>
        <v>217.96911638390077</v>
      </c>
      <c r="I364" s="459">
        <f t="shared" si="176"/>
        <v>212.28376722144938</v>
      </c>
      <c r="J364" s="459">
        <f t="shared" si="176"/>
        <v>209.09511261736833</v>
      </c>
      <c r="K364" s="459">
        <f t="shared" si="176"/>
        <v>205.80145914009441</v>
      </c>
      <c r="L364" s="459">
        <f t="shared" si="176"/>
        <v>202.97207579476998</v>
      </c>
      <c r="M364" s="459">
        <f t="shared" si="176"/>
        <v>200.49944356781955</v>
      </c>
      <c r="N364" s="459">
        <f t="shared" si="176"/>
        <v>198.85172821627765</v>
      </c>
    </row>
    <row r="365" spans="1:14">
      <c r="B365" s="338" t="str">
        <f t="shared" si="166"/>
        <v>65 plus</v>
      </c>
      <c r="C365" s="459">
        <f t="shared" ref="C365:N365" si="177">C328+C272</f>
        <v>45.957930337208737</v>
      </c>
      <c r="D365" s="459">
        <f t="shared" si="177"/>
        <v>52.756461868588516</v>
      </c>
      <c r="E365" s="459">
        <f t="shared" si="177"/>
        <v>59.412406663685758</v>
      </c>
      <c r="F365" s="459">
        <f t="shared" si="177"/>
        <v>63.709113649213073</v>
      </c>
      <c r="G365" s="459">
        <f t="shared" si="177"/>
        <v>63.494387264454758</v>
      </c>
      <c r="H365" s="459">
        <f t="shared" si="177"/>
        <v>61.333700269784678</v>
      </c>
      <c r="I365" s="459">
        <f t="shared" si="177"/>
        <v>59.282349487080999</v>
      </c>
      <c r="J365" s="459">
        <f t="shared" si="177"/>
        <v>57.708927399648786</v>
      </c>
      <c r="K365" s="459">
        <f t="shared" si="177"/>
        <v>56.229065984422334</v>
      </c>
      <c r="L365" s="459">
        <f t="shared" si="177"/>
        <v>54.970396997100607</v>
      </c>
      <c r="M365" s="459">
        <f t="shared" si="177"/>
        <v>53.921457007402459</v>
      </c>
      <c r="N365" s="459">
        <f t="shared" si="177"/>
        <v>53.188672291688363</v>
      </c>
    </row>
    <row r="366" spans="1:14">
      <c r="B366" s="338" t="str">
        <f t="shared" si="166"/>
        <v>Total</v>
      </c>
      <c r="C366" s="459">
        <f t="shared" ref="C366:N366" si="178">SUM(C356:C365)</f>
        <v>12163.450060286737</v>
      </c>
      <c r="D366" s="459">
        <f t="shared" si="178"/>
        <v>12252.788869525682</v>
      </c>
      <c r="E366" s="459">
        <f t="shared" si="178"/>
        <v>13450.85251335762</v>
      </c>
      <c r="F366" s="459">
        <f t="shared" si="178"/>
        <v>14701.933235642546</v>
      </c>
      <c r="G366" s="459">
        <f t="shared" si="178"/>
        <v>15170.014188543722</v>
      </c>
      <c r="H366" s="459">
        <f t="shared" si="178"/>
        <v>15289.513673193016</v>
      </c>
      <c r="I366" s="459">
        <f t="shared" si="178"/>
        <v>15396.178263283269</v>
      </c>
      <c r="J366" s="459">
        <f t="shared" si="178"/>
        <v>15499.781548472378</v>
      </c>
      <c r="K366" s="459">
        <f t="shared" si="178"/>
        <v>15501.338153115543</v>
      </c>
      <c r="L366" s="459">
        <f t="shared" si="178"/>
        <v>15457.464902351141</v>
      </c>
      <c r="M366" s="459">
        <f t="shared" si="178"/>
        <v>15385.813946460903</v>
      </c>
      <c r="N366" s="459">
        <f t="shared" si="178"/>
        <v>15332.935041742252</v>
      </c>
    </row>
    <row r="367" spans="1:14">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4">
      <c r="C368" s="329">
        <f>C350+C366</f>
        <v>14939.76430607562</v>
      </c>
      <c r="D368" s="329">
        <f t="shared" ref="D368:N368" si="180">D350+D366</f>
        <v>15070.257443396837</v>
      </c>
      <c r="E368" s="329">
        <f t="shared" si="180"/>
        <v>16557.230196768789</v>
      </c>
      <c r="F368" s="329">
        <f t="shared" si="180"/>
        <v>18106.97526873889</v>
      </c>
      <c r="G368" s="329">
        <f t="shared" si="180"/>
        <v>18695.254319919964</v>
      </c>
      <c r="H368" s="329">
        <f t="shared" si="180"/>
        <v>18855.304901959025</v>
      </c>
      <c r="I368" s="329">
        <f t="shared" si="180"/>
        <v>18999.002831661492</v>
      </c>
      <c r="J368" s="329">
        <f t="shared" si="180"/>
        <v>19138.350839311574</v>
      </c>
      <c r="K368" s="329">
        <f t="shared" si="180"/>
        <v>19151.93783651738</v>
      </c>
      <c r="L368" s="329">
        <f t="shared" si="180"/>
        <v>19109.119672158307</v>
      </c>
      <c r="M368" s="329">
        <f t="shared" si="180"/>
        <v>19031.45661965046</v>
      </c>
      <c r="N368" s="329">
        <f t="shared" si="180"/>
        <v>18975.956019871268</v>
      </c>
    </row>
    <row r="369" spans="1:14">
      <c r="C369" s="329">
        <f t="shared" ref="C369:N369" si="181">C36</f>
        <v>14939.764306075618</v>
      </c>
      <c r="D369" s="329">
        <f t="shared" si="181"/>
        <v>15070.257443396837</v>
      </c>
      <c r="E369" s="329">
        <f t="shared" si="181"/>
        <v>16557.230196768789</v>
      </c>
      <c r="F369" s="329">
        <f t="shared" si="181"/>
        <v>18106.97526873889</v>
      </c>
      <c r="G369" s="329">
        <f t="shared" si="181"/>
        <v>18695.254319919968</v>
      </c>
      <c r="H369" s="329">
        <f t="shared" si="181"/>
        <v>18855.304901959025</v>
      </c>
      <c r="I369" s="329">
        <f t="shared" si="181"/>
        <v>18999.002831661492</v>
      </c>
      <c r="J369" s="329">
        <f t="shared" si="181"/>
        <v>19138.350839311574</v>
      </c>
      <c r="K369" s="329">
        <f t="shared" si="181"/>
        <v>19151.937836517376</v>
      </c>
      <c r="L369" s="329">
        <f t="shared" si="181"/>
        <v>19109.119672158304</v>
      </c>
      <c r="M369" s="329">
        <f t="shared" si="181"/>
        <v>19031.45661965046</v>
      </c>
      <c r="N369" s="329">
        <f t="shared" si="181"/>
        <v>18975.956019871268</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FF0000"/>
  </sheetPr>
  <dimension ref="A1:Q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ht="13.15" customHeight="1">
      <c r="A5" s="706" t="s">
        <v>1701</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ht="13.5" customHeigh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2" t="str">
        <f>Forecast_stock_figures!B30</f>
        <v>Music</v>
      </c>
      <c r="C15" s="307">
        <f>Forecast_stock_figures!C54</f>
        <v>5189.9197445003774</v>
      </c>
      <c r="D15" s="307">
        <f>Forecast_stock_figures!D54</f>
        <v>5182.1227072399643</v>
      </c>
      <c r="E15" s="307">
        <f>Forecast_stock_figures!E54</f>
        <v>5224.0051096452526</v>
      </c>
      <c r="F15" s="307">
        <f>Forecast_stock_figures!F54</f>
        <v>5274.0985798285237</v>
      </c>
      <c r="G15" s="307">
        <f>Forecast_stock_figures!G54</f>
        <v>5340.7515597968822</v>
      </c>
      <c r="H15" s="307">
        <f>Forecast_stock_figures!H54</f>
        <v>5392.9701813324909</v>
      </c>
      <c r="I15" s="307">
        <f>Forecast_stock_figures!I54</f>
        <v>5429.8503815617332</v>
      </c>
      <c r="J15" s="307">
        <f>Forecast_stock_figures!J54</f>
        <v>5456.5282095905159</v>
      </c>
      <c r="K15" s="307">
        <f>Forecast_stock_figures!K54</f>
        <v>5501.1445781630673</v>
      </c>
      <c r="L15" s="307">
        <f>Forecast_stock_figures!L54</f>
        <v>5508.718496895669</v>
      </c>
      <c r="M15" s="307">
        <f>Forecast_stock_figures!M54</f>
        <v>5478.4692114884219</v>
      </c>
      <c r="N15" s="307">
        <f>Forecast_stock_figures!N54</f>
        <v>5435.9069019080916</v>
      </c>
    </row>
    <row r="17" spans="1:9" ht="15.75">
      <c r="B17" s="340" t="s">
        <v>149</v>
      </c>
    </row>
    <row r="19" spans="1:9">
      <c r="B19" s="1243" t="str">
        <f>Stock_ages_breakdowns!B73</f>
        <v>Age group</v>
      </c>
      <c r="C19" s="1241" t="str">
        <f>Stock_ages_breakdowns!AE73</f>
        <v>Music</v>
      </c>
      <c r="D19" s="1248"/>
      <c r="H19" s="325" t="s">
        <v>120</v>
      </c>
    </row>
    <row r="20" spans="1:9">
      <c r="B20" s="1243"/>
      <c r="C20" s="363" t="str">
        <f>Stock_ages_breakdowns!AE74</f>
        <v>Male</v>
      </c>
      <c r="D20" s="363" t="str">
        <f>Stock_ages_breakdowns!AF74</f>
        <v>Female</v>
      </c>
    </row>
    <row r="21" spans="1:9">
      <c r="B21" s="363" t="str">
        <f>Stock_ages_breakdowns!B75</f>
        <v>20-24</v>
      </c>
      <c r="C21" s="331">
        <f>Stock_ages_breakdowns!AE20</f>
        <v>92.373931435929123</v>
      </c>
      <c r="D21" s="331">
        <f>Stock_ages_breakdowns!AF20</f>
        <v>144.02582623268145</v>
      </c>
    </row>
    <row r="22" spans="1:9">
      <c r="B22" s="363" t="str">
        <f>Stock_ages_breakdowns!B76</f>
        <v>25-29</v>
      </c>
      <c r="C22" s="331">
        <f>Stock_ages_breakdowns!AE21</f>
        <v>411.73593696020436</v>
      </c>
      <c r="D22" s="331">
        <f>Stock_ages_breakdowns!AF21</f>
        <v>569.46228995405409</v>
      </c>
    </row>
    <row r="23" spans="1:9">
      <c r="B23" s="363" t="str">
        <f>Stock_ages_breakdowns!B77</f>
        <v>30-34</v>
      </c>
      <c r="C23" s="331">
        <f>Stock_ages_breakdowns!AE22</f>
        <v>428.13122359609969</v>
      </c>
      <c r="D23" s="331">
        <f>Stock_ages_breakdowns!AF22</f>
        <v>593.78804115827143</v>
      </c>
    </row>
    <row r="24" spans="1:9">
      <c r="B24" s="363" t="str">
        <f>Stock_ages_breakdowns!B78</f>
        <v>35-39</v>
      </c>
      <c r="C24" s="331">
        <f>Stock_ages_breakdowns!AE23</f>
        <v>387.67386870888822</v>
      </c>
      <c r="D24" s="331">
        <f>Stock_ages_breakdowns!AF23</f>
        <v>617.91503134874893</v>
      </c>
    </row>
    <row r="25" spans="1:9">
      <c r="B25" s="363" t="str">
        <f>Stock_ages_breakdowns!B79</f>
        <v>40-44</v>
      </c>
      <c r="C25" s="331">
        <f>Stock_ages_breakdowns!AE24</f>
        <v>305.18704920769733</v>
      </c>
      <c r="D25" s="331">
        <f>Stock_ages_breakdowns!AF24</f>
        <v>414.85418763807616</v>
      </c>
    </row>
    <row r="26" spans="1:9">
      <c r="B26" s="363" t="str">
        <f>Stock_ages_breakdowns!B80</f>
        <v>45-49</v>
      </c>
      <c r="C26" s="331">
        <f>Stock_ages_breakdowns!AE25</f>
        <v>218.60415474495863</v>
      </c>
      <c r="D26" s="331">
        <f>Stock_ages_breakdowns!AF25</f>
        <v>241.22994994221338</v>
      </c>
    </row>
    <row r="27" spans="1:9">
      <c r="B27" s="363" t="str">
        <f>Stock_ages_breakdowns!B81</f>
        <v>50-54</v>
      </c>
      <c r="C27" s="331">
        <f>Stock_ages_breakdowns!AE26</f>
        <v>206.18308958480063</v>
      </c>
      <c r="D27" s="331">
        <f>Stock_ages_breakdowns!AF26</f>
        <v>213.39142242983604</v>
      </c>
    </row>
    <row r="28" spans="1:9">
      <c r="B28" s="363" t="str">
        <f>Stock_ages_breakdowns!B82</f>
        <v>55-59</v>
      </c>
      <c r="C28" s="331">
        <f>Stock_ages_breakdowns!AE27</f>
        <v>138.56738934780984</v>
      </c>
      <c r="D28" s="331">
        <f>Stock_ages_breakdowns!AF27</f>
        <v>118.44857980124637</v>
      </c>
    </row>
    <row r="29" spans="1:9">
      <c r="B29" s="363" t="str">
        <f>Stock_ages_breakdowns!B83</f>
        <v>60-64</v>
      </c>
      <c r="C29" s="331">
        <f>Stock_ages_breakdowns!AE28</f>
        <v>38.087204708290919</v>
      </c>
      <c r="D29" s="331">
        <f>Stock_ages_breakdowns!AF28</f>
        <v>37.5338700268236</v>
      </c>
      <c r="F29" s="325"/>
    </row>
    <row r="30" spans="1:9">
      <c r="B30" s="363" t="str">
        <f>Stock_ages_breakdowns!B84</f>
        <v>65 plus</v>
      </c>
      <c r="C30" s="331">
        <f>Stock_ages_breakdowns!AE29</f>
        <v>5.0249580910867646</v>
      </c>
      <c r="D30" s="331">
        <f>Stock_ages_breakdowns!AF29</f>
        <v>7.7017395826615074</v>
      </c>
      <c r="G30" s="326" t="s">
        <v>49</v>
      </c>
      <c r="H30" s="326" t="s">
        <v>50</v>
      </c>
    </row>
    <row r="31" spans="1:9">
      <c r="A31" s="309">
        <f>I31</f>
        <v>0</v>
      </c>
      <c r="B31" s="363" t="str">
        <f>Stock_ages_breakdowns!B85</f>
        <v>Total</v>
      </c>
      <c r="C31" s="331">
        <f>Stock_ages_breakdowns!AE30</f>
        <v>2231.5688063857651</v>
      </c>
      <c r="D31" s="331">
        <f>Stock_ages_breakdowns!AF30</f>
        <v>2958.3509381146127</v>
      </c>
      <c r="E31" s="327">
        <f>SUM(C31:D31)</f>
        <v>5189.9197445003774</v>
      </c>
      <c r="G31" s="366">
        <f>C31/$E$31</f>
        <v>0.42998137085848009</v>
      </c>
      <c r="H31" s="366">
        <f>D31/$E$31</f>
        <v>0.57001862914152002</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2" t="str">
        <f>B15</f>
        <v>Music</v>
      </c>
      <c r="C36" s="307">
        <f>Teacher_need_by_subject!C634</f>
        <v>5182.1227072399643</v>
      </c>
      <c r="D36" s="307">
        <f>Teacher_need_by_subject!D634</f>
        <v>5224.0051096452526</v>
      </c>
      <c r="E36" s="307">
        <f>Teacher_need_by_subject!E634</f>
        <v>5274.0985798285237</v>
      </c>
      <c r="F36" s="307">
        <f>Teacher_need_by_subject!F634</f>
        <v>5340.7515597968822</v>
      </c>
      <c r="G36" s="307">
        <f>Teacher_need_by_subject!G634</f>
        <v>5392.9701813324909</v>
      </c>
      <c r="H36" s="307">
        <f>Teacher_need_by_subject!H634</f>
        <v>5429.8503815617332</v>
      </c>
      <c r="I36" s="307">
        <f>Teacher_need_by_subject!I634</f>
        <v>5456.5282095905159</v>
      </c>
      <c r="J36" s="307">
        <f>Teacher_need_by_subject!J634</f>
        <v>5501.1445781630673</v>
      </c>
      <c r="K36" s="307">
        <f>Teacher_need_by_subject!K634</f>
        <v>5508.718496895669</v>
      </c>
      <c r="L36" s="307">
        <f>Teacher_need_by_subject!L634</f>
        <v>5478.4692114884219</v>
      </c>
      <c r="M36" s="307">
        <f>Teacher_need_by_subject!M634</f>
        <v>5435.9069019080916</v>
      </c>
      <c r="N36" s="307">
        <f>Teacher_need_by_subject!N634</f>
        <v>5429.4623651065795</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92.373931435929123</v>
      </c>
      <c r="D43" s="307">
        <f>C340</f>
        <v>123.35664181760012</v>
      </c>
      <c r="E43" s="307">
        <f t="shared" ref="E43:L43" si="2">D340</f>
        <v>150.44222978759234</v>
      </c>
      <c r="F43" s="307">
        <f t="shared" si="2"/>
        <v>170.79454066951868</v>
      </c>
      <c r="G43" s="307">
        <f t="shared" si="2"/>
        <v>187.47581770446922</v>
      </c>
      <c r="H43" s="307">
        <f t="shared" si="2"/>
        <v>198.40655777020027</v>
      </c>
      <c r="I43" s="307">
        <f t="shared" si="2"/>
        <v>205.06745047164077</v>
      </c>
      <c r="J43" s="307">
        <f t="shared" si="2"/>
        <v>209.15600744107405</v>
      </c>
      <c r="K43" s="307">
        <f t="shared" si="2"/>
        <v>214.47277568370401</v>
      </c>
      <c r="L43" s="307">
        <f t="shared" si="2"/>
        <v>214.80653997652522</v>
      </c>
      <c r="M43" s="307">
        <f>L340</f>
        <v>211.08413340734964</v>
      </c>
      <c r="N43" s="307">
        <f>M340</f>
        <v>206.87179550513562</v>
      </c>
    </row>
    <row r="44" spans="2:14">
      <c r="B44" s="363" t="str">
        <f t="shared" ref="B44:C53" si="3">B22</f>
        <v>25-29</v>
      </c>
      <c r="C44" s="307">
        <f t="shared" si="3"/>
        <v>411.73593696020436</v>
      </c>
      <c r="D44" s="307">
        <f t="shared" ref="D44:L53" si="4">C341</f>
        <v>377.97750510233868</v>
      </c>
      <c r="E44" s="307">
        <f t="shared" si="4"/>
        <v>364.08732867986953</v>
      </c>
      <c r="F44" s="307">
        <f t="shared" si="4"/>
        <v>359.94861974623075</v>
      </c>
      <c r="G44" s="307">
        <f t="shared" si="4"/>
        <v>362.88820072423243</v>
      </c>
      <c r="H44" s="307">
        <f t="shared" si="4"/>
        <v>367.10099237275483</v>
      </c>
      <c r="I44" s="307">
        <f t="shared" si="4"/>
        <v>371.01776659679263</v>
      </c>
      <c r="J44" s="307">
        <f t="shared" si="4"/>
        <v>374.4237808752373</v>
      </c>
      <c r="K44" s="307">
        <f t="shared" si="4"/>
        <v>380.15085987631073</v>
      </c>
      <c r="L44" s="307">
        <f t="shared" si="4"/>
        <v>381.74536268027322</v>
      </c>
      <c r="M44" s="307">
        <f t="shared" ref="M44:M53" si="5">L341</f>
        <v>378.87957581442743</v>
      </c>
      <c r="N44" s="307">
        <f t="shared" ref="N44:N53" si="6">M341</f>
        <v>374.48731477142741</v>
      </c>
    </row>
    <row r="45" spans="2:14">
      <c r="B45" s="363" t="str">
        <f t="shared" si="3"/>
        <v>30-34</v>
      </c>
      <c r="C45" s="307">
        <f t="shared" si="3"/>
        <v>428.13122359609969</v>
      </c>
      <c r="D45" s="307">
        <f t="shared" si="4"/>
        <v>427.80044715647387</v>
      </c>
      <c r="E45" s="307">
        <f t="shared" si="4"/>
        <v>423.78686396290783</v>
      </c>
      <c r="F45" s="307">
        <f t="shared" si="4"/>
        <v>418.70657848633016</v>
      </c>
      <c r="G45" s="307">
        <f t="shared" si="4"/>
        <v>415.23449132796077</v>
      </c>
      <c r="H45" s="307">
        <f t="shared" si="4"/>
        <v>412.68748152715739</v>
      </c>
      <c r="I45" s="307">
        <f t="shared" si="4"/>
        <v>410.98582755504657</v>
      </c>
      <c r="J45" s="307">
        <f t="shared" si="4"/>
        <v>410.10494254761227</v>
      </c>
      <c r="K45" s="307">
        <f t="shared" si="4"/>
        <v>411.31565151001411</v>
      </c>
      <c r="L45" s="307">
        <f t="shared" si="4"/>
        <v>411.52303897479419</v>
      </c>
      <c r="M45" s="307">
        <f t="shared" si="5"/>
        <v>409.9447469419344</v>
      </c>
      <c r="N45" s="307">
        <f t="shared" si="6"/>
        <v>407.42387815917863</v>
      </c>
    </row>
    <row r="46" spans="2:14">
      <c r="B46" s="363" t="str">
        <f t="shared" si="3"/>
        <v>35-39</v>
      </c>
      <c r="C46" s="307">
        <f t="shared" si="3"/>
        <v>387.67386870888822</v>
      </c>
      <c r="D46" s="307">
        <f t="shared" si="4"/>
        <v>391.94626635183221</v>
      </c>
      <c r="E46" s="307">
        <f t="shared" si="4"/>
        <v>396.91921840535463</v>
      </c>
      <c r="F46" s="307">
        <f t="shared" si="4"/>
        <v>400.27670303879938</v>
      </c>
      <c r="G46" s="307">
        <f t="shared" si="4"/>
        <v>402.63755949337485</v>
      </c>
      <c r="H46" s="307">
        <f t="shared" si="4"/>
        <v>403.40356573668259</v>
      </c>
      <c r="I46" s="307">
        <f t="shared" si="4"/>
        <v>403.08508054953683</v>
      </c>
      <c r="J46" s="307">
        <f t="shared" si="4"/>
        <v>402.28514511327802</v>
      </c>
      <c r="K46" s="307">
        <f t="shared" si="4"/>
        <v>402.40123067347025</v>
      </c>
      <c r="L46" s="307">
        <f t="shared" si="4"/>
        <v>401.44725448763774</v>
      </c>
      <c r="M46" s="307">
        <f t="shared" si="5"/>
        <v>399.31845015924097</v>
      </c>
      <c r="N46" s="307">
        <f t="shared" si="6"/>
        <v>396.85525557601915</v>
      </c>
    </row>
    <row r="47" spans="2:14">
      <c r="B47" s="363" t="str">
        <f t="shared" si="3"/>
        <v>40-44</v>
      </c>
      <c r="C47" s="307">
        <f t="shared" si="3"/>
        <v>305.18704920769733</v>
      </c>
      <c r="D47" s="307">
        <f t="shared" si="4"/>
        <v>317.31713358166058</v>
      </c>
      <c r="E47" s="307">
        <f t="shared" si="4"/>
        <v>328.72278357373216</v>
      </c>
      <c r="F47" s="307">
        <f t="shared" si="4"/>
        <v>338.45981476778348</v>
      </c>
      <c r="G47" s="307">
        <f t="shared" si="4"/>
        <v>347.01577546669887</v>
      </c>
      <c r="H47" s="307">
        <f t="shared" si="4"/>
        <v>353.50986513373431</v>
      </c>
      <c r="I47" s="307">
        <f t="shared" si="4"/>
        <v>358.12021604362292</v>
      </c>
      <c r="J47" s="307">
        <f t="shared" si="4"/>
        <v>361.27866836768266</v>
      </c>
      <c r="K47" s="307">
        <f t="shared" si="4"/>
        <v>364.24382141757155</v>
      </c>
      <c r="L47" s="307">
        <f t="shared" si="4"/>
        <v>365.36862852381552</v>
      </c>
      <c r="M47" s="307">
        <f t="shared" si="5"/>
        <v>364.76568159766447</v>
      </c>
      <c r="N47" s="307">
        <f t="shared" si="6"/>
        <v>363.42504898098355</v>
      </c>
    </row>
    <row r="48" spans="2:14">
      <c r="B48" s="363" t="str">
        <f t="shared" si="3"/>
        <v>45-49</v>
      </c>
      <c r="C48" s="307">
        <f t="shared" si="3"/>
        <v>218.60415474495863</v>
      </c>
      <c r="D48" s="307">
        <f t="shared" si="4"/>
        <v>231.87441871986928</v>
      </c>
      <c r="E48" s="307">
        <f t="shared" si="4"/>
        <v>245.15366645682323</v>
      </c>
      <c r="F48" s="307">
        <f t="shared" si="4"/>
        <v>257.30330463017799</v>
      </c>
      <c r="G48" s="307">
        <f t="shared" si="4"/>
        <v>268.59967460536154</v>
      </c>
      <c r="H48" s="307">
        <f t="shared" si="4"/>
        <v>278.25529073364856</v>
      </c>
      <c r="I48" s="307">
        <f t="shared" si="4"/>
        <v>286.2790556113199</v>
      </c>
      <c r="J48" s="307">
        <f t="shared" si="4"/>
        <v>292.87308317997355</v>
      </c>
      <c r="K48" s="307">
        <f t="shared" si="4"/>
        <v>298.92265174636657</v>
      </c>
      <c r="L48" s="307">
        <f t="shared" si="4"/>
        <v>303.04985564312545</v>
      </c>
      <c r="M48" s="307">
        <f t="shared" si="5"/>
        <v>305.29393205787233</v>
      </c>
      <c r="N48" s="307">
        <f t="shared" si="6"/>
        <v>306.44125401743202</v>
      </c>
    </row>
    <row r="49" spans="1:16">
      <c r="B49" s="363" t="str">
        <f t="shared" si="3"/>
        <v>50-54</v>
      </c>
      <c r="C49" s="307">
        <f t="shared" si="3"/>
        <v>206.18308958480063</v>
      </c>
      <c r="D49" s="307">
        <f t="shared" si="4"/>
        <v>196.44734169509823</v>
      </c>
      <c r="E49" s="307">
        <f t="shared" si="4"/>
        <v>192.80252066693933</v>
      </c>
      <c r="F49" s="307">
        <f t="shared" si="4"/>
        <v>192.7640708251835</v>
      </c>
      <c r="G49" s="307">
        <f t="shared" si="4"/>
        <v>195.30270869376039</v>
      </c>
      <c r="H49" s="307">
        <f t="shared" si="4"/>
        <v>198.94379512630104</v>
      </c>
      <c r="I49" s="307">
        <f t="shared" si="4"/>
        <v>203.04645541152129</v>
      </c>
      <c r="J49" s="307">
        <f t="shared" si="4"/>
        <v>207.27485365039013</v>
      </c>
      <c r="K49" s="307">
        <f t="shared" si="4"/>
        <v>211.9062486677191</v>
      </c>
      <c r="L49" s="307">
        <f t="shared" si="4"/>
        <v>215.64098610900325</v>
      </c>
      <c r="M49" s="307">
        <f t="shared" si="5"/>
        <v>218.30139047257924</v>
      </c>
      <c r="N49" s="307">
        <f t="shared" si="6"/>
        <v>220.30683222234975</v>
      </c>
    </row>
    <row r="50" spans="1:16">
      <c r="B50" s="363" t="str">
        <f t="shared" si="3"/>
        <v>55-59</v>
      </c>
      <c r="C50" s="307">
        <f t="shared" si="3"/>
        <v>138.56738934780984</v>
      </c>
      <c r="D50" s="307">
        <f t="shared" si="4"/>
        <v>119.88185708482976</v>
      </c>
      <c r="E50" s="307">
        <f t="shared" si="4"/>
        <v>108.00177848807218</v>
      </c>
      <c r="F50" s="307">
        <f t="shared" si="4"/>
        <v>100.55579391501321</v>
      </c>
      <c r="G50" s="307">
        <f t="shared" si="4"/>
        <v>96.41327601286622</v>
      </c>
      <c r="H50" s="307">
        <f t="shared" si="4"/>
        <v>94.213675784993796</v>
      </c>
      <c r="I50" s="307">
        <f t="shared" si="4"/>
        <v>93.30686365957358</v>
      </c>
      <c r="J50" s="307">
        <f t="shared" si="4"/>
        <v>93.293850302913867</v>
      </c>
      <c r="K50" s="307">
        <f t="shared" si="4"/>
        <v>94.215659162989525</v>
      </c>
      <c r="L50" s="307">
        <f t="shared" si="4"/>
        <v>95.011046527549041</v>
      </c>
      <c r="M50" s="307">
        <f t="shared" si="5"/>
        <v>95.535181987169608</v>
      </c>
      <c r="N50" s="307">
        <f t="shared" si="6"/>
        <v>96.042875680842698</v>
      </c>
    </row>
    <row r="51" spans="1:16">
      <c r="B51" s="363" t="str">
        <f t="shared" si="3"/>
        <v>60-64</v>
      </c>
      <c r="C51" s="307">
        <f t="shared" si="3"/>
        <v>38.087204708290919</v>
      </c>
      <c r="D51" s="307">
        <f t="shared" si="4"/>
        <v>38.587378209562168</v>
      </c>
      <c r="E51" s="307">
        <f t="shared" si="4"/>
        <v>36.88697476220139</v>
      </c>
      <c r="F51" s="307">
        <f t="shared" si="4"/>
        <v>34.701616432967441</v>
      </c>
      <c r="G51" s="307">
        <f t="shared" si="4"/>
        <v>32.886465261405469</v>
      </c>
      <c r="H51" s="307">
        <f t="shared" si="4"/>
        <v>31.453752220814277</v>
      </c>
      <c r="I51" s="307">
        <f t="shared" si="4"/>
        <v>30.428729379886068</v>
      </c>
      <c r="J51" s="307">
        <f t="shared" si="4"/>
        <v>29.784947978098767</v>
      </c>
      <c r="K51" s="307">
        <f t="shared" si="4"/>
        <v>29.621756110371749</v>
      </c>
      <c r="L51" s="307">
        <f t="shared" si="4"/>
        <v>29.440433735895652</v>
      </c>
      <c r="M51" s="307">
        <f t="shared" si="5"/>
        <v>29.204034832463783</v>
      </c>
      <c r="N51" s="307">
        <f t="shared" si="6"/>
        <v>29.056942411593646</v>
      </c>
    </row>
    <row r="52" spans="1:16">
      <c r="B52" s="363" t="str">
        <f t="shared" si="3"/>
        <v>65 plus</v>
      </c>
      <c r="C52" s="307">
        <f t="shared" si="3"/>
        <v>5.0249580910867646</v>
      </c>
      <c r="D52" s="307">
        <f t="shared" si="4"/>
        <v>7.6849879752364618</v>
      </c>
      <c r="E52" s="307">
        <f t="shared" si="4"/>
        <v>9.2455861958845027</v>
      </c>
      <c r="F52" s="307">
        <f t="shared" si="4"/>
        <v>9.917577335625456</v>
      </c>
      <c r="G52" s="307">
        <f t="shared" si="4"/>
        <v>10.077466128332397</v>
      </c>
      <c r="H52" s="307">
        <f t="shared" si="4"/>
        <v>9.9533784322727712</v>
      </c>
      <c r="I52" s="307">
        <f t="shared" si="4"/>
        <v>9.7151621192294471</v>
      </c>
      <c r="J52" s="307">
        <f t="shared" si="4"/>
        <v>9.4667516231518043</v>
      </c>
      <c r="K52" s="307">
        <f t="shared" si="4"/>
        <v>9.3013175543257436</v>
      </c>
      <c r="L52" s="307">
        <f t="shared" si="4"/>
        <v>9.1412790363717544</v>
      </c>
      <c r="M52" s="307">
        <f t="shared" si="5"/>
        <v>8.974386418293383</v>
      </c>
      <c r="N52" s="307">
        <f t="shared" si="6"/>
        <v>8.8351366774353686</v>
      </c>
    </row>
    <row r="53" spans="1:16">
      <c r="B53" s="363" t="str">
        <f t="shared" si="3"/>
        <v>Total</v>
      </c>
      <c r="C53" s="307">
        <f t="shared" si="3"/>
        <v>2231.5688063857651</v>
      </c>
      <c r="D53" s="307">
        <f t="shared" si="4"/>
        <v>2232.8739776945013</v>
      </c>
      <c r="E53" s="307">
        <f t="shared" si="4"/>
        <v>2256.048950979377</v>
      </c>
      <c r="F53" s="307">
        <f t="shared" si="4"/>
        <v>2283.4286198476298</v>
      </c>
      <c r="G53" s="307">
        <f t="shared" si="4"/>
        <v>2318.5314354184629</v>
      </c>
      <c r="H53" s="307">
        <f t="shared" si="4"/>
        <v>2347.9283548385602</v>
      </c>
      <c r="I53" s="307">
        <f t="shared" si="4"/>
        <v>2371.05260739817</v>
      </c>
      <c r="J53" s="307">
        <f t="shared" si="4"/>
        <v>2389.9420310794126</v>
      </c>
      <c r="K53" s="307">
        <f t="shared" si="4"/>
        <v>2416.5519724028431</v>
      </c>
      <c r="L53" s="307">
        <f t="shared" si="4"/>
        <v>2427.1744256949905</v>
      </c>
      <c r="M53" s="307">
        <f t="shared" si="5"/>
        <v>2421.3015136889953</v>
      </c>
      <c r="N53" s="307">
        <f t="shared" si="6"/>
        <v>2409.7463340023983</v>
      </c>
    </row>
    <row r="54" spans="1:16">
      <c r="A54" s="309">
        <f>SUM(C54:N54)</f>
        <v>0</v>
      </c>
      <c r="C54" s="309">
        <f>SUM(C43:C52)-C53</f>
        <v>0</v>
      </c>
      <c r="D54" s="309">
        <f t="shared" ref="D54:N54" si="7">SUM(D43:D52)-D53</f>
        <v>0</v>
      </c>
      <c r="E54" s="309">
        <f t="shared" si="7"/>
        <v>0</v>
      </c>
      <c r="F54" s="309">
        <f t="shared" si="7"/>
        <v>0</v>
      </c>
      <c r="G54" s="309">
        <f t="shared" si="7"/>
        <v>0</v>
      </c>
      <c r="H54" s="309">
        <f t="shared" si="7"/>
        <v>0</v>
      </c>
      <c r="I54" s="309">
        <f t="shared" si="7"/>
        <v>0</v>
      </c>
      <c r="J54" s="309">
        <f t="shared" si="7"/>
        <v>0</v>
      </c>
      <c r="K54" s="309">
        <f t="shared" si="7"/>
        <v>0</v>
      </c>
      <c r="L54" s="309">
        <f t="shared" si="7"/>
        <v>0</v>
      </c>
      <c r="M54" s="309">
        <f t="shared" si="7"/>
        <v>0</v>
      </c>
      <c r="N54" s="309">
        <f t="shared" si="7"/>
        <v>0</v>
      </c>
    </row>
    <row r="56" spans="1:16">
      <c r="B56" s="341" t="s">
        <v>50</v>
      </c>
      <c r="H56" s="325"/>
    </row>
    <row r="57" spans="1:16">
      <c r="H57" s="325"/>
    </row>
    <row r="58" spans="1:16">
      <c r="B58" s="338" t="str">
        <f t="shared" ref="B58:B69" si="8">B42</f>
        <v>Age group</v>
      </c>
      <c r="C58" s="338" t="str">
        <f t="shared" ref="C58:N58" si="9">C42</f>
        <v>2016/17</v>
      </c>
      <c r="D58" s="338" t="str">
        <f t="shared" si="9"/>
        <v>2017/18</v>
      </c>
      <c r="E58" s="338" t="str">
        <f t="shared" si="9"/>
        <v>2018/19</v>
      </c>
      <c r="F58" s="338" t="str">
        <f t="shared" si="9"/>
        <v>2019/20</v>
      </c>
      <c r="G58" s="338" t="str">
        <f t="shared" si="9"/>
        <v>2020/21</v>
      </c>
      <c r="H58" s="338" t="str">
        <f t="shared" si="9"/>
        <v>2021/22</v>
      </c>
      <c r="I58" s="338" t="str">
        <f t="shared" si="9"/>
        <v>2022/23</v>
      </c>
      <c r="J58" s="338" t="str">
        <f t="shared" si="9"/>
        <v>2023/24</v>
      </c>
      <c r="K58" s="338" t="str">
        <f t="shared" si="9"/>
        <v>2024/25</v>
      </c>
      <c r="L58" s="338" t="str">
        <f t="shared" si="9"/>
        <v>2025/26</v>
      </c>
      <c r="M58" s="338" t="str">
        <f t="shared" si="9"/>
        <v>2026/27</v>
      </c>
      <c r="N58" s="338" t="str">
        <f t="shared" si="9"/>
        <v>2027/28</v>
      </c>
    </row>
    <row r="59" spans="1:16">
      <c r="B59" s="338" t="str">
        <f t="shared" si="8"/>
        <v>20-24</v>
      </c>
      <c r="C59" s="307">
        <f t="shared" ref="C59:C69" si="10">D21</f>
        <v>144.02582623268145</v>
      </c>
      <c r="D59" s="307">
        <f>C356</f>
        <v>178.9678051112644</v>
      </c>
      <c r="E59" s="307">
        <f t="shared" ref="E59:L59" si="11">D356</f>
        <v>210.51749122499291</v>
      </c>
      <c r="F59" s="307">
        <f t="shared" si="11"/>
        <v>234.40447738387388</v>
      </c>
      <c r="G59" s="307">
        <f t="shared" si="11"/>
        <v>254.32255116882914</v>
      </c>
      <c r="H59" s="307">
        <f t="shared" si="11"/>
        <v>267.25567218768441</v>
      </c>
      <c r="I59" s="307">
        <f t="shared" si="11"/>
        <v>274.98066772434407</v>
      </c>
      <c r="J59" s="307">
        <f t="shared" si="11"/>
        <v>279.61594142962861</v>
      </c>
      <c r="K59" s="307">
        <f t="shared" si="11"/>
        <v>286.10659360966707</v>
      </c>
      <c r="L59" s="307">
        <f t="shared" si="11"/>
        <v>286.15408742823439</v>
      </c>
      <c r="M59" s="307">
        <f>L356</f>
        <v>280.93777016859889</v>
      </c>
      <c r="N59" s="307">
        <f>M356</f>
        <v>275.15064648766145</v>
      </c>
      <c r="O59" s="327"/>
      <c r="P59" s="327"/>
    </row>
    <row r="60" spans="1:16">
      <c r="B60" s="338" t="str">
        <f t="shared" si="8"/>
        <v>25-29</v>
      </c>
      <c r="C60" s="307">
        <f t="shared" si="10"/>
        <v>569.46228995405409</v>
      </c>
      <c r="D60" s="307">
        <f t="shared" ref="D60:K69" si="12">C357</f>
        <v>518.72315086330275</v>
      </c>
      <c r="E60" s="307">
        <f t="shared" si="12"/>
        <v>495.05206249572393</v>
      </c>
      <c r="F60" s="307">
        <f t="shared" si="12"/>
        <v>485.01070694742998</v>
      </c>
      <c r="G60" s="307">
        <f t="shared" si="12"/>
        <v>485.02887765793344</v>
      </c>
      <c r="H60" s="307">
        <f t="shared" si="12"/>
        <v>487.34034783750855</v>
      </c>
      <c r="I60" s="307">
        <f t="shared" si="12"/>
        <v>489.81654229405058</v>
      </c>
      <c r="J60" s="307">
        <f t="shared" si="12"/>
        <v>492.11339279364176</v>
      </c>
      <c r="K60" s="307">
        <f t="shared" si="12"/>
        <v>497.91622120459652</v>
      </c>
      <c r="L60" s="307">
        <f t="shared" ref="L60:L69" si="13">K357</f>
        <v>498.57270960874382</v>
      </c>
      <c r="M60" s="307">
        <f t="shared" ref="M60:M69" si="14">L357</f>
        <v>493.62972637558562</v>
      </c>
      <c r="N60" s="307">
        <f t="shared" ref="N60:N69" si="15">M357</f>
        <v>486.95479849240212</v>
      </c>
      <c r="O60" s="327"/>
      <c r="P60" s="327"/>
    </row>
    <row r="61" spans="1:16">
      <c r="B61" s="338" t="str">
        <f t="shared" si="8"/>
        <v>30-34</v>
      </c>
      <c r="C61" s="307">
        <f t="shared" si="10"/>
        <v>593.78804115827143</v>
      </c>
      <c r="D61" s="307">
        <f t="shared" si="12"/>
        <v>576.82487066124872</v>
      </c>
      <c r="E61" s="307">
        <f t="shared" si="12"/>
        <v>558.56848313732371</v>
      </c>
      <c r="F61" s="307">
        <f t="shared" si="12"/>
        <v>541.61930745126051</v>
      </c>
      <c r="G61" s="307">
        <f t="shared" si="12"/>
        <v>528.88250530316247</v>
      </c>
      <c r="H61" s="307">
        <f t="shared" si="12"/>
        <v>518.92748612416551</v>
      </c>
      <c r="I61" s="307">
        <f t="shared" si="12"/>
        <v>511.30756725608933</v>
      </c>
      <c r="J61" s="307">
        <f t="shared" si="12"/>
        <v>505.7445070781913</v>
      </c>
      <c r="K61" s="307">
        <f t="shared" si="12"/>
        <v>503.73477479592225</v>
      </c>
      <c r="L61" s="307">
        <f t="shared" si="13"/>
        <v>500.9741306420101</v>
      </c>
      <c r="M61" s="307">
        <f t="shared" si="14"/>
        <v>496.38274175946225</v>
      </c>
      <c r="N61" s="307">
        <f t="shared" si="15"/>
        <v>491.06612297033428</v>
      </c>
      <c r="O61" s="327"/>
      <c r="P61" s="327"/>
    </row>
    <row r="62" spans="1:16">
      <c r="B62" s="338" t="str">
        <f t="shared" si="8"/>
        <v>35-39</v>
      </c>
      <c r="C62" s="307">
        <f t="shared" si="10"/>
        <v>617.91503134874893</v>
      </c>
      <c r="D62" s="307">
        <f t="shared" si="12"/>
        <v>591.89454146790411</v>
      </c>
      <c r="E62" s="307">
        <f t="shared" si="12"/>
        <v>572.05510976212179</v>
      </c>
      <c r="F62" s="307">
        <f t="shared" si="12"/>
        <v>554.60338571825753</v>
      </c>
      <c r="G62" s="307">
        <f t="shared" si="12"/>
        <v>539.6984454495198</v>
      </c>
      <c r="H62" s="307">
        <f t="shared" si="12"/>
        <v>525.91916157537059</v>
      </c>
      <c r="I62" s="307">
        <f t="shared" si="12"/>
        <v>513.39740509300668</v>
      </c>
      <c r="J62" s="307">
        <f t="shared" si="12"/>
        <v>502.46009217966201</v>
      </c>
      <c r="K62" s="307">
        <f t="shared" si="12"/>
        <v>494.55600899366999</v>
      </c>
      <c r="L62" s="307">
        <f t="shared" si="13"/>
        <v>486.68910392265252</v>
      </c>
      <c r="M62" s="307">
        <f t="shared" si="14"/>
        <v>478.46667295215468</v>
      </c>
      <c r="N62" s="307">
        <f t="shared" si="15"/>
        <v>470.81373387047694</v>
      </c>
      <c r="O62" s="327"/>
      <c r="P62" s="327"/>
    </row>
    <row r="63" spans="1:16">
      <c r="B63" s="338" t="str">
        <f t="shared" si="8"/>
        <v>40-44</v>
      </c>
      <c r="C63" s="307">
        <f t="shared" si="10"/>
        <v>414.85418763807616</v>
      </c>
      <c r="D63" s="307">
        <f t="shared" si="12"/>
        <v>444.6931654419302</v>
      </c>
      <c r="E63" s="307">
        <f t="shared" si="12"/>
        <v>464.03350036007322</v>
      </c>
      <c r="F63" s="307">
        <f t="shared" si="12"/>
        <v>475.09191537090845</v>
      </c>
      <c r="G63" s="307">
        <f t="shared" si="12"/>
        <v>480.9528194083299</v>
      </c>
      <c r="H63" s="307">
        <f t="shared" si="12"/>
        <v>482.12239431667956</v>
      </c>
      <c r="I63" s="307">
        <f t="shared" si="12"/>
        <v>479.96388275941291</v>
      </c>
      <c r="J63" s="307">
        <f t="shared" si="12"/>
        <v>475.77938913805338</v>
      </c>
      <c r="K63" s="307">
        <f t="shared" si="12"/>
        <v>471.68496661779835</v>
      </c>
      <c r="L63" s="307">
        <f t="shared" si="13"/>
        <v>465.74209052903791</v>
      </c>
      <c r="M63" s="307">
        <f t="shared" si="14"/>
        <v>458.22850999117423</v>
      </c>
      <c r="N63" s="307">
        <f t="shared" si="15"/>
        <v>450.50417207974522</v>
      </c>
      <c r="O63" s="327"/>
      <c r="P63" s="327"/>
    </row>
    <row r="64" spans="1:16">
      <c r="B64" s="338" t="str">
        <f t="shared" si="8"/>
        <v>45-49</v>
      </c>
      <c r="C64" s="307">
        <f t="shared" si="10"/>
        <v>241.22994994221338</v>
      </c>
      <c r="D64" s="307">
        <f t="shared" si="12"/>
        <v>272.93552433346207</v>
      </c>
      <c r="E64" s="307">
        <f t="shared" si="12"/>
        <v>303.40974388498961</v>
      </c>
      <c r="F64" s="307">
        <f t="shared" si="12"/>
        <v>329.71958550037164</v>
      </c>
      <c r="G64" s="307">
        <f t="shared" si="12"/>
        <v>351.82519719674519</v>
      </c>
      <c r="H64" s="307">
        <f t="shared" si="12"/>
        <v>368.83125422402799</v>
      </c>
      <c r="I64" s="307">
        <f t="shared" si="12"/>
        <v>381.16866491659397</v>
      </c>
      <c r="J64" s="307">
        <f t="shared" si="12"/>
        <v>389.62055234624944</v>
      </c>
      <c r="K64" s="307">
        <f t="shared" si="12"/>
        <v>395.87272621663544</v>
      </c>
      <c r="L64" s="307">
        <f t="shared" si="13"/>
        <v>398.55478573861279</v>
      </c>
      <c r="M64" s="307">
        <f t="shared" si="14"/>
        <v>398.10307558657462</v>
      </c>
      <c r="N64" s="307">
        <f t="shared" si="15"/>
        <v>395.86611302054655</v>
      </c>
      <c r="O64" s="327"/>
      <c r="P64" s="327"/>
    </row>
    <row r="65" spans="1:16">
      <c r="B65" s="338" t="str">
        <f t="shared" si="8"/>
        <v>50-54</v>
      </c>
      <c r="C65" s="307">
        <f t="shared" si="10"/>
        <v>213.39142242983604</v>
      </c>
      <c r="D65" s="307">
        <f t="shared" si="12"/>
        <v>208.48013594067135</v>
      </c>
      <c r="E65" s="307">
        <f t="shared" si="12"/>
        <v>211.84942146719172</v>
      </c>
      <c r="F65" s="307">
        <f t="shared" si="12"/>
        <v>219.90732319338341</v>
      </c>
      <c r="G65" s="307">
        <f t="shared" si="12"/>
        <v>230.83296836518704</v>
      </c>
      <c r="H65" s="307">
        <f t="shared" si="12"/>
        <v>242.27810833522858</v>
      </c>
      <c r="I65" s="307">
        <f t="shared" si="12"/>
        <v>253.14512083658397</v>
      </c>
      <c r="J65" s="307">
        <f t="shared" si="12"/>
        <v>262.88894640300271</v>
      </c>
      <c r="K65" s="307">
        <f t="shared" si="12"/>
        <v>271.89853127261887</v>
      </c>
      <c r="L65" s="307">
        <f t="shared" si="13"/>
        <v>278.55560138874341</v>
      </c>
      <c r="M65" s="307">
        <f t="shared" si="14"/>
        <v>282.78472710196309</v>
      </c>
      <c r="N65" s="307">
        <f t="shared" si="15"/>
        <v>285.32426329251075</v>
      </c>
      <c r="O65" s="327"/>
      <c r="P65" s="327"/>
    </row>
    <row r="66" spans="1:16">
      <c r="B66" s="338" t="str">
        <f t="shared" si="8"/>
        <v>55-59</v>
      </c>
      <c r="C66" s="307">
        <f t="shared" si="10"/>
        <v>118.44857980124637</v>
      </c>
      <c r="D66" s="307">
        <f t="shared" si="12"/>
        <v>112.47340689290716</v>
      </c>
      <c r="E66" s="307">
        <f t="shared" si="12"/>
        <v>108.99757625886437</v>
      </c>
      <c r="F66" s="307">
        <f t="shared" si="12"/>
        <v>107.59523021369003</v>
      </c>
      <c r="G66" s="307">
        <f t="shared" si="12"/>
        <v>108.32504843048153</v>
      </c>
      <c r="H66" s="307">
        <f t="shared" si="12"/>
        <v>110.23596587187625</v>
      </c>
      <c r="I66" s="307">
        <f t="shared" si="12"/>
        <v>112.90328272028137</v>
      </c>
      <c r="J66" s="307">
        <f t="shared" si="12"/>
        <v>116.01592141887467</v>
      </c>
      <c r="K66" s="307">
        <f t="shared" si="12"/>
        <v>119.73972850577792</v>
      </c>
      <c r="L66" s="307">
        <f t="shared" si="13"/>
        <v>122.73867881967408</v>
      </c>
      <c r="M66" s="307">
        <f t="shared" si="14"/>
        <v>124.86732514185577</v>
      </c>
      <c r="N66" s="307">
        <f t="shared" si="15"/>
        <v>126.51372318236378</v>
      </c>
      <c r="O66" s="327"/>
      <c r="P66" s="327"/>
    </row>
    <row r="67" spans="1:16">
      <c r="B67" s="338" t="str">
        <f t="shared" si="8"/>
        <v>60-64</v>
      </c>
      <c r="C67" s="307">
        <f t="shared" si="10"/>
        <v>37.5338700268236</v>
      </c>
      <c r="D67" s="307">
        <f t="shared" si="12"/>
        <v>35.513836808473322</v>
      </c>
      <c r="E67" s="307">
        <f t="shared" si="12"/>
        <v>34.311356543301663</v>
      </c>
      <c r="F67" s="307">
        <f t="shared" si="12"/>
        <v>33.446424518535231</v>
      </c>
      <c r="G67" s="307">
        <f t="shared" si="12"/>
        <v>33.066711805981527</v>
      </c>
      <c r="H67" s="307">
        <f t="shared" si="12"/>
        <v>32.897319454345222</v>
      </c>
      <c r="I67" s="307">
        <f t="shared" si="12"/>
        <v>32.945940803452395</v>
      </c>
      <c r="J67" s="307">
        <f t="shared" si="12"/>
        <v>33.219999860516005</v>
      </c>
      <c r="K67" s="307">
        <f t="shared" si="12"/>
        <v>33.899516091485211</v>
      </c>
      <c r="L67" s="307">
        <f t="shared" si="13"/>
        <v>34.354955003227545</v>
      </c>
      <c r="M67" s="307">
        <f t="shared" si="14"/>
        <v>34.583221552569725</v>
      </c>
      <c r="N67" s="307">
        <f t="shared" si="15"/>
        <v>34.804335368029463</v>
      </c>
      <c r="O67" s="327"/>
      <c r="P67" s="327"/>
    </row>
    <row r="68" spans="1:16">
      <c r="B68" s="338" t="str">
        <f t="shared" si="8"/>
        <v>65 plus</v>
      </c>
      <c r="C68" s="307">
        <f t="shared" si="10"/>
        <v>7.7017395826615074</v>
      </c>
      <c r="D68" s="307">
        <f t="shared" si="12"/>
        <v>8.7422920242997613</v>
      </c>
      <c r="E68" s="307">
        <f t="shared" si="12"/>
        <v>9.1614135312936593</v>
      </c>
      <c r="F68" s="307">
        <f t="shared" si="12"/>
        <v>9.2716036831840825</v>
      </c>
      <c r="G68" s="307">
        <f t="shared" si="12"/>
        <v>9.2849995922512534</v>
      </c>
      <c r="H68" s="307">
        <f t="shared" si="12"/>
        <v>9.2341165670456125</v>
      </c>
      <c r="I68" s="307">
        <f t="shared" si="12"/>
        <v>9.1686997597492326</v>
      </c>
      <c r="J68" s="307">
        <f t="shared" si="12"/>
        <v>9.1274358632849673</v>
      </c>
      <c r="K68" s="307">
        <f t="shared" si="12"/>
        <v>9.1835384520537104</v>
      </c>
      <c r="L68" s="307">
        <f t="shared" si="13"/>
        <v>9.2079281197428404</v>
      </c>
      <c r="M68" s="307">
        <f t="shared" si="14"/>
        <v>9.18392716948944</v>
      </c>
      <c r="N68" s="307">
        <f t="shared" si="15"/>
        <v>9.162659141624852</v>
      </c>
      <c r="O68" s="327"/>
      <c r="P68" s="327"/>
    </row>
    <row r="69" spans="1:16">
      <c r="B69" s="338" t="str">
        <f t="shared" si="8"/>
        <v>Total</v>
      </c>
      <c r="C69" s="307">
        <f t="shared" si="10"/>
        <v>2958.3509381146127</v>
      </c>
      <c r="D69" s="307">
        <f t="shared" si="12"/>
        <v>2949.2487295454634</v>
      </c>
      <c r="E69" s="307">
        <f t="shared" si="12"/>
        <v>2967.9561586658765</v>
      </c>
      <c r="F69" s="307">
        <f t="shared" si="12"/>
        <v>2990.6699599808949</v>
      </c>
      <c r="G69" s="307">
        <f t="shared" si="12"/>
        <v>3022.2201243784211</v>
      </c>
      <c r="H69" s="307">
        <f t="shared" si="12"/>
        <v>3045.0418264939321</v>
      </c>
      <c r="I69" s="307">
        <f t="shared" si="12"/>
        <v>3058.7977741635646</v>
      </c>
      <c r="J69" s="307">
        <f t="shared" si="12"/>
        <v>3066.5861785111051</v>
      </c>
      <c r="K69" s="307">
        <f t="shared" si="12"/>
        <v>3084.5926057602251</v>
      </c>
      <c r="L69" s="307">
        <f t="shared" si="13"/>
        <v>3081.5440712006798</v>
      </c>
      <c r="M69" s="307">
        <f t="shared" si="14"/>
        <v>3057.1676977994284</v>
      </c>
      <c r="N69" s="307">
        <f t="shared" si="15"/>
        <v>3026.1605679056952</v>
      </c>
      <c r="O69" s="327"/>
      <c r="P69" s="327"/>
    </row>
    <row r="70" spans="1:16">
      <c r="A70" s="309">
        <f>SUM(C70:N70)</f>
        <v>0</v>
      </c>
      <c r="C70" s="309">
        <f>SUM(C59:C68)-C69</f>
        <v>0</v>
      </c>
      <c r="D70" s="309">
        <f t="shared" ref="D70:N70" si="16">SUM(D59:D68)-D69</f>
        <v>0</v>
      </c>
      <c r="E70" s="309">
        <f t="shared" si="16"/>
        <v>0</v>
      </c>
      <c r="F70" s="309">
        <f t="shared" si="16"/>
        <v>0</v>
      </c>
      <c r="G70" s="309">
        <f t="shared" si="16"/>
        <v>0</v>
      </c>
      <c r="H70" s="309">
        <f t="shared" si="16"/>
        <v>0</v>
      </c>
      <c r="I70" s="309">
        <f t="shared" si="16"/>
        <v>0</v>
      </c>
      <c r="J70" s="309">
        <f t="shared" si="16"/>
        <v>0</v>
      </c>
      <c r="K70" s="309">
        <f t="shared" si="16"/>
        <v>0</v>
      </c>
      <c r="L70" s="309">
        <f t="shared" si="16"/>
        <v>0</v>
      </c>
      <c r="M70" s="309">
        <f t="shared" si="16"/>
        <v>0</v>
      </c>
      <c r="N70" s="309">
        <f t="shared" si="16"/>
        <v>0</v>
      </c>
    </row>
    <row r="72" spans="1:16" ht="15.75">
      <c r="B72" s="340" t="s">
        <v>150</v>
      </c>
      <c r="H72" s="325"/>
    </row>
    <row r="73" spans="1:16">
      <c r="H73" s="325"/>
    </row>
    <row r="74" spans="1:16">
      <c r="B74" s="341" t="s">
        <v>49</v>
      </c>
      <c r="C74" s="262" t="s">
        <v>453</v>
      </c>
      <c r="H74" s="325"/>
    </row>
    <row r="75" spans="1:16">
      <c r="H75" s="325"/>
    </row>
    <row r="76" spans="1:16">
      <c r="B76" s="338" t="str">
        <f t="shared" ref="B76:B87" si="17">B42</f>
        <v>Age group</v>
      </c>
      <c r="C76" s="338" t="str">
        <f t="shared" ref="C76:N76" si="18">C42</f>
        <v>2016/17</v>
      </c>
      <c r="D76" s="338" t="str">
        <f t="shared" si="18"/>
        <v>2017/18</v>
      </c>
      <c r="E76" s="338" t="str">
        <f t="shared" si="18"/>
        <v>2018/19</v>
      </c>
      <c r="F76" s="338" t="str">
        <f t="shared" si="18"/>
        <v>2019/20</v>
      </c>
      <c r="G76" s="338" t="str">
        <f t="shared" si="18"/>
        <v>2020/21</v>
      </c>
      <c r="H76" s="338" t="str">
        <f t="shared" si="18"/>
        <v>2021/22</v>
      </c>
      <c r="I76" s="338" t="str">
        <f t="shared" si="18"/>
        <v>2022/23</v>
      </c>
      <c r="J76" s="338" t="str">
        <f t="shared" si="18"/>
        <v>2023/24</v>
      </c>
      <c r="K76" s="338" t="str">
        <f t="shared" si="18"/>
        <v>2024/25</v>
      </c>
      <c r="L76" s="338" t="str">
        <f t="shared" si="18"/>
        <v>2025/26</v>
      </c>
      <c r="M76" s="338" t="str">
        <f t="shared" si="18"/>
        <v>2026/27</v>
      </c>
      <c r="N76" s="338" t="str">
        <f t="shared" si="18"/>
        <v>2027/28</v>
      </c>
    </row>
    <row r="77" spans="1:16">
      <c r="B77" s="338" t="str">
        <f t="shared" si="17"/>
        <v>20-24</v>
      </c>
      <c r="C77" s="459">
        <f>C43-(0.2*C43)</f>
        <v>73.899145148743301</v>
      </c>
      <c r="D77" s="459">
        <f>D43-(0.2*D43)</f>
        <v>98.685313454080102</v>
      </c>
      <c r="E77" s="459">
        <f t="shared" ref="E77:N77" si="19">E43-(0.2*E43)</f>
        <v>120.35378383007387</v>
      </c>
      <c r="F77" s="459">
        <f t="shared" si="19"/>
        <v>136.63563253561495</v>
      </c>
      <c r="G77" s="459">
        <f t="shared" si="19"/>
        <v>149.98065416357537</v>
      </c>
      <c r="H77" s="459">
        <f t="shared" si="19"/>
        <v>158.7252462161602</v>
      </c>
      <c r="I77" s="459">
        <f t="shared" si="19"/>
        <v>164.05396037731262</v>
      </c>
      <c r="J77" s="459">
        <f t="shared" si="19"/>
        <v>167.32480595285924</v>
      </c>
      <c r="K77" s="459">
        <f t="shared" si="19"/>
        <v>171.57822054696322</v>
      </c>
      <c r="L77" s="459">
        <f t="shared" si="19"/>
        <v>171.84523198122017</v>
      </c>
      <c r="M77" s="459">
        <f t="shared" si="19"/>
        <v>168.8673067258797</v>
      </c>
      <c r="N77" s="459">
        <f t="shared" si="19"/>
        <v>165.4974364041085</v>
      </c>
    </row>
    <row r="78" spans="1:16">
      <c r="B78" s="338" t="str">
        <f t="shared" si="17"/>
        <v>25-29</v>
      </c>
      <c r="C78" s="459">
        <f t="shared" ref="C78:C85" si="20">C44+(0.2*C43)-(0.2*C44)</f>
        <v>347.86353585534931</v>
      </c>
      <c r="D78" s="459">
        <f t="shared" ref="D78:N78" si="21">D44+(0.2*D43)-(0.2*D44)</f>
        <v>327.05333244539099</v>
      </c>
      <c r="E78" s="459">
        <f t="shared" si="21"/>
        <v>321.35830890141403</v>
      </c>
      <c r="F78" s="459">
        <f t="shared" si="21"/>
        <v>322.11780393088839</v>
      </c>
      <c r="G78" s="459">
        <f t="shared" si="21"/>
        <v>327.80572412027976</v>
      </c>
      <c r="H78" s="459">
        <f t="shared" si="21"/>
        <v>333.3621054522439</v>
      </c>
      <c r="I78" s="459">
        <f t="shared" si="21"/>
        <v>337.82770337176225</v>
      </c>
      <c r="J78" s="459">
        <f t="shared" si="21"/>
        <v>341.37022618840462</v>
      </c>
      <c r="K78" s="459">
        <f t="shared" si="21"/>
        <v>347.01524303778939</v>
      </c>
      <c r="L78" s="459">
        <f t="shared" si="21"/>
        <v>348.35759813952359</v>
      </c>
      <c r="M78" s="459">
        <f t="shared" si="21"/>
        <v>345.32048733301184</v>
      </c>
      <c r="N78" s="459">
        <f t="shared" si="21"/>
        <v>340.96421091816899</v>
      </c>
    </row>
    <row r="79" spans="1:16">
      <c r="B79" s="338" t="str">
        <f t="shared" si="17"/>
        <v>30-34</v>
      </c>
      <c r="C79" s="459">
        <f t="shared" si="20"/>
        <v>424.85216626892066</v>
      </c>
      <c r="D79" s="459">
        <f t="shared" ref="D79:N79" si="22">D45+(0.2*D44)-(0.2*D45)</f>
        <v>417.83585874564682</v>
      </c>
      <c r="E79" s="459">
        <f t="shared" si="22"/>
        <v>411.84695690630019</v>
      </c>
      <c r="F79" s="459">
        <f t="shared" si="22"/>
        <v>406.95498673831025</v>
      </c>
      <c r="G79" s="459">
        <f t="shared" si="22"/>
        <v>404.76523320721509</v>
      </c>
      <c r="H79" s="459">
        <f t="shared" si="22"/>
        <v>403.57018369627684</v>
      </c>
      <c r="I79" s="459">
        <f t="shared" si="22"/>
        <v>402.99221536339581</v>
      </c>
      <c r="J79" s="459">
        <f t="shared" si="22"/>
        <v>402.96871021313729</v>
      </c>
      <c r="K79" s="459">
        <f t="shared" si="22"/>
        <v>405.08269318327342</v>
      </c>
      <c r="L79" s="459">
        <f t="shared" si="22"/>
        <v>405.56750371589004</v>
      </c>
      <c r="M79" s="459">
        <f t="shared" si="22"/>
        <v>403.73171271643298</v>
      </c>
      <c r="N79" s="459">
        <f t="shared" si="22"/>
        <v>400.83656548162833</v>
      </c>
    </row>
    <row r="80" spans="1:16">
      <c r="B80" s="338" t="str">
        <f t="shared" si="17"/>
        <v>35-39</v>
      </c>
      <c r="C80" s="459">
        <f t="shared" si="20"/>
        <v>395.76533968633049</v>
      </c>
      <c r="D80" s="459">
        <f t="shared" ref="D80:N80" si="23">D46+(0.2*D45)-(0.2*D46)</f>
        <v>399.11710251276054</v>
      </c>
      <c r="E80" s="459">
        <f t="shared" si="23"/>
        <v>402.29274751686529</v>
      </c>
      <c r="F80" s="459">
        <f t="shared" si="23"/>
        <v>403.96267812830553</v>
      </c>
      <c r="G80" s="459">
        <f t="shared" si="23"/>
        <v>405.15694586029207</v>
      </c>
      <c r="H80" s="459">
        <f t="shared" si="23"/>
        <v>405.26034889477756</v>
      </c>
      <c r="I80" s="459">
        <f t="shared" si="23"/>
        <v>404.66522995063877</v>
      </c>
      <c r="J80" s="459">
        <f t="shared" si="23"/>
        <v>403.84910460014487</v>
      </c>
      <c r="K80" s="459">
        <f t="shared" si="23"/>
        <v>404.18411484077899</v>
      </c>
      <c r="L80" s="459">
        <f t="shared" si="23"/>
        <v>403.462411385069</v>
      </c>
      <c r="M80" s="459">
        <f t="shared" si="23"/>
        <v>401.44370951577963</v>
      </c>
      <c r="N80" s="459">
        <f t="shared" si="23"/>
        <v>398.96898009265101</v>
      </c>
    </row>
    <row r="81" spans="1:14">
      <c r="B81" s="338" t="str">
        <f t="shared" si="17"/>
        <v>40-44</v>
      </c>
      <c r="C81" s="459">
        <f t="shared" si="20"/>
        <v>321.68441310793548</v>
      </c>
      <c r="D81" s="459">
        <f t="shared" ref="D81:N81" si="24">D47+(0.2*D46)-(0.2*D47)</f>
        <v>332.24296013569494</v>
      </c>
      <c r="E81" s="459">
        <f t="shared" si="24"/>
        <v>342.36207054005661</v>
      </c>
      <c r="F81" s="459">
        <f t="shared" si="24"/>
        <v>350.82319242198668</v>
      </c>
      <c r="G81" s="459">
        <f t="shared" si="24"/>
        <v>358.14013227203407</v>
      </c>
      <c r="H81" s="459">
        <f t="shared" si="24"/>
        <v>363.48860525432394</v>
      </c>
      <c r="I81" s="459">
        <f t="shared" si="24"/>
        <v>367.1131889448057</v>
      </c>
      <c r="J81" s="459">
        <f t="shared" si="24"/>
        <v>369.47996371680171</v>
      </c>
      <c r="K81" s="459">
        <f t="shared" si="24"/>
        <v>371.87530326875134</v>
      </c>
      <c r="L81" s="459">
        <f t="shared" si="24"/>
        <v>372.58435371657998</v>
      </c>
      <c r="M81" s="459">
        <f t="shared" si="24"/>
        <v>371.67623530997975</v>
      </c>
      <c r="N81" s="459">
        <f t="shared" si="24"/>
        <v>370.11109029999068</v>
      </c>
    </row>
    <row r="82" spans="1:14">
      <c r="B82" s="338" t="str">
        <f t="shared" si="17"/>
        <v>45-49</v>
      </c>
      <c r="C82" s="459">
        <f t="shared" si="20"/>
        <v>235.9207336375064</v>
      </c>
      <c r="D82" s="459">
        <f t="shared" ref="D82:N82" si="25">D48+(0.2*D47)-(0.2*D48)</f>
        <v>248.96296169222754</v>
      </c>
      <c r="E82" s="459">
        <f t="shared" si="25"/>
        <v>261.86748988020503</v>
      </c>
      <c r="F82" s="459">
        <f t="shared" si="25"/>
        <v>273.5346066576991</v>
      </c>
      <c r="G82" s="459">
        <f t="shared" si="25"/>
        <v>284.282894777629</v>
      </c>
      <c r="H82" s="459">
        <f t="shared" si="25"/>
        <v>293.30620561366572</v>
      </c>
      <c r="I82" s="459">
        <f t="shared" si="25"/>
        <v>300.64728769778048</v>
      </c>
      <c r="J82" s="459">
        <f t="shared" si="25"/>
        <v>306.55420021751536</v>
      </c>
      <c r="K82" s="459">
        <f t="shared" si="25"/>
        <v>311.98688568060754</v>
      </c>
      <c r="L82" s="459">
        <f t="shared" si="25"/>
        <v>315.51361021926346</v>
      </c>
      <c r="M82" s="459">
        <f t="shared" si="25"/>
        <v>317.18828196583075</v>
      </c>
      <c r="N82" s="459">
        <f t="shared" si="25"/>
        <v>317.83801301014233</v>
      </c>
    </row>
    <row r="83" spans="1:14">
      <c r="B83" s="338" t="str">
        <f t="shared" si="17"/>
        <v>50-54</v>
      </c>
      <c r="C83" s="459">
        <f t="shared" si="20"/>
        <v>208.66730261683222</v>
      </c>
      <c r="D83" s="459">
        <f t="shared" ref="D83:N83" si="26">D49+(0.2*D48)-(0.2*D49)</f>
        <v>203.53275710005244</v>
      </c>
      <c r="E83" s="459">
        <f t="shared" si="26"/>
        <v>203.2727498249161</v>
      </c>
      <c r="F83" s="459">
        <f t="shared" si="26"/>
        <v>205.67191758618242</v>
      </c>
      <c r="G83" s="459">
        <f t="shared" si="26"/>
        <v>209.96210187608062</v>
      </c>
      <c r="H83" s="459">
        <f t="shared" si="26"/>
        <v>214.80609424777055</v>
      </c>
      <c r="I83" s="459">
        <f t="shared" si="26"/>
        <v>219.692975451481</v>
      </c>
      <c r="J83" s="459">
        <f t="shared" si="26"/>
        <v>224.39449955630684</v>
      </c>
      <c r="K83" s="459">
        <f t="shared" si="26"/>
        <v>229.30952928344857</v>
      </c>
      <c r="L83" s="459">
        <f t="shared" si="26"/>
        <v>233.12276001582765</v>
      </c>
      <c r="M83" s="459">
        <f t="shared" si="26"/>
        <v>235.69989878963784</v>
      </c>
      <c r="N83" s="459">
        <f t="shared" si="26"/>
        <v>237.53371658136621</v>
      </c>
    </row>
    <row r="84" spans="1:14">
      <c r="B84" s="338" t="str">
        <f t="shared" si="17"/>
        <v>55-59</v>
      </c>
      <c r="C84" s="459">
        <f t="shared" si="20"/>
        <v>152.09052939520797</v>
      </c>
      <c r="D84" s="459">
        <f t="shared" ref="D84:N84" si="27">D50+(0.2*D49)-(0.2*D50)</f>
        <v>135.19495400688345</v>
      </c>
      <c r="E84" s="459">
        <f t="shared" si="27"/>
        <v>124.96192692384561</v>
      </c>
      <c r="F84" s="459">
        <f t="shared" si="27"/>
        <v>118.99744929704727</v>
      </c>
      <c r="G84" s="459">
        <f t="shared" si="27"/>
        <v>116.19116254904506</v>
      </c>
      <c r="H84" s="459">
        <f t="shared" si="27"/>
        <v>115.15969965325526</v>
      </c>
      <c r="I84" s="459">
        <f t="shared" si="27"/>
        <v>115.25478200996312</v>
      </c>
      <c r="J84" s="459">
        <f t="shared" si="27"/>
        <v>116.0900509724091</v>
      </c>
      <c r="K84" s="459">
        <f t="shared" si="27"/>
        <v>117.75377706393546</v>
      </c>
      <c r="L84" s="459">
        <f t="shared" si="27"/>
        <v>119.13703444383989</v>
      </c>
      <c r="M84" s="459">
        <f t="shared" si="27"/>
        <v>120.08842368425155</v>
      </c>
      <c r="N84" s="459">
        <f t="shared" si="27"/>
        <v>120.8956669891441</v>
      </c>
    </row>
    <row r="85" spans="1:14">
      <c r="B85" s="338" t="str">
        <f t="shared" si="17"/>
        <v>60-64</v>
      </c>
      <c r="C85" s="459">
        <f t="shared" si="20"/>
        <v>58.183241636194694</v>
      </c>
      <c r="D85" s="459">
        <f t="shared" ref="D85:N85" si="28">D51+(0.2*D50)-(0.2*D51)</f>
        <v>54.846273984615685</v>
      </c>
      <c r="E85" s="459">
        <f t="shared" si="28"/>
        <v>51.109935507375546</v>
      </c>
      <c r="F85" s="459">
        <f t="shared" si="28"/>
        <v>47.872451929376595</v>
      </c>
      <c r="G85" s="459">
        <f t="shared" si="28"/>
        <v>45.591827411697622</v>
      </c>
      <c r="H85" s="459">
        <f t="shared" si="28"/>
        <v>44.005736933650184</v>
      </c>
      <c r="I85" s="459">
        <f t="shared" si="28"/>
        <v>43.004356235823579</v>
      </c>
      <c r="J85" s="459">
        <f t="shared" si="28"/>
        <v>42.486728443061786</v>
      </c>
      <c r="K85" s="459">
        <f t="shared" si="28"/>
        <v>42.540536720895304</v>
      </c>
      <c r="L85" s="459">
        <f t="shared" si="28"/>
        <v>42.55455629422633</v>
      </c>
      <c r="M85" s="459">
        <f t="shared" si="28"/>
        <v>42.47026426340495</v>
      </c>
      <c r="N85" s="459">
        <f t="shared" si="28"/>
        <v>42.454129065443453</v>
      </c>
    </row>
    <row r="86" spans="1:14">
      <c r="B86" s="338" t="str">
        <f t="shared" si="17"/>
        <v>65 plus</v>
      </c>
      <c r="C86" s="459">
        <f>C52+(0.2*C51)</f>
        <v>12.642399032744949</v>
      </c>
      <c r="D86" s="459">
        <f t="shared" ref="D86:N86" si="29">D52+(0.2*D51)</f>
        <v>15.402463617148896</v>
      </c>
      <c r="E86" s="459">
        <f t="shared" si="29"/>
        <v>16.622981148324783</v>
      </c>
      <c r="F86" s="459">
        <f t="shared" si="29"/>
        <v>16.857900622218946</v>
      </c>
      <c r="G86" s="459">
        <f t="shared" si="29"/>
        <v>16.654759180613489</v>
      </c>
      <c r="H86" s="459">
        <f t="shared" si="29"/>
        <v>16.244128876435628</v>
      </c>
      <c r="I86" s="459">
        <f t="shared" si="29"/>
        <v>15.800907995206661</v>
      </c>
      <c r="J86" s="459">
        <f t="shared" si="29"/>
        <v>15.423741218771557</v>
      </c>
      <c r="K86" s="459">
        <f t="shared" si="29"/>
        <v>15.225668776400093</v>
      </c>
      <c r="L86" s="459">
        <f t="shared" si="29"/>
        <v>15.029365783550885</v>
      </c>
      <c r="M86" s="459">
        <f t="shared" si="29"/>
        <v>14.81519338478614</v>
      </c>
      <c r="N86" s="459">
        <f t="shared" si="29"/>
        <v>14.646525159754098</v>
      </c>
    </row>
    <row r="87" spans="1:14">
      <c r="B87" s="338" t="str">
        <f t="shared" si="17"/>
        <v>Total</v>
      </c>
      <c r="C87" s="459">
        <f>SUM(C77:C86)</f>
        <v>2231.5688063857651</v>
      </c>
      <c r="D87" s="459">
        <f t="shared" ref="D87:N87" si="30">SUM(D77:D86)</f>
        <v>2232.8739776945017</v>
      </c>
      <c r="E87" s="459">
        <f t="shared" si="30"/>
        <v>2256.0489509793774</v>
      </c>
      <c r="F87" s="459">
        <f t="shared" si="30"/>
        <v>2283.4286198476298</v>
      </c>
      <c r="G87" s="459">
        <f t="shared" si="30"/>
        <v>2318.531435418462</v>
      </c>
      <c r="H87" s="459">
        <f t="shared" si="30"/>
        <v>2347.9283548385602</v>
      </c>
      <c r="I87" s="459">
        <f t="shared" si="30"/>
        <v>2371.05260739817</v>
      </c>
      <c r="J87" s="459">
        <f t="shared" si="30"/>
        <v>2389.9420310794126</v>
      </c>
      <c r="K87" s="459">
        <f t="shared" si="30"/>
        <v>2416.5519724028436</v>
      </c>
      <c r="L87" s="459">
        <f t="shared" si="30"/>
        <v>2427.174425694991</v>
      </c>
      <c r="M87" s="459">
        <f t="shared" si="30"/>
        <v>2421.3015136889958</v>
      </c>
      <c r="N87" s="459">
        <f t="shared" si="30"/>
        <v>2409.7463340023978</v>
      </c>
    </row>
    <row r="88" spans="1:14">
      <c r="A88" s="309">
        <f>SUM(C88:N88)</f>
        <v>0</v>
      </c>
      <c r="C88" s="309">
        <f>SUM(C77:C86)-C87</f>
        <v>0</v>
      </c>
      <c r="D88" s="309">
        <f t="shared" ref="D88:N88" si="31">SUM(D77:D86)-D87</f>
        <v>0</v>
      </c>
      <c r="E88" s="309">
        <f t="shared" si="31"/>
        <v>0</v>
      </c>
      <c r="F88" s="309">
        <f t="shared" si="31"/>
        <v>0</v>
      </c>
      <c r="G88" s="309">
        <f t="shared" si="31"/>
        <v>0</v>
      </c>
      <c r="H88" s="309">
        <f t="shared" si="31"/>
        <v>0</v>
      </c>
      <c r="I88" s="309">
        <f t="shared" si="31"/>
        <v>0</v>
      </c>
      <c r="J88" s="309">
        <f t="shared" si="31"/>
        <v>0</v>
      </c>
      <c r="K88" s="309">
        <f t="shared" si="31"/>
        <v>0</v>
      </c>
      <c r="L88" s="309">
        <f t="shared" si="31"/>
        <v>0</v>
      </c>
      <c r="M88" s="309">
        <f t="shared" si="31"/>
        <v>0</v>
      </c>
      <c r="N88" s="309">
        <f t="shared" si="31"/>
        <v>0</v>
      </c>
    </row>
    <row r="90" spans="1:14">
      <c r="B90" s="341" t="s">
        <v>50</v>
      </c>
      <c r="H90" s="325"/>
    </row>
    <row r="91" spans="1:14">
      <c r="H91" s="325"/>
    </row>
    <row r="92" spans="1:14">
      <c r="B92" s="338" t="str">
        <f t="shared" ref="B92:B103" si="32">B76</f>
        <v>Age group</v>
      </c>
      <c r="C92" s="338" t="str">
        <f t="shared" ref="C92:N92" si="33">C76</f>
        <v>2016/17</v>
      </c>
      <c r="D92" s="338" t="str">
        <f t="shared" si="33"/>
        <v>2017/18</v>
      </c>
      <c r="E92" s="338" t="str">
        <f t="shared" si="33"/>
        <v>2018/19</v>
      </c>
      <c r="F92" s="338" t="str">
        <f t="shared" si="33"/>
        <v>2019/20</v>
      </c>
      <c r="G92" s="338" t="str">
        <f t="shared" si="33"/>
        <v>2020/21</v>
      </c>
      <c r="H92" s="338" t="str">
        <f t="shared" si="33"/>
        <v>2021/22</v>
      </c>
      <c r="I92" s="338" t="str">
        <f t="shared" si="33"/>
        <v>2022/23</v>
      </c>
      <c r="J92" s="338" t="str">
        <f t="shared" si="33"/>
        <v>2023/24</v>
      </c>
      <c r="K92" s="338" t="str">
        <f t="shared" si="33"/>
        <v>2024/25</v>
      </c>
      <c r="L92" s="338" t="str">
        <f t="shared" si="33"/>
        <v>2025/26</v>
      </c>
      <c r="M92" s="338" t="str">
        <f t="shared" si="33"/>
        <v>2026/27</v>
      </c>
      <c r="N92" s="338" t="str">
        <f t="shared" si="33"/>
        <v>2027/28</v>
      </c>
    </row>
    <row r="93" spans="1:14">
      <c r="B93" s="338" t="str">
        <f t="shared" si="32"/>
        <v>20-24</v>
      </c>
      <c r="C93" s="459">
        <f>C59-(0.2*C59)</f>
        <v>115.22066098614516</v>
      </c>
      <c r="D93" s="459">
        <f t="shared" ref="D93:N93" si="34">D59-(0.2*D59)</f>
        <v>143.17424408901152</v>
      </c>
      <c r="E93" s="459">
        <f t="shared" si="34"/>
        <v>168.41399297999433</v>
      </c>
      <c r="F93" s="459">
        <f t="shared" si="34"/>
        <v>187.5235819070991</v>
      </c>
      <c r="G93" s="459">
        <f t="shared" si="34"/>
        <v>203.45804093506331</v>
      </c>
      <c r="H93" s="459">
        <f t="shared" si="34"/>
        <v>213.80453775014752</v>
      </c>
      <c r="I93" s="459">
        <f t="shared" si="34"/>
        <v>219.98453417947525</v>
      </c>
      <c r="J93" s="459">
        <f t="shared" si="34"/>
        <v>223.69275314370287</v>
      </c>
      <c r="K93" s="459">
        <f t="shared" si="34"/>
        <v>228.88527488773366</v>
      </c>
      <c r="L93" s="459">
        <f t="shared" si="34"/>
        <v>228.92326994258752</v>
      </c>
      <c r="M93" s="459">
        <f t="shared" si="34"/>
        <v>224.75021613487911</v>
      </c>
      <c r="N93" s="459">
        <f t="shared" si="34"/>
        <v>220.12051719012916</v>
      </c>
    </row>
    <row r="94" spans="1:14">
      <c r="B94" s="338" t="str">
        <f t="shared" si="32"/>
        <v>25-29</v>
      </c>
      <c r="C94" s="459">
        <f t="shared" ref="C94:C101" si="35">C60+(0.2*C59)-(0.2*C60)</f>
        <v>484.37499720977951</v>
      </c>
      <c r="D94" s="459">
        <f t="shared" ref="D94:N94" si="36">D60+(0.2*D59)-(0.2*D60)</f>
        <v>450.7720817128951</v>
      </c>
      <c r="E94" s="459">
        <f t="shared" si="36"/>
        <v>438.14514824157777</v>
      </c>
      <c r="F94" s="459">
        <f t="shared" si="36"/>
        <v>434.88946103471875</v>
      </c>
      <c r="G94" s="459">
        <f t="shared" si="36"/>
        <v>438.8876123601126</v>
      </c>
      <c r="H94" s="459">
        <f t="shared" si="36"/>
        <v>443.32341270754364</v>
      </c>
      <c r="I94" s="459">
        <f t="shared" si="36"/>
        <v>446.8493673801093</v>
      </c>
      <c r="J94" s="459">
        <f t="shared" si="36"/>
        <v>449.61390252083908</v>
      </c>
      <c r="K94" s="459">
        <f t="shared" si="36"/>
        <v>455.55429568561061</v>
      </c>
      <c r="L94" s="459">
        <f t="shared" si="36"/>
        <v>456.08898517264191</v>
      </c>
      <c r="M94" s="459">
        <f t="shared" si="36"/>
        <v>451.09133513418823</v>
      </c>
      <c r="N94" s="459">
        <f t="shared" si="36"/>
        <v>444.59396809145403</v>
      </c>
    </row>
    <row r="95" spans="1:14">
      <c r="B95" s="338" t="str">
        <f t="shared" si="32"/>
        <v>30-34</v>
      </c>
      <c r="C95" s="459">
        <f t="shared" si="35"/>
        <v>588.92289091742794</v>
      </c>
      <c r="D95" s="459">
        <f t="shared" ref="D95:N95" si="37">D61+(0.2*D60)-(0.2*D61)</f>
        <v>565.20452670165946</v>
      </c>
      <c r="E95" s="459">
        <f t="shared" si="37"/>
        <v>545.86519900900373</v>
      </c>
      <c r="F95" s="459">
        <f t="shared" si="37"/>
        <v>530.2975873504945</v>
      </c>
      <c r="G95" s="459">
        <f t="shared" si="37"/>
        <v>520.1117797741166</v>
      </c>
      <c r="H95" s="459">
        <f t="shared" si="37"/>
        <v>512.61005846683418</v>
      </c>
      <c r="I95" s="459">
        <f t="shared" si="37"/>
        <v>507.00936226368162</v>
      </c>
      <c r="J95" s="459">
        <f t="shared" si="37"/>
        <v>503.01828422128136</v>
      </c>
      <c r="K95" s="459">
        <f t="shared" si="37"/>
        <v>502.57106407765707</v>
      </c>
      <c r="L95" s="459">
        <f t="shared" si="37"/>
        <v>500.49384643535689</v>
      </c>
      <c r="M95" s="459">
        <f t="shared" si="37"/>
        <v>495.83213868268689</v>
      </c>
      <c r="N95" s="459">
        <f t="shared" si="37"/>
        <v>490.24385807474783</v>
      </c>
    </row>
    <row r="96" spans="1:14">
      <c r="B96" s="338" t="str">
        <f t="shared" si="32"/>
        <v>35-39</v>
      </c>
      <c r="C96" s="459">
        <f t="shared" si="35"/>
        <v>613.08963331065343</v>
      </c>
      <c r="D96" s="459">
        <f t="shared" ref="D96:N96" si="38">D62+(0.2*D61)-(0.2*D62)</f>
        <v>588.8806073065731</v>
      </c>
      <c r="E96" s="459">
        <f t="shared" si="38"/>
        <v>569.35778443716219</v>
      </c>
      <c r="F96" s="459">
        <f t="shared" si="38"/>
        <v>552.00657006485812</v>
      </c>
      <c r="G96" s="459">
        <f t="shared" si="38"/>
        <v>537.5352574202484</v>
      </c>
      <c r="H96" s="459">
        <f t="shared" si="38"/>
        <v>524.52082648512953</v>
      </c>
      <c r="I96" s="459">
        <f t="shared" si="38"/>
        <v>512.97943752562321</v>
      </c>
      <c r="J96" s="459">
        <f t="shared" si="38"/>
        <v>503.11697515936783</v>
      </c>
      <c r="K96" s="459">
        <f t="shared" si="38"/>
        <v>496.3917621541205</v>
      </c>
      <c r="L96" s="459">
        <f t="shared" si="38"/>
        <v>489.54610926652407</v>
      </c>
      <c r="M96" s="459">
        <f t="shared" si="38"/>
        <v>482.04988671361616</v>
      </c>
      <c r="N96" s="459">
        <f t="shared" si="38"/>
        <v>474.86421169044837</v>
      </c>
    </row>
    <row r="97" spans="1:14">
      <c r="B97" s="338" t="str">
        <f t="shared" si="32"/>
        <v>40-44</v>
      </c>
      <c r="C97" s="459">
        <f t="shared" si="35"/>
        <v>455.46635638021075</v>
      </c>
      <c r="D97" s="459">
        <f t="shared" ref="D97:N97" si="39">D63+(0.2*D62)-(0.2*D63)</f>
        <v>474.13344064712498</v>
      </c>
      <c r="E97" s="459">
        <f t="shared" si="39"/>
        <v>485.63782224048293</v>
      </c>
      <c r="F97" s="459">
        <f t="shared" si="39"/>
        <v>490.99420944037826</v>
      </c>
      <c r="G97" s="459">
        <f t="shared" si="39"/>
        <v>492.70194461656786</v>
      </c>
      <c r="H97" s="459">
        <f t="shared" si="39"/>
        <v>490.88174776841777</v>
      </c>
      <c r="I97" s="459">
        <f t="shared" si="39"/>
        <v>486.65058722613162</v>
      </c>
      <c r="J97" s="459">
        <f t="shared" si="39"/>
        <v>481.11552974637516</v>
      </c>
      <c r="K97" s="459">
        <f t="shared" si="39"/>
        <v>476.25917509297267</v>
      </c>
      <c r="L97" s="459">
        <f t="shared" si="39"/>
        <v>469.93149320776087</v>
      </c>
      <c r="M97" s="459">
        <f t="shared" si="39"/>
        <v>462.27614258337036</v>
      </c>
      <c r="N97" s="459">
        <f t="shared" si="39"/>
        <v>454.5660844378915</v>
      </c>
    </row>
    <row r="98" spans="1:14">
      <c r="B98" s="338" t="str">
        <f t="shared" si="32"/>
        <v>45-49</v>
      </c>
      <c r="C98" s="459">
        <f t="shared" si="35"/>
        <v>275.95479748138592</v>
      </c>
      <c r="D98" s="459">
        <f t="shared" ref="D98:N98" si="40">D64+(0.2*D63)-(0.2*D64)</f>
        <v>307.2870525551557</v>
      </c>
      <c r="E98" s="459">
        <f t="shared" si="40"/>
        <v>335.53449518000627</v>
      </c>
      <c r="F98" s="459">
        <f t="shared" si="40"/>
        <v>358.79405147447903</v>
      </c>
      <c r="G98" s="459">
        <f t="shared" si="40"/>
        <v>377.65072163906211</v>
      </c>
      <c r="H98" s="459">
        <f t="shared" si="40"/>
        <v>391.48948224255832</v>
      </c>
      <c r="I98" s="459">
        <f t="shared" si="40"/>
        <v>400.92770848515772</v>
      </c>
      <c r="J98" s="459">
        <f t="shared" si="40"/>
        <v>406.85231970461024</v>
      </c>
      <c r="K98" s="459">
        <f t="shared" si="40"/>
        <v>411.03517429686804</v>
      </c>
      <c r="L98" s="459">
        <f t="shared" si="40"/>
        <v>411.9922466966978</v>
      </c>
      <c r="M98" s="459">
        <f t="shared" si="40"/>
        <v>410.12816246749458</v>
      </c>
      <c r="N98" s="459">
        <f t="shared" si="40"/>
        <v>406.79372483238632</v>
      </c>
    </row>
    <row r="99" spans="1:14">
      <c r="B99" s="338" t="str">
        <f t="shared" si="32"/>
        <v>50-54</v>
      </c>
      <c r="C99" s="459">
        <f t="shared" si="35"/>
        <v>218.9591279323115</v>
      </c>
      <c r="D99" s="459">
        <f t="shared" ref="D99:N99" si="41">D65+(0.2*D64)-(0.2*D65)</f>
        <v>221.37121361922948</v>
      </c>
      <c r="E99" s="459">
        <f t="shared" si="41"/>
        <v>230.16148595075128</v>
      </c>
      <c r="F99" s="459">
        <f t="shared" si="41"/>
        <v>241.86977565478105</v>
      </c>
      <c r="G99" s="459">
        <f t="shared" si="41"/>
        <v>255.03141413149865</v>
      </c>
      <c r="H99" s="459">
        <f t="shared" si="41"/>
        <v>267.58873751298847</v>
      </c>
      <c r="I99" s="459">
        <f t="shared" si="41"/>
        <v>278.74982965258596</v>
      </c>
      <c r="J99" s="459">
        <f t="shared" si="41"/>
        <v>288.23526759165208</v>
      </c>
      <c r="K99" s="459">
        <f t="shared" si="41"/>
        <v>296.69337026142216</v>
      </c>
      <c r="L99" s="459">
        <f t="shared" si="41"/>
        <v>302.55543825871729</v>
      </c>
      <c r="M99" s="459">
        <f t="shared" si="41"/>
        <v>305.84839679888535</v>
      </c>
      <c r="N99" s="459">
        <f t="shared" si="41"/>
        <v>307.43263323811789</v>
      </c>
    </row>
    <row r="100" spans="1:14">
      <c r="B100" s="338" t="str">
        <f t="shared" si="32"/>
        <v>55-59</v>
      </c>
      <c r="C100" s="459">
        <f t="shared" si="35"/>
        <v>137.43714832696429</v>
      </c>
      <c r="D100" s="459">
        <f t="shared" ref="D100:N100" si="42">D66+(0.2*D65)-(0.2*D66)</f>
        <v>131.67475270246001</v>
      </c>
      <c r="E100" s="459">
        <f t="shared" si="42"/>
        <v>129.56794530052983</v>
      </c>
      <c r="F100" s="459">
        <f t="shared" si="42"/>
        <v>130.05764880962869</v>
      </c>
      <c r="G100" s="459">
        <f t="shared" si="42"/>
        <v>132.82663241742262</v>
      </c>
      <c r="H100" s="459">
        <f t="shared" si="42"/>
        <v>136.64439436454671</v>
      </c>
      <c r="I100" s="459">
        <f t="shared" si="42"/>
        <v>140.9516503435419</v>
      </c>
      <c r="J100" s="459">
        <f t="shared" si="42"/>
        <v>145.39052641570026</v>
      </c>
      <c r="K100" s="459">
        <f t="shared" si="42"/>
        <v>150.1714890591461</v>
      </c>
      <c r="L100" s="459">
        <f t="shared" si="42"/>
        <v>153.90206333348794</v>
      </c>
      <c r="M100" s="459">
        <f t="shared" si="42"/>
        <v>156.45080553387726</v>
      </c>
      <c r="N100" s="459">
        <f t="shared" si="42"/>
        <v>158.27583120439317</v>
      </c>
    </row>
    <row r="101" spans="1:14">
      <c r="B101" s="338" t="str">
        <f t="shared" si="32"/>
        <v>60-64</v>
      </c>
      <c r="C101" s="459">
        <f t="shared" si="35"/>
        <v>53.716811981708155</v>
      </c>
      <c r="D101" s="459">
        <f t="shared" ref="D101:N101" si="43">D67+(0.2*D66)-(0.2*D67)</f>
        <v>50.905750825360087</v>
      </c>
      <c r="E101" s="459">
        <f t="shared" si="43"/>
        <v>49.248600486414205</v>
      </c>
      <c r="F101" s="459">
        <f t="shared" si="43"/>
        <v>48.276185657566188</v>
      </c>
      <c r="G101" s="459">
        <f t="shared" si="43"/>
        <v>48.118379130881536</v>
      </c>
      <c r="H101" s="459">
        <f t="shared" si="43"/>
        <v>48.365048737851431</v>
      </c>
      <c r="I101" s="459">
        <f t="shared" si="43"/>
        <v>48.937409186818186</v>
      </c>
      <c r="J101" s="459">
        <f t="shared" si="43"/>
        <v>49.77918417218774</v>
      </c>
      <c r="K101" s="459">
        <f t="shared" si="43"/>
        <v>51.067558574343757</v>
      </c>
      <c r="L101" s="459">
        <f t="shared" si="43"/>
        <v>52.031699766516851</v>
      </c>
      <c r="M101" s="459">
        <f t="shared" si="43"/>
        <v>52.640042270426932</v>
      </c>
      <c r="N101" s="459">
        <f t="shared" si="43"/>
        <v>53.146212930896326</v>
      </c>
    </row>
    <row r="102" spans="1:14">
      <c r="B102" s="338" t="str">
        <f t="shared" si="32"/>
        <v>65 plus</v>
      </c>
      <c r="C102" s="459">
        <f>C68+(0.2*C67)</f>
        <v>15.208513588026229</v>
      </c>
      <c r="D102" s="459">
        <f t="shared" ref="D102:N102" si="44">D68+(0.2*D67)</f>
        <v>15.845059385994425</v>
      </c>
      <c r="E102" s="459">
        <f t="shared" si="44"/>
        <v>16.023684839953994</v>
      </c>
      <c r="F102" s="459">
        <f t="shared" si="44"/>
        <v>15.96088858689113</v>
      </c>
      <c r="G102" s="459">
        <f t="shared" si="44"/>
        <v>15.898341953447559</v>
      </c>
      <c r="H102" s="459">
        <f t="shared" si="44"/>
        <v>15.813580457914657</v>
      </c>
      <c r="I102" s="459">
        <f t="shared" si="44"/>
        <v>15.757887920439712</v>
      </c>
      <c r="J102" s="459">
        <f t="shared" si="44"/>
        <v>15.771435835388168</v>
      </c>
      <c r="K102" s="459">
        <f t="shared" si="44"/>
        <v>15.963441670350754</v>
      </c>
      <c r="L102" s="459">
        <f t="shared" si="44"/>
        <v>16.078919120388349</v>
      </c>
      <c r="M102" s="459">
        <f t="shared" si="44"/>
        <v>16.100571480003385</v>
      </c>
      <c r="N102" s="459">
        <f t="shared" si="44"/>
        <v>16.123526215230747</v>
      </c>
    </row>
    <row r="103" spans="1:14">
      <c r="B103" s="338" t="str">
        <f t="shared" si="32"/>
        <v>Total</v>
      </c>
      <c r="C103" s="459">
        <f>SUM(C93:C102)</f>
        <v>2958.3509381146127</v>
      </c>
      <c r="D103" s="459">
        <f t="shared" ref="D103:N103" si="45">SUM(D93:D102)</f>
        <v>2949.2487295454634</v>
      </c>
      <c r="E103" s="459">
        <f t="shared" si="45"/>
        <v>2967.9561586658765</v>
      </c>
      <c r="F103" s="459">
        <f t="shared" si="45"/>
        <v>2990.6699599808944</v>
      </c>
      <c r="G103" s="459">
        <f t="shared" si="45"/>
        <v>3022.2201243784211</v>
      </c>
      <c r="H103" s="459">
        <f t="shared" si="45"/>
        <v>3045.0418264939321</v>
      </c>
      <c r="I103" s="459">
        <f t="shared" si="45"/>
        <v>3058.7977741635646</v>
      </c>
      <c r="J103" s="459">
        <f t="shared" si="45"/>
        <v>3066.5861785111051</v>
      </c>
      <c r="K103" s="459">
        <f t="shared" si="45"/>
        <v>3084.5926057602255</v>
      </c>
      <c r="L103" s="459">
        <f t="shared" si="45"/>
        <v>3081.5440712006798</v>
      </c>
      <c r="M103" s="459">
        <f t="shared" si="45"/>
        <v>3057.1676977994289</v>
      </c>
      <c r="N103" s="459">
        <f t="shared" si="45"/>
        <v>3026.1605679056956</v>
      </c>
    </row>
    <row r="104" spans="1:14">
      <c r="A104" s="309">
        <f>SUM(C104:N104)</f>
        <v>0</v>
      </c>
      <c r="C104" s="309">
        <f>SUM(C93:C102)-C103</f>
        <v>0</v>
      </c>
      <c r="D104" s="309">
        <f t="shared" ref="D104:N104" si="46">SUM(D93:D102)-D103</f>
        <v>0</v>
      </c>
      <c r="E104" s="309">
        <f t="shared" si="46"/>
        <v>0</v>
      </c>
      <c r="F104" s="309">
        <f t="shared" si="46"/>
        <v>0</v>
      </c>
      <c r="G104" s="309">
        <f t="shared" si="46"/>
        <v>0</v>
      </c>
      <c r="H104" s="309">
        <f t="shared" si="46"/>
        <v>0</v>
      </c>
      <c r="I104" s="309">
        <f t="shared" si="46"/>
        <v>0</v>
      </c>
      <c r="J104" s="309">
        <f t="shared" si="46"/>
        <v>0</v>
      </c>
      <c r="K104" s="309">
        <f t="shared" si="46"/>
        <v>0</v>
      </c>
      <c r="L104" s="309">
        <f t="shared" si="46"/>
        <v>0</v>
      </c>
      <c r="M104" s="309">
        <f t="shared" si="46"/>
        <v>0</v>
      </c>
      <c r="N104" s="309">
        <f t="shared" si="46"/>
        <v>0</v>
      </c>
    </row>
    <row r="106" spans="1:14" ht="15.75">
      <c r="B106" s="340" t="s">
        <v>151</v>
      </c>
      <c r="H106" s="325"/>
    </row>
    <row r="107" spans="1:14">
      <c r="H107" s="325"/>
    </row>
    <row r="108" spans="1:14">
      <c r="B108" s="341" t="s">
        <v>49</v>
      </c>
      <c r="H108" s="325"/>
    </row>
    <row r="109" spans="1:14">
      <c r="H109" s="325"/>
    </row>
    <row r="110" spans="1:14">
      <c r="B110" s="338" t="str">
        <f t="shared" ref="B110:B121" si="47">B76</f>
        <v>Age group</v>
      </c>
      <c r="C110" s="338" t="str">
        <f t="shared" ref="C110:N110" si="48">C76</f>
        <v>2016/17</v>
      </c>
      <c r="D110" s="338" t="str">
        <f t="shared" si="48"/>
        <v>2017/18</v>
      </c>
      <c r="E110" s="338" t="str">
        <f t="shared" si="48"/>
        <v>2018/19</v>
      </c>
      <c r="F110" s="338" t="str">
        <f t="shared" si="48"/>
        <v>2019/20</v>
      </c>
      <c r="G110" s="338" t="str">
        <f t="shared" si="48"/>
        <v>2020/21</v>
      </c>
      <c r="H110" s="338" t="str">
        <f t="shared" si="48"/>
        <v>2021/22</v>
      </c>
      <c r="I110" s="338" t="str">
        <f t="shared" si="48"/>
        <v>2022/23</v>
      </c>
      <c r="J110" s="338" t="str">
        <f t="shared" si="48"/>
        <v>2023/24</v>
      </c>
      <c r="K110" s="338" t="str">
        <f t="shared" si="48"/>
        <v>2024/25</v>
      </c>
      <c r="L110" s="338" t="str">
        <f t="shared" si="48"/>
        <v>2025/26</v>
      </c>
      <c r="M110" s="338" t="str">
        <f t="shared" si="48"/>
        <v>2026/27</v>
      </c>
      <c r="N110" s="338" t="str">
        <f t="shared" si="48"/>
        <v>2027/28</v>
      </c>
    </row>
    <row r="111" spans="1:14">
      <c r="B111" s="338" t="str">
        <f t="shared" si="47"/>
        <v>20-24</v>
      </c>
      <c r="C111" s="459">
        <f>C77*Group_3_rates!E74</f>
        <v>8.0379305595128674</v>
      </c>
      <c r="D111" s="459">
        <f>D77*Group_3_rates!F74</f>
        <v>10.733895435340445</v>
      </c>
      <c r="E111" s="459">
        <f>E77*Group_3_rates!G74</f>
        <v>13.090751659624678</v>
      </c>
      <c r="F111" s="459">
        <f>F77*Group_3_rates!H74</f>
        <v>14.861710836651898</v>
      </c>
      <c r="G111" s="459">
        <f>G77*Group_3_rates!I74</f>
        <v>16.313234490204842</v>
      </c>
      <c r="H111" s="459">
        <f>H77*Group_3_rates!J74</f>
        <v>17.264374365347773</v>
      </c>
      <c r="I111" s="459">
        <f>I77*Group_3_rates!K74</f>
        <v>17.843972875081878</v>
      </c>
      <c r="J111" s="459">
        <f>J77*Group_3_rates!L74</f>
        <v>18.199739231434389</v>
      </c>
      <c r="K111" s="459">
        <f>K77*Group_3_rates!M74</f>
        <v>18.662378563451178</v>
      </c>
      <c r="L111" s="459">
        <f>L77*Group_3_rates!N74</f>
        <v>18.691421110057547</v>
      </c>
      <c r="M111" s="459">
        <f>M77*Group_3_rates!O74</f>
        <v>18.367515381978183</v>
      </c>
      <c r="N111" s="459">
        <f>N77*Group_3_rates!P74</f>
        <v>18.000978210452853</v>
      </c>
    </row>
    <row r="112" spans="1:14">
      <c r="B112" s="338" t="str">
        <f t="shared" si="47"/>
        <v>25-29</v>
      </c>
      <c r="C112" s="459">
        <f>C78*Group_3_rates!E75</f>
        <v>29.335054155455126</v>
      </c>
      <c r="D112" s="459">
        <f>D78*Group_3_rates!F75</f>
        <v>27.580146322082754</v>
      </c>
      <c r="E112" s="459">
        <f>E78*Group_3_rates!G75</f>
        <v>27.099889534982694</v>
      </c>
      <c r="F112" s="459">
        <f>F78*Group_3_rates!H75</f>
        <v>27.163937144243164</v>
      </c>
      <c r="G112" s="459">
        <f>G78*Group_3_rates!I75</f>
        <v>27.643594911124158</v>
      </c>
      <c r="H112" s="459">
        <f>H78*Group_3_rates!J75</f>
        <v>28.112160111212578</v>
      </c>
      <c r="I112" s="459">
        <f>I78*Group_3_rates!K75</f>
        <v>28.488740417289936</v>
      </c>
      <c r="J112" s="459">
        <f>J78*Group_3_rates!L75</f>
        <v>28.787478537161032</v>
      </c>
      <c r="K112" s="459">
        <f>K78*Group_3_rates!M75</f>
        <v>29.263518299644268</v>
      </c>
      <c r="L112" s="459">
        <f>L78*Group_3_rates!N75</f>
        <v>29.376718033293841</v>
      </c>
      <c r="M112" s="459">
        <f>M78*Group_3_rates!O75</f>
        <v>29.12060090458683</v>
      </c>
      <c r="N112" s="459">
        <f>N78*Group_3_rates!P75</f>
        <v>28.753239593688509</v>
      </c>
    </row>
    <row r="113" spans="1:14">
      <c r="B113" s="338" t="str">
        <f t="shared" si="47"/>
        <v>30-34</v>
      </c>
      <c r="C113" s="459">
        <f>C79*Group_3_rates!E76</f>
        <v>26.464323178783552</v>
      </c>
      <c r="D113" s="459">
        <f>D79*Group_3_rates!F76</f>
        <v>26.02727273027503</v>
      </c>
      <c r="E113" s="459">
        <f>E79*Group_3_rates!G76</f>
        <v>25.654220063145264</v>
      </c>
      <c r="F113" s="459">
        <f>F79*Group_3_rates!H76</f>
        <v>25.349495997257584</v>
      </c>
      <c r="G113" s="459">
        <f>G79*Group_3_rates!I76</f>
        <v>25.213094797664539</v>
      </c>
      <c r="H113" s="459">
        <f>H79*Group_3_rates!J76</f>
        <v>25.138654371127796</v>
      </c>
      <c r="I113" s="459">
        <f>I79*Group_3_rates!K76</f>
        <v>25.102652340391334</v>
      </c>
      <c r="J113" s="459">
        <f>J79*Group_3_rates!L76</f>
        <v>25.101188188994225</v>
      </c>
      <c r="K113" s="459">
        <f>K79*Group_3_rates!M76</f>
        <v>25.232869590097675</v>
      </c>
      <c r="L113" s="459">
        <f>L79*Group_3_rates!N76</f>
        <v>25.263068759677815</v>
      </c>
      <c r="M113" s="459">
        <f>M79*Group_3_rates!O76</f>
        <v>25.14871612091174</v>
      </c>
      <c r="N113" s="459">
        <f>N79*Group_3_rates!P76</f>
        <v>24.968375479730838</v>
      </c>
    </row>
    <row r="114" spans="1:14">
      <c r="B114" s="338" t="str">
        <f t="shared" si="47"/>
        <v>35-39</v>
      </c>
      <c r="C114" s="459">
        <f>C80*Group_3_rates!E77</f>
        <v>24.580929100046543</v>
      </c>
      <c r="D114" s="459">
        <f>D80*Group_3_rates!F77</f>
        <v>24.789106613676076</v>
      </c>
      <c r="E114" s="459">
        <f>E80*Group_3_rates!G77</f>
        <v>24.986345474347111</v>
      </c>
      <c r="F114" s="459">
        <f>F80*Group_3_rates!H77</f>
        <v>25.090064627707896</v>
      </c>
      <c r="G114" s="459">
        <f>G80*Group_3_rates!I77</f>
        <v>25.164240427108876</v>
      </c>
      <c r="H114" s="459">
        <f>H80*Group_3_rates!J77</f>
        <v>25.170662774910813</v>
      </c>
      <c r="I114" s="459">
        <f>I80*Group_3_rates!K77</f>
        <v>25.133700021720845</v>
      </c>
      <c r="J114" s="459">
        <f>J80*Group_3_rates!L77</f>
        <v>25.083010591986696</v>
      </c>
      <c r="K114" s="459">
        <f>K80*Group_3_rates!M77</f>
        <v>25.103818030504037</v>
      </c>
      <c r="L114" s="459">
        <f>L80*Group_3_rates!N77</f>
        <v>25.058993131259129</v>
      </c>
      <c r="M114" s="459">
        <f>M80*Group_3_rates!O77</f>
        <v>24.933611844554079</v>
      </c>
      <c r="N114" s="459">
        <f>N80*Group_3_rates!P77</f>
        <v>24.779906751177442</v>
      </c>
    </row>
    <row r="115" spans="1:14">
      <c r="B115" s="338" t="str">
        <f t="shared" si="47"/>
        <v>40-44</v>
      </c>
      <c r="C115" s="459">
        <f>C81*Group_3_rates!E78</f>
        <v>22.279886580340495</v>
      </c>
      <c r="D115" s="459">
        <f>D81*Group_3_rates!F78</f>
        <v>23.011172339444837</v>
      </c>
      <c r="E115" s="459">
        <f>E81*Group_3_rates!G78</f>
        <v>23.712022685051963</v>
      </c>
      <c r="F115" s="459">
        <f>F81*Group_3_rates!H78</f>
        <v>24.298040621235231</v>
      </c>
      <c r="G115" s="459">
        <f>G81*Group_3_rates!I78</f>
        <v>24.804812424068995</v>
      </c>
      <c r="H115" s="459">
        <f>H81*Group_3_rates!J78</f>
        <v>25.175248063993678</v>
      </c>
      <c r="I115" s="459">
        <f>I81*Group_3_rates!K78</f>
        <v>25.426287002264491</v>
      </c>
      <c r="J115" s="459">
        <f>J81*Group_3_rates!L78</f>
        <v>25.590210000496889</v>
      </c>
      <c r="K115" s="459">
        <f>K81*Group_3_rates!M78</f>
        <v>25.756111397531424</v>
      </c>
      <c r="L115" s="459">
        <f>L81*Group_3_rates!N78</f>
        <v>25.805220284731568</v>
      </c>
      <c r="M115" s="459">
        <f>M81*Group_3_rates!O78</f>
        <v>25.742323935775474</v>
      </c>
      <c r="N115" s="459">
        <f>N81*Group_3_rates!P78</f>
        <v>25.633921874987276</v>
      </c>
    </row>
    <row r="116" spans="1:14">
      <c r="B116" s="338" t="str">
        <f t="shared" si="47"/>
        <v>45-49</v>
      </c>
      <c r="C116" s="459">
        <f>C82*Group_3_rates!E79</f>
        <v>18.138233175340417</v>
      </c>
      <c r="D116" s="459">
        <f>D82*Group_3_rates!F79</f>
        <v>19.140955445380399</v>
      </c>
      <c r="E116" s="459">
        <f>E82*Group_3_rates!G79</f>
        <v>20.133090971929466</v>
      </c>
      <c r="F116" s="459">
        <f>F82*Group_3_rates!H79</f>
        <v>21.030090914797015</v>
      </c>
      <c r="G116" s="459">
        <f>G82*Group_3_rates!I79</f>
        <v>21.856448789957657</v>
      </c>
      <c r="H116" s="459">
        <f>H82*Group_3_rates!J79</f>
        <v>22.550185679607573</v>
      </c>
      <c r="I116" s="459">
        <f>I82*Group_3_rates!K79</f>
        <v>23.114588208151673</v>
      </c>
      <c r="J116" s="459">
        <f>J82*Group_3_rates!L79</f>
        <v>23.568727846399455</v>
      </c>
      <c r="K116" s="459">
        <f>K82*Group_3_rates!M79</f>
        <v>23.986407607641869</v>
      </c>
      <c r="L116" s="459">
        <f>L82*Group_3_rates!N79</f>
        <v>24.257551864617703</v>
      </c>
      <c r="M116" s="459">
        <f>M82*Group_3_rates!O79</f>
        <v>24.386305222421619</v>
      </c>
      <c r="N116" s="459">
        <f>N82*Group_3_rates!P79</f>
        <v>24.436258327438193</v>
      </c>
    </row>
    <row r="117" spans="1:14">
      <c r="B117" s="338" t="str">
        <f t="shared" si="47"/>
        <v>50-54</v>
      </c>
      <c r="C117" s="459">
        <f>C83*Group_3_rates!E80</f>
        <v>16.682088857006949</v>
      </c>
      <c r="D117" s="459">
        <f>D83*Group_3_rates!F80</f>
        <v>16.271603153319333</v>
      </c>
      <c r="E117" s="459">
        <f>E83*Group_3_rates!G80</f>
        <v>16.250816645740532</v>
      </c>
      <c r="F117" s="459">
        <f>F83*Group_3_rates!H80</f>
        <v>16.442620197492019</v>
      </c>
      <c r="G117" s="459">
        <f>G83*Group_3_rates!I80</f>
        <v>16.785602709076201</v>
      </c>
      <c r="H117" s="459">
        <f>H83*Group_3_rates!J80</f>
        <v>17.172859889064672</v>
      </c>
      <c r="I117" s="459">
        <f>I83*Group_3_rates!K80</f>
        <v>17.563545854002996</v>
      </c>
      <c r="J117" s="459">
        <f>J83*Group_3_rates!L80</f>
        <v>17.939413284580201</v>
      </c>
      <c r="K117" s="459">
        <f>K83*Group_3_rates!M80</f>
        <v>18.332349607687657</v>
      </c>
      <c r="L117" s="459">
        <f>L83*Group_3_rates!N80</f>
        <v>18.637201652603515</v>
      </c>
      <c r="M117" s="459">
        <f>M83*Group_3_rates!O80</f>
        <v>18.84323325162449</v>
      </c>
      <c r="N117" s="459">
        <f>N83*Group_3_rates!P80</f>
        <v>18.989839408724951</v>
      </c>
    </row>
    <row r="118" spans="1:14">
      <c r="B118" s="338" t="str">
        <f t="shared" si="47"/>
        <v>55-59</v>
      </c>
      <c r="C118" s="459">
        <f>C84*Group_3_rates!E81</f>
        <v>7.4242638511345511</v>
      </c>
      <c r="D118" s="459">
        <f>D84*Group_3_rates!F81</f>
        <v>6.5995102645801431</v>
      </c>
      <c r="E118" s="459">
        <f>E84*Group_3_rates!G81</f>
        <v>6.0999874253712454</v>
      </c>
      <c r="F118" s="459">
        <f>F84*Group_3_rates!H81</f>
        <v>5.8088328359853865</v>
      </c>
      <c r="G118" s="459">
        <f>G84*Group_3_rates!I81</f>
        <v>5.671844600478809</v>
      </c>
      <c r="H118" s="459">
        <f>H84*Group_3_rates!J81</f>
        <v>5.6214939789019729</v>
      </c>
      <c r="I118" s="459">
        <f>I84*Group_3_rates!K81</f>
        <v>5.6261354020503695</v>
      </c>
      <c r="J118" s="459">
        <f>J84*Group_3_rates!L81</f>
        <v>5.666908862360633</v>
      </c>
      <c r="K118" s="459">
        <f>K84*Group_3_rates!M81</f>
        <v>5.7481232649182825</v>
      </c>
      <c r="L118" s="459">
        <f>L84*Group_3_rates!N81</f>
        <v>5.8156466524906527</v>
      </c>
      <c r="M118" s="459">
        <f>M84*Group_3_rates!O81</f>
        <v>5.8620884971869289</v>
      </c>
      <c r="N118" s="459">
        <f>N84*Group_3_rates!P81</f>
        <v>5.9014938915360462</v>
      </c>
    </row>
    <row r="119" spans="1:14">
      <c r="B119" s="338" t="str">
        <f t="shared" si="47"/>
        <v>60-64</v>
      </c>
      <c r="C119" s="459">
        <f>C85*Group_3_rates!E82</f>
        <v>1.1525669702924901</v>
      </c>
      <c r="D119" s="459">
        <f>D85*Group_3_rates!F82</f>
        <v>1.0864641099501078</v>
      </c>
      <c r="E119" s="459">
        <f>E85*Group_3_rates!G82</f>
        <v>1.0124500090234758</v>
      </c>
      <c r="F119" s="459">
        <f>F85*Group_3_rates!H82</f>
        <v>0.94831785457602247</v>
      </c>
      <c r="G119" s="459">
        <f>G85*Group_3_rates!I82</f>
        <v>0.90314037018710103</v>
      </c>
      <c r="H119" s="459">
        <f>H85*Group_3_rates!J82</f>
        <v>0.87172109127645869</v>
      </c>
      <c r="I119" s="459">
        <f>I85*Group_3_rates!K82</f>
        <v>0.85188448051798538</v>
      </c>
      <c r="J119" s="459">
        <f>J85*Group_3_rates!L82</f>
        <v>0.84163065690717587</v>
      </c>
      <c r="K119" s="459">
        <f>K85*Group_3_rates!M82</f>
        <v>0.8426965590813279</v>
      </c>
      <c r="L119" s="459">
        <f>L85*Group_3_rates!N82</f>
        <v>0.84297427645671874</v>
      </c>
      <c r="M119" s="459">
        <f>M85*Group_3_rates!O82</f>
        <v>0.84130451368909798</v>
      </c>
      <c r="N119" s="459">
        <f>N85*Group_3_rates!P82</f>
        <v>0.84098488735500965</v>
      </c>
    </row>
    <row r="120" spans="1:14">
      <c r="B120" s="338" t="str">
        <f t="shared" si="47"/>
        <v>65 plus</v>
      </c>
      <c r="C120" s="459">
        <f>C86*Group_3_rates!E83</f>
        <v>0.28932648743882289</v>
      </c>
      <c r="D120" s="459">
        <f>D86*Group_3_rates!F83</f>
        <v>0.35249169755768933</v>
      </c>
      <c r="E120" s="459">
        <f>E86*Group_3_rates!G83</f>
        <v>0.38042374188234562</v>
      </c>
      <c r="F120" s="459">
        <f>F86*Group_3_rates!H83</f>
        <v>0.38579997040010794</v>
      </c>
      <c r="G120" s="459">
        <f>G86*Group_3_rates!I83</f>
        <v>0.38115099518577283</v>
      </c>
      <c r="H120" s="459">
        <f>H86*Group_3_rates!J83</f>
        <v>0.371753552245078</v>
      </c>
      <c r="I120" s="459">
        <f>I86*Group_3_rates!K83</f>
        <v>0.36161026058078427</v>
      </c>
      <c r="J120" s="459">
        <f>J86*Group_3_rates!L83</f>
        <v>0.35297864419832786</v>
      </c>
      <c r="K120" s="459">
        <f>K86*Group_3_rates!M83</f>
        <v>0.34844567511063079</v>
      </c>
      <c r="L120" s="459">
        <f>L86*Group_3_rates!N83</f>
        <v>0.34395320060103146</v>
      </c>
      <c r="M120" s="459">
        <f>M86*Group_3_rates!O83</f>
        <v>0.33905177740750203</v>
      </c>
      <c r="N120" s="459">
        <f>N86*Group_3_rates!P83</f>
        <v>0.33519173589444229</v>
      </c>
    </row>
    <row r="121" spans="1:14">
      <c r="B121" s="338" t="str">
        <f t="shared" si="47"/>
        <v>Total</v>
      </c>
      <c r="C121" s="459">
        <f>SUM(C111:C120)</f>
        <v>154.38460291535182</v>
      </c>
      <c r="D121" s="459">
        <f t="shared" ref="D121:N121" si="49">SUM(D111:D120)</f>
        <v>155.59261811160684</v>
      </c>
      <c r="E121" s="459">
        <f t="shared" si="49"/>
        <v>158.41999821109877</v>
      </c>
      <c r="F121" s="459">
        <f t="shared" si="49"/>
        <v>161.37891100034633</v>
      </c>
      <c r="G121" s="459">
        <f t="shared" si="49"/>
        <v>164.73716451505697</v>
      </c>
      <c r="H121" s="459">
        <f t="shared" si="49"/>
        <v>167.44911387768843</v>
      </c>
      <c r="I121" s="459">
        <f t="shared" si="49"/>
        <v>169.5131168620523</v>
      </c>
      <c r="J121" s="459">
        <f t="shared" si="49"/>
        <v>171.131285844519</v>
      </c>
      <c r="K121" s="459">
        <f t="shared" si="49"/>
        <v>173.2767185956684</v>
      </c>
      <c r="L121" s="459">
        <f t="shared" si="49"/>
        <v>174.0927489657895</v>
      </c>
      <c r="M121" s="459">
        <f t="shared" si="49"/>
        <v>173.58475145013594</v>
      </c>
      <c r="N121" s="459">
        <f t="shared" si="49"/>
        <v>172.64019016098555</v>
      </c>
    </row>
    <row r="122" spans="1:14">
      <c r="A122" s="309">
        <f>SUM(C122:N122)</f>
        <v>0</v>
      </c>
      <c r="C122" s="309">
        <f>SUM(C111:C120)-C121</f>
        <v>0</v>
      </c>
      <c r="D122" s="309">
        <f t="shared" ref="D122:N122" si="50">SUM(D111:D120)-D121</f>
        <v>0</v>
      </c>
      <c r="E122" s="309">
        <f t="shared" si="50"/>
        <v>0</v>
      </c>
      <c r="F122" s="309">
        <f t="shared" si="50"/>
        <v>0</v>
      </c>
      <c r="G122" s="309">
        <f t="shared" si="50"/>
        <v>0</v>
      </c>
      <c r="H122" s="309">
        <f t="shared" si="50"/>
        <v>0</v>
      </c>
      <c r="I122" s="309">
        <f t="shared" si="50"/>
        <v>0</v>
      </c>
      <c r="J122" s="309">
        <f t="shared" si="50"/>
        <v>0</v>
      </c>
      <c r="K122" s="309">
        <f t="shared" si="50"/>
        <v>0</v>
      </c>
      <c r="L122" s="309">
        <f t="shared" si="50"/>
        <v>0</v>
      </c>
      <c r="M122" s="309">
        <f t="shared" si="50"/>
        <v>0</v>
      </c>
      <c r="N122" s="309">
        <f t="shared" si="50"/>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1">B110</f>
        <v>Age group</v>
      </c>
      <c r="C126" s="338" t="str">
        <f t="shared" ref="C126:N126" si="52">C110</f>
        <v>2016/17</v>
      </c>
      <c r="D126" s="338" t="str">
        <f t="shared" si="52"/>
        <v>2017/18</v>
      </c>
      <c r="E126" s="338" t="str">
        <f t="shared" si="52"/>
        <v>2018/19</v>
      </c>
      <c r="F126" s="338" t="str">
        <f t="shared" si="52"/>
        <v>2019/20</v>
      </c>
      <c r="G126" s="338" t="str">
        <f t="shared" si="52"/>
        <v>2020/21</v>
      </c>
      <c r="H126" s="338" t="str">
        <f t="shared" si="52"/>
        <v>2021/22</v>
      </c>
      <c r="I126" s="338" t="str">
        <f t="shared" si="52"/>
        <v>2022/23</v>
      </c>
      <c r="J126" s="338" t="str">
        <f t="shared" si="52"/>
        <v>2023/24</v>
      </c>
      <c r="K126" s="338" t="str">
        <f t="shared" si="52"/>
        <v>2024/25</v>
      </c>
      <c r="L126" s="338" t="str">
        <f t="shared" si="52"/>
        <v>2025/26</v>
      </c>
      <c r="M126" s="338" t="str">
        <f t="shared" si="52"/>
        <v>2026/27</v>
      </c>
      <c r="N126" s="338" t="str">
        <f t="shared" si="52"/>
        <v>2027/28</v>
      </c>
    </row>
    <row r="127" spans="1:14">
      <c r="B127" s="338" t="str">
        <f t="shared" si="51"/>
        <v>20-24</v>
      </c>
      <c r="C127" s="459">
        <f>C93*Group_3_rates!E89</f>
        <v>12.473517586776323</v>
      </c>
      <c r="D127" s="459">
        <f>D93*Group_3_rates!F89</f>
        <v>15.499706704793484</v>
      </c>
      <c r="E127" s="459">
        <f>E93*Group_3_rates!G89</f>
        <v>18.232102518035255</v>
      </c>
      <c r="F127" s="459">
        <f>F93*Group_3_rates!H89</f>
        <v>20.300861640906191</v>
      </c>
      <c r="G127" s="459">
        <f>G93*Group_3_rates!I89</f>
        <v>22.025888673557727</v>
      </c>
      <c r="H127" s="459">
        <f>H93*Group_3_rates!J89</f>
        <v>23.145976068300207</v>
      </c>
      <c r="I127" s="459">
        <f>I93*Group_3_rates!K89</f>
        <v>23.815007937130606</v>
      </c>
      <c r="J127" s="459">
        <f>J93*Group_3_rates!L89</f>
        <v>24.216450994912339</v>
      </c>
      <c r="K127" s="459">
        <f>K93*Group_3_rates!M89</f>
        <v>24.77858117833209</v>
      </c>
      <c r="L127" s="459">
        <f>L93*Group_3_rates!N89</f>
        <v>24.782694433549285</v>
      </c>
      <c r="M127" s="459">
        <f>M93*Group_3_rates!O89</f>
        <v>24.330929449600148</v>
      </c>
      <c r="N127" s="459">
        <f>N93*Group_3_rates!P89</f>
        <v>23.829729137828267</v>
      </c>
    </row>
    <row r="128" spans="1:14">
      <c r="B128" s="338" t="str">
        <f t="shared" si="51"/>
        <v>25-29</v>
      </c>
      <c r="C128" s="459">
        <f>C94*Group_3_rates!E90</f>
        <v>44.462355639021915</v>
      </c>
      <c r="D128" s="459">
        <f>D94*Group_3_rates!F90</f>
        <v>41.377834786506881</v>
      </c>
      <c r="E128" s="459">
        <f>E94*Group_3_rates!G90</f>
        <v>40.218767514525389</v>
      </c>
      <c r="F128" s="459">
        <f>F94*Group_3_rates!H90</f>
        <v>39.919917401958401</v>
      </c>
      <c r="G128" s="459">
        <f>G94*Group_3_rates!I90</f>
        <v>40.28692070962768</v>
      </c>
      <c r="H128" s="459">
        <f>H94*Group_3_rates!J90</f>
        <v>40.694097243774337</v>
      </c>
      <c r="I128" s="459">
        <f>I94*Group_3_rates!K90</f>
        <v>41.017756085625727</v>
      </c>
      <c r="J128" s="459">
        <f>J94*Group_3_rates!L90</f>
        <v>41.271521753366137</v>
      </c>
      <c r="K128" s="459">
        <f>K94*Group_3_rates!M90</f>
        <v>41.816809753467631</v>
      </c>
      <c r="L128" s="459">
        <f>L94*Group_3_rates!N90</f>
        <v>41.865890639693752</v>
      </c>
      <c r="M128" s="459">
        <f>M94*Group_3_rates!O90</f>
        <v>41.407140095902037</v>
      </c>
      <c r="N128" s="459">
        <f>N94*Group_3_rates!P90</f>
        <v>40.810725652886944</v>
      </c>
    </row>
    <row r="129" spans="1:14">
      <c r="B129" s="338" t="str">
        <f t="shared" si="51"/>
        <v>30-34</v>
      </c>
      <c r="C129" s="459">
        <f>C95*Group_3_rates!E91</f>
        <v>51.10975868237238</v>
      </c>
      <c r="D129" s="459">
        <f>D95*Group_3_rates!F91</f>
        <v>49.051356996677825</v>
      </c>
      <c r="E129" s="459">
        <f>E95*Group_3_rates!G91</f>
        <v>47.37299063209116</v>
      </c>
      <c r="F129" s="459">
        <f>F95*Group_3_rates!H91</f>
        <v>46.021953191709422</v>
      </c>
      <c r="G129" s="459">
        <f>G95*Group_3_rates!I91</f>
        <v>45.137976400787323</v>
      </c>
      <c r="H129" s="459">
        <f>H95*Group_3_rates!J91</f>
        <v>44.486938426834001</v>
      </c>
      <c r="I129" s="459">
        <f>I95*Group_3_rates!K91</f>
        <v>44.000881192837738</v>
      </c>
      <c r="J129" s="459">
        <f>J95*Group_3_rates!L91</f>
        <v>43.654514904864406</v>
      </c>
      <c r="K129" s="459">
        <f>K95*Group_3_rates!M91</f>
        <v>43.615702839700958</v>
      </c>
      <c r="L129" s="459">
        <f>L95*Group_3_rates!N91</f>
        <v>43.435431204710945</v>
      </c>
      <c r="M129" s="459">
        <f>M95*Group_3_rates!O91</f>
        <v>43.03086421986248</v>
      </c>
      <c r="N129" s="459">
        <f>N95*Group_3_rates!P91</f>
        <v>42.545884475101303</v>
      </c>
    </row>
    <row r="130" spans="1:14">
      <c r="B130" s="338" t="str">
        <f t="shared" si="51"/>
        <v>35-39</v>
      </c>
      <c r="C130" s="459">
        <f>C96*Group_3_rates!E92</f>
        <v>48.781829945785098</v>
      </c>
      <c r="D130" s="459">
        <f>D96*Group_3_rates!F92</f>
        <v>46.855585355239654</v>
      </c>
      <c r="E130" s="459">
        <f>E96*Group_3_rates!G92</f>
        <v>45.302208860950238</v>
      </c>
      <c r="F130" s="459">
        <f>F96*Group_3_rates!H92</f>
        <v>43.921621190119872</v>
      </c>
      <c r="G130" s="459">
        <f>G96*Group_3_rates!I92</f>
        <v>42.770179257054366</v>
      </c>
      <c r="H130" s="459">
        <f>H96*Group_3_rates!J92</f>
        <v>41.734657332976347</v>
      </c>
      <c r="I130" s="459">
        <f>I96*Group_3_rates!K92</f>
        <v>40.816341245130317</v>
      </c>
      <c r="J130" s="459">
        <f>J96*Group_3_rates!L92</f>
        <v>40.031612657567329</v>
      </c>
      <c r="K130" s="459">
        <f>K96*Group_3_rates!M92</f>
        <v>39.496506240256693</v>
      </c>
      <c r="L130" s="459">
        <f>L96*Group_3_rates!N92</f>
        <v>38.951816757860257</v>
      </c>
      <c r="M130" s="459">
        <f>M96*Group_3_rates!O92</f>
        <v>38.355363264042289</v>
      </c>
      <c r="N130" s="459">
        <f>N96*Group_3_rates!P92</f>
        <v>37.783619169898991</v>
      </c>
    </row>
    <row r="131" spans="1:14">
      <c r="B131" s="338" t="str">
        <f t="shared" si="51"/>
        <v>40-44</v>
      </c>
      <c r="C131" s="459">
        <f>C97*Group_3_rates!E93</f>
        <v>34.678365073986861</v>
      </c>
      <c r="D131" s="459">
        <f>D97*Group_3_rates!F93</f>
        <v>36.099642307764675</v>
      </c>
      <c r="E131" s="459">
        <f>E97*Group_3_rates!G93</f>
        <v>36.975564621798092</v>
      </c>
      <c r="F131" s="459">
        <f>F97*Group_3_rates!H93</f>
        <v>37.383390025790256</v>
      </c>
      <c r="G131" s="459">
        <f>G97*Group_3_rates!I93</f>
        <v>37.513413820215497</v>
      </c>
      <c r="H131" s="459">
        <f>H97*Group_3_rates!J93</f>
        <v>37.374827402311169</v>
      </c>
      <c r="I131" s="459">
        <f>I97*Group_3_rates!K93</f>
        <v>37.052674672660238</v>
      </c>
      <c r="J131" s="459">
        <f>J97*Group_3_rates!L93</f>
        <v>36.631245644369365</v>
      </c>
      <c r="K131" s="459">
        <f>K97*Group_3_rates!M93</f>
        <v>36.261491792651583</v>
      </c>
      <c r="L131" s="459">
        <f>L97*Group_3_rates!N93</f>
        <v>35.779713809681859</v>
      </c>
      <c r="M131" s="459">
        <f>M97*Group_3_rates!O93</f>
        <v>35.196849587103856</v>
      </c>
      <c r="N131" s="459">
        <f>N97*Group_3_rates!P93</f>
        <v>34.609820035161746</v>
      </c>
    </row>
    <row r="132" spans="1:14">
      <c r="B132" s="338" t="str">
        <f t="shared" si="51"/>
        <v>45-49</v>
      </c>
      <c r="C132" s="459">
        <f>C98*Group_3_rates!E94</f>
        <v>21.920745988924271</v>
      </c>
      <c r="D132" s="459">
        <f>D98*Group_3_rates!F94</f>
        <v>24.409655082010865</v>
      </c>
      <c r="E132" s="459">
        <f>E98*Group_3_rates!G94</f>
        <v>26.653519005622591</v>
      </c>
      <c r="F132" s="459">
        <f>F98*Group_3_rates!H94</f>
        <v>28.501165178110728</v>
      </c>
      <c r="G132" s="459">
        <f>G98*Group_3_rates!I94</f>
        <v>29.999063676877125</v>
      </c>
      <c r="H132" s="459">
        <f>H98*Group_3_rates!J94</f>
        <v>31.098359499089582</v>
      </c>
      <c r="I132" s="459">
        <f>I98*Group_3_rates!K94</f>
        <v>31.848094462707948</v>
      </c>
      <c r="J132" s="459">
        <f>J98*Group_3_rates!L94</f>
        <v>32.318721894483289</v>
      </c>
      <c r="K132" s="459">
        <f>K98*Group_3_rates!M94</f>
        <v>32.650991142426605</v>
      </c>
      <c r="L132" s="459">
        <f>L98*Group_3_rates!N94</f>
        <v>32.727017147994033</v>
      </c>
      <c r="M132" s="459">
        <f>M98*Group_3_rates!O94</f>
        <v>32.578941748460238</v>
      </c>
      <c r="N132" s="459">
        <f>N98*Group_3_rates!P94</f>
        <v>32.314067352065486</v>
      </c>
    </row>
    <row r="133" spans="1:14">
      <c r="B133" s="338" t="str">
        <f t="shared" si="51"/>
        <v>50-54</v>
      </c>
      <c r="C133" s="459">
        <f>C99*Group_3_rates!E95</f>
        <v>19.248441731711726</v>
      </c>
      <c r="D133" s="459">
        <f>D99*Group_3_rates!F95</f>
        <v>19.460485373075194</v>
      </c>
      <c r="E133" s="459">
        <f>E99*Group_3_rates!G95</f>
        <v>20.233227968357546</v>
      </c>
      <c r="F133" s="459">
        <f>F99*Group_3_rates!H95</f>
        <v>21.262490069801824</v>
      </c>
      <c r="G133" s="459">
        <f>G99*Group_3_rates!I95</f>
        <v>22.4195143679223</v>
      </c>
      <c r="H133" s="459">
        <f>H99*Group_3_rates!J95</f>
        <v>23.523414030372496</v>
      </c>
      <c r="I133" s="459">
        <f>I99*Group_3_rates!K95</f>
        <v>24.504572631706171</v>
      </c>
      <c r="J133" s="459">
        <f>J99*Group_3_rates!L95</f>
        <v>25.338426425306977</v>
      </c>
      <c r="K133" s="459">
        <f>K99*Group_3_rates!M95</f>
        <v>26.081968372780544</v>
      </c>
      <c r="L133" s="459">
        <f>L99*Group_3_rates!N95</f>
        <v>26.597295937969555</v>
      </c>
      <c r="M133" s="459">
        <f>M99*Group_3_rates!O95</f>
        <v>26.886776085172926</v>
      </c>
      <c r="N133" s="459">
        <f>N99*Group_3_rates!P95</f>
        <v>27.026044464060739</v>
      </c>
    </row>
    <row r="134" spans="1:14">
      <c r="B134" s="338" t="str">
        <f t="shared" si="51"/>
        <v>55-59</v>
      </c>
      <c r="C134" s="459">
        <f>C100*Group_3_rates!E96</f>
        <v>7.6371472054178469</v>
      </c>
      <c r="D134" s="459">
        <f>D100*Group_3_rates!F96</f>
        <v>7.3169407388554086</v>
      </c>
      <c r="E134" s="459">
        <f>E100*Group_3_rates!G96</f>
        <v>7.1998690558507059</v>
      </c>
      <c r="F134" s="459">
        <f>F100*Group_3_rates!H96</f>
        <v>7.2270810420678551</v>
      </c>
      <c r="G134" s="459">
        <f>G100*Group_3_rates!I96</f>
        <v>7.3809487239830966</v>
      </c>
      <c r="H134" s="459">
        <f>H100*Group_3_rates!J96</f>
        <v>7.5930952239676941</v>
      </c>
      <c r="I134" s="459">
        <f>I100*Group_3_rates!K96</f>
        <v>7.8324420698782662</v>
      </c>
      <c r="J134" s="459">
        <f>J100*Group_3_rates!L96</f>
        <v>8.0791028191906076</v>
      </c>
      <c r="K134" s="459">
        <f>K100*Group_3_rates!M96</f>
        <v>8.344772734028588</v>
      </c>
      <c r="L134" s="459">
        <f>L100*Group_3_rates!N96</f>
        <v>8.5520743641971162</v>
      </c>
      <c r="M134" s="459">
        <f>M100*Group_3_rates!O96</f>
        <v>8.6937036078913028</v>
      </c>
      <c r="N134" s="459">
        <f>N100*Group_3_rates!P96</f>
        <v>8.79511716215276</v>
      </c>
    </row>
    <row r="135" spans="1:14">
      <c r="B135" s="338" t="str">
        <f t="shared" si="51"/>
        <v>60-64</v>
      </c>
      <c r="C135" s="459">
        <f>C101*Group_3_rates!E97</f>
        <v>1.2777005971327962</v>
      </c>
      <c r="D135" s="459">
        <f>D101*Group_3_rates!F97</f>
        <v>1.2108370885674369</v>
      </c>
      <c r="E135" s="459">
        <f>E101*Group_3_rates!G97</f>
        <v>1.1714203417521014</v>
      </c>
      <c r="F135" s="459">
        <f>F101*Group_3_rates!H97</f>
        <v>1.1482906182699451</v>
      </c>
      <c r="G135" s="459">
        <f>G101*Group_3_rates!I97</f>
        <v>1.1445370542377926</v>
      </c>
      <c r="H135" s="459">
        <f>H101*Group_3_rates!J97</f>
        <v>1.150404303102585</v>
      </c>
      <c r="I135" s="459">
        <f>I101*Group_3_rates!K97</f>
        <v>1.1640183889062818</v>
      </c>
      <c r="J135" s="459">
        <f>J101*Group_3_rates!L97</f>
        <v>1.1840407312936962</v>
      </c>
      <c r="K135" s="459">
        <f>K101*Group_3_rates!M97</f>
        <v>1.2146858251150852</v>
      </c>
      <c r="L135" s="459">
        <f>L101*Group_3_rates!N97</f>
        <v>1.2376187530293361</v>
      </c>
      <c r="M135" s="459">
        <f>M101*Group_3_rates!O97</f>
        <v>1.2520887029729748</v>
      </c>
      <c r="N135" s="459">
        <f>N101*Group_3_rates!P97</f>
        <v>1.2641284076999246</v>
      </c>
    </row>
    <row r="136" spans="1:14">
      <c r="B136" s="338" t="str">
        <f t="shared" si="51"/>
        <v>65 plus</v>
      </c>
      <c r="C136" s="459">
        <f>C102*Group_3_rates!E98</f>
        <v>0.53007607748594798</v>
      </c>
      <c r="D136" s="459">
        <f>D102*Group_3_rates!F98</f>
        <v>0.55226218382528125</v>
      </c>
      <c r="E136" s="459">
        <f>E102*Group_3_rates!G98</f>
        <v>0.55848797830716812</v>
      </c>
      <c r="F136" s="459">
        <f>F102*Group_3_rates!H98</f>
        <v>0.5562992837110976</v>
      </c>
      <c r="G136" s="459">
        <f>G102*Group_3_rates!I98</f>
        <v>0.55411928933335497</v>
      </c>
      <c r="H136" s="459">
        <f>H102*Group_3_rates!J98</f>
        <v>0.55116502027781122</v>
      </c>
      <c r="I136" s="459">
        <f>I102*Group_3_rates!K98</f>
        <v>0.54922391790517688</v>
      </c>
      <c r="J136" s="459">
        <f>J102*Group_3_rates!L98</f>
        <v>0.54969611563656107</v>
      </c>
      <c r="K136" s="459">
        <f>K102*Group_3_rates!M98</f>
        <v>0.55638826863772695</v>
      </c>
      <c r="L136" s="459">
        <f>L102*Group_3_rates!N98</f>
        <v>0.56041310863275451</v>
      </c>
      <c r="M136" s="459">
        <f>M102*Group_3_rates!O98</f>
        <v>0.56116777790313532</v>
      </c>
      <c r="N136" s="459">
        <f>N102*Group_3_rates!P98</f>
        <v>0.56196784004850031</v>
      </c>
    </row>
    <row r="137" spans="1:14">
      <c r="B137" s="338" t="str">
        <f t="shared" si="51"/>
        <v>Total</v>
      </c>
      <c r="C137" s="459">
        <f>SUM(C127:C136)</f>
        <v>242.11993852861517</v>
      </c>
      <c r="D137" s="459">
        <f t="shared" ref="D137:N137" si="53">SUM(D127:D136)</f>
        <v>241.83430661731671</v>
      </c>
      <c r="E137" s="459">
        <f t="shared" si="53"/>
        <v>243.91815849729028</v>
      </c>
      <c r="F137" s="459">
        <f t="shared" si="53"/>
        <v>246.24306964244562</v>
      </c>
      <c r="G137" s="459">
        <f t="shared" si="53"/>
        <v>249.23256197359626</v>
      </c>
      <c r="H137" s="459">
        <f t="shared" si="53"/>
        <v>251.35293455100623</v>
      </c>
      <c r="I137" s="459">
        <f t="shared" si="53"/>
        <v>252.60101260448846</v>
      </c>
      <c r="J137" s="459">
        <f t="shared" si="53"/>
        <v>253.27533394099072</v>
      </c>
      <c r="K137" s="459">
        <f t="shared" si="53"/>
        <v>254.81789814739753</v>
      </c>
      <c r="L137" s="459">
        <f t="shared" si="53"/>
        <v>254.48996615731892</v>
      </c>
      <c r="M137" s="459">
        <f t="shared" si="53"/>
        <v>252.29382453891139</v>
      </c>
      <c r="N137" s="459">
        <f t="shared" si="53"/>
        <v>249.54110369690468</v>
      </c>
    </row>
    <row r="138" spans="1:14">
      <c r="A138" s="309">
        <f>SUM(C138:N138)</f>
        <v>0</v>
      </c>
      <c r="C138" s="309">
        <f>SUM(C127:C136)-C137</f>
        <v>0</v>
      </c>
      <c r="D138" s="309">
        <f t="shared" ref="D138:N138" si="54">SUM(D127:D136)-D137</f>
        <v>0</v>
      </c>
      <c r="E138" s="309">
        <f t="shared" si="54"/>
        <v>0</v>
      </c>
      <c r="F138" s="309">
        <f t="shared" si="54"/>
        <v>0</v>
      </c>
      <c r="G138" s="309">
        <f t="shared" si="54"/>
        <v>0</v>
      </c>
      <c r="H138" s="309">
        <f t="shared" si="54"/>
        <v>0</v>
      </c>
      <c r="I138" s="309">
        <f t="shared" si="54"/>
        <v>0</v>
      </c>
      <c r="J138" s="309">
        <f t="shared" si="54"/>
        <v>0</v>
      </c>
      <c r="K138" s="309">
        <f t="shared" si="54"/>
        <v>0</v>
      </c>
      <c r="L138" s="309">
        <f t="shared" si="54"/>
        <v>0</v>
      </c>
      <c r="M138" s="309">
        <f t="shared" si="54"/>
        <v>0</v>
      </c>
      <c r="N138" s="309">
        <f t="shared" si="54"/>
        <v>0</v>
      </c>
    </row>
    <row r="140" spans="1:14" ht="15.75">
      <c r="B140" s="340" t="s">
        <v>152</v>
      </c>
      <c r="H140" s="325"/>
    </row>
    <row r="141" spans="1:14">
      <c r="H141" s="325"/>
    </row>
    <row r="142" spans="1:14">
      <c r="B142" s="341" t="s">
        <v>49</v>
      </c>
      <c r="H142" s="325"/>
    </row>
    <row r="143" spans="1:14">
      <c r="H143" s="325"/>
    </row>
    <row r="144" spans="1:14">
      <c r="B144" s="338" t="str">
        <f t="shared" ref="B144:B155" si="55">B110</f>
        <v>Age group</v>
      </c>
      <c r="C144" s="338" t="str">
        <f t="shared" ref="C144:N144" si="56">C110</f>
        <v>2016/17</v>
      </c>
      <c r="D144" s="338" t="str">
        <f t="shared" si="56"/>
        <v>2017/18</v>
      </c>
      <c r="E144" s="338" t="str">
        <f t="shared" si="56"/>
        <v>2018/19</v>
      </c>
      <c r="F144" s="338" t="str">
        <f t="shared" si="56"/>
        <v>2019/20</v>
      </c>
      <c r="G144" s="338" t="str">
        <f t="shared" si="56"/>
        <v>2020/21</v>
      </c>
      <c r="H144" s="338" t="str">
        <f t="shared" si="56"/>
        <v>2021/22</v>
      </c>
      <c r="I144" s="338" t="str">
        <f t="shared" si="56"/>
        <v>2022/23</v>
      </c>
      <c r="J144" s="338" t="str">
        <f t="shared" si="56"/>
        <v>2023/24</v>
      </c>
      <c r="K144" s="338" t="str">
        <f t="shared" si="56"/>
        <v>2024/25</v>
      </c>
      <c r="L144" s="338" t="str">
        <f t="shared" si="56"/>
        <v>2025/26</v>
      </c>
      <c r="M144" s="338" t="str">
        <f t="shared" si="56"/>
        <v>2026/27</v>
      </c>
      <c r="N144" s="338" t="str">
        <f t="shared" si="56"/>
        <v>2027/28</v>
      </c>
    </row>
    <row r="145" spans="1:14">
      <c r="B145" s="338" t="str">
        <f t="shared" si="55"/>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5"/>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5"/>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5"/>
        <v>35-39</v>
      </c>
      <c r="C148" s="459">
        <f>C80*Calc_SEC_retirement_rates!$G127</f>
        <v>0.15818215883663739</v>
      </c>
      <c r="D148" s="459">
        <f>D80*Calc_SEC_retirement_rates!$G127</f>
        <v>0.15952181399747917</v>
      </c>
      <c r="E148" s="459">
        <f>E80*Calc_SEC_retirement_rates!$G127</f>
        <v>0.16079107719987634</v>
      </c>
      <c r="F148" s="459">
        <f>F80*Calc_SEC_retirement_rates!$G127</f>
        <v>0.16145852632372928</v>
      </c>
      <c r="G148" s="459">
        <f>G80*Calc_SEC_retirement_rates!$G127</f>
        <v>0.16193585930145868</v>
      </c>
      <c r="H148" s="459">
        <f>H80*Calc_SEC_retirement_rates!$G127</f>
        <v>0.16197718812332607</v>
      </c>
      <c r="I148" s="459">
        <f>I80*Calc_SEC_retirement_rates!$G127</f>
        <v>0.16173932697201082</v>
      </c>
      <c r="J148" s="459">
        <f>J80*Calc_SEC_retirement_rates!$G127</f>
        <v>0.1614131324903901</v>
      </c>
      <c r="K148" s="459">
        <f>K80*Calc_SEC_retirement_rates!$G127</f>
        <v>0.16154703164168488</v>
      </c>
      <c r="L148" s="459">
        <f>L80*Calc_SEC_retirement_rates!$G127</f>
        <v>0.16125857633947335</v>
      </c>
      <c r="M148" s="459">
        <f>M80*Calc_SEC_retirement_rates!$G127</f>
        <v>0.16045172796820154</v>
      </c>
      <c r="N148" s="459">
        <f>N80*Calc_SEC_retirement_rates!$G127</f>
        <v>0.15946261143011034</v>
      </c>
    </row>
    <row r="149" spans="1:14">
      <c r="B149" s="338" t="str">
        <f t="shared" si="55"/>
        <v>40-44</v>
      </c>
      <c r="C149" s="459">
        <f>C81*Calc_SEC_retirement_rates!$G128</f>
        <v>0.1642237966325098</v>
      </c>
      <c r="D149" s="459">
        <f>D81*Calc_SEC_retirement_rates!$G128</f>
        <v>0.16961406302144968</v>
      </c>
      <c r="E149" s="459">
        <f>E81*Calc_SEC_retirement_rates!$G128</f>
        <v>0.17477999168144423</v>
      </c>
      <c r="F149" s="459">
        <f>F81*Calc_SEC_retirement_rates!$G128</f>
        <v>0.17909949708052844</v>
      </c>
      <c r="G149" s="459">
        <f>G81*Calc_SEC_retirement_rates!$G128</f>
        <v>0.18283488366732992</v>
      </c>
      <c r="H149" s="459">
        <f>H81*Calc_SEC_retirement_rates!$G128</f>
        <v>0.18556534403018043</v>
      </c>
      <c r="I149" s="459">
        <f>I81*Calc_SEC_retirement_rates!$G128</f>
        <v>0.18741573798962746</v>
      </c>
      <c r="J149" s="459">
        <f>J81*Calc_SEC_retirement_rates!$G128</f>
        <v>0.18862400523228312</v>
      </c>
      <c r="K149" s="459">
        <f>K81*Calc_SEC_retirement_rates!$G128</f>
        <v>0.18984685514174762</v>
      </c>
      <c r="L149" s="459">
        <f>L81*Calc_SEC_retirement_rates!$G128</f>
        <v>0.19020883399991298</v>
      </c>
      <c r="M149" s="459">
        <f>M81*Calc_SEC_retirement_rates!$G128</f>
        <v>0.18974522853304282</v>
      </c>
      <c r="N149" s="459">
        <f>N81*Calc_SEC_retirement_rates!$G128</f>
        <v>0.18894620301191944</v>
      </c>
    </row>
    <row r="150" spans="1:14">
      <c r="B150" s="338" t="str">
        <f t="shared" si="55"/>
        <v>45-49</v>
      </c>
      <c r="C150" s="459">
        <f>C82*Calc_SEC_retirement_rates!$G129</f>
        <v>0.29592826632934671</v>
      </c>
      <c r="D150" s="459">
        <f>D82*Calc_SEC_retirement_rates!$G129</f>
        <v>0.31228784557360184</v>
      </c>
      <c r="E150" s="459">
        <f>E82*Calc_SEC_retirement_rates!$G129</f>
        <v>0.3284747003514189</v>
      </c>
      <c r="F150" s="459">
        <f>F82*Calc_SEC_retirement_rates!$G129</f>
        <v>0.34310940238795479</v>
      </c>
      <c r="G150" s="459">
        <f>G82*Calc_SEC_retirement_rates!$G129</f>
        <v>0.35659156743677312</v>
      </c>
      <c r="H150" s="459">
        <f>H82*Calc_SEC_retirement_rates!$G129</f>
        <v>0.36790999922989398</v>
      </c>
      <c r="I150" s="459">
        <f>I82*Calc_SEC_retirement_rates!$G129</f>
        <v>0.37711831958664344</v>
      </c>
      <c r="J150" s="459">
        <f>J82*Calc_SEC_retirement_rates!$G129</f>
        <v>0.38452768269929843</v>
      </c>
      <c r="K150" s="459">
        <f>K82*Calc_SEC_retirement_rates!$G129</f>
        <v>0.39134219690420818</v>
      </c>
      <c r="L150" s="459">
        <f>L82*Calc_SEC_retirement_rates!$G129</f>
        <v>0.39576596018458693</v>
      </c>
      <c r="M150" s="459">
        <f>M82*Calc_SEC_retirement_rates!$G129</f>
        <v>0.39786659245624584</v>
      </c>
      <c r="N150" s="459">
        <f>N82*Calc_SEC_retirement_rates!$G129</f>
        <v>0.39868158560482986</v>
      </c>
    </row>
    <row r="151" spans="1:14">
      <c r="B151" s="338" t="str">
        <f t="shared" si="55"/>
        <v>50-54</v>
      </c>
      <c r="C151" s="459">
        <f>C83*Calc_SEC_retirement_rates!$G130</f>
        <v>5.8702985054141825</v>
      </c>
      <c r="D151" s="459">
        <f>D83*Calc_SEC_retirement_rates!$G130</f>
        <v>5.7258517497646837</v>
      </c>
      <c r="E151" s="459">
        <f>E83*Calc_SEC_retirement_rates!$G130</f>
        <v>5.7185371379424748</v>
      </c>
      <c r="F151" s="459">
        <f>F83*Calc_SEC_retirement_rates!$G130</f>
        <v>5.7860313296369981</v>
      </c>
      <c r="G151" s="459">
        <f>G83*Calc_SEC_retirement_rates!$G130</f>
        <v>5.9067242322101743</v>
      </c>
      <c r="H151" s="459">
        <f>H83*Calc_SEC_retirement_rates!$G130</f>
        <v>6.0429970493845273</v>
      </c>
      <c r="I151" s="459">
        <f>I83*Calc_SEC_retirement_rates!$G130</f>
        <v>6.1804764295582189</v>
      </c>
      <c r="J151" s="459">
        <f>J83*Calc_SEC_retirement_rates!$G130</f>
        <v>6.3127412816917969</v>
      </c>
      <c r="K151" s="459">
        <f>K83*Calc_SEC_retirement_rates!$G130</f>
        <v>6.4510125455624348</v>
      </c>
      <c r="L151" s="459">
        <f>L83*Calc_SEC_retirement_rates!$G130</f>
        <v>6.5582876307739824</v>
      </c>
      <c r="M151" s="459">
        <f>M83*Calc_SEC_retirement_rates!$G130</f>
        <v>6.6307885626517615</v>
      </c>
      <c r="N151" s="459">
        <f>N83*Calc_SEC_retirement_rates!$G130</f>
        <v>6.6823781394900283</v>
      </c>
    </row>
    <row r="152" spans="1:14">
      <c r="B152" s="338" t="str">
        <f t="shared" si="55"/>
        <v>55-59</v>
      </c>
      <c r="C152" s="459">
        <f>C84*Calc_SEC_retirement_rates!$G131</f>
        <v>31.827003026371361</v>
      </c>
      <c r="D152" s="459">
        <f>D84*Calc_SEC_retirement_rates!$G131</f>
        <v>28.291375060877328</v>
      </c>
      <c r="E152" s="459">
        <f>E84*Calc_SEC_retirement_rates!$G131</f>
        <v>26.149975558647395</v>
      </c>
      <c r="F152" s="459">
        <f>F84*Calc_SEC_retirement_rates!$G131</f>
        <v>24.90182783877486</v>
      </c>
      <c r="G152" s="459">
        <f>G84*Calc_SEC_retirement_rates!$G131</f>
        <v>24.314574331428293</v>
      </c>
      <c r="H152" s="459">
        <f>H84*Calc_SEC_retirement_rates!$G131</f>
        <v>24.098726751461054</v>
      </c>
      <c r="I152" s="459">
        <f>I84*Calc_SEC_retirement_rates!$G131</f>
        <v>24.118624022295272</v>
      </c>
      <c r="J152" s="459">
        <f>J84*Calc_SEC_retirement_rates!$G131</f>
        <v>24.29341536467086</v>
      </c>
      <c r="K152" s="459">
        <f>K84*Calc_SEC_retirement_rates!$G131</f>
        <v>24.641572581038144</v>
      </c>
      <c r="L152" s="459">
        <f>L84*Calc_SEC_retirement_rates!$G131</f>
        <v>24.931037921132202</v>
      </c>
      <c r="M152" s="459">
        <f>M84*Calc_SEC_retirement_rates!$G131</f>
        <v>25.130129004280164</v>
      </c>
      <c r="N152" s="459">
        <f>N84*Calc_SEC_retirement_rates!$G131</f>
        <v>25.299055598263358</v>
      </c>
    </row>
    <row r="153" spans="1:14">
      <c r="B153" s="338" t="str">
        <f t="shared" si="55"/>
        <v>60-64</v>
      </c>
      <c r="C153" s="459">
        <f>C85*Calc_SEC_retirement_rates!$G132</f>
        <v>21.828985596409705</v>
      </c>
      <c r="D153" s="459">
        <f>D85*Calc_SEC_retirement_rates!$G132</f>
        <v>20.577033715531872</v>
      </c>
      <c r="E153" s="459">
        <f>E85*Calc_SEC_retirement_rates!$G132</f>
        <v>19.175247281682694</v>
      </c>
      <c r="F153" s="459">
        <f>F85*Calc_SEC_retirement_rates!$G132</f>
        <v>17.960619488431846</v>
      </c>
      <c r="G153" s="459">
        <f>G85*Calc_SEC_retirement_rates!$G132</f>
        <v>17.104982738961642</v>
      </c>
      <c r="H153" s="459">
        <f>H85*Calc_SEC_retirement_rates!$G132</f>
        <v>16.509918847259154</v>
      </c>
      <c r="I153" s="459">
        <f>I85*Calc_SEC_retirement_rates!$G132</f>
        <v>16.134224330854256</v>
      </c>
      <c r="J153" s="459">
        <f>J85*Calc_SEC_retirement_rates!$G132</f>
        <v>15.940022541563273</v>
      </c>
      <c r="K153" s="459">
        <f>K85*Calc_SEC_retirement_rates!$G132</f>
        <v>15.960210143504392</v>
      </c>
      <c r="L153" s="459">
        <f>L85*Calc_SEC_retirement_rates!$G132</f>
        <v>15.965469958112598</v>
      </c>
      <c r="M153" s="459">
        <f>M85*Calc_SEC_retirement_rates!$G132</f>
        <v>15.933845568082955</v>
      </c>
      <c r="N153" s="459">
        <f>N85*Calc_SEC_retirement_rates!$G132</f>
        <v>15.92779202080728</v>
      </c>
    </row>
    <row r="154" spans="1:14">
      <c r="B154" s="338" t="str">
        <f t="shared" si="55"/>
        <v>65 plus</v>
      </c>
      <c r="C154" s="459">
        <f>C86*Calc_SEC_retirement_rates!$G133</f>
        <v>5.4400490536954385</v>
      </c>
      <c r="D154" s="459">
        <f>D86*Calc_SEC_retirement_rates!$G133</f>
        <v>6.6277102477168492</v>
      </c>
      <c r="E154" s="459">
        <f>E86*Calc_SEC_retirement_rates!$G133</f>
        <v>7.1529013307774862</v>
      </c>
      <c r="F154" s="459">
        <f>F86*Calc_SEC_retirement_rates!$G133</f>
        <v>7.253987640293782</v>
      </c>
      <c r="G154" s="459">
        <f>G86*Calc_SEC_retirement_rates!$G133</f>
        <v>7.1665754802828703</v>
      </c>
      <c r="H154" s="459">
        <f>H86*Calc_SEC_retirement_rates!$G133</f>
        <v>6.9898804565080654</v>
      </c>
      <c r="I154" s="459">
        <f>I86*Calc_SEC_retirement_rates!$G133</f>
        <v>6.7991616436259044</v>
      </c>
      <c r="J154" s="459">
        <f>J86*Calc_SEC_retirement_rates!$G133</f>
        <v>6.6368660413500402</v>
      </c>
      <c r="K154" s="459">
        <f>K86*Calc_SEC_retirement_rates!$G133</f>
        <v>6.551635081633048</v>
      </c>
      <c r="L154" s="459">
        <f>L86*Calc_SEC_retirement_rates!$G133</f>
        <v>6.4671655195095168</v>
      </c>
      <c r="M154" s="459">
        <f>M86*Calc_SEC_retirement_rates!$G133</f>
        <v>6.3750067170377624</v>
      </c>
      <c r="N154" s="459">
        <f>N86*Calc_SEC_retirement_rates!$G133</f>
        <v>6.3024284496062828</v>
      </c>
    </row>
    <row r="155" spans="1:14">
      <c r="B155" s="338" t="str">
        <f t="shared" si="55"/>
        <v>Total</v>
      </c>
      <c r="C155" s="459">
        <f>SUM(C145:C154)</f>
        <v>65.584670403689174</v>
      </c>
      <c r="D155" s="459">
        <f t="shared" ref="D155:N155" si="57">SUM(D145:D154)</f>
        <v>61.863394496483266</v>
      </c>
      <c r="E155" s="459">
        <f t="shared" si="57"/>
        <v>58.860707078282793</v>
      </c>
      <c r="F155" s="459">
        <f t="shared" si="57"/>
        <v>56.586133722929695</v>
      </c>
      <c r="G155" s="459">
        <f t="shared" si="57"/>
        <v>55.194219093288538</v>
      </c>
      <c r="H155" s="459">
        <f t="shared" si="57"/>
        <v>54.3569756359962</v>
      </c>
      <c r="I155" s="459">
        <f t="shared" si="57"/>
        <v>53.958759810881929</v>
      </c>
      <c r="J155" s="459">
        <f t="shared" si="57"/>
        <v>53.917610049697942</v>
      </c>
      <c r="K155" s="459">
        <f t="shared" si="57"/>
        <v>54.347166435425663</v>
      </c>
      <c r="L155" s="459">
        <f t="shared" si="57"/>
        <v>54.66919440005227</v>
      </c>
      <c r="M155" s="459">
        <f t="shared" si="57"/>
        <v>54.817833401010134</v>
      </c>
      <c r="N155" s="459">
        <f t="shared" si="57"/>
        <v>54.958744608213813</v>
      </c>
    </row>
    <row r="156" spans="1:14">
      <c r="A156" s="309">
        <f>SUM(C156:N156)</f>
        <v>0</v>
      </c>
      <c r="C156" s="309">
        <f>SUM(C145:C154)-C155</f>
        <v>0</v>
      </c>
      <c r="D156" s="309">
        <f t="shared" ref="D156:N156" si="58">SUM(D145:D154)-D155</f>
        <v>0</v>
      </c>
      <c r="E156" s="309">
        <f t="shared" si="58"/>
        <v>0</v>
      </c>
      <c r="F156" s="309">
        <f t="shared" si="58"/>
        <v>0</v>
      </c>
      <c r="G156" s="309">
        <f t="shared" si="58"/>
        <v>0</v>
      </c>
      <c r="H156" s="309">
        <f t="shared" si="58"/>
        <v>0</v>
      </c>
      <c r="I156" s="309">
        <f t="shared" si="58"/>
        <v>0</v>
      </c>
      <c r="J156" s="309">
        <f t="shared" si="58"/>
        <v>0</v>
      </c>
      <c r="K156" s="309">
        <f t="shared" si="58"/>
        <v>0</v>
      </c>
      <c r="L156" s="309">
        <f t="shared" si="58"/>
        <v>0</v>
      </c>
      <c r="M156" s="309">
        <f t="shared" si="58"/>
        <v>0</v>
      </c>
      <c r="N156" s="309">
        <f t="shared" si="58"/>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59">B144</f>
        <v>Age group</v>
      </c>
      <c r="C160" s="338" t="str">
        <f t="shared" ref="C160:N160" si="60">C144</f>
        <v>2016/17</v>
      </c>
      <c r="D160" s="338" t="str">
        <f t="shared" si="60"/>
        <v>2017/18</v>
      </c>
      <c r="E160" s="338" t="str">
        <f t="shared" si="60"/>
        <v>2018/19</v>
      </c>
      <c r="F160" s="338" t="str">
        <f t="shared" si="60"/>
        <v>2019/20</v>
      </c>
      <c r="G160" s="338" t="str">
        <f t="shared" si="60"/>
        <v>2020/21</v>
      </c>
      <c r="H160" s="338" t="str">
        <f t="shared" si="60"/>
        <v>2021/22</v>
      </c>
      <c r="I160" s="338" t="str">
        <f t="shared" si="60"/>
        <v>2022/23</v>
      </c>
      <c r="J160" s="338" t="str">
        <f t="shared" si="60"/>
        <v>2023/24</v>
      </c>
      <c r="K160" s="338" t="str">
        <f t="shared" si="60"/>
        <v>2024/25</v>
      </c>
      <c r="L160" s="338" t="str">
        <f t="shared" si="60"/>
        <v>2025/26</v>
      </c>
      <c r="M160" s="338" t="str">
        <f t="shared" si="60"/>
        <v>2026/27</v>
      </c>
      <c r="N160" s="338" t="str">
        <f t="shared" si="60"/>
        <v>2027/28</v>
      </c>
    </row>
    <row r="161" spans="1:14">
      <c r="B161" s="338" t="str">
        <f t="shared" si="59"/>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59"/>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59"/>
        <v>30-34</v>
      </c>
      <c r="C163" s="459">
        <f>C95*Calc_SEC_retirement_rates!$G142</f>
        <v>7.1121915357103174E-2</v>
      </c>
      <c r="D163" s="459">
        <f>D95*Calc_SEC_retirement_rates!$G142</f>
        <v>6.8257541229048868E-2</v>
      </c>
      <c r="E163" s="459">
        <f>E95*Calc_SEC_retirement_rates!$G142</f>
        <v>6.592200622364662E-2</v>
      </c>
      <c r="F163" s="459">
        <f>F95*Calc_SEC_retirement_rates!$G142</f>
        <v>6.404196661954166E-2</v>
      </c>
      <c r="G163" s="459">
        <f>G95*Calc_SEC_retirement_rates!$G142</f>
        <v>6.2811866456237833E-2</v>
      </c>
      <c r="H163" s="459">
        <f>H95*Calc_SEC_retirement_rates!$G142</f>
        <v>6.1905912899197509E-2</v>
      </c>
      <c r="I163" s="459">
        <f>I95*Calc_SEC_retirement_rates!$G142</f>
        <v>6.1229538712619463E-2</v>
      </c>
      <c r="J163" s="459">
        <f>J95*Calc_SEC_retirement_rates!$G142</f>
        <v>6.0747551819101034E-2</v>
      </c>
      <c r="K163" s="459">
        <f>K95*Calc_SEC_retirement_rates!$G142</f>
        <v>6.0693542790599381E-2</v>
      </c>
      <c r="L163" s="459">
        <f>L95*Calc_SEC_retirement_rates!$G142</f>
        <v>6.0442685336062653E-2</v>
      </c>
      <c r="M163" s="459">
        <f>M95*Calc_SEC_retirement_rates!$G142</f>
        <v>5.9879709114016917E-2</v>
      </c>
      <c r="N163" s="459">
        <f>N95*Calc_SEC_retirement_rates!$G142</f>
        <v>5.9204834310338572E-2</v>
      </c>
    </row>
    <row r="164" spans="1:14">
      <c r="B164" s="338" t="str">
        <f t="shared" si="59"/>
        <v>35-39</v>
      </c>
      <c r="C164" s="459">
        <f>C96*Calc_SEC_retirement_rates!$G143</f>
        <v>0.20942506148628998</v>
      </c>
      <c r="D164" s="459">
        <f>D96*Calc_SEC_retirement_rates!$G143</f>
        <v>0.20115550923167089</v>
      </c>
      <c r="E164" s="459">
        <f>E96*Calc_SEC_retirement_rates!$G143</f>
        <v>0.19448671537564977</v>
      </c>
      <c r="F164" s="459">
        <f>F96*Calc_SEC_retirement_rates!$G143</f>
        <v>0.18855972046438474</v>
      </c>
      <c r="G164" s="459">
        <f>G96*Calc_SEC_retirement_rates!$G143</f>
        <v>0.18361647012100618</v>
      </c>
      <c r="H164" s="459">
        <f>H96*Calc_SEC_retirement_rates!$G143</f>
        <v>0.17917087546288332</v>
      </c>
      <c r="I164" s="459">
        <f>I96*Calc_SEC_retirement_rates!$G143</f>
        <v>0.17522845666935422</v>
      </c>
      <c r="J164" s="459">
        <f>J96*Calc_SEC_retirement_rates!$G143</f>
        <v>0.17185954179094409</v>
      </c>
      <c r="K164" s="459">
        <f>K96*Calc_SEC_retirement_rates!$G143</f>
        <v>0.16956227876346983</v>
      </c>
      <c r="L164" s="459">
        <f>L96*Calc_SEC_retirement_rates!$G143</f>
        <v>0.16722387472105105</v>
      </c>
      <c r="M164" s="459">
        <f>M96*Calc_SEC_retirement_rates!$G143</f>
        <v>0.16466324282685266</v>
      </c>
      <c r="N164" s="459">
        <f>N96*Calc_SEC_retirement_rates!$G143</f>
        <v>0.16220869074868224</v>
      </c>
    </row>
    <row r="165" spans="1:14">
      <c r="B165" s="338" t="str">
        <f t="shared" si="59"/>
        <v>40-44</v>
      </c>
      <c r="C165" s="459">
        <f>C97*Calc_SEC_retirement_rates!$G144</f>
        <v>0.25032880937024871</v>
      </c>
      <c r="D165" s="459">
        <f>D97*Calc_SEC_retirement_rates!$G144</f>
        <v>0.26058842330987836</v>
      </c>
      <c r="E165" s="459">
        <f>E97*Calc_SEC_retirement_rates!$G144</f>
        <v>0.26691134509425329</v>
      </c>
      <c r="F165" s="459">
        <f>F97*Calc_SEC_retirement_rates!$G144</f>
        <v>0.26985526841919921</v>
      </c>
      <c r="G165" s="459">
        <f>G97*Calc_SEC_retirement_rates!$G144</f>
        <v>0.2707938565440669</v>
      </c>
      <c r="H165" s="459">
        <f>H97*Calc_SEC_retirement_rates!$G144</f>
        <v>0.26979345837319407</v>
      </c>
      <c r="I165" s="459">
        <f>I97*Calc_SEC_retirement_rates!$G144</f>
        <v>0.26746797073625278</v>
      </c>
      <c r="J165" s="459">
        <f>J97*Calc_SEC_retirement_rates!$G144</f>
        <v>0.26442584846027356</v>
      </c>
      <c r="K165" s="459">
        <f>K97*Calc_SEC_retirement_rates!$G144</f>
        <v>0.26175674796308757</v>
      </c>
      <c r="L165" s="459">
        <f>L97*Calc_SEC_retirement_rates!$G144</f>
        <v>0.25827899148292183</v>
      </c>
      <c r="M165" s="459">
        <f>M97*Calc_SEC_retirement_rates!$G144</f>
        <v>0.25407153514663922</v>
      </c>
      <c r="N165" s="459">
        <f>N97*Calc_SEC_retirement_rates!$G144</f>
        <v>0.24983401101626865</v>
      </c>
    </row>
    <row r="166" spans="1:14">
      <c r="B166" s="338" t="str">
        <f t="shared" si="59"/>
        <v>45-49</v>
      </c>
      <c r="C166" s="459">
        <f>C98*Calc_SEC_retirement_rates!$G145</f>
        <v>0.30748085198504455</v>
      </c>
      <c r="D166" s="459">
        <f>D98*Calc_SEC_retirement_rates!$G145</f>
        <v>0.34239261497168122</v>
      </c>
      <c r="E166" s="459">
        <f>E98*Calc_SEC_retirement_rates!$G145</f>
        <v>0.37386714559756601</v>
      </c>
      <c r="F166" s="459">
        <f>F98*Calc_SEC_retirement_rates!$G145</f>
        <v>0.39978395607338685</v>
      </c>
      <c r="G166" s="459">
        <f>G98*Calc_SEC_retirement_rates!$G145</f>
        <v>0.42079487909674207</v>
      </c>
      <c r="H166" s="459">
        <f>H98*Calc_SEC_retirement_rates!$G145</f>
        <v>0.43621462877899608</v>
      </c>
      <c r="I166" s="459">
        <f>I98*Calc_SEC_retirement_rates!$G145</f>
        <v>0.44673111145220573</v>
      </c>
      <c r="J166" s="459">
        <f>J98*Calc_SEC_retirement_rates!$G145</f>
        <v>0.45333257126397181</v>
      </c>
      <c r="K166" s="459">
        <f>K98*Calc_SEC_retirement_rates!$G145</f>
        <v>0.45799328999579142</v>
      </c>
      <c r="L166" s="459">
        <f>L98*Calc_SEC_retirement_rates!$G145</f>
        <v>0.45905970174002242</v>
      </c>
      <c r="M166" s="459">
        <f>M98*Calc_SEC_retirement_rates!$G145</f>
        <v>0.45698265791908299</v>
      </c>
      <c r="N166" s="459">
        <f>N98*Calc_SEC_retirement_rates!$G145</f>
        <v>0.45326728230578806</v>
      </c>
    </row>
    <row r="167" spans="1:14">
      <c r="B167" s="338" t="str">
        <f t="shared" si="59"/>
        <v>50-54</v>
      </c>
      <c r="C167" s="459">
        <f>C99*Calc_SEC_retirement_rates!$G146</f>
        <v>5.2434715128542724</v>
      </c>
      <c r="D167" s="459">
        <f>D99*Calc_SEC_retirement_rates!$G146</f>
        <v>5.301234359762522</v>
      </c>
      <c r="E167" s="459">
        <f>E99*Calc_SEC_retirement_rates!$G146</f>
        <v>5.5117373106822685</v>
      </c>
      <c r="F167" s="459">
        <f>F99*Calc_SEC_retirement_rates!$G146</f>
        <v>5.7921187869288469</v>
      </c>
      <c r="G167" s="459">
        <f>G99*Calc_SEC_retirement_rates!$G146</f>
        <v>6.1073039864081302</v>
      </c>
      <c r="H167" s="459">
        <f>H99*Calc_SEC_retirement_rates!$G146</f>
        <v>6.4080174942226824</v>
      </c>
      <c r="I167" s="459">
        <f>I99*Calc_SEC_retirement_rates!$G146</f>
        <v>6.6752950872555372</v>
      </c>
      <c r="J167" s="459">
        <f>J99*Calc_SEC_retirement_rates!$G146</f>
        <v>6.9024453508235206</v>
      </c>
      <c r="K167" s="459">
        <f>K99*Calc_SEC_retirement_rates!$G146</f>
        <v>7.1049937479629461</v>
      </c>
      <c r="L167" s="459">
        <f>L99*Calc_SEC_retirement_rates!$G146</f>
        <v>7.2453742237188319</v>
      </c>
      <c r="M167" s="459">
        <f>M99*Calc_SEC_retirement_rates!$G146</f>
        <v>7.3242315632663253</v>
      </c>
      <c r="N167" s="459">
        <f>N99*Calc_SEC_retirement_rates!$G146</f>
        <v>7.3621696876879277</v>
      </c>
    </row>
    <row r="168" spans="1:14">
      <c r="B168" s="338" t="str">
        <f t="shared" si="59"/>
        <v>55-59</v>
      </c>
      <c r="C168" s="459">
        <f>C100*Calc_SEC_retirement_rates!$G147</f>
        <v>26.735475233898619</v>
      </c>
      <c r="D168" s="459">
        <f>D100*Calc_SEC_retirement_rates!$G147</f>
        <v>25.614523676170215</v>
      </c>
      <c r="E168" s="459">
        <f>E100*Calc_SEC_retirement_rates!$G147</f>
        <v>25.204689087759686</v>
      </c>
      <c r="F168" s="459">
        <f>F100*Calc_SEC_retirement_rates!$G147</f>
        <v>25.299950494146835</v>
      </c>
      <c r="G168" s="459">
        <f>G100*Calc_SEC_retirement_rates!$G147</f>
        <v>25.838597385256126</v>
      </c>
      <c r="H168" s="459">
        <f>H100*Calc_SEC_retirement_rates!$G147</f>
        <v>26.581261804801791</v>
      </c>
      <c r="I168" s="459">
        <f>I100*Calc_SEC_retirement_rates!$G147</f>
        <v>27.419146881393523</v>
      </c>
      <c r="J168" s="459">
        <f>J100*Calc_SEC_retirement_rates!$G147</f>
        <v>28.282635848810141</v>
      </c>
      <c r="K168" s="459">
        <f>K100*Calc_SEC_retirement_rates!$G147</f>
        <v>29.212670485762537</v>
      </c>
      <c r="L168" s="459">
        <f>L100*Calc_SEC_retirement_rates!$G147</f>
        <v>29.938374397215984</v>
      </c>
      <c r="M168" s="459">
        <f>M100*Calc_SEC_retirement_rates!$G147</f>
        <v>30.434178004942119</v>
      </c>
      <c r="N168" s="459">
        <f>N100*Calc_SEC_retirement_rates!$G147</f>
        <v>30.789197948307276</v>
      </c>
    </row>
    <row r="169" spans="1:14">
      <c r="B169" s="338" t="str">
        <f t="shared" si="59"/>
        <v>60-64</v>
      </c>
      <c r="C169" s="459">
        <f>C101*Calc_SEC_retirement_rates!$G148</f>
        <v>21.509220549800002</v>
      </c>
      <c r="D169" s="459">
        <f>D101*Calc_SEC_retirement_rates!$G148</f>
        <v>20.383618859002421</v>
      </c>
      <c r="E169" s="459">
        <f>E101*Calc_SEC_retirement_rates!$G148</f>
        <v>19.720064734891324</v>
      </c>
      <c r="F169" s="459">
        <f>F101*Calc_SEC_retirement_rates!$G148</f>
        <v>19.33069157129572</v>
      </c>
      <c r="G169" s="459">
        <f>G101*Calc_SEC_retirement_rates!$G148</f>
        <v>19.267502873727185</v>
      </c>
      <c r="H169" s="459">
        <f>H101*Calc_SEC_retirement_rates!$G148</f>
        <v>19.366274017872051</v>
      </c>
      <c r="I169" s="459">
        <f>I101*Calc_SEC_retirement_rates!$G148</f>
        <v>19.595457893024594</v>
      </c>
      <c r="J169" s="459">
        <f>J101*Calc_SEC_retirement_rates!$G148</f>
        <v>19.932520409314353</v>
      </c>
      <c r="K169" s="459">
        <f>K101*Calc_SEC_retirement_rates!$G148</f>
        <v>20.448409721139615</v>
      </c>
      <c r="L169" s="459">
        <f>L101*Calc_SEC_retirement_rates!$G148</f>
        <v>20.834469965196167</v>
      </c>
      <c r="M169" s="459">
        <f>M101*Calc_SEC_retirement_rates!$G148</f>
        <v>21.078061731045477</v>
      </c>
      <c r="N169" s="459">
        <f>N101*Calc_SEC_retirement_rates!$G148</f>
        <v>21.280741971555308</v>
      </c>
    </row>
    <row r="170" spans="1:14">
      <c r="B170" s="338" t="str">
        <f t="shared" si="59"/>
        <v>65 plus</v>
      </c>
      <c r="C170" s="459">
        <f>C102*Calc_SEC_retirement_rates!$G149</f>
        <v>6.8959431070884385</v>
      </c>
      <c r="D170" s="459">
        <f>D102*Calc_SEC_retirement_rates!$G149</f>
        <v>7.1845698412158843</v>
      </c>
      <c r="E170" s="459">
        <f>E102*Calc_SEC_retirement_rates!$G149</f>
        <v>7.2655633558584221</v>
      </c>
      <c r="F170" s="459">
        <f>F102*Calc_SEC_retirement_rates!$G149</f>
        <v>7.2370898705336772</v>
      </c>
      <c r="G170" s="459">
        <f>G102*Calc_SEC_retirement_rates!$G149</f>
        <v>7.2087295693595799</v>
      </c>
      <c r="H170" s="459">
        <f>H102*Calc_SEC_retirement_rates!$G149</f>
        <v>7.1702964609901461</v>
      </c>
      <c r="I170" s="459">
        <f>I102*Calc_SEC_retirement_rates!$G149</f>
        <v>7.1450439885710804</v>
      </c>
      <c r="J170" s="459">
        <f>J102*Calc_SEC_retirement_rates!$G149</f>
        <v>7.1511869722468671</v>
      </c>
      <c r="K170" s="459">
        <f>K102*Calc_SEC_retirement_rates!$G149</f>
        <v>7.238247506234452</v>
      </c>
      <c r="L170" s="459">
        <f>L102*Calc_SEC_retirement_rates!$G149</f>
        <v>7.2906080423908488</v>
      </c>
      <c r="M170" s="459">
        <f>M102*Calc_SEC_retirement_rates!$G149</f>
        <v>7.3004257960572607</v>
      </c>
      <c r="N170" s="459">
        <f>N102*Calc_SEC_retirement_rates!$G149</f>
        <v>7.3108340813410235</v>
      </c>
    </row>
    <row r="171" spans="1:14">
      <c r="B171" s="338" t="str">
        <f t="shared" si="59"/>
        <v>Total</v>
      </c>
      <c r="C171" s="459">
        <f>SUM(C161:C170)</f>
        <v>61.222467041840019</v>
      </c>
      <c r="D171" s="459">
        <f t="shared" ref="D171:N171" si="61">SUM(D161:D170)</f>
        <v>59.356340824893316</v>
      </c>
      <c r="E171" s="459">
        <f t="shared" si="61"/>
        <v>58.603241701482816</v>
      </c>
      <c r="F171" s="459">
        <f t="shared" si="61"/>
        <v>58.5820916344816</v>
      </c>
      <c r="G171" s="459">
        <f t="shared" si="61"/>
        <v>59.360150886969066</v>
      </c>
      <c r="H171" s="459">
        <f t="shared" si="61"/>
        <v>60.472934653400941</v>
      </c>
      <c r="I171" s="459">
        <f t="shared" si="61"/>
        <v>61.785600927815167</v>
      </c>
      <c r="J171" s="459">
        <f t="shared" si="61"/>
        <v>63.219154094529181</v>
      </c>
      <c r="K171" s="459">
        <f t="shared" si="61"/>
        <v>64.954327320612506</v>
      </c>
      <c r="L171" s="459">
        <f t="shared" si="61"/>
        <v>66.253831881801887</v>
      </c>
      <c r="M171" s="459">
        <f t="shared" si="61"/>
        <v>67.072494240317766</v>
      </c>
      <c r="N171" s="459">
        <f t="shared" si="61"/>
        <v>67.667458507272613</v>
      </c>
    </row>
    <row r="172" spans="1:14">
      <c r="A172" s="309">
        <f>SUM(C172:N172)</f>
        <v>0</v>
      </c>
      <c r="C172" s="309">
        <f>SUM(C161:C170)-C171</f>
        <v>0</v>
      </c>
      <c r="D172" s="309">
        <f t="shared" ref="D172:N172" si="62">SUM(D161:D170)-D171</f>
        <v>0</v>
      </c>
      <c r="E172" s="309">
        <f t="shared" si="62"/>
        <v>0</v>
      </c>
      <c r="F172" s="309">
        <f t="shared" si="62"/>
        <v>0</v>
      </c>
      <c r="G172" s="309">
        <f t="shared" si="62"/>
        <v>0</v>
      </c>
      <c r="H172" s="309">
        <f t="shared" si="62"/>
        <v>0</v>
      </c>
      <c r="I172" s="309">
        <f t="shared" si="62"/>
        <v>0</v>
      </c>
      <c r="J172" s="309">
        <f t="shared" si="62"/>
        <v>0</v>
      </c>
      <c r="K172" s="309">
        <f t="shared" si="62"/>
        <v>0</v>
      </c>
      <c r="L172" s="309">
        <f t="shared" si="62"/>
        <v>0</v>
      </c>
      <c r="M172" s="309">
        <f t="shared" si="62"/>
        <v>0</v>
      </c>
      <c r="N172" s="309">
        <f t="shared" si="62"/>
        <v>0</v>
      </c>
    </row>
    <row r="174" spans="1:14" ht="15.75">
      <c r="B174" s="340" t="s">
        <v>516</v>
      </c>
      <c r="H174" s="325"/>
    </row>
    <row r="175" spans="1:14">
      <c r="H175" s="325"/>
    </row>
    <row r="176" spans="1:14">
      <c r="B176" s="341" t="s">
        <v>49</v>
      </c>
      <c r="H176" s="325"/>
    </row>
    <row r="177" spans="1:14">
      <c r="H177" s="325"/>
    </row>
    <row r="178" spans="1:14">
      <c r="B178" s="338" t="str">
        <f t="shared" ref="B178:B189" si="63">B144</f>
        <v>Age group</v>
      </c>
      <c r="C178" s="338" t="str">
        <f t="shared" ref="C178:N178" si="64">C144</f>
        <v>2016/17</v>
      </c>
      <c r="D178" s="338" t="str">
        <f t="shared" si="64"/>
        <v>2017/18</v>
      </c>
      <c r="E178" s="338" t="str">
        <f t="shared" si="64"/>
        <v>2018/19</v>
      </c>
      <c r="F178" s="338" t="str">
        <f t="shared" si="64"/>
        <v>2019/20</v>
      </c>
      <c r="G178" s="338" t="str">
        <f t="shared" si="64"/>
        <v>2020/21</v>
      </c>
      <c r="H178" s="338" t="str">
        <f t="shared" si="64"/>
        <v>2021/22</v>
      </c>
      <c r="I178" s="338" t="str">
        <f t="shared" si="64"/>
        <v>2022/23</v>
      </c>
      <c r="J178" s="338" t="str">
        <f t="shared" si="64"/>
        <v>2023/24</v>
      </c>
      <c r="K178" s="338" t="str">
        <f t="shared" si="64"/>
        <v>2024/25</v>
      </c>
      <c r="L178" s="338" t="str">
        <f t="shared" si="64"/>
        <v>2025/26</v>
      </c>
      <c r="M178" s="338" t="str">
        <f t="shared" si="64"/>
        <v>2026/27</v>
      </c>
      <c r="N178" s="338" t="str">
        <f t="shared" si="64"/>
        <v>2027/28</v>
      </c>
    </row>
    <row r="179" spans="1:14">
      <c r="B179" s="338" t="str">
        <f t="shared" si="63"/>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3"/>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3"/>
        <v>30-34</v>
      </c>
      <c r="C181" s="459">
        <f>C79*Calc_SEC_death_rates!$G126</f>
        <v>9.8781785803713024E-2</v>
      </c>
      <c r="D181" s="459">
        <f>D79*Calc_SEC_death_rates!$G126</f>
        <v>9.7150433907867179E-2</v>
      </c>
      <c r="E181" s="459">
        <f>E79*Calc_SEC_death_rates!$G126</f>
        <v>9.575796267748786E-2</v>
      </c>
      <c r="F181" s="459">
        <f>F79*Calc_SEC_death_rates!$G126</f>
        <v>9.4620537503135191E-2</v>
      </c>
      <c r="G181" s="459">
        <f>G79*Calc_SEC_death_rates!$G126</f>
        <v>9.4111400957660574E-2</v>
      </c>
      <c r="H181" s="459">
        <f>H79*Calc_SEC_death_rates!$G126</f>
        <v>9.3833541659328529E-2</v>
      </c>
      <c r="I181" s="459">
        <f>I79*Calc_SEC_death_rates!$G126</f>
        <v>9.3699159046756783E-2</v>
      </c>
      <c r="J181" s="459">
        <f>J79*Calc_SEC_death_rates!$G126</f>
        <v>9.3693693896988298E-2</v>
      </c>
      <c r="K181" s="459">
        <f>K79*Calc_SEC_death_rates!$G126</f>
        <v>9.4185213134803616E-2</v>
      </c>
      <c r="L181" s="459">
        <f>L79*Calc_SEC_death_rates!$G126</f>
        <v>9.4297935756907425E-2</v>
      </c>
      <c r="M181" s="459">
        <f>M79*Calc_SEC_death_rates!$G126</f>
        <v>9.3871098546963752E-2</v>
      </c>
      <c r="N181" s="459">
        <f>N79*Calc_SEC_death_rates!$G126</f>
        <v>9.3197951893316561E-2</v>
      </c>
    </row>
    <row r="182" spans="1:14">
      <c r="B182" s="338" t="str">
        <f t="shared" si="63"/>
        <v>35-39</v>
      </c>
      <c r="C182" s="459">
        <f>C80*Calc_SEC_death_rates!$G127</f>
        <v>0.16715545221457703</v>
      </c>
      <c r="D182" s="459">
        <f>D80*Calc_SEC_death_rates!$G127</f>
        <v>0.16857110279027415</v>
      </c>
      <c r="E182" s="459">
        <f>E80*Calc_SEC_death_rates!$G127</f>
        <v>0.16991236824104558</v>
      </c>
      <c r="F182" s="459">
        <f>F80*Calc_SEC_death_rates!$G127</f>
        <v>0.17061768014820627</v>
      </c>
      <c r="G182" s="459">
        <f>G80*Calc_SEC_death_rates!$G127</f>
        <v>0.171122091077581</v>
      </c>
      <c r="H182" s="459">
        <f>H80*Calc_SEC_death_rates!$G127</f>
        <v>0.17116576438410017</v>
      </c>
      <c r="I182" s="459">
        <f>I80*Calc_SEC_death_rates!$G127</f>
        <v>0.17091440994182427</v>
      </c>
      <c r="J182" s="459">
        <f>J80*Calc_SEC_death_rates!$G127</f>
        <v>0.17056971123189252</v>
      </c>
      <c r="K182" s="459">
        <f>K80*Calc_SEC_death_rates!$G127</f>
        <v>0.17071120615995794</v>
      </c>
      <c r="L182" s="459">
        <f>L80*Calc_SEC_death_rates!$G127</f>
        <v>0.17040638748230508</v>
      </c>
      <c r="M182" s="459">
        <f>M80*Calc_SEC_death_rates!$G127</f>
        <v>0.16955376854373172</v>
      </c>
      <c r="N182" s="459">
        <f>N80*Calc_SEC_death_rates!$G127</f>
        <v>0.1685085418036649</v>
      </c>
    </row>
    <row r="183" spans="1:14">
      <c r="B183" s="338" t="str">
        <f t="shared" si="63"/>
        <v>40-44</v>
      </c>
      <c r="C183" s="459">
        <f>C81*Calc_SEC_death_rates!$G128</f>
        <v>0.24429603343667949</v>
      </c>
      <c r="D183" s="459">
        <f>D81*Calc_SEC_death_rates!$G128</f>
        <v>0.25231448584727484</v>
      </c>
      <c r="E183" s="459">
        <f>E81*Calc_SEC_death_rates!$G128</f>
        <v>0.25999921794172026</v>
      </c>
      <c r="F183" s="459">
        <f>F81*Calc_SEC_death_rates!$G128</f>
        <v>0.26642482773179194</v>
      </c>
      <c r="G183" s="459">
        <f>G81*Calc_SEC_death_rates!$G128</f>
        <v>0.27198151406605203</v>
      </c>
      <c r="H183" s="459">
        <f>H81*Calc_SEC_death_rates!$G128</f>
        <v>0.27604329226006813</v>
      </c>
      <c r="I183" s="459">
        <f>I81*Calc_SEC_death_rates!$G128</f>
        <v>0.27879590128420156</v>
      </c>
      <c r="J183" s="459">
        <f>J81*Calc_SEC_death_rates!$G128</f>
        <v>0.28059329545462602</v>
      </c>
      <c r="K183" s="459">
        <f>K81*Calc_SEC_death_rates!$G128</f>
        <v>0.2824123825083682</v>
      </c>
      <c r="L183" s="459">
        <f>L81*Calc_SEC_death_rates!$G128</f>
        <v>0.28295085501388223</v>
      </c>
      <c r="M183" s="459">
        <f>M81*Calc_SEC_death_rates!$G128</f>
        <v>0.28226120479900269</v>
      </c>
      <c r="N183" s="459">
        <f>N81*Calc_SEC_death_rates!$G128</f>
        <v>0.28107259042381616</v>
      </c>
    </row>
    <row r="184" spans="1:14">
      <c r="B184" s="338" t="str">
        <f t="shared" si="63"/>
        <v>45-49</v>
      </c>
      <c r="C184" s="459">
        <f>C82*Calc_SEC_death_rates!$G129</f>
        <v>0.19113134222331449</v>
      </c>
      <c r="D184" s="459">
        <f>D82*Calc_SEC_death_rates!$G129</f>
        <v>0.20169751211964748</v>
      </c>
      <c r="E184" s="459">
        <f>E82*Calc_SEC_death_rates!$G129</f>
        <v>0.21215212437562861</v>
      </c>
      <c r="F184" s="459">
        <f>F82*Calc_SEC_death_rates!$G129</f>
        <v>0.22160424693889993</v>
      </c>
      <c r="G184" s="459">
        <f>G82*Calc_SEC_death_rates!$G129</f>
        <v>0.23031197984262006</v>
      </c>
      <c r="H184" s="459">
        <f>H82*Calc_SEC_death_rates!$G129</f>
        <v>0.23762222123089835</v>
      </c>
      <c r="I184" s="459">
        <f>I82*Calc_SEC_death_rates!$G129</f>
        <v>0.24356960385587895</v>
      </c>
      <c r="J184" s="459">
        <f>J82*Calc_SEC_death_rates!$G129</f>
        <v>0.24835509303644132</v>
      </c>
      <c r="K184" s="459">
        <f>K82*Calc_SEC_death_rates!$G129</f>
        <v>0.25275638684571433</v>
      </c>
      <c r="L184" s="459">
        <f>L82*Calc_SEC_death_rates!$G129</f>
        <v>0.25561356512051958</v>
      </c>
      <c r="M184" s="459">
        <f>M82*Calc_SEC_death_rates!$G129</f>
        <v>0.25697030157080836</v>
      </c>
      <c r="N184" s="459">
        <f>N82*Calc_SEC_death_rates!$G129</f>
        <v>0.25749668161663442</v>
      </c>
    </row>
    <row r="185" spans="1:14">
      <c r="B185" s="338" t="str">
        <f t="shared" si="63"/>
        <v>50-54</v>
      </c>
      <c r="C185" s="459">
        <f>C83*Calc_SEC_death_rates!$G130</f>
        <v>0.3325706290140597</v>
      </c>
      <c r="D185" s="459">
        <f>D83*Calc_SEC_death_rates!$G130</f>
        <v>0.32438727201081918</v>
      </c>
      <c r="E185" s="459">
        <f>E83*Calc_SEC_death_rates!$G130</f>
        <v>0.3239728765499304</v>
      </c>
      <c r="F185" s="459">
        <f>F83*Calc_SEC_death_rates!$G130</f>
        <v>0.32779663198007425</v>
      </c>
      <c r="G185" s="459">
        <f>G83*Calc_SEC_death_rates!$G130</f>
        <v>0.33463425948560466</v>
      </c>
      <c r="H185" s="459">
        <f>H83*Calc_SEC_death_rates!$G130</f>
        <v>0.3423545375061165</v>
      </c>
      <c r="I185" s="459">
        <f>I83*Calc_SEC_death_rates!$G130</f>
        <v>0.35014317106515247</v>
      </c>
      <c r="J185" s="459">
        <f>J83*Calc_SEC_death_rates!$G130</f>
        <v>0.35763638542724085</v>
      </c>
      <c r="K185" s="459">
        <f>K83*Calc_SEC_death_rates!$G130</f>
        <v>0.36546988165534838</v>
      </c>
      <c r="L185" s="459">
        <f>L83*Calc_SEC_death_rates!$G130</f>
        <v>0.37154734816466417</v>
      </c>
      <c r="M185" s="459">
        <f>M83*Calc_SEC_death_rates!$G130</f>
        <v>0.37565475096478756</v>
      </c>
      <c r="N185" s="459">
        <f>N83*Calc_SEC_death_rates!$G130</f>
        <v>0.37857746060278086</v>
      </c>
    </row>
    <row r="186" spans="1:14">
      <c r="B186" s="338" t="str">
        <f t="shared" si="63"/>
        <v>55-59</v>
      </c>
      <c r="C186" s="459">
        <f>C84*Calc_SEC_death_rates!$G131</f>
        <v>0.21837598340335837</v>
      </c>
      <c r="D186" s="459">
        <f>D84*Calc_SEC_death_rates!$G131</f>
        <v>0.19411682732531269</v>
      </c>
      <c r="E186" s="459">
        <f>E84*Calc_SEC_death_rates!$G131</f>
        <v>0.17942395090928781</v>
      </c>
      <c r="F186" s="459">
        <f>F84*Calc_SEC_death_rates!$G131</f>
        <v>0.17085998132867791</v>
      </c>
      <c r="G186" s="459">
        <f>G84*Calc_SEC_death_rates!$G131</f>
        <v>0.16683063360568878</v>
      </c>
      <c r="H186" s="459">
        <f>H84*Calc_SEC_death_rates!$G131</f>
        <v>0.1653496293307489</v>
      </c>
      <c r="I186" s="459">
        <f>I84*Calc_SEC_death_rates!$G131</f>
        <v>0.16548615133006703</v>
      </c>
      <c r="J186" s="459">
        <f>J84*Calc_SEC_death_rates!$G131</f>
        <v>0.16668545467792026</v>
      </c>
      <c r="K186" s="459">
        <f>K84*Calc_SEC_death_rates!$G131</f>
        <v>0.16907428074615499</v>
      </c>
      <c r="L186" s="459">
        <f>L84*Calc_SEC_death_rates!$G131</f>
        <v>0.17106040172185133</v>
      </c>
      <c r="M186" s="459">
        <f>M84*Calc_SEC_death_rates!$G131</f>
        <v>0.17242643392517415</v>
      </c>
      <c r="N186" s="459">
        <f>N84*Calc_SEC_death_rates!$G131</f>
        <v>0.17358549722288691</v>
      </c>
    </row>
    <row r="187" spans="1:14">
      <c r="B187" s="338" t="str">
        <f t="shared" si="63"/>
        <v>60-64</v>
      </c>
      <c r="C187" s="459">
        <f>C85*Calc_SEC_death_rates!$G132</f>
        <v>0.16882125191506736</v>
      </c>
      <c r="D187" s="459">
        <f>D85*Calc_SEC_death_rates!$G132</f>
        <v>0.15913889251573818</v>
      </c>
      <c r="E187" s="459">
        <f>E85*Calc_SEC_death_rates!$G132</f>
        <v>0.1482977409819308</v>
      </c>
      <c r="F187" s="459">
        <f>F85*Calc_SEC_death_rates!$G132</f>
        <v>0.1389040390271698</v>
      </c>
      <c r="G187" s="459">
        <f>G85*Calc_SEC_death_rates!$G132</f>
        <v>0.1322867060048851</v>
      </c>
      <c r="H187" s="459">
        <f>H85*Calc_SEC_death_rates!$G132</f>
        <v>0.12768459425200601</v>
      </c>
      <c r="I187" s="459">
        <f>I85*Calc_SEC_death_rates!$G132</f>
        <v>0.12477904381692152</v>
      </c>
      <c r="J187" s="459">
        <f>J85*Calc_SEC_death_rates!$G132</f>
        <v>0.12327712385607634</v>
      </c>
      <c r="K187" s="459">
        <f>K85*Calc_SEC_death_rates!$G132</f>
        <v>0.12343325095679802</v>
      </c>
      <c r="L187" s="459">
        <f>L85*Calc_SEC_death_rates!$G132</f>
        <v>0.12347392936959355</v>
      </c>
      <c r="M187" s="459">
        <f>M85*Calc_SEC_death_rates!$G132</f>
        <v>0.12322935230978126</v>
      </c>
      <c r="N187" s="459">
        <f>N85*Calc_SEC_death_rates!$G132</f>
        <v>0.12318253531844224</v>
      </c>
    </row>
    <row r="188" spans="1:14">
      <c r="B188" s="338" t="str">
        <f t="shared" si="63"/>
        <v>65 plus</v>
      </c>
      <c r="C188" s="459">
        <f>C86*Calc_SEC_death_rates!$G133</f>
        <v>0.11953195272976433</v>
      </c>
      <c r="D188" s="459">
        <f>D86*Calc_SEC_death_rates!$G133</f>
        <v>0.14562794199410864</v>
      </c>
      <c r="E188" s="459">
        <f>E86*Calc_SEC_death_rates!$G133</f>
        <v>0.1571677489140211</v>
      </c>
      <c r="F188" s="459">
        <f>F86*Calc_SEC_death_rates!$G133</f>
        <v>0.15938887667435261</v>
      </c>
      <c r="G188" s="459">
        <f>G86*Calc_SEC_death_rates!$G133</f>
        <v>0.15746820535773404</v>
      </c>
      <c r="H188" s="459">
        <f>H86*Calc_SEC_death_rates!$G133</f>
        <v>0.15358575852297854</v>
      </c>
      <c r="I188" s="459">
        <f>I86*Calc_SEC_death_rates!$G133</f>
        <v>0.14939517275783343</v>
      </c>
      <c r="J188" s="459">
        <f>J86*Calc_SEC_death_rates!$G133</f>
        <v>0.145829118468983</v>
      </c>
      <c r="K188" s="459">
        <f>K86*Calc_SEC_death_rates!$G133</f>
        <v>0.1439563737662338</v>
      </c>
      <c r="L188" s="459">
        <f>L86*Calc_SEC_death_rates!$G133</f>
        <v>0.14210035893857428</v>
      </c>
      <c r="M188" s="459">
        <f>M86*Calc_SEC_death_rates!$G133</f>
        <v>0.1400753916061194</v>
      </c>
      <c r="N188" s="459">
        <f>N86*Calc_SEC_death_rates!$G133</f>
        <v>0.13848065928914985</v>
      </c>
    </row>
    <row r="189" spans="1:14">
      <c r="B189" s="338" t="str">
        <f t="shared" si="63"/>
        <v>Total</v>
      </c>
      <c r="C189" s="459">
        <f>SUM(C179:C188)</f>
        <v>1.5406644307405337</v>
      </c>
      <c r="D189" s="459">
        <f t="shared" ref="D189:N189" si="65">SUM(D179:D188)</f>
        <v>1.5430044685110424</v>
      </c>
      <c r="E189" s="459">
        <f t="shared" si="65"/>
        <v>1.5466839905910523</v>
      </c>
      <c r="F189" s="459">
        <f t="shared" si="65"/>
        <v>1.550216821332308</v>
      </c>
      <c r="G189" s="459">
        <f t="shared" si="65"/>
        <v>1.5587467903978265</v>
      </c>
      <c r="H189" s="459">
        <f t="shared" si="65"/>
        <v>1.5676393391462449</v>
      </c>
      <c r="I189" s="459">
        <f t="shared" si="65"/>
        <v>1.576782613098636</v>
      </c>
      <c r="J189" s="459">
        <f t="shared" si="65"/>
        <v>1.5866398760501685</v>
      </c>
      <c r="K189" s="459">
        <f t="shared" si="65"/>
        <v>1.601998975773379</v>
      </c>
      <c r="L189" s="459">
        <f t="shared" si="65"/>
        <v>1.6114507815682977</v>
      </c>
      <c r="M189" s="459">
        <f t="shared" si="65"/>
        <v>1.6140423022663688</v>
      </c>
      <c r="N189" s="459">
        <f t="shared" si="65"/>
        <v>1.6141019181706919</v>
      </c>
    </row>
    <row r="190" spans="1:14">
      <c r="A190" s="309">
        <f>SUM(C190:N190)</f>
        <v>0</v>
      </c>
      <c r="C190" s="309">
        <f>SUM(C179:C188)-C189</f>
        <v>0</v>
      </c>
      <c r="D190" s="309">
        <f t="shared" ref="D190:N190" si="66">SUM(D179:D188)-D189</f>
        <v>0</v>
      </c>
      <c r="E190" s="309">
        <f t="shared" si="66"/>
        <v>0</v>
      </c>
      <c r="F190" s="309">
        <f t="shared" si="66"/>
        <v>0</v>
      </c>
      <c r="G190" s="309">
        <f t="shared" si="66"/>
        <v>0</v>
      </c>
      <c r="H190" s="309">
        <f t="shared" si="66"/>
        <v>0</v>
      </c>
      <c r="I190" s="309">
        <f t="shared" si="66"/>
        <v>0</v>
      </c>
      <c r="J190" s="309">
        <f t="shared" si="66"/>
        <v>0</v>
      </c>
      <c r="K190" s="309">
        <f t="shared" si="66"/>
        <v>0</v>
      </c>
      <c r="L190" s="309">
        <f t="shared" si="66"/>
        <v>0</v>
      </c>
      <c r="M190" s="309">
        <f t="shared" si="66"/>
        <v>0</v>
      </c>
      <c r="N190" s="309">
        <f t="shared" si="66"/>
        <v>0</v>
      </c>
    </row>
    <row r="192" spans="1:14">
      <c r="B192" s="341" t="s">
        <v>50</v>
      </c>
      <c r="C192" s="329"/>
      <c r="D192" s="329"/>
      <c r="E192" s="329"/>
      <c r="F192" s="329"/>
      <c r="G192" s="329"/>
      <c r="H192" s="339"/>
      <c r="I192" s="329"/>
      <c r="J192" s="329"/>
      <c r="K192" s="329"/>
      <c r="L192" s="329"/>
    </row>
    <row r="193" spans="1:15">
      <c r="C193" s="329"/>
      <c r="D193" s="329"/>
      <c r="E193" s="329"/>
      <c r="F193" s="329"/>
      <c r="G193" s="329"/>
      <c r="H193" s="339"/>
      <c r="I193" s="329"/>
      <c r="J193" s="329"/>
      <c r="K193" s="329"/>
      <c r="L193" s="329"/>
    </row>
    <row r="194" spans="1:15">
      <c r="B194" s="338" t="str">
        <f t="shared" ref="B194:B205" si="67">B178</f>
        <v>Age group</v>
      </c>
      <c r="C194" s="338" t="str">
        <f t="shared" ref="C194:N194" si="68">C178</f>
        <v>2016/17</v>
      </c>
      <c r="D194" s="338" t="str">
        <f t="shared" si="68"/>
        <v>2017/18</v>
      </c>
      <c r="E194" s="338" t="str">
        <f t="shared" si="68"/>
        <v>2018/19</v>
      </c>
      <c r="F194" s="338" t="str">
        <f t="shared" si="68"/>
        <v>2019/20</v>
      </c>
      <c r="G194" s="338" t="str">
        <f t="shared" si="68"/>
        <v>2020/21</v>
      </c>
      <c r="H194" s="338" t="str">
        <f t="shared" si="68"/>
        <v>2021/22</v>
      </c>
      <c r="I194" s="338" t="str">
        <f t="shared" si="68"/>
        <v>2022/23</v>
      </c>
      <c r="J194" s="338" t="str">
        <f t="shared" si="68"/>
        <v>2023/24</v>
      </c>
      <c r="K194" s="338" t="str">
        <f t="shared" si="68"/>
        <v>2024/25</v>
      </c>
      <c r="L194" s="338" t="str">
        <f t="shared" si="68"/>
        <v>2025/26</v>
      </c>
      <c r="M194" s="338" t="str">
        <f t="shared" si="68"/>
        <v>2026/27</v>
      </c>
      <c r="N194" s="338" t="str">
        <f t="shared" si="68"/>
        <v>2027/28</v>
      </c>
    </row>
    <row r="195" spans="1:15">
      <c r="B195" s="338" t="str">
        <f t="shared" si="67"/>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c r="O195" s="327"/>
    </row>
    <row r="196" spans="1:15">
      <c r="B196" s="338" t="str">
        <f t="shared" si="67"/>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c r="O196" s="327"/>
    </row>
    <row r="197" spans="1:15">
      <c r="B197" s="338" t="str">
        <f t="shared" si="67"/>
        <v>30-34</v>
      </c>
      <c r="C197" s="459">
        <f>C95*Calc_SEC_death_rates!$G142</f>
        <v>3.9857170414167399E-2</v>
      </c>
      <c r="D197" s="459">
        <f>D95*Calc_SEC_death_rates!$G142</f>
        <v>3.8251957067780902E-2</v>
      </c>
      <c r="E197" s="459">
        <f>E95*Calc_SEC_death_rates!$G142</f>
        <v>3.6943108504701901E-2</v>
      </c>
      <c r="F197" s="459">
        <f>F95*Calc_SEC_death_rates!$G142</f>
        <v>3.5889522440407148E-2</v>
      </c>
      <c r="G197" s="459">
        <f>G95*Calc_SEC_death_rates!$G142</f>
        <v>3.5200166542311256E-2</v>
      </c>
      <c r="H197" s="459">
        <f>H95*Calc_SEC_death_rates!$G142</f>
        <v>3.4692464448955428E-2</v>
      </c>
      <c r="I197" s="459">
        <f>I95*Calc_SEC_death_rates!$G142</f>
        <v>3.4313420084320041E-2</v>
      </c>
      <c r="J197" s="459">
        <f>J95*Calc_SEC_death_rates!$G142</f>
        <v>3.4043311586033645E-2</v>
      </c>
      <c r="K197" s="459">
        <f>K95*Calc_SEC_death_rates!$G142</f>
        <v>3.4013044585460256E-2</v>
      </c>
      <c r="L197" s="459">
        <f>L95*Calc_SEC_death_rates!$G142</f>
        <v>3.3872462484079373E-2</v>
      </c>
      <c r="M197" s="459">
        <f>M95*Calc_SEC_death_rates!$G142</f>
        <v>3.3556967054737569E-2</v>
      </c>
      <c r="N197" s="459">
        <f>N95*Calc_SEC_death_rates!$G142</f>
        <v>3.3178762953745944E-2</v>
      </c>
      <c r="O197" s="327"/>
    </row>
    <row r="198" spans="1:15">
      <c r="B198" s="338" t="str">
        <f t="shared" si="67"/>
        <v>35-39</v>
      </c>
      <c r="C198" s="459">
        <f>C96*Calc_SEC_death_rates!$G143</f>
        <v>0.15875273560783978</v>
      </c>
      <c r="D198" s="459">
        <f>D96*Calc_SEC_death_rates!$G143</f>
        <v>0.15248407781991449</v>
      </c>
      <c r="E198" s="459">
        <f>E96*Calc_SEC_death_rates!$G143</f>
        <v>0.14742886016671394</v>
      </c>
      <c r="F198" s="459">
        <f>F96*Calc_SEC_death_rates!$G143</f>
        <v>0.14293595635940784</v>
      </c>
      <c r="G198" s="459">
        <f>G96*Calc_SEC_death_rates!$G143</f>
        <v>0.13918877104530869</v>
      </c>
      <c r="H198" s="459">
        <f>H96*Calc_SEC_death_rates!$G143</f>
        <v>0.13581882903181761</v>
      </c>
      <c r="I198" s="459">
        <f>I96*Calc_SEC_death_rates!$G143</f>
        <v>0.13283031483995006</v>
      </c>
      <c r="J198" s="459">
        <f>J96*Calc_SEC_death_rates!$G143</f>
        <v>0.13027653999952787</v>
      </c>
      <c r="K198" s="459">
        <f>K96*Calc_SEC_death_rates!$G143</f>
        <v>0.12853512095715522</v>
      </c>
      <c r="L198" s="459">
        <f>L96*Calc_SEC_death_rates!$G143</f>
        <v>0.1267625153479898</v>
      </c>
      <c r="M198" s="459">
        <f>M96*Calc_SEC_death_rates!$G143</f>
        <v>0.12482145196615911</v>
      </c>
      <c r="N198" s="459">
        <f>N96*Calc_SEC_death_rates!$G143</f>
        <v>0.12296080141012729</v>
      </c>
      <c r="O198" s="327"/>
    </row>
    <row r="199" spans="1:15">
      <c r="B199" s="338" t="str">
        <f t="shared" si="67"/>
        <v>40-44</v>
      </c>
      <c r="C199" s="459">
        <f>C97*Calc_SEC_death_rates!$G144</f>
        <v>0.13248797409183036</v>
      </c>
      <c r="D199" s="459">
        <f>D97*Calc_SEC_death_rates!$G144</f>
        <v>0.13791793426798971</v>
      </c>
      <c r="E199" s="459">
        <f>E97*Calc_SEC_death_rates!$G144</f>
        <v>0.14126437729090968</v>
      </c>
      <c r="F199" s="459">
        <f>F97*Calc_SEC_death_rates!$G144</f>
        <v>0.14282246578334082</v>
      </c>
      <c r="G199" s="459">
        <f>G97*Calc_SEC_death_rates!$G144</f>
        <v>0.14331921899158401</v>
      </c>
      <c r="H199" s="459">
        <f>H97*Calc_SEC_death_rates!$G144</f>
        <v>0.14278975245803741</v>
      </c>
      <c r="I199" s="459">
        <f>I97*Calc_SEC_death_rates!$G144</f>
        <v>0.14155897463997869</v>
      </c>
      <c r="J199" s="459">
        <f>J97*Calc_SEC_death_rates!$G144</f>
        <v>0.13994891378322771</v>
      </c>
      <c r="K199" s="459">
        <f>K97*Calc_SEC_death_rates!$G144</f>
        <v>0.1385362768661694</v>
      </c>
      <c r="L199" s="459">
        <f>L97*Calc_SEC_death_rates!$G144</f>
        <v>0.13669565408047793</v>
      </c>
      <c r="M199" s="459">
        <f>M97*Calc_SEC_death_rates!$G144</f>
        <v>0.13446883341418603</v>
      </c>
      <c r="N199" s="459">
        <f>N97*Calc_SEC_death_rates!$G144</f>
        <v>0.13222609919350081</v>
      </c>
      <c r="O199" s="327"/>
    </row>
    <row r="200" spans="1:15">
      <c r="B200" s="338" t="str">
        <f t="shared" si="67"/>
        <v>45-49</v>
      </c>
      <c r="C200" s="459">
        <f>C98*Calc_SEC_death_rates!$G145</f>
        <v>0.11813706216951303</v>
      </c>
      <c r="D200" s="459">
        <f>D98*Calc_SEC_death_rates!$G145</f>
        <v>0.13155049291738999</v>
      </c>
      <c r="E200" s="459">
        <f>E98*Calc_SEC_death_rates!$G145</f>
        <v>0.14364330636350092</v>
      </c>
      <c r="F200" s="459">
        <f>F98*Calc_SEC_death_rates!$G145</f>
        <v>0.15360079096994544</v>
      </c>
      <c r="G200" s="459">
        <f>G98*Calc_SEC_death_rates!$G145</f>
        <v>0.16167338704682147</v>
      </c>
      <c r="H200" s="459">
        <f>H98*Calc_SEC_death_rates!$G145</f>
        <v>0.16759780125047205</v>
      </c>
      <c r="I200" s="459">
        <f>I98*Calc_SEC_death_rates!$G145</f>
        <v>0.17163833372379173</v>
      </c>
      <c r="J200" s="459">
        <f>J98*Calc_SEC_death_rates!$G145</f>
        <v>0.17417467724943694</v>
      </c>
      <c r="K200" s="459">
        <f>K98*Calc_SEC_death_rates!$G145</f>
        <v>0.1759653696292095</v>
      </c>
      <c r="L200" s="459">
        <f>L98*Calc_SEC_death_rates!$G145</f>
        <v>0.17637509514451619</v>
      </c>
      <c r="M200" s="459">
        <f>M98*Calc_SEC_death_rates!$G145</f>
        <v>0.17557707519166704</v>
      </c>
      <c r="N200" s="459">
        <f>N98*Calc_SEC_death_rates!$G145</f>
        <v>0.17414959261193141</v>
      </c>
      <c r="O200" s="327"/>
    </row>
    <row r="201" spans="1:15">
      <c r="B201" s="338" t="str">
        <f t="shared" si="67"/>
        <v>50-54</v>
      </c>
      <c r="C201" s="459">
        <f>C99*Calc_SEC_death_rates!$G146</f>
        <v>0.12547501603780736</v>
      </c>
      <c r="D201" s="459">
        <f>D99*Calc_SEC_death_rates!$G146</f>
        <v>0.12685726711410941</v>
      </c>
      <c r="E201" s="459">
        <f>E99*Calc_SEC_death_rates!$G146</f>
        <v>0.13189455225581567</v>
      </c>
      <c r="F201" s="459">
        <f>F99*Calc_SEC_death_rates!$G146</f>
        <v>0.13860401375331755</v>
      </c>
      <c r="G201" s="459">
        <f>G99*Calc_SEC_death_rates!$G146</f>
        <v>0.14614632000263952</v>
      </c>
      <c r="H201" s="459">
        <f>H99*Calc_SEC_death_rates!$G146</f>
        <v>0.15334232214040586</v>
      </c>
      <c r="I201" s="459">
        <f>I99*Calc_SEC_death_rates!$G146</f>
        <v>0.15973821085461543</v>
      </c>
      <c r="J201" s="459">
        <f>J99*Calc_SEC_death_rates!$G146</f>
        <v>0.16517386219634839</v>
      </c>
      <c r="K201" s="459">
        <f>K99*Calc_SEC_death_rates!$G146</f>
        <v>0.17002079677341203</v>
      </c>
      <c r="L201" s="459">
        <f>L99*Calc_SEC_death_rates!$G146</f>
        <v>0.17338006789821625</v>
      </c>
      <c r="M201" s="459">
        <f>M99*Calc_SEC_death_rates!$G146</f>
        <v>0.17526710512539753</v>
      </c>
      <c r="N201" s="459">
        <f>N99*Calc_SEC_death_rates!$G146</f>
        <v>0.17617495534611011</v>
      </c>
      <c r="O201" s="327"/>
    </row>
    <row r="202" spans="1:15">
      <c r="B202" s="338" t="str">
        <f t="shared" si="67"/>
        <v>55-59</v>
      </c>
      <c r="C202" s="459">
        <f>C100*Calc_SEC_death_rates!$G147</f>
        <v>0.21685806149872022</v>
      </c>
      <c r="D202" s="459">
        <f>D100*Calc_SEC_death_rates!$G147</f>
        <v>0.20776574577527521</v>
      </c>
      <c r="E202" s="459">
        <f>E100*Calc_SEC_death_rates!$G147</f>
        <v>0.20444147592032436</v>
      </c>
      <c r="F202" s="459">
        <f>F100*Calc_SEC_death_rates!$G147</f>
        <v>0.20521416478199703</v>
      </c>
      <c r="G202" s="459">
        <f>G100*Calc_SEC_death_rates!$G147</f>
        <v>0.20958326312853273</v>
      </c>
      <c r="H202" s="459">
        <f>H100*Calc_SEC_death_rates!$G147</f>
        <v>0.2156071981795373</v>
      </c>
      <c r="I202" s="459">
        <f>I100*Calc_SEC_death_rates!$G147</f>
        <v>0.2224034915642161</v>
      </c>
      <c r="J202" s="459">
        <f>J100*Calc_SEC_death_rates!$G147</f>
        <v>0.22940746444897989</v>
      </c>
      <c r="K202" s="459">
        <f>K100*Calc_SEC_death_rates!$G147</f>
        <v>0.23695120574146455</v>
      </c>
      <c r="L202" s="459">
        <f>L100*Calc_SEC_death_rates!$G147</f>
        <v>0.24283756991053285</v>
      </c>
      <c r="M202" s="459">
        <f>M100*Calc_SEC_death_rates!$G147</f>
        <v>0.24685915577406878</v>
      </c>
      <c r="N202" s="459">
        <f>N100*Calc_SEC_death_rates!$G147</f>
        <v>0.24973881046649546</v>
      </c>
      <c r="O202" s="327"/>
    </row>
    <row r="203" spans="1:15">
      <c r="B203" s="338" t="str">
        <f t="shared" si="67"/>
        <v>60-64</v>
      </c>
      <c r="C203" s="459">
        <f>C101*Calc_SEC_death_rates!$G148</f>
        <v>0.12820501289742364</v>
      </c>
      <c r="D203" s="459">
        <f>D101*Calc_SEC_death_rates!$G148</f>
        <v>0.12149590045181215</v>
      </c>
      <c r="E203" s="459">
        <f>E101*Calc_SEC_death_rates!$G148</f>
        <v>0.11754080757232643</v>
      </c>
      <c r="F203" s="459">
        <f>F101*Calc_SEC_death_rates!$G148</f>
        <v>0.115219961433569</v>
      </c>
      <c r="G203" s="459">
        <f>G101*Calc_SEC_death_rates!$G148</f>
        <v>0.11484332724694242</v>
      </c>
      <c r="H203" s="459">
        <f>H101*Calc_SEC_death_rates!$G148</f>
        <v>0.11543204945468898</v>
      </c>
      <c r="I203" s="459">
        <f>I101*Calc_SEC_death_rates!$G148</f>
        <v>0.11679809252453359</v>
      </c>
      <c r="J203" s="459">
        <f>J101*Calc_SEC_death_rates!$G148</f>
        <v>0.11880714274316498</v>
      </c>
      <c r="K203" s="459">
        <f>K101*Calc_SEC_death_rates!$G148</f>
        <v>0.12188208428849288</v>
      </c>
      <c r="L203" s="459">
        <f>L101*Calc_SEC_death_rates!$G148</f>
        <v>0.12418318387756717</v>
      </c>
      <c r="M203" s="459">
        <f>M101*Calc_SEC_death_rates!$G148</f>
        <v>0.12563510471356915</v>
      </c>
      <c r="N203" s="459">
        <f>N101*Calc_SEC_death_rates!$G148</f>
        <v>0.1268431737269699</v>
      </c>
      <c r="O203" s="327"/>
    </row>
    <row r="204" spans="1:15">
      <c r="B204" s="338" t="str">
        <f t="shared" si="67"/>
        <v>65 plus</v>
      </c>
      <c r="C204" s="459">
        <f>C102*Calc_SEC_death_rates!$G149</f>
        <v>0.22204329361157801</v>
      </c>
      <c r="D204" s="459">
        <f>D102*Calc_SEC_death_rates!$G149</f>
        <v>0.2313368202075464</v>
      </c>
      <c r="E204" s="459">
        <f>E102*Calc_SEC_death_rates!$G149</f>
        <v>0.23394474003419352</v>
      </c>
      <c r="F204" s="459">
        <f>F102*Calc_SEC_death_rates!$G149</f>
        <v>0.23302791888820579</v>
      </c>
      <c r="G204" s="459">
        <f>G102*Calc_SEC_death_rates!$G149</f>
        <v>0.23211474217216821</v>
      </c>
      <c r="H204" s="459">
        <f>H102*Calc_SEC_death_rates!$G149</f>
        <v>0.2308772299372851</v>
      </c>
      <c r="I204" s="459">
        <f>I102*Calc_SEC_death_rates!$G149</f>
        <v>0.23006412256956318</v>
      </c>
      <c r="J204" s="459">
        <f>J102*Calc_SEC_death_rates!$G149</f>
        <v>0.230261921232747</v>
      </c>
      <c r="K204" s="459">
        <f>K102*Calc_SEC_death_rates!$G149</f>
        <v>0.23306519373804296</v>
      </c>
      <c r="L204" s="459">
        <f>L102*Calc_SEC_death_rates!$G149</f>
        <v>0.23475115687939829</v>
      </c>
      <c r="M204" s="459">
        <f>M102*Calc_SEC_death_rates!$G149</f>
        <v>0.23506727989928172</v>
      </c>
      <c r="N204" s="459">
        <f>N102*Calc_SEC_death_rates!$G149</f>
        <v>0.23540241751706167</v>
      </c>
      <c r="O204" s="327"/>
    </row>
    <row r="205" spans="1:15">
      <c r="B205" s="338" t="str">
        <f t="shared" si="67"/>
        <v>Total</v>
      </c>
      <c r="C205" s="459">
        <f>SUM(C195:C204)</f>
        <v>1.1418163263288796</v>
      </c>
      <c r="D205" s="459">
        <f t="shared" ref="D205:N205" si="69">SUM(D195:D204)</f>
        <v>1.1476601956218182</v>
      </c>
      <c r="E205" s="459">
        <f t="shared" si="69"/>
        <v>1.1571012281084863</v>
      </c>
      <c r="F205" s="459">
        <f t="shared" si="69"/>
        <v>1.1673147944101907</v>
      </c>
      <c r="G205" s="459">
        <f t="shared" si="69"/>
        <v>1.1820691961763083</v>
      </c>
      <c r="H205" s="459">
        <f t="shared" si="69"/>
        <v>1.1961576469011999</v>
      </c>
      <c r="I205" s="459">
        <f t="shared" si="69"/>
        <v>1.2093449608009688</v>
      </c>
      <c r="J205" s="459">
        <f t="shared" si="69"/>
        <v>1.2220938332394664</v>
      </c>
      <c r="K205" s="459">
        <f t="shared" si="69"/>
        <v>1.2389690925794068</v>
      </c>
      <c r="L205" s="459">
        <f t="shared" si="69"/>
        <v>1.2488577056227779</v>
      </c>
      <c r="M205" s="459">
        <f t="shared" si="69"/>
        <v>1.2512529731390669</v>
      </c>
      <c r="N205" s="459">
        <f t="shared" si="69"/>
        <v>1.2506746132259428</v>
      </c>
      <c r="O205" s="327"/>
    </row>
    <row r="206" spans="1:15">
      <c r="A206" s="309">
        <f>SUM(C206:N206)</f>
        <v>0</v>
      </c>
      <c r="C206" s="309">
        <f>SUM(C195:C204)-C205</f>
        <v>0</v>
      </c>
      <c r="D206" s="309">
        <f t="shared" ref="D206:N206" si="70">SUM(D195:D204)-D205</f>
        <v>0</v>
      </c>
      <c r="E206" s="309">
        <f t="shared" si="70"/>
        <v>0</v>
      </c>
      <c r="F206" s="309">
        <f t="shared" si="70"/>
        <v>0</v>
      </c>
      <c r="G206" s="309">
        <f t="shared" si="70"/>
        <v>0</v>
      </c>
      <c r="H206" s="309">
        <f t="shared" si="70"/>
        <v>0</v>
      </c>
      <c r="I206" s="309">
        <f t="shared" si="70"/>
        <v>0</v>
      </c>
      <c r="J206" s="309">
        <f t="shared" si="70"/>
        <v>0</v>
      </c>
      <c r="K206" s="309">
        <f t="shared" si="70"/>
        <v>0</v>
      </c>
      <c r="L206" s="309">
        <f t="shared" si="70"/>
        <v>0</v>
      </c>
      <c r="M206" s="309">
        <f t="shared" si="70"/>
        <v>0</v>
      </c>
      <c r="N206" s="309">
        <f t="shared" si="70"/>
        <v>0</v>
      </c>
    </row>
    <row r="208" spans="1:15"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1">B178</f>
        <v>Age group</v>
      </c>
      <c r="C212" s="338" t="str">
        <f t="shared" ref="C212:N212" si="72">C178</f>
        <v>2016/17</v>
      </c>
      <c r="D212" s="338" t="str">
        <f t="shared" si="72"/>
        <v>2017/18</v>
      </c>
      <c r="E212" s="338" t="str">
        <f t="shared" si="72"/>
        <v>2018/19</v>
      </c>
      <c r="F212" s="338" t="str">
        <f t="shared" si="72"/>
        <v>2019/20</v>
      </c>
      <c r="G212" s="338" t="str">
        <f t="shared" si="72"/>
        <v>2020/21</v>
      </c>
      <c r="H212" s="338" t="str">
        <f t="shared" si="72"/>
        <v>2021/22</v>
      </c>
      <c r="I212" s="338" t="str">
        <f t="shared" si="72"/>
        <v>2022/23</v>
      </c>
      <c r="J212" s="338" t="str">
        <f t="shared" si="72"/>
        <v>2023/24</v>
      </c>
      <c r="K212" s="338" t="str">
        <f t="shared" si="72"/>
        <v>2024/25</v>
      </c>
      <c r="L212" s="338" t="str">
        <f t="shared" si="72"/>
        <v>2025/26</v>
      </c>
      <c r="M212" s="338" t="str">
        <f t="shared" si="72"/>
        <v>2026/27</v>
      </c>
      <c r="N212" s="338" t="str">
        <f t="shared" si="72"/>
        <v>2027/28</v>
      </c>
    </row>
    <row r="213" spans="1:14">
      <c r="B213" s="338" t="str">
        <f t="shared" si="71"/>
        <v>20-24</v>
      </c>
      <c r="C213" s="459">
        <f t="shared" ref="C213:C222" si="73">C111+C145+C179</f>
        <v>8.0379305595128674</v>
      </c>
      <c r="D213" s="459">
        <f t="shared" ref="D213:N213" si="74">D111+D145+D179</f>
        <v>10.733895435340445</v>
      </c>
      <c r="E213" s="459">
        <f t="shared" si="74"/>
        <v>13.090751659624678</v>
      </c>
      <c r="F213" s="459">
        <f t="shared" si="74"/>
        <v>14.861710836651898</v>
      </c>
      <c r="G213" s="459">
        <f t="shared" si="74"/>
        <v>16.313234490204842</v>
      </c>
      <c r="H213" s="459">
        <f t="shared" si="74"/>
        <v>17.264374365347773</v>
      </c>
      <c r="I213" s="459">
        <f t="shared" si="74"/>
        <v>17.843972875081878</v>
      </c>
      <c r="J213" s="459">
        <f t="shared" si="74"/>
        <v>18.199739231434389</v>
      </c>
      <c r="K213" s="459">
        <f t="shared" si="74"/>
        <v>18.662378563451178</v>
      </c>
      <c r="L213" s="459">
        <f t="shared" si="74"/>
        <v>18.691421110057547</v>
      </c>
      <c r="M213" s="459">
        <f t="shared" si="74"/>
        <v>18.367515381978183</v>
      </c>
      <c r="N213" s="459">
        <f t="shared" si="74"/>
        <v>18.000978210452853</v>
      </c>
    </row>
    <row r="214" spans="1:14">
      <c r="B214" s="338" t="str">
        <f t="shared" si="71"/>
        <v>25-29</v>
      </c>
      <c r="C214" s="459">
        <f t="shared" si="73"/>
        <v>29.335054155455126</v>
      </c>
      <c r="D214" s="459">
        <f t="shared" ref="D214:N214" si="75">D112+D146+D180</f>
        <v>27.580146322082754</v>
      </c>
      <c r="E214" s="459">
        <f t="shared" si="75"/>
        <v>27.099889534982694</v>
      </c>
      <c r="F214" s="459">
        <f t="shared" si="75"/>
        <v>27.163937144243164</v>
      </c>
      <c r="G214" s="459">
        <f t="shared" si="75"/>
        <v>27.643594911124158</v>
      </c>
      <c r="H214" s="459">
        <f t="shared" si="75"/>
        <v>28.112160111212578</v>
      </c>
      <c r="I214" s="459">
        <f t="shared" si="75"/>
        <v>28.488740417289936</v>
      </c>
      <c r="J214" s="459">
        <f t="shared" si="75"/>
        <v>28.787478537161032</v>
      </c>
      <c r="K214" s="459">
        <f t="shared" si="75"/>
        <v>29.263518299644268</v>
      </c>
      <c r="L214" s="459">
        <f t="shared" si="75"/>
        <v>29.376718033293841</v>
      </c>
      <c r="M214" s="459">
        <f t="shared" si="75"/>
        <v>29.12060090458683</v>
      </c>
      <c r="N214" s="459">
        <f t="shared" si="75"/>
        <v>28.753239593688509</v>
      </c>
    </row>
    <row r="215" spans="1:14">
      <c r="B215" s="338" t="str">
        <f t="shared" si="71"/>
        <v>30-34</v>
      </c>
      <c r="C215" s="459">
        <f t="shared" si="73"/>
        <v>26.563104964587264</v>
      </c>
      <c r="D215" s="459">
        <f t="shared" ref="D215:N215" si="76">D113+D147+D181</f>
        <v>26.124423164182897</v>
      </c>
      <c r="E215" s="459">
        <f t="shared" si="76"/>
        <v>25.749978025822752</v>
      </c>
      <c r="F215" s="459">
        <f t="shared" si="76"/>
        <v>25.44411653476072</v>
      </c>
      <c r="G215" s="459">
        <f t="shared" si="76"/>
        <v>25.3072061986222</v>
      </c>
      <c r="H215" s="459">
        <f t="shared" si="76"/>
        <v>25.232487912787125</v>
      </c>
      <c r="I215" s="459">
        <f t="shared" si="76"/>
        <v>25.196351499438091</v>
      </c>
      <c r="J215" s="459">
        <f t="shared" si="76"/>
        <v>25.194881882891213</v>
      </c>
      <c r="K215" s="459">
        <f t="shared" si="76"/>
        <v>25.327054803232478</v>
      </c>
      <c r="L215" s="459">
        <f t="shared" si="76"/>
        <v>25.35736669543472</v>
      </c>
      <c r="M215" s="459">
        <f t="shared" si="76"/>
        <v>25.242587219458702</v>
      </c>
      <c r="N215" s="459">
        <f t="shared" si="76"/>
        <v>25.061573431624154</v>
      </c>
    </row>
    <row r="216" spans="1:14">
      <c r="B216" s="338" t="str">
        <f t="shared" si="71"/>
        <v>35-39</v>
      </c>
      <c r="C216" s="459">
        <f t="shared" si="73"/>
        <v>24.906266711097757</v>
      </c>
      <c r="D216" s="459">
        <f t="shared" ref="D216:N216" si="77">D114+D148+D182</f>
        <v>25.117199530463829</v>
      </c>
      <c r="E216" s="459">
        <f t="shared" si="77"/>
        <v>25.317048919788032</v>
      </c>
      <c r="F216" s="459">
        <f t="shared" si="77"/>
        <v>25.422140834179835</v>
      </c>
      <c r="G216" s="459">
        <f t="shared" si="77"/>
        <v>25.497298377487915</v>
      </c>
      <c r="H216" s="459">
        <f t="shared" si="77"/>
        <v>25.503805727418239</v>
      </c>
      <c r="I216" s="459">
        <f t="shared" si="77"/>
        <v>25.466353758634682</v>
      </c>
      <c r="J216" s="459">
        <f t="shared" si="77"/>
        <v>25.414993435708979</v>
      </c>
      <c r="K216" s="459">
        <f t="shared" si="77"/>
        <v>25.43607626830568</v>
      </c>
      <c r="L216" s="459">
        <f t="shared" si="77"/>
        <v>25.390658095080909</v>
      </c>
      <c r="M216" s="459">
        <f t="shared" si="77"/>
        <v>25.263617341066013</v>
      </c>
      <c r="N216" s="459">
        <f t="shared" si="77"/>
        <v>25.107877904411218</v>
      </c>
    </row>
    <row r="217" spans="1:14">
      <c r="B217" s="338" t="str">
        <f t="shared" si="71"/>
        <v>40-44</v>
      </c>
      <c r="C217" s="459">
        <f t="shared" si="73"/>
        <v>22.688406410409684</v>
      </c>
      <c r="D217" s="459">
        <f t="shared" ref="D217:N217" si="78">D115+D149+D183</f>
        <v>23.433100888313561</v>
      </c>
      <c r="E217" s="459">
        <f t="shared" si="78"/>
        <v>24.146801894675125</v>
      </c>
      <c r="F217" s="459">
        <f t="shared" si="78"/>
        <v>24.743564946047552</v>
      </c>
      <c r="G217" s="459">
        <f t="shared" si="78"/>
        <v>25.259628821802377</v>
      </c>
      <c r="H217" s="459">
        <f t="shared" si="78"/>
        <v>25.636856700283925</v>
      </c>
      <c r="I217" s="459">
        <f t="shared" si="78"/>
        <v>25.892498641538321</v>
      </c>
      <c r="J217" s="459">
        <f t="shared" si="78"/>
        <v>26.059427301183799</v>
      </c>
      <c r="K217" s="459">
        <f t="shared" si="78"/>
        <v>26.228370635181541</v>
      </c>
      <c r="L217" s="459">
        <f t="shared" si="78"/>
        <v>26.278379973745366</v>
      </c>
      <c r="M217" s="459">
        <f t="shared" si="78"/>
        <v>26.214330369107518</v>
      </c>
      <c r="N217" s="459">
        <f t="shared" si="78"/>
        <v>26.103940668423011</v>
      </c>
    </row>
    <row r="218" spans="1:14">
      <c r="B218" s="338" t="str">
        <f t="shared" si="71"/>
        <v>45-49</v>
      </c>
      <c r="C218" s="459">
        <f t="shared" si="73"/>
        <v>18.62529278389308</v>
      </c>
      <c r="D218" s="459">
        <f t="shared" ref="D218:N218" si="79">D116+D150+D184</f>
        <v>19.65494080307365</v>
      </c>
      <c r="E218" s="459">
        <f t="shared" si="79"/>
        <v>20.673717796656511</v>
      </c>
      <c r="F218" s="459">
        <f t="shared" si="79"/>
        <v>21.594804564123869</v>
      </c>
      <c r="G218" s="459">
        <f t="shared" si="79"/>
        <v>22.443352337237052</v>
      </c>
      <c r="H218" s="459">
        <f t="shared" si="79"/>
        <v>23.155717900068364</v>
      </c>
      <c r="I218" s="459">
        <f t="shared" si="79"/>
        <v>23.735276131594194</v>
      </c>
      <c r="J218" s="459">
        <f t="shared" si="79"/>
        <v>24.201610622135195</v>
      </c>
      <c r="K218" s="459">
        <f t="shared" si="79"/>
        <v>24.630506191391792</v>
      </c>
      <c r="L218" s="459">
        <f t="shared" si="79"/>
        <v>24.90893138992281</v>
      </c>
      <c r="M218" s="459">
        <f t="shared" si="79"/>
        <v>25.041142116448675</v>
      </c>
      <c r="N218" s="459">
        <f t="shared" si="79"/>
        <v>25.092436594659656</v>
      </c>
    </row>
    <row r="219" spans="1:14">
      <c r="B219" s="338" t="str">
        <f t="shared" si="71"/>
        <v>50-54</v>
      </c>
      <c r="C219" s="459">
        <f t="shared" si="73"/>
        <v>22.884957991435193</v>
      </c>
      <c r="D219" s="459">
        <f t="shared" ref="D219:N219" si="80">D117+D151+D185</f>
        <v>22.321842175094837</v>
      </c>
      <c r="E219" s="459">
        <f t="shared" si="80"/>
        <v>22.293326660232935</v>
      </c>
      <c r="F219" s="459">
        <f t="shared" si="80"/>
        <v>22.556448159109092</v>
      </c>
      <c r="G219" s="459">
        <f t="shared" si="80"/>
        <v>23.026961200771979</v>
      </c>
      <c r="H219" s="459">
        <f t="shared" si="80"/>
        <v>23.558211475955318</v>
      </c>
      <c r="I219" s="459">
        <f t="shared" si="80"/>
        <v>24.094165454626367</v>
      </c>
      <c r="J219" s="459">
        <f t="shared" si="80"/>
        <v>24.609790951699239</v>
      </c>
      <c r="K219" s="459">
        <f t="shared" si="80"/>
        <v>25.148832034905439</v>
      </c>
      <c r="L219" s="459">
        <f t="shared" si="80"/>
        <v>25.567036631542162</v>
      </c>
      <c r="M219" s="459">
        <f t="shared" si="80"/>
        <v>25.84967656524104</v>
      </c>
      <c r="N219" s="459">
        <f t="shared" si="80"/>
        <v>26.050795008817762</v>
      </c>
    </row>
    <row r="220" spans="1:14">
      <c r="B220" s="338" t="str">
        <f t="shared" si="71"/>
        <v>55-59</v>
      </c>
      <c r="C220" s="459">
        <f t="shared" si="73"/>
        <v>39.469642860909268</v>
      </c>
      <c r="D220" s="459">
        <f t="shared" ref="D220:N220" si="81">D118+D152+D186</f>
        <v>35.085002152782785</v>
      </c>
      <c r="E220" s="459">
        <f t="shared" si="81"/>
        <v>32.429386934927926</v>
      </c>
      <c r="F220" s="459">
        <f t="shared" si="81"/>
        <v>30.881520656088927</v>
      </c>
      <c r="G220" s="459">
        <f t="shared" si="81"/>
        <v>30.153249565512791</v>
      </c>
      <c r="H220" s="459">
        <f t="shared" si="81"/>
        <v>29.885570359693777</v>
      </c>
      <c r="I220" s="459">
        <f t="shared" si="81"/>
        <v>29.91024557567571</v>
      </c>
      <c r="J220" s="459">
        <f t="shared" si="81"/>
        <v>30.127009681709414</v>
      </c>
      <c r="K220" s="459">
        <f t="shared" si="81"/>
        <v>30.55877012670258</v>
      </c>
      <c r="L220" s="459">
        <f t="shared" si="81"/>
        <v>30.917744975344707</v>
      </c>
      <c r="M220" s="459">
        <f t="shared" si="81"/>
        <v>31.164643935392267</v>
      </c>
      <c r="N220" s="459">
        <f t="shared" si="81"/>
        <v>31.374134987022291</v>
      </c>
    </row>
    <row r="221" spans="1:14">
      <c r="B221" s="338" t="str">
        <f t="shared" si="71"/>
        <v>60-64</v>
      </c>
      <c r="C221" s="459">
        <f t="shared" si="73"/>
        <v>23.150373818617261</v>
      </c>
      <c r="D221" s="459">
        <f t="shared" ref="D221:N221" si="82">D119+D153+D187</f>
        <v>21.822636717997717</v>
      </c>
      <c r="E221" s="459">
        <f t="shared" si="82"/>
        <v>20.3359950316881</v>
      </c>
      <c r="F221" s="459">
        <f t="shared" si="82"/>
        <v>19.047841382035038</v>
      </c>
      <c r="G221" s="459">
        <f t="shared" si="82"/>
        <v>18.140409815153625</v>
      </c>
      <c r="H221" s="459">
        <f t="shared" si="82"/>
        <v>17.50932453278762</v>
      </c>
      <c r="I221" s="459">
        <f t="shared" si="82"/>
        <v>17.110887855189162</v>
      </c>
      <c r="J221" s="459">
        <f t="shared" si="82"/>
        <v>16.904930322326525</v>
      </c>
      <c r="K221" s="459">
        <f t="shared" si="82"/>
        <v>16.926339953542517</v>
      </c>
      <c r="L221" s="459">
        <f t="shared" si="82"/>
        <v>16.93191816393891</v>
      </c>
      <c r="M221" s="459">
        <f t="shared" si="82"/>
        <v>16.898379434081836</v>
      </c>
      <c r="N221" s="459">
        <f t="shared" si="82"/>
        <v>16.891959443480729</v>
      </c>
    </row>
    <row r="222" spans="1:14">
      <c r="B222" s="338" t="str">
        <f t="shared" si="71"/>
        <v>65 plus</v>
      </c>
      <c r="C222" s="459">
        <f t="shared" si="73"/>
        <v>5.8489074938640258</v>
      </c>
      <c r="D222" s="459">
        <f t="shared" ref="D222:N222" si="83">D120+D154+D188</f>
        <v>7.1258298872686474</v>
      </c>
      <c r="E222" s="459">
        <f t="shared" si="83"/>
        <v>7.6904928215738524</v>
      </c>
      <c r="F222" s="459">
        <f t="shared" si="83"/>
        <v>7.7991764873682428</v>
      </c>
      <c r="G222" s="459">
        <f t="shared" si="83"/>
        <v>7.7051946808263772</v>
      </c>
      <c r="H222" s="459">
        <f t="shared" si="83"/>
        <v>7.5152197672761218</v>
      </c>
      <c r="I222" s="459">
        <f t="shared" si="83"/>
        <v>7.3101670769645217</v>
      </c>
      <c r="J222" s="459">
        <f t="shared" si="83"/>
        <v>7.1356738040173511</v>
      </c>
      <c r="K222" s="459">
        <f t="shared" si="83"/>
        <v>7.0440371305099125</v>
      </c>
      <c r="L222" s="459">
        <f t="shared" si="83"/>
        <v>6.9532190790491226</v>
      </c>
      <c r="M222" s="459">
        <f t="shared" si="83"/>
        <v>6.8541338860513843</v>
      </c>
      <c r="N222" s="459">
        <f t="shared" si="83"/>
        <v>6.776100844789875</v>
      </c>
    </row>
    <row r="223" spans="1:14">
      <c r="B223" s="338" t="str">
        <f t="shared" si="71"/>
        <v>Total</v>
      </c>
      <c r="C223" s="459">
        <f>SUM(C213:C222)</f>
        <v>221.5099377497815</v>
      </c>
      <c r="D223" s="459">
        <f t="shared" ref="D223:N223" si="84">SUM(D213:D222)</f>
        <v>218.99901707660112</v>
      </c>
      <c r="E223" s="459">
        <f t="shared" si="84"/>
        <v>218.82738927997261</v>
      </c>
      <c r="F223" s="459">
        <f t="shared" si="84"/>
        <v>219.51526154460834</v>
      </c>
      <c r="G223" s="459">
        <f t="shared" si="84"/>
        <v>221.4901303987433</v>
      </c>
      <c r="H223" s="459">
        <f t="shared" si="84"/>
        <v>223.37372885283082</v>
      </c>
      <c r="I223" s="459">
        <f t="shared" si="84"/>
        <v>225.04865928603286</v>
      </c>
      <c r="J223" s="459">
        <f t="shared" si="84"/>
        <v>226.63553577026715</v>
      </c>
      <c r="K223" s="459">
        <f t="shared" si="84"/>
        <v>229.22588400686737</v>
      </c>
      <c r="L223" s="459">
        <f t="shared" si="84"/>
        <v>230.37339414741007</v>
      </c>
      <c r="M223" s="459">
        <f t="shared" si="84"/>
        <v>230.01662715341243</v>
      </c>
      <c r="N223" s="459">
        <f t="shared" si="84"/>
        <v>229.21303668737011</v>
      </c>
    </row>
    <row r="224" spans="1:14">
      <c r="A224" s="309">
        <f>SUM(C224:N224)</f>
        <v>0</v>
      </c>
      <c r="C224" s="309">
        <f>SUM(C213:C222)-C223</f>
        <v>0</v>
      </c>
      <c r="D224" s="309">
        <f t="shared" ref="D224:N224" si="85">SUM(D213:D222)-D223</f>
        <v>0</v>
      </c>
      <c r="E224" s="309">
        <f t="shared" si="85"/>
        <v>0</v>
      </c>
      <c r="F224" s="309">
        <f t="shared" si="85"/>
        <v>0</v>
      </c>
      <c r="G224" s="309">
        <f t="shared" si="85"/>
        <v>0</v>
      </c>
      <c r="H224" s="309">
        <f t="shared" si="85"/>
        <v>0</v>
      </c>
      <c r="I224" s="309">
        <f t="shared" si="85"/>
        <v>0</v>
      </c>
      <c r="J224" s="309">
        <f t="shared" si="85"/>
        <v>0</v>
      </c>
      <c r="K224" s="309">
        <f t="shared" si="85"/>
        <v>0</v>
      </c>
      <c r="L224" s="309">
        <f t="shared" si="85"/>
        <v>0</v>
      </c>
      <c r="M224" s="309">
        <f t="shared" si="85"/>
        <v>0</v>
      </c>
      <c r="N224" s="309">
        <f t="shared" si="85"/>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6">B212</f>
        <v>Age group</v>
      </c>
      <c r="C228" s="338" t="str">
        <f t="shared" ref="C228:N228" si="87">C212</f>
        <v>2016/17</v>
      </c>
      <c r="D228" s="338" t="str">
        <f t="shared" si="87"/>
        <v>2017/18</v>
      </c>
      <c r="E228" s="338" t="str">
        <f t="shared" si="87"/>
        <v>2018/19</v>
      </c>
      <c r="F228" s="338" t="str">
        <f t="shared" si="87"/>
        <v>2019/20</v>
      </c>
      <c r="G228" s="338" t="str">
        <f t="shared" si="87"/>
        <v>2020/21</v>
      </c>
      <c r="H228" s="338" t="str">
        <f t="shared" si="87"/>
        <v>2021/22</v>
      </c>
      <c r="I228" s="338" t="str">
        <f t="shared" si="87"/>
        <v>2022/23</v>
      </c>
      <c r="J228" s="338" t="str">
        <f t="shared" si="87"/>
        <v>2023/24</v>
      </c>
      <c r="K228" s="338" t="str">
        <f t="shared" si="87"/>
        <v>2024/25</v>
      </c>
      <c r="L228" s="338" t="str">
        <f t="shared" si="87"/>
        <v>2025/26</v>
      </c>
      <c r="M228" s="338" t="str">
        <f t="shared" si="87"/>
        <v>2026/27</v>
      </c>
      <c r="N228" s="338" t="str">
        <f t="shared" si="87"/>
        <v>2027/28</v>
      </c>
    </row>
    <row r="229" spans="1:14">
      <c r="B229" s="338" t="str">
        <f t="shared" si="86"/>
        <v>20-24</v>
      </c>
      <c r="C229" s="459">
        <f t="shared" ref="C229:C238" si="88">C195+C161+C127</f>
        <v>12.473517586776323</v>
      </c>
      <c r="D229" s="459">
        <f t="shared" ref="D229:N229" si="89">D195+D161+D127</f>
        <v>15.499706704793484</v>
      </c>
      <c r="E229" s="459">
        <f t="shared" si="89"/>
        <v>18.232102518035255</v>
      </c>
      <c r="F229" s="459">
        <f t="shared" si="89"/>
        <v>20.300861640906191</v>
      </c>
      <c r="G229" s="459">
        <f t="shared" si="89"/>
        <v>22.025888673557727</v>
      </c>
      <c r="H229" s="459">
        <f t="shared" si="89"/>
        <v>23.145976068300207</v>
      </c>
      <c r="I229" s="459">
        <f t="shared" si="89"/>
        <v>23.815007937130606</v>
      </c>
      <c r="J229" s="459">
        <f t="shared" si="89"/>
        <v>24.216450994912339</v>
      </c>
      <c r="K229" s="459">
        <f t="shared" si="89"/>
        <v>24.77858117833209</v>
      </c>
      <c r="L229" s="459">
        <f t="shared" si="89"/>
        <v>24.782694433549285</v>
      </c>
      <c r="M229" s="459">
        <f t="shared" si="89"/>
        <v>24.330929449600148</v>
      </c>
      <c r="N229" s="459">
        <f t="shared" si="89"/>
        <v>23.829729137828267</v>
      </c>
    </row>
    <row r="230" spans="1:14">
      <c r="B230" s="338" t="str">
        <f t="shared" si="86"/>
        <v>25-29</v>
      </c>
      <c r="C230" s="459">
        <f t="shared" si="88"/>
        <v>44.462355639021915</v>
      </c>
      <c r="D230" s="459">
        <f t="shared" ref="D230:N230" si="90">D196+D162+D128</f>
        <v>41.377834786506881</v>
      </c>
      <c r="E230" s="459">
        <f t="shared" si="90"/>
        <v>40.218767514525389</v>
      </c>
      <c r="F230" s="459">
        <f t="shared" si="90"/>
        <v>39.919917401958401</v>
      </c>
      <c r="G230" s="459">
        <f t="shared" si="90"/>
        <v>40.28692070962768</v>
      </c>
      <c r="H230" s="459">
        <f t="shared" si="90"/>
        <v>40.694097243774337</v>
      </c>
      <c r="I230" s="459">
        <f t="shared" si="90"/>
        <v>41.017756085625727</v>
      </c>
      <c r="J230" s="459">
        <f t="shared" si="90"/>
        <v>41.271521753366137</v>
      </c>
      <c r="K230" s="459">
        <f t="shared" si="90"/>
        <v>41.816809753467631</v>
      </c>
      <c r="L230" s="459">
        <f t="shared" si="90"/>
        <v>41.865890639693752</v>
      </c>
      <c r="M230" s="459">
        <f t="shared" si="90"/>
        <v>41.407140095902037</v>
      </c>
      <c r="N230" s="459">
        <f t="shared" si="90"/>
        <v>40.810725652886944</v>
      </c>
    </row>
    <row r="231" spans="1:14">
      <c r="B231" s="338" t="str">
        <f t="shared" si="86"/>
        <v>30-34</v>
      </c>
      <c r="C231" s="459">
        <f t="shared" si="88"/>
        <v>51.22073776814365</v>
      </c>
      <c r="D231" s="459">
        <f t="shared" ref="D231:N231" si="91">D197+D163+D129</f>
        <v>49.157866494974655</v>
      </c>
      <c r="E231" s="459">
        <f t="shared" si="91"/>
        <v>47.475855746819505</v>
      </c>
      <c r="F231" s="459">
        <f t="shared" si="91"/>
        <v>46.121884680769369</v>
      </c>
      <c r="G231" s="459">
        <f t="shared" si="91"/>
        <v>45.23598843378587</v>
      </c>
      <c r="H231" s="459">
        <f t="shared" si="91"/>
        <v>44.583536804182152</v>
      </c>
      <c r="I231" s="459">
        <f t="shared" si="91"/>
        <v>44.096424151634679</v>
      </c>
      <c r="J231" s="459">
        <f t="shared" si="91"/>
        <v>43.749305768269544</v>
      </c>
      <c r="K231" s="459">
        <f t="shared" si="91"/>
        <v>43.710409427077018</v>
      </c>
      <c r="L231" s="459">
        <f t="shared" si="91"/>
        <v>43.529746352531085</v>
      </c>
      <c r="M231" s="459">
        <f t="shared" si="91"/>
        <v>43.124300896031237</v>
      </c>
      <c r="N231" s="459">
        <f t="shared" si="91"/>
        <v>42.638268072365385</v>
      </c>
    </row>
    <row r="232" spans="1:14">
      <c r="B232" s="338" t="str">
        <f t="shared" si="86"/>
        <v>35-39</v>
      </c>
      <c r="C232" s="459">
        <f t="shared" si="88"/>
        <v>49.150007742879225</v>
      </c>
      <c r="D232" s="459">
        <f t="shared" ref="D232:N232" si="92">D198+D164+D130</f>
        <v>47.209224942291243</v>
      </c>
      <c r="E232" s="459">
        <f t="shared" si="92"/>
        <v>45.644124436492604</v>
      </c>
      <c r="F232" s="459">
        <f t="shared" si="92"/>
        <v>44.253116866943664</v>
      </c>
      <c r="G232" s="459">
        <f t="shared" si="92"/>
        <v>43.09298449822068</v>
      </c>
      <c r="H232" s="459">
        <f t="shared" si="92"/>
        <v>42.049647037471047</v>
      </c>
      <c r="I232" s="459">
        <f t="shared" si="92"/>
        <v>41.124400016639619</v>
      </c>
      <c r="J232" s="459">
        <f t="shared" si="92"/>
        <v>40.333748739357802</v>
      </c>
      <c r="K232" s="459">
        <f t="shared" si="92"/>
        <v>39.794603639977318</v>
      </c>
      <c r="L232" s="459">
        <f t="shared" si="92"/>
        <v>39.245803147929301</v>
      </c>
      <c r="M232" s="459">
        <f t="shared" si="92"/>
        <v>38.6448479588353</v>
      </c>
      <c r="N232" s="459">
        <f t="shared" si="92"/>
        <v>38.068788662057798</v>
      </c>
    </row>
    <row r="233" spans="1:14">
      <c r="B233" s="338" t="str">
        <f t="shared" si="86"/>
        <v>40-44</v>
      </c>
      <c r="C233" s="459">
        <f t="shared" si="88"/>
        <v>35.061181857448936</v>
      </c>
      <c r="D233" s="459">
        <f t="shared" ref="D233:N233" si="93">D199+D165+D131</f>
        <v>36.498148665342541</v>
      </c>
      <c r="E233" s="459">
        <f t="shared" si="93"/>
        <v>37.383740344183252</v>
      </c>
      <c r="F233" s="459">
        <f t="shared" si="93"/>
        <v>37.796067759992795</v>
      </c>
      <c r="G233" s="459">
        <f t="shared" si="93"/>
        <v>37.92752689575115</v>
      </c>
      <c r="H233" s="459">
        <f t="shared" si="93"/>
        <v>37.787410613142399</v>
      </c>
      <c r="I233" s="459">
        <f t="shared" si="93"/>
        <v>37.461701618036471</v>
      </c>
      <c r="J233" s="459">
        <f t="shared" si="93"/>
        <v>37.035620406612864</v>
      </c>
      <c r="K233" s="459">
        <f t="shared" si="93"/>
        <v>36.661784817480843</v>
      </c>
      <c r="L233" s="459">
        <f t="shared" si="93"/>
        <v>36.17468845524526</v>
      </c>
      <c r="M233" s="459">
        <f t="shared" si="93"/>
        <v>35.585389955664681</v>
      </c>
      <c r="N233" s="459">
        <f t="shared" si="93"/>
        <v>34.991880145371518</v>
      </c>
    </row>
    <row r="234" spans="1:14">
      <c r="B234" s="338" t="str">
        <f t="shared" si="86"/>
        <v>45-49</v>
      </c>
      <c r="C234" s="459">
        <f t="shared" si="88"/>
        <v>22.346363903078828</v>
      </c>
      <c r="D234" s="459">
        <f t="shared" ref="D234:N234" si="94">D200+D166+D132</f>
        <v>24.883598189899935</v>
      </c>
      <c r="E234" s="459">
        <f t="shared" si="94"/>
        <v>27.171029457583657</v>
      </c>
      <c r="F234" s="459">
        <f t="shared" si="94"/>
        <v>29.05454992515406</v>
      </c>
      <c r="G234" s="459">
        <f t="shared" si="94"/>
        <v>30.581531943020689</v>
      </c>
      <c r="H234" s="459">
        <f t="shared" si="94"/>
        <v>31.70217192911905</v>
      </c>
      <c r="I234" s="459">
        <f t="shared" si="94"/>
        <v>32.466463907883949</v>
      </c>
      <c r="J234" s="459">
        <f t="shared" si="94"/>
        <v>32.9462291429967</v>
      </c>
      <c r="K234" s="459">
        <f t="shared" si="94"/>
        <v>33.284949802051607</v>
      </c>
      <c r="L234" s="459">
        <f t="shared" si="94"/>
        <v>33.362451944878572</v>
      </c>
      <c r="M234" s="459">
        <f t="shared" si="94"/>
        <v>33.211501481570991</v>
      </c>
      <c r="N234" s="459">
        <f t="shared" si="94"/>
        <v>32.941484226983206</v>
      </c>
    </row>
    <row r="235" spans="1:14">
      <c r="B235" s="338" t="str">
        <f t="shared" si="86"/>
        <v>50-54</v>
      </c>
      <c r="C235" s="459">
        <f t="shared" si="88"/>
        <v>24.617388260603803</v>
      </c>
      <c r="D235" s="459">
        <f t="shared" ref="D235:N235" si="95">D201+D167+D133</f>
        <v>24.888576999951827</v>
      </c>
      <c r="E235" s="459">
        <f t="shared" si="95"/>
        <v>25.876859831295629</v>
      </c>
      <c r="F235" s="459">
        <f t="shared" si="95"/>
        <v>27.19321287048399</v>
      </c>
      <c r="G235" s="459">
        <f t="shared" si="95"/>
        <v>28.67296467433307</v>
      </c>
      <c r="H235" s="459">
        <f t="shared" si="95"/>
        <v>30.084773846735587</v>
      </c>
      <c r="I235" s="459">
        <f t="shared" si="95"/>
        <v>31.339605929816322</v>
      </c>
      <c r="J235" s="459">
        <f t="shared" si="95"/>
        <v>32.406045638326844</v>
      </c>
      <c r="K235" s="459">
        <f t="shared" si="95"/>
        <v>33.356982917516902</v>
      </c>
      <c r="L235" s="459">
        <f t="shared" si="95"/>
        <v>34.016050229586604</v>
      </c>
      <c r="M235" s="459">
        <f t="shared" si="95"/>
        <v>34.386274753564649</v>
      </c>
      <c r="N235" s="459">
        <f t="shared" si="95"/>
        <v>34.564389107094776</v>
      </c>
    </row>
    <row r="236" spans="1:14">
      <c r="B236" s="338" t="str">
        <f t="shared" si="86"/>
        <v>55-59</v>
      </c>
      <c r="C236" s="459">
        <f t="shared" si="88"/>
        <v>34.589480500815185</v>
      </c>
      <c r="D236" s="459">
        <f t="shared" ref="D236:N236" si="96">D202+D168+D134</f>
        <v>33.139230160800899</v>
      </c>
      <c r="E236" s="459">
        <f t="shared" si="96"/>
        <v>32.608999619530714</v>
      </c>
      <c r="F236" s="459">
        <f t="shared" si="96"/>
        <v>32.732245700996685</v>
      </c>
      <c r="G236" s="459">
        <f t="shared" si="96"/>
        <v>33.429129372367754</v>
      </c>
      <c r="H236" s="459">
        <f t="shared" si="96"/>
        <v>34.389964226949019</v>
      </c>
      <c r="I236" s="459">
        <f t="shared" si="96"/>
        <v>35.473992442836007</v>
      </c>
      <c r="J236" s="459">
        <f t="shared" si="96"/>
        <v>36.59114613244973</v>
      </c>
      <c r="K236" s="459">
        <f t="shared" si="96"/>
        <v>37.794394425532587</v>
      </c>
      <c r="L236" s="459">
        <f t="shared" si="96"/>
        <v>38.733286331323633</v>
      </c>
      <c r="M236" s="459">
        <f t="shared" si="96"/>
        <v>39.374740768607488</v>
      </c>
      <c r="N236" s="459">
        <f t="shared" si="96"/>
        <v>39.834053920926536</v>
      </c>
    </row>
    <row r="237" spans="1:14">
      <c r="B237" s="338" t="str">
        <f t="shared" si="86"/>
        <v>60-64</v>
      </c>
      <c r="C237" s="459">
        <f t="shared" si="88"/>
        <v>22.915126159830223</v>
      </c>
      <c r="D237" s="459">
        <f t="shared" ref="D237:N237" si="97">D203+D169+D135</f>
        <v>21.715951848021671</v>
      </c>
      <c r="E237" s="459">
        <f t="shared" si="97"/>
        <v>21.009025884215749</v>
      </c>
      <c r="F237" s="459">
        <f t="shared" si="97"/>
        <v>20.594202150999237</v>
      </c>
      <c r="G237" s="459">
        <f t="shared" si="97"/>
        <v>20.526883255211921</v>
      </c>
      <c r="H237" s="459">
        <f t="shared" si="97"/>
        <v>20.632110370429327</v>
      </c>
      <c r="I237" s="459">
        <f t="shared" si="97"/>
        <v>20.876274374455409</v>
      </c>
      <c r="J237" s="459">
        <f t="shared" si="97"/>
        <v>21.235368283351214</v>
      </c>
      <c r="K237" s="459">
        <f t="shared" si="97"/>
        <v>21.784977630543196</v>
      </c>
      <c r="L237" s="459">
        <f t="shared" si="97"/>
        <v>22.196271902103071</v>
      </c>
      <c r="M237" s="459">
        <f t="shared" si="97"/>
        <v>22.455785538732023</v>
      </c>
      <c r="N237" s="459">
        <f t="shared" si="97"/>
        <v>22.671713552982204</v>
      </c>
    </row>
    <row r="238" spans="1:14">
      <c r="B238" s="338" t="str">
        <f t="shared" si="86"/>
        <v>65 plus</v>
      </c>
      <c r="C238" s="459">
        <f t="shared" si="88"/>
        <v>7.6480624781859641</v>
      </c>
      <c r="D238" s="459">
        <f t="shared" ref="D238:N238" si="98">D204+D170+D136</f>
        <v>7.9681688452487114</v>
      </c>
      <c r="E238" s="459">
        <f t="shared" si="98"/>
        <v>8.0579960741997834</v>
      </c>
      <c r="F238" s="459">
        <f t="shared" si="98"/>
        <v>8.0264170731329809</v>
      </c>
      <c r="G238" s="459">
        <f t="shared" si="98"/>
        <v>7.9949636008651028</v>
      </c>
      <c r="H238" s="459">
        <f t="shared" si="98"/>
        <v>7.9523387112052424</v>
      </c>
      <c r="I238" s="459">
        <f t="shared" si="98"/>
        <v>7.9243320290458206</v>
      </c>
      <c r="J238" s="459">
        <f t="shared" si="98"/>
        <v>7.9311450091161744</v>
      </c>
      <c r="K238" s="459">
        <f t="shared" si="98"/>
        <v>8.0277009686102225</v>
      </c>
      <c r="L238" s="459">
        <f t="shared" si="98"/>
        <v>8.0857723079030013</v>
      </c>
      <c r="M238" s="459">
        <f t="shared" si="98"/>
        <v>8.096660853859678</v>
      </c>
      <c r="N238" s="459">
        <f t="shared" si="98"/>
        <v>8.1082043389065852</v>
      </c>
    </row>
    <row r="239" spans="1:14">
      <c r="B239" s="338" t="str">
        <f t="shared" si="86"/>
        <v>Total</v>
      </c>
      <c r="C239" s="459">
        <f>SUM(C229:C238)</f>
        <v>304.48422189678405</v>
      </c>
      <c r="D239" s="459">
        <f t="shared" ref="D239:N239" si="99">SUM(D229:D238)</f>
        <v>302.33830763783186</v>
      </c>
      <c r="E239" s="459">
        <f t="shared" si="99"/>
        <v>303.67850142688155</v>
      </c>
      <c r="F239" s="459">
        <f t="shared" si="99"/>
        <v>305.99247607133731</v>
      </c>
      <c r="G239" s="459">
        <f t="shared" si="99"/>
        <v>309.77478205674169</v>
      </c>
      <c r="H239" s="459">
        <f t="shared" si="99"/>
        <v>313.02202685130834</v>
      </c>
      <c r="I239" s="459">
        <f t="shared" si="99"/>
        <v>315.59595849310466</v>
      </c>
      <c r="J239" s="459">
        <f t="shared" si="99"/>
        <v>317.71658186875931</v>
      </c>
      <c r="K239" s="459">
        <f t="shared" si="99"/>
        <v>321.01119456058944</v>
      </c>
      <c r="L239" s="459">
        <f t="shared" si="99"/>
        <v>321.99265574474362</v>
      </c>
      <c r="M239" s="459">
        <f t="shared" si="99"/>
        <v>320.61757175236824</v>
      </c>
      <c r="N239" s="459">
        <f t="shared" si="99"/>
        <v>318.45923681740322</v>
      </c>
    </row>
    <row r="240" spans="1:14">
      <c r="A240" s="309">
        <f>SUM(C240:N240)</f>
        <v>0</v>
      </c>
      <c r="C240" s="309">
        <f>SUM(C229:C238)-C239</f>
        <v>0</v>
      </c>
      <c r="D240" s="309">
        <f t="shared" ref="D240:N240" si="100">SUM(D229:D238)-D239</f>
        <v>0</v>
      </c>
      <c r="E240" s="309">
        <f t="shared" si="100"/>
        <v>0</v>
      </c>
      <c r="F240" s="309">
        <f t="shared" si="100"/>
        <v>0</v>
      </c>
      <c r="G240" s="309">
        <f t="shared" si="100"/>
        <v>0</v>
      </c>
      <c r="H240" s="309">
        <f t="shared" si="100"/>
        <v>0</v>
      </c>
      <c r="I240" s="309">
        <f t="shared" si="100"/>
        <v>0</v>
      </c>
      <c r="J240" s="309">
        <f t="shared" si="100"/>
        <v>0</v>
      </c>
      <c r="K240" s="309">
        <f t="shared" si="100"/>
        <v>0</v>
      </c>
      <c r="L240" s="309">
        <f t="shared" si="100"/>
        <v>0</v>
      </c>
      <c r="M240" s="309">
        <f t="shared" si="100"/>
        <v>0</v>
      </c>
      <c r="N240" s="309">
        <f t="shared" si="100"/>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1">B212</f>
        <v>Age group</v>
      </c>
      <c r="C246" s="338" t="str">
        <f t="shared" ref="C246:N246" si="102">C212</f>
        <v>2016/17</v>
      </c>
      <c r="D246" s="338" t="str">
        <f t="shared" si="102"/>
        <v>2017/18</v>
      </c>
      <c r="E246" s="338" t="str">
        <f t="shared" si="102"/>
        <v>2018/19</v>
      </c>
      <c r="F246" s="338" t="str">
        <f t="shared" si="102"/>
        <v>2019/20</v>
      </c>
      <c r="G246" s="338" t="str">
        <f t="shared" si="102"/>
        <v>2020/21</v>
      </c>
      <c r="H246" s="338" t="str">
        <f t="shared" si="102"/>
        <v>2021/22</v>
      </c>
      <c r="I246" s="338" t="str">
        <f t="shared" si="102"/>
        <v>2022/23</v>
      </c>
      <c r="J246" s="338" t="str">
        <f t="shared" si="102"/>
        <v>2023/24</v>
      </c>
      <c r="K246" s="338" t="str">
        <f t="shared" si="102"/>
        <v>2024/25</v>
      </c>
      <c r="L246" s="338" t="str">
        <f t="shared" si="102"/>
        <v>2025/26</v>
      </c>
      <c r="M246" s="338" t="str">
        <f t="shared" si="102"/>
        <v>2026/27</v>
      </c>
      <c r="N246" s="338" t="str">
        <f t="shared" si="102"/>
        <v>2027/28</v>
      </c>
    </row>
    <row r="247" spans="2:14">
      <c r="B247" s="338" t="str">
        <f t="shared" si="101"/>
        <v>20-24</v>
      </c>
      <c r="C247" s="459">
        <f t="shared" ref="C247:C256" si="103">C77-C213</f>
        <v>65.861214589230428</v>
      </c>
      <c r="D247" s="459">
        <f t="shared" ref="D247:N247" si="104">D77-D213</f>
        <v>87.951418018739659</v>
      </c>
      <c r="E247" s="459">
        <f t="shared" si="104"/>
        <v>107.26303217044919</v>
      </c>
      <c r="F247" s="459">
        <f t="shared" si="104"/>
        <v>121.77392169896305</v>
      </c>
      <c r="G247" s="459">
        <f t="shared" si="104"/>
        <v>133.66741967337052</v>
      </c>
      <c r="H247" s="459">
        <f t="shared" si="104"/>
        <v>141.46087185081242</v>
      </c>
      <c r="I247" s="459">
        <f t="shared" si="104"/>
        <v>146.20998750223075</v>
      </c>
      <c r="J247" s="459">
        <f t="shared" si="104"/>
        <v>149.12506672142484</v>
      </c>
      <c r="K247" s="459">
        <f t="shared" si="104"/>
        <v>152.91584198351205</v>
      </c>
      <c r="L247" s="459">
        <f t="shared" si="104"/>
        <v>153.15381087116262</v>
      </c>
      <c r="M247" s="459">
        <f t="shared" si="104"/>
        <v>150.49979134390151</v>
      </c>
      <c r="N247" s="459">
        <f t="shared" si="104"/>
        <v>147.49645819365566</v>
      </c>
    </row>
    <row r="248" spans="2:14">
      <c r="B248" s="338" t="str">
        <f t="shared" si="101"/>
        <v>25-29</v>
      </c>
      <c r="C248" s="459">
        <f t="shared" si="103"/>
        <v>318.5284816998942</v>
      </c>
      <c r="D248" s="459">
        <f t="shared" ref="D248:N248" si="105">D78-D214</f>
        <v>299.47318612330821</v>
      </c>
      <c r="E248" s="459">
        <f t="shared" si="105"/>
        <v>294.25841936643133</v>
      </c>
      <c r="F248" s="459">
        <f t="shared" si="105"/>
        <v>294.95386678664522</v>
      </c>
      <c r="G248" s="459">
        <f t="shared" si="105"/>
        <v>300.16212920915558</v>
      </c>
      <c r="H248" s="459">
        <f t="shared" si="105"/>
        <v>305.24994534103132</v>
      </c>
      <c r="I248" s="459">
        <f t="shared" si="105"/>
        <v>309.33896295447232</v>
      </c>
      <c r="J248" s="459">
        <f t="shared" si="105"/>
        <v>312.58274765124361</v>
      </c>
      <c r="K248" s="459">
        <f t="shared" si="105"/>
        <v>317.75172473814513</v>
      </c>
      <c r="L248" s="459">
        <f t="shared" si="105"/>
        <v>318.98088010622973</v>
      </c>
      <c r="M248" s="459">
        <f t="shared" si="105"/>
        <v>316.19988642842503</v>
      </c>
      <c r="N248" s="459">
        <f t="shared" si="105"/>
        <v>312.21097132448045</v>
      </c>
    </row>
    <row r="249" spans="2:14">
      <c r="B249" s="338" t="str">
        <f t="shared" si="101"/>
        <v>30-34</v>
      </c>
      <c r="C249" s="459">
        <f t="shared" si="103"/>
        <v>398.28906130433342</v>
      </c>
      <c r="D249" s="459">
        <f t="shared" ref="D249:N249" si="106">D79-D215</f>
        <v>391.71143558146395</v>
      </c>
      <c r="E249" s="459">
        <f t="shared" si="106"/>
        <v>386.09697888047742</v>
      </c>
      <c r="F249" s="459">
        <f t="shared" si="106"/>
        <v>381.51087020354953</v>
      </c>
      <c r="G249" s="459">
        <f t="shared" si="106"/>
        <v>379.45802700859286</v>
      </c>
      <c r="H249" s="459">
        <f t="shared" si="106"/>
        <v>378.33769578348972</v>
      </c>
      <c r="I249" s="459">
        <f t="shared" si="106"/>
        <v>377.79586386395772</v>
      </c>
      <c r="J249" s="459">
        <f t="shared" si="106"/>
        <v>377.77382833024609</v>
      </c>
      <c r="K249" s="459">
        <f t="shared" si="106"/>
        <v>379.75563838004092</v>
      </c>
      <c r="L249" s="459">
        <f t="shared" si="106"/>
        <v>380.21013702045531</v>
      </c>
      <c r="M249" s="459">
        <f t="shared" si="106"/>
        <v>378.48912549697428</v>
      </c>
      <c r="N249" s="459">
        <f t="shared" si="106"/>
        <v>375.77499205000419</v>
      </c>
    </row>
    <row r="250" spans="2:14">
      <c r="B250" s="338" t="str">
        <f t="shared" si="101"/>
        <v>35-39</v>
      </c>
      <c r="C250" s="459">
        <f t="shared" si="103"/>
        <v>370.85907297523272</v>
      </c>
      <c r="D250" s="459">
        <f t="shared" ref="D250:N250" si="107">D80-D216</f>
        <v>373.9999029822967</v>
      </c>
      <c r="E250" s="459">
        <f t="shared" si="107"/>
        <v>376.97569859707727</v>
      </c>
      <c r="F250" s="459">
        <f t="shared" si="107"/>
        <v>378.54053729412567</v>
      </c>
      <c r="G250" s="459">
        <f t="shared" si="107"/>
        <v>379.65964748280413</v>
      </c>
      <c r="H250" s="459">
        <f t="shared" si="107"/>
        <v>379.75654316735933</v>
      </c>
      <c r="I250" s="459">
        <f t="shared" si="107"/>
        <v>379.19887619200409</v>
      </c>
      <c r="J250" s="459">
        <f t="shared" si="107"/>
        <v>378.43411116443588</v>
      </c>
      <c r="K250" s="459">
        <f t="shared" si="107"/>
        <v>378.74803857247332</v>
      </c>
      <c r="L250" s="459">
        <f t="shared" si="107"/>
        <v>378.07175328998812</v>
      </c>
      <c r="M250" s="459">
        <f t="shared" si="107"/>
        <v>376.18009217471359</v>
      </c>
      <c r="N250" s="459">
        <f t="shared" si="107"/>
        <v>373.86110218823978</v>
      </c>
    </row>
    <row r="251" spans="2:14">
      <c r="B251" s="338" t="str">
        <f t="shared" si="101"/>
        <v>40-44</v>
      </c>
      <c r="C251" s="459">
        <f t="shared" si="103"/>
        <v>298.99600669752579</v>
      </c>
      <c r="D251" s="459">
        <f t="shared" ref="D251:N251" si="108">D81-D217</f>
        <v>308.80985924738138</v>
      </c>
      <c r="E251" s="459">
        <f t="shared" si="108"/>
        <v>318.21526864538146</v>
      </c>
      <c r="F251" s="459">
        <f t="shared" si="108"/>
        <v>326.07962747593911</v>
      </c>
      <c r="G251" s="459">
        <f t="shared" si="108"/>
        <v>332.88050345023169</v>
      </c>
      <c r="H251" s="459">
        <f t="shared" si="108"/>
        <v>337.85174855404</v>
      </c>
      <c r="I251" s="459">
        <f t="shared" si="108"/>
        <v>341.22069030326736</v>
      </c>
      <c r="J251" s="459">
        <f t="shared" si="108"/>
        <v>343.4205364156179</v>
      </c>
      <c r="K251" s="459">
        <f t="shared" si="108"/>
        <v>345.6469326335698</v>
      </c>
      <c r="L251" s="459">
        <f t="shared" si="108"/>
        <v>346.30597374283462</v>
      </c>
      <c r="M251" s="459">
        <f t="shared" si="108"/>
        <v>345.46190494087222</v>
      </c>
      <c r="N251" s="459">
        <f t="shared" si="108"/>
        <v>344.00714963156764</v>
      </c>
    </row>
    <row r="252" spans="2:14">
      <c r="B252" s="338" t="str">
        <f t="shared" si="101"/>
        <v>45-49</v>
      </c>
      <c r="C252" s="459">
        <f t="shared" si="103"/>
        <v>217.29544085361331</v>
      </c>
      <c r="D252" s="459">
        <f t="shared" ref="D252:N252" si="109">D82-D218</f>
        <v>229.30802088915388</v>
      </c>
      <c r="E252" s="459">
        <f t="shared" si="109"/>
        <v>241.19377208354851</v>
      </c>
      <c r="F252" s="459">
        <f t="shared" si="109"/>
        <v>251.93980209357522</v>
      </c>
      <c r="G252" s="459">
        <f t="shared" si="109"/>
        <v>261.83954244039194</v>
      </c>
      <c r="H252" s="459">
        <f t="shared" si="109"/>
        <v>270.15048771359739</v>
      </c>
      <c r="I252" s="459">
        <f t="shared" si="109"/>
        <v>276.91201156618627</v>
      </c>
      <c r="J252" s="459">
        <f t="shared" si="109"/>
        <v>282.35258959538015</v>
      </c>
      <c r="K252" s="459">
        <f t="shared" si="109"/>
        <v>287.35637948921573</v>
      </c>
      <c r="L252" s="459">
        <f t="shared" si="109"/>
        <v>290.60467882934063</v>
      </c>
      <c r="M252" s="459">
        <f t="shared" si="109"/>
        <v>292.14713984938209</v>
      </c>
      <c r="N252" s="459">
        <f t="shared" si="109"/>
        <v>292.74557641548267</v>
      </c>
    </row>
    <row r="253" spans="2:14">
      <c r="B253" s="338" t="str">
        <f t="shared" si="101"/>
        <v>50-54</v>
      </c>
      <c r="C253" s="459">
        <f t="shared" si="103"/>
        <v>185.78234462539703</v>
      </c>
      <c r="D253" s="459">
        <f t="shared" ref="D253:N253" si="110">D83-D219</f>
        <v>181.21091492495759</v>
      </c>
      <c r="E253" s="459">
        <f t="shared" si="110"/>
        <v>180.97942316468317</v>
      </c>
      <c r="F253" s="459">
        <f t="shared" si="110"/>
        <v>183.11546942707332</v>
      </c>
      <c r="G253" s="459">
        <f t="shared" si="110"/>
        <v>186.93514067530865</v>
      </c>
      <c r="H253" s="459">
        <f t="shared" si="110"/>
        <v>191.24788277181523</v>
      </c>
      <c r="I253" s="459">
        <f t="shared" si="110"/>
        <v>195.59880999685464</v>
      </c>
      <c r="J253" s="459">
        <f t="shared" si="110"/>
        <v>199.7847086046076</v>
      </c>
      <c r="K253" s="459">
        <f t="shared" si="110"/>
        <v>204.16069724854313</v>
      </c>
      <c r="L253" s="459">
        <f t="shared" si="110"/>
        <v>207.5557233842855</v>
      </c>
      <c r="M253" s="459">
        <f t="shared" si="110"/>
        <v>209.85022222439682</v>
      </c>
      <c r="N253" s="459">
        <f t="shared" si="110"/>
        <v>211.48292157254843</v>
      </c>
    </row>
    <row r="254" spans="2:14">
      <c r="B254" s="338" t="str">
        <f t="shared" si="101"/>
        <v>55-59</v>
      </c>
      <c r="C254" s="459">
        <f t="shared" si="103"/>
        <v>112.62088653429871</v>
      </c>
      <c r="D254" s="459">
        <f t="shared" ref="D254:N254" si="111">D84-D220</f>
        <v>100.10995185410067</v>
      </c>
      <c r="E254" s="459">
        <f t="shared" si="111"/>
        <v>92.532539988917677</v>
      </c>
      <c r="F254" s="459">
        <f t="shared" si="111"/>
        <v>88.115928640958344</v>
      </c>
      <c r="G254" s="459">
        <f t="shared" si="111"/>
        <v>86.037912983532266</v>
      </c>
      <c r="H254" s="459">
        <f t="shared" si="111"/>
        <v>85.274129293561487</v>
      </c>
      <c r="I254" s="459">
        <f t="shared" si="111"/>
        <v>85.34453643428742</v>
      </c>
      <c r="J254" s="459">
        <f t="shared" si="111"/>
        <v>85.963041290699692</v>
      </c>
      <c r="K254" s="459">
        <f t="shared" si="111"/>
        <v>87.195006937232876</v>
      </c>
      <c r="L254" s="459">
        <f t="shared" si="111"/>
        <v>88.219289468495191</v>
      </c>
      <c r="M254" s="459">
        <f t="shared" si="111"/>
        <v>88.923779748859289</v>
      </c>
      <c r="N254" s="459">
        <f t="shared" si="111"/>
        <v>89.521532002121816</v>
      </c>
    </row>
    <row r="255" spans="2:14">
      <c r="B255" s="338" t="str">
        <f t="shared" si="101"/>
        <v>60-64</v>
      </c>
      <c r="C255" s="459">
        <f t="shared" si="103"/>
        <v>35.032867817577433</v>
      </c>
      <c r="D255" s="459">
        <f t="shared" ref="D255:N255" si="112">D85-D221</f>
        <v>33.023637266617968</v>
      </c>
      <c r="E255" s="459">
        <f t="shared" si="112"/>
        <v>30.773940475687446</v>
      </c>
      <c r="F255" s="459">
        <f t="shared" si="112"/>
        <v>28.824610547341557</v>
      </c>
      <c r="G255" s="459">
        <f t="shared" si="112"/>
        <v>27.451417596543997</v>
      </c>
      <c r="H255" s="459">
        <f t="shared" si="112"/>
        <v>26.496412400862564</v>
      </c>
      <c r="I255" s="459">
        <f t="shared" si="112"/>
        <v>25.893468380634417</v>
      </c>
      <c r="J255" s="459">
        <f t="shared" si="112"/>
        <v>25.581798120735261</v>
      </c>
      <c r="K255" s="459">
        <f t="shared" si="112"/>
        <v>25.614196767352787</v>
      </c>
      <c r="L255" s="459">
        <f t="shared" si="112"/>
        <v>25.62263813028742</v>
      </c>
      <c r="M255" s="459">
        <f t="shared" si="112"/>
        <v>25.571884829323114</v>
      </c>
      <c r="N255" s="459">
        <f t="shared" si="112"/>
        <v>25.562169621962724</v>
      </c>
    </row>
    <row r="256" spans="2:14">
      <c r="B256" s="338" t="str">
        <f t="shared" si="101"/>
        <v>65 plus</v>
      </c>
      <c r="C256" s="459">
        <f t="shared" si="103"/>
        <v>6.7934915388809234</v>
      </c>
      <c r="D256" s="459">
        <f t="shared" ref="D256:N256" si="113">D86-D222</f>
        <v>8.276633729880249</v>
      </c>
      <c r="E256" s="459">
        <f t="shared" si="113"/>
        <v>8.9324883267509314</v>
      </c>
      <c r="F256" s="459">
        <f t="shared" si="113"/>
        <v>9.0587241348507028</v>
      </c>
      <c r="G256" s="459">
        <f t="shared" si="113"/>
        <v>8.9495644997871118</v>
      </c>
      <c r="H256" s="459">
        <f t="shared" si="113"/>
        <v>8.7289091091595061</v>
      </c>
      <c r="I256" s="459">
        <f t="shared" si="113"/>
        <v>8.4907409182421389</v>
      </c>
      <c r="J256" s="459">
        <f t="shared" si="113"/>
        <v>8.2880674147542059</v>
      </c>
      <c r="K256" s="459">
        <f t="shared" si="113"/>
        <v>8.1816316458901817</v>
      </c>
      <c r="L256" s="459">
        <f t="shared" si="113"/>
        <v>8.0761467045017632</v>
      </c>
      <c r="M256" s="459">
        <f t="shared" si="113"/>
        <v>7.9610594987347554</v>
      </c>
      <c r="N256" s="459">
        <f t="shared" si="113"/>
        <v>7.8704243149642235</v>
      </c>
    </row>
    <row r="257" spans="1:15">
      <c r="B257" s="338" t="str">
        <f t="shared" si="101"/>
        <v>Total</v>
      </c>
      <c r="C257" s="459">
        <f>SUM(C247:C256)</f>
        <v>2010.0588686359843</v>
      </c>
      <c r="D257" s="459">
        <f t="shared" ref="D257:N257" si="114">SUM(D247:D256)</f>
        <v>2013.8749606179003</v>
      </c>
      <c r="E257" s="459">
        <f t="shared" si="114"/>
        <v>2037.2215616994044</v>
      </c>
      <c r="F257" s="459">
        <f t="shared" si="114"/>
        <v>2063.9133583030221</v>
      </c>
      <c r="G257" s="459">
        <f t="shared" si="114"/>
        <v>2097.0413050197185</v>
      </c>
      <c r="H257" s="459">
        <f t="shared" si="114"/>
        <v>2124.5546259857288</v>
      </c>
      <c r="I257" s="459">
        <f t="shared" si="114"/>
        <v>2146.0039481121366</v>
      </c>
      <c r="J257" s="459">
        <f t="shared" si="114"/>
        <v>2163.3064953091448</v>
      </c>
      <c r="K257" s="459">
        <f t="shared" si="114"/>
        <v>2187.3260883959761</v>
      </c>
      <c r="L257" s="459">
        <f t="shared" si="114"/>
        <v>2196.8010315475808</v>
      </c>
      <c r="M257" s="459">
        <f t="shared" si="114"/>
        <v>2191.2848865355832</v>
      </c>
      <c r="N257" s="459">
        <f t="shared" si="114"/>
        <v>2180.5332973150275</v>
      </c>
    </row>
    <row r="258" spans="1:15">
      <c r="A258" s="309">
        <f>SUM(C258:N258)</f>
        <v>0</v>
      </c>
      <c r="C258" s="309">
        <f>SUM(C247:C256)-C257</f>
        <v>0</v>
      </c>
      <c r="D258" s="309">
        <f t="shared" ref="D258:N258" si="115">SUM(D247:D256)-D257</f>
        <v>0</v>
      </c>
      <c r="E258" s="309">
        <f t="shared" si="115"/>
        <v>0</v>
      </c>
      <c r="F258" s="309">
        <f t="shared" si="115"/>
        <v>0</v>
      </c>
      <c r="G258" s="309">
        <f t="shared" si="115"/>
        <v>0</v>
      </c>
      <c r="H258" s="309">
        <f t="shared" si="115"/>
        <v>0</v>
      </c>
      <c r="I258" s="309">
        <f t="shared" si="115"/>
        <v>0</v>
      </c>
      <c r="J258" s="309">
        <f t="shared" si="115"/>
        <v>0</v>
      </c>
      <c r="K258" s="309">
        <f t="shared" si="115"/>
        <v>0</v>
      </c>
      <c r="L258" s="309">
        <f t="shared" si="115"/>
        <v>0</v>
      </c>
      <c r="M258" s="309">
        <f t="shared" si="115"/>
        <v>0</v>
      </c>
      <c r="N258" s="309">
        <f t="shared" si="115"/>
        <v>0</v>
      </c>
    </row>
    <row r="260" spans="1:15">
      <c r="B260" s="341" t="s">
        <v>50</v>
      </c>
      <c r="C260" s="329"/>
      <c r="D260" s="329"/>
      <c r="E260" s="329"/>
      <c r="F260" s="329"/>
      <c r="G260" s="329"/>
      <c r="H260" s="339"/>
      <c r="I260" s="329"/>
      <c r="J260" s="329"/>
      <c r="K260" s="329"/>
      <c r="L260" s="329"/>
    </row>
    <row r="261" spans="1:15">
      <c r="C261" s="329"/>
      <c r="D261" s="329"/>
      <c r="E261" s="329"/>
      <c r="F261" s="329"/>
      <c r="G261" s="329"/>
      <c r="H261" s="339"/>
      <c r="I261" s="329"/>
      <c r="J261" s="329"/>
      <c r="K261" s="329"/>
      <c r="L261" s="329"/>
    </row>
    <row r="262" spans="1:15">
      <c r="B262" s="338" t="str">
        <f t="shared" ref="B262:B273" si="116">B246</f>
        <v>Age group</v>
      </c>
      <c r="C262" s="338" t="str">
        <f t="shared" ref="C262:N262" si="117">C246</f>
        <v>2016/17</v>
      </c>
      <c r="D262" s="338" t="str">
        <f t="shared" si="117"/>
        <v>2017/18</v>
      </c>
      <c r="E262" s="338" t="str">
        <f t="shared" si="117"/>
        <v>2018/19</v>
      </c>
      <c r="F262" s="338" t="str">
        <f t="shared" si="117"/>
        <v>2019/20</v>
      </c>
      <c r="G262" s="338" t="str">
        <f t="shared" si="117"/>
        <v>2020/21</v>
      </c>
      <c r="H262" s="338" t="str">
        <f t="shared" si="117"/>
        <v>2021/22</v>
      </c>
      <c r="I262" s="338" t="str">
        <f t="shared" si="117"/>
        <v>2022/23</v>
      </c>
      <c r="J262" s="338" t="str">
        <f t="shared" si="117"/>
        <v>2023/24</v>
      </c>
      <c r="K262" s="338" t="str">
        <f t="shared" si="117"/>
        <v>2024/25</v>
      </c>
      <c r="L262" s="338" t="str">
        <f t="shared" si="117"/>
        <v>2025/26</v>
      </c>
      <c r="M262" s="338" t="str">
        <f t="shared" si="117"/>
        <v>2026/27</v>
      </c>
      <c r="N262" s="338" t="str">
        <f t="shared" si="117"/>
        <v>2027/28</v>
      </c>
    </row>
    <row r="263" spans="1:15">
      <c r="B263" s="338" t="str">
        <f t="shared" si="116"/>
        <v>20-24</v>
      </c>
      <c r="C263" s="459">
        <f t="shared" ref="C263:C272" si="118">C93-C229</f>
        <v>102.74714339936884</v>
      </c>
      <c r="D263" s="459">
        <f t="shared" ref="D263:N263" si="119">D93-D229</f>
        <v>127.67453738421804</v>
      </c>
      <c r="E263" s="459">
        <f t="shared" si="119"/>
        <v>150.18189046195909</v>
      </c>
      <c r="F263" s="459">
        <f t="shared" si="119"/>
        <v>167.22272026619291</v>
      </c>
      <c r="G263" s="459">
        <f t="shared" si="119"/>
        <v>181.43215226150559</v>
      </c>
      <c r="H263" s="459">
        <f t="shared" si="119"/>
        <v>190.65856168184732</v>
      </c>
      <c r="I263" s="459">
        <f t="shared" si="119"/>
        <v>196.16952624234463</v>
      </c>
      <c r="J263" s="459">
        <f t="shared" si="119"/>
        <v>199.47630214879052</v>
      </c>
      <c r="K263" s="459">
        <f t="shared" si="119"/>
        <v>204.10669370940155</v>
      </c>
      <c r="L263" s="459">
        <f t="shared" si="119"/>
        <v>204.14057550903823</v>
      </c>
      <c r="M263" s="459">
        <f t="shared" si="119"/>
        <v>200.41928668527896</v>
      </c>
      <c r="N263" s="459">
        <f t="shared" si="119"/>
        <v>196.29078805230091</v>
      </c>
      <c r="O263" s="327"/>
    </row>
    <row r="264" spans="1:15">
      <c r="B264" s="338" t="str">
        <f t="shared" si="116"/>
        <v>25-29</v>
      </c>
      <c r="C264" s="459">
        <f t="shared" si="118"/>
        <v>439.91264157075761</v>
      </c>
      <c r="D264" s="459">
        <f t="shared" ref="D264:N264" si="120">D94-D230</f>
        <v>409.39424692638823</v>
      </c>
      <c r="E264" s="459">
        <f t="shared" si="120"/>
        <v>397.92638072705239</v>
      </c>
      <c r="F264" s="459">
        <f t="shared" si="120"/>
        <v>394.96954363276035</v>
      </c>
      <c r="G264" s="459">
        <f t="shared" si="120"/>
        <v>398.60069165048492</v>
      </c>
      <c r="H264" s="459">
        <f t="shared" si="120"/>
        <v>402.62931546376933</v>
      </c>
      <c r="I264" s="459">
        <f t="shared" si="120"/>
        <v>405.83161129448359</v>
      </c>
      <c r="J264" s="459">
        <f t="shared" si="120"/>
        <v>408.34238076747295</v>
      </c>
      <c r="K264" s="459">
        <f t="shared" si="120"/>
        <v>413.73748593214299</v>
      </c>
      <c r="L264" s="459">
        <f t="shared" si="120"/>
        <v>414.22309453294815</v>
      </c>
      <c r="M264" s="459">
        <f t="shared" si="120"/>
        <v>409.68419503828619</v>
      </c>
      <c r="N264" s="459">
        <f t="shared" si="120"/>
        <v>403.78324243856707</v>
      </c>
      <c r="O264" s="327"/>
    </row>
    <row r="265" spans="1:15">
      <c r="B265" s="338" t="str">
        <f t="shared" si="116"/>
        <v>30-34</v>
      </c>
      <c r="C265" s="459">
        <f t="shared" si="118"/>
        <v>537.7021531492843</v>
      </c>
      <c r="D265" s="459">
        <f t="shared" ref="D265:N265" si="121">D95-D231</f>
        <v>516.04666020668481</v>
      </c>
      <c r="E265" s="459">
        <f t="shared" si="121"/>
        <v>498.38934326218424</v>
      </c>
      <c r="F265" s="459">
        <f t="shared" si="121"/>
        <v>484.17570266972513</v>
      </c>
      <c r="G265" s="459">
        <f t="shared" si="121"/>
        <v>474.87579134033075</v>
      </c>
      <c r="H265" s="459">
        <f t="shared" si="121"/>
        <v>468.02652166265204</v>
      </c>
      <c r="I265" s="459">
        <f t="shared" si="121"/>
        <v>462.91293811204696</v>
      </c>
      <c r="J265" s="459">
        <f t="shared" si="121"/>
        <v>459.26897845301181</v>
      </c>
      <c r="K265" s="459">
        <f t="shared" si="121"/>
        <v>458.86065465058005</v>
      </c>
      <c r="L265" s="459">
        <f t="shared" si="121"/>
        <v>456.96410008282578</v>
      </c>
      <c r="M265" s="459">
        <f t="shared" si="121"/>
        <v>452.70783778665566</v>
      </c>
      <c r="N265" s="459">
        <f t="shared" si="121"/>
        <v>447.60559000238243</v>
      </c>
      <c r="O265" s="327"/>
    </row>
    <row r="266" spans="1:15">
      <c r="B266" s="338" t="str">
        <f t="shared" si="116"/>
        <v>35-39</v>
      </c>
      <c r="C266" s="459">
        <f t="shared" si="118"/>
        <v>563.93962556777421</v>
      </c>
      <c r="D266" s="459">
        <f t="shared" ref="D266:N266" si="122">D96-D232</f>
        <v>541.67138236428184</v>
      </c>
      <c r="E266" s="459">
        <f t="shared" si="122"/>
        <v>523.71366000066962</v>
      </c>
      <c r="F266" s="459">
        <f t="shared" si="122"/>
        <v>507.75345319791444</v>
      </c>
      <c r="G266" s="459">
        <f t="shared" si="122"/>
        <v>494.44227292202771</v>
      </c>
      <c r="H266" s="459">
        <f t="shared" si="122"/>
        <v>482.47117944765847</v>
      </c>
      <c r="I266" s="459">
        <f t="shared" si="122"/>
        <v>471.85503750898357</v>
      </c>
      <c r="J266" s="459">
        <f t="shared" si="122"/>
        <v>462.78322642001001</v>
      </c>
      <c r="K266" s="459">
        <f t="shared" si="122"/>
        <v>456.59715851414319</v>
      </c>
      <c r="L266" s="459">
        <f t="shared" si="122"/>
        <v>450.30030611859479</v>
      </c>
      <c r="M266" s="459">
        <f t="shared" si="122"/>
        <v>443.40503875478089</v>
      </c>
      <c r="N266" s="459">
        <f t="shared" si="122"/>
        <v>436.79542302839059</v>
      </c>
      <c r="O266" s="327"/>
    </row>
    <row r="267" spans="1:15">
      <c r="B267" s="338" t="str">
        <f t="shared" si="116"/>
        <v>40-44</v>
      </c>
      <c r="C267" s="459">
        <f t="shared" si="118"/>
        <v>420.4051745227618</v>
      </c>
      <c r="D267" s="459">
        <f t="shared" ref="D267:N267" si="123">D97-D233</f>
        <v>437.63529198178242</v>
      </c>
      <c r="E267" s="459">
        <f t="shared" si="123"/>
        <v>448.25408189629968</v>
      </c>
      <c r="F267" s="459">
        <f t="shared" si="123"/>
        <v>453.19814168038545</v>
      </c>
      <c r="G267" s="459">
        <f t="shared" si="123"/>
        <v>454.7744177208167</v>
      </c>
      <c r="H267" s="459">
        <f t="shared" si="123"/>
        <v>453.09433715527535</v>
      </c>
      <c r="I267" s="459">
        <f t="shared" si="123"/>
        <v>449.18888560809512</v>
      </c>
      <c r="J267" s="459">
        <f t="shared" si="123"/>
        <v>444.07990933976231</v>
      </c>
      <c r="K267" s="459">
        <f t="shared" si="123"/>
        <v>439.59739027549182</v>
      </c>
      <c r="L267" s="459">
        <f t="shared" si="123"/>
        <v>433.75680475251562</v>
      </c>
      <c r="M267" s="459">
        <f t="shared" si="123"/>
        <v>426.69075262770571</v>
      </c>
      <c r="N267" s="459">
        <f t="shared" si="123"/>
        <v>419.57420429251999</v>
      </c>
      <c r="O267" s="327"/>
    </row>
    <row r="268" spans="1:15">
      <c r="B268" s="338" t="str">
        <f t="shared" si="116"/>
        <v>45-49</v>
      </c>
      <c r="C268" s="459">
        <f t="shared" si="118"/>
        <v>253.60843357830709</v>
      </c>
      <c r="D268" s="459">
        <f t="shared" ref="D268:N268" si="124">D98-D234</f>
        <v>282.40345436525575</v>
      </c>
      <c r="E268" s="459">
        <f t="shared" si="124"/>
        <v>308.36346572242263</v>
      </c>
      <c r="F268" s="459">
        <f t="shared" si="124"/>
        <v>329.73950154932498</v>
      </c>
      <c r="G268" s="459">
        <f t="shared" si="124"/>
        <v>347.06918969604141</v>
      </c>
      <c r="H268" s="459">
        <f t="shared" si="124"/>
        <v>359.78731031343926</v>
      </c>
      <c r="I268" s="459">
        <f t="shared" si="124"/>
        <v>368.46124457727376</v>
      </c>
      <c r="J268" s="459">
        <f t="shared" si="124"/>
        <v>373.90609056161355</v>
      </c>
      <c r="K268" s="459">
        <f t="shared" si="124"/>
        <v>377.75022449481645</v>
      </c>
      <c r="L268" s="459">
        <f t="shared" si="124"/>
        <v>378.62979475181925</v>
      </c>
      <c r="M268" s="459">
        <f t="shared" si="124"/>
        <v>376.91666098592361</v>
      </c>
      <c r="N268" s="459">
        <f t="shared" si="124"/>
        <v>373.8522406054031</v>
      </c>
      <c r="O268" s="327"/>
    </row>
    <row r="269" spans="1:15">
      <c r="B269" s="338" t="str">
        <f t="shared" si="116"/>
        <v>50-54</v>
      </c>
      <c r="C269" s="459">
        <f t="shared" si="118"/>
        <v>194.3417396717077</v>
      </c>
      <c r="D269" s="459">
        <f t="shared" ref="D269:N269" si="125">D99-D235</f>
        <v>196.48263661927766</v>
      </c>
      <c r="E269" s="459">
        <f t="shared" si="125"/>
        <v>204.28462611945565</v>
      </c>
      <c r="F269" s="459">
        <f t="shared" si="125"/>
        <v>214.67656278429706</v>
      </c>
      <c r="G269" s="459">
        <f t="shared" si="125"/>
        <v>226.35844945716559</v>
      </c>
      <c r="H269" s="459">
        <f t="shared" si="125"/>
        <v>237.5039636662529</v>
      </c>
      <c r="I269" s="459">
        <f t="shared" si="125"/>
        <v>247.41022372276964</v>
      </c>
      <c r="J269" s="459">
        <f t="shared" si="125"/>
        <v>255.82922195332523</v>
      </c>
      <c r="K269" s="459">
        <f t="shared" si="125"/>
        <v>263.33638734390524</v>
      </c>
      <c r="L269" s="459">
        <f t="shared" si="125"/>
        <v>268.53938802913069</v>
      </c>
      <c r="M269" s="459">
        <f t="shared" si="125"/>
        <v>271.46212204532071</v>
      </c>
      <c r="N269" s="459">
        <f t="shared" si="125"/>
        <v>272.86824413102312</v>
      </c>
      <c r="O269" s="327"/>
    </row>
    <row r="270" spans="1:15">
      <c r="B270" s="338" t="str">
        <f t="shared" si="116"/>
        <v>55-59</v>
      </c>
      <c r="C270" s="459">
        <f t="shared" si="118"/>
        <v>102.84766782614911</v>
      </c>
      <c r="D270" s="459">
        <f t="shared" ref="D270:N270" si="126">D100-D236</f>
        <v>98.535522541659105</v>
      </c>
      <c r="E270" s="459">
        <f t="shared" si="126"/>
        <v>96.958945680999108</v>
      </c>
      <c r="F270" s="459">
        <f t="shared" si="126"/>
        <v>97.325403108632003</v>
      </c>
      <c r="G270" s="459">
        <f t="shared" si="126"/>
        <v>99.397503045054862</v>
      </c>
      <c r="H270" s="459">
        <f t="shared" si="126"/>
        <v>102.25443013759769</v>
      </c>
      <c r="I270" s="459">
        <f t="shared" si="126"/>
        <v>105.47765790070589</v>
      </c>
      <c r="J270" s="459">
        <f t="shared" si="126"/>
        <v>108.79938028325054</v>
      </c>
      <c r="K270" s="459">
        <f t="shared" si="126"/>
        <v>112.37709463361351</v>
      </c>
      <c r="L270" s="459">
        <f t="shared" si="126"/>
        <v>115.16877700216432</v>
      </c>
      <c r="M270" s="459">
        <f t="shared" si="126"/>
        <v>117.07606476526976</v>
      </c>
      <c r="N270" s="459">
        <f t="shared" si="126"/>
        <v>118.44177728346664</v>
      </c>
      <c r="O270" s="327"/>
    </row>
    <row r="271" spans="1:15">
      <c r="B271" s="338" t="str">
        <f t="shared" si="116"/>
        <v>60-64</v>
      </c>
      <c r="C271" s="459">
        <f t="shared" si="118"/>
        <v>30.801685821877932</v>
      </c>
      <c r="D271" s="459">
        <f t="shared" ref="D271:N271" si="127">D101-D237</f>
        <v>29.189798977338416</v>
      </c>
      <c r="E271" s="459">
        <f t="shared" si="127"/>
        <v>28.239574602198456</v>
      </c>
      <c r="F271" s="459">
        <f t="shared" si="127"/>
        <v>27.681983506566951</v>
      </c>
      <c r="G271" s="459">
        <f t="shared" si="127"/>
        <v>27.591495875669615</v>
      </c>
      <c r="H271" s="459">
        <f t="shared" si="127"/>
        <v>27.732938367422104</v>
      </c>
      <c r="I271" s="459">
        <f t="shared" si="127"/>
        <v>28.061134812362777</v>
      </c>
      <c r="J271" s="459">
        <f t="shared" si="127"/>
        <v>28.543815888836527</v>
      </c>
      <c r="K271" s="459">
        <f t="shared" si="127"/>
        <v>29.282580943800561</v>
      </c>
      <c r="L271" s="459">
        <f t="shared" si="127"/>
        <v>29.835427864413781</v>
      </c>
      <c r="M271" s="459">
        <f t="shared" si="127"/>
        <v>30.184256731694909</v>
      </c>
      <c r="N271" s="459">
        <f t="shared" si="127"/>
        <v>30.474499377914121</v>
      </c>
      <c r="O271" s="327"/>
    </row>
    <row r="272" spans="1:15">
      <c r="B272" s="338" t="str">
        <f t="shared" si="116"/>
        <v>65 plus</v>
      </c>
      <c r="C272" s="459">
        <f t="shared" si="118"/>
        <v>7.5604511098402645</v>
      </c>
      <c r="D272" s="459">
        <f t="shared" ref="D272:N272" si="128">D102-D238</f>
        <v>7.8768905407457135</v>
      </c>
      <c r="E272" s="459">
        <f t="shared" si="128"/>
        <v>7.9656887657542104</v>
      </c>
      <c r="F272" s="459">
        <f t="shared" si="128"/>
        <v>7.9344715137581492</v>
      </c>
      <c r="G272" s="459">
        <f t="shared" si="128"/>
        <v>7.9033783525824566</v>
      </c>
      <c r="H272" s="459">
        <f t="shared" si="128"/>
        <v>7.8612417467094149</v>
      </c>
      <c r="I272" s="459">
        <f t="shared" si="128"/>
        <v>7.8335558913938916</v>
      </c>
      <c r="J272" s="459">
        <f t="shared" si="128"/>
        <v>7.8402908262719935</v>
      </c>
      <c r="K272" s="459">
        <f t="shared" si="128"/>
        <v>7.9357407017405315</v>
      </c>
      <c r="L272" s="459">
        <f t="shared" si="128"/>
        <v>7.9931468124853478</v>
      </c>
      <c r="M272" s="459">
        <f t="shared" si="128"/>
        <v>8.003910626143707</v>
      </c>
      <c r="N272" s="459">
        <f t="shared" si="128"/>
        <v>8.0153218763241618</v>
      </c>
      <c r="O272" s="327"/>
    </row>
    <row r="273" spans="1:15">
      <c r="B273" s="338" t="str">
        <f t="shared" si="116"/>
        <v>Total</v>
      </c>
      <c r="C273" s="459">
        <f>SUM(C263:C272)</f>
        <v>2653.866716217829</v>
      </c>
      <c r="D273" s="459">
        <f t="shared" ref="D273:K273" si="129">SUM(D263:D272)</f>
        <v>2646.9104219076316</v>
      </c>
      <c r="E273" s="459">
        <f t="shared" si="129"/>
        <v>2664.2776572389953</v>
      </c>
      <c r="F273" s="459">
        <f t="shared" si="129"/>
        <v>2684.6774839095574</v>
      </c>
      <c r="G273" s="459">
        <f t="shared" si="129"/>
        <v>2712.4453423216796</v>
      </c>
      <c r="H273" s="459">
        <f t="shared" si="129"/>
        <v>2732.0197996426241</v>
      </c>
      <c r="I273" s="459">
        <f t="shared" si="129"/>
        <v>2743.2018156704598</v>
      </c>
      <c r="J273" s="459">
        <f t="shared" si="129"/>
        <v>2748.8695966423452</v>
      </c>
      <c r="K273" s="459">
        <f t="shared" si="129"/>
        <v>2763.5814111996356</v>
      </c>
      <c r="L273" s="459">
        <f>SUM(L263:L272)</f>
        <v>2759.5514154559364</v>
      </c>
      <c r="M273" s="459">
        <f>SUM(M263:M272)</f>
        <v>2736.5501260470605</v>
      </c>
      <c r="N273" s="459">
        <f>SUM(N263:N272)</f>
        <v>2707.7013310882921</v>
      </c>
      <c r="O273" s="327"/>
    </row>
    <row r="274" spans="1:15">
      <c r="A274" s="309">
        <f>SUM(C274:N274)</f>
        <v>0</v>
      </c>
      <c r="C274" s="309">
        <f>SUM(C263:C272)-C273</f>
        <v>0</v>
      </c>
      <c r="D274" s="309">
        <f t="shared" ref="D274:N274" si="130">SUM(D263:D272)-D273</f>
        <v>0</v>
      </c>
      <c r="E274" s="309">
        <f t="shared" si="130"/>
        <v>0</v>
      </c>
      <c r="F274" s="309">
        <f t="shared" si="130"/>
        <v>0</v>
      </c>
      <c r="G274" s="309">
        <f t="shared" si="130"/>
        <v>0</v>
      </c>
      <c r="H274" s="309">
        <f t="shared" si="130"/>
        <v>0</v>
      </c>
      <c r="I274" s="309">
        <f t="shared" si="130"/>
        <v>0</v>
      </c>
      <c r="J274" s="309">
        <f t="shared" si="130"/>
        <v>0</v>
      </c>
      <c r="K274" s="309">
        <f t="shared" si="130"/>
        <v>0</v>
      </c>
      <c r="L274" s="309">
        <f t="shared" si="130"/>
        <v>0</v>
      </c>
      <c r="M274" s="309">
        <f t="shared" si="130"/>
        <v>0</v>
      </c>
      <c r="N274" s="309">
        <f t="shared" si="130"/>
        <v>0</v>
      </c>
    </row>
    <row r="275" spans="1:15" ht="15.75">
      <c r="B275" s="340"/>
      <c r="H275" s="327"/>
    </row>
    <row r="276" spans="1:15" ht="15.75">
      <c r="B276" s="340" t="s">
        <v>1621</v>
      </c>
      <c r="H276" s="327"/>
    </row>
    <row r="277" spans="1:15" ht="15.75">
      <c r="B277" s="340"/>
      <c r="H277" s="327"/>
    </row>
    <row r="278" spans="1:15" ht="15.75">
      <c r="B278" s="340"/>
      <c r="C278" s="326" t="str">
        <f>C262</f>
        <v>2016/17</v>
      </c>
      <c r="D278" s="326" t="str">
        <f t="shared" ref="D278:N278" si="131">D262</f>
        <v>2017/18</v>
      </c>
      <c r="E278" s="326" t="str">
        <f t="shared" si="131"/>
        <v>2018/19</v>
      </c>
      <c r="F278" s="326" t="str">
        <f t="shared" si="131"/>
        <v>2019/20</v>
      </c>
      <c r="G278" s="326" t="str">
        <f t="shared" si="131"/>
        <v>2020/21</v>
      </c>
      <c r="H278" s="326" t="str">
        <f t="shared" si="131"/>
        <v>2021/22</v>
      </c>
      <c r="I278" s="326" t="str">
        <f t="shared" si="131"/>
        <v>2022/23</v>
      </c>
      <c r="J278" s="326" t="str">
        <f t="shared" si="131"/>
        <v>2023/24</v>
      </c>
      <c r="K278" s="326" t="str">
        <f t="shared" si="131"/>
        <v>2024/25</v>
      </c>
      <c r="L278" s="326" t="str">
        <f t="shared" si="131"/>
        <v>2025/26</v>
      </c>
      <c r="M278" s="326" t="str">
        <f t="shared" si="131"/>
        <v>2026/27</v>
      </c>
      <c r="N278" s="326" t="str">
        <f t="shared" si="131"/>
        <v>2027/28</v>
      </c>
    </row>
    <row r="279" spans="1:15">
      <c r="B279" s="326" t="s">
        <v>209</v>
      </c>
      <c r="C279" s="459">
        <f>C223+C239</f>
        <v>525.99415964656555</v>
      </c>
      <c r="D279" s="459">
        <f t="shared" ref="D279:N279" si="132">D223+D239</f>
        <v>521.33732471443295</v>
      </c>
      <c r="E279" s="459">
        <f t="shared" si="132"/>
        <v>522.50589070685419</v>
      </c>
      <c r="F279" s="459">
        <f t="shared" si="132"/>
        <v>525.50773761594564</v>
      </c>
      <c r="G279" s="459">
        <f t="shared" si="132"/>
        <v>531.26491245548505</v>
      </c>
      <c r="H279" s="459">
        <f t="shared" si="132"/>
        <v>536.39575570413922</v>
      </c>
      <c r="I279" s="459">
        <f t="shared" si="132"/>
        <v>540.64461777913755</v>
      </c>
      <c r="J279" s="459">
        <f t="shared" si="132"/>
        <v>544.35211763902646</v>
      </c>
      <c r="K279" s="459">
        <f t="shared" si="132"/>
        <v>550.23707856745682</v>
      </c>
      <c r="L279" s="459">
        <f t="shared" si="132"/>
        <v>552.36604989215368</v>
      </c>
      <c r="M279" s="459">
        <f t="shared" si="132"/>
        <v>550.63419890578064</v>
      </c>
      <c r="N279" s="459">
        <f t="shared" si="132"/>
        <v>547.67227350477333</v>
      </c>
      <c r="O279" s="327"/>
    </row>
    <row r="280" spans="1:15">
      <c r="B280" s="326" t="s">
        <v>210</v>
      </c>
      <c r="C280" s="459">
        <f>C155+C171</f>
        <v>126.80713744552919</v>
      </c>
      <c r="D280" s="459">
        <f t="shared" ref="D280:N280" si="133">D155+D171</f>
        <v>121.21973532137659</v>
      </c>
      <c r="E280" s="459">
        <f t="shared" si="133"/>
        <v>117.46394877976562</v>
      </c>
      <c r="F280" s="459">
        <f t="shared" si="133"/>
        <v>115.1682253574113</v>
      </c>
      <c r="G280" s="459">
        <f t="shared" si="133"/>
        <v>114.5543699802576</v>
      </c>
      <c r="H280" s="459">
        <f t="shared" si="133"/>
        <v>114.82991028939713</v>
      </c>
      <c r="I280" s="459">
        <f t="shared" si="133"/>
        <v>115.7443607386971</v>
      </c>
      <c r="J280" s="459">
        <f t="shared" si="133"/>
        <v>117.13676414422713</v>
      </c>
      <c r="K280" s="459">
        <f t="shared" si="133"/>
        <v>119.30149375603817</v>
      </c>
      <c r="L280" s="459">
        <f t="shared" si="133"/>
        <v>120.92302628185416</v>
      </c>
      <c r="M280" s="459">
        <f t="shared" si="133"/>
        <v>121.8903276413279</v>
      </c>
      <c r="N280" s="459">
        <f t="shared" si="133"/>
        <v>122.62620311548642</v>
      </c>
      <c r="O280" s="327"/>
    </row>
    <row r="281" spans="1:15">
      <c r="B281" s="326" t="s">
        <v>539</v>
      </c>
      <c r="C281" s="459">
        <f>C189+C205</f>
        <v>2.6824807570694134</v>
      </c>
      <c r="D281" s="459">
        <f t="shared" ref="D281:N281" si="134">D189+D205</f>
        <v>2.6906646641328607</v>
      </c>
      <c r="E281" s="459">
        <f t="shared" si="134"/>
        <v>2.7037852186995384</v>
      </c>
      <c r="F281" s="459">
        <f t="shared" si="134"/>
        <v>2.7175316157424989</v>
      </c>
      <c r="G281" s="459">
        <f t="shared" si="134"/>
        <v>2.7408159865741348</v>
      </c>
      <c r="H281" s="459">
        <f t="shared" si="134"/>
        <v>2.7637969860474447</v>
      </c>
      <c r="I281" s="459">
        <f t="shared" si="134"/>
        <v>2.7861275738996047</v>
      </c>
      <c r="J281" s="459">
        <f t="shared" si="134"/>
        <v>2.8087337092896352</v>
      </c>
      <c r="K281" s="459">
        <f t="shared" si="134"/>
        <v>2.8409680683527858</v>
      </c>
      <c r="L281" s="459">
        <f t="shared" si="134"/>
        <v>2.8603084871910758</v>
      </c>
      <c r="M281" s="459">
        <f t="shared" si="134"/>
        <v>2.8652952754054359</v>
      </c>
      <c r="N281" s="459">
        <f t="shared" si="134"/>
        <v>2.8647765313966347</v>
      </c>
      <c r="O281" s="327"/>
    </row>
    <row r="282" spans="1:15">
      <c r="B282" s="326" t="s">
        <v>211</v>
      </c>
      <c r="C282" s="459">
        <f>C121+C137</f>
        <v>396.50454144396701</v>
      </c>
      <c r="D282" s="459">
        <f t="shared" ref="D282:N282" si="135">D121+D137</f>
        <v>397.42692472892355</v>
      </c>
      <c r="E282" s="459">
        <f t="shared" si="135"/>
        <v>402.33815670838908</v>
      </c>
      <c r="F282" s="459">
        <f t="shared" si="135"/>
        <v>407.62198064279198</v>
      </c>
      <c r="G282" s="459">
        <f t="shared" si="135"/>
        <v>413.96972648865324</v>
      </c>
      <c r="H282" s="459">
        <f t="shared" si="135"/>
        <v>418.80204842869466</v>
      </c>
      <c r="I282" s="459">
        <f t="shared" si="135"/>
        <v>422.11412946654076</v>
      </c>
      <c r="J282" s="459">
        <f t="shared" si="135"/>
        <v>424.40661978550975</v>
      </c>
      <c r="K282" s="459">
        <f t="shared" si="135"/>
        <v>428.0946167430659</v>
      </c>
      <c r="L282" s="459">
        <f t="shared" si="135"/>
        <v>428.58271512310841</v>
      </c>
      <c r="M282" s="459">
        <f t="shared" si="135"/>
        <v>425.87857598904736</v>
      </c>
      <c r="N282" s="459">
        <f t="shared" si="135"/>
        <v>422.18129385789024</v>
      </c>
      <c r="O282" s="327"/>
    </row>
    <row r="283" spans="1:15" ht="15.75">
      <c r="A283" s="309">
        <f>SUM(C283:N283)</f>
        <v>0</v>
      </c>
      <c r="B283" s="340"/>
      <c r="C283" s="309">
        <f>C279-C280-C281-C282</f>
        <v>0</v>
      </c>
      <c r="D283" s="309">
        <f t="shared" ref="D283:N283" si="136">D279-D280-D281-D282</f>
        <v>0</v>
      </c>
      <c r="E283" s="309">
        <f t="shared" si="136"/>
        <v>0</v>
      </c>
      <c r="F283" s="309">
        <f t="shared" si="136"/>
        <v>0</v>
      </c>
      <c r="G283" s="309">
        <f t="shared" si="136"/>
        <v>0</v>
      </c>
      <c r="H283" s="309">
        <f t="shared" si="136"/>
        <v>0</v>
      </c>
      <c r="I283" s="309">
        <f t="shared" si="136"/>
        <v>0</v>
      </c>
      <c r="J283" s="309">
        <f t="shared" si="136"/>
        <v>0</v>
      </c>
      <c r="K283" s="309">
        <f t="shared" si="136"/>
        <v>0</v>
      </c>
      <c r="L283" s="309">
        <f t="shared" si="136"/>
        <v>0</v>
      </c>
      <c r="M283" s="309">
        <f t="shared" si="136"/>
        <v>0</v>
      </c>
      <c r="N283" s="309">
        <f t="shared" si="136"/>
        <v>0</v>
      </c>
    </row>
    <row r="284" spans="1:15" ht="15.75">
      <c r="B284" s="340"/>
      <c r="H284" s="327"/>
    </row>
    <row r="285" spans="1:15" ht="15.75">
      <c r="B285" s="340" t="s">
        <v>1622</v>
      </c>
      <c r="F285" s="364"/>
      <c r="G285" s="364" t="s">
        <v>265</v>
      </c>
      <c r="H285" s="327"/>
    </row>
    <row r="286" spans="1:15" ht="15.75">
      <c r="B286" s="340"/>
      <c r="H286" s="327"/>
    </row>
    <row r="287" spans="1:15" ht="15.75">
      <c r="B287" s="340" t="s">
        <v>199</v>
      </c>
      <c r="H287" s="327"/>
    </row>
    <row r="288" spans="1:15" ht="15.75">
      <c r="B288" s="340"/>
      <c r="H288" s="327"/>
    </row>
    <row r="289" spans="2:14" ht="15.75">
      <c r="B289" s="340"/>
      <c r="C289" s="326" t="str">
        <f>C278</f>
        <v>2016/17</v>
      </c>
      <c r="D289" s="326" t="str">
        <f t="shared" ref="D289:N289" si="137">D278</f>
        <v>2017/18</v>
      </c>
      <c r="E289" s="326" t="str">
        <f t="shared" si="137"/>
        <v>2018/19</v>
      </c>
      <c r="F289" s="326" t="str">
        <f t="shared" si="137"/>
        <v>2019/20</v>
      </c>
      <c r="G289" s="326" t="str">
        <f t="shared" si="137"/>
        <v>2020/21</v>
      </c>
      <c r="H289" s="326" t="str">
        <f t="shared" si="137"/>
        <v>2021/22</v>
      </c>
      <c r="I289" s="326" t="str">
        <f t="shared" si="137"/>
        <v>2022/23</v>
      </c>
      <c r="J289" s="326" t="str">
        <f t="shared" si="137"/>
        <v>2023/24</v>
      </c>
      <c r="K289" s="326" t="str">
        <f t="shared" si="137"/>
        <v>2024/25</v>
      </c>
      <c r="L289" s="326" t="str">
        <f t="shared" si="137"/>
        <v>2025/26</v>
      </c>
      <c r="M289" s="326" t="str">
        <f t="shared" si="137"/>
        <v>2026/27</v>
      </c>
      <c r="N289" s="326" t="str">
        <f t="shared" si="137"/>
        <v>2027/28</v>
      </c>
    </row>
    <row r="290" spans="2:14" ht="15.75">
      <c r="B290" s="340"/>
      <c r="C290" s="459">
        <f>C53+C69-C15</f>
        <v>0</v>
      </c>
      <c r="D290" s="459">
        <f>D53+D69-D15</f>
        <v>0</v>
      </c>
      <c r="E290" s="459">
        <f>E53+E69-E15</f>
        <v>0</v>
      </c>
      <c r="F290" s="459">
        <f t="shared" ref="F290:N290" si="138">F53+F69-F15</f>
        <v>0</v>
      </c>
      <c r="G290" s="459">
        <f t="shared" si="138"/>
        <v>0</v>
      </c>
      <c r="H290" s="459">
        <f t="shared" si="138"/>
        <v>0</v>
      </c>
      <c r="I290" s="459">
        <f t="shared" si="138"/>
        <v>0</v>
      </c>
      <c r="J290" s="459">
        <f t="shared" si="138"/>
        <v>0</v>
      </c>
      <c r="K290" s="459">
        <f t="shared" si="138"/>
        <v>0</v>
      </c>
      <c r="L290" s="459">
        <f t="shared" si="138"/>
        <v>0</v>
      </c>
      <c r="M290" s="459">
        <f t="shared" si="138"/>
        <v>0</v>
      </c>
      <c r="N290" s="459">
        <f t="shared" si="138"/>
        <v>0</v>
      </c>
    </row>
    <row r="291" spans="2:14" ht="15.75">
      <c r="B291" s="340"/>
      <c r="H291" s="327"/>
    </row>
    <row r="292" spans="2:14" ht="15.75">
      <c r="B292" s="340" t="s">
        <v>263</v>
      </c>
      <c r="H292" s="327"/>
    </row>
    <row r="293" spans="2:14" ht="15.75">
      <c r="B293" s="340"/>
      <c r="C293" s="365" t="str">
        <f t="shared" ref="C293:N293" si="139">C262</f>
        <v>2016/17</v>
      </c>
      <c r="D293" s="365" t="str">
        <f t="shared" si="139"/>
        <v>2017/18</v>
      </c>
      <c r="E293" s="365" t="str">
        <f t="shared" si="139"/>
        <v>2018/19</v>
      </c>
      <c r="F293" s="365" t="str">
        <f t="shared" si="139"/>
        <v>2019/20</v>
      </c>
      <c r="G293" s="365" t="str">
        <f t="shared" si="139"/>
        <v>2020/21</v>
      </c>
      <c r="H293" s="365" t="str">
        <f t="shared" si="139"/>
        <v>2021/22</v>
      </c>
      <c r="I293" s="365" t="str">
        <f t="shared" si="139"/>
        <v>2022/23</v>
      </c>
      <c r="J293" s="365" t="str">
        <f t="shared" si="139"/>
        <v>2023/24</v>
      </c>
      <c r="K293" s="365" t="str">
        <f t="shared" si="139"/>
        <v>2024/25</v>
      </c>
      <c r="L293" s="365" t="str">
        <f t="shared" si="139"/>
        <v>2025/26</v>
      </c>
      <c r="M293" s="365" t="str">
        <f t="shared" si="139"/>
        <v>2026/27</v>
      </c>
      <c r="N293" s="365" t="str">
        <f t="shared" si="139"/>
        <v>2027/28</v>
      </c>
    </row>
    <row r="294" spans="2:14">
      <c r="B294" s="363" t="s">
        <v>266</v>
      </c>
      <c r="C294" s="459">
        <f>C36-C15+C279-C290</f>
        <v>518.19712238615239</v>
      </c>
      <c r="D294" s="459">
        <f>D36-D15+D279-D290</f>
        <v>563.21972711972126</v>
      </c>
      <c r="E294" s="459">
        <f>E36-E15+E279-E290</f>
        <v>572.59936089012535</v>
      </c>
      <c r="F294" s="459">
        <f t="shared" ref="F294:N294" si="140">F36-F15+F279-F290</f>
        <v>592.16071758430417</v>
      </c>
      <c r="G294" s="459">
        <f t="shared" si="140"/>
        <v>583.48353399109374</v>
      </c>
      <c r="H294" s="459">
        <f t="shared" si="140"/>
        <v>573.27595593338151</v>
      </c>
      <c r="I294" s="459">
        <f t="shared" si="140"/>
        <v>567.32244580792019</v>
      </c>
      <c r="J294" s="459">
        <f t="shared" si="140"/>
        <v>588.9684862115779</v>
      </c>
      <c r="K294" s="459">
        <f t="shared" si="140"/>
        <v>557.81099730005849</v>
      </c>
      <c r="L294" s="459">
        <f t="shared" si="140"/>
        <v>522.11676448490664</v>
      </c>
      <c r="M294" s="459">
        <f t="shared" si="140"/>
        <v>508.07188932545034</v>
      </c>
      <c r="N294" s="459">
        <f t="shared" si="140"/>
        <v>541.22773670326114</v>
      </c>
    </row>
    <row r="295" spans="2:14" ht="12.75" customHeight="1">
      <c r="B295" s="1243" t="s">
        <v>264</v>
      </c>
      <c r="C295" s="1243"/>
      <c r="D295" s="1243"/>
      <c r="E295" s="1243"/>
      <c r="F295" s="1243"/>
      <c r="G295" s="1243"/>
      <c r="H295" s="1243"/>
      <c r="I295" s="1243"/>
      <c r="J295" s="1243"/>
      <c r="K295" s="1243"/>
      <c r="L295" s="1243"/>
      <c r="M295" s="1243"/>
      <c r="N295" s="1243"/>
    </row>
    <row r="296" spans="2:14">
      <c r="B296" s="326" t="s">
        <v>5</v>
      </c>
      <c r="C296" s="282">
        <f>IF(C294&lt;0,0,C294)</f>
        <v>518.19712238615239</v>
      </c>
      <c r="D296" s="282">
        <f t="shared" ref="D296:N296" si="141">IF(D294&lt;0,0,D294)</f>
        <v>563.21972711972126</v>
      </c>
      <c r="E296" s="282">
        <f t="shared" si="141"/>
        <v>572.59936089012535</v>
      </c>
      <c r="F296" s="282">
        <f t="shared" si="141"/>
        <v>592.16071758430417</v>
      </c>
      <c r="G296" s="282">
        <f t="shared" si="141"/>
        <v>583.48353399109374</v>
      </c>
      <c r="H296" s="282">
        <f t="shared" si="141"/>
        <v>573.27595593338151</v>
      </c>
      <c r="I296" s="282">
        <f t="shared" si="141"/>
        <v>567.32244580792019</v>
      </c>
      <c r="J296" s="282">
        <f t="shared" si="141"/>
        <v>588.9684862115779</v>
      </c>
      <c r="K296" s="282">
        <f t="shared" si="141"/>
        <v>557.81099730005849</v>
      </c>
      <c r="L296" s="282">
        <f t="shared" si="141"/>
        <v>522.11676448490664</v>
      </c>
      <c r="M296" s="282">
        <f t="shared" si="141"/>
        <v>508.07188932545034</v>
      </c>
      <c r="N296" s="282">
        <f t="shared" si="141"/>
        <v>541.22773670326114</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2">B262</f>
        <v>Age group</v>
      </c>
      <c r="C302" s="338" t="str">
        <f>C293</f>
        <v>2016/17</v>
      </c>
      <c r="D302" s="338" t="str">
        <f t="shared" ref="D302:N302" si="143">D293</f>
        <v>2017/18</v>
      </c>
      <c r="E302" s="338" t="str">
        <f t="shared" si="143"/>
        <v>2018/19</v>
      </c>
      <c r="F302" s="338" t="str">
        <f t="shared" si="143"/>
        <v>2019/20</v>
      </c>
      <c r="G302" s="338" t="str">
        <f t="shared" si="143"/>
        <v>2020/21</v>
      </c>
      <c r="H302" s="338" t="str">
        <f t="shared" si="143"/>
        <v>2021/22</v>
      </c>
      <c r="I302" s="338" t="str">
        <f t="shared" si="143"/>
        <v>2022/23</v>
      </c>
      <c r="J302" s="338" t="str">
        <f t="shared" si="143"/>
        <v>2023/24</v>
      </c>
      <c r="K302" s="338" t="str">
        <f t="shared" si="143"/>
        <v>2024/25</v>
      </c>
      <c r="L302" s="338" t="str">
        <f t="shared" si="143"/>
        <v>2025/26</v>
      </c>
      <c r="M302" s="338" t="str">
        <f t="shared" si="143"/>
        <v>2026/27</v>
      </c>
      <c r="N302" s="338" t="str">
        <f t="shared" si="143"/>
        <v>2027/28</v>
      </c>
    </row>
    <row r="303" spans="2:14">
      <c r="B303" s="338" t="str">
        <f t="shared" si="142"/>
        <v>20-24</v>
      </c>
      <c r="C303" s="459">
        <f>C$296*Entrant_age_breakdowns!$K76*$G$31</f>
        <v>57.495427228369692</v>
      </c>
      <c r="D303" s="459">
        <f>D$296*Entrant_age_breakdowns!$K76*$G$31</f>
        <v>62.490811768852687</v>
      </c>
      <c r="E303" s="459">
        <f>E$296*Entrant_age_breakdowns!$K76*$G$31</f>
        <v>63.531508499069496</v>
      </c>
      <c r="F303" s="459">
        <f>F$296*Entrant_age_breakdowns!$K76*$G$31</f>
        <v>65.701896005506171</v>
      </c>
      <c r="G303" s="459">
        <f>G$296*Entrant_age_breakdowns!$K76*$G$31</f>
        <v>64.739138096829748</v>
      </c>
      <c r="H303" s="459">
        <f>H$296*Entrant_age_breakdowns!$K76*$G$31</f>
        <v>63.606578620828337</v>
      </c>
      <c r="I303" s="459">
        <f>I$296*Entrant_age_breakdowns!$K76*$G$31</f>
        <v>62.946019938843321</v>
      </c>
      <c r="J303" s="459">
        <f>J$296*Entrant_age_breakdowns!$K76*$G$31</f>
        <v>65.347708962279157</v>
      </c>
      <c r="K303" s="459">
        <f>K$296*Entrant_age_breakdowns!$K76*$G$31</f>
        <v>61.890697993013163</v>
      </c>
      <c r="L303" s="459">
        <f>L$296*Entrant_age_breakdowns!$K76*$G$31</f>
        <v>57.930322536187028</v>
      </c>
      <c r="M303" s="459">
        <f>M$296*Entrant_age_breakdowns!$K76*$G$31</f>
        <v>56.372004161234123</v>
      </c>
      <c r="N303" s="459">
        <f>N$296*Entrant_age_breakdowns!$K76*$G$31</f>
        <v>60.050738619132758</v>
      </c>
    </row>
    <row r="304" spans="2:14">
      <c r="B304" s="338" t="str">
        <f t="shared" si="142"/>
        <v>25-29</v>
      </c>
      <c r="C304" s="459">
        <f>C$296*Entrant_age_breakdowns!$K77*$G$31</f>
        <v>59.449023402444482</v>
      </c>
      <c r="D304" s="459">
        <f>D$296*Entrant_age_breakdowns!$K77*$G$31</f>
        <v>64.614142556561319</v>
      </c>
      <c r="E304" s="459">
        <f>E$296*Entrant_age_breakdowns!$K77*$G$31</f>
        <v>65.69020037979945</v>
      </c>
      <c r="F304" s="459">
        <f>F$296*Entrant_age_breakdowns!$K77*$G$31</f>
        <v>67.934333937587184</v>
      </c>
      <c r="G304" s="459">
        <f>G$296*Entrant_age_breakdowns!$K77*$G$31</f>
        <v>66.938863163599237</v>
      </c>
      <c r="H304" s="459">
        <f>H$296*Entrant_age_breakdowns!$K77*$G$31</f>
        <v>65.767821255761291</v>
      </c>
      <c r="I304" s="459">
        <f>I$296*Entrant_age_breakdowns!$K77*$G$31</f>
        <v>65.084817920764976</v>
      </c>
      <c r="J304" s="459">
        <f>J$296*Entrant_age_breakdowns!$K77*$G$31</f>
        <v>67.568112225067125</v>
      </c>
      <c r="K304" s="459">
        <f>K$296*Entrant_age_breakdowns!$K77*$G$31</f>
        <v>63.993637942128082</v>
      </c>
      <c r="L304" s="459">
        <f>L$296*Entrant_age_breakdowns!$K77*$G$31</f>
        <v>59.898695708197671</v>
      </c>
      <c r="M304" s="459">
        <f>M$296*Entrant_age_breakdowns!$K77*$G$31</f>
        <v>58.287428343002361</v>
      </c>
      <c r="N304" s="459">
        <f>N$296*Entrant_age_breakdowns!$K77*$G$31</f>
        <v>62.09115989908485</v>
      </c>
    </row>
    <row r="305" spans="1:14">
      <c r="B305" s="338" t="str">
        <f t="shared" si="142"/>
        <v>30-34</v>
      </c>
      <c r="C305" s="459">
        <f>C$296*Entrant_age_breakdowns!$K78*$G$31</f>
        <v>29.511385852140439</v>
      </c>
      <c r="D305" s="459">
        <f>D$296*Entrant_age_breakdowns!$K78*$G$31</f>
        <v>32.075428381443878</v>
      </c>
      <c r="E305" s="459">
        <f>E$296*Entrant_age_breakdowns!$K78*$G$31</f>
        <v>32.60959960585275</v>
      </c>
      <c r="F305" s="459">
        <f>F$296*Entrant_age_breakdowns!$K78*$G$31</f>
        <v>33.723621124411238</v>
      </c>
      <c r="G305" s="459">
        <f>G$296*Entrant_age_breakdowns!$K78*$G$31</f>
        <v>33.22945451856453</v>
      </c>
      <c r="H305" s="459">
        <f>H$296*Entrant_age_breakdowns!$K78*$G$31</f>
        <v>32.648131771556862</v>
      </c>
      <c r="I305" s="459">
        <f>I$296*Entrant_age_breakdowns!$K78*$G$31</f>
        <v>32.309078683654555</v>
      </c>
      <c r="J305" s="459">
        <f>J$296*Entrant_age_breakdowns!$K78*$G$31</f>
        <v>33.541823179768016</v>
      </c>
      <c r="K305" s="459">
        <f>K$296*Entrant_age_breakdowns!$K78*$G$31</f>
        <v>31.767400594753276</v>
      </c>
      <c r="L305" s="459">
        <f>L$296*Entrant_age_breakdowns!$K78*$G$31</f>
        <v>29.734609921479112</v>
      </c>
      <c r="M305" s="459">
        <f>M$296*Entrant_age_breakdowns!$K78*$G$31</f>
        <v>28.93475266220435</v>
      </c>
      <c r="N305" s="459">
        <f>N$296*Entrant_age_breakdowns!$K78*$G$31</f>
        <v>30.822981992223884</v>
      </c>
    </row>
    <row r="306" spans="1:14">
      <c r="B306" s="338" t="str">
        <f t="shared" si="142"/>
        <v>35-39</v>
      </c>
      <c r="C306" s="459">
        <f>C$296*Entrant_age_breakdowns!$K79*$G$31</f>
        <v>21.087193376599505</v>
      </c>
      <c r="D306" s="459">
        <f>D$296*Entrant_age_breakdowns!$K79*$G$31</f>
        <v>22.919315423057906</v>
      </c>
      <c r="E306" s="459">
        <f>E$296*Entrant_age_breakdowns!$K79*$G$31</f>
        <v>23.301004441722128</v>
      </c>
      <c r="F306" s="459">
        <f>F$296*Entrant_age_breakdowns!$K79*$G$31</f>
        <v>24.097022199249164</v>
      </c>
      <c r="G306" s="459">
        <f>G$296*Entrant_age_breakdowns!$K79*$G$31</f>
        <v>23.74391825387848</v>
      </c>
      <c r="H306" s="459">
        <f>H$296*Entrant_age_breakdowns!$K79*$G$31</f>
        <v>23.32853738217748</v>
      </c>
      <c r="I306" s="459">
        <f>I$296*Entrant_age_breakdowns!$K79*$G$31</f>
        <v>23.086268921273916</v>
      </c>
      <c r="J306" s="459">
        <f>J$296*Entrant_age_breakdowns!$K79*$G$31</f>
        <v>23.967119509034369</v>
      </c>
      <c r="K306" s="459">
        <f>K$296*Entrant_age_breakdowns!$K79*$G$31</f>
        <v>22.699215915164427</v>
      </c>
      <c r="L306" s="459">
        <f>L$296*Entrant_age_breakdowns!$K79*$G$31</f>
        <v>21.246696869252826</v>
      </c>
      <c r="M306" s="459">
        <f>M$296*Entrant_age_breakdowns!$K79*$G$31</f>
        <v>20.675163401305557</v>
      </c>
      <c r="N306" s="459">
        <f>N$296*Entrant_age_breakdowns!$K79*$G$31</f>
        <v>22.024386959324296</v>
      </c>
    </row>
    <row r="307" spans="1:14">
      <c r="B307" s="338" t="str">
        <f t="shared" si="142"/>
        <v>40-44</v>
      </c>
      <c r="C307" s="459">
        <f>C$296*Entrant_age_breakdowns!$K80*$G$31</f>
        <v>18.321126884134781</v>
      </c>
      <c r="D307" s="459">
        <f>D$296*Entrant_age_breakdowns!$K80*$G$31</f>
        <v>19.912924326350772</v>
      </c>
      <c r="E307" s="459">
        <f>E$296*Entrant_age_breakdowns!$K80*$G$31</f>
        <v>20.244546122402028</v>
      </c>
      <c r="F307" s="459">
        <f>F$296*Entrant_age_breakdowns!$K80*$G$31</f>
        <v>20.936147990759771</v>
      </c>
      <c r="G307" s="459">
        <f>G$296*Entrant_age_breakdowns!$K80*$G$31</f>
        <v>20.629361683502601</v>
      </c>
      <c r="H307" s="459">
        <f>H$296*Entrant_age_breakdowns!$K80*$G$31</f>
        <v>20.268467489582903</v>
      </c>
      <c r="I307" s="459">
        <f>I$296*Entrant_age_breakdowns!$K80*$G$31</f>
        <v>20.05797806441532</v>
      </c>
      <c r="J307" s="459">
        <f>J$296*Entrant_age_breakdowns!$K80*$G$31</f>
        <v>20.82328500195365</v>
      </c>
      <c r="K307" s="459">
        <f>K$296*Entrant_age_breakdowns!$K80*$G$31</f>
        <v>19.721695890245712</v>
      </c>
      <c r="L307" s="459">
        <f>L$296*Entrant_age_breakdowns!$K80*$G$31</f>
        <v>18.459707854829869</v>
      </c>
      <c r="M307" s="459">
        <f>M$296*Entrant_age_breakdowns!$K80*$G$31</f>
        <v>17.963144040111342</v>
      </c>
      <c r="N307" s="459">
        <f>N$296*Entrant_age_breakdowns!$K80*$G$31</f>
        <v>19.135386147444418</v>
      </c>
    </row>
    <row r="308" spans="1:14">
      <c r="B308" s="338" t="str">
        <f t="shared" si="142"/>
        <v>45-49</v>
      </c>
      <c r="C308" s="459">
        <f>C$296*Entrant_age_breakdowns!$K81*$G$31</f>
        <v>14.578977866255965</v>
      </c>
      <c r="D308" s="459">
        <f>D$296*Entrant_age_breakdowns!$K81*$G$31</f>
        <v>15.845645567669338</v>
      </c>
      <c r="E308" s="459">
        <f>E$296*Entrant_age_breakdowns!$K81*$G$31</f>
        <v>16.109532546629456</v>
      </c>
      <c r="F308" s="459">
        <f>F$296*Entrant_age_breakdowns!$K81*$G$31</f>
        <v>16.659872511786297</v>
      </c>
      <c r="G308" s="459">
        <f>G$296*Entrant_age_breakdowns!$K81*$G$31</f>
        <v>16.415748293256605</v>
      </c>
      <c r="H308" s="459">
        <f>H$296*Entrant_age_breakdowns!$K81*$G$31</f>
        <v>16.128567897722547</v>
      </c>
      <c r="I308" s="459">
        <f>I$296*Entrant_age_breakdowns!$K81*$G$31</f>
        <v>15.961071613787274</v>
      </c>
      <c r="J308" s="459">
        <f>J$296*Entrant_age_breakdowns!$K81*$G$31</f>
        <v>16.570062150986445</v>
      </c>
      <c r="K308" s="459">
        <f>K$296*Entrant_age_breakdowns!$K81*$G$31</f>
        <v>15.693476153909717</v>
      </c>
      <c r="L308" s="459">
        <f>L$296*Entrant_age_breakdowns!$K81*$G$31</f>
        <v>14.689253228531715</v>
      </c>
      <c r="M308" s="459">
        <f>M$296*Entrant_age_breakdowns!$K81*$G$31</f>
        <v>14.294114168049905</v>
      </c>
      <c r="N308" s="459">
        <f>N$296*Entrant_age_breakdowns!$K81*$G$31</f>
        <v>15.226922059441202</v>
      </c>
    </row>
    <row r="309" spans="1:14">
      <c r="B309" s="338" t="str">
        <f t="shared" si="142"/>
        <v>50-54</v>
      </c>
      <c r="C309" s="459">
        <f>C$296*Entrant_age_breakdowns!$K82*$G$31</f>
        <v>10.664997069701208</v>
      </c>
      <c r="D309" s="459">
        <f>D$296*Entrant_age_breakdowns!$K82*$G$31</f>
        <v>11.591605741981745</v>
      </c>
      <c r="E309" s="459">
        <f>E$296*Entrant_age_breakdowns!$K82*$G$31</f>
        <v>11.784647660500324</v>
      </c>
      <c r="F309" s="459">
        <f>F$296*Entrant_age_breakdowns!$K82*$G$31</f>
        <v>12.187239266687081</v>
      </c>
      <c r="G309" s="459">
        <f>G$296*Entrant_age_breakdowns!$K82*$G$31</f>
        <v>12.008654450992395</v>
      </c>
      <c r="H309" s="459">
        <f>H$296*Entrant_age_breakdowns!$K82*$G$31</f>
        <v>11.798572639706062</v>
      </c>
      <c r="I309" s="459">
        <f>I$296*Entrant_age_breakdowns!$K82*$G$31</f>
        <v>11.676043653535496</v>
      </c>
      <c r="J309" s="459">
        <f>J$296*Entrant_age_breakdowns!$K82*$G$31</f>
        <v>12.121540063111491</v>
      </c>
      <c r="K309" s="459">
        <f>K$296*Entrant_age_breakdowns!$K82*$G$31</f>
        <v>11.480288860460115</v>
      </c>
      <c r="L309" s="459">
        <f>L$296*Entrant_age_breakdowns!$K82*$G$31</f>
        <v>10.745667088293748</v>
      </c>
      <c r="M309" s="459">
        <f>M$296*Entrant_age_breakdowns!$K82*$G$31</f>
        <v>10.45660999795294</v>
      </c>
      <c r="N309" s="459">
        <f>N$296*Entrant_age_breakdowns!$K82*$G$31</f>
        <v>11.138989347146449</v>
      </c>
    </row>
    <row r="310" spans="1:14">
      <c r="B310" s="338" t="str">
        <f t="shared" si="142"/>
        <v>55-59</v>
      </c>
      <c r="C310" s="459">
        <f>C$296*Entrant_age_breakdowns!$K83*$G$31</f>
        <v>7.2609705505310531</v>
      </c>
      <c r="D310" s="459">
        <f>D$296*Entrant_age_breakdowns!$K83*$G$31</f>
        <v>7.8918266339715109</v>
      </c>
      <c r="E310" s="459">
        <f>E$296*Entrant_age_breakdowns!$K83*$G$31</f>
        <v>8.0232539260955296</v>
      </c>
      <c r="F310" s="459">
        <f>F$296*Entrant_age_breakdowns!$K83*$G$31</f>
        <v>8.2973473719078807</v>
      </c>
      <c r="G310" s="459">
        <f>G$296*Entrant_age_breakdowns!$K83*$G$31</f>
        <v>8.1757628014615378</v>
      </c>
      <c r="H310" s="459">
        <f>H$296*Entrant_age_breakdowns!$K83*$G$31</f>
        <v>8.0327343660120931</v>
      </c>
      <c r="I310" s="459">
        <f>I$296*Entrant_age_breakdowns!$K83*$G$31</f>
        <v>7.9493138686264473</v>
      </c>
      <c r="J310" s="459">
        <f>J$296*Entrant_age_breakdowns!$K83*$G$31</f>
        <v>8.2526178722898287</v>
      </c>
      <c r="K310" s="459">
        <f>K$296*Entrant_age_breakdowns!$K83*$G$31</f>
        <v>7.8160395903161719</v>
      </c>
      <c r="L310" s="459">
        <f>L$296*Entrant_age_breakdowns!$K83*$G$31</f>
        <v>7.3158925186744188</v>
      </c>
      <c r="M310" s="459">
        <f>M$296*Entrant_age_breakdowns!$K83*$G$31</f>
        <v>7.1190959319834111</v>
      </c>
      <c r="N310" s="459">
        <f>N$296*Entrant_age_breakdowns!$K83*$G$31</f>
        <v>7.5836751837546856</v>
      </c>
    </row>
    <row r="311" spans="1:14">
      <c r="B311" s="338" t="str">
        <f t="shared" si="142"/>
        <v>60-64</v>
      </c>
      <c r="C311" s="459">
        <f>C$296*Entrant_age_breakdowns!$K84*$G$31</f>
        <v>3.5545103919847358</v>
      </c>
      <c r="D311" s="459">
        <f>D$296*Entrant_age_breakdowns!$K84*$G$31</f>
        <v>3.8633374955834263</v>
      </c>
      <c r="E311" s="459">
        <f>E$296*Entrant_age_breakdowns!$K84*$G$31</f>
        <v>3.9276759572799929</v>
      </c>
      <c r="F311" s="459">
        <f>F$296*Entrant_age_breakdowns!$K84*$G$31</f>
        <v>4.0618547140639132</v>
      </c>
      <c r="G311" s="459">
        <f>G$296*Entrant_age_breakdowns!$K84*$G$31</f>
        <v>4.0023346242702802</v>
      </c>
      <c r="H311" s="459">
        <f>H$296*Entrant_age_breakdowns!$K84*$G$31</f>
        <v>3.9323169790235046</v>
      </c>
      <c r="I311" s="459">
        <f>I$296*Entrant_age_breakdowns!$K84*$G$31</f>
        <v>3.8914795974643512</v>
      </c>
      <c r="J311" s="459">
        <f>J$296*Entrant_age_breakdowns!$K84*$G$31</f>
        <v>4.0399579896364859</v>
      </c>
      <c r="K311" s="459">
        <f>K$296*Entrant_age_breakdowns!$K84*$G$31</f>
        <v>3.8262369685428648</v>
      </c>
      <c r="L311" s="459">
        <f>L$296*Entrant_age_breakdowns!$K84*$G$31</f>
        <v>3.5813967021763631</v>
      </c>
      <c r="M311" s="459">
        <f>M$296*Entrant_age_breakdowns!$K84*$G$31</f>
        <v>3.4850575822705334</v>
      </c>
      <c r="N311" s="459">
        <f>N$296*Entrant_age_breakdowns!$K84*$G$31</f>
        <v>3.7124861012032691</v>
      </c>
    </row>
    <row r="312" spans="1:14">
      <c r="B312" s="338" t="str">
        <f t="shared" si="142"/>
        <v>65 plus</v>
      </c>
      <c r="C312" s="459">
        <f>C$296*Entrant_age_breakdowns!$K85*$G$31</f>
        <v>0.89149643635553866</v>
      </c>
      <c r="D312" s="459">
        <f>D$296*Entrant_age_breakdowns!$K85*$G$31</f>
        <v>0.96895246600425389</v>
      </c>
      <c r="E312" s="459">
        <f>E$296*Entrant_age_breakdowns!$K85*$G$31</f>
        <v>0.985089008874525</v>
      </c>
      <c r="F312" s="459">
        <f>F$296*Entrant_age_breakdowns!$K85*$G$31</f>
        <v>1.0187419934816933</v>
      </c>
      <c r="G312" s="459">
        <f>G$296*Entrant_age_breakdowns!$K85*$G$31</f>
        <v>1.003813932485659</v>
      </c>
      <c r="H312" s="459">
        <f>H$296*Entrant_age_breakdowns!$K85*$G$31</f>
        <v>0.98625301006994115</v>
      </c>
      <c r="I312" s="459">
        <f>I$296*Entrant_age_breakdowns!$K85*$G$31</f>
        <v>0.97601070490966613</v>
      </c>
      <c r="J312" s="459">
        <f>J$296*Entrant_age_breakdowns!$K85*$G$31</f>
        <v>1.0132501395715374</v>
      </c>
      <c r="K312" s="459">
        <f>K$296*Entrant_age_breakdowns!$K85*$G$31</f>
        <v>0.95964739048157244</v>
      </c>
      <c r="L312" s="459">
        <f>L$296*Entrant_age_breakdowns!$K85*$G$31</f>
        <v>0.8982397137916196</v>
      </c>
      <c r="M312" s="459">
        <f>M$296*Entrant_age_breakdowns!$K85*$G$31</f>
        <v>0.87407717870061363</v>
      </c>
      <c r="N312" s="459">
        <f>N$296*Entrant_age_breakdowns!$K85*$G$31</f>
        <v>0.93111786554495324</v>
      </c>
    </row>
    <row r="313" spans="1:14">
      <c r="B313" s="338" t="str">
        <f t="shared" si="142"/>
        <v>Total</v>
      </c>
      <c r="C313" s="459">
        <f>C$296*Entrant_age_breakdowns!$K86*$G$31</f>
        <v>222.81510905851738</v>
      </c>
      <c r="D313" s="459">
        <f>D$296*Entrant_age_breakdowns!$K86*$G$31</f>
        <v>242.17399036147683</v>
      </c>
      <c r="E313" s="459">
        <f>E$296*Entrant_age_breakdowns!$K86*$G$31</f>
        <v>246.20705814822568</v>
      </c>
      <c r="F313" s="459">
        <f>F$296*Entrant_age_breakdowns!$K86*$G$31</f>
        <v>254.61807711544037</v>
      </c>
      <c r="G313" s="459">
        <f>G$296*Entrant_age_breakdowns!$K86*$G$31</f>
        <v>250.88704981884106</v>
      </c>
      <c r="H313" s="459">
        <f>H$296*Entrant_age_breakdowns!$K86*$G$31</f>
        <v>246.49798141244102</v>
      </c>
      <c r="I313" s="459">
        <f>I$296*Entrant_age_breakdowns!$K86*$G$31</f>
        <v>243.93808296727531</v>
      </c>
      <c r="J313" s="459">
        <f>J$296*Entrant_age_breakdowns!$K86*$G$31</f>
        <v>253.2454770936981</v>
      </c>
      <c r="K313" s="459">
        <f>K$296*Entrant_age_breakdowns!$K86*$G$31</f>
        <v>239.8483372990151</v>
      </c>
      <c r="L313" s="459">
        <f>L$296*Entrant_age_breakdowns!$K86*$G$31</f>
        <v>224.50048214141435</v>
      </c>
      <c r="M313" s="459">
        <f>M$296*Entrant_age_breakdowns!$K86*$G$31</f>
        <v>218.46144746681512</v>
      </c>
      <c r="N313" s="459">
        <f>N$296*Entrant_age_breakdowns!$K86*$G$31</f>
        <v>232.71784417430075</v>
      </c>
    </row>
    <row r="314" spans="1:14">
      <c r="A314" s="309">
        <f>SUM(C314:N314)</f>
        <v>0</v>
      </c>
      <c r="C314" s="309">
        <f>SUM(C303:C312)-C313</f>
        <v>0</v>
      </c>
      <c r="D314" s="309">
        <f t="shared" ref="D314:N314" si="144">SUM(D303:D312)-D313</f>
        <v>0</v>
      </c>
      <c r="E314" s="309">
        <f t="shared" si="144"/>
        <v>0</v>
      </c>
      <c r="F314" s="309">
        <f t="shared" si="144"/>
        <v>0</v>
      </c>
      <c r="G314" s="309">
        <f t="shared" si="144"/>
        <v>0</v>
      </c>
      <c r="H314" s="309">
        <f t="shared" si="144"/>
        <v>0</v>
      </c>
      <c r="I314" s="309">
        <f t="shared" si="144"/>
        <v>0</v>
      </c>
      <c r="J314" s="309">
        <f t="shared" si="144"/>
        <v>0</v>
      </c>
      <c r="K314" s="309">
        <f t="shared" si="144"/>
        <v>0</v>
      </c>
      <c r="L314" s="309">
        <f t="shared" si="144"/>
        <v>0</v>
      </c>
      <c r="M314" s="309">
        <f t="shared" si="144"/>
        <v>0</v>
      </c>
      <c r="N314" s="309">
        <f t="shared" si="144"/>
        <v>0</v>
      </c>
    </row>
    <row r="316" spans="1:14">
      <c r="B316" s="341" t="s">
        <v>50</v>
      </c>
      <c r="H316" s="325"/>
    </row>
    <row r="317" spans="1:14">
      <c r="H317" s="325"/>
    </row>
    <row r="318" spans="1:14">
      <c r="B318" s="338" t="str">
        <f t="shared" ref="B318:B329" si="145">B302</f>
        <v>Age group</v>
      </c>
      <c r="C318" s="338" t="str">
        <f>C293</f>
        <v>2016/17</v>
      </c>
      <c r="D318" s="338" t="str">
        <f t="shared" ref="D318:N318" si="146">D302</f>
        <v>2017/18</v>
      </c>
      <c r="E318" s="338" t="str">
        <f t="shared" si="146"/>
        <v>2018/19</v>
      </c>
      <c r="F318" s="338" t="str">
        <f t="shared" si="146"/>
        <v>2019/20</v>
      </c>
      <c r="G318" s="338" t="str">
        <f t="shared" si="146"/>
        <v>2020/21</v>
      </c>
      <c r="H318" s="338" t="str">
        <f t="shared" si="146"/>
        <v>2021/22</v>
      </c>
      <c r="I318" s="338" t="str">
        <f t="shared" si="146"/>
        <v>2022/23</v>
      </c>
      <c r="J318" s="338" t="str">
        <f t="shared" si="146"/>
        <v>2023/24</v>
      </c>
      <c r="K318" s="338" t="str">
        <f t="shared" si="146"/>
        <v>2024/25</v>
      </c>
      <c r="L318" s="338" t="str">
        <f t="shared" si="146"/>
        <v>2025/26</v>
      </c>
      <c r="M318" s="338" t="str">
        <f t="shared" si="146"/>
        <v>2026/27</v>
      </c>
      <c r="N318" s="338" t="str">
        <f t="shared" si="146"/>
        <v>2027/28</v>
      </c>
    </row>
    <row r="319" spans="1:14">
      <c r="B319" s="338" t="str">
        <f t="shared" si="145"/>
        <v>20-24</v>
      </c>
      <c r="C319" s="459">
        <f>C$296*Entrant_age_breakdowns!$K76*$H$31</f>
        <v>76.220661711895545</v>
      </c>
      <c r="D319" s="459">
        <f>D$296*Entrant_age_breakdowns!$K76*$H$31</f>
        <v>82.842953840774882</v>
      </c>
      <c r="E319" s="459">
        <f>E$296*Entrant_age_breakdowns!$K76*$H$31</f>
        <v>84.222586921914797</v>
      </c>
      <c r="F319" s="459">
        <f>F$296*Entrant_age_breakdowns!$K76*$H$31</f>
        <v>87.099830902636242</v>
      </c>
      <c r="G319" s="459">
        <f>G$296*Entrant_age_breakdowns!$K76*$H$31</f>
        <v>85.823519926178804</v>
      </c>
      <c r="H319" s="459">
        <f>H$296*Entrant_age_breakdowns!$K76*$H$31</f>
        <v>84.322106042496756</v>
      </c>
      <c r="I319" s="459">
        <f>I$296*Entrant_age_breakdowns!$K76*$H$31</f>
        <v>83.446415187283975</v>
      </c>
      <c r="J319" s="459">
        <f>J$296*Entrant_age_breakdowns!$K76*$H$31</f>
        <v>86.630291460876563</v>
      </c>
      <c r="K319" s="459">
        <f>K$296*Entrant_age_breakdowns!$K76*$H$31</f>
        <v>82.047393718832822</v>
      </c>
      <c r="L319" s="459">
        <f>L$296*Entrant_age_breakdowns!$K76*$H$31</f>
        <v>76.797194659560645</v>
      </c>
      <c r="M319" s="459">
        <f>M$296*Entrant_age_breakdowns!$K76*$H$31</f>
        <v>74.731359802382485</v>
      </c>
      <c r="N319" s="459">
        <f>N$296*Entrant_age_breakdowns!$K76*$H$31</f>
        <v>79.608192416038264</v>
      </c>
    </row>
    <row r="320" spans="1:14">
      <c r="B320" s="338" t="str">
        <f t="shared" si="145"/>
        <v>25-29</v>
      </c>
      <c r="C320" s="459">
        <f>C$296*Entrant_age_breakdowns!$K77*$H$31</f>
        <v>78.810509292545149</v>
      </c>
      <c r="D320" s="459">
        <f>D$296*Entrant_age_breakdowns!$K77*$H$31</f>
        <v>85.65781556933571</v>
      </c>
      <c r="E320" s="459">
        <f>E$296*Entrant_age_breakdowns!$K77*$H$31</f>
        <v>87.084326220377605</v>
      </c>
      <c r="F320" s="459">
        <f>F$296*Entrant_age_breakdowns!$K77*$H$31</f>
        <v>90.059334025173101</v>
      </c>
      <c r="G320" s="459">
        <f>G$296*Entrant_age_breakdowns!$K77*$H$31</f>
        <v>88.739656187023627</v>
      </c>
      <c r="H320" s="459">
        <f>H$296*Entrant_age_breakdowns!$K77*$H$31</f>
        <v>87.187226830281219</v>
      </c>
      <c r="I320" s="459">
        <f>I$296*Entrant_age_breakdowns!$K77*$H$31</f>
        <v>86.281781499158186</v>
      </c>
      <c r="J320" s="459">
        <f>J$296*Entrant_age_breakdowns!$K77*$H$31</f>
        <v>89.573840437123565</v>
      </c>
      <c r="K320" s="459">
        <f>K$296*Entrant_age_breakdowns!$K77*$H$31</f>
        <v>84.835223676600833</v>
      </c>
      <c r="L320" s="459">
        <f>L$296*Entrant_age_breakdowns!$K77*$H$31</f>
        <v>79.406631842637438</v>
      </c>
      <c r="M320" s="459">
        <f>M$296*Entrant_age_breakdowns!$K77*$H$31</f>
        <v>77.270603454115957</v>
      </c>
      <c r="N320" s="459">
        <f>N$296*Entrant_age_breakdowns!$K77*$H$31</f>
        <v>82.313142489915492</v>
      </c>
    </row>
    <row r="321" spans="1:14">
      <c r="B321" s="338" t="str">
        <f t="shared" si="145"/>
        <v>30-34</v>
      </c>
      <c r="C321" s="459">
        <f>C$296*Entrant_age_breakdowns!$K78*$H$31</f>
        <v>39.122717511964453</v>
      </c>
      <c r="D321" s="459">
        <f>D$296*Entrant_age_breakdowns!$K78*$H$31</f>
        <v>42.521822930638848</v>
      </c>
      <c r="E321" s="459">
        <f>E$296*Entrant_age_breakdowns!$K78*$H$31</f>
        <v>43.229964189076313</v>
      </c>
      <c r="F321" s="459">
        <f>F$296*Entrant_age_breakdowns!$K78*$H$31</f>
        <v>44.706802633437349</v>
      </c>
      <c r="G321" s="459">
        <f>G$296*Entrant_age_breakdowns!$K78*$H$31</f>
        <v>44.05169478383479</v>
      </c>
      <c r="H321" s="459">
        <f>H$296*Entrant_age_breakdowns!$K78*$H$31</f>
        <v>43.281045593437291</v>
      </c>
      <c r="I321" s="459">
        <f>I$296*Entrant_age_breakdowns!$K78*$H$31</f>
        <v>42.831568966144332</v>
      </c>
      <c r="J321" s="459">
        <f>J$296*Entrant_age_breakdowns!$K78*$H$31</f>
        <v>44.465796342910444</v>
      </c>
      <c r="K321" s="459">
        <f>K$296*Entrant_age_breakdowns!$K78*$H$31</f>
        <v>42.113475991430022</v>
      </c>
      <c r="L321" s="459">
        <f>L$296*Entrant_age_breakdowns!$K78*$H$31</f>
        <v>39.418641676636469</v>
      </c>
      <c r="M321" s="459">
        <f>M$296*Entrant_age_breakdowns!$K78*$H$31</f>
        <v>38.358285183678646</v>
      </c>
      <c r="N321" s="459">
        <f>N$296*Entrant_age_breakdowns!$K78*$H$31</f>
        <v>40.861477105816121</v>
      </c>
    </row>
    <row r="322" spans="1:14">
      <c r="B322" s="338" t="str">
        <f t="shared" si="145"/>
        <v>35-39</v>
      </c>
      <c r="C322" s="459">
        <f>C$296*Entrant_age_breakdowns!$K79*$H$31</f>
        <v>27.954915900129933</v>
      </c>
      <c r="D322" s="459">
        <f>D$296*Entrant_age_breakdowns!$K79*$H$31</f>
        <v>30.383727397839909</v>
      </c>
      <c r="E322" s="459">
        <f>E$296*Entrant_age_breakdowns!$K79*$H$31</f>
        <v>30.889725717587954</v>
      </c>
      <c r="F322" s="459">
        <f>F$296*Entrant_age_breakdowns!$K79*$H$31</f>
        <v>31.944992251605331</v>
      </c>
      <c r="G322" s="459">
        <f>G$296*Entrant_age_breakdowns!$K79*$H$31</f>
        <v>31.476888653342918</v>
      </c>
      <c r="H322" s="459">
        <f>H$296*Entrant_age_breakdowns!$K79*$H$31</f>
        <v>30.926225645348218</v>
      </c>
      <c r="I322" s="459">
        <f>I$296*Entrant_age_breakdowns!$K79*$H$31</f>
        <v>30.60505467067842</v>
      </c>
      <c r="J322" s="459">
        <f>J$296*Entrant_age_breakdowns!$K79*$H$31</f>
        <v>31.772782573659995</v>
      </c>
      <c r="K322" s="459">
        <f>K$296*Entrant_age_breakdowns!$K79*$H$31</f>
        <v>30.091945408509361</v>
      </c>
      <c r="L322" s="459">
        <f>L$296*Entrant_age_breakdowns!$K79*$H$31</f>
        <v>28.16636683355992</v>
      </c>
      <c r="M322" s="459">
        <f>M$296*Entrant_age_breakdowns!$K79*$H$31</f>
        <v>27.408695115696059</v>
      </c>
      <c r="N322" s="459">
        <f>N$296*Entrant_age_breakdowns!$K79*$H$31</f>
        <v>29.197336705939314</v>
      </c>
    </row>
    <row r="323" spans="1:14">
      <c r="B323" s="338" t="str">
        <f t="shared" si="145"/>
        <v>40-44</v>
      </c>
      <c r="C323" s="459">
        <f>C$296*Entrant_age_breakdowns!$K80*$H$31</f>
        <v>24.287990919168429</v>
      </c>
      <c r="D323" s="459">
        <f>D$296*Entrant_age_breakdowns!$K80*$H$31</f>
        <v>26.3982083782908</v>
      </c>
      <c r="E323" s="459">
        <f>E$296*Entrant_age_breakdowns!$K80*$H$31</f>
        <v>26.837833474608754</v>
      </c>
      <c r="F323" s="459">
        <f>F$296*Entrant_age_breakdowns!$K80*$H$31</f>
        <v>27.754677727944436</v>
      </c>
      <c r="G323" s="459">
        <f>G$296*Entrant_age_breakdowns!$K80*$H$31</f>
        <v>27.347976595862882</v>
      </c>
      <c r="H323" s="459">
        <f>H$296*Entrant_age_breakdowns!$K80*$H$31</f>
        <v>26.869545604137553</v>
      </c>
      <c r="I323" s="459">
        <f>I$296*Entrant_age_breakdowns!$K80*$H$31</f>
        <v>26.590503529958244</v>
      </c>
      <c r="J323" s="459">
        <f>J$296*Entrant_age_breakdowns!$K80*$H$31</f>
        <v>27.605057278036025</v>
      </c>
      <c r="K323" s="459">
        <f>K$296*Entrant_age_breakdowns!$K80*$H$31</f>
        <v>26.144700253546116</v>
      </c>
      <c r="L323" s="459">
        <f>L$296*Entrant_age_breakdowns!$K80*$H$31</f>
        <v>24.471705238658593</v>
      </c>
      <c r="M323" s="459">
        <f>M$296*Entrant_age_breakdowns!$K80*$H$31</f>
        <v>23.813419452039483</v>
      </c>
      <c r="N323" s="459">
        <f>N$296*Entrant_age_breakdowns!$K80*$H$31</f>
        <v>25.367439891831726</v>
      </c>
    </row>
    <row r="324" spans="1:14">
      <c r="B324" s="338" t="str">
        <f t="shared" si="145"/>
        <v>45-49</v>
      </c>
      <c r="C324" s="459">
        <f>C$296*Entrant_age_breakdowns!$K81*$H$31</f>
        <v>19.327090755154963</v>
      </c>
      <c r="D324" s="459">
        <f>D$296*Entrant_age_breakdowns!$K81*$H$31</f>
        <v>21.006289519733837</v>
      </c>
      <c r="E324" s="459">
        <f>E$296*Entrant_age_breakdowns!$K81*$H$31</f>
        <v>21.356119777949026</v>
      </c>
      <c r="F324" s="459">
        <f>F$296*Entrant_age_breakdowns!$K81*$H$31</f>
        <v>22.085695647420227</v>
      </c>
      <c r="G324" s="459">
        <f>G$296*Entrant_age_breakdowns!$K81*$H$31</f>
        <v>21.762064527986592</v>
      </c>
      <c r="H324" s="459">
        <f>H$296*Entrant_age_breakdowns!$K81*$H$31</f>
        <v>21.381354603154705</v>
      </c>
      <c r="I324" s="459">
        <f>I$296*Entrant_age_breakdowns!$K81*$H$31</f>
        <v>21.15930776897568</v>
      </c>
      <c r="J324" s="459">
        <f>J$296*Entrant_age_breakdowns!$K81*$H$31</f>
        <v>21.966635655021893</v>
      </c>
      <c r="K324" s="459">
        <f>K$296*Entrant_age_breakdowns!$K81*$H$31</f>
        <v>20.804561243796329</v>
      </c>
      <c r="L324" s="459">
        <f>L$296*Entrant_age_breakdowns!$K81*$H$31</f>
        <v>19.4732808347554</v>
      </c>
      <c r="M324" s="459">
        <f>M$296*Entrant_age_breakdowns!$K81*$H$31</f>
        <v>18.949452034622936</v>
      </c>
      <c r="N324" s="459">
        <f>N$296*Entrant_age_breakdowns!$K81*$H$31</f>
        <v>20.186058807706285</v>
      </c>
    </row>
    <row r="325" spans="1:14">
      <c r="B325" s="338" t="str">
        <f t="shared" si="145"/>
        <v>50-54</v>
      </c>
      <c r="C325" s="459">
        <f>C$296*Entrant_age_breakdowns!$K82*$H$31</f>
        <v>14.13839626896365</v>
      </c>
      <c r="D325" s="459">
        <f>D$296*Entrant_age_breakdowns!$K82*$H$31</f>
        <v>15.366784847914055</v>
      </c>
      <c r="E325" s="459">
        <f>E$296*Entrant_age_breakdowns!$K82*$H$31</f>
        <v>15.622697073927741</v>
      </c>
      <c r="F325" s="459">
        <f>F$296*Entrant_age_breakdowns!$K82*$H$31</f>
        <v>16.156405580889984</v>
      </c>
      <c r="G325" s="459">
        <f>G$296*Entrant_age_breakdowns!$K82*$H$31</f>
        <v>15.91965887806299</v>
      </c>
      <c r="H325" s="459">
        <f>H$296*Entrant_age_breakdowns!$K82*$H$31</f>
        <v>15.641157170331061</v>
      </c>
      <c r="I325" s="459">
        <f>I$296*Entrant_age_breakdowns!$K82*$H$31</f>
        <v>15.478722680233036</v>
      </c>
      <c r="J325" s="459">
        <f>J$296*Entrant_age_breakdowns!$K82*$H$31</f>
        <v>16.069309319293634</v>
      </c>
      <c r="K325" s="459">
        <f>K$296*Entrant_age_breakdowns!$K82*$H$31</f>
        <v>15.219214044838141</v>
      </c>
      <c r="L325" s="459">
        <f>L$296*Entrant_age_breakdowns!$K82*$H$31</f>
        <v>14.245339072832413</v>
      </c>
      <c r="M325" s="459">
        <f>M$296*Entrant_age_breakdowns!$K82*$H$31</f>
        <v>13.862141247190022</v>
      </c>
      <c r="N325" s="459">
        <f>N$296*Entrant_age_breakdowns!$K82*$H$31</f>
        <v>14.766759371471013</v>
      </c>
    </row>
    <row r="326" spans="1:14">
      <c r="B326" s="338" t="str">
        <f t="shared" si="145"/>
        <v>55-59</v>
      </c>
      <c r="C326" s="459">
        <f>C$296*Entrant_age_breakdowns!$K83*$H$31</f>
        <v>9.6257390667580633</v>
      </c>
      <c r="D326" s="459">
        <f>D$296*Entrant_age_breakdowns!$K83*$H$31</f>
        <v>10.462053717205265</v>
      </c>
      <c r="E326" s="459">
        <f>E$296*Entrant_age_breakdowns!$K83*$H$31</f>
        <v>10.636284532690924</v>
      </c>
      <c r="F326" s="459">
        <f>F$296*Entrant_age_breakdowns!$K83*$H$31</f>
        <v>10.99964532184952</v>
      </c>
      <c r="G326" s="459">
        <f>G$296*Entrant_age_breakdowns!$K83*$H$31</f>
        <v>10.83846282682139</v>
      </c>
      <c r="H326" s="459">
        <f>H$296*Entrant_age_breakdowns!$K83*$H$31</f>
        <v>10.648852582683668</v>
      </c>
      <c r="I326" s="459">
        <f>I$296*Entrant_age_breakdowns!$K83*$H$31</f>
        <v>10.538263518168778</v>
      </c>
      <c r="J326" s="459">
        <f>J$296*Entrant_age_breakdowns!$K83*$H$31</f>
        <v>10.940348222527374</v>
      </c>
      <c r="K326" s="459">
        <f>K$296*Entrant_age_breakdowns!$K83*$H$31</f>
        <v>10.361584186060568</v>
      </c>
      <c r="L326" s="459">
        <f>L$296*Entrant_age_breakdowns!$K83*$H$31</f>
        <v>9.6985481396914572</v>
      </c>
      <c r="M326" s="459">
        <f>M$296*Entrant_age_breakdowns!$K83*$H$31</f>
        <v>9.4376584170940099</v>
      </c>
      <c r="N326" s="459">
        <f>N$296*Entrant_age_breakdowns!$K83*$H$31</f>
        <v>10.053542839466845</v>
      </c>
    </row>
    <row r="327" spans="1:14">
      <c r="B327" s="338" t="str">
        <f t="shared" si="145"/>
        <v>60-64</v>
      </c>
      <c r="C327" s="459">
        <f>C$296*Entrant_age_breakdowns!$K84*$H$31</f>
        <v>4.7121509865953914</v>
      </c>
      <c r="D327" s="459">
        <f>D$296*Entrant_age_breakdowns!$K84*$H$31</f>
        <v>5.121557565963248</v>
      </c>
      <c r="E327" s="459">
        <f>E$296*Entrant_age_breakdowns!$K84*$H$31</f>
        <v>5.2068499163367745</v>
      </c>
      <c r="F327" s="459">
        <f>F$296*Entrant_age_breakdowns!$K84*$H$31</f>
        <v>5.3847282994145775</v>
      </c>
      <c r="G327" s="459">
        <f>G$296*Entrant_age_breakdowns!$K84*$H$31</f>
        <v>5.3058235786756107</v>
      </c>
      <c r="H327" s="459">
        <f>H$296*Entrant_age_breakdowns!$K84*$H$31</f>
        <v>5.2130024360302931</v>
      </c>
      <c r="I327" s="459">
        <f>I$296*Entrant_age_breakdowns!$K84*$H$31</f>
        <v>5.1588650481532277</v>
      </c>
      <c r="J327" s="459">
        <f>J$296*Entrant_age_breakdowns!$K84*$H$31</f>
        <v>5.3557002026486833</v>
      </c>
      <c r="K327" s="459">
        <f>K$296*Entrant_age_breakdowns!$K84*$H$31</f>
        <v>5.0723740594269859</v>
      </c>
      <c r="L327" s="459">
        <f>L$296*Entrant_age_breakdowns!$K84*$H$31</f>
        <v>4.7477936881559417</v>
      </c>
      <c r="M327" s="459">
        <f>M$296*Entrant_age_breakdowns!$K84*$H$31</f>
        <v>4.6200786363345552</v>
      </c>
      <c r="N327" s="459">
        <f>N$296*Entrant_age_breakdowns!$K84*$H$31</f>
        <v>4.921576564793396</v>
      </c>
    </row>
    <row r="328" spans="1:14">
      <c r="B328" s="338" t="str">
        <f t="shared" si="145"/>
        <v>65 plus</v>
      </c>
      <c r="C328" s="459">
        <f>C$296*Entrant_age_breakdowns!$K85*$H$31</f>
        <v>1.1818409144594977</v>
      </c>
      <c r="D328" s="459">
        <f>D$296*Entrant_age_breakdowns!$K85*$H$31</f>
        <v>1.2845229905479454</v>
      </c>
      <c r="E328" s="459">
        <f>E$296*Entrant_age_breakdowns!$K85*$H$31</f>
        <v>1.3059149174298723</v>
      </c>
      <c r="F328" s="459">
        <f>F$296*Entrant_age_breakdowns!$K85*$H$31</f>
        <v>1.3505280784931044</v>
      </c>
      <c r="G328" s="459">
        <f>G$296*Entrant_age_breakdowns!$K85*$H$31</f>
        <v>1.3307382144631554</v>
      </c>
      <c r="H328" s="459">
        <f>H$296*Entrant_age_breakdowns!$K85*$H$31</f>
        <v>1.3074580130398181</v>
      </c>
      <c r="I328" s="459">
        <f>I$296*Entrant_age_breakdowns!$K85*$H$31</f>
        <v>1.2938799718910758</v>
      </c>
      <c r="J328" s="459">
        <f>J$296*Entrant_age_breakdowns!$K85*$H$31</f>
        <v>1.3432476257817174</v>
      </c>
      <c r="K328" s="459">
        <f>K$296*Entrant_age_breakdowns!$K85*$H$31</f>
        <v>1.2721874180023087</v>
      </c>
      <c r="L328" s="459">
        <f>L$296*Entrant_age_breakdowns!$K85*$H$31</f>
        <v>1.1907803570040931</v>
      </c>
      <c r="M328" s="459">
        <f>M$296*Entrant_age_breakdowns!$K85*$H$31</f>
        <v>1.1587485154811443</v>
      </c>
      <c r="N328" s="459">
        <f>N$296*Entrant_age_breakdowns!$K85*$H$31</f>
        <v>1.2343663359820298</v>
      </c>
    </row>
    <row r="329" spans="1:14">
      <c r="B329" s="338" t="str">
        <f t="shared" si="145"/>
        <v>Total</v>
      </c>
      <c r="C329" s="459">
        <f>C$296*Entrant_age_breakdowns!$K86*$H$31</f>
        <v>295.38201332763504</v>
      </c>
      <c r="D329" s="459">
        <f>D$296*Entrant_age_breakdowns!$K86*$H$31</f>
        <v>321.04573675824452</v>
      </c>
      <c r="E329" s="459">
        <f>E$296*Entrant_age_breakdowns!$K86*$H$31</f>
        <v>326.39230274189975</v>
      </c>
      <c r="F329" s="459">
        <f>F$296*Entrant_age_breakdowns!$K86*$H$31</f>
        <v>337.54264046886385</v>
      </c>
      <c r="G329" s="459">
        <f>G$296*Entrant_age_breakdowns!$K86*$H$31</f>
        <v>332.59648417225276</v>
      </c>
      <c r="H329" s="459">
        <f>H$296*Entrant_age_breakdowns!$K86*$H$31</f>
        <v>326.77797452094057</v>
      </c>
      <c r="I329" s="459">
        <f>I$296*Entrant_age_breakdowns!$K86*$H$31</f>
        <v>323.38436284064494</v>
      </c>
      <c r="J329" s="459">
        <f>J$296*Entrant_age_breakdowns!$K86*$H$31</f>
        <v>335.72300911787988</v>
      </c>
      <c r="K329" s="459">
        <f>K$296*Entrant_age_breakdowns!$K86*$H$31</f>
        <v>317.96266000104345</v>
      </c>
      <c r="L329" s="459">
        <f>L$296*Entrant_age_breakdowns!$K86*$H$31</f>
        <v>297.61628234349234</v>
      </c>
      <c r="M329" s="459">
        <f>M$296*Entrant_age_breakdowns!$K86*$H$31</f>
        <v>289.61044185863528</v>
      </c>
      <c r="N329" s="459">
        <f>N$296*Entrant_age_breakdowns!$K86*$H$31</f>
        <v>308.50989252896045</v>
      </c>
    </row>
    <row r="330" spans="1:14">
      <c r="A330" s="309">
        <f>SUM(C330:N330)</f>
        <v>0</v>
      </c>
      <c r="C330" s="309">
        <f>SUM(C319:C328)-C329</f>
        <v>0</v>
      </c>
      <c r="D330" s="309">
        <f t="shared" ref="D330:N330" si="147">SUM(D319:D328)-D329</f>
        <v>0</v>
      </c>
      <c r="E330" s="309">
        <f t="shared" si="147"/>
        <v>0</v>
      </c>
      <c r="F330" s="309">
        <f t="shared" si="147"/>
        <v>0</v>
      </c>
      <c r="G330" s="309">
        <f t="shared" si="147"/>
        <v>0</v>
      </c>
      <c r="H330" s="309">
        <f t="shared" si="147"/>
        <v>0</v>
      </c>
      <c r="I330" s="309">
        <f t="shared" si="147"/>
        <v>0</v>
      </c>
      <c r="J330" s="309">
        <f t="shared" si="147"/>
        <v>0</v>
      </c>
      <c r="K330" s="309">
        <f t="shared" si="147"/>
        <v>0</v>
      </c>
      <c r="L330" s="309">
        <f t="shared" si="147"/>
        <v>0</v>
      </c>
      <c r="M330" s="309">
        <f t="shared" si="147"/>
        <v>0</v>
      </c>
      <c r="N330" s="309">
        <f t="shared" si="147"/>
        <v>0</v>
      </c>
    </row>
    <row r="331" spans="1:14">
      <c r="C331" s="329">
        <f>C296</f>
        <v>518.19712238615239</v>
      </c>
      <c r="D331" s="329">
        <f t="shared" ref="D331:N331" si="148">D296</f>
        <v>563.21972711972126</v>
      </c>
      <c r="E331" s="329">
        <f t="shared" si="148"/>
        <v>572.59936089012535</v>
      </c>
      <c r="F331" s="329">
        <f t="shared" si="148"/>
        <v>592.16071758430417</v>
      </c>
      <c r="G331" s="329">
        <f t="shared" si="148"/>
        <v>583.48353399109374</v>
      </c>
      <c r="H331" s="329">
        <f t="shared" si="148"/>
        <v>573.27595593338151</v>
      </c>
      <c r="I331" s="329">
        <f t="shared" si="148"/>
        <v>567.32244580792019</v>
      </c>
      <c r="J331" s="329">
        <f t="shared" si="148"/>
        <v>588.9684862115779</v>
      </c>
      <c r="K331" s="329">
        <f t="shared" si="148"/>
        <v>557.81099730005849</v>
      </c>
      <c r="L331" s="329">
        <f t="shared" si="148"/>
        <v>522.11676448490664</v>
      </c>
      <c r="M331" s="329">
        <f t="shared" si="148"/>
        <v>508.07188932545034</v>
      </c>
      <c r="N331" s="329">
        <f t="shared" si="148"/>
        <v>541.22773670326114</v>
      </c>
    </row>
    <row r="332" spans="1:14">
      <c r="C332" s="329">
        <f>C313+C329</f>
        <v>518.19712238615239</v>
      </c>
      <c r="D332" s="329">
        <f t="shared" ref="D332:N332" si="149">D313+D329</f>
        <v>563.21972711972137</v>
      </c>
      <c r="E332" s="329">
        <f t="shared" si="149"/>
        <v>572.59936089012547</v>
      </c>
      <c r="F332" s="329">
        <f t="shared" si="149"/>
        <v>592.16071758430417</v>
      </c>
      <c r="G332" s="329">
        <f t="shared" si="149"/>
        <v>583.48353399109385</v>
      </c>
      <c r="H332" s="329">
        <f t="shared" si="149"/>
        <v>573.27595593338162</v>
      </c>
      <c r="I332" s="329">
        <f t="shared" si="149"/>
        <v>567.3224458079203</v>
      </c>
      <c r="J332" s="329">
        <f t="shared" si="149"/>
        <v>588.96848621157801</v>
      </c>
      <c r="K332" s="329">
        <f t="shared" si="149"/>
        <v>557.81099730005849</v>
      </c>
      <c r="L332" s="329">
        <f t="shared" si="149"/>
        <v>522.11676448490675</v>
      </c>
      <c r="M332" s="329">
        <f t="shared" si="149"/>
        <v>508.0718893254504</v>
      </c>
      <c r="N332" s="329">
        <f t="shared" si="149"/>
        <v>541.22773670326114</v>
      </c>
    </row>
    <row r="333" spans="1:14">
      <c r="A333" s="309">
        <f>SUM(C333:L333)</f>
        <v>0</v>
      </c>
      <c r="C333" s="329">
        <f>C331-C332</f>
        <v>0</v>
      </c>
      <c r="D333" s="329">
        <f t="shared" ref="D333:K333" si="150">D331-D332</f>
        <v>0</v>
      </c>
      <c r="E333" s="329">
        <f t="shared" si="150"/>
        <v>0</v>
      </c>
      <c r="F333" s="329">
        <f t="shared" si="150"/>
        <v>0</v>
      </c>
      <c r="G333" s="329">
        <f t="shared" si="150"/>
        <v>0</v>
      </c>
      <c r="H333" s="329">
        <f t="shared" si="150"/>
        <v>0</v>
      </c>
      <c r="I333" s="329">
        <f t="shared" si="150"/>
        <v>0</v>
      </c>
      <c r="J333" s="329">
        <f t="shared" si="150"/>
        <v>0</v>
      </c>
      <c r="K333" s="329">
        <f t="shared" si="150"/>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1">C318</f>
        <v>2016/17</v>
      </c>
      <c r="D339" s="338" t="str">
        <f t="shared" si="151"/>
        <v>2017/18</v>
      </c>
      <c r="E339" s="338" t="str">
        <f t="shared" si="151"/>
        <v>2018/19</v>
      </c>
      <c r="F339" s="338" t="str">
        <f t="shared" si="151"/>
        <v>2019/20</v>
      </c>
      <c r="G339" s="338" t="str">
        <f t="shared" si="151"/>
        <v>2020/21</v>
      </c>
      <c r="H339" s="338" t="str">
        <f t="shared" si="151"/>
        <v>2021/22</v>
      </c>
      <c r="I339" s="338" t="str">
        <f t="shared" si="151"/>
        <v>2022/23</v>
      </c>
      <c r="J339" s="338" t="str">
        <f t="shared" si="151"/>
        <v>2023/24</v>
      </c>
      <c r="K339" s="338" t="str">
        <f t="shared" si="151"/>
        <v>2024/25</v>
      </c>
      <c r="L339" s="338" t="str">
        <f t="shared" si="151"/>
        <v>2025/26</v>
      </c>
      <c r="M339" s="338" t="str">
        <f t="shared" si="151"/>
        <v>2026/27</v>
      </c>
      <c r="N339" s="338" t="str">
        <f t="shared" si="151"/>
        <v>2027/28</v>
      </c>
    </row>
    <row r="340" spans="1:14">
      <c r="B340" s="338" t="str">
        <f t="shared" ref="B340:B350" si="152">B319</f>
        <v>20-24</v>
      </c>
      <c r="C340" s="459">
        <f t="shared" ref="C340:N340" si="153">C303+C247</f>
        <v>123.35664181760012</v>
      </c>
      <c r="D340" s="459">
        <f t="shared" si="153"/>
        <v>150.44222978759234</v>
      </c>
      <c r="E340" s="459">
        <f t="shared" si="153"/>
        <v>170.79454066951868</v>
      </c>
      <c r="F340" s="459">
        <f t="shared" si="153"/>
        <v>187.47581770446922</v>
      </c>
      <c r="G340" s="459">
        <f t="shared" si="153"/>
        <v>198.40655777020027</v>
      </c>
      <c r="H340" s="459">
        <f t="shared" si="153"/>
        <v>205.06745047164077</v>
      </c>
      <c r="I340" s="459">
        <f t="shared" si="153"/>
        <v>209.15600744107405</v>
      </c>
      <c r="J340" s="459">
        <f t="shared" si="153"/>
        <v>214.47277568370401</v>
      </c>
      <c r="K340" s="459">
        <f t="shared" si="153"/>
        <v>214.80653997652522</v>
      </c>
      <c r="L340" s="459">
        <f t="shared" si="153"/>
        <v>211.08413340734964</v>
      </c>
      <c r="M340" s="459">
        <f t="shared" si="153"/>
        <v>206.87179550513562</v>
      </c>
      <c r="N340" s="459">
        <f t="shared" si="153"/>
        <v>207.5471968127884</v>
      </c>
    </row>
    <row r="341" spans="1:14">
      <c r="B341" s="338" t="str">
        <f t="shared" si="152"/>
        <v>25-29</v>
      </c>
      <c r="C341" s="459">
        <f t="shared" ref="C341:N341" si="154">C304+C248</f>
        <v>377.97750510233868</v>
      </c>
      <c r="D341" s="459">
        <f t="shared" si="154"/>
        <v>364.08732867986953</v>
      </c>
      <c r="E341" s="459">
        <f t="shared" si="154"/>
        <v>359.94861974623075</v>
      </c>
      <c r="F341" s="459">
        <f t="shared" si="154"/>
        <v>362.88820072423243</v>
      </c>
      <c r="G341" s="459">
        <f t="shared" si="154"/>
        <v>367.10099237275483</v>
      </c>
      <c r="H341" s="459">
        <f t="shared" si="154"/>
        <v>371.01776659679263</v>
      </c>
      <c r="I341" s="459">
        <f t="shared" si="154"/>
        <v>374.4237808752373</v>
      </c>
      <c r="J341" s="459">
        <f t="shared" si="154"/>
        <v>380.15085987631073</v>
      </c>
      <c r="K341" s="459">
        <f t="shared" si="154"/>
        <v>381.74536268027322</v>
      </c>
      <c r="L341" s="459">
        <f t="shared" si="154"/>
        <v>378.87957581442743</v>
      </c>
      <c r="M341" s="459">
        <f t="shared" si="154"/>
        <v>374.48731477142741</v>
      </c>
      <c r="N341" s="459">
        <f t="shared" si="154"/>
        <v>374.30213122356531</v>
      </c>
    </row>
    <row r="342" spans="1:14">
      <c r="B342" s="338" t="str">
        <f t="shared" si="152"/>
        <v>30-34</v>
      </c>
      <c r="C342" s="459">
        <f t="shared" ref="C342:N342" si="155">C305+C249</f>
        <v>427.80044715647387</v>
      </c>
      <c r="D342" s="459">
        <f t="shared" si="155"/>
        <v>423.78686396290783</v>
      </c>
      <c r="E342" s="459">
        <f t="shared" si="155"/>
        <v>418.70657848633016</v>
      </c>
      <c r="F342" s="459">
        <f t="shared" si="155"/>
        <v>415.23449132796077</v>
      </c>
      <c r="G342" s="459">
        <f t="shared" si="155"/>
        <v>412.68748152715739</v>
      </c>
      <c r="H342" s="459">
        <f t="shared" si="155"/>
        <v>410.98582755504657</v>
      </c>
      <c r="I342" s="459">
        <f t="shared" si="155"/>
        <v>410.10494254761227</v>
      </c>
      <c r="J342" s="459">
        <f t="shared" si="155"/>
        <v>411.31565151001411</v>
      </c>
      <c r="K342" s="459">
        <f t="shared" si="155"/>
        <v>411.52303897479419</v>
      </c>
      <c r="L342" s="459">
        <f t="shared" si="155"/>
        <v>409.9447469419344</v>
      </c>
      <c r="M342" s="459">
        <f t="shared" si="155"/>
        <v>407.42387815917863</v>
      </c>
      <c r="N342" s="459">
        <f t="shared" si="155"/>
        <v>406.59797404222809</v>
      </c>
    </row>
    <row r="343" spans="1:14">
      <c r="B343" s="338" t="str">
        <f t="shared" si="152"/>
        <v>35-39</v>
      </c>
      <c r="C343" s="459">
        <f t="shared" ref="C343:N343" si="156">C306+C250</f>
        <v>391.94626635183221</v>
      </c>
      <c r="D343" s="459">
        <f t="shared" si="156"/>
        <v>396.91921840535463</v>
      </c>
      <c r="E343" s="459">
        <f t="shared" si="156"/>
        <v>400.27670303879938</v>
      </c>
      <c r="F343" s="459">
        <f t="shared" si="156"/>
        <v>402.63755949337485</v>
      </c>
      <c r="G343" s="459">
        <f t="shared" si="156"/>
        <v>403.40356573668259</v>
      </c>
      <c r="H343" s="459">
        <f t="shared" si="156"/>
        <v>403.08508054953683</v>
      </c>
      <c r="I343" s="459">
        <f t="shared" si="156"/>
        <v>402.28514511327802</v>
      </c>
      <c r="J343" s="459">
        <f t="shared" si="156"/>
        <v>402.40123067347025</v>
      </c>
      <c r="K343" s="459">
        <f t="shared" si="156"/>
        <v>401.44725448763774</v>
      </c>
      <c r="L343" s="459">
        <f t="shared" si="156"/>
        <v>399.31845015924097</v>
      </c>
      <c r="M343" s="459">
        <f t="shared" si="156"/>
        <v>396.85525557601915</v>
      </c>
      <c r="N343" s="459">
        <f t="shared" si="156"/>
        <v>395.8854891475641</v>
      </c>
    </row>
    <row r="344" spans="1:14">
      <c r="B344" s="338" t="str">
        <f t="shared" si="152"/>
        <v>40-44</v>
      </c>
      <c r="C344" s="459">
        <f t="shared" ref="C344:N344" si="157">C307+C251</f>
        <v>317.31713358166058</v>
      </c>
      <c r="D344" s="459">
        <f t="shared" si="157"/>
        <v>328.72278357373216</v>
      </c>
      <c r="E344" s="459">
        <f t="shared" si="157"/>
        <v>338.45981476778348</v>
      </c>
      <c r="F344" s="459">
        <f t="shared" si="157"/>
        <v>347.01577546669887</v>
      </c>
      <c r="G344" s="459">
        <f t="shared" si="157"/>
        <v>353.50986513373431</v>
      </c>
      <c r="H344" s="459">
        <f t="shared" si="157"/>
        <v>358.12021604362292</v>
      </c>
      <c r="I344" s="459">
        <f t="shared" si="157"/>
        <v>361.27866836768266</v>
      </c>
      <c r="J344" s="459">
        <f t="shared" si="157"/>
        <v>364.24382141757155</v>
      </c>
      <c r="K344" s="459">
        <f t="shared" si="157"/>
        <v>365.36862852381552</v>
      </c>
      <c r="L344" s="459">
        <f t="shared" si="157"/>
        <v>364.76568159766447</v>
      </c>
      <c r="M344" s="459">
        <f t="shared" si="157"/>
        <v>363.42504898098355</v>
      </c>
      <c r="N344" s="459">
        <f t="shared" si="157"/>
        <v>363.14253577901206</v>
      </c>
    </row>
    <row r="345" spans="1:14">
      <c r="B345" s="338" t="str">
        <f t="shared" si="152"/>
        <v>45-49</v>
      </c>
      <c r="C345" s="459">
        <f t="shared" ref="C345:N345" si="158">C308+C252</f>
        <v>231.87441871986928</v>
      </c>
      <c r="D345" s="459">
        <f t="shared" si="158"/>
        <v>245.15366645682323</v>
      </c>
      <c r="E345" s="459">
        <f t="shared" si="158"/>
        <v>257.30330463017799</v>
      </c>
      <c r="F345" s="459">
        <f t="shared" si="158"/>
        <v>268.59967460536154</v>
      </c>
      <c r="G345" s="459">
        <f t="shared" si="158"/>
        <v>278.25529073364856</v>
      </c>
      <c r="H345" s="459">
        <f t="shared" si="158"/>
        <v>286.2790556113199</v>
      </c>
      <c r="I345" s="459">
        <f t="shared" si="158"/>
        <v>292.87308317997355</v>
      </c>
      <c r="J345" s="459">
        <f t="shared" si="158"/>
        <v>298.92265174636657</v>
      </c>
      <c r="K345" s="459">
        <f t="shared" si="158"/>
        <v>303.04985564312545</v>
      </c>
      <c r="L345" s="459">
        <f t="shared" si="158"/>
        <v>305.29393205787233</v>
      </c>
      <c r="M345" s="459">
        <f t="shared" si="158"/>
        <v>306.44125401743202</v>
      </c>
      <c r="N345" s="459">
        <f t="shared" si="158"/>
        <v>307.9724984749239</v>
      </c>
    </row>
    <row r="346" spans="1:14">
      <c r="B346" s="338" t="str">
        <f t="shared" si="152"/>
        <v>50-54</v>
      </c>
      <c r="C346" s="459">
        <f t="shared" ref="C346:N346" si="159">C309+C253</f>
        <v>196.44734169509823</v>
      </c>
      <c r="D346" s="459">
        <f t="shared" si="159"/>
        <v>192.80252066693933</v>
      </c>
      <c r="E346" s="459">
        <f t="shared" si="159"/>
        <v>192.7640708251835</v>
      </c>
      <c r="F346" s="459">
        <f t="shared" si="159"/>
        <v>195.30270869376039</v>
      </c>
      <c r="G346" s="459">
        <f t="shared" si="159"/>
        <v>198.94379512630104</v>
      </c>
      <c r="H346" s="459">
        <f t="shared" si="159"/>
        <v>203.04645541152129</v>
      </c>
      <c r="I346" s="459">
        <f t="shared" si="159"/>
        <v>207.27485365039013</v>
      </c>
      <c r="J346" s="459">
        <f t="shared" si="159"/>
        <v>211.9062486677191</v>
      </c>
      <c r="K346" s="459">
        <f t="shared" si="159"/>
        <v>215.64098610900325</v>
      </c>
      <c r="L346" s="459">
        <f t="shared" si="159"/>
        <v>218.30139047257924</v>
      </c>
      <c r="M346" s="459">
        <f t="shared" si="159"/>
        <v>220.30683222234975</v>
      </c>
      <c r="N346" s="459">
        <f t="shared" si="159"/>
        <v>222.62191091969487</v>
      </c>
    </row>
    <row r="347" spans="1:14">
      <c r="B347" s="338" t="str">
        <f t="shared" si="152"/>
        <v>55-59</v>
      </c>
      <c r="C347" s="459">
        <f t="shared" ref="C347:N347" si="160">C310+C254</f>
        <v>119.88185708482976</v>
      </c>
      <c r="D347" s="459">
        <f t="shared" si="160"/>
        <v>108.00177848807218</v>
      </c>
      <c r="E347" s="459">
        <f t="shared" si="160"/>
        <v>100.55579391501321</v>
      </c>
      <c r="F347" s="459">
        <f t="shared" si="160"/>
        <v>96.41327601286622</v>
      </c>
      <c r="G347" s="459">
        <f t="shared" si="160"/>
        <v>94.213675784993796</v>
      </c>
      <c r="H347" s="459">
        <f t="shared" si="160"/>
        <v>93.30686365957358</v>
      </c>
      <c r="I347" s="459">
        <f t="shared" si="160"/>
        <v>93.293850302913867</v>
      </c>
      <c r="J347" s="459">
        <f t="shared" si="160"/>
        <v>94.215659162989525</v>
      </c>
      <c r="K347" s="459">
        <f t="shared" si="160"/>
        <v>95.011046527549041</v>
      </c>
      <c r="L347" s="459">
        <f t="shared" si="160"/>
        <v>95.535181987169608</v>
      </c>
      <c r="M347" s="459">
        <f t="shared" si="160"/>
        <v>96.042875680842698</v>
      </c>
      <c r="N347" s="459">
        <f t="shared" si="160"/>
        <v>97.105207185876509</v>
      </c>
    </row>
    <row r="348" spans="1:14">
      <c r="B348" s="338" t="str">
        <f t="shared" si="152"/>
        <v>60-64</v>
      </c>
      <c r="C348" s="459">
        <f t="shared" ref="C348:N348" si="161">C311+C255</f>
        <v>38.587378209562168</v>
      </c>
      <c r="D348" s="459">
        <f t="shared" si="161"/>
        <v>36.88697476220139</v>
      </c>
      <c r="E348" s="459">
        <f t="shared" si="161"/>
        <v>34.701616432967441</v>
      </c>
      <c r="F348" s="459">
        <f t="shared" si="161"/>
        <v>32.886465261405469</v>
      </c>
      <c r="G348" s="459">
        <f t="shared" si="161"/>
        <v>31.453752220814277</v>
      </c>
      <c r="H348" s="459">
        <f t="shared" si="161"/>
        <v>30.428729379886068</v>
      </c>
      <c r="I348" s="459">
        <f t="shared" si="161"/>
        <v>29.784947978098767</v>
      </c>
      <c r="J348" s="459">
        <f t="shared" si="161"/>
        <v>29.621756110371749</v>
      </c>
      <c r="K348" s="459">
        <f t="shared" si="161"/>
        <v>29.440433735895652</v>
      </c>
      <c r="L348" s="459">
        <f t="shared" si="161"/>
        <v>29.204034832463783</v>
      </c>
      <c r="M348" s="459">
        <f t="shared" si="161"/>
        <v>29.056942411593646</v>
      </c>
      <c r="N348" s="459">
        <f t="shared" si="161"/>
        <v>29.274655723165992</v>
      </c>
    </row>
    <row r="349" spans="1:14">
      <c r="B349" s="338" t="str">
        <f t="shared" si="152"/>
        <v>65 plus</v>
      </c>
      <c r="C349" s="459">
        <f t="shared" ref="C349:N349" si="162">C312+C256</f>
        <v>7.6849879752364618</v>
      </c>
      <c r="D349" s="459">
        <f t="shared" si="162"/>
        <v>9.2455861958845027</v>
      </c>
      <c r="E349" s="459">
        <f t="shared" si="162"/>
        <v>9.917577335625456</v>
      </c>
      <c r="F349" s="459">
        <f t="shared" si="162"/>
        <v>10.077466128332397</v>
      </c>
      <c r="G349" s="459">
        <f t="shared" si="162"/>
        <v>9.9533784322727712</v>
      </c>
      <c r="H349" s="459">
        <f t="shared" si="162"/>
        <v>9.7151621192294471</v>
      </c>
      <c r="I349" s="459">
        <f t="shared" si="162"/>
        <v>9.4667516231518043</v>
      </c>
      <c r="J349" s="459">
        <f t="shared" si="162"/>
        <v>9.3013175543257436</v>
      </c>
      <c r="K349" s="459">
        <f t="shared" si="162"/>
        <v>9.1412790363717544</v>
      </c>
      <c r="L349" s="459">
        <f t="shared" si="162"/>
        <v>8.974386418293383</v>
      </c>
      <c r="M349" s="459">
        <f t="shared" si="162"/>
        <v>8.8351366774353686</v>
      </c>
      <c r="N349" s="459">
        <f t="shared" si="162"/>
        <v>8.8015421805091769</v>
      </c>
    </row>
    <row r="350" spans="1:14">
      <c r="B350" s="338" t="str">
        <f t="shared" si="152"/>
        <v>Total</v>
      </c>
      <c r="C350" s="459">
        <f t="shared" ref="C350:N350" si="163">SUM(C340:C349)</f>
        <v>2232.8739776945013</v>
      </c>
      <c r="D350" s="459">
        <f t="shared" si="163"/>
        <v>2256.048950979377</v>
      </c>
      <c r="E350" s="459">
        <f t="shared" si="163"/>
        <v>2283.4286198476298</v>
      </c>
      <c r="F350" s="459">
        <f t="shared" si="163"/>
        <v>2318.5314354184629</v>
      </c>
      <c r="G350" s="459">
        <f t="shared" si="163"/>
        <v>2347.9283548385602</v>
      </c>
      <c r="H350" s="459">
        <f t="shared" si="163"/>
        <v>2371.05260739817</v>
      </c>
      <c r="I350" s="459">
        <f t="shared" si="163"/>
        <v>2389.9420310794126</v>
      </c>
      <c r="J350" s="459">
        <f t="shared" si="163"/>
        <v>2416.5519724028431</v>
      </c>
      <c r="K350" s="459">
        <f t="shared" si="163"/>
        <v>2427.1744256949905</v>
      </c>
      <c r="L350" s="459">
        <f t="shared" si="163"/>
        <v>2421.3015136889953</v>
      </c>
      <c r="M350" s="459">
        <f t="shared" si="163"/>
        <v>2409.7463340023983</v>
      </c>
      <c r="N350" s="459">
        <f t="shared" si="163"/>
        <v>2413.2511414893283</v>
      </c>
    </row>
    <row r="351" spans="1:14">
      <c r="A351" s="309">
        <f>SUM(C351:N351)</f>
        <v>0</v>
      </c>
      <c r="C351" s="309">
        <f>SUM(C340:C349)-C350</f>
        <v>0</v>
      </c>
      <c r="D351" s="309">
        <f t="shared" ref="D351:N351" si="164">SUM(D340:D349)-D350</f>
        <v>0</v>
      </c>
      <c r="E351" s="309">
        <f t="shared" si="164"/>
        <v>0</v>
      </c>
      <c r="F351" s="309">
        <f t="shared" si="164"/>
        <v>0</v>
      </c>
      <c r="G351" s="309">
        <f t="shared" si="164"/>
        <v>0</v>
      </c>
      <c r="H351" s="309">
        <f t="shared" si="164"/>
        <v>0</v>
      </c>
      <c r="I351" s="309">
        <f t="shared" si="164"/>
        <v>0</v>
      </c>
      <c r="J351" s="309">
        <f t="shared" si="164"/>
        <v>0</v>
      </c>
      <c r="K351" s="309">
        <f t="shared" si="164"/>
        <v>0</v>
      </c>
      <c r="L351" s="309">
        <f t="shared" si="164"/>
        <v>0</v>
      </c>
      <c r="M351" s="309">
        <f t="shared" si="164"/>
        <v>0</v>
      </c>
      <c r="N351" s="309">
        <f t="shared" si="164"/>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5">B339</f>
        <v>Age group</v>
      </c>
      <c r="C355" s="338" t="str">
        <f t="shared" ref="C355:N355" si="166">C339</f>
        <v>2016/17</v>
      </c>
      <c r="D355" s="338" t="str">
        <f t="shared" si="166"/>
        <v>2017/18</v>
      </c>
      <c r="E355" s="338" t="str">
        <f t="shared" si="166"/>
        <v>2018/19</v>
      </c>
      <c r="F355" s="338" t="str">
        <f t="shared" si="166"/>
        <v>2019/20</v>
      </c>
      <c r="G355" s="338" t="str">
        <f t="shared" si="166"/>
        <v>2020/21</v>
      </c>
      <c r="H355" s="338" t="str">
        <f t="shared" si="166"/>
        <v>2021/22</v>
      </c>
      <c r="I355" s="338" t="str">
        <f t="shared" si="166"/>
        <v>2022/23</v>
      </c>
      <c r="J355" s="338" t="str">
        <f t="shared" si="166"/>
        <v>2023/24</v>
      </c>
      <c r="K355" s="338" t="str">
        <f t="shared" si="166"/>
        <v>2024/25</v>
      </c>
      <c r="L355" s="338" t="str">
        <f t="shared" si="166"/>
        <v>2025/26</v>
      </c>
      <c r="M355" s="338" t="str">
        <f t="shared" si="166"/>
        <v>2026/27</v>
      </c>
      <c r="N355" s="338" t="str">
        <f t="shared" si="166"/>
        <v>2027/28</v>
      </c>
    </row>
    <row r="356" spans="1:14">
      <c r="B356" s="338" t="str">
        <f t="shared" si="165"/>
        <v>20-24</v>
      </c>
      <c r="C356" s="459">
        <f t="shared" ref="C356:N356" si="167">C319+C263</f>
        <v>178.9678051112644</v>
      </c>
      <c r="D356" s="459">
        <f t="shared" si="167"/>
        <v>210.51749122499291</v>
      </c>
      <c r="E356" s="459">
        <f t="shared" si="167"/>
        <v>234.40447738387388</v>
      </c>
      <c r="F356" s="459">
        <f t="shared" si="167"/>
        <v>254.32255116882914</v>
      </c>
      <c r="G356" s="459">
        <f t="shared" si="167"/>
        <v>267.25567218768441</v>
      </c>
      <c r="H356" s="459">
        <f t="shared" si="167"/>
        <v>274.98066772434407</v>
      </c>
      <c r="I356" s="459">
        <f t="shared" si="167"/>
        <v>279.61594142962861</v>
      </c>
      <c r="J356" s="459">
        <f t="shared" si="167"/>
        <v>286.10659360966707</v>
      </c>
      <c r="K356" s="459">
        <f t="shared" si="167"/>
        <v>286.15408742823439</v>
      </c>
      <c r="L356" s="459">
        <f t="shared" si="167"/>
        <v>280.93777016859889</v>
      </c>
      <c r="M356" s="459">
        <f t="shared" si="167"/>
        <v>275.15064648766145</v>
      </c>
      <c r="N356" s="459">
        <f t="shared" si="167"/>
        <v>275.89898046833918</v>
      </c>
    </row>
    <row r="357" spans="1:14">
      <c r="B357" s="338" t="str">
        <f t="shared" si="165"/>
        <v>25-29</v>
      </c>
      <c r="C357" s="459">
        <f t="shared" ref="C357:N357" si="168">C320+C264</f>
        <v>518.72315086330275</v>
      </c>
      <c r="D357" s="459">
        <f t="shared" si="168"/>
        <v>495.05206249572393</v>
      </c>
      <c r="E357" s="459">
        <f t="shared" si="168"/>
        <v>485.01070694742998</v>
      </c>
      <c r="F357" s="459">
        <f t="shared" si="168"/>
        <v>485.02887765793344</v>
      </c>
      <c r="G357" s="459">
        <f t="shared" si="168"/>
        <v>487.34034783750855</v>
      </c>
      <c r="H357" s="459">
        <f t="shared" si="168"/>
        <v>489.81654229405058</v>
      </c>
      <c r="I357" s="459">
        <f t="shared" si="168"/>
        <v>492.11339279364176</v>
      </c>
      <c r="J357" s="459">
        <f t="shared" si="168"/>
        <v>497.91622120459652</v>
      </c>
      <c r="K357" s="459">
        <f t="shared" si="168"/>
        <v>498.57270960874382</v>
      </c>
      <c r="L357" s="459">
        <f t="shared" si="168"/>
        <v>493.62972637558562</v>
      </c>
      <c r="M357" s="459">
        <f t="shared" si="168"/>
        <v>486.95479849240212</v>
      </c>
      <c r="N357" s="459">
        <f t="shared" si="168"/>
        <v>486.09638492848256</v>
      </c>
    </row>
    <row r="358" spans="1:14">
      <c r="B358" s="338" t="str">
        <f t="shared" si="165"/>
        <v>30-34</v>
      </c>
      <c r="C358" s="459">
        <f t="shared" ref="C358:N358" si="169">C321+C265</f>
        <v>576.82487066124872</v>
      </c>
      <c r="D358" s="459">
        <f t="shared" si="169"/>
        <v>558.56848313732371</v>
      </c>
      <c r="E358" s="459">
        <f t="shared" si="169"/>
        <v>541.61930745126051</v>
      </c>
      <c r="F358" s="459">
        <f t="shared" si="169"/>
        <v>528.88250530316247</v>
      </c>
      <c r="G358" s="459">
        <f t="shared" si="169"/>
        <v>518.92748612416551</v>
      </c>
      <c r="H358" s="459">
        <f t="shared" si="169"/>
        <v>511.30756725608933</v>
      </c>
      <c r="I358" s="459">
        <f t="shared" si="169"/>
        <v>505.7445070781913</v>
      </c>
      <c r="J358" s="459">
        <f t="shared" si="169"/>
        <v>503.73477479592225</v>
      </c>
      <c r="K358" s="459">
        <f t="shared" si="169"/>
        <v>500.9741306420101</v>
      </c>
      <c r="L358" s="459">
        <f t="shared" si="169"/>
        <v>496.38274175946225</v>
      </c>
      <c r="M358" s="459">
        <f t="shared" si="169"/>
        <v>491.06612297033428</v>
      </c>
      <c r="N358" s="459">
        <f t="shared" si="169"/>
        <v>488.46706710819853</v>
      </c>
    </row>
    <row r="359" spans="1:14">
      <c r="B359" s="338" t="str">
        <f t="shared" si="165"/>
        <v>35-39</v>
      </c>
      <c r="C359" s="459">
        <f t="shared" ref="C359:N359" si="170">C322+C266</f>
        <v>591.89454146790411</v>
      </c>
      <c r="D359" s="459">
        <f t="shared" si="170"/>
        <v>572.05510976212179</v>
      </c>
      <c r="E359" s="459">
        <f t="shared" si="170"/>
        <v>554.60338571825753</v>
      </c>
      <c r="F359" s="459">
        <f t="shared" si="170"/>
        <v>539.6984454495198</v>
      </c>
      <c r="G359" s="459">
        <f t="shared" si="170"/>
        <v>525.91916157537059</v>
      </c>
      <c r="H359" s="459">
        <f t="shared" si="170"/>
        <v>513.39740509300668</v>
      </c>
      <c r="I359" s="459">
        <f t="shared" si="170"/>
        <v>502.46009217966201</v>
      </c>
      <c r="J359" s="459">
        <f t="shared" si="170"/>
        <v>494.55600899366999</v>
      </c>
      <c r="K359" s="459">
        <f t="shared" si="170"/>
        <v>486.68910392265252</v>
      </c>
      <c r="L359" s="459">
        <f t="shared" si="170"/>
        <v>478.46667295215468</v>
      </c>
      <c r="M359" s="459">
        <f t="shared" si="170"/>
        <v>470.81373387047694</v>
      </c>
      <c r="N359" s="459">
        <f t="shared" si="170"/>
        <v>465.99275973432992</v>
      </c>
    </row>
    <row r="360" spans="1:14">
      <c r="B360" s="338" t="str">
        <f t="shared" si="165"/>
        <v>40-44</v>
      </c>
      <c r="C360" s="459">
        <f t="shared" ref="C360:N360" si="171">C323+C267</f>
        <v>444.6931654419302</v>
      </c>
      <c r="D360" s="459">
        <f t="shared" si="171"/>
        <v>464.03350036007322</v>
      </c>
      <c r="E360" s="459">
        <f t="shared" si="171"/>
        <v>475.09191537090845</v>
      </c>
      <c r="F360" s="459">
        <f t="shared" si="171"/>
        <v>480.9528194083299</v>
      </c>
      <c r="G360" s="459">
        <f t="shared" si="171"/>
        <v>482.12239431667956</v>
      </c>
      <c r="H360" s="459">
        <f t="shared" si="171"/>
        <v>479.96388275941291</v>
      </c>
      <c r="I360" s="459">
        <f t="shared" si="171"/>
        <v>475.77938913805338</v>
      </c>
      <c r="J360" s="459">
        <f t="shared" si="171"/>
        <v>471.68496661779835</v>
      </c>
      <c r="K360" s="459">
        <f t="shared" si="171"/>
        <v>465.74209052903791</v>
      </c>
      <c r="L360" s="459">
        <f t="shared" si="171"/>
        <v>458.22850999117423</v>
      </c>
      <c r="M360" s="459">
        <f t="shared" si="171"/>
        <v>450.50417207974522</v>
      </c>
      <c r="N360" s="459">
        <f t="shared" si="171"/>
        <v>444.94164418435173</v>
      </c>
    </row>
    <row r="361" spans="1:14">
      <c r="B361" s="338" t="str">
        <f t="shared" si="165"/>
        <v>45-49</v>
      </c>
      <c r="C361" s="459">
        <f t="shared" ref="C361:N361" si="172">C324+C268</f>
        <v>272.93552433346207</v>
      </c>
      <c r="D361" s="459">
        <f t="shared" si="172"/>
        <v>303.40974388498961</v>
      </c>
      <c r="E361" s="459">
        <f t="shared" si="172"/>
        <v>329.71958550037164</v>
      </c>
      <c r="F361" s="459">
        <f t="shared" si="172"/>
        <v>351.82519719674519</v>
      </c>
      <c r="G361" s="459">
        <f t="shared" si="172"/>
        <v>368.83125422402799</v>
      </c>
      <c r="H361" s="459">
        <f t="shared" si="172"/>
        <v>381.16866491659397</v>
      </c>
      <c r="I361" s="459">
        <f t="shared" si="172"/>
        <v>389.62055234624944</v>
      </c>
      <c r="J361" s="459">
        <f t="shared" si="172"/>
        <v>395.87272621663544</v>
      </c>
      <c r="K361" s="459">
        <f t="shared" si="172"/>
        <v>398.55478573861279</v>
      </c>
      <c r="L361" s="459">
        <f t="shared" si="172"/>
        <v>398.10307558657462</v>
      </c>
      <c r="M361" s="459">
        <f t="shared" si="172"/>
        <v>395.86611302054655</v>
      </c>
      <c r="N361" s="459">
        <f t="shared" si="172"/>
        <v>394.03829941310937</v>
      </c>
    </row>
    <row r="362" spans="1:14">
      <c r="B362" s="338" t="str">
        <f t="shared" si="165"/>
        <v>50-54</v>
      </c>
      <c r="C362" s="459">
        <f t="shared" ref="C362:N362" si="173">C325+C269</f>
        <v>208.48013594067135</v>
      </c>
      <c r="D362" s="459">
        <f t="shared" si="173"/>
        <v>211.84942146719172</v>
      </c>
      <c r="E362" s="459">
        <f t="shared" si="173"/>
        <v>219.90732319338341</v>
      </c>
      <c r="F362" s="459">
        <f t="shared" si="173"/>
        <v>230.83296836518704</v>
      </c>
      <c r="G362" s="459">
        <f t="shared" si="173"/>
        <v>242.27810833522858</v>
      </c>
      <c r="H362" s="459">
        <f t="shared" si="173"/>
        <v>253.14512083658397</v>
      </c>
      <c r="I362" s="459">
        <f t="shared" si="173"/>
        <v>262.88894640300271</v>
      </c>
      <c r="J362" s="459">
        <f t="shared" si="173"/>
        <v>271.89853127261887</v>
      </c>
      <c r="K362" s="459">
        <f t="shared" si="173"/>
        <v>278.55560138874341</v>
      </c>
      <c r="L362" s="459">
        <f t="shared" si="173"/>
        <v>282.78472710196309</v>
      </c>
      <c r="M362" s="459">
        <f t="shared" si="173"/>
        <v>285.32426329251075</v>
      </c>
      <c r="N362" s="459">
        <f t="shared" si="173"/>
        <v>287.63500350249416</v>
      </c>
    </row>
    <row r="363" spans="1:14">
      <c r="B363" s="338" t="str">
        <f t="shared" si="165"/>
        <v>55-59</v>
      </c>
      <c r="C363" s="459">
        <f t="shared" ref="C363:N363" si="174">C326+C270</f>
        <v>112.47340689290716</v>
      </c>
      <c r="D363" s="459">
        <f t="shared" si="174"/>
        <v>108.99757625886437</v>
      </c>
      <c r="E363" s="459">
        <f t="shared" si="174"/>
        <v>107.59523021369003</v>
      </c>
      <c r="F363" s="459">
        <f t="shared" si="174"/>
        <v>108.32504843048153</v>
      </c>
      <c r="G363" s="459">
        <f t="shared" si="174"/>
        <v>110.23596587187625</v>
      </c>
      <c r="H363" s="459">
        <f t="shared" si="174"/>
        <v>112.90328272028137</v>
      </c>
      <c r="I363" s="459">
        <f t="shared" si="174"/>
        <v>116.01592141887467</v>
      </c>
      <c r="J363" s="459">
        <f t="shared" si="174"/>
        <v>119.73972850577792</v>
      </c>
      <c r="K363" s="459">
        <f t="shared" si="174"/>
        <v>122.73867881967408</v>
      </c>
      <c r="L363" s="459">
        <f t="shared" si="174"/>
        <v>124.86732514185577</v>
      </c>
      <c r="M363" s="459">
        <f t="shared" si="174"/>
        <v>126.51372318236378</v>
      </c>
      <c r="N363" s="459">
        <f t="shared" si="174"/>
        <v>128.49532012293349</v>
      </c>
    </row>
    <row r="364" spans="1:14">
      <c r="B364" s="338" t="str">
        <f t="shared" si="165"/>
        <v>60-64</v>
      </c>
      <c r="C364" s="459">
        <f t="shared" ref="C364:N364" si="175">C327+C271</f>
        <v>35.513836808473322</v>
      </c>
      <c r="D364" s="459">
        <f t="shared" si="175"/>
        <v>34.311356543301663</v>
      </c>
      <c r="E364" s="459">
        <f t="shared" si="175"/>
        <v>33.446424518535231</v>
      </c>
      <c r="F364" s="459">
        <f t="shared" si="175"/>
        <v>33.066711805981527</v>
      </c>
      <c r="G364" s="459">
        <f t="shared" si="175"/>
        <v>32.897319454345222</v>
      </c>
      <c r="H364" s="459">
        <f t="shared" si="175"/>
        <v>32.945940803452395</v>
      </c>
      <c r="I364" s="459">
        <f t="shared" si="175"/>
        <v>33.219999860516005</v>
      </c>
      <c r="J364" s="459">
        <f t="shared" si="175"/>
        <v>33.899516091485211</v>
      </c>
      <c r="K364" s="459">
        <f t="shared" si="175"/>
        <v>34.354955003227545</v>
      </c>
      <c r="L364" s="459">
        <f t="shared" si="175"/>
        <v>34.583221552569725</v>
      </c>
      <c r="M364" s="459">
        <f t="shared" si="175"/>
        <v>34.804335368029463</v>
      </c>
      <c r="N364" s="459">
        <f t="shared" si="175"/>
        <v>35.396075942707519</v>
      </c>
    </row>
    <row r="365" spans="1:14">
      <c r="B365" s="338" t="str">
        <f t="shared" si="165"/>
        <v>65 plus</v>
      </c>
      <c r="C365" s="459">
        <f t="shared" ref="C365:N365" si="176">C328+C272</f>
        <v>8.7422920242997613</v>
      </c>
      <c r="D365" s="459">
        <f t="shared" si="176"/>
        <v>9.1614135312936593</v>
      </c>
      <c r="E365" s="459">
        <f t="shared" si="176"/>
        <v>9.2716036831840825</v>
      </c>
      <c r="F365" s="459">
        <f t="shared" si="176"/>
        <v>9.2849995922512534</v>
      </c>
      <c r="G365" s="459">
        <f t="shared" si="176"/>
        <v>9.2341165670456125</v>
      </c>
      <c r="H365" s="459">
        <f t="shared" si="176"/>
        <v>9.1686997597492326</v>
      </c>
      <c r="I365" s="459">
        <f t="shared" si="176"/>
        <v>9.1274358632849673</v>
      </c>
      <c r="J365" s="459">
        <f t="shared" si="176"/>
        <v>9.1835384520537104</v>
      </c>
      <c r="K365" s="459">
        <f t="shared" si="176"/>
        <v>9.2079281197428404</v>
      </c>
      <c r="L365" s="459">
        <f t="shared" si="176"/>
        <v>9.18392716948944</v>
      </c>
      <c r="M365" s="459">
        <f t="shared" si="176"/>
        <v>9.162659141624852</v>
      </c>
      <c r="N365" s="459">
        <f t="shared" si="176"/>
        <v>9.2496882123061912</v>
      </c>
    </row>
    <row r="366" spans="1:14">
      <c r="B366" s="338" t="str">
        <f t="shared" si="165"/>
        <v>Total</v>
      </c>
      <c r="C366" s="459">
        <f t="shared" ref="C366:N366" si="177">SUM(C356:C365)</f>
        <v>2949.2487295454634</v>
      </c>
      <c r="D366" s="459">
        <f t="shared" si="177"/>
        <v>2967.9561586658765</v>
      </c>
      <c r="E366" s="459">
        <f t="shared" si="177"/>
        <v>2990.6699599808949</v>
      </c>
      <c r="F366" s="459">
        <f t="shared" si="177"/>
        <v>3022.2201243784211</v>
      </c>
      <c r="G366" s="459">
        <f t="shared" si="177"/>
        <v>3045.0418264939321</v>
      </c>
      <c r="H366" s="459">
        <f t="shared" si="177"/>
        <v>3058.7977741635646</v>
      </c>
      <c r="I366" s="459">
        <f t="shared" si="177"/>
        <v>3066.5861785111051</v>
      </c>
      <c r="J366" s="459">
        <f t="shared" si="177"/>
        <v>3084.5926057602251</v>
      </c>
      <c r="K366" s="459">
        <f t="shared" si="177"/>
        <v>3081.5440712006798</v>
      </c>
      <c r="L366" s="459">
        <f t="shared" si="177"/>
        <v>3057.1676977994284</v>
      </c>
      <c r="M366" s="459">
        <f t="shared" si="177"/>
        <v>3026.1605679056952</v>
      </c>
      <c r="N366" s="459">
        <f t="shared" si="177"/>
        <v>3016.2112236172534</v>
      </c>
    </row>
    <row r="367" spans="1:14">
      <c r="A367" s="309">
        <f>SUM(C367:N367)</f>
        <v>0</v>
      </c>
      <c r="C367" s="309">
        <f>SUM(C356:C365)-C366</f>
        <v>0</v>
      </c>
      <c r="D367" s="309">
        <f t="shared" ref="D367:N367" si="178">SUM(D356:D365)-D366</f>
        <v>0</v>
      </c>
      <c r="E367" s="309">
        <f t="shared" si="178"/>
        <v>0</v>
      </c>
      <c r="F367" s="309">
        <f t="shared" si="178"/>
        <v>0</v>
      </c>
      <c r="G367" s="309">
        <f t="shared" si="178"/>
        <v>0</v>
      </c>
      <c r="H367" s="309">
        <f t="shared" si="178"/>
        <v>0</v>
      </c>
      <c r="I367" s="309">
        <f t="shared" si="178"/>
        <v>0</v>
      </c>
      <c r="J367" s="309">
        <f t="shared" si="178"/>
        <v>0</v>
      </c>
      <c r="K367" s="309">
        <f t="shared" si="178"/>
        <v>0</v>
      </c>
      <c r="L367" s="309">
        <f t="shared" si="178"/>
        <v>0</v>
      </c>
      <c r="M367" s="309">
        <f t="shared" si="178"/>
        <v>0</v>
      </c>
      <c r="N367" s="309">
        <f t="shared" si="178"/>
        <v>0</v>
      </c>
    </row>
    <row r="368" spans="1:14">
      <c r="C368" s="329">
        <f>C350+C366</f>
        <v>5182.1227072399652</v>
      </c>
      <c r="D368" s="329">
        <f t="shared" ref="D368:N368" si="179">D350+D366</f>
        <v>5224.0051096452535</v>
      </c>
      <c r="E368" s="329">
        <f t="shared" si="179"/>
        <v>5274.0985798285246</v>
      </c>
      <c r="F368" s="329">
        <f t="shared" si="179"/>
        <v>5340.7515597968841</v>
      </c>
      <c r="G368" s="329">
        <f t="shared" si="179"/>
        <v>5392.9701813324918</v>
      </c>
      <c r="H368" s="329">
        <f t="shared" si="179"/>
        <v>5429.850381561735</v>
      </c>
      <c r="I368" s="329">
        <f t="shared" si="179"/>
        <v>5456.5282095905177</v>
      </c>
      <c r="J368" s="329">
        <f t="shared" si="179"/>
        <v>5501.1445781630682</v>
      </c>
      <c r="K368" s="329">
        <f t="shared" si="179"/>
        <v>5508.7184968956699</v>
      </c>
      <c r="L368" s="329">
        <f t="shared" si="179"/>
        <v>5478.4692114884238</v>
      </c>
      <c r="M368" s="329">
        <f t="shared" si="179"/>
        <v>5435.9069019080935</v>
      </c>
      <c r="N368" s="329">
        <f t="shared" si="179"/>
        <v>5429.4623651065813</v>
      </c>
    </row>
    <row r="369" spans="1:14">
      <c r="C369" s="329">
        <f t="shared" ref="C369:N369" si="180">C36</f>
        <v>5182.1227072399643</v>
      </c>
      <c r="D369" s="329">
        <f t="shared" si="180"/>
        <v>5224.0051096452526</v>
      </c>
      <c r="E369" s="329">
        <f t="shared" si="180"/>
        <v>5274.0985798285237</v>
      </c>
      <c r="F369" s="329">
        <f t="shared" si="180"/>
        <v>5340.7515597968822</v>
      </c>
      <c r="G369" s="329">
        <f t="shared" si="180"/>
        <v>5392.9701813324909</v>
      </c>
      <c r="H369" s="329">
        <f t="shared" si="180"/>
        <v>5429.8503815617332</v>
      </c>
      <c r="I369" s="329">
        <f t="shared" si="180"/>
        <v>5456.5282095905159</v>
      </c>
      <c r="J369" s="329">
        <f t="shared" si="180"/>
        <v>5501.1445781630673</v>
      </c>
      <c r="K369" s="329">
        <f t="shared" si="180"/>
        <v>5508.718496895669</v>
      </c>
      <c r="L369" s="329">
        <f t="shared" si="180"/>
        <v>5478.4692114884219</v>
      </c>
      <c r="M369" s="329">
        <f t="shared" si="180"/>
        <v>5435.9069019080916</v>
      </c>
      <c r="N369" s="329">
        <f t="shared" si="180"/>
        <v>5429.4623651065795</v>
      </c>
    </row>
    <row r="370" spans="1:14">
      <c r="A370" s="309">
        <f>SUM(C370:L370)</f>
        <v>0</v>
      </c>
      <c r="C370" s="329">
        <f>C368-C369</f>
        <v>0</v>
      </c>
      <c r="D370" s="329">
        <f t="shared" ref="D370:N370" si="181">D368-D369</f>
        <v>0</v>
      </c>
      <c r="E370" s="329">
        <f t="shared" si="181"/>
        <v>0</v>
      </c>
      <c r="F370" s="329">
        <f t="shared" si="181"/>
        <v>0</v>
      </c>
      <c r="G370" s="329">
        <f t="shared" si="181"/>
        <v>0</v>
      </c>
      <c r="H370" s="329">
        <f t="shared" si="181"/>
        <v>0</v>
      </c>
      <c r="I370" s="329">
        <f t="shared" si="181"/>
        <v>0</v>
      </c>
      <c r="J370" s="329">
        <f t="shared" si="181"/>
        <v>0</v>
      </c>
      <c r="K370" s="329">
        <f t="shared" si="181"/>
        <v>0</v>
      </c>
      <c r="L370" s="329">
        <f t="shared" si="181"/>
        <v>0</v>
      </c>
      <c r="M370" s="329">
        <f t="shared" si="181"/>
        <v>0</v>
      </c>
      <c r="N370" s="329">
        <f t="shared" si="181"/>
        <v>0</v>
      </c>
    </row>
    <row r="371" spans="1:14">
      <c r="A371" s="309">
        <f>SUM(C371:L371)</f>
        <v>0</v>
      </c>
      <c r="C371" s="329">
        <f>IF(C294&gt;0,0,C294)</f>
        <v>0</v>
      </c>
      <c r="D371" s="329">
        <f t="shared" ref="D371:N371" si="182">IF(D294&gt;0,0,D294)</f>
        <v>0</v>
      </c>
      <c r="E371" s="329">
        <f t="shared" si="182"/>
        <v>0</v>
      </c>
      <c r="F371" s="329">
        <f t="shared" si="182"/>
        <v>0</v>
      </c>
      <c r="G371" s="329">
        <f t="shared" si="182"/>
        <v>0</v>
      </c>
      <c r="H371" s="329">
        <f t="shared" si="182"/>
        <v>0</v>
      </c>
      <c r="I371" s="329">
        <f t="shared" si="182"/>
        <v>0</v>
      </c>
      <c r="J371" s="329">
        <f t="shared" si="182"/>
        <v>0</v>
      </c>
      <c r="K371" s="329">
        <f t="shared" si="182"/>
        <v>0</v>
      </c>
      <c r="L371" s="329">
        <f t="shared" si="182"/>
        <v>0</v>
      </c>
      <c r="M371" s="329">
        <f t="shared" si="182"/>
        <v>0</v>
      </c>
      <c r="N371" s="329">
        <f t="shared" si="182"/>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sheetPr>
  <dimension ref="A1:Q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1702</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2" t="str">
        <f>Forecast_stock_figures!B31</f>
        <v>Others</v>
      </c>
      <c r="C15" s="307">
        <f>Forecast_stock_figures!C55</f>
        <v>14456.572484646087</v>
      </c>
      <c r="D15" s="307">
        <f>Forecast_stock_figures!D55</f>
        <v>14320.519643904654</v>
      </c>
      <c r="E15" s="307">
        <f>Forecast_stock_figures!E55</f>
        <v>14167.017824214381</v>
      </c>
      <c r="F15" s="307">
        <f>Forecast_stock_figures!F55</f>
        <v>13644.45192629548</v>
      </c>
      <c r="G15" s="307">
        <f>Forecast_stock_figures!G55</f>
        <v>13168.958005566721</v>
      </c>
      <c r="H15" s="307">
        <f>Forecast_stock_figures!H55</f>
        <v>13028.336477663877</v>
      </c>
      <c r="I15" s="307">
        <f>Forecast_stock_figures!I55</f>
        <v>13119.243677203196</v>
      </c>
      <c r="J15" s="307">
        <f>Forecast_stock_figures!J55</f>
        <v>13287.741271802557</v>
      </c>
      <c r="K15" s="307">
        <f>Forecast_stock_figures!K55</f>
        <v>13441.112319312042</v>
      </c>
      <c r="L15" s="307">
        <f>Forecast_stock_figures!L55</f>
        <v>13605.666391187309</v>
      </c>
      <c r="M15" s="307">
        <f>Forecast_stock_figures!M55</f>
        <v>13740.245374084607</v>
      </c>
      <c r="N15" s="307">
        <f>Forecast_stock_figures!N55</f>
        <v>13856.137858966566</v>
      </c>
    </row>
    <row r="17" spans="1:9" ht="15.75">
      <c r="B17" s="340" t="s">
        <v>149</v>
      </c>
    </row>
    <row r="19" spans="1:9">
      <c r="B19" s="1243" t="str">
        <f>Stock_ages_breakdowns!B73</f>
        <v>Age group</v>
      </c>
      <c r="C19" s="1241" t="str">
        <f>Stock_ages_breakdowns!AG73</f>
        <v>Others</v>
      </c>
      <c r="D19" s="1248"/>
      <c r="H19" s="325" t="s">
        <v>120</v>
      </c>
    </row>
    <row r="20" spans="1:9">
      <c r="B20" s="1243"/>
      <c r="C20" s="363" t="str">
        <f>Stock_ages_breakdowns!AG74</f>
        <v>Male</v>
      </c>
      <c r="D20" s="363" t="str">
        <f>Stock_ages_breakdowns!AH74</f>
        <v>Female</v>
      </c>
    </row>
    <row r="21" spans="1:9">
      <c r="B21" s="363" t="str">
        <f>Stock_ages_breakdowns!B75</f>
        <v>20-24</v>
      </c>
      <c r="C21" s="331">
        <f>Stock_ages_breakdowns!AG20</f>
        <v>121.30990631798113</v>
      </c>
      <c r="D21" s="331">
        <f>Stock_ages_breakdowns!AH20</f>
        <v>380.19044506460386</v>
      </c>
    </row>
    <row r="22" spans="1:9">
      <c r="B22" s="363" t="str">
        <f>Stock_ages_breakdowns!B76</f>
        <v>25-29</v>
      </c>
      <c r="C22" s="331">
        <f>Stock_ages_breakdowns!AG21</f>
        <v>595.55313473885315</v>
      </c>
      <c r="D22" s="331">
        <f>Stock_ages_breakdowns!AH21</f>
        <v>1610.7443309171283</v>
      </c>
    </row>
    <row r="23" spans="1:9">
      <c r="B23" s="363" t="str">
        <f>Stock_ages_breakdowns!B77</f>
        <v>30-34</v>
      </c>
      <c r="C23" s="331">
        <f>Stock_ages_breakdowns!AG22</f>
        <v>877.08716020922418</v>
      </c>
      <c r="D23" s="331">
        <f>Stock_ages_breakdowns!AH22</f>
        <v>1906.8287563733245</v>
      </c>
    </row>
    <row r="24" spans="1:9">
      <c r="B24" s="363" t="str">
        <f>Stock_ages_breakdowns!B78</f>
        <v>35-39</v>
      </c>
      <c r="C24" s="331">
        <f>Stock_ages_breakdowns!AG23</f>
        <v>797.68580023658603</v>
      </c>
      <c r="D24" s="331">
        <f>Stock_ages_breakdowns!AH23</f>
        <v>1518.2786251403734</v>
      </c>
    </row>
    <row r="25" spans="1:9">
      <c r="B25" s="363" t="str">
        <f>Stock_ages_breakdowns!B79</f>
        <v>40-44</v>
      </c>
      <c r="C25" s="331">
        <f>Stock_ages_breakdowns!AG24</f>
        <v>748.04492302326366</v>
      </c>
      <c r="D25" s="331">
        <f>Stock_ages_breakdowns!AH24</f>
        <v>1282.4778918562354</v>
      </c>
    </row>
    <row r="26" spans="1:9">
      <c r="B26" s="363" t="str">
        <f>Stock_ages_breakdowns!B80</f>
        <v>45-49</v>
      </c>
      <c r="C26" s="331">
        <f>Stock_ages_breakdowns!AG25</f>
        <v>669.67501194221256</v>
      </c>
      <c r="D26" s="331">
        <f>Stock_ages_breakdowns!AH25</f>
        <v>1016.1428365855965</v>
      </c>
    </row>
    <row r="27" spans="1:9">
      <c r="B27" s="363" t="str">
        <f>Stock_ages_breakdowns!B81</f>
        <v>50-54</v>
      </c>
      <c r="C27" s="331">
        <f>Stock_ages_breakdowns!AG26</f>
        <v>561.38096019740169</v>
      </c>
      <c r="D27" s="331">
        <f>Stock_ages_breakdowns!AH26</f>
        <v>837.82138595045467</v>
      </c>
    </row>
    <row r="28" spans="1:9">
      <c r="B28" s="363" t="str">
        <f>Stock_ages_breakdowns!B82</f>
        <v>55-59</v>
      </c>
      <c r="C28" s="331">
        <f>Stock_ages_breakdowns!AG27</f>
        <v>448.8944374436918</v>
      </c>
      <c r="D28" s="331">
        <f>Stock_ages_breakdowns!AH27</f>
        <v>649.74006485339146</v>
      </c>
    </row>
    <row r="29" spans="1:9">
      <c r="B29" s="363" t="str">
        <f>Stock_ages_breakdowns!B83</f>
        <v>60-64</v>
      </c>
      <c r="C29" s="331">
        <f>Stock_ages_breakdowns!AG28</f>
        <v>167.22706108821851</v>
      </c>
      <c r="D29" s="331">
        <f>Stock_ages_breakdowns!AH28</f>
        <v>218.13679217796911</v>
      </c>
      <c r="F29" s="325"/>
    </row>
    <row r="30" spans="1:9">
      <c r="B30" s="363" t="str">
        <f>Stock_ages_breakdowns!B84</f>
        <v>65 plus</v>
      </c>
      <c r="C30" s="331">
        <f>Stock_ages_breakdowns!AG29</f>
        <v>26.228704772060059</v>
      </c>
      <c r="D30" s="331">
        <f>Stock_ages_breakdowns!AH29</f>
        <v>23.124255757518576</v>
      </c>
      <c r="G30" s="326" t="s">
        <v>49</v>
      </c>
      <c r="H30" s="326" t="s">
        <v>50</v>
      </c>
    </row>
    <row r="31" spans="1:9">
      <c r="A31" s="309">
        <f>I31</f>
        <v>0</v>
      </c>
      <c r="B31" s="363" t="str">
        <f>Stock_ages_breakdowns!B85</f>
        <v>Total</v>
      </c>
      <c r="C31" s="331">
        <f>Stock_ages_breakdowns!AG30</f>
        <v>5013.0870999694935</v>
      </c>
      <c r="D31" s="331">
        <f>Stock_ages_breakdowns!AH30</f>
        <v>9443.4853846765945</v>
      </c>
      <c r="E31" s="327">
        <f>SUM(C31:D31)</f>
        <v>14456.572484646087</v>
      </c>
      <c r="G31" s="366">
        <f>C31/$E$31</f>
        <v>0.34676871750158966</v>
      </c>
      <c r="H31" s="366">
        <f>D31/$E$31</f>
        <v>0.65323128249841034</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2" t="str">
        <f>B15</f>
        <v>Others</v>
      </c>
      <c r="C36" s="307">
        <f>Teacher_need_by_subject!C635</f>
        <v>14320.519643904654</v>
      </c>
      <c r="D36" s="307">
        <f>Teacher_need_by_subject!D635</f>
        <v>14167.017824214381</v>
      </c>
      <c r="E36" s="307">
        <f>Teacher_need_by_subject!E635</f>
        <v>13644.45192629548</v>
      </c>
      <c r="F36" s="307">
        <f>Teacher_need_by_subject!F635</f>
        <v>13168.958005566721</v>
      </c>
      <c r="G36" s="307">
        <f>Teacher_need_by_subject!G635</f>
        <v>13028.336477663877</v>
      </c>
      <c r="H36" s="307">
        <f>Teacher_need_by_subject!H635</f>
        <v>13119.243677203196</v>
      </c>
      <c r="I36" s="307">
        <f>Teacher_need_by_subject!I635</f>
        <v>13287.741271802557</v>
      </c>
      <c r="J36" s="307">
        <f>Teacher_need_by_subject!J635</f>
        <v>13441.112319312042</v>
      </c>
      <c r="K36" s="307">
        <f>Teacher_need_by_subject!K635</f>
        <v>13605.666391187309</v>
      </c>
      <c r="L36" s="307">
        <f>Teacher_need_by_subject!L635</f>
        <v>13740.245374084607</v>
      </c>
      <c r="M36" s="307">
        <f>Teacher_need_by_subject!M635</f>
        <v>13856.137858966566</v>
      </c>
      <c r="N36" s="307">
        <f>Teacher_need_by_subject!N635</f>
        <v>13945.356467368034</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121.30990631798113</v>
      </c>
      <c r="D43" s="307">
        <f>C340</f>
        <v>220.71941518713578</v>
      </c>
      <c r="E43" s="307">
        <f t="shared" ref="E43:L43" si="2">D340</f>
        <v>285.04568982043588</v>
      </c>
      <c r="F43" s="307">
        <f t="shared" si="2"/>
        <v>293.48771018913237</v>
      </c>
      <c r="G43" s="307">
        <f t="shared" si="2"/>
        <v>296.65791880630735</v>
      </c>
      <c r="H43" s="307">
        <f t="shared" si="2"/>
        <v>323.0172041588109</v>
      </c>
      <c r="I43" s="307">
        <f t="shared" si="2"/>
        <v>360.35775837622612</v>
      </c>
      <c r="J43" s="307">
        <f t="shared" si="2"/>
        <v>394.2480118698254</v>
      </c>
      <c r="K43" s="307">
        <f t="shared" si="2"/>
        <v>418.2825857098394</v>
      </c>
      <c r="L43" s="307">
        <f t="shared" si="2"/>
        <v>437.59996651503889</v>
      </c>
      <c r="M43" s="307">
        <f>L340</f>
        <v>450.0367518029318</v>
      </c>
      <c r="N43" s="307">
        <f>M340</f>
        <v>458.32777962337695</v>
      </c>
    </row>
    <row r="44" spans="2:14">
      <c r="B44" s="363" t="str">
        <f t="shared" ref="B44:C53" si="3">B22</f>
        <v>25-29</v>
      </c>
      <c r="C44" s="307">
        <f t="shared" si="3"/>
        <v>595.55313473885315</v>
      </c>
      <c r="D44" s="307">
        <f t="shared" ref="D44:L53" si="4">C341</f>
        <v>597.26858141928915</v>
      </c>
      <c r="E44" s="307">
        <f t="shared" si="4"/>
        <v>609.95668712827808</v>
      </c>
      <c r="F44" s="307">
        <f t="shared" si="4"/>
        <v>592.33836489641681</v>
      </c>
      <c r="G44" s="307">
        <f t="shared" si="4"/>
        <v>578.03269839178677</v>
      </c>
      <c r="H44" s="307">
        <f t="shared" si="4"/>
        <v>593.05166352405752</v>
      </c>
      <c r="I44" s="307">
        <f t="shared" si="4"/>
        <v>628.05786209733833</v>
      </c>
      <c r="J44" s="307">
        <f t="shared" si="4"/>
        <v>668.05344017011498</v>
      </c>
      <c r="K44" s="307">
        <f t="shared" si="4"/>
        <v>703.42509401547636</v>
      </c>
      <c r="L44" s="307">
        <f t="shared" si="4"/>
        <v>735.99288128153069</v>
      </c>
      <c r="M44" s="307">
        <f t="shared" ref="M44:M53" si="5">L341</f>
        <v>762.00603395017174</v>
      </c>
      <c r="N44" s="307">
        <f t="shared" ref="N44:N53" si="6">M341</f>
        <v>782.74343110784957</v>
      </c>
    </row>
    <row r="45" spans="2:14">
      <c r="B45" s="363" t="str">
        <f t="shared" si="3"/>
        <v>30-34</v>
      </c>
      <c r="C45" s="307">
        <f t="shared" si="3"/>
        <v>877.08716020922418</v>
      </c>
      <c r="D45" s="307">
        <f t="shared" si="4"/>
        <v>838.35905709814722</v>
      </c>
      <c r="E45" s="307">
        <f t="shared" si="4"/>
        <v>806.27272082355819</v>
      </c>
      <c r="F45" s="307">
        <f t="shared" si="4"/>
        <v>765.37965874119675</v>
      </c>
      <c r="G45" s="307">
        <f t="shared" si="4"/>
        <v>729.94501544214654</v>
      </c>
      <c r="H45" s="307">
        <f t="shared" si="4"/>
        <v>713.05702107884611</v>
      </c>
      <c r="I45" s="307">
        <f t="shared" si="4"/>
        <v>712.7270603105851</v>
      </c>
      <c r="J45" s="307">
        <f t="shared" si="4"/>
        <v>722.77312029975906</v>
      </c>
      <c r="K45" s="307">
        <f t="shared" si="4"/>
        <v>737.74042374153248</v>
      </c>
      <c r="L45" s="307">
        <f t="shared" si="4"/>
        <v>756.71716177350504</v>
      </c>
      <c r="M45" s="307">
        <f t="shared" si="5"/>
        <v>776.36981729522824</v>
      </c>
      <c r="N45" s="307">
        <f t="shared" si="6"/>
        <v>795.69053087365637</v>
      </c>
    </row>
    <row r="46" spans="2:14">
      <c r="B46" s="363" t="str">
        <f t="shared" si="3"/>
        <v>35-39</v>
      </c>
      <c r="C46" s="307">
        <f t="shared" si="3"/>
        <v>797.68580023658603</v>
      </c>
      <c r="D46" s="307">
        <f t="shared" si="4"/>
        <v>811.59640793857409</v>
      </c>
      <c r="E46" s="307">
        <f t="shared" si="4"/>
        <v>812.36364571344507</v>
      </c>
      <c r="F46" s="307">
        <f t="shared" si="4"/>
        <v>793.2005210561174</v>
      </c>
      <c r="G46" s="307">
        <f t="shared" si="4"/>
        <v>770.12603895041116</v>
      </c>
      <c r="H46" s="307">
        <f t="shared" si="4"/>
        <v>755.02582680143837</v>
      </c>
      <c r="I46" s="307">
        <f t="shared" si="4"/>
        <v>747.34311810033989</v>
      </c>
      <c r="J46" s="307">
        <f t="shared" si="4"/>
        <v>744.18716980499335</v>
      </c>
      <c r="K46" s="307">
        <f t="shared" si="4"/>
        <v>743.65687837859457</v>
      </c>
      <c r="L46" s="307">
        <f t="shared" si="4"/>
        <v>746.86436387502658</v>
      </c>
      <c r="M46" s="307">
        <f t="shared" si="5"/>
        <v>752.33529479707806</v>
      </c>
      <c r="N46" s="307">
        <f t="shared" si="6"/>
        <v>759.90844479793475</v>
      </c>
    </row>
    <row r="47" spans="2:14">
      <c r="B47" s="363" t="str">
        <f t="shared" si="3"/>
        <v>40-44</v>
      </c>
      <c r="C47" s="307">
        <f t="shared" si="3"/>
        <v>748.04492302326366</v>
      </c>
      <c r="D47" s="307">
        <f t="shared" si="4"/>
        <v>747.285258060361</v>
      </c>
      <c r="E47" s="307">
        <f t="shared" si="4"/>
        <v>747.21872416078804</v>
      </c>
      <c r="F47" s="307">
        <f t="shared" si="4"/>
        <v>735.3873345736564</v>
      </c>
      <c r="G47" s="307">
        <f t="shared" si="4"/>
        <v>722.11969937802417</v>
      </c>
      <c r="H47" s="307">
        <f t="shared" si="4"/>
        <v>715.64402257671281</v>
      </c>
      <c r="I47" s="307">
        <f t="shared" si="4"/>
        <v>713.93182577630444</v>
      </c>
      <c r="J47" s="307">
        <f t="shared" si="4"/>
        <v>713.54616505382478</v>
      </c>
      <c r="K47" s="307">
        <f t="shared" si="4"/>
        <v>712.63172596760307</v>
      </c>
      <c r="L47" s="307">
        <f t="shared" si="4"/>
        <v>712.54820641129675</v>
      </c>
      <c r="M47" s="307">
        <f t="shared" si="5"/>
        <v>712.65656588216211</v>
      </c>
      <c r="N47" s="307">
        <f t="shared" si="6"/>
        <v>713.57054061509587</v>
      </c>
    </row>
    <row r="48" spans="2:14">
      <c r="B48" s="363" t="str">
        <f t="shared" si="3"/>
        <v>45-49</v>
      </c>
      <c r="C48" s="307">
        <f t="shared" si="3"/>
        <v>669.67501194221256</v>
      </c>
      <c r="D48" s="307">
        <f t="shared" si="4"/>
        <v>665.27826910360136</v>
      </c>
      <c r="E48" s="307">
        <f t="shared" si="4"/>
        <v>660.23745299015343</v>
      </c>
      <c r="F48" s="307">
        <f t="shared" si="4"/>
        <v>647.02199512978768</v>
      </c>
      <c r="G48" s="307">
        <f t="shared" si="4"/>
        <v>634.3824517762979</v>
      </c>
      <c r="H48" s="307">
        <f t="shared" si="4"/>
        <v>628.73578375827958</v>
      </c>
      <c r="I48" s="307">
        <f t="shared" si="4"/>
        <v>628.08505581101417</v>
      </c>
      <c r="J48" s="307">
        <f t="shared" si="4"/>
        <v>629.13284400901296</v>
      </c>
      <c r="K48" s="307">
        <f t="shared" si="4"/>
        <v>629.80123082330908</v>
      </c>
      <c r="L48" s="307">
        <f t="shared" si="4"/>
        <v>630.678331775061</v>
      </c>
      <c r="M48" s="307">
        <f t="shared" si="5"/>
        <v>630.97041080799477</v>
      </c>
      <c r="N48" s="307">
        <f t="shared" si="6"/>
        <v>631.05947927656598</v>
      </c>
    </row>
    <row r="49" spans="1:14">
      <c r="B49" s="363" t="str">
        <f t="shared" si="3"/>
        <v>50-54</v>
      </c>
      <c r="C49" s="307">
        <f t="shared" si="3"/>
        <v>561.38096019740169</v>
      </c>
      <c r="D49" s="307">
        <f t="shared" si="4"/>
        <v>543.99485687205356</v>
      </c>
      <c r="E49" s="307">
        <f t="shared" si="4"/>
        <v>529.61327885074138</v>
      </c>
      <c r="F49" s="307">
        <f t="shared" si="4"/>
        <v>511.53077473675012</v>
      </c>
      <c r="G49" s="307">
        <f t="shared" si="4"/>
        <v>495.76963150860922</v>
      </c>
      <c r="H49" s="307">
        <f t="shared" si="4"/>
        <v>486.76308392832709</v>
      </c>
      <c r="I49" s="307">
        <f t="shared" si="4"/>
        <v>482.78287898240194</v>
      </c>
      <c r="J49" s="307">
        <f t="shared" si="4"/>
        <v>481.18003438555627</v>
      </c>
      <c r="K49" s="307">
        <f t="shared" si="4"/>
        <v>480.20109723698226</v>
      </c>
      <c r="L49" s="307">
        <f t="shared" si="4"/>
        <v>480.02743130505752</v>
      </c>
      <c r="M49" s="307">
        <f t="shared" si="5"/>
        <v>479.81205866535504</v>
      </c>
      <c r="N49" s="307">
        <f t="shared" si="6"/>
        <v>479.60378282595263</v>
      </c>
    </row>
    <row r="50" spans="1:14">
      <c r="B50" s="363" t="str">
        <f t="shared" si="3"/>
        <v>55-59</v>
      </c>
      <c r="C50" s="307">
        <f t="shared" si="3"/>
        <v>448.8944374436918</v>
      </c>
      <c r="D50" s="307">
        <f t="shared" si="4"/>
        <v>366.01018759961636</v>
      </c>
      <c r="E50" s="307">
        <f t="shared" si="4"/>
        <v>313.50832620738373</v>
      </c>
      <c r="F50" s="307">
        <f t="shared" si="4"/>
        <v>275.55105013315978</v>
      </c>
      <c r="G50" s="307">
        <f t="shared" si="4"/>
        <v>250.02784971572956</v>
      </c>
      <c r="H50" s="307">
        <f t="shared" si="4"/>
        <v>235.61742004587677</v>
      </c>
      <c r="I50" s="307">
        <f t="shared" si="4"/>
        <v>228.08923253902515</v>
      </c>
      <c r="J50" s="307">
        <f t="shared" si="4"/>
        <v>223.95789616576425</v>
      </c>
      <c r="K50" s="307">
        <f t="shared" si="4"/>
        <v>221.25691380984011</v>
      </c>
      <c r="L50" s="307">
        <f t="shared" si="4"/>
        <v>219.78735007792889</v>
      </c>
      <c r="M50" s="307">
        <f t="shared" si="5"/>
        <v>218.72233010068749</v>
      </c>
      <c r="N50" s="307">
        <f t="shared" si="6"/>
        <v>217.98675971855891</v>
      </c>
    </row>
    <row r="51" spans="1:14">
      <c r="B51" s="363" t="str">
        <f t="shared" si="3"/>
        <v>60-64</v>
      </c>
      <c r="C51" s="307">
        <f t="shared" si="3"/>
        <v>167.22706108821851</v>
      </c>
      <c r="D51" s="307">
        <f t="shared" si="4"/>
        <v>142.90689972068861</v>
      </c>
      <c r="E51" s="307">
        <f t="shared" si="4"/>
        <v>120.80597446849161</v>
      </c>
      <c r="F51" s="307">
        <f t="shared" si="4"/>
        <v>101.52427029601003</v>
      </c>
      <c r="G51" s="307">
        <f t="shared" si="4"/>
        <v>87.4894304922705</v>
      </c>
      <c r="H51" s="307">
        <f t="shared" si="4"/>
        <v>79.145276472498054</v>
      </c>
      <c r="I51" s="307">
        <f t="shared" si="4"/>
        <v>74.537247461611614</v>
      </c>
      <c r="J51" s="307">
        <f t="shared" si="4"/>
        <v>71.860306100085495</v>
      </c>
      <c r="K51" s="307">
        <f t="shared" si="4"/>
        <v>70.06538949668564</v>
      </c>
      <c r="L51" s="307">
        <f t="shared" si="4"/>
        <v>69.010377335733153</v>
      </c>
      <c r="M51" s="307">
        <f t="shared" si="5"/>
        <v>68.24261165741656</v>
      </c>
      <c r="N51" s="307">
        <f t="shared" si="6"/>
        <v>67.70891123959349</v>
      </c>
    </row>
    <row r="52" spans="1:14">
      <c r="B52" s="363" t="str">
        <f t="shared" si="3"/>
        <v>65 plus</v>
      </c>
      <c r="C52" s="307">
        <f t="shared" si="3"/>
        <v>26.228704772060059</v>
      </c>
      <c r="D52" s="307">
        <f t="shared" si="4"/>
        <v>34.147615082604069</v>
      </c>
      <c r="E52" s="307">
        <f t="shared" si="4"/>
        <v>35.687597819403294</v>
      </c>
      <c r="F52" s="307">
        <f t="shared" si="4"/>
        <v>33.559656743110395</v>
      </c>
      <c r="G52" s="307">
        <f t="shared" si="4"/>
        <v>30.299783775881227</v>
      </c>
      <c r="H52" s="307">
        <f t="shared" si="4"/>
        <v>27.413386681428172</v>
      </c>
      <c r="I52" s="307">
        <f t="shared" si="4"/>
        <v>25.253177001349258</v>
      </c>
      <c r="J52" s="307">
        <f t="shared" si="4"/>
        <v>23.709818123661183</v>
      </c>
      <c r="K52" s="307">
        <f t="shared" si="4"/>
        <v>22.590792160844455</v>
      </c>
      <c r="L52" s="307">
        <f t="shared" si="4"/>
        <v>21.830391353497667</v>
      </c>
      <c r="M52" s="307">
        <f t="shared" si="5"/>
        <v>21.287681557194048</v>
      </c>
      <c r="N52" s="307">
        <f t="shared" si="6"/>
        <v>20.904604787458972</v>
      </c>
    </row>
    <row r="53" spans="1:14">
      <c r="B53" s="363" t="str">
        <f t="shared" si="3"/>
        <v>Total</v>
      </c>
      <c r="C53" s="307">
        <f t="shared" si="3"/>
        <v>5013.0870999694935</v>
      </c>
      <c r="D53" s="307">
        <f t="shared" si="4"/>
        <v>4967.5665480820708</v>
      </c>
      <c r="E53" s="307">
        <f t="shared" si="4"/>
        <v>4920.7100979826782</v>
      </c>
      <c r="F53" s="307">
        <f t="shared" si="4"/>
        <v>4748.9813364953379</v>
      </c>
      <c r="G53" s="307">
        <f t="shared" si="4"/>
        <v>4594.8505182374647</v>
      </c>
      <c r="H53" s="307">
        <f t="shared" si="4"/>
        <v>4557.4706890262751</v>
      </c>
      <c r="I53" s="307">
        <f t="shared" si="4"/>
        <v>4601.1652164561956</v>
      </c>
      <c r="J53" s="307">
        <f t="shared" si="4"/>
        <v>4672.6488059825988</v>
      </c>
      <c r="K53" s="307">
        <f t="shared" si="4"/>
        <v>4739.6521313407065</v>
      </c>
      <c r="L53" s="307">
        <f t="shared" si="4"/>
        <v>4811.0564617036753</v>
      </c>
      <c r="M53" s="307">
        <f t="shared" si="5"/>
        <v>4872.4395565162213</v>
      </c>
      <c r="N53" s="307">
        <f t="shared" si="6"/>
        <v>4927.5042648660428</v>
      </c>
    </row>
    <row r="54" spans="1:14">
      <c r="A54" s="309">
        <f>SUM(C54:N54)</f>
        <v>0</v>
      </c>
      <c r="C54" s="309">
        <f>SUM(C43:C52)-C53</f>
        <v>0</v>
      </c>
      <c r="D54" s="309">
        <f t="shared" ref="D54:N54" si="7">SUM(D43:D52)-D53</f>
        <v>0</v>
      </c>
      <c r="E54" s="309">
        <f t="shared" si="7"/>
        <v>0</v>
      </c>
      <c r="F54" s="309">
        <f t="shared" si="7"/>
        <v>0</v>
      </c>
      <c r="G54" s="309">
        <f t="shared" si="7"/>
        <v>0</v>
      </c>
      <c r="H54" s="309">
        <f t="shared" si="7"/>
        <v>0</v>
      </c>
      <c r="I54" s="309">
        <f t="shared" si="7"/>
        <v>0</v>
      </c>
      <c r="J54" s="309">
        <f t="shared" si="7"/>
        <v>0</v>
      </c>
      <c r="K54" s="309">
        <f t="shared" si="7"/>
        <v>0</v>
      </c>
      <c r="L54" s="309">
        <f t="shared" si="7"/>
        <v>0</v>
      </c>
      <c r="M54" s="309">
        <f t="shared" si="7"/>
        <v>0</v>
      </c>
      <c r="N54" s="309">
        <f t="shared" si="7"/>
        <v>0</v>
      </c>
    </row>
    <row r="56" spans="1:14">
      <c r="B56" s="341" t="s">
        <v>50</v>
      </c>
      <c r="H56" s="325"/>
    </row>
    <row r="57" spans="1:14">
      <c r="H57" s="325"/>
    </row>
    <row r="58" spans="1:14">
      <c r="B58" s="338" t="str">
        <f t="shared" ref="B58:B69" si="8">B42</f>
        <v>Age group</v>
      </c>
      <c r="C58" s="338" t="str">
        <f t="shared" ref="C58:N58" si="9">C42</f>
        <v>2016/17</v>
      </c>
      <c r="D58" s="338" t="str">
        <f t="shared" si="9"/>
        <v>2017/18</v>
      </c>
      <c r="E58" s="338" t="str">
        <f t="shared" si="9"/>
        <v>2018/19</v>
      </c>
      <c r="F58" s="338" t="str">
        <f t="shared" si="9"/>
        <v>2019/20</v>
      </c>
      <c r="G58" s="338" t="str">
        <f t="shared" si="9"/>
        <v>2020/21</v>
      </c>
      <c r="H58" s="338" t="str">
        <f t="shared" si="9"/>
        <v>2021/22</v>
      </c>
      <c r="I58" s="338" t="str">
        <f t="shared" si="9"/>
        <v>2022/23</v>
      </c>
      <c r="J58" s="338" t="str">
        <f t="shared" si="9"/>
        <v>2023/24</v>
      </c>
      <c r="K58" s="338" t="str">
        <f t="shared" si="9"/>
        <v>2024/25</v>
      </c>
      <c r="L58" s="338" t="str">
        <f t="shared" si="9"/>
        <v>2025/26</v>
      </c>
      <c r="M58" s="338" t="str">
        <f t="shared" si="9"/>
        <v>2026/27</v>
      </c>
      <c r="N58" s="338" t="str">
        <f t="shared" si="9"/>
        <v>2027/28</v>
      </c>
    </row>
    <row r="59" spans="1:14">
      <c r="B59" s="338" t="str">
        <f t="shared" si="8"/>
        <v>20-24</v>
      </c>
      <c r="C59" s="307">
        <f t="shared" ref="C59:C69" si="10">D21</f>
        <v>380.19044506460386</v>
      </c>
      <c r="D59" s="307">
        <f>C356</f>
        <v>524.07840327133636</v>
      </c>
      <c r="E59" s="307">
        <f t="shared" ref="E59:L59" si="11">D356</f>
        <v>614.38626129354918</v>
      </c>
      <c r="F59" s="307">
        <f t="shared" si="11"/>
        <v>608.31770496644867</v>
      </c>
      <c r="G59" s="307">
        <f t="shared" si="11"/>
        <v>598.62191469919003</v>
      </c>
      <c r="H59" s="307">
        <f t="shared" si="11"/>
        <v>637.10183752948535</v>
      </c>
      <c r="I59" s="307">
        <f t="shared" si="11"/>
        <v>699.49098669967179</v>
      </c>
      <c r="J59" s="307">
        <f t="shared" si="11"/>
        <v>757.68836190581237</v>
      </c>
      <c r="K59" s="307">
        <f t="shared" si="11"/>
        <v>798.96364080434228</v>
      </c>
      <c r="L59" s="307">
        <f t="shared" si="11"/>
        <v>832.51784315071791</v>
      </c>
      <c r="M59" s="307">
        <f>L356</f>
        <v>853.93808927803502</v>
      </c>
      <c r="N59" s="307">
        <f>M356</f>
        <v>868.13371336707212</v>
      </c>
    </row>
    <row r="60" spans="1:14">
      <c r="B60" s="338" t="str">
        <f t="shared" si="8"/>
        <v>25-29</v>
      </c>
      <c r="C60" s="307">
        <f t="shared" si="10"/>
        <v>1610.7443309171283</v>
      </c>
      <c r="D60" s="307">
        <f t="shared" ref="D60:K69" si="12">C357</f>
        <v>1500.8137764878577</v>
      </c>
      <c r="E60" s="307">
        <f t="shared" si="12"/>
        <v>1434.3177873842669</v>
      </c>
      <c r="F60" s="307">
        <f t="shared" si="12"/>
        <v>1329.518861089394</v>
      </c>
      <c r="G60" s="307">
        <f t="shared" si="12"/>
        <v>1246.7244221538517</v>
      </c>
      <c r="H60" s="307">
        <f t="shared" si="12"/>
        <v>1231.7470383384775</v>
      </c>
      <c r="I60" s="307">
        <f t="shared" si="12"/>
        <v>1263.9794691052505</v>
      </c>
      <c r="J60" s="307">
        <f t="shared" si="12"/>
        <v>1312.8853654012398</v>
      </c>
      <c r="K60" s="307">
        <f t="shared" si="12"/>
        <v>1358.7391392867692</v>
      </c>
      <c r="L60" s="307">
        <f t="shared" ref="L60:L69" si="13">K357</f>
        <v>1403.8004786632969</v>
      </c>
      <c r="M60" s="307">
        <f t="shared" ref="M60:M69" si="14">L357</f>
        <v>1440.0326754266798</v>
      </c>
      <c r="N60" s="307">
        <f t="shared" ref="N60:N69" si="15">M357</f>
        <v>1469.1262082089438</v>
      </c>
    </row>
    <row r="61" spans="1:14">
      <c r="B61" s="338" t="str">
        <f t="shared" si="8"/>
        <v>30-34</v>
      </c>
      <c r="C61" s="307">
        <f t="shared" si="10"/>
        <v>1906.8287563733245</v>
      </c>
      <c r="D61" s="307">
        <f t="shared" si="12"/>
        <v>1816.7033383487474</v>
      </c>
      <c r="E61" s="307">
        <f t="shared" si="12"/>
        <v>1724.465547224675</v>
      </c>
      <c r="F61" s="307">
        <f t="shared" si="12"/>
        <v>1608.7674635705155</v>
      </c>
      <c r="G61" s="307">
        <f t="shared" si="12"/>
        <v>1502.3677618154136</v>
      </c>
      <c r="H61" s="307">
        <f t="shared" si="12"/>
        <v>1432.833864893121</v>
      </c>
      <c r="I61" s="307">
        <f t="shared" si="12"/>
        <v>1397.2428467337807</v>
      </c>
      <c r="J61" s="307">
        <f t="shared" si="12"/>
        <v>1384.1587221841892</v>
      </c>
      <c r="K61" s="307">
        <f t="shared" si="12"/>
        <v>1383.4078706035937</v>
      </c>
      <c r="L61" s="307">
        <f t="shared" si="13"/>
        <v>1393.3414821460324</v>
      </c>
      <c r="M61" s="307">
        <f t="shared" si="14"/>
        <v>1407.5336490729017</v>
      </c>
      <c r="N61" s="307">
        <f t="shared" si="15"/>
        <v>1423.9589566659863</v>
      </c>
    </row>
    <row r="62" spans="1:14">
      <c r="B62" s="338" t="str">
        <f t="shared" si="8"/>
        <v>35-39</v>
      </c>
      <c r="C62" s="307">
        <f t="shared" si="10"/>
        <v>1518.2786251403734</v>
      </c>
      <c r="D62" s="307">
        <f t="shared" si="12"/>
        <v>1560.7789215489374</v>
      </c>
      <c r="E62" s="307">
        <f t="shared" si="12"/>
        <v>1570.9471866742917</v>
      </c>
      <c r="F62" s="307">
        <f t="shared" si="12"/>
        <v>1535.6065533925009</v>
      </c>
      <c r="G62" s="307">
        <f t="shared" si="12"/>
        <v>1486.347783024617</v>
      </c>
      <c r="H62" s="307">
        <f t="shared" si="12"/>
        <v>1447.1758420442459</v>
      </c>
      <c r="I62" s="307">
        <f t="shared" si="12"/>
        <v>1418.3725394611727</v>
      </c>
      <c r="J62" s="307">
        <f t="shared" si="12"/>
        <v>1395.6503626084414</v>
      </c>
      <c r="K62" s="307">
        <f t="shared" si="12"/>
        <v>1376.4339562389732</v>
      </c>
      <c r="L62" s="307">
        <f t="shared" si="13"/>
        <v>1363.6620365836809</v>
      </c>
      <c r="M62" s="307">
        <f t="shared" si="14"/>
        <v>1355.1678837066866</v>
      </c>
      <c r="N62" s="307">
        <f t="shared" si="15"/>
        <v>1351.130107317616</v>
      </c>
    </row>
    <row r="63" spans="1:14">
      <c r="B63" s="338" t="str">
        <f t="shared" si="8"/>
        <v>40-44</v>
      </c>
      <c r="C63" s="307">
        <f t="shared" si="10"/>
        <v>1282.4778918562354</v>
      </c>
      <c r="D63" s="307">
        <f t="shared" si="12"/>
        <v>1307.8567918872134</v>
      </c>
      <c r="E63" s="307">
        <f t="shared" si="12"/>
        <v>1330.5102589712726</v>
      </c>
      <c r="F63" s="307">
        <f t="shared" si="12"/>
        <v>1326.6520199121624</v>
      </c>
      <c r="G63" s="307">
        <f t="shared" si="12"/>
        <v>1315.5689375242127</v>
      </c>
      <c r="H63" s="307">
        <f t="shared" si="12"/>
        <v>1312.7574888855709</v>
      </c>
      <c r="I63" s="307">
        <f t="shared" si="12"/>
        <v>1314.583218943156</v>
      </c>
      <c r="J63" s="307">
        <f t="shared" si="12"/>
        <v>1314.9763137846962</v>
      </c>
      <c r="K63" s="307">
        <f t="shared" si="12"/>
        <v>1310.9947379277078</v>
      </c>
      <c r="L63" s="307">
        <f t="shared" si="13"/>
        <v>1305.8164864953003</v>
      </c>
      <c r="M63" s="307">
        <f t="shared" si="14"/>
        <v>1298.8329378945164</v>
      </c>
      <c r="N63" s="307">
        <f t="shared" si="15"/>
        <v>1291.7622272841365</v>
      </c>
    </row>
    <row r="64" spans="1:14">
      <c r="B64" s="338" t="str">
        <f t="shared" si="8"/>
        <v>45-49</v>
      </c>
      <c r="C64" s="307">
        <f t="shared" si="10"/>
        <v>1016.1428365855965</v>
      </c>
      <c r="D64" s="307">
        <f t="shared" si="12"/>
        <v>1046.9260996455421</v>
      </c>
      <c r="E64" s="307">
        <f t="shared" si="12"/>
        <v>1071.0939791800836</v>
      </c>
      <c r="F64" s="307">
        <f t="shared" si="12"/>
        <v>1075.1515271813957</v>
      </c>
      <c r="G64" s="307">
        <f t="shared" si="12"/>
        <v>1076.0647702502752</v>
      </c>
      <c r="H64" s="307">
        <f t="shared" si="12"/>
        <v>1086.2102519736718</v>
      </c>
      <c r="I64" s="307">
        <f t="shared" si="12"/>
        <v>1102.0117256827468</v>
      </c>
      <c r="J64" s="307">
        <f t="shared" si="12"/>
        <v>1117.4359925672279</v>
      </c>
      <c r="K64" s="307">
        <f t="shared" si="12"/>
        <v>1128.7869754431363</v>
      </c>
      <c r="L64" s="307">
        <f t="shared" si="13"/>
        <v>1137.4424096161317</v>
      </c>
      <c r="M64" s="307">
        <f t="shared" si="14"/>
        <v>1142.2159904793364</v>
      </c>
      <c r="N64" s="307">
        <f t="shared" si="15"/>
        <v>1144.1667687696329</v>
      </c>
    </row>
    <row r="65" spans="1:14">
      <c r="B65" s="338" t="str">
        <f t="shared" si="8"/>
        <v>50-54</v>
      </c>
      <c r="C65" s="307">
        <f t="shared" si="10"/>
        <v>837.82138595045467</v>
      </c>
      <c r="D65" s="307">
        <f t="shared" si="12"/>
        <v>822.18285232556025</v>
      </c>
      <c r="E65" s="307">
        <f t="shared" si="12"/>
        <v>814.25391657019236</v>
      </c>
      <c r="F65" s="307">
        <f t="shared" si="12"/>
        <v>799.83799168482665</v>
      </c>
      <c r="G65" s="307">
        <f t="shared" si="12"/>
        <v>789.32668860972421</v>
      </c>
      <c r="H65" s="307">
        <f t="shared" si="12"/>
        <v>790.44597556647693</v>
      </c>
      <c r="I65" s="307">
        <f t="shared" si="12"/>
        <v>799.52241692198322</v>
      </c>
      <c r="J65" s="307">
        <f t="shared" si="12"/>
        <v>811.31146606141192</v>
      </c>
      <c r="K65" s="307">
        <f t="shared" si="12"/>
        <v>822.37542670364144</v>
      </c>
      <c r="L65" s="307">
        <f t="shared" si="13"/>
        <v>833.0085557154091</v>
      </c>
      <c r="M65" s="307">
        <f t="shared" si="14"/>
        <v>841.62823482358044</v>
      </c>
      <c r="N65" s="307">
        <f t="shared" si="15"/>
        <v>848.39473076162744</v>
      </c>
    </row>
    <row r="66" spans="1:14">
      <c r="B66" s="338" t="str">
        <f t="shared" si="8"/>
        <v>55-59</v>
      </c>
      <c r="C66" s="307">
        <f t="shared" si="10"/>
        <v>649.74006485339146</v>
      </c>
      <c r="D66" s="307">
        <f t="shared" si="12"/>
        <v>546.29822405408311</v>
      </c>
      <c r="E66" s="307">
        <f t="shared" si="12"/>
        <v>480.47267293230078</v>
      </c>
      <c r="F66" s="307">
        <f t="shared" si="12"/>
        <v>430.97637402592244</v>
      </c>
      <c r="G66" s="307">
        <f t="shared" si="12"/>
        <v>398.50963018439461</v>
      </c>
      <c r="H66" s="307">
        <f t="shared" si="12"/>
        <v>383.23297904292838</v>
      </c>
      <c r="I66" s="307">
        <f t="shared" si="12"/>
        <v>378.66719452604849</v>
      </c>
      <c r="J66" s="307">
        <f t="shared" si="12"/>
        <v>379.02106362623311</v>
      </c>
      <c r="K66" s="307">
        <f t="shared" si="12"/>
        <v>380.96671050996531</v>
      </c>
      <c r="L66" s="307">
        <f t="shared" si="13"/>
        <v>384.306254493339</v>
      </c>
      <c r="M66" s="307">
        <f t="shared" si="14"/>
        <v>387.57903253642519</v>
      </c>
      <c r="N66" s="307">
        <f t="shared" si="15"/>
        <v>390.69129965950651</v>
      </c>
    </row>
    <row r="67" spans="1:14">
      <c r="B67" s="338" t="str">
        <f t="shared" si="8"/>
        <v>60-64</v>
      </c>
      <c r="C67" s="307">
        <f t="shared" si="10"/>
        <v>218.13679217796911</v>
      </c>
      <c r="D67" s="307">
        <f t="shared" si="12"/>
        <v>190.21053357878171</v>
      </c>
      <c r="E67" s="307">
        <f t="shared" si="12"/>
        <v>164.77416970495258</v>
      </c>
      <c r="F67" s="307">
        <f t="shared" si="12"/>
        <v>141.19874440905028</v>
      </c>
      <c r="G67" s="307">
        <f t="shared" si="12"/>
        <v>124.37596877741591</v>
      </c>
      <c r="H67" s="307">
        <f t="shared" si="12"/>
        <v>115.74211157592705</v>
      </c>
      <c r="I67" s="307">
        <f t="shared" si="12"/>
        <v>112.18951806498015</v>
      </c>
      <c r="J67" s="307">
        <f t="shared" si="12"/>
        <v>110.88254456760176</v>
      </c>
      <c r="K67" s="307">
        <f t="shared" si="12"/>
        <v>110.3085988644563</v>
      </c>
      <c r="L67" s="307">
        <f t="shared" si="13"/>
        <v>110.52245292667266</v>
      </c>
      <c r="M67" s="307">
        <f t="shared" si="14"/>
        <v>110.84792383156253</v>
      </c>
      <c r="N67" s="307">
        <f t="shared" si="15"/>
        <v>111.30544883993332</v>
      </c>
    </row>
    <row r="68" spans="1:14">
      <c r="B68" s="338" t="str">
        <f t="shared" si="8"/>
        <v>65 plus</v>
      </c>
      <c r="C68" s="307">
        <f t="shared" si="10"/>
        <v>23.124255757518576</v>
      </c>
      <c r="D68" s="307">
        <f t="shared" si="12"/>
        <v>37.104154674524629</v>
      </c>
      <c r="E68" s="307">
        <f t="shared" si="12"/>
        <v>41.085946296118834</v>
      </c>
      <c r="F68" s="307">
        <f t="shared" si="12"/>
        <v>39.443349567926667</v>
      </c>
      <c r="G68" s="307">
        <f t="shared" si="12"/>
        <v>36.199610290162738</v>
      </c>
      <c r="H68" s="307">
        <f t="shared" si="12"/>
        <v>33.618398787697409</v>
      </c>
      <c r="I68" s="307">
        <f t="shared" si="12"/>
        <v>32.01854460820983</v>
      </c>
      <c r="J68" s="307">
        <f t="shared" si="12"/>
        <v>31.082273113106325</v>
      </c>
      <c r="K68" s="307">
        <f t="shared" si="12"/>
        <v>30.483131588749778</v>
      </c>
      <c r="L68" s="307">
        <f t="shared" si="13"/>
        <v>30.191929693052842</v>
      </c>
      <c r="M68" s="307">
        <f t="shared" si="14"/>
        <v>30.029400518663529</v>
      </c>
      <c r="N68" s="307">
        <f t="shared" si="15"/>
        <v>29.964133226068327</v>
      </c>
    </row>
    <row r="69" spans="1:14">
      <c r="B69" s="338" t="str">
        <f t="shared" si="8"/>
        <v>Total</v>
      </c>
      <c r="C69" s="307">
        <f t="shared" si="10"/>
        <v>9443.4853846765945</v>
      </c>
      <c r="D69" s="307">
        <f t="shared" si="12"/>
        <v>9352.9530958225841</v>
      </c>
      <c r="E69" s="307">
        <f t="shared" si="12"/>
        <v>9246.3077262317038</v>
      </c>
      <c r="F69" s="307">
        <f t="shared" si="12"/>
        <v>8895.470589800143</v>
      </c>
      <c r="G69" s="307">
        <f t="shared" si="12"/>
        <v>8574.10748732926</v>
      </c>
      <c r="H69" s="307">
        <f t="shared" si="12"/>
        <v>8470.8657886376004</v>
      </c>
      <c r="I69" s="307">
        <f t="shared" si="12"/>
        <v>8518.0784607470014</v>
      </c>
      <c r="J69" s="307">
        <f t="shared" si="12"/>
        <v>8615.0924658199601</v>
      </c>
      <c r="K69" s="307">
        <f t="shared" si="12"/>
        <v>8701.4601879713355</v>
      </c>
      <c r="L69" s="307">
        <f t="shared" si="13"/>
        <v>8794.6099294836349</v>
      </c>
      <c r="M69" s="307">
        <f t="shared" si="14"/>
        <v>8867.8058175683891</v>
      </c>
      <c r="N69" s="307">
        <f t="shared" si="15"/>
        <v>8928.6335941005254</v>
      </c>
    </row>
    <row r="70" spans="1:14">
      <c r="A70" s="309">
        <f>SUM(C70:N70)</f>
        <v>0</v>
      </c>
      <c r="C70" s="309">
        <f>SUM(C59:C68)-C69</f>
        <v>0</v>
      </c>
      <c r="D70" s="309">
        <f t="shared" ref="D70:N70" si="16">SUM(D59:D68)-D69</f>
        <v>0</v>
      </c>
      <c r="E70" s="309">
        <f t="shared" si="16"/>
        <v>0</v>
      </c>
      <c r="F70" s="309">
        <f t="shared" si="16"/>
        <v>0</v>
      </c>
      <c r="G70" s="309">
        <f t="shared" si="16"/>
        <v>0</v>
      </c>
      <c r="H70" s="309">
        <f t="shared" si="16"/>
        <v>0</v>
      </c>
      <c r="I70" s="309">
        <f t="shared" si="16"/>
        <v>0</v>
      </c>
      <c r="J70" s="309">
        <f t="shared" si="16"/>
        <v>0</v>
      </c>
      <c r="K70" s="309">
        <f t="shared" si="16"/>
        <v>0</v>
      </c>
      <c r="L70" s="309">
        <f t="shared" si="16"/>
        <v>0</v>
      </c>
      <c r="M70" s="309">
        <f t="shared" si="16"/>
        <v>0</v>
      </c>
      <c r="N70" s="309">
        <f t="shared" si="16"/>
        <v>0</v>
      </c>
    </row>
    <row r="72" spans="1:14" ht="15.75">
      <c r="B72" s="340" t="s">
        <v>150</v>
      </c>
      <c r="H72" s="325"/>
    </row>
    <row r="73" spans="1:14">
      <c r="H73" s="325"/>
    </row>
    <row r="74" spans="1:14">
      <c r="B74" s="341" t="s">
        <v>49</v>
      </c>
      <c r="C74" s="262" t="s">
        <v>453</v>
      </c>
      <c r="H74" s="325"/>
    </row>
    <row r="75" spans="1:14">
      <c r="H75" s="325"/>
    </row>
    <row r="76" spans="1:14">
      <c r="B76" s="338" t="str">
        <f t="shared" ref="B76:B87" si="17">B42</f>
        <v>Age group</v>
      </c>
      <c r="C76" s="338" t="str">
        <f t="shared" ref="C76:N76" si="18">C42</f>
        <v>2016/17</v>
      </c>
      <c r="D76" s="338" t="str">
        <f t="shared" si="18"/>
        <v>2017/18</v>
      </c>
      <c r="E76" s="338" t="str">
        <f t="shared" si="18"/>
        <v>2018/19</v>
      </c>
      <c r="F76" s="338" t="str">
        <f t="shared" si="18"/>
        <v>2019/20</v>
      </c>
      <c r="G76" s="338" t="str">
        <f t="shared" si="18"/>
        <v>2020/21</v>
      </c>
      <c r="H76" s="338" t="str">
        <f t="shared" si="18"/>
        <v>2021/22</v>
      </c>
      <c r="I76" s="338" t="str">
        <f t="shared" si="18"/>
        <v>2022/23</v>
      </c>
      <c r="J76" s="338" t="str">
        <f t="shared" si="18"/>
        <v>2023/24</v>
      </c>
      <c r="K76" s="338" t="str">
        <f t="shared" si="18"/>
        <v>2024/25</v>
      </c>
      <c r="L76" s="338" t="str">
        <f t="shared" si="18"/>
        <v>2025/26</v>
      </c>
      <c r="M76" s="338" t="str">
        <f t="shared" si="18"/>
        <v>2026/27</v>
      </c>
      <c r="N76" s="338" t="str">
        <f t="shared" si="18"/>
        <v>2027/28</v>
      </c>
    </row>
    <row r="77" spans="1:14">
      <c r="B77" s="338" t="str">
        <f t="shared" si="17"/>
        <v>20-24</v>
      </c>
      <c r="C77" s="459">
        <f>C43-(0.2*C43)</f>
        <v>97.047925054384905</v>
      </c>
      <c r="D77" s="459">
        <f>D43-(0.2*D43)</f>
        <v>176.57553214970864</v>
      </c>
      <c r="E77" s="459">
        <f t="shared" ref="E77:N77" si="19">E43-(0.2*E43)</f>
        <v>228.03655185634869</v>
      </c>
      <c r="F77" s="459">
        <f t="shared" si="19"/>
        <v>234.79016815130589</v>
      </c>
      <c r="G77" s="459">
        <f t="shared" si="19"/>
        <v>237.32633504504588</v>
      </c>
      <c r="H77" s="459">
        <f t="shared" si="19"/>
        <v>258.41376332704874</v>
      </c>
      <c r="I77" s="459">
        <f t="shared" si="19"/>
        <v>288.28620670098087</v>
      </c>
      <c r="J77" s="459">
        <f t="shared" si="19"/>
        <v>315.39840949586034</v>
      </c>
      <c r="K77" s="459">
        <f t="shared" si="19"/>
        <v>334.62606856787153</v>
      </c>
      <c r="L77" s="459">
        <f t="shared" si="19"/>
        <v>350.07997321203112</v>
      </c>
      <c r="M77" s="459">
        <f t="shared" si="19"/>
        <v>360.02940144234543</v>
      </c>
      <c r="N77" s="459">
        <f t="shared" si="19"/>
        <v>366.66222369870155</v>
      </c>
    </row>
    <row r="78" spans="1:14">
      <c r="B78" s="338" t="str">
        <f t="shared" si="17"/>
        <v>25-29</v>
      </c>
      <c r="C78" s="459">
        <f t="shared" ref="C78:C85" si="20">C44+(0.2*C43)-(0.2*C44)</f>
        <v>500.70448905467873</v>
      </c>
      <c r="D78" s="459">
        <f t="shared" ref="D78:N78" si="21">D44+(0.2*D43)-(0.2*D44)</f>
        <v>521.95874817285846</v>
      </c>
      <c r="E78" s="459">
        <f t="shared" si="21"/>
        <v>544.97448766670959</v>
      </c>
      <c r="F78" s="459">
        <f t="shared" si="21"/>
        <v>532.56823395495985</v>
      </c>
      <c r="G78" s="459">
        <f t="shared" si="21"/>
        <v>521.75774247469076</v>
      </c>
      <c r="H78" s="459">
        <f t="shared" si="21"/>
        <v>539.0447716510082</v>
      </c>
      <c r="I78" s="459">
        <f t="shared" si="21"/>
        <v>574.51784135311595</v>
      </c>
      <c r="J78" s="459">
        <f t="shared" si="21"/>
        <v>613.29235451005707</v>
      </c>
      <c r="K78" s="459">
        <f t="shared" si="21"/>
        <v>646.39659235434897</v>
      </c>
      <c r="L78" s="459">
        <f t="shared" si="21"/>
        <v>676.31429832823233</v>
      </c>
      <c r="M78" s="459">
        <f t="shared" si="21"/>
        <v>699.61217752072366</v>
      </c>
      <c r="N78" s="459">
        <f t="shared" si="21"/>
        <v>717.86030081095498</v>
      </c>
    </row>
    <row r="79" spans="1:14">
      <c r="B79" s="338" t="str">
        <f t="shared" si="17"/>
        <v>30-34</v>
      </c>
      <c r="C79" s="459">
        <f t="shared" si="20"/>
        <v>820.78035511514986</v>
      </c>
      <c r="D79" s="459">
        <f t="shared" ref="D79:N79" si="22">D45+(0.2*D44)-(0.2*D45)</f>
        <v>790.14096196237563</v>
      </c>
      <c r="E79" s="459">
        <f t="shared" si="22"/>
        <v>767.00951408450214</v>
      </c>
      <c r="F79" s="459">
        <f t="shared" si="22"/>
        <v>730.77139997224083</v>
      </c>
      <c r="G79" s="459">
        <f t="shared" si="22"/>
        <v>699.56255203207468</v>
      </c>
      <c r="H79" s="459">
        <f t="shared" si="22"/>
        <v>689.05594956788843</v>
      </c>
      <c r="I79" s="459">
        <f t="shared" si="22"/>
        <v>695.79322066793566</v>
      </c>
      <c r="J79" s="459">
        <f t="shared" si="22"/>
        <v>711.82918427383026</v>
      </c>
      <c r="K79" s="459">
        <f t="shared" si="22"/>
        <v>730.87735779632135</v>
      </c>
      <c r="L79" s="459">
        <f t="shared" si="22"/>
        <v>752.57230567511021</v>
      </c>
      <c r="M79" s="459">
        <f t="shared" si="22"/>
        <v>773.49706062621703</v>
      </c>
      <c r="N79" s="459">
        <f t="shared" si="22"/>
        <v>793.10111092049499</v>
      </c>
    </row>
    <row r="80" spans="1:14">
      <c r="B80" s="338" t="str">
        <f t="shared" si="17"/>
        <v>35-39</v>
      </c>
      <c r="C80" s="459">
        <f t="shared" si="20"/>
        <v>813.56607223111359</v>
      </c>
      <c r="D80" s="459">
        <f t="shared" ref="D80:N80" si="23">D46+(0.2*D45)-(0.2*D46)</f>
        <v>816.94893777048867</v>
      </c>
      <c r="E80" s="459">
        <f t="shared" si="23"/>
        <v>811.14546073546774</v>
      </c>
      <c r="F80" s="459">
        <f t="shared" si="23"/>
        <v>787.63634859313322</v>
      </c>
      <c r="G80" s="459">
        <f t="shared" si="23"/>
        <v>762.08983424875817</v>
      </c>
      <c r="H80" s="459">
        <f t="shared" si="23"/>
        <v>746.63206565691985</v>
      </c>
      <c r="I80" s="459">
        <f t="shared" si="23"/>
        <v>740.41990654238896</v>
      </c>
      <c r="J80" s="459">
        <f t="shared" si="23"/>
        <v>739.90435990394644</v>
      </c>
      <c r="K80" s="459">
        <f t="shared" si="23"/>
        <v>742.47358745118208</v>
      </c>
      <c r="L80" s="459">
        <f t="shared" si="23"/>
        <v>748.83492345472223</v>
      </c>
      <c r="M80" s="459">
        <f t="shared" si="23"/>
        <v>757.14219929670799</v>
      </c>
      <c r="N80" s="459">
        <f t="shared" si="23"/>
        <v>767.06486201307916</v>
      </c>
    </row>
    <row r="81" spans="1:15">
      <c r="B81" s="338" t="str">
        <f t="shared" si="17"/>
        <v>40-44</v>
      </c>
      <c r="C81" s="459">
        <f t="shared" si="20"/>
        <v>757.97309846592816</v>
      </c>
      <c r="D81" s="459">
        <f t="shared" ref="D81:N81" si="24">D47+(0.2*D46)-(0.2*D47)</f>
        <v>760.14748803600367</v>
      </c>
      <c r="E81" s="459">
        <f t="shared" si="24"/>
        <v>760.24770847131936</v>
      </c>
      <c r="F81" s="459">
        <f t="shared" si="24"/>
        <v>746.9499718701486</v>
      </c>
      <c r="G81" s="459">
        <f t="shared" si="24"/>
        <v>731.72096729250165</v>
      </c>
      <c r="H81" s="459">
        <f t="shared" si="24"/>
        <v>723.52038342165793</v>
      </c>
      <c r="I81" s="459">
        <f t="shared" si="24"/>
        <v>720.61408424111153</v>
      </c>
      <c r="J81" s="459">
        <f t="shared" si="24"/>
        <v>719.67436600405847</v>
      </c>
      <c r="K81" s="459">
        <f t="shared" si="24"/>
        <v>718.83675644980144</v>
      </c>
      <c r="L81" s="459">
        <f t="shared" si="24"/>
        <v>719.41143790404271</v>
      </c>
      <c r="M81" s="459">
        <f t="shared" si="24"/>
        <v>720.59231166514542</v>
      </c>
      <c r="N81" s="459">
        <f t="shared" si="24"/>
        <v>722.8381214516636</v>
      </c>
    </row>
    <row r="82" spans="1:15">
      <c r="B82" s="338" t="str">
        <f t="shared" si="17"/>
        <v>45-49</v>
      </c>
      <c r="C82" s="459">
        <f t="shared" si="20"/>
        <v>685.34899415842278</v>
      </c>
      <c r="D82" s="459">
        <f t="shared" ref="D82:N82" si="25">D48+(0.2*D47)-(0.2*D48)</f>
        <v>681.67966689495324</v>
      </c>
      <c r="E82" s="459">
        <f t="shared" si="25"/>
        <v>677.63370722428044</v>
      </c>
      <c r="F82" s="459">
        <f t="shared" si="25"/>
        <v>664.69506301856143</v>
      </c>
      <c r="G82" s="459">
        <f t="shared" si="25"/>
        <v>651.92990129664304</v>
      </c>
      <c r="H82" s="459">
        <f t="shared" si="25"/>
        <v>646.1174315219663</v>
      </c>
      <c r="I82" s="459">
        <f t="shared" si="25"/>
        <v>645.25440980407222</v>
      </c>
      <c r="J82" s="459">
        <f t="shared" si="25"/>
        <v>646.01550821797525</v>
      </c>
      <c r="K82" s="459">
        <f t="shared" si="25"/>
        <v>646.36732985216781</v>
      </c>
      <c r="L82" s="459">
        <f t="shared" si="25"/>
        <v>647.05230670230821</v>
      </c>
      <c r="M82" s="459">
        <f t="shared" si="25"/>
        <v>647.30764182282815</v>
      </c>
      <c r="N82" s="459">
        <f t="shared" si="25"/>
        <v>647.56169154427198</v>
      </c>
    </row>
    <row r="83" spans="1:15">
      <c r="B83" s="338" t="str">
        <f t="shared" si="17"/>
        <v>50-54</v>
      </c>
      <c r="C83" s="459">
        <f t="shared" si="20"/>
        <v>583.0397705463638</v>
      </c>
      <c r="D83" s="459">
        <f t="shared" ref="D83:N83" si="26">D49+(0.2*D48)-(0.2*D49)</f>
        <v>568.25153931836314</v>
      </c>
      <c r="E83" s="459">
        <f t="shared" si="26"/>
        <v>555.73811367862379</v>
      </c>
      <c r="F83" s="459">
        <f t="shared" si="26"/>
        <v>538.62901881535765</v>
      </c>
      <c r="G83" s="459">
        <f t="shared" si="26"/>
        <v>523.49219556214689</v>
      </c>
      <c r="H83" s="459">
        <f t="shared" si="26"/>
        <v>515.15762389431757</v>
      </c>
      <c r="I83" s="459">
        <f t="shared" si="26"/>
        <v>511.84331434812441</v>
      </c>
      <c r="J83" s="459">
        <f t="shared" si="26"/>
        <v>510.77059631024764</v>
      </c>
      <c r="K83" s="459">
        <f t="shared" si="26"/>
        <v>510.12112395424765</v>
      </c>
      <c r="L83" s="459">
        <f t="shared" si="26"/>
        <v>510.15761139905823</v>
      </c>
      <c r="M83" s="459">
        <f t="shared" si="26"/>
        <v>510.04372909388303</v>
      </c>
      <c r="N83" s="459">
        <f t="shared" si="26"/>
        <v>509.89492211607529</v>
      </c>
    </row>
    <row r="84" spans="1:15">
      <c r="B84" s="338" t="str">
        <f t="shared" si="17"/>
        <v>55-59</v>
      </c>
      <c r="C84" s="459">
        <f t="shared" si="20"/>
        <v>471.39174199443386</v>
      </c>
      <c r="D84" s="459">
        <f t="shared" ref="D84:N84" si="27">D50+(0.2*D49)-(0.2*D50)</f>
        <v>401.60712145410378</v>
      </c>
      <c r="E84" s="459">
        <f t="shared" si="27"/>
        <v>356.7293167360553</v>
      </c>
      <c r="F84" s="459">
        <f t="shared" si="27"/>
        <v>322.74699505387787</v>
      </c>
      <c r="G84" s="459">
        <f t="shared" si="27"/>
        <v>299.17620607430547</v>
      </c>
      <c r="H84" s="459">
        <f t="shared" si="27"/>
        <v>285.84655282236685</v>
      </c>
      <c r="I84" s="459">
        <f t="shared" si="27"/>
        <v>279.02796182770049</v>
      </c>
      <c r="J84" s="459">
        <f t="shared" si="27"/>
        <v>275.40232380972265</v>
      </c>
      <c r="K84" s="459">
        <f t="shared" si="27"/>
        <v>273.04575049526852</v>
      </c>
      <c r="L84" s="459">
        <f t="shared" si="27"/>
        <v>271.83536632335461</v>
      </c>
      <c r="M84" s="459">
        <f t="shared" si="27"/>
        <v>270.94027581362099</v>
      </c>
      <c r="N84" s="459">
        <f t="shared" si="27"/>
        <v>270.31016434003766</v>
      </c>
    </row>
    <row r="85" spans="1:15">
      <c r="B85" s="338" t="str">
        <f t="shared" si="17"/>
        <v>60-64</v>
      </c>
      <c r="C85" s="459">
        <f t="shared" si="20"/>
        <v>223.56053635931318</v>
      </c>
      <c r="D85" s="459">
        <f t="shared" ref="D85:N85" si="28">D51+(0.2*D50)-(0.2*D51)</f>
        <v>187.52755729647419</v>
      </c>
      <c r="E85" s="459">
        <f t="shared" si="28"/>
        <v>159.34644481627004</v>
      </c>
      <c r="F85" s="459">
        <f t="shared" si="28"/>
        <v>136.32962626343999</v>
      </c>
      <c r="G85" s="459">
        <f t="shared" si="28"/>
        <v>119.99711433696231</v>
      </c>
      <c r="H85" s="459">
        <f t="shared" si="28"/>
        <v>110.4397051871738</v>
      </c>
      <c r="I85" s="459">
        <f t="shared" si="28"/>
        <v>105.24764447709431</v>
      </c>
      <c r="J85" s="459">
        <f t="shared" si="28"/>
        <v>102.27982411322124</v>
      </c>
      <c r="K85" s="459">
        <f t="shared" si="28"/>
        <v>100.30369435931652</v>
      </c>
      <c r="L85" s="459">
        <f t="shared" si="28"/>
        <v>99.165771884172301</v>
      </c>
      <c r="M85" s="459">
        <f t="shared" si="28"/>
        <v>98.338555346070734</v>
      </c>
      <c r="N85" s="459">
        <f t="shared" si="28"/>
        <v>97.764480935386572</v>
      </c>
    </row>
    <row r="86" spans="1:15">
      <c r="B86" s="338" t="str">
        <f t="shared" si="17"/>
        <v>65 plus</v>
      </c>
      <c r="C86" s="459">
        <f>C52+(0.2*C51)</f>
        <v>59.674116989703762</v>
      </c>
      <c r="D86" s="459">
        <f t="shared" ref="D86:N86" si="29">D52+(0.2*D51)</f>
        <v>62.728995026741792</v>
      </c>
      <c r="E86" s="459">
        <f t="shared" si="29"/>
        <v>59.848792713101616</v>
      </c>
      <c r="F86" s="459">
        <f t="shared" si="29"/>
        <v>53.864510802312402</v>
      </c>
      <c r="G86" s="459">
        <f t="shared" si="29"/>
        <v>47.797669874335327</v>
      </c>
      <c r="H86" s="459">
        <f t="shared" si="29"/>
        <v>43.242441975927782</v>
      </c>
      <c r="I86" s="459">
        <f t="shared" si="29"/>
        <v>40.160626493671579</v>
      </c>
      <c r="J86" s="459">
        <f t="shared" si="29"/>
        <v>38.081879343678281</v>
      </c>
      <c r="K86" s="459">
        <f t="shared" si="29"/>
        <v>36.603870060181585</v>
      </c>
      <c r="L86" s="459">
        <f t="shared" si="29"/>
        <v>35.632466820644296</v>
      </c>
      <c r="M86" s="459">
        <f t="shared" si="29"/>
        <v>34.936203888677362</v>
      </c>
      <c r="N86" s="459">
        <f t="shared" si="29"/>
        <v>34.446387035377668</v>
      </c>
    </row>
    <row r="87" spans="1:15">
      <c r="B87" s="338" t="str">
        <f t="shared" si="17"/>
        <v>Total</v>
      </c>
      <c r="C87" s="459">
        <f>SUM(C77:C86)</f>
        <v>5013.0870999694926</v>
      </c>
      <c r="D87" s="459">
        <f t="shared" ref="D87:N87" si="30">SUM(D77:D86)</f>
        <v>4967.5665480820699</v>
      </c>
      <c r="E87" s="459">
        <f t="shared" si="30"/>
        <v>4920.7100979826782</v>
      </c>
      <c r="F87" s="459">
        <f t="shared" si="30"/>
        <v>4748.9813364953379</v>
      </c>
      <c r="G87" s="459">
        <f t="shared" si="30"/>
        <v>4594.8505182374638</v>
      </c>
      <c r="H87" s="459">
        <f t="shared" si="30"/>
        <v>4557.470689026276</v>
      </c>
      <c r="I87" s="459">
        <f t="shared" si="30"/>
        <v>4601.1652164561965</v>
      </c>
      <c r="J87" s="459">
        <f t="shared" si="30"/>
        <v>4672.6488059825979</v>
      </c>
      <c r="K87" s="459">
        <f t="shared" si="30"/>
        <v>4739.6521313407056</v>
      </c>
      <c r="L87" s="459">
        <f t="shared" si="30"/>
        <v>4811.0564617036762</v>
      </c>
      <c r="M87" s="459">
        <f t="shared" si="30"/>
        <v>4872.4395565162213</v>
      </c>
      <c r="N87" s="459">
        <f t="shared" si="30"/>
        <v>4927.5042648660437</v>
      </c>
    </row>
    <row r="88" spans="1:15">
      <c r="A88" s="309">
        <f>SUM(C88:N88)</f>
        <v>0</v>
      </c>
      <c r="C88" s="309">
        <f>SUM(C77:C86)-C87</f>
        <v>0</v>
      </c>
      <c r="D88" s="309">
        <f t="shared" ref="D88:N88" si="31">SUM(D77:D86)-D87</f>
        <v>0</v>
      </c>
      <c r="E88" s="309">
        <f t="shared" si="31"/>
        <v>0</v>
      </c>
      <c r="F88" s="309">
        <f t="shared" si="31"/>
        <v>0</v>
      </c>
      <c r="G88" s="309">
        <f t="shared" si="31"/>
        <v>0</v>
      </c>
      <c r="H88" s="309">
        <f t="shared" si="31"/>
        <v>0</v>
      </c>
      <c r="I88" s="309">
        <f t="shared" si="31"/>
        <v>0</v>
      </c>
      <c r="J88" s="309">
        <f t="shared" si="31"/>
        <v>0</v>
      </c>
      <c r="K88" s="309">
        <f t="shared" si="31"/>
        <v>0</v>
      </c>
      <c r="L88" s="309">
        <f t="shared" si="31"/>
        <v>0</v>
      </c>
      <c r="M88" s="309">
        <f t="shared" si="31"/>
        <v>0</v>
      </c>
      <c r="N88" s="309">
        <f t="shared" si="31"/>
        <v>0</v>
      </c>
    </row>
    <row r="90" spans="1:15">
      <c r="B90" s="341" t="s">
        <v>50</v>
      </c>
      <c r="H90" s="325"/>
    </row>
    <row r="91" spans="1:15">
      <c r="H91" s="325"/>
    </row>
    <row r="92" spans="1:15">
      <c r="B92" s="338" t="str">
        <f t="shared" ref="B92:B103" si="32">B76</f>
        <v>Age group</v>
      </c>
      <c r="C92" s="338" t="str">
        <f t="shared" ref="C92:N92" si="33">C76</f>
        <v>2016/17</v>
      </c>
      <c r="D92" s="338" t="str">
        <f t="shared" si="33"/>
        <v>2017/18</v>
      </c>
      <c r="E92" s="338" t="str">
        <f t="shared" si="33"/>
        <v>2018/19</v>
      </c>
      <c r="F92" s="338" t="str">
        <f t="shared" si="33"/>
        <v>2019/20</v>
      </c>
      <c r="G92" s="338" t="str">
        <f t="shared" si="33"/>
        <v>2020/21</v>
      </c>
      <c r="H92" s="338" t="str">
        <f t="shared" si="33"/>
        <v>2021/22</v>
      </c>
      <c r="I92" s="338" t="str">
        <f t="shared" si="33"/>
        <v>2022/23</v>
      </c>
      <c r="J92" s="338" t="str">
        <f t="shared" si="33"/>
        <v>2023/24</v>
      </c>
      <c r="K92" s="338" t="str">
        <f t="shared" si="33"/>
        <v>2024/25</v>
      </c>
      <c r="L92" s="338" t="str">
        <f t="shared" si="33"/>
        <v>2025/26</v>
      </c>
      <c r="M92" s="338" t="str">
        <f t="shared" si="33"/>
        <v>2026/27</v>
      </c>
      <c r="N92" s="338" t="str">
        <f t="shared" si="33"/>
        <v>2027/28</v>
      </c>
    </row>
    <row r="93" spans="1:15">
      <c r="B93" s="338" t="str">
        <f t="shared" si="32"/>
        <v>20-24</v>
      </c>
      <c r="C93" s="459">
        <f>C59-(0.2*C59)</f>
        <v>304.15235605168311</v>
      </c>
      <c r="D93" s="459">
        <f t="shared" ref="D93:N93" si="34">D59-(0.2*D59)</f>
        <v>419.26272261706907</v>
      </c>
      <c r="E93" s="459">
        <f t="shared" si="34"/>
        <v>491.50900903483932</v>
      </c>
      <c r="F93" s="459">
        <f t="shared" si="34"/>
        <v>486.65416397315892</v>
      </c>
      <c r="G93" s="459">
        <f t="shared" si="34"/>
        <v>478.89753175935203</v>
      </c>
      <c r="H93" s="459">
        <f t="shared" si="34"/>
        <v>509.6814700235883</v>
      </c>
      <c r="I93" s="459">
        <f t="shared" si="34"/>
        <v>559.59278935973748</v>
      </c>
      <c r="J93" s="459">
        <f t="shared" si="34"/>
        <v>606.15068952464992</v>
      </c>
      <c r="K93" s="459">
        <f t="shared" si="34"/>
        <v>639.1709126434738</v>
      </c>
      <c r="L93" s="459">
        <f t="shared" si="34"/>
        <v>666.0142745205743</v>
      </c>
      <c r="M93" s="459">
        <f t="shared" si="34"/>
        <v>683.15047142242804</v>
      </c>
      <c r="N93" s="459">
        <f t="shared" si="34"/>
        <v>694.50697069365765</v>
      </c>
      <c r="O93" s="327"/>
    </row>
    <row r="94" spans="1:15">
      <c r="B94" s="338" t="str">
        <f t="shared" si="32"/>
        <v>25-29</v>
      </c>
      <c r="C94" s="459">
        <f t="shared" ref="C94:C101" si="35">C60+(0.2*C59)-(0.2*C60)</f>
        <v>1364.6335537466234</v>
      </c>
      <c r="D94" s="459">
        <f t="shared" ref="D94:N94" si="36">D60+(0.2*D59)-(0.2*D60)</f>
        <v>1305.4667018445534</v>
      </c>
      <c r="E94" s="459">
        <f t="shared" si="36"/>
        <v>1270.3314821661234</v>
      </c>
      <c r="F94" s="459">
        <f t="shared" si="36"/>
        <v>1185.2786298648048</v>
      </c>
      <c r="G94" s="459">
        <f t="shared" si="36"/>
        <v>1117.1039206629193</v>
      </c>
      <c r="H94" s="459">
        <f t="shared" si="36"/>
        <v>1112.8179981766791</v>
      </c>
      <c r="I94" s="459">
        <f t="shared" si="36"/>
        <v>1151.0817726241346</v>
      </c>
      <c r="J94" s="459">
        <f t="shared" si="36"/>
        <v>1201.8459647021543</v>
      </c>
      <c r="K94" s="459">
        <f t="shared" si="36"/>
        <v>1246.7840395902836</v>
      </c>
      <c r="L94" s="459">
        <f t="shared" si="36"/>
        <v>1289.5439515607809</v>
      </c>
      <c r="M94" s="459">
        <f t="shared" si="36"/>
        <v>1322.8137581969509</v>
      </c>
      <c r="N94" s="459">
        <f t="shared" si="36"/>
        <v>1348.9277092405694</v>
      </c>
      <c r="O94" s="327"/>
    </row>
    <row r="95" spans="1:15">
      <c r="B95" s="338" t="str">
        <f t="shared" si="32"/>
        <v>30-34</v>
      </c>
      <c r="C95" s="459">
        <f t="shared" si="35"/>
        <v>1847.6118712820853</v>
      </c>
      <c r="D95" s="459">
        <f t="shared" ref="D95:N95" si="37">D61+(0.2*D60)-(0.2*D61)</f>
        <v>1753.5254259765693</v>
      </c>
      <c r="E95" s="459">
        <f t="shared" si="37"/>
        <v>1666.4359952565933</v>
      </c>
      <c r="F95" s="459">
        <f t="shared" si="37"/>
        <v>1552.9177430742911</v>
      </c>
      <c r="G95" s="459">
        <f t="shared" si="37"/>
        <v>1451.2390938831013</v>
      </c>
      <c r="H95" s="459">
        <f t="shared" si="37"/>
        <v>1392.6164995821923</v>
      </c>
      <c r="I95" s="459">
        <f t="shared" si="37"/>
        <v>1370.5901712080747</v>
      </c>
      <c r="J95" s="459">
        <f t="shared" si="37"/>
        <v>1369.9040508275993</v>
      </c>
      <c r="K95" s="459">
        <f t="shared" si="37"/>
        <v>1378.4741243402286</v>
      </c>
      <c r="L95" s="459">
        <f t="shared" si="37"/>
        <v>1395.4332814494853</v>
      </c>
      <c r="M95" s="459">
        <f t="shared" si="37"/>
        <v>1414.0334543436575</v>
      </c>
      <c r="N95" s="459">
        <f t="shared" si="37"/>
        <v>1432.9924069745778</v>
      </c>
      <c r="O95" s="327"/>
    </row>
    <row r="96" spans="1:15">
      <c r="B96" s="338" t="str">
        <f t="shared" si="32"/>
        <v>35-39</v>
      </c>
      <c r="C96" s="459">
        <f t="shared" si="35"/>
        <v>1595.9886513869637</v>
      </c>
      <c r="D96" s="459">
        <f t="shared" ref="D96:N96" si="38">D62+(0.2*D61)-(0.2*D62)</f>
        <v>1611.9638049088994</v>
      </c>
      <c r="E96" s="459">
        <f t="shared" si="38"/>
        <v>1601.6508587843684</v>
      </c>
      <c r="F96" s="459">
        <f t="shared" si="38"/>
        <v>1550.2387354281036</v>
      </c>
      <c r="G96" s="459">
        <f t="shared" si="38"/>
        <v>1489.5517787827762</v>
      </c>
      <c r="H96" s="459">
        <f t="shared" si="38"/>
        <v>1444.3074466140208</v>
      </c>
      <c r="I96" s="459">
        <f t="shared" si="38"/>
        <v>1414.1466009156943</v>
      </c>
      <c r="J96" s="459">
        <f t="shared" si="38"/>
        <v>1393.3520345235909</v>
      </c>
      <c r="K96" s="459">
        <f t="shared" si="38"/>
        <v>1377.8287391118974</v>
      </c>
      <c r="L96" s="459">
        <f t="shared" si="38"/>
        <v>1369.5979256961512</v>
      </c>
      <c r="M96" s="459">
        <f t="shared" si="38"/>
        <v>1365.6410367799297</v>
      </c>
      <c r="N96" s="459">
        <f t="shared" si="38"/>
        <v>1365.6958771872901</v>
      </c>
      <c r="O96" s="327"/>
    </row>
    <row r="97" spans="1:15">
      <c r="B97" s="338" t="str">
        <f t="shared" si="32"/>
        <v>40-44</v>
      </c>
      <c r="C97" s="459">
        <f t="shared" si="35"/>
        <v>1329.6380385130628</v>
      </c>
      <c r="D97" s="459">
        <f t="shared" ref="D97:N97" si="39">D63+(0.2*D62)-(0.2*D63)</f>
        <v>1358.4412178195582</v>
      </c>
      <c r="E97" s="459">
        <f t="shared" si="39"/>
        <v>1378.5976445118765</v>
      </c>
      <c r="F97" s="459">
        <f t="shared" si="39"/>
        <v>1368.4429266082302</v>
      </c>
      <c r="G97" s="459">
        <f t="shared" si="39"/>
        <v>1349.7247066242935</v>
      </c>
      <c r="H97" s="459">
        <f t="shared" si="39"/>
        <v>1339.6411595173058</v>
      </c>
      <c r="I97" s="459">
        <f t="shared" si="39"/>
        <v>1335.3410830467592</v>
      </c>
      <c r="J97" s="459">
        <f t="shared" si="39"/>
        <v>1331.1111235494454</v>
      </c>
      <c r="K97" s="459">
        <f t="shared" si="39"/>
        <v>1324.0825815899607</v>
      </c>
      <c r="L97" s="459">
        <f t="shared" si="39"/>
        <v>1317.3855965129765</v>
      </c>
      <c r="M97" s="459">
        <f t="shared" si="39"/>
        <v>1310.0999270569505</v>
      </c>
      <c r="N97" s="459">
        <f t="shared" si="39"/>
        <v>1303.6358032908324</v>
      </c>
      <c r="O97" s="327"/>
    </row>
    <row r="98" spans="1:15">
      <c r="B98" s="338" t="str">
        <f t="shared" si="32"/>
        <v>45-49</v>
      </c>
      <c r="C98" s="459">
        <f t="shared" si="35"/>
        <v>1069.4098476397241</v>
      </c>
      <c r="D98" s="459">
        <f t="shared" ref="D98:N98" si="40">D64+(0.2*D63)-(0.2*D64)</f>
        <v>1099.1122380938764</v>
      </c>
      <c r="E98" s="459">
        <f t="shared" si="40"/>
        <v>1122.9772351383212</v>
      </c>
      <c r="F98" s="459">
        <f t="shared" si="40"/>
        <v>1125.4516257275491</v>
      </c>
      <c r="G98" s="459">
        <f t="shared" si="40"/>
        <v>1123.9656037050627</v>
      </c>
      <c r="H98" s="459">
        <f t="shared" si="40"/>
        <v>1131.5196993560517</v>
      </c>
      <c r="I98" s="459">
        <f t="shared" si="40"/>
        <v>1144.5260243348287</v>
      </c>
      <c r="J98" s="459">
        <f t="shared" si="40"/>
        <v>1156.9440568107216</v>
      </c>
      <c r="K98" s="459">
        <f t="shared" si="40"/>
        <v>1165.2285279400508</v>
      </c>
      <c r="L98" s="459">
        <f t="shared" si="40"/>
        <v>1171.1172249919655</v>
      </c>
      <c r="M98" s="459">
        <f t="shared" si="40"/>
        <v>1173.5393799623723</v>
      </c>
      <c r="N98" s="459">
        <f t="shared" si="40"/>
        <v>1173.6858604725337</v>
      </c>
      <c r="O98" s="327"/>
    </row>
    <row r="99" spans="1:15">
      <c r="B99" s="338" t="str">
        <f t="shared" si="32"/>
        <v>50-54</v>
      </c>
      <c r="C99" s="459">
        <f t="shared" si="35"/>
        <v>873.48567607748305</v>
      </c>
      <c r="D99" s="459">
        <f t="shared" ref="D99:N99" si="41">D65+(0.2*D64)-(0.2*D65)</f>
        <v>867.13150178955652</v>
      </c>
      <c r="E99" s="459">
        <f t="shared" si="41"/>
        <v>865.62192909217072</v>
      </c>
      <c r="F99" s="459">
        <f t="shared" si="41"/>
        <v>854.90069878414045</v>
      </c>
      <c r="G99" s="459">
        <f t="shared" si="41"/>
        <v>846.67430493783445</v>
      </c>
      <c r="H99" s="459">
        <f t="shared" si="41"/>
        <v>849.59883084791591</v>
      </c>
      <c r="I99" s="459">
        <f t="shared" si="41"/>
        <v>860.02027867413585</v>
      </c>
      <c r="J99" s="459">
        <f t="shared" si="41"/>
        <v>872.53637136257498</v>
      </c>
      <c r="K99" s="459">
        <f t="shared" si="41"/>
        <v>883.65773645154036</v>
      </c>
      <c r="L99" s="459">
        <f t="shared" si="41"/>
        <v>893.8953264955536</v>
      </c>
      <c r="M99" s="459">
        <f t="shared" si="41"/>
        <v>901.74578595473167</v>
      </c>
      <c r="N99" s="459">
        <f t="shared" si="41"/>
        <v>907.54913836322851</v>
      </c>
      <c r="O99" s="327"/>
    </row>
    <row r="100" spans="1:15">
      <c r="B100" s="338" t="str">
        <f t="shared" si="32"/>
        <v>55-59</v>
      </c>
      <c r="C100" s="459">
        <f t="shared" si="35"/>
        <v>687.3563290728041</v>
      </c>
      <c r="D100" s="459">
        <f t="shared" ref="D100:N100" si="42">D66+(0.2*D65)-(0.2*D66)</f>
        <v>601.47514970837847</v>
      </c>
      <c r="E100" s="459">
        <f t="shared" si="42"/>
        <v>547.22892165987901</v>
      </c>
      <c r="F100" s="459">
        <f t="shared" si="42"/>
        <v>504.74869755770322</v>
      </c>
      <c r="G100" s="459">
        <f t="shared" si="42"/>
        <v>476.67304186946046</v>
      </c>
      <c r="H100" s="459">
        <f t="shared" si="42"/>
        <v>464.67557834763812</v>
      </c>
      <c r="I100" s="459">
        <f t="shared" si="42"/>
        <v>462.83823900523544</v>
      </c>
      <c r="J100" s="459">
        <f t="shared" si="42"/>
        <v>465.47914411326883</v>
      </c>
      <c r="K100" s="459">
        <f t="shared" si="42"/>
        <v>469.24845374870051</v>
      </c>
      <c r="L100" s="459">
        <f t="shared" si="42"/>
        <v>474.04671473775306</v>
      </c>
      <c r="M100" s="459">
        <f t="shared" si="42"/>
        <v>478.3888729938563</v>
      </c>
      <c r="N100" s="459">
        <f t="shared" si="42"/>
        <v>482.23198587993068</v>
      </c>
      <c r="O100" s="327"/>
    </row>
    <row r="101" spans="1:15">
      <c r="B101" s="338" t="str">
        <f t="shared" si="32"/>
        <v>60-64</v>
      </c>
      <c r="C101" s="459">
        <f t="shared" si="35"/>
        <v>304.45744671305363</v>
      </c>
      <c r="D101" s="459">
        <f t="shared" ref="D101:N101" si="43">D67+(0.2*D66)-(0.2*D67)</f>
        <v>261.428071673842</v>
      </c>
      <c r="E101" s="459">
        <f t="shared" si="43"/>
        <v>227.91387035042226</v>
      </c>
      <c r="F101" s="459">
        <f t="shared" si="43"/>
        <v>199.15427033242474</v>
      </c>
      <c r="G101" s="459">
        <f t="shared" si="43"/>
        <v>179.20270105881167</v>
      </c>
      <c r="H101" s="459">
        <f t="shared" si="43"/>
        <v>169.24028506932729</v>
      </c>
      <c r="I101" s="459">
        <f t="shared" si="43"/>
        <v>165.48505335719381</v>
      </c>
      <c r="J101" s="459">
        <f t="shared" si="43"/>
        <v>164.510248379328</v>
      </c>
      <c r="K101" s="459">
        <f t="shared" si="43"/>
        <v>164.4402211935581</v>
      </c>
      <c r="L101" s="459">
        <f t="shared" si="43"/>
        <v>165.27921324000593</v>
      </c>
      <c r="M101" s="459">
        <f t="shared" si="43"/>
        <v>166.19414557253506</v>
      </c>
      <c r="N101" s="459">
        <f t="shared" si="43"/>
        <v>167.18261900384795</v>
      </c>
      <c r="O101" s="327"/>
    </row>
    <row r="102" spans="1:15">
      <c r="B102" s="338" t="str">
        <f t="shared" si="32"/>
        <v>65 plus</v>
      </c>
      <c r="C102" s="459">
        <f>C68+(0.2*C67)</f>
        <v>66.751614193112403</v>
      </c>
      <c r="D102" s="459">
        <f t="shared" ref="D102:N102" si="44">D68+(0.2*D67)</f>
        <v>75.146261390280969</v>
      </c>
      <c r="E102" s="459">
        <f t="shared" si="44"/>
        <v>74.040780237109345</v>
      </c>
      <c r="F102" s="459">
        <f t="shared" si="44"/>
        <v>67.683098449736718</v>
      </c>
      <c r="G102" s="459">
        <f t="shared" si="44"/>
        <v>61.074804045645919</v>
      </c>
      <c r="H102" s="459">
        <f t="shared" si="44"/>
        <v>56.766821102882822</v>
      </c>
      <c r="I102" s="459">
        <f t="shared" si="44"/>
        <v>54.456448221205861</v>
      </c>
      <c r="J102" s="459">
        <f t="shared" si="44"/>
        <v>53.258782026626676</v>
      </c>
      <c r="K102" s="459">
        <f t="shared" si="44"/>
        <v>52.544851361641037</v>
      </c>
      <c r="L102" s="459">
        <f t="shared" si="44"/>
        <v>52.296420278387373</v>
      </c>
      <c r="M102" s="459">
        <f t="shared" si="44"/>
        <v>52.198985284976033</v>
      </c>
      <c r="N102" s="459">
        <f t="shared" si="44"/>
        <v>52.225222994054988</v>
      </c>
      <c r="O102" s="327"/>
    </row>
    <row r="103" spans="1:15">
      <c r="B103" s="338" t="str">
        <f t="shared" si="32"/>
        <v>Total</v>
      </c>
      <c r="C103" s="459">
        <f>SUM(C93:C102)</f>
        <v>9443.4853846765945</v>
      </c>
      <c r="D103" s="459">
        <f t="shared" ref="D103:N103" si="45">SUM(D93:D102)</f>
        <v>9352.9530958225805</v>
      </c>
      <c r="E103" s="459">
        <f t="shared" si="45"/>
        <v>9246.3077262317038</v>
      </c>
      <c r="F103" s="459">
        <f t="shared" si="45"/>
        <v>8895.4705898001448</v>
      </c>
      <c r="G103" s="459">
        <f t="shared" si="45"/>
        <v>8574.1074873292564</v>
      </c>
      <c r="H103" s="459">
        <f t="shared" si="45"/>
        <v>8470.8657886376022</v>
      </c>
      <c r="I103" s="459">
        <f t="shared" si="45"/>
        <v>8518.0784607469996</v>
      </c>
      <c r="J103" s="459">
        <f t="shared" si="45"/>
        <v>8615.0924658199583</v>
      </c>
      <c r="K103" s="459">
        <f t="shared" si="45"/>
        <v>8701.4601879713355</v>
      </c>
      <c r="L103" s="459">
        <f t="shared" si="45"/>
        <v>8794.6099294836349</v>
      </c>
      <c r="M103" s="459">
        <f t="shared" si="45"/>
        <v>8867.8058175683909</v>
      </c>
      <c r="N103" s="459">
        <f t="shared" si="45"/>
        <v>8928.6335941005236</v>
      </c>
      <c r="O103" s="327"/>
    </row>
    <row r="104" spans="1:15">
      <c r="A104" s="309">
        <f>SUM(C104:N104)</f>
        <v>0</v>
      </c>
      <c r="C104" s="309">
        <f>SUM(C93:C102)-C103</f>
        <v>0</v>
      </c>
      <c r="D104" s="309">
        <f t="shared" ref="D104:N104" si="46">SUM(D93:D102)-D103</f>
        <v>0</v>
      </c>
      <c r="E104" s="309">
        <f t="shared" si="46"/>
        <v>0</v>
      </c>
      <c r="F104" s="309">
        <f t="shared" si="46"/>
        <v>0</v>
      </c>
      <c r="G104" s="309">
        <f t="shared" si="46"/>
        <v>0</v>
      </c>
      <c r="H104" s="309">
        <f t="shared" si="46"/>
        <v>0</v>
      </c>
      <c r="I104" s="309">
        <f t="shared" si="46"/>
        <v>0</v>
      </c>
      <c r="J104" s="309">
        <f t="shared" si="46"/>
        <v>0</v>
      </c>
      <c r="K104" s="309">
        <f t="shared" si="46"/>
        <v>0</v>
      </c>
      <c r="L104" s="309">
        <f t="shared" si="46"/>
        <v>0</v>
      </c>
      <c r="M104" s="309">
        <f t="shared" si="46"/>
        <v>0</v>
      </c>
      <c r="N104" s="309">
        <f t="shared" si="46"/>
        <v>0</v>
      </c>
    </row>
    <row r="106" spans="1:15" ht="15.75">
      <c r="B106" s="340" t="s">
        <v>151</v>
      </c>
      <c r="H106" s="325"/>
    </row>
    <row r="107" spans="1:15">
      <c r="H107" s="325"/>
    </row>
    <row r="108" spans="1:15">
      <c r="B108" s="341" t="s">
        <v>49</v>
      </c>
      <c r="H108" s="325"/>
    </row>
    <row r="109" spans="1:15">
      <c r="H109" s="325"/>
    </row>
    <row r="110" spans="1:15">
      <c r="B110" s="338" t="str">
        <f t="shared" ref="B110:B121" si="47">B76</f>
        <v>Age group</v>
      </c>
      <c r="C110" s="338" t="str">
        <f t="shared" ref="C110:N110" si="48">C76</f>
        <v>2016/17</v>
      </c>
      <c r="D110" s="338" t="str">
        <f t="shared" si="48"/>
        <v>2017/18</v>
      </c>
      <c r="E110" s="338" t="str">
        <f t="shared" si="48"/>
        <v>2018/19</v>
      </c>
      <c r="F110" s="338" t="str">
        <f t="shared" si="48"/>
        <v>2019/20</v>
      </c>
      <c r="G110" s="338" t="str">
        <f t="shared" si="48"/>
        <v>2020/21</v>
      </c>
      <c r="H110" s="338" t="str">
        <f t="shared" si="48"/>
        <v>2021/22</v>
      </c>
      <c r="I110" s="338" t="str">
        <f t="shared" si="48"/>
        <v>2022/23</v>
      </c>
      <c r="J110" s="338" t="str">
        <f t="shared" si="48"/>
        <v>2023/24</v>
      </c>
      <c r="K110" s="338" t="str">
        <f t="shared" si="48"/>
        <v>2024/25</v>
      </c>
      <c r="L110" s="338" t="str">
        <f t="shared" si="48"/>
        <v>2025/26</v>
      </c>
      <c r="M110" s="338" t="str">
        <f t="shared" si="48"/>
        <v>2026/27</v>
      </c>
      <c r="N110" s="338" t="str">
        <f t="shared" si="48"/>
        <v>2027/28</v>
      </c>
    </row>
    <row r="111" spans="1:15">
      <c r="B111" s="338" t="str">
        <f t="shared" si="47"/>
        <v>20-24</v>
      </c>
      <c r="C111" s="459">
        <f>C77*Group_3_rates!E74</f>
        <v>10.555798459668924</v>
      </c>
      <c r="D111" s="459">
        <f>D77*Group_3_rates!F74</f>
        <v>19.205930773240151</v>
      </c>
      <c r="E111" s="459">
        <f>E77*Group_3_rates!G74</f>
        <v>24.803290554481549</v>
      </c>
      <c r="F111" s="459">
        <f>F77*Group_3_rates!H74</f>
        <v>25.537874137217131</v>
      </c>
      <c r="G111" s="459">
        <f>G77*Group_3_rates!I74</f>
        <v>25.813730283295488</v>
      </c>
      <c r="H111" s="459">
        <f>H77*Group_3_rates!J74</f>
        <v>28.107387183768161</v>
      </c>
      <c r="I111" s="459">
        <f>I77*Group_3_rates!K74</f>
        <v>31.356580729909336</v>
      </c>
      <c r="J111" s="459">
        <f>J77*Group_3_rates!L74</f>
        <v>34.305545876150646</v>
      </c>
      <c r="K111" s="459">
        <f>K77*Group_3_rates!M74</f>
        <v>36.396917679325583</v>
      </c>
      <c r="L111" s="459">
        <f>L77*Group_3_rates!N74</f>
        <v>38.077822271023699</v>
      </c>
      <c r="M111" s="459">
        <f>M77*Group_3_rates!O74</f>
        <v>39.16001088174653</v>
      </c>
      <c r="N111" s="459">
        <f>N77*Group_3_rates!P74</f>
        <v>39.881455826784418</v>
      </c>
    </row>
    <row r="112" spans="1:15">
      <c r="B112" s="338" t="str">
        <f t="shared" si="47"/>
        <v>25-29</v>
      </c>
      <c r="C112" s="459">
        <f>C78*Group_3_rates!E75</f>
        <v>42.224009671442602</v>
      </c>
      <c r="D112" s="459">
        <f>D78*Group_3_rates!F75</f>
        <v>44.016364368041629</v>
      </c>
      <c r="E112" s="459">
        <f>E78*Group_3_rates!G75</f>
        <v>45.957263297904518</v>
      </c>
      <c r="F112" s="459">
        <f>F78*Group_3_rates!H75</f>
        <v>44.911053830719005</v>
      </c>
      <c r="G112" s="459">
        <f>G78*Group_3_rates!I75</f>
        <v>43.99941371804951</v>
      </c>
      <c r="H112" s="459">
        <f>H78*Group_3_rates!J75</f>
        <v>45.457215082102444</v>
      </c>
      <c r="I112" s="459">
        <f>I78*Group_3_rates!K75</f>
        <v>48.448630719308738</v>
      </c>
      <c r="J112" s="459">
        <f>J78*Group_3_rates!L75</f>
        <v>51.718454446344211</v>
      </c>
      <c r="K112" s="459">
        <f>K78*Group_3_rates!M75</f>
        <v>54.510108384862171</v>
      </c>
      <c r="L112" s="459">
        <f>L78*Group_3_rates!N75</f>
        <v>57.0330446356907</v>
      </c>
      <c r="M112" s="459">
        <f>M78*Group_3_rates!O75</f>
        <v>58.997736181007419</v>
      </c>
      <c r="N112" s="459">
        <f>N78*Group_3_rates!P75</f>
        <v>60.536585844103335</v>
      </c>
    </row>
    <row r="113" spans="1:14">
      <c r="B113" s="338" t="str">
        <f t="shared" si="47"/>
        <v>30-34</v>
      </c>
      <c r="C113" s="459">
        <f>C79*Group_3_rates!E76</f>
        <v>51.1269526228918</v>
      </c>
      <c r="D113" s="459">
        <f>D79*Group_3_rates!F76</f>
        <v>49.218404504806941</v>
      </c>
      <c r="E113" s="459">
        <f>E79*Group_3_rates!G76</f>
        <v>47.777531276810379</v>
      </c>
      <c r="F113" s="459">
        <f>F79*Group_3_rates!H76</f>
        <v>45.520235117351731</v>
      </c>
      <c r="G113" s="459">
        <f>G79*Group_3_rates!I76</f>
        <v>43.576215282924707</v>
      </c>
      <c r="H113" s="459">
        <f>H79*Group_3_rates!J76</f>
        <v>42.921752047947983</v>
      </c>
      <c r="I113" s="459">
        <f>I79*Group_3_rates!K76</f>
        <v>43.341421132609938</v>
      </c>
      <c r="J113" s="459">
        <f>J79*Group_3_rates!L76</f>
        <v>44.340311939914855</v>
      </c>
      <c r="K113" s="459">
        <f>K79*Group_3_rates!M76</f>
        <v>45.526835300479931</v>
      </c>
      <c r="L113" s="459">
        <f>L79*Group_3_rates!N76</f>
        <v>46.878227990914553</v>
      </c>
      <c r="M113" s="459">
        <f>M79*Group_3_rates!O76</f>
        <v>48.181644853128283</v>
      </c>
      <c r="N113" s="459">
        <f>N79*Group_3_rates!P76</f>
        <v>49.402794146439184</v>
      </c>
    </row>
    <row r="114" spans="1:14">
      <c r="B114" s="338" t="str">
        <f t="shared" si="47"/>
        <v>35-39</v>
      </c>
      <c r="C114" s="459">
        <f>C80*Group_3_rates!E77</f>
        <v>50.530473324334608</v>
      </c>
      <c r="D114" s="459">
        <f>D80*Group_3_rates!F77</f>
        <v>50.740582623052568</v>
      </c>
      <c r="E114" s="459">
        <f>E80*Group_3_rates!G77</f>
        <v>50.380129487756129</v>
      </c>
      <c r="F114" s="459">
        <f>F80*Group_3_rates!H77</f>
        <v>48.919981867871648</v>
      </c>
      <c r="G114" s="459">
        <f>G80*Group_3_rates!I77</f>
        <v>47.333291486267989</v>
      </c>
      <c r="H114" s="459">
        <f>H80*Group_3_rates!J77</f>
        <v>46.373211672047645</v>
      </c>
      <c r="I114" s="459">
        <f>I80*Group_3_rates!K77</f>
        <v>45.987375350773235</v>
      </c>
      <c r="J114" s="459">
        <f>J80*Group_3_rates!L77</f>
        <v>45.955354822201009</v>
      </c>
      <c r="K114" s="459">
        <f>K80*Group_3_rates!M77</f>
        <v>46.114929180659324</v>
      </c>
      <c r="L114" s="459">
        <f>L80*Group_3_rates!N77</f>
        <v>46.510030857346138</v>
      </c>
      <c r="M114" s="459">
        <f>M80*Group_3_rates!O77</f>
        <v>47.025994581325158</v>
      </c>
      <c r="N114" s="459">
        <f>N80*Group_3_rates!P77</f>
        <v>47.642289754894698</v>
      </c>
    </row>
    <row r="115" spans="1:14">
      <c r="B115" s="338" t="str">
        <f t="shared" si="47"/>
        <v>40-44</v>
      </c>
      <c r="C115" s="459">
        <f>C81*Group_3_rates!E78</f>
        <v>52.497273652807721</v>
      </c>
      <c r="D115" s="459">
        <f>D81*Group_3_rates!F78</f>
        <v>52.647872037524927</v>
      </c>
      <c r="E115" s="459">
        <f>E81*Group_3_rates!G78</f>
        <v>52.654813312392093</v>
      </c>
      <c r="F115" s="459">
        <f>F81*Group_3_rates!H78</f>
        <v>51.73381107797573</v>
      </c>
      <c r="G115" s="459">
        <f>G81*Group_3_rates!I78</f>
        <v>50.679049078650586</v>
      </c>
      <c r="H115" s="459">
        <f>H81*Group_3_rates!J78</f>
        <v>50.111076024657251</v>
      </c>
      <c r="I115" s="459">
        <f>I81*Group_3_rates!K78</f>
        <v>49.909785525420709</v>
      </c>
      <c r="J115" s="459">
        <f>J81*Group_3_rates!L78</f>
        <v>49.844700569837258</v>
      </c>
      <c r="K115" s="459">
        <f>K81*Group_3_rates!M78</f>
        <v>49.78668766928309</v>
      </c>
      <c r="L115" s="459">
        <f>L81*Group_3_rates!N78</f>
        <v>49.8264901499088</v>
      </c>
      <c r="M115" s="459">
        <f>M81*Group_3_rates!O78</f>
        <v>49.908277555176213</v>
      </c>
      <c r="N115" s="459">
        <f>N81*Group_3_rates!P78</f>
        <v>50.063822509441231</v>
      </c>
    </row>
    <row r="116" spans="1:14">
      <c r="B116" s="338" t="str">
        <f t="shared" si="47"/>
        <v>45-49</v>
      </c>
      <c r="C116" s="459">
        <f>C82*Group_3_rates!E79</f>
        <v>52.691510707281992</v>
      </c>
      <c r="D116" s="459">
        <f>D82*Group_3_rates!F79</f>
        <v>52.409402761637388</v>
      </c>
      <c r="E116" s="459">
        <f>E82*Group_3_rates!G79</f>
        <v>52.098338283356114</v>
      </c>
      <c r="F116" s="459">
        <f>F82*Group_3_rates!H79</f>
        <v>51.103579823776663</v>
      </c>
      <c r="G116" s="459">
        <f>G82*Group_3_rates!I79</f>
        <v>50.122159173445674</v>
      </c>
      <c r="H116" s="459">
        <f>H82*Group_3_rates!J79</f>
        <v>49.675280552511509</v>
      </c>
      <c r="I116" s="459">
        <f>I82*Group_3_rates!K79</f>
        <v>49.608929075414984</v>
      </c>
      <c r="J116" s="459">
        <f>J82*Group_3_rates!L79</f>
        <v>49.667444409306604</v>
      </c>
      <c r="K116" s="459">
        <f>K82*Group_3_rates!M79</f>
        <v>49.694493421653775</v>
      </c>
      <c r="L116" s="459">
        <f>L82*Group_3_rates!N79</f>
        <v>49.74715632090809</v>
      </c>
      <c r="M116" s="459">
        <f>M82*Group_3_rates!O79</f>
        <v>49.766787185404127</v>
      </c>
      <c r="N116" s="459">
        <f>N82*Group_3_rates!P79</f>
        <v>49.786319224893113</v>
      </c>
    </row>
    <row r="117" spans="1:14">
      <c r="B117" s="338" t="str">
        <f t="shared" si="47"/>
        <v>50-54</v>
      </c>
      <c r="C117" s="459">
        <f>C83*Group_3_rates!E80</f>
        <v>46.6116211665584</v>
      </c>
      <c r="D117" s="459">
        <f>D83*Group_3_rates!F80</f>
        <v>45.429363168828516</v>
      </c>
      <c r="E117" s="459">
        <f>E83*Group_3_rates!G80</f>
        <v>44.428966480848125</v>
      </c>
      <c r="F117" s="459">
        <f>F83*Group_3_rates!H80</f>
        <v>43.061165022772705</v>
      </c>
      <c r="G117" s="459">
        <f>G83*Group_3_rates!I80</f>
        <v>41.851038532631833</v>
      </c>
      <c r="H117" s="459">
        <f>H83*Group_3_rates!J80</f>
        <v>41.184723957208718</v>
      </c>
      <c r="I117" s="459">
        <f>I83*Group_3_rates!K80</f>
        <v>40.919758600126649</v>
      </c>
      <c r="J117" s="459">
        <f>J83*Group_3_rates!L80</f>
        <v>40.833999224307071</v>
      </c>
      <c r="K117" s="459">
        <f>K83*Group_3_rates!M80</f>
        <v>40.782076592360966</v>
      </c>
      <c r="L117" s="459">
        <f>L83*Group_3_rates!N80</f>
        <v>40.784993612846982</v>
      </c>
      <c r="M117" s="459">
        <f>M83*Group_3_rates!O80</f>
        <v>40.775889192986519</v>
      </c>
      <c r="N117" s="459">
        <f>N83*Group_3_rates!P80</f>
        <v>40.763992689819993</v>
      </c>
    </row>
    <row r="118" spans="1:14">
      <c r="B118" s="338" t="str">
        <f t="shared" si="47"/>
        <v>55-59</v>
      </c>
      <c r="C118" s="459">
        <f>C84*Group_3_rates!E81</f>
        <v>23.01087834810896</v>
      </c>
      <c r="D118" s="459">
        <f>D84*Group_3_rates!F81</f>
        <v>19.604358312292458</v>
      </c>
      <c r="E118" s="459">
        <f>E84*Group_3_rates!G81</f>
        <v>17.41365870324119</v>
      </c>
      <c r="F118" s="459">
        <f>F84*Group_3_rates!H81</f>
        <v>15.754819566801409</v>
      </c>
      <c r="G118" s="459">
        <f>G84*Group_3_rates!I81</f>
        <v>14.604216979910328</v>
      </c>
      <c r="H118" s="459">
        <f>H84*Group_3_rates!J81</f>
        <v>13.953533053829892</v>
      </c>
      <c r="I118" s="459">
        <f>I84*Group_3_rates!K81</f>
        <v>13.620685118861971</v>
      </c>
      <c r="J118" s="459">
        <f>J84*Group_3_rates!L81</f>
        <v>13.443700441504275</v>
      </c>
      <c r="K118" s="459">
        <f>K84*Group_3_rates!M81</f>
        <v>13.328664862756389</v>
      </c>
      <c r="L118" s="459">
        <f>L84*Group_3_rates!N81</f>
        <v>13.26958024066151</v>
      </c>
      <c r="M118" s="459">
        <f>M84*Group_3_rates!O81</f>
        <v>13.22588660542114</v>
      </c>
      <c r="N118" s="459">
        <f>N84*Group_3_rates!P81</f>
        <v>13.195127860257241</v>
      </c>
    </row>
    <row r="119" spans="1:14">
      <c r="B119" s="338" t="str">
        <f t="shared" si="47"/>
        <v>60-64</v>
      </c>
      <c r="C119" s="459">
        <f>C85*Group_3_rates!E82</f>
        <v>4.4285688253630573</v>
      </c>
      <c r="D119" s="459">
        <f>D85*Group_3_rates!F82</f>
        <v>3.7147821689105269</v>
      </c>
      <c r="E119" s="459">
        <f>E85*Group_3_rates!G82</f>
        <v>3.1565351803038419</v>
      </c>
      <c r="F119" s="459">
        <f>F85*Group_3_rates!H82</f>
        <v>2.700589033626712</v>
      </c>
      <c r="G119" s="459">
        <f>G85*Group_3_rates!I82</f>
        <v>2.3770540558736664</v>
      </c>
      <c r="H119" s="459">
        <f>H85*Group_3_rates!J82</f>
        <v>2.1877288516078921</v>
      </c>
      <c r="I119" s="459">
        <f>I85*Group_3_rates!K82</f>
        <v>2.0848779702560298</v>
      </c>
      <c r="J119" s="459">
        <f>J85*Group_3_rates!L82</f>
        <v>2.0260876445717071</v>
      </c>
      <c r="K119" s="459">
        <f>K85*Group_3_rates!M82</f>
        <v>1.9869419761745384</v>
      </c>
      <c r="L119" s="459">
        <f>L85*Group_3_rates!N82</f>
        <v>1.9644005738270138</v>
      </c>
      <c r="M119" s="459">
        <f>M85*Group_3_rates!O82</f>
        <v>1.94801402621839</v>
      </c>
      <c r="N119" s="459">
        <f>N85*Group_3_rates!P82</f>
        <v>1.9366420368682284</v>
      </c>
    </row>
    <row r="120" spans="1:14">
      <c r="B120" s="338" t="str">
        <f t="shared" si="47"/>
        <v>65 plus</v>
      </c>
      <c r="C120" s="459">
        <f>C86*Group_3_rates!E83</f>
        <v>1.3656666440385001</v>
      </c>
      <c r="D120" s="459">
        <f>D86*Group_3_rates!F83</f>
        <v>1.4355787809455025</v>
      </c>
      <c r="E120" s="459">
        <f>E86*Group_3_rates!G83</f>
        <v>1.3696641696157767</v>
      </c>
      <c r="F120" s="459">
        <f>F86*Group_3_rates!H83</f>
        <v>1.2327114234947423</v>
      </c>
      <c r="G120" s="459">
        <f>G86*Group_3_rates!I83</f>
        <v>1.0938692804018597</v>
      </c>
      <c r="H120" s="459">
        <f>H86*Group_3_rates!J83</f>
        <v>0.98962102151397113</v>
      </c>
      <c r="I120" s="459">
        <f>I86*Group_3_rates!K83</f>
        <v>0.91909241012413023</v>
      </c>
      <c r="J120" s="459">
        <f>J86*Group_3_rates!L83</f>
        <v>0.87151942894996781</v>
      </c>
      <c r="K120" s="459">
        <f>K86*Group_3_rates!M83</f>
        <v>0.83769458025720966</v>
      </c>
      <c r="L120" s="459">
        <f>L86*Group_3_rates!N83</f>
        <v>0.81546361867673223</v>
      </c>
      <c r="M120" s="459">
        <f>M86*Group_3_rates!O83</f>
        <v>0.79952935589020868</v>
      </c>
      <c r="N120" s="459">
        <f>N86*Group_3_rates!P83</f>
        <v>0.78831969629265308</v>
      </c>
    </row>
    <row r="121" spans="1:14">
      <c r="B121" s="338" t="str">
        <f t="shared" si="47"/>
        <v>Total</v>
      </c>
      <c r="C121" s="459">
        <f>SUM(C111:C120)</f>
        <v>335.04275342249662</v>
      </c>
      <c r="D121" s="459">
        <f t="shared" ref="D121:N121" si="49">SUM(D111:D120)</f>
        <v>338.42263949928059</v>
      </c>
      <c r="E121" s="459">
        <f t="shared" si="49"/>
        <v>340.0401907467097</v>
      </c>
      <c r="F121" s="459">
        <f t="shared" si="49"/>
        <v>330.47582090160745</v>
      </c>
      <c r="G121" s="459">
        <f t="shared" si="49"/>
        <v>321.45003787145163</v>
      </c>
      <c r="H121" s="459">
        <f t="shared" si="49"/>
        <v>320.96152944719552</v>
      </c>
      <c r="I121" s="459">
        <f t="shared" si="49"/>
        <v>326.19713663280572</v>
      </c>
      <c r="J121" s="459">
        <f t="shared" si="49"/>
        <v>333.00711880308762</v>
      </c>
      <c r="K121" s="459">
        <f t="shared" si="49"/>
        <v>338.96534964781296</v>
      </c>
      <c r="L121" s="459">
        <f t="shared" si="49"/>
        <v>344.90721027180416</v>
      </c>
      <c r="M121" s="459">
        <f t="shared" si="49"/>
        <v>349.78977041830399</v>
      </c>
      <c r="N121" s="459">
        <f t="shared" si="49"/>
        <v>353.99734958979411</v>
      </c>
    </row>
    <row r="122" spans="1:14">
      <c r="A122" s="309">
        <f>SUM(C122:N122)</f>
        <v>0</v>
      </c>
      <c r="C122" s="309">
        <f>SUM(C111:C120)-C121</f>
        <v>0</v>
      </c>
      <c r="D122" s="309">
        <f t="shared" ref="D122:N122" si="50">SUM(D111:D120)-D121</f>
        <v>0</v>
      </c>
      <c r="E122" s="309">
        <f t="shared" si="50"/>
        <v>0</v>
      </c>
      <c r="F122" s="309">
        <f t="shared" si="50"/>
        <v>0</v>
      </c>
      <c r="G122" s="309">
        <f t="shared" si="50"/>
        <v>0</v>
      </c>
      <c r="H122" s="309">
        <f t="shared" si="50"/>
        <v>0</v>
      </c>
      <c r="I122" s="309">
        <f t="shared" si="50"/>
        <v>0</v>
      </c>
      <c r="J122" s="309">
        <f t="shared" si="50"/>
        <v>0</v>
      </c>
      <c r="K122" s="309">
        <f t="shared" si="50"/>
        <v>0</v>
      </c>
      <c r="L122" s="309">
        <f t="shared" si="50"/>
        <v>0</v>
      </c>
      <c r="M122" s="309">
        <f t="shared" si="50"/>
        <v>0</v>
      </c>
      <c r="N122" s="309">
        <f t="shared" si="50"/>
        <v>0</v>
      </c>
    </row>
    <row r="124" spans="1:14">
      <c r="B124" s="341" t="s">
        <v>50</v>
      </c>
      <c r="C124" s="329"/>
      <c r="D124" s="329"/>
      <c r="E124" s="329"/>
      <c r="F124" s="329"/>
      <c r="G124" s="329"/>
      <c r="H124" s="339"/>
      <c r="I124" s="329"/>
      <c r="J124" s="329"/>
      <c r="K124" s="329"/>
      <c r="L124" s="329"/>
    </row>
    <row r="125" spans="1:14">
      <c r="C125" s="329"/>
      <c r="D125" s="329"/>
      <c r="E125" s="329"/>
      <c r="F125" s="329"/>
      <c r="G125" s="329"/>
      <c r="H125" s="339"/>
      <c r="I125" s="329"/>
      <c r="J125" s="329"/>
      <c r="K125" s="329"/>
      <c r="L125" s="329"/>
    </row>
    <row r="126" spans="1:14">
      <c r="B126" s="338" t="str">
        <f t="shared" ref="B126:B137" si="51">B110</f>
        <v>Age group</v>
      </c>
      <c r="C126" s="338" t="str">
        <f t="shared" ref="C126:N126" si="52">C110</f>
        <v>2016/17</v>
      </c>
      <c r="D126" s="338" t="str">
        <f t="shared" si="52"/>
        <v>2017/18</v>
      </c>
      <c r="E126" s="338" t="str">
        <f t="shared" si="52"/>
        <v>2018/19</v>
      </c>
      <c r="F126" s="338" t="str">
        <f t="shared" si="52"/>
        <v>2019/20</v>
      </c>
      <c r="G126" s="338" t="str">
        <f t="shared" si="52"/>
        <v>2020/21</v>
      </c>
      <c r="H126" s="338" t="str">
        <f t="shared" si="52"/>
        <v>2021/22</v>
      </c>
      <c r="I126" s="338" t="str">
        <f t="shared" si="52"/>
        <v>2022/23</v>
      </c>
      <c r="J126" s="338" t="str">
        <f t="shared" si="52"/>
        <v>2023/24</v>
      </c>
      <c r="K126" s="338" t="str">
        <f t="shared" si="52"/>
        <v>2024/25</v>
      </c>
      <c r="L126" s="338" t="str">
        <f t="shared" si="52"/>
        <v>2025/26</v>
      </c>
      <c r="M126" s="338" t="str">
        <f t="shared" si="52"/>
        <v>2026/27</v>
      </c>
      <c r="N126" s="338" t="str">
        <f t="shared" si="52"/>
        <v>2027/28</v>
      </c>
    </row>
    <row r="127" spans="1:14">
      <c r="B127" s="338" t="str">
        <f t="shared" si="51"/>
        <v>20-24</v>
      </c>
      <c r="C127" s="459">
        <f>C93*Group_3_rates!E89</f>
        <v>32.926818244223739</v>
      </c>
      <c r="D127" s="459">
        <f>D93*Group_3_rates!F89</f>
        <v>45.388395616586365</v>
      </c>
      <c r="E127" s="459">
        <f>E93*Group_3_rates!G89</f>
        <v>53.209608552690746</v>
      </c>
      <c r="F127" s="459">
        <f>F93*Group_3_rates!H89</f>
        <v>52.684034452180889</v>
      </c>
      <c r="G127" s="459">
        <f>G93*Group_3_rates!I89</f>
        <v>51.844319703931788</v>
      </c>
      <c r="H127" s="459">
        <f>H93*Group_3_rates!J89</f>
        <v>55.176916410483926</v>
      </c>
      <c r="I127" s="459">
        <f>I93*Group_3_rates!K89</f>
        <v>60.580198375630154</v>
      </c>
      <c r="J127" s="459">
        <f>J93*Group_3_rates!L89</f>
        <v>65.62044707356327</v>
      </c>
      <c r="K127" s="459">
        <f>K93*Group_3_rates!M89</f>
        <v>69.195138715381361</v>
      </c>
      <c r="L127" s="459">
        <f>L93*Group_3_rates!N89</f>
        <v>72.101137896400431</v>
      </c>
      <c r="M127" s="459">
        <f>M93*Group_3_rates!O89</f>
        <v>73.956262242991684</v>
      </c>
      <c r="N127" s="459">
        <f>N93*Group_3_rates!P89</f>
        <v>75.185690126597805</v>
      </c>
    </row>
    <row r="128" spans="1:14">
      <c r="B128" s="338" t="str">
        <f t="shared" si="51"/>
        <v>25-29</v>
      </c>
      <c r="C128" s="459">
        <f>C94*Group_3_rates!E90</f>
        <v>125.26415015873918</v>
      </c>
      <c r="D128" s="459">
        <f>D94*Group_3_rates!F90</f>
        <v>119.83303247829492</v>
      </c>
      <c r="E128" s="459">
        <f>E94*Group_3_rates!G90</f>
        <v>116.60785644361833</v>
      </c>
      <c r="F128" s="459">
        <f>F94*Group_3_rates!H90</f>
        <v>108.80057863423829</v>
      </c>
      <c r="G128" s="459">
        <f>G94*Group_3_rates!I90</f>
        <v>102.54260044877813</v>
      </c>
      <c r="H128" s="459">
        <f>H94*Group_3_rates!J90</f>
        <v>102.14918169074515</v>
      </c>
      <c r="I128" s="459">
        <f>I94*Group_3_rates!K90</f>
        <v>105.66153793822765</v>
      </c>
      <c r="J128" s="459">
        <f>J94*Group_3_rates!L90</f>
        <v>110.32134815738105</v>
      </c>
      <c r="K128" s="459">
        <f>K94*Group_3_rates!M90</f>
        <v>114.4463601396648</v>
      </c>
      <c r="L128" s="459">
        <f>L94*Group_3_rates!N90</f>
        <v>118.37143146679222</v>
      </c>
      <c r="M128" s="459">
        <f>M94*Group_3_rates!O90</f>
        <v>121.42537517408523</v>
      </c>
      <c r="N128" s="459">
        <f>N94*Group_3_rates!P90</f>
        <v>123.82245963370798</v>
      </c>
    </row>
    <row r="129" spans="1:14">
      <c r="B129" s="338" t="str">
        <f t="shared" si="51"/>
        <v>30-34</v>
      </c>
      <c r="C129" s="459">
        <f>C95*Group_3_rates!E91</f>
        <v>160.34526478128336</v>
      </c>
      <c r="D129" s="459">
        <f>D95*Group_3_rates!F91</f>
        <v>152.17995895091215</v>
      </c>
      <c r="E129" s="459">
        <f>E95*Group_3_rates!G91</f>
        <v>144.62189004829369</v>
      </c>
      <c r="F129" s="459">
        <f>F95*Group_3_rates!H91</f>
        <v>134.77019203390012</v>
      </c>
      <c r="G129" s="459">
        <f>G95*Group_3_rates!I91</f>
        <v>125.94599568585913</v>
      </c>
      <c r="H129" s="459">
        <f>H95*Group_3_rates!J91</f>
        <v>120.85842531924186</v>
      </c>
      <c r="I129" s="459">
        <f>I95*Group_3_rates!K91</f>
        <v>118.94686720998561</v>
      </c>
      <c r="J129" s="459">
        <f>J95*Group_3_rates!L91</f>
        <v>118.88732215304526</v>
      </c>
      <c r="K129" s="459">
        <f>K95*Group_3_rates!M91</f>
        <v>119.63107722841401</v>
      </c>
      <c r="L129" s="459">
        <f>L95*Group_3_rates!N91</f>
        <v>121.10288014298621</v>
      </c>
      <c r="M129" s="459">
        <f>M95*Group_3_rates!O91</f>
        <v>122.71709885095765</v>
      </c>
      <c r="N129" s="459">
        <f>N95*Group_3_rates!P91</f>
        <v>124.36245431052788</v>
      </c>
    </row>
    <row r="130" spans="1:14">
      <c r="B130" s="338" t="str">
        <f t="shared" si="51"/>
        <v>35-39</v>
      </c>
      <c r="C130" s="459">
        <f>C96*Group_3_rates!E92</f>
        <v>126.98835986990568</v>
      </c>
      <c r="D130" s="459">
        <f>D96*Group_3_rates!F92</f>
        <v>128.25945822180034</v>
      </c>
      <c r="E130" s="459">
        <f>E96*Group_3_rates!G92</f>
        <v>127.43888589965833</v>
      </c>
      <c r="F130" s="459">
        <f>F96*Group_3_rates!H92</f>
        <v>123.34816682294831</v>
      </c>
      <c r="G130" s="459">
        <f>G96*Group_3_rates!I92</f>
        <v>118.51947516327456</v>
      </c>
      <c r="H130" s="459">
        <f>H96*Group_3_rates!J92</f>
        <v>114.91951000655089</v>
      </c>
      <c r="I130" s="459">
        <f>I96*Group_3_rates!K92</f>
        <v>112.519695744594</v>
      </c>
      <c r="J130" s="459">
        <f>J96*Group_3_rates!L92</f>
        <v>110.86513016980483</v>
      </c>
      <c r="K130" s="459">
        <f>K96*Group_3_rates!M92</f>
        <v>109.62998490583702</v>
      </c>
      <c r="L130" s="459">
        <f>L96*Group_3_rates!N92</f>
        <v>108.97508206855649</v>
      </c>
      <c r="M130" s="459">
        <f>M96*Group_3_rates!O92</f>
        <v>108.66024346790498</v>
      </c>
      <c r="N130" s="459">
        <f>N96*Group_3_rates!P92</f>
        <v>108.66460696596572</v>
      </c>
    </row>
    <row r="131" spans="1:14">
      <c r="B131" s="338" t="str">
        <f t="shared" si="51"/>
        <v>40-44</v>
      </c>
      <c r="C131" s="459">
        <f>C97*Group_3_rates!E93</f>
        <v>101.23617841341657</v>
      </c>
      <c r="D131" s="459">
        <f>D97*Group_3_rates!F93</f>
        <v>103.42919915642034</v>
      </c>
      <c r="E131" s="459">
        <f>E97*Group_3_rates!G93</f>
        <v>104.96387216493508</v>
      </c>
      <c r="F131" s="459">
        <f>F97*Group_3_rates!H93</f>
        <v>104.19071074531965</v>
      </c>
      <c r="G131" s="459">
        <f>G97*Group_3_rates!I93</f>
        <v>102.76554013272606</v>
      </c>
      <c r="H131" s="459">
        <f>H97*Group_3_rates!J93</f>
        <v>101.99779752579471</v>
      </c>
      <c r="I131" s="459">
        <f>I97*Group_3_rates!K93</f>
        <v>101.67039766496461</v>
      </c>
      <c r="J131" s="459">
        <f>J97*Group_3_rates!L93</f>
        <v>101.34833638065413</v>
      </c>
      <c r="K131" s="459">
        <f>K97*Group_3_rates!M93</f>
        <v>100.81319620927914</v>
      </c>
      <c r="L131" s="459">
        <f>L97*Group_3_rates!N93</f>
        <v>100.30330016505665</v>
      </c>
      <c r="M131" s="459">
        <f>M97*Group_3_rates!O93</f>
        <v>99.748582782169308</v>
      </c>
      <c r="N131" s="459">
        <f>N97*Group_3_rates!P93</f>
        <v>99.256416367010971</v>
      </c>
    </row>
    <row r="132" spans="1:14">
      <c r="B132" s="338" t="str">
        <f t="shared" si="51"/>
        <v>45-49</v>
      </c>
      <c r="C132" s="459">
        <f>C98*Group_3_rates!E94</f>
        <v>84.949643355071075</v>
      </c>
      <c r="D132" s="459">
        <f>D98*Group_3_rates!F94</f>
        <v>87.309082518121826</v>
      </c>
      <c r="E132" s="459">
        <f>E98*Group_3_rates!G94</f>
        <v>89.204822483552178</v>
      </c>
      <c r="F132" s="459">
        <f>F98*Group_3_rates!H94</f>
        <v>89.401378180640606</v>
      </c>
      <c r="G132" s="459">
        <f>G98*Group_3_rates!I94</f>
        <v>89.283334531513361</v>
      </c>
      <c r="H132" s="459">
        <f>H98*Group_3_rates!J94</f>
        <v>89.883401692703174</v>
      </c>
      <c r="I132" s="459">
        <f>I98*Group_3_rates!K94</f>
        <v>90.916572156530336</v>
      </c>
      <c r="J132" s="459">
        <f>J98*Group_3_rates!L94</f>
        <v>91.903011015614211</v>
      </c>
      <c r="K132" s="459">
        <f>K98*Group_3_rates!M94</f>
        <v>92.561096285144089</v>
      </c>
      <c r="L132" s="459">
        <f>L98*Group_3_rates!N94</f>
        <v>93.028870839016292</v>
      </c>
      <c r="M132" s="459">
        <f>M98*Group_3_rates!O94</f>
        <v>93.221277147356275</v>
      </c>
      <c r="N132" s="459">
        <f>N98*Group_3_rates!P94</f>
        <v>93.232912973531</v>
      </c>
    </row>
    <row r="133" spans="1:14">
      <c r="B133" s="338" t="str">
        <f t="shared" si="51"/>
        <v>50-54</v>
      </c>
      <c r="C133" s="459">
        <f>C99*Group_3_rates!E95</f>
        <v>76.787107704684772</v>
      </c>
      <c r="D133" s="459">
        <f>D99*Group_3_rates!F95</f>
        <v>76.228519649054121</v>
      </c>
      <c r="E133" s="459">
        <f>E99*Group_3_rates!G95</f>
        <v>76.095814872688749</v>
      </c>
      <c r="F133" s="459">
        <f>F99*Group_3_rates!H95</f>
        <v>75.153324012293211</v>
      </c>
      <c r="G133" s="459">
        <f>G99*Group_3_rates!I95</f>
        <v>74.430151317425313</v>
      </c>
      <c r="H133" s="459">
        <f>H99*Group_3_rates!J95</f>
        <v>74.687242981539384</v>
      </c>
      <c r="I133" s="459">
        <f>I99*Group_3_rates!K95</f>
        <v>75.603380313366358</v>
      </c>
      <c r="J133" s="459">
        <f>J99*Group_3_rates!L95</f>
        <v>76.703655433646347</v>
      </c>
      <c r="K133" s="459">
        <f>K99*Group_3_rates!M95</f>
        <v>77.681321676262272</v>
      </c>
      <c r="L133" s="459">
        <f>L99*Group_3_rates!N95</f>
        <v>78.581296284748376</v>
      </c>
      <c r="M133" s="459">
        <f>M99*Group_3_rates!O95</f>
        <v>79.271421025809033</v>
      </c>
      <c r="N133" s="459">
        <f>N99*Group_3_rates!P95</f>
        <v>79.781586972021941</v>
      </c>
    </row>
    <row r="134" spans="1:14">
      <c r="B134" s="338" t="str">
        <f t="shared" si="51"/>
        <v>55-59</v>
      </c>
      <c r="C134" s="459">
        <f>C100*Group_3_rates!E96</f>
        <v>38.19521527917739</v>
      </c>
      <c r="D134" s="459">
        <f>D100*Group_3_rates!F96</f>
        <v>33.422945067191833</v>
      </c>
      <c r="E134" s="459">
        <f>E100*Group_3_rates!G96</f>
        <v>30.408574978840861</v>
      </c>
      <c r="F134" s="459">
        <f>F100*Group_3_rates!H96</f>
        <v>28.048021600538519</v>
      </c>
      <c r="G134" s="459">
        <f>G100*Group_3_rates!I96</f>
        <v>26.487905445700715</v>
      </c>
      <c r="H134" s="459">
        <f>H100*Group_3_rates!J96</f>
        <v>25.821226923022056</v>
      </c>
      <c r="I134" s="459">
        <f>I100*Group_3_rates!K96</f>
        <v>25.719129119080048</v>
      </c>
      <c r="J134" s="459">
        <f>J100*Group_3_rates!L96</f>
        <v>25.865879697879958</v>
      </c>
      <c r="K134" s="459">
        <f>K100*Group_3_rates!M96</f>
        <v>26.075333785795895</v>
      </c>
      <c r="L134" s="459">
        <f>L100*Group_3_rates!N96</f>
        <v>26.341964940105278</v>
      </c>
      <c r="M134" s="459">
        <f>M100*Group_3_rates!O96</f>
        <v>26.583251245844018</v>
      </c>
      <c r="N134" s="459">
        <f>N100*Group_3_rates!P96</f>
        <v>26.796806454135762</v>
      </c>
    </row>
    <row r="135" spans="1:14">
      <c r="B135" s="338" t="str">
        <f t="shared" si="51"/>
        <v>60-64</v>
      </c>
      <c r="C135" s="459">
        <f>C101*Group_3_rates!E97</f>
        <v>7.2417823604137315</v>
      </c>
      <c r="D135" s="459">
        <f>D101*Group_3_rates!F97</f>
        <v>6.2182916476630705</v>
      </c>
      <c r="E135" s="459">
        <f>E101*Group_3_rates!G97</f>
        <v>5.4211275296967294</v>
      </c>
      <c r="F135" s="459">
        <f>F101*Group_3_rates!H97</f>
        <v>4.7370556951878475</v>
      </c>
      <c r="G135" s="459">
        <f>G101*Group_3_rates!I97</f>
        <v>4.2624904513808906</v>
      </c>
      <c r="H135" s="459">
        <f>H101*Group_3_rates!J97</f>
        <v>4.0255258142578976</v>
      </c>
      <c r="I135" s="459">
        <f>I101*Group_3_rates!K97</f>
        <v>3.9362043965498104</v>
      </c>
      <c r="J135" s="459">
        <f>J101*Group_3_rates!L97</f>
        <v>3.9130178213165054</v>
      </c>
      <c r="K135" s="459">
        <f>K101*Group_3_rates!M97</f>
        <v>3.9113521644434917</v>
      </c>
      <c r="L135" s="459">
        <f>L101*Group_3_rates!N97</f>
        <v>3.9313083122338908</v>
      </c>
      <c r="M135" s="459">
        <f>M101*Group_3_rates!O97</f>
        <v>3.9530707650765251</v>
      </c>
      <c r="N135" s="459">
        <f>N101*Group_3_rates!P97</f>
        <v>3.9765824562369843</v>
      </c>
    </row>
    <row r="136" spans="1:14">
      <c r="B136" s="338" t="str">
        <f t="shared" si="51"/>
        <v>65 plus</v>
      </c>
      <c r="C136" s="459">
        <f>C102*Group_3_rates!E98</f>
        <v>2.3265543744654957</v>
      </c>
      <c r="D136" s="459">
        <f>D102*Group_3_rates!F98</f>
        <v>2.6191406046975469</v>
      </c>
      <c r="E136" s="459">
        <f>E102*Group_3_rates!G98</f>
        <v>2.5806102703544718</v>
      </c>
      <c r="F136" s="459">
        <f>F102*Group_3_rates!H98</f>
        <v>2.3590202376238829</v>
      </c>
      <c r="G136" s="459">
        <f>G102*Group_3_rates!I98</f>
        <v>2.1286953767281642</v>
      </c>
      <c r="H136" s="459">
        <f>H102*Group_3_rates!J98</f>
        <v>1.9785453514177291</v>
      </c>
      <c r="I136" s="459">
        <f>I102*Group_3_rates!K98</f>
        <v>1.8980198360502429</v>
      </c>
      <c r="J136" s="459">
        <f>J102*Group_3_rates!L98</f>
        <v>1.8562764930939739</v>
      </c>
      <c r="K136" s="459">
        <f>K102*Group_3_rates!M98</f>
        <v>1.831393222003598</v>
      </c>
      <c r="L136" s="459">
        <f>L102*Group_3_rates!N98</f>
        <v>1.8227344287971161</v>
      </c>
      <c r="M136" s="459">
        <f>M102*Group_3_rates!O98</f>
        <v>1.8193384388590848</v>
      </c>
      <c r="N136" s="459">
        <f>N102*Group_3_rates!P98</f>
        <v>1.8202529254609667</v>
      </c>
    </row>
    <row r="137" spans="1:14">
      <c r="B137" s="338" t="str">
        <f t="shared" si="51"/>
        <v>Total</v>
      </c>
      <c r="C137" s="459">
        <f>SUM(C127:C136)</f>
        <v>756.26107454138105</v>
      </c>
      <c r="D137" s="459">
        <f t="shared" ref="D137:N137" si="53">SUM(D127:D136)</f>
        <v>754.88802391074239</v>
      </c>
      <c r="E137" s="459">
        <f t="shared" si="53"/>
        <v>750.55306324432911</v>
      </c>
      <c r="F137" s="459">
        <f t="shared" si="53"/>
        <v>723.49248241487123</v>
      </c>
      <c r="G137" s="459">
        <f t="shared" si="53"/>
        <v>698.21050825731811</v>
      </c>
      <c r="H137" s="459">
        <f t="shared" si="53"/>
        <v>691.49777371575681</v>
      </c>
      <c r="I137" s="459">
        <f t="shared" si="53"/>
        <v>697.45200275497893</v>
      </c>
      <c r="J137" s="459">
        <f t="shared" si="53"/>
        <v>707.28442439599951</v>
      </c>
      <c r="K137" s="459">
        <f t="shared" si="53"/>
        <v>715.7762543322259</v>
      </c>
      <c r="L137" s="459">
        <f t="shared" si="53"/>
        <v>724.56000654469301</v>
      </c>
      <c r="M137" s="459">
        <f t="shared" si="53"/>
        <v>731.35592114105384</v>
      </c>
      <c r="N137" s="459">
        <f t="shared" si="53"/>
        <v>736.8997691851971</v>
      </c>
    </row>
    <row r="138" spans="1:14">
      <c r="A138" s="309">
        <f>SUM(C138:N138)</f>
        <v>0</v>
      </c>
      <c r="C138" s="309">
        <f>SUM(C127:C136)-C137</f>
        <v>0</v>
      </c>
      <c r="D138" s="309">
        <f t="shared" ref="D138:N138" si="54">SUM(D127:D136)-D137</f>
        <v>0</v>
      </c>
      <c r="E138" s="309">
        <f t="shared" si="54"/>
        <v>0</v>
      </c>
      <c r="F138" s="309">
        <f t="shared" si="54"/>
        <v>0</v>
      </c>
      <c r="G138" s="309">
        <f t="shared" si="54"/>
        <v>0</v>
      </c>
      <c r="H138" s="309">
        <f t="shared" si="54"/>
        <v>0</v>
      </c>
      <c r="I138" s="309">
        <f t="shared" si="54"/>
        <v>0</v>
      </c>
      <c r="J138" s="309">
        <f t="shared" si="54"/>
        <v>0</v>
      </c>
      <c r="K138" s="309">
        <f t="shared" si="54"/>
        <v>0</v>
      </c>
      <c r="L138" s="309">
        <f t="shared" si="54"/>
        <v>0</v>
      </c>
      <c r="M138" s="309">
        <f t="shared" si="54"/>
        <v>0</v>
      </c>
      <c r="N138" s="309">
        <f t="shared" si="54"/>
        <v>0</v>
      </c>
    </row>
    <row r="140" spans="1:14" ht="15.75">
      <c r="B140" s="340" t="s">
        <v>152</v>
      </c>
      <c r="H140" s="325"/>
    </row>
    <row r="141" spans="1:14">
      <c r="H141" s="325"/>
    </row>
    <row r="142" spans="1:14">
      <c r="B142" s="341" t="s">
        <v>49</v>
      </c>
      <c r="H142" s="325"/>
    </row>
    <row r="143" spans="1:14">
      <c r="H143" s="325"/>
    </row>
    <row r="144" spans="1:14">
      <c r="B144" s="338" t="str">
        <f t="shared" ref="B144:B155" si="55">B110</f>
        <v>Age group</v>
      </c>
      <c r="C144" s="338" t="str">
        <f t="shared" ref="C144:N144" si="56">C110</f>
        <v>2016/17</v>
      </c>
      <c r="D144" s="338" t="str">
        <f t="shared" si="56"/>
        <v>2017/18</v>
      </c>
      <c r="E144" s="338" t="str">
        <f t="shared" si="56"/>
        <v>2018/19</v>
      </c>
      <c r="F144" s="338" t="str">
        <f t="shared" si="56"/>
        <v>2019/20</v>
      </c>
      <c r="G144" s="338" t="str">
        <f t="shared" si="56"/>
        <v>2020/21</v>
      </c>
      <c r="H144" s="338" t="str">
        <f t="shared" si="56"/>
        <v>2021/22</v>
      </c>
      <c r="I144" s="338" t="str">
        <f t="shared" si="56"/>
        <v>2022/23</v>
      </c>
      <c r="J144" s="338" t="str">
        <f t="shared" si="56"/>
        <v>2023/24</v>
      </c>
      <c r="K144" s="338" t="str">
        <f t="shared" si="56"/>
        <v>2024/25</v>
      </c>
      <c r="L144" s="338" t="str">
        <f t="shared" si="56"/>
        <v>2025/26</v>
      </c>
      <c r="M144" s="338" t="str">
        <f t="shared" si="56"/>
        <v>2026/27</v>
      </c>
      <c r="N144" s="338" t="str">
        <f t="shared" si="56"/>
        <v>2027/28</v>
      </c>
    </row>
    <row r="145" spans="1:14">
      <c r="B145" s="338" t="str">
        <f t="shared" si="55"/>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5"/>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5"/>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5"/>
        <v>35-39</v>
      </c>
      <c r="C148" s="459">
        <f>C80*Calc_SEC_retirement_rates!$G127</f>
        <v>0.32517157203245145</v>
      </c>
      <c r="D148" s="459">
        <f>D80*Calc_SEC_retirement_rates!$G127</f>
        <v>0.32652365853526777</v>
      </c>
      <c r="E148" s="459">
        <f>E80*Calc_SEC_retirement_rates!$G127</f>
        <v>0.32420408571242776</v>
      </c>
      <c r="F148" s="459">
        <f>F80*Calc_SEC_retirement_rates!$G127</f>
        <v>0.31480780529546554</v>
      </c>
      <c r="G148" s="459">
        <f>G80*Calc_SEC_retirement_rates!$G127</f>
        <v>0.30459720223217773</v>
      </c>
      <c r="H148" s="459">
        <f>H80*Calc_SEC_retirement_rates!$G127</f>
        <v>0.2984189370799234</v>
      </c>
      <c r="I148" s="459">
        <f>I80*Calc_SEC_retirement_rates!$G127</f>
        <v>0.29593601944860176</v>
      </c>
      <c r="J148" s="459">
        <f>J80*Calc_SEC_retirement_rates!$G127</f>
        <v>0.2957299622928275</v>
      </c>
      <c r="K148" s="459">
        <f>K80*Calc_SEC_retirement_rates!$G127</f>
        <v>0.29675684847817763</v>
      </c>
      <c r="L148" s="459">
        <f>L80*Calc_SEC_retirement_rates!$G127</f>
        <v>0.29929939013410617</v>
      </c>
      <c r="M148" s="459">
        <f>M80*Calc_SEC_retirement_rates!$G127</f>
        <v>0.30261969814232698</v>
      </c>
      <c r="N148" s="459">
        <f>N80*Calc_SEC_retirement_rates!$G127</f>
        <v>0.30658565486589301</v>
      </c>
    </row>
    <row r="149" spans="1:14">
      <c r="B149" s="338" t="str">
        <f t="shared" si="55"/>
        <v>40-44</v>
      </c>
      <c r="C149" s="459">
        <f>C81*Calc_SEC_retirement_rates!$G128</f>
        <v>0.38695446500734182</v>
      </c>
      <c r="D149" s="459">
        <f>D81*Calc_SEC_retirement_rates!$G128</f>
        <v>0.38806451726976249</v>
      </c>
      <c r="E149" s="459">
        <f>E81*Calc_SEC_retirement_rates!$G128</f>
        <v>0.38811568101819749</v>
      </c>
      <c r="F149" s="459">
        <f>F81*Calc_SEC_retirement_rates!$G128</f>
        <v>0.38132702511110939</v>
      </c>
      <c r="G149" s="459">
        <f>G81*Calc_SEC_retirement_rates!$G128</f>
        <v>0.37355243346548961</v>
      </c>
      <c r="H149" s="459">
        <f>H81*Calc_SEC_retirement_rates!$G128</f>
        <v>0.36936593588277522</v>
      </c>
      <c r="I149" s="459">
        <f>I81*Calc_SEC_retirement_rates!$G128</f>
        <v>0.36788223488225724</v>
      </c>
      <c r="J149" s="459">
        <f>J81*Calc_SEC_retirement_rates!$G128</f>
        <v>0.36740249731846708</v>
      </c>
      <c r="K149" s="459">
        <f>K81*Calc_SEC_retirement_rates!$G128</f>
        <v>0.36697488747636509</v>
      </c>
      <c r="L149" s="459">
        <f>L81*Calc_SEC_retirement_rates!$G128</f>
        <v>0.36726826933269435</v>
      </c>
      <c r="M149" s="459">
        <f>M81*Calc_SEC_retirement_rates!$G128</f>
        <v>0.36787111971800951</v>
      </c>
      <c r="N149" s="459">
        <f>N81*Calc_SEC_retirement_rates!$G128</f>
        <v>0.36901763286763084</v>
      </c>
    </row>
    <row r="150" spans="1:14">
      <c r="B150" s="338" t="str">
        <f t="shared" si="55"/>
        <v>45-49</v>
      </c>
      <c r="C150" s="459">
        <f>C82*Calc_SEC_retirement_rates!$G129</f>
        <v>0.85967068915396283</v>
      </c>
      <c r="D150" s="459">
        <f>D82*Calc_SEC_retirement_rates!$G129</f>
        <v>0.8550680514843888</v>
      </c>
      <c r="E150" s="459">
        <f>E82*Calc_SEC_retirement_rates!$G129</f>
        <v>0.8499929832081925</v>
      </c>
      <c r="F150" s="459">
        <f>F82*Calc_SEC_retirement_rates!$G129</f>
        <v>0.83376333484530707</v>
      </c>
      <c r="G150" s="459">
        <f>G82*Calc_SEC_retirement_rates!$G129</f>
        <v>0.81775129504050847</v>
      </c>
      <c r="H150" s="459">
        <f>H82*Calc_SEC_retirement_rates!$G129</f>
        <v>0.81046039662309888</v>
      </c>
      <c r="I150" s="459">
        <f>I82*Calc_SEC_retirement_rates!$G129</f>
        <v>0.80937786132896317</v>
      </c>
      <c r="J150" s="459">
        <f>J82*Calc_SEC_retirement_rates!$G129</f>
        <v>0.81033254865406457</v>
      </c>
      <c r="K150" s="459">
        <f>K82*Calc_SEC_retirement_rates!$G129</f>
        <v>0.81077385775249988</v>
      </c>
      <c r="L150" s="459">
        <f>L82*Calc_SEC_retirement_rates!$G129</f>
        <v>0.81163306164107896</v>
      </c>
      <c r="M150" s="459">
        <f>M82*Calc_SEC_retirement_rates!$G129</f>
        <v>0.81195334243362927</v>
      </c>
      <c r="N150" s="459">
        <f>N82*Calc_SEC_retirement_rates!$G129</f>
        <v>0.81227201087988732</v>
      </c>
    </row>
    <row r="151" spans="1:14">
      <c r="B151" s="338" t="str">
        <f t="shared" si="55"/>
        <v>50-54</v>
      </c>
      <c r="C151" s="459">
        <f>C83*Calc_SEC_retirement_rates!$G130</f>
        <v>16.402270268093552</v>
      </c>
      <c r="D151" s="459">
        <f>D83*Calc_SEC_retirement_rates!$G130</f>
        <v>15.986242789965559</v>
      </c>
      <c r="E151" s="459">
        <f>E83*Calc_SEC_retirement_rates!$G130</f>
        <v>15.634210905193173</v>
      </c>
      <c r="F151" s="459">
        <f>F83*Calc_SEC_retirement_rates!$G130</f>
        <v>15.15289211329195</v>
      </c>
      <c r="G151" s="459">
        <f>G83*Calc_SEC_retirement_rates!$G130</f>
        <v>14.727057927457825</v>
      </c>
      <c r="H151" s="459">
        <f>H83*Calc_SEC_retirement_rates!$G130</f>
        <v>14.492586963433491</v>
      </c>
      <c r="I151" s="459">
        <f>I83*Calc_SEC_retirement_rates!$G130</f>
        <v>14.399347696277085</v>
      </c>
      <c r="J151" s="459">
        <f>J83*Calc_SEC_retirement_rates!$G130</f>
        <v>14.36916963284545</v>
      </c>
      <c r="K151" s="459">
        <f>K83*Calc_SEC_retirement_rates!$G130</f>
        <v>14.350898458814243</v>
      </c>
      <c r="L151" s="459">
        <f>L83*Calc_SEC_retirement_rates!$G130</f>
        <v>14.351924935842757</v>
      </c>
      <c r="M151" s="459">
        <f>M83*Calc_SEC_retirement_rates!$G130</f>
        <v>14.348721160658625</v>
      </c>
      <c r="N151" s="459">
        <f>N83*Calc_SEC_retirement_rates!$G130</f>
        <v>14.344534872876759</v>
      </c>
    </row>
    <row r="152" spans="1:14">
      <c r="B152" s="338" t="str">
        <f t="shared" si="55"/>
        <v>55-59</v>
      </c>
      <c r="C152" s="459">
        <f>C84*Calc_SEC_retirement_rates!$G131</f>
        <v>98.645106034695843</v>
      </c>
      <c r="D152" s="459">
        <f>D84*Calc_SEC_retirement_rates!$G131</f>
        <v>84.041729098845408</v>
      </c>
      <c r="E152" s="459">
        <f>E84*Calc_SEC_retirement_rates!$G131</f>
        <v>74.650440684911885</v>
      </c>
      <c r="F152" s="459">
        <f>F84*Calc_SEC_retirement_rates!$G131</f>
        <v>67.539179652929022</v>
      </c>
      <c r="G152" s="459">
        <f>G84*Calc_SEC_retirement_rates!$G131</f>
        <v>62.606672841558506</v>
      </c>
      <c r="H152" s="459">
        <f>H84*Calc_SEC_retirement_rates!$G131</f>
        <v>59.817262376114378</v>
      </c>
      <c r="I152" s="459">
        <f>I84*Calc_SEC_retirement_rates!$G131</f>
        <v>58.390379866823352</v>
      </c>
      <c r="J152" s="459">
        <f>J84*Calc_SEC_retirement_rates!$G131</f>
        <v>57.631666009822709</v>
      </c>
      <c r="K152" s="459">
        <f>K84*Calc_SEC_retirement_rates!$G131</f>
        <v>57.138521128880761</v>
      </c>
      <c r="L152" s="459">
        <f>L84*Calc_SEC_retirement_rates!$G131</f>
        <v>56.885231848767376</v>
      </c>
      <c r="M152" s="459">
        <f>M84*Calc_SEC_retirement_rates!$G131</f>
        <v>56.697922037463201</v>
      </c>
      <c r="N152" s="459">
        <f>N84*Calc_SEC_retirement_rates!$G131</f>
        <v>56.566062678064327</v>
      </c>
    </row>
    <row r="153" spans="1:14">
      <c r="B153" s="338" t="str">
        <f t="shared" si="55"/>
        <v>60-64</v>
      </c>
      <c r="C153" s="459">
        <f>C85*Calc_SEC_retirement_rates!$G132</f>
        <v>83.874662031158778</v>
      </c>
      <c r="D153" s="459">
        <f>D85*Calc_SEC_retirement_rates!$G132</f>
        <v>70.355934665010466</v>
      </c>
      <c r="E153" s="459">
        <f>E85*Calc_SEC_retirement_rates!$G132</f>
        <v>59.783043208263315</v>
      </c>
      <c r="F153" s="459">
        <f>F85*Calc_SEC_retirement_rates!$G132</f>
        <v>51.147673529026534</v>
      </c>
      <c r="G153" s="459">
        <f>G85*Calc_SEC_retirement_rates!$G132</f>
        <v>45.02009868839604</v>
      </c>
      <c r="H153" s="459">
        <f>H85*Calc_SEC_retirement_rates!$G132</f>
        <v>41.434383269268487</v>
      </c>
      <c r="I153" s="459">
        <f>I85*Calc_SEC_retirement_rates!$G132</f>
        <v>39.48644404710069</v>
      </c>
      <c r="J153" s="459">
        <f>J85*Calc_SEC_retirement_rates!$G132</f>
        <v>38.372987557673753</v>
      </c>
      <c r="K153" s="459">
        <f>K85*Calc_SEC_retirement_rates!$G132</f>
        <v>37.63159009129766</v>
      </c>
      <c r="L153" s="459">
        <f>L85*Calc_SEC_retirement_rates!$G132</f>
        <v>37.204668307271419</v>
      </c>
      <c r="M153" s="459">
        <f>M85*Calc_SEC_retirement_rates!$G132</f>
        <v>36.894316092655416</v>
      </c>
      <c r="N153" s="459">
        <f>N85*Calc_SEC_retirement_rates!$G132</f>
        <v>36.678936858193921</v>
      </c>
    </row>
    <row r="154" spans="1:14">
      <c r="B154" s="338" t="str">
        <f t="shared" si="55"/>
        <v>65 plus</v>
      </c>
      <c r="C154" s="459">
        <f>C86*Calc_SEC_retirement_rates!$G133</f>
        <v>25.677889364125249</v>
      </c>
      <c r="D154" s="459">
        <f>D86*Calc_SEC_retirement_rates!$G133</f>
        <v>26.992409363968619</v>
      </c>
      <c r="E154" s="459">
        <f>E86*Calc_SEC_retirement_rates!$G133</f>
        <v>25.75305266986436</v>
      </c>
      <c r="F154" s="459">
        <f>F86*Calc_SEC_retirement_rates!$G133</f>
        <v>23.178004448279534</v>
      </c>
      <c r="G154" s="459">
        <f>G86*Calc_SEC_retirement_rates!$G133</f>
        <v>20.567430919973763</v>
      </c>
      <c r="H154" s="459">
        <f>H86*Calc_SEC_retirement_rates!$G133</f>
        <v>18.607307437562326</v>
      </c>
      <c r="I154" s="459">
        <f>I86*Calc_SEC_retirement_rates!$G133</f>
        <v>17.281196202306393</v>
      </c>
      <c r="J154" s="459">
        <f>J86*Calc_SEC_retirement_rates!$G133</f>
        <v>16.3867072341206</v>
      </c>
      <c r="K154" s="459">
        <f>K86*Calc_SEC_retirement_rates!$G133</f>
        <v>15.750716945947143</v>
      </c>
      <c r="L154" s="459">
        <f>L86*Calc_SEC_retirement_rates!$G133</f>
        <v>15.332720230267292</v>
      </c>
      <c r="M154" s="459">
        <f>M86*Calc_SEC_retirement_rates!$G133</f>
        <v>15.033116927574548</v>
      </c>
      <c r="N154" s="459">
        <f>N86*Calc_SEC_retirement_rates!$G133</f>
        <v>14.822347776689858</v>
      </c>
    </row>
    <row r="155" spans="1:14">
      <c r="B155" s="338" t="str">
        <f t="shared" si="55"/>
        <v>Total</v>
      </c>
      <c r="C155" s="459">
        <f>SUM(C145:C154)</f>
        <v>226.17172442426715</v>
      </c>
      <c r="D155" s="459">
        <f t="shared" ref="D155:N155" si="57">SUM(D145:D154)</f>
        <v>198.94597214507948</v>
      </c>
      <c r="E155" s="459">
        <f t="shared" si="57"/>
        <v>177.38306021817155</v>
      </c>
      <c r="F155" s="459">
        <f t="shared" si="57"/>
        <v>158.54764790877891</v>
      </c>
      <c r="G155" s="459">
        <f t="shared" si="57"/>
        <v>144.41716130812432</v>
      </c>
      <c r="H155" s="459">
        <f t="shared" si="57"/>
        <v>135.82978531596447</v>
      </c>
      <c r="I155" s="459">
        <f t="shared" si="57"/>
        <v>131.03056392816734</v>
      </c>
      <c r="J155" s="459">
        <f t="shared" si="57"/>
        <v>128.23399544272786</v>
      </c>
      <c r="K155" s="459">
        <f t="shared" si="57"/>
        <v>126.34623221864686</v>
      </c>
      <c r="L155" s="459">
        <f t="shared" si="57"/>
        <v>125.25274604325671</v>
      </c>
      <c r="M155" s="459">
        <f t="shared" si="57"/>
        <v>124.45652037864576</v>
      </c>
      <c r="N155" s="459">
        <f t="shared" si="57"/>
        <v>123.89975748443827</v>
      </c>
    </row>
    <row r="156" spans="1:14">
      <c r="A156" s="309">
        <f>SUM(C156:N156)</f>
        <v>0</v>
      </c>
      <c r="C156" s="309">
        <f>SUM(C145:C154)-C155</f>
        <v>0</v>
      </c>
      <c r="D156" s="309">
        <f t="shared" ref="D156:N156" si="58">SUM(D145:D154)-D155</f>
        <v>0</v>
      </c>
      <c r="E156" s="309">
        <f t="shared" si="58"/>
        <v>0</v>
      </c>
      <c r="F156" s="309">
        <f t="shared" si="58"/>
        <v>0</v>
      </c>
      <c r="G156" s="309">
        <f t="shared" si="58"/>
        <v>0</v>
      </c>
      <c r="H156" s="309">
        <f t="shared" si="58"/>
        <v>0</v>
      </c>
      <c r="I156" s="309">
        <f t="shared" si="58"/>
        <v>0</v>
      </c>
      <c r="J156" s="309">
        <f t="shared" si="58"/>
        <v>0</v>
      </c>
      <c r="K156" s="309">
        <f t="shared" si="58"/>
        <v>0</v>
      </c>
      <c r="L156" s="309">
        <f t="shared" si="58"/>
        <v>0</v>
      </c>
      <c r="M156" s="309">
        <f t="shared" si="58"/>
        <v>0</v>
      </c>
      <c r="N156" s="309">
        <f t="shared" si="58"/>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59">B144</f>
        <v>Age group</v>
      </c>
      <c r="C160" s="338" t="str">
        <f t="shared" ref="C160:N160" si="60">C144</f>
        <v>2016/17</v>
      </c>
      <c r="D160" s="338" t="str">
        <f t="shared" si="60"/>
        <v>2017/18</v>
      </c>
      <c r="E160" s="338" t="str">
        <f t="shared" si="60"/>
        <v>2018/19</v>
      </c>
      <c r="F160" s="338" t="str">
        <f t="shared" si="60"/>
        <v>2019/20</v>
      </c>
      <c r="G160" s="338" t="str">
        <f t="shared" si="60"/>
        <v>2020/21</v>
      </c>
      <c r="H160" s="338" t="str">
        <f t="shared" si="60"/>
        <v>2021/22</v>
      </c>
      <c r="I160" s="338" t="str">
        <f t="shared" si="60"/>
        <v>2022/23</v>
      </c>
      <c r="J160" s="338" t="str">
        <f t="shared" si="60"/>
        <v>2023/24</v>
      </c>
      <c r="K160" s="338" t="str">
        <f t="shared" si="60"/>
        <v>2024/25</v>
      </c>
      <c r="L160" s="338" t="str">
        <f t="shared" si="60"/>
        <v>2025/26</v>
      </c>
      <c r="M160" s="338" t="str">
        <f t="shared" si="60"/>
        <v>2026/27</v>
      </c>
      <c r="N160" s="338" t="str">
        <f t="shared" si="60"/>
        <v>2027/28</v>
      </c>
    </row>
    <row r="161" spans="1:16">
      <c r="B161" s="338" t="str">
        <f t="shared" si="59"/>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c r="O161" s="327"/>
      <c r="P161" s="327"/>
    </row>
    <row r="162" spans="1:16">
      <c r="B162" s="338" t="str">
        <f t="shared" si="59"/>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c r="O162" s="327"/>
      <c r="P162" s="327"/>
    </row>
    <row r="163" spans="1:16">
      <c r="B163" s="338" t="str">
        <f t="shared" si="59"/>
        <v>30-34</v>
      </c>
      <c r="C163" s="459">
        <f>C95*Calc_SEC_retirement_rates!$G142</f>
        <v>0.2231288631307892</v>
      </c>
      <c r="D163" s="459">
        <f>D95*Calc_SEC_retirement_rates!$G142</f>
        <v>0.21176641092784393</v>
      </c>
      <c r="E163" s="459">
        <f>E95*Calc_SEC_retirement_rates!$G142</f>
        <v>0.20124896082412078</v>
      </c>
      <c r="F163" s="459">
        <f>F95*Calc_SEC_retirement_rates!$G142</f>
        <v>0.18753980526621944</v>
      </c>
      <c r="G163" s="459">
        <f>G95*Calc_SEC_retirement_rates!$G142</f>
        <v>0.17526047227895011</v>
      </c>
      <c r="H163" s="459">
        <f>H95*Calc_SEC_retirement_rates!$G142</f>
        <v>0.1681808507288555</v>
      </c>
      <c r="I163" s="459">
        <f>I95*Calc_SEC_retirement_rates!$G142</f>
        <v>0.16552081715500108</v>
      </c>
      <c r="J163" s="459">
        <f>J95*Calc_SEC_retirement_rates!$G142</f>
        <v>0.16543795707878817</v>
      </c>
      <c r="K163" s="459">
        <f>K95*Calc_SEC_retirement_rates!$G142</f>
        <v>0.16647293135533539</v>
      </c>
      <c r="L163" s="459">
        <f>L95*Calc_SEC_retirement_rates!$G142</f>
        <v>0.16852102246378831</v>
      </c>
      <c r="M163" s="459">
        <f>M95*Calc_SEC_retirement_rates!$G142</f>
        <v>0.17076729263363347</v>
      </c>
      <c r="N163" s="459">
        <f>N95*Calc_SEC_retirement_rates!$G142</f>
        <v>0.17305689122976733</v>
      </c>
      <c r="O163" s="327"/>
      <c r="P163" s="327"/>
    </row>
    <row r="164" spans="1:16">
      <c r="B164" s="338" t="str">
        <f t="shared" si="59"/>
        <v>35-39</v>
      </c>
      <c r="C164" s="459">
        <f>C96*Calc_SEC_retirement_rates!$G143</f>
        <v>0.54517317417888222</v>
      </c>
      <c r="D164" s="459">
        <f>D96*Calc_SEC_retirement_rates!$G143</f>
        <v>0.55063012097231967</v>
      </c>
      <c r="E164" s="459">
        <f>E96*Calc_SEC_retirement_rates!$G143</f>
        <v>0.54710732551324148</v>
      </c>
      <c r="F164" s="459">
        <f>F96*Calc_SEC_retirement_rates!$G143</f>
        <v>0.52954547727763313</v>
      </c>
      <c r="G164" s="459">
        <f>G96*Calc_SEC_retirement_rates!$G143</f>
        <v>0.50881544216313679</v>
      </c>
      <c r="H164" s="459">
        <f>H96*Calc_SEC_retirement_rates!$G143</f>
        <v>0.49336044744208502</v>
      </c>
      <c r="I164" s="459">
        <f>I96*Calc_SEC_retirement_rates!$G143</f>
        <v>0.48305781529555514</v>
      </c>
      <c r="J164" s="459">
        <f>J96*Calc_SEC_retirement_rates!$G143</f>
        <v>0.47595460703915271</v>
      </c>
      <c r="K164" s="459">
        <f>K96*Calc_SEC_retirement_rates!$G143</f>
        <v>0.47065201029076426</v>
      </c>
      <c r="L164" s="459">
        <f>L96*Calc_SEC_retirement_rates!$G143</f>
        <v>0.46784044977494416</v>
      </c>
      <c r="M164" s="459">
        <f>M96*Calc_SEC_retirement_rates!$G143</f>
        <v>0.46648881755095867</v>
      </c>
      <c r="N164" s="459">
        <f>N96*Calc_SEC_retirement_rates!$G143</f>
        <v>0.46650755046546155</v>
      </c>
      <c r="O164" s="327"/>
      <c r="P164" s="327"/>
    </row>
    <row r="165" spans="1:16">
      <c r="B165" s="338" t="str">
        <f t="shared" si="59"/>
        <v>40-44</v>
      </c>
      <c r="C165" s="459">
        <f>C97*Calc_SEC_retirement_rates!$G144</f>
        <v>0.73078220248723846</v>
      </c>
      <c r="D165" s="459">
        <f>D97*Calc_SEC_retirement_rates!$G144</f>
        <v>0.74661271440292842</v>
      </c>
      <c r="E165" s="459">
        <f>E97*Calc_SEC_retirement_rates!$G144</f>
        <v>0.75769088565392351</v>
      </c>
      <c r="F165" s="459">
        <f>F97*Calc_SEC_retirement_rates!$G144</f>
        <v>0.75210975236778344</v>
      </c>
      <c r="G165" s="459">
        <f>G97*Calc_SEC_retirement_rates!$G144</f>
        <v>0.74182203373286904</v>
      </c>
      <c r="H165" s="459">
        <f>H97*Calc_SEC_retirement_rates!$G144</f>
        <v>0.73628001661972375</v>
      </c>
      <c r="I165" s="459">
        <f>I97*Calc_SEC_retirement_rates!$G144</f>
        <v>0.73391665210773682</v>
      </c>
      <c r="J165" s="459">
        <f>J97*Calc_SEC_retirement_rates!$G144</f>
        <v>0.73159182457697847</v>
      </c>
      <c r="K165" s="459">
        <f>K97*Calc_SEC_retirement_rates!$G144</f>
        <v>0.72772886847565466</v>
      </c>
      <c r="L165" s="459">
        <f>L97*Calc_SEC_retirement_rates!$G144</f>
        <v>0.72404813931265954</v>
      </c>
      <c r="M165" s="459">
        <f>M97*Calc_SEC_retirement_rates!$G144</f>
        <v>0.72004386339887572</v>
      </c>
      <c r="N165" s="459">
        <f>N97*Calc_SEC_retirement_rates!$G144</f>
        <v>0.71649111711294922</v>
      </c>
      <c r="O165" s="327"/>
      <c r="P165" s="327"/>
    </row>
    <row r="166" spans="1:16">
      <c r="B166" s="338" t="str">
        <f t="shared" si="59"/>
        <v>45-49</v>
      </c>
      <c r="C166" s="459">
        <f>C98*Calc_SEC_retirement_rates!$G145</f>
        <v>1.1915830203881101</v>
      </c>
      <c r="D166" s="459">
        <f>D98*Calc_SEC_retirement_rates!$G145</f>
        <v>1.2246787172420532</v>
      </c>
      <c r="E166" s="459">
        <f>E98*Calc_SEC_retirement_rates!$G145</f>
        <v>1.2512701361658045</v>
      </c>
      <c r="F166" s="459">
        <f>F98*Calc_SEC_retirement_rates!$G145</f>
        <v>1.2540272099092709</v>
      </c>
      <c r="G166" s="459">
        <f>G98*Calc_SEC_retirement_rates!$G145</f>
        <v>1.2523714194620204</v>
      </c>
      <c r="H166" s="459">
        <f>H98*Calc_SEC_retirement_rates!$G145</f>
        <v>1.2607885217843646</v>
      </c>
      <c r="I166" s="459">
        <f>I98*Calc_SEC_retirement_rates!$G145</f>
        <v>1.2752807354446054</v>
      </c>
      <c r="J166" s="459">
        <f>J98*Calc_SEC_retirement_rates!$G145</f>
        <v>1.2891174479805527</v>
      </c>
      <c r="K166" s="459">
        <f>K98*Calc_SEC_retirement_rates!$G145</f>
        <v>1.2983483664655393</v>
      </c>
      <c r="L166" s="459">
        <f>L98*Calc_SEC_retirement_rates!$G145</f>
        <v>1.304909809147929</v>
      </c>
      <c r="M166" s="459">
        <f>M98*Calc_SEC_retirement_rates!$G145</f>
        <v>1.3076086796902711</v>
      </c>
      <c r="N166" s="459">
        <f>N98*Calc_SEC_retirement_rates!$G145</f>
        <v>1.3077718946532819</v>
      </c>
      <c r="O166" s="327"/>
      <c r="P166" s="327"/>
    </row>
    <row r="167" spans="1:16">
      <c r="B167" s="338" t="str">
        <f t="shared" si="59"/>
        <v>50-54</v>
      </c>
      <c r="C167" s="459">
        <f>C99*Calc_SEC_retirement_rates!$G146</f>
        <v>20.917589975122741</v>
      </c>
      <c r="D167" s="459">
        <f>D99*Calc_SEC_retirement_rates!$G146</f>
        <v>20.765424901297852</v>
      </c>
      <c r="E167" s="459">
        <f>E99*Calc_SEC_retirement_rates!$G146</f>
        <v>20.729274769033115</v>
      </c>
      <c r="F167" s="459">
        <f>F99*Calc_SEC_retirement_rates!$G146</f>
        <v>20.472530662341725</v>
      </c>
      <c r="G167" s="459">
        <f>G99*Calc_SEC_retirement_rates!$G146</f>
        <v>20.275531057009172</v>
      </c>
      <c r="H167" s="459">
        <f>H99*Calc_SEC_retirement_rates!$G146</f>
        <v>20.345565443987809</v>
      </c>
      <c r="I167" s="459">
        <f>I99*Calc_SEC_retirement_rates!$G146</f>
        <v>20.59513058116891</v>
      </c>
      <c r="J167" s="459">
        <f>J99*Calc_SEC_retirement_rates!$G146</f>
        <v>20.894856726791676</v>
      </c>
      <c r="K167" s="459">
        <f>K99*Calc_SEC_retirement_rates!$G146</f>
        <v>21.161182965751074</v>
      </c>
      <c r="L167" s="459">
        <f>L99*Calc_SEC_retirement_rates!$G146</f>
        <v>21.40634521252737</v>
      </c>
      <c r="M167" s="459">
        <f>M99*Calc_SEC_retirement_rates!$G146</f>
        <v>21.594342218752857</v>
      </c>
      <c r="N167" s="459">
        <f>N99*Calc_SEC_retirement_rates!$G146</f>
        <v>21.733316616944716</v>
      </c>
      <c r="O167" s="327"/>
      <c r="P167" s="327"/>
    </row>
    <row r="168" spans="1:16">
      <c r="B168" s="338" t="str">
        <f t="shared" si="59"/>
        <v>55-59</v>
      </c>
      <c r="C168" s="459">
        <f>C100*Calc_SEC_retirement_rates!$G147</f>
        <v>133.71056032879002</v>
      </c>
      <c r="D168" s="459">
        <f>D100*Calc_SEC_retirement_rates!$G147</f>
        <v>117.00420275439373</v>
      </c>
      <c r="E168" s="459">
        <f>E100*Calc_SEC_retirement_rates!$G147</f>
        <v>106.45175238578743</v>
      </c>
      <c r="F168" s="459">
        <f>F100*Calc_SEC_retirement_rates!$G147</f>
        <v>98.188127934614499</v>
      </c>
      <c r="G168" s="459">
        <f>G100*Calc_SEC_retirement_rates!$G147</f>
        <v>92.72660602102853</v>
      </c>
      <c r="H168" s="459">
        <f>H100*Calc_SEC_retirement_rates!$G147</f>
        <v>90.392754564112408</v>
      </c>
      <c r="I168" s="459">
        <f>I100*Calc_SEC_retirement_rates!$G147</f>
        <v>90.035339257675659</v>
      </c>
      <c r="J168" s="459">
        <f>J100*Calc_SEC_retirement_rates!$G147</f>
        <v>90.549071199660744</v>
      </c>
      <c r="K168" s="459">
        <f>K100*Calc_SEC_retirement_rates!$G147</f>
        <v>91.282310252083718</v>
      </c>
      <c r="L168" s="459">
        <f>L100*Calc_SEC_retirement_rates!$G147</f>
        <v>92.215709914403604</v>
      </c>
      <c r="M168" s="459">
        <f>M100*Calc_SEC_retirement_rates!$G147</f>
        <v>93.060384486969227</v>
      </c>
      <c r="N168" s="459">
        <f>N100*Calc_SEC_retirement_rates!$G147</f>
        <v>93.807980392715763</v>
      </c>
      <c r="O168" s="327"/>
      <c r="P168" s="327"/>
    </row>
    <row r="169" spans="1:16">
      <c r="B169" s="338" t="str">
        <f t="shared" si="59"/>
        <v>60-64</v>
      </c>
      <c r="C169" s="459">
        <f>C101*Calc_SEC_retirement_rates!$G148</f>
        <v>121.91048068172809</v>
      </c>
      <c r="D169" s="459">
        <f>D101*Calc_SEC_retirement_rates!$G148</f>
        <v>104.68071063964841</v>
      </c>
      <c r="E169" s="459">
        <f>E101*Calc_SEC_retirement_rates!$G148</f>
        <v>91.260994889180836</v>
      </c>
      <c r="F169" s="459">
        <f>F101*Calc_SEC_retirement_rates!$G148</f>
        <v>79.745110813227342</v>
      </c>
      <c r="G169" s="459">
        <f>G101*Calc_SEC_retirement_rates!$G148</f>
        <v>71.756127699953794</v>
      </c>
      <c r="H169" s="459">
        <f>H101*Calc_SEC_retirement_rates!$G148</f>
        <v>67.766989200825392</v>
      </c>
      <c r="I169" s="459">
        <f>I101*Calc_SEC_retirement_rates!$G148</f>
        <v>66.263323883915177</v>
      </c>
      <c r="J169" s="459">
        <f>J101*Calc_SEC_retirement_rates!$G148</f>
        <v>65.872993659755593</v>
      </c>
      <c r="K169" s="459">
        <f>K101*Calc_SEC_retirement_rates!$G148</f>
        <v>65.844953459162156</v>
      </c>
      <c r="L169" s="459">
        <f>L101*Calc_SEC_retirement_rates!$G148</f>
        <v>66.180901634432118</v>
      </c>
      <c r="M169" s="459">
        <f>M101*Calc_SEC_retirement_rates!$G148</f>
        <v>66.547257726733605</v>
      </c>
      <c r="N169" s="459">
        <f>N101*Calc_SEC_retirement_rates!$G148</f>
        <v>66.943061056405625</v>
      </c>
      <c r="O169" s="327"/>
      <c r="P169" s="327"/>
    </row>
    <row r="170" spans="1:16">
      <c r="B170" s="338" t="str">
        <f t="shared" si="59"/>
        <v>65 plus</v>
      </c>
      <c r="C170" s="459">
        <f>C102*Calc_SEC_retirement_rates!$G149</f>
        <v>30.266950883643869</v>
      </c>
      <c r="D170" s="459">
        <f>D102*Calc_SEC_retirement_rates!$G149</f>
        <v>34.073306392398536</v>
      </c>
      <c r="E170" s="459">
        <f>E102*Calc_SEC_retirement_rates!$G149</f>
        <v>33.572051940797692</v>
      </c>
      <c r="F170" s="459">
        <f>F102*Calc_SEC_retirement_rates!$G149</f>
        <v>30.689310531195954</v>
      </c>
      <c r="G170" s="459">
        <f>G102*Calc_SEC_retirement_rates!$G149</f>
        <v>27.692934719599286</v>
      </c>
      <c r="H170" s="459">
        <f>H102*Calc_SEC_retirement_rates!$G149</f>
        <v>25.739581085948277</v>
      </c>
      <c r="I170" s="459">
        <f>I102*Calc_SEC_retirement_rates!$G149</f>
        <v>24.691996793374951</v>
      </c>
      <c r="J170" s="459">
        <f>J102*Calc_SEC_retirement_rates!$G149</f>
        <v>24.148943200971051</v>
      </c>
      <c r="K170" s="459">
        <f>K102*Calc_SEC_retirement_rates!$G149</f>
        <v>23.825228117333761</v>
      </c>
      <c r="L170" s="459">
        <f>L102*Calc_SEC_retirement_rates!$G149</f>
        <v>23.712582880425245</v>
      </c>
      <c r="M170" s="459">
        <f>M102*Calc_SEC_retirement_rates!$G149</f>
        <v>23.66840327225281</v>
      </c>
      <c r="N170" s="459">
        <f>N102*Calc_SEC_retirement_rates!$G149</f>
        <v>23.680300144884153</v>
      </c>
      <c r="O170" s="327"/>
      <c r="P170" s="327"/>
    </row>
    <row r="171" spans="1:16">
      <c r="B171" s="338" t="str">
        <f t="shared" si="59"/>
        <v>Total</v>
      </c>
      <c r="C171" s="459">
        <f>SUM(C161:C170)</f>
        <v>309.49624912946973</v>
      </c>
      <c r="D171" s="459">
        <f t="shared" ref="D171:N171" si="61">SUM(D161:D170)</f>
        <v>279.25733265128366</v>
      </c>
      <c r="E171" s="459">
        <f t="shared" si="61"/>
        <v>254.77139129295614</v>
      </c>
      <c r="F171" s="459">
        <f t="shared" si="61"/>
        <v>231.81830218620044</v>
      </c>
      <c r="G171" s="459">
        <f t="shared" si="61"/>
        <v>215.12946886522775</v>
      </c>
      <c r="H171" s="459">
        <f t="shared" si="61"/>
        <v>206.90350013144891</v>
      </c>
      <c r="I171" s="459">
        <f t="shared" si="61"/>
        <v>204.24356653613759</v>
      </c>
      <c r="J171" s="459">
        <f t="shared" si="61"/>
        <v>204.12796662385452</v>
      </c>
      <c r="K171" s="459">
        <f t="shared" si="61"/>
        <v>204.77687697091798</v>
      </c>
      <c r="L171" s="459">
        <f t="shared" si="61"/>
        <v>206.18085906248768</v>
      </c>
      <c r="M171" s="459">
        <f t="shared" si="61"/>
        <v>207.53529635798225</v>
      </c>
      <c r="N171" s="459">
        <f t="shared" si="61"/>
        <v>208.82848566441169</v>
      </c>
      <c r="O171" s="327"/>
      <c r="P171" s="327"/>
    </row>
    <row r="172" spans="1:16">
      <c r="A172" s="309">
        <f>SUM(C172:N172)</f>
        <v>0</v>
      </c>
      <c r="C172" s="309">
        <f>SUM(C161:C170)-C171</f>
        <v>0</v>
      </c>
      <c r="D172" s="309">
        <f t="shared" ref="D172:N172" si="62">SUM(D161:D170)-D171</f>
        <v>0</v>
      </c>
      <c r="E172" s="309">
        <f t="shared" si="62"/>
        <v>0</v>
      </c>
      <c r="F172" s="309">
        <f t="shared" si="62"/>
        <v>0</v>
      </c>
      <c r="G172" s="309">
        <f t="shared" si="62"/>
        <v>0</v>
      </c>
      <c r="H172" s="309">
        <f t="shared" si="62"/>
        <v>0</v>
      </c>
      <c r="I172" s="309">
        <f t="shared" si="62"/>
        <v>0</v>
      </c>
      <c r="J172" s="309">
        <f t="shared" si="62"/>
        <v>0</v>
      </c>
      <c r="K172" s="309">
        <f t="shared" si="62"/>
        <v>0</v>
      </c>
      <c r="L172" s="309">
        <f t="shared" si="62"/>
        <v>0</v>
      </c>
      <c r="M172" s="309">
        <f t="shared" si="62"/>
        <v>0</v>
      </c>
      <c r="N172" s="309">
        <f t="shared" si="62"/>
        <v>0</v>
      </c>
    </row>
    <row r="174" spans="1:16" ht="15.75">
      <c r="B174" s="340" t="s">
        <v>516</v>
      </c>
      <c r="H174" s="325"/>
    </row>
    <row r="175" spans="1:16">
      <c r="H175" s="325"/>
    </row>
    <row r="176" spans="1:16">
      <c r="B176" s="341" t="s">
        <v>49</v>
      </c>
      <c r="H176" s="325"/>
    </row>
    <row r="177" spans="1:14">
      <c r="H177" s="325"/>
    </row>
    <row r="178" spans="1:14">
      <c r="B178" s="338" t="str">
        <f t="shared" ref="B178:B189" si="63">B144</f>
        <v>Age group</v>
      </c>
      <c r="C178" s="338" t="str">
        <f t="shared" ref="C178:N178" si="64">C144</f>
        <v>2016/17</v>
      </c>
      <c r="D178" s="338" t="str">
        <f t="shared" si="64"/>
        <v>2017/18</v>
      </c>
      <c r="E178" s="338" t="str">
        <f t="shared" si="64"/>
        <v>2018/19</v>
      </c>
      <c r="F178" s="338" t="str">
        <f t="shared" si="64"/>
        <v>2019/20</v>
      </c>
      <c r="G178" s="338" t="str">
        <f t="shared" si="64"/>
        <v>2020/21</v>
      </c>
      <c r="H178" s="338" t="str">
        <f t="shared" si="64"/>
        <v>2021/22</v>
      </c>
      <c r="I178" s="338" t="str">
        <f t="shared" si="64"/>
        <v>2022/23</v>
      </c>
      <c r="J178" s="338" t="str">
        <f t="shared" si="64"/>
        <v>2023/24</v>
      </c>
      <c r="K178" s="338" t="str">
        <f t="shared" si="64"/>
        <v>2024/25</v>
      </c>
      <c r="L178" s="338" t="str">
        <f t="shared" si="64"/>
        <v>2025/26</v>
      </c>
      <c r="M178" s="338" t="str">
        <f t="shared" si="64"/>
        <v>2026/27</v>
      </c>
      <c r="N178" s="338" t="str">
        <f t="shared" si="64"/>
        <v>2027/28</v>
      </c>
    </row>
    <row r="179" spans="1:14">
      <c r="B179" s="338" t="str">
        <f t="shared" si="63"/>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3"/>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3"/>
        <v>30-34</v>
      </c>
      <c r="C181" s="459">
        <f>C79*Calc_SEC_death_rates!$G126</f>
        <v>0.19083849787777668</v>
      </c>
      <c r="D181" s="459">
        <f>D79*Calc_SEC_death_rates!$G126</f>
        <v>0.18371457522450879</v>
      </c>
      <c r="E181" s="459">
        <f>E79*Calc_SEC_death_rates!$G126</f>
        <v>0.17833631447637949</v>
      </c>
      <c r="F181" s="459">
        <f>F79*Calc_SEC_death_rates!$G126</f>
        <v>0.16991064100599385</v>
      </c>
      <c r="G181" s="459">
        <f>G79*Calc_SEC_death_rates!$G126</f>
        <v>0.16265431521276541</v>
      </c>
      <c r="H181" s="459">
        <f>H79*Calc_SEC_death_rates!$G126</f>
        <v>0.16021143969854462</v>
      </c>
      <c r="I181" s="459">
        <f>I79*Calc_SEC_death_rates!$G126</f>
        <v>0.16177791322403243</v>
      </c>
      <c r="J181" s="459">
        <f>J79*Calc_SEC_death_rates!$G126</f>
        <v>0.16550641280068507</v>
      </c>
      <c r="K181" s="459">
        <f>K79*Calc_SEC_death_rates!$G126</f>
        <v>0.1699352771121822</v>
      </c>
      <c r="L181" s="459">
        <f>L79*Calc_SEC_death_rates!$G126</f>
        <v>0.17497953924506898</v>
      </c>
      <c r="M181" s="459">
        <f>M79*Calc_SEC_death_rates!$G126</f>
        <v>0.17984472489241501</v>
      </c>
      <c r="N181" s="459">
        <f>N79*Calc_SEC_death_rates!$G126</f>
        <v>0.18440283533836438</v>
      </c>
    </row>
    <row r="182" spans="1:14">
      <c r="B182" s="338" t="str">
        <f t="shared" si="63"/>
        <v>35-39</v>
      </c>
      <c r="C182" s="459">
        <f>C80*Calc_SEC_death_rates!$G127</f>
        <v>0.34361777314307373</v>
      </c>
      <c r="D182" s="459">
        <f>D80*Calc_SEC_death_rates!$G127</f>
        <v>0.34504656026087321</v>
      </c>
      <c r="E182" s="459">
        <f>E80*Calc_SEC_death_rates!$G127</f>
        <v>0.34259540365131591</v>
      </c>
      <c r="F182" s="459">
        <f>F80*Calc_SEC_death_rates!$G127</f>
        <v>0.33266609484820131</v>
      </c>
      <c r="G182" s="459">
        <f>G80*Calc_SEC_death_rates!$G127</f>
        <v>0.32187626883381448</v>
      </c>
      <c r="H182" s="459">
        <f>H80*Calc_SEC_death_rates!$G127</f>
        <v>0.31534752556073031</v>
      </c>
      <c r="I182" s="459">
        <f>I80*Calc_SEC_death_rates!$G127</f>
        <v>0.31272375798461732</v>
      </c>
      <c r="J182" s="459">
        <f>J80*Calc_SEC_death_rates!$G127</f>
        <v>0.31250601170204784</v>
      </c>
      <c r="K182" s="459">
        <f>K80*Calc_SEC_death_rates!$G127</f>
        <v>0.31359115067061111</v>
      </c>
      <c r="L182" s="459">
        <f>L80*Calc_SEC_death_rates!$G127</f>
        <v>0.3162779245988267</v>
      </c>
      <c r="M182" s="459">
        <f>M80*Calc_SEC_death_rates!$G127</f>
        <v>0.31978658569365354</v>
      </c>
      <c r="N182" s="459">
        <f>N80*Calc_SEC_death_rates!$G127</f>
        <v>0.32397752160239768</v>
      </c>
    </row>
    <row r="183" spans="1:14">
      <c r="B183" s="338" t="str">
        <f t="shared" si="63"/>
        <v>40-44</v>
      </c>
      <c r="C183" s="459">
        <f>C81*Calc_SEC_death_rates!$G128</f>
        <v>0.57562571844227184</v>
      </c>
      <c r="D183" s="459">
        <f>D81*Calc_SEC_death_rates!$G128</f>
        <v>0.57727700997356934</v>
      </c>
      <c r="E183" s="459">
        <f>E81*Calc_SEC_death_rates!$G128</f>
        <v>0.57735312014185625</v>
      </c>
      <c r="F183" s="459">
        <f>F81*Calc_SEC_death_rates!$G128</f>
        <v>0.56725445146852593</v>
      </c>
      <c r="G183" s="459">
        <f>G81*Calc_SEC_death_rates!$G128</f>
        <v>0.55568912452102515</v>
      </c>
      <c r="H183" s="459">
        <f>H81*Calc_SEC_death_rates!$G128</f>
        <v>0.54946137449684307</v>
      </c>
      <c r="I183" s="459">
        <f>I81*Calc_SEC_death_rates!$G128</f>
        <v>0.54725425058018151</v>
      </c>
      <c r="J183" s="459">
        <f>J81*Calc_SEC_death_rates!$G128</f>
        <v>0.54654060258075809</v>
      </c>
      <c r="K183" s="459">
        <f>K81*Calc_SEC_death_rates!$G128</f>
        <v>0.54590449873694213</v>
      </c>
      <c r="L183" s="459">
        <f>L81*Calc_SEC_death_rates!$G128</f>
        <v>0.54634092771528264</v>
      </c>
      <c r="M183" s="459">
        <f>M81*Calc_SEC_death_rates!$G128</f>
        <v>0.54723771588428249</v>
      </c>
      <c r="N183" s="459">
        <f>N81*Calc_SEC_death_rates!$G128</f>
        <v>0.54894324590172716</v>
      </c>
    </row>
    <row r="184" spans="1:14">
      <c r="B184" s="338" t="str">
        <f t="shared" si="63"/>
        <v>45-49</v>
      </c>
      <c r="C184" s="459">
        <f>C82*Calc_SEC_death_rates!$G129</f>
        <v>0.55523595203025833</v>
      </c>
      <c r="D184" s="459">
        <f>D82*Calc_SEC_death_rates!$G129</f>
        <v>0.55226324406131344</v>
      </c>
      <c r="E184" s="459">
        <f>E82*Calc_SEC_death_rates!$G129</f>
        <v>0.54898540709245558</v>
      </c>
      <c r="F184" s="459">
        <f>F82*Calc_SEC_death_rates!$G129</f>
        <v>0.53850315572158314</v>
      </c>
      <c r="G184" s="459">
        <f>G82*Calc_SEC_death_rates!$G129</f>
        <v>0.52816145130251868</v>
      </c>
      <c r="H184" s="459">
        <f>H82*Calc_SEC_death_rates!$G129</f>
        <v>0.52345247497586234</v>
      </c>
      <c r="I184" s="459">
        <f>I82*Calc_SEC_death_rates!$G129</f>
        <v>0.52275329734630127</v>
      </c>
      <c r="J184" s="459">
        <f>J82*Calc_SEC_death_rates!$G129</f>
        <v>0.52336990174206777</v>
      </c>
      <c r="K184" s="459">
        <f>K82*Calc_SEC_death_rates!$G129</f>
        <v>0.52365493027741361</v>
      </c>
      <c r="L184" s="459">
        <f>L82*Calc_SEC_death_rates!$G129</f>
        <v>0.52420986473671549</v>
      </c>
      <c r="M184" s="459">
        <f>M82*Calc_SEC_death_rates!$G129</f>
        <v>0.52441672465762734</v>
      </c>
      <c r="N184" s="459">
        <f>N82*Calc_SEC_death_rates!$G129</f>
        <v>0.52462254321160673</v>
      </c>
    </row>
    <row r="185" spans="1:14">
      <c r="B185" s="338" t="str">
        <f t="shared" si="63"/>
        <v>50-54</v>
      </c>
      <c r="C185" s="459">
        <f>C83*Calc_SEC_death_rates!$G130</f>
        <v>0.92923951572265207</v>
      </c>
      <c r="D185" s="459">
        <f>D83*Calc_SEC_death_rates!$G130</f>
        <v>0.905670267930474</v>
      </c>
      <c r="E185" s="459">
        <f>E83*Calc_SEC_death_rates!$G130</f>
        <v>0.88572656911451442</v>
      </c>
      <c r="F185" s="459">
        <f>F83*Calc_SEC_death_rates!$G130</f>
        <v>0.85845836576314449</v>
      </c>
      <c r="G185" s="459">
        <f>G83*Calc_SEC_death_rates!$G130</f>
        <v>0.83433353754394424</v>
      </c>
      <c r="H185" s="459">
        <f>H83*Calc_SEC_death_rates!$G130</f>
        <v>0.82105002974290375</v>
      </c>
      <c r="I185" s="459">
        <f>I83*Calc_SEC_death_rates!$G130</f>
        <v>0.81576773588707741</v>
      </c>
      <c r="J185" s="459">
        <f>J83*Calc_SEC_death_rates!$G130</f>
        <v>0.81405805493497108</v>
      </c>
      <c r="K185" s="459">
        <f>K83*Calc_SEC_death_rates!$G130</f>
        <v>0.81302293622085808</v>
      </c>
      <c r="L185" s="459">
        <f>L83*Calc_SEC_death_rates!$G130</f>
        <v>0.81308108933023171</v>
      </c>
      <c r="M185" s="459">
        <f>M83*Calc_SEC_death_rates!$G130</f>
        <v>0.81289958552301933</v>
      </c>
      <c r="N185" s="459">
        <f>N83*Calc_SEC_death_rates!$G130</f>
        <v>0.81266241932788197</v>
      </c>
    </row>
    <row r="186" spans="1:14">
      <c r="B186" s="338" t="str">
        <f t="shared" si="63"/>
        <v>55-59</v>
      </c>
      <c r="C186" s="459">
        <f>C84*Calc_SEC_death_rates!$G131</f>
        <v>0.67683790460591364</v>
      </c>
      <c r="D186" s="459">
        <f>D84*Calc_SEC_death_rates!$G131</f>
        <v>0.57663912695996689</v>
      </c>
      <c r="E186" s="459">
        <f>E84*Calc_SEC_death_rates!$G131</f>
        <v>0.5122022762417886</v>
      </c>
      <c r="F186" s="459">
        <f>F84*Calc_SEC_death_rates!$G131</f>
        <v>0.46340947536730775</v>
      </c>
      <c r="G186" s="459">
        <f>G84*Calc_SEC_death_rates!$G131</f>
        <v>0.4295658544431416</v>
      </c>
      <c r="H186" s="459">
        <f>H84*Calc_SEC_death_rates!$G131</f>
        <v>0.41042675256156458</v>
      </c>
      <c r="I186" s="459">
        <f>I84*Calc_SEC_death_rates!$G131</f>
        <v>0.40063642229046442</v>
      </c>
      <c r="J186" s="459">
        <f>J84*Calc_SEC_death_rates!$G131</f>
        <v>0.39543062630310782</v>
      </c>
      <c r="K186" s="459">
        <f>K84*Calc_SEC_death_rates!$G131</f>
        <v>0.39204699014211591</v>
      </c>
      <c r="L186" s="459">
        <f>L84*Calc_SEC_death_rates!$G131</f>
        <v>0.39030908552117316</v>
      </c>
      <c r="M186" s="459">
        <f>M84*Calc_SEC_death_rates!$G131</f>
        <v>0.38902388866456827</v>
      </c>
      <c r="N186" s="459">
        <f>N84*Calc_SEC_death_rates!$G131</f>
        <v>0.38811915637620903</v>
      </c>
    </row>
    <row r="187" spans="1:14">
      <c r="B187" s="338" t="str">
        <f t="shared" si="63"/>
        <v>60-64</v>
      </c>
      <c r="C187" s="459">
        <f>C85*Calc_SEC_death_rates!$G132</f>
        <v>0.64867079532923</v>
      </c>
      <c r="D187" s="459">
        <f>D85*Calc_SEC_death_rates!$G132</f>
        <v>0.54411951106675804</v>
      </c>
      <c r="E187" s="459">
        <f>E85*Calc_SEC_death_rates!$G132</f>
        <v>0.46235076536820624</v>
      </c>
      <c r="F187" s="459">
        <f>F85*Calc_SEC_death_rates!$G132</f>
        <v>0.39556644717075679</v>
      </c>
      <c r="G187" s="459">
        <f>G85*Calc_SEC_death_rates!$G132</f>
        <v>0.34817694062544802</v>
      </c>
      <c r="H187" s="459">
        <f>H85*Calc_SEC_death_rates!$G132</f>
        <v>0.3204456947828635</v>
      </c>
      <c r="I187" s="459">
        <f>I85*Calc_SEC_death_rates!$G132</f>
        <v>0.30538070073225043</v>
      </c>
      <c r="J187" s="459">
        <f>J85*Calc_SEC_death_rates!$G132</f>
        <v>0.29676943853374826</v>
      </c>
      <c r="K187" s="459">
        <f>K85*Calc_SEC_death_rates!$G132</f>
        <v>0.29103561055134047</v>
      </c>
      <c r="L187" s="459">
        <f>L85*Calc_SEC_death_rates!$G132</f>
        <v>0.28773387810340761</v>
      </c>
      <c r="M187" s="459">
        <f>M85*Calc_SEC_death_rates!$G132</f>
        <v>0.28533367268961579</v>
      </c>
      <c r="N187" s="459">
        <f>N85*Calc_SEC_death_rates!$G132</f>
        <v>0.2836679703674575</v>
      </c>
    </row>
    <row r="188" spans="1:14">
      <c r="B188" s="338" t="str">
        <f t="shared" si="63"/>
        <v>65 plus</v>
      </c>
      <c r="C188" s="459">
        <f>C86*Calc_SEC_death_rates!$G133</f>
        <v>0.56420966564405062</v>
      </c>
      <c r="D188" s="459">
        <f>D86*Calc_SEC_death_rates!$G133</f>
        <v>0.59309307109365228</v>
      </c>
      <c r="E188" s="459">
        <f>E86*Calc_SEC_death_rates!$G133</f>
        <v>0.56586119794089951</v>
      </c>
      <c r="F188" s="459">
        <f>F86*Calc_SEC_death_rates!$G133</f>
        <v>0.50928072609933561</v>
      </c>
      <c r="G188" s="459">
        <f>G86*Calc_SEC_death_rates!$G133</f>
        <v>0.45191967135460953</v>
      </c>
      <c r="H188" s="459">
        <f>H86*Calc_SEC_death_rates!$G133</f>
        <v>0.40885068702533289</v>
      </c>
      <c r="I188" s="459">
        <f>I86*Calc_SEC_death_rates!$G133</f>
        <v>0.37971259214375391</v>
      </c>
      <c r="J188" s="459">
        <f>J86*Calc_SEC_death_rates!$G133</f>
        <v>0.36005835520450258</v>
      </c>
      <c r="K188" s="459">
        <f>K86*Calc_SEC_death_rates!$G133</f>
        <v>0.34608400307786186</v>
      </c>
      <c r="L188" s="459">
        <f>L86*Calc_SEC_death_rates!$G133</f>
        <v>0.33689953375292075</v>
      </c>
      <c r="M188" s="459">
        <f>M86*Calc_SEC_death_rates!$G133</f>
        <v>0.33031647403017378</v>
      </c>
      <c r="N188" s="459">
        <f>N86*Calc_SEC_death_rates!$G133</f>
        <v>0.32568533046294301</v>
      </c>
    </row>
    <row r="189" spans="1:14">
      <c r="B189" s="338" t="str">
        <f t="shared" si="63"/>
        <v>Total</v>
      </c>
      <c r="C189" s="459">
        <f>SUM(C179:C188)</f>
        <v>4.4842758227952269</v>
      </c>
      <c r="D189" s="459">
        <f t="shared" ref="D189:N189" si="65">SUM(D179:D188)</f>
        <v>4.2778233665711163</v>
      </c>
      <c r="E189" s="459">
        <f t="shared" si="65"/>
        <v>4.0734110540274164</v>
      </c>
      <c r="F189" s="459">
        <f t="shared" si="65"/>
        <v>3.835049357444849</v>
      </c>
      <c r="G189" s="459">
        <f t="shared" si="65"/>
        <v>3.6323771638372673</v>
      </c>
      <c r="H189" s="459">
        <f t="shared" si="65"/>
        <v>3.5092459788446453</v>
      </c>
      <c r="I189" s="459">
        <f t="shared" si="65"/>
        <v>3.4460066701886785</v>
      </c>
      <c r="J189" s="459">
        <f t="shared" si="65"/>
        <v>3.4142394038018886</v>
      </c>
      <c r="K189" s="459">
        <f t="shared" si="65"/>
        <v>3.3952753967893257</v>
      </c>
      <c r="L189" s="459">
        <f t="shared" si="65"/>
        <v>3.3898318430036269</v>
      </c>
      <c r="M189" s="459">
        <f t="shared" si="65"/>
        <v>3.388859372035355</v>
      </c>
      <c r="N189" s="459">
        <f t="shared" si="65"/>
        <v>3.3920810225885871</v>
      </c>
    </row>
    <row r="190" spans="1:14">
      <c r="A190" s="309">
        <f>SUM(C190:N190)</f>
        <v>0</v>
      </c>
      <c r="C190" s="309">
        <f>SUM(C179:C188)-C189</f>
        <v>0</v>
      </c>
      <c r="D190" s="309">
        <f t="shared" ref="D190:N190" si="66">SUM(D179:D188)-D189</f>
        <v>0</v>
      </c>
      <c r="E190" s="309">
        <f t="shared" si="66"/>
        <v>0</v>
      </c>
      <c r="F190" s="309">
        <f t="shared" si="66"/>
        <v>0</v>
      </c>
      <c r="G190" s="309">
        <f t="shared" si="66"/>
        <v>0</v>
      </c>
      <c r="H190" s="309">
        <f t="shared" si="66"/>
        <v>0</v>
      </c>
      <c r="I190" s="309">
        <f t="shared" si="66"/>
        <v>0</v>
      </c>
      <c r="J190" s="309">
        <f t="shared" si="66"/>
        <v>0</v>
      </c>
      <c r="K190" s="309">
        <f t="shared" si="66"/>
        <v>0</v>
      </c>
      <c r="L190" s="309">
        <f t="shared" si="66"/>
        <v>0</v>
      </c>
      <c r="M190" s="309">
        <f t="shared" si="66"/>
        <v>0</v>
      </c>
      <c r="N190" s="309">
        <f t="shared" si="66"/>
        <v>0</v>
      </c>
    </row>
    <row r="192" spans="1:14">
      <c r="B192" s="341" t="s">
        <v>50</v>
      </c>
      <c r="C192" s="329"/>
      <c r="D192" s="329"/>
      <c r="E192" s="329"/>
      <c r="F192" s="329"/>
      <c r="G192" s="329"/>
      <c r="H192" s="339"/>
      <c r="I192" s="329"/>
      <c r="J192" s="329"/>
      <c r="K192" s="329"/>
      <c r="L192" s="329"/>
    </row>
    <row r="193" spans="1:14">
      <c r="C193" s="329"/>
      <c r="D193" s="329"/>
      <c r="E193" s="329"/>
      <c r="F193" s="329"/>
      <c r="G193" s="329"/>
      <c r="H193" s="339"/>
      <c r="I193" s="329"/>
      <c r="J193" s="329"/>
      <c r="K193" s="329"/>
      <c r="L193" s="329"/>
    </row>
    <row r="194" spans="1:14">
      <c r="B194" s="338" t="str">
        <f t="shared" ref="B194:B205" si="67">B178</f>
        <v>Age group</v>
      </c>
      <c r="C194" s="338" t="str">
        <f t="shared" ref="C194:N194" si="68">C178</f>
        <v>2016/17</v>
      </c>
      <c r="D194" s="338" t="str">
        <f t="shared" si="68"/>
        <v>2017/18</v>
      </c>
      <c r="E194" s="338" t="str">
        <f t="shared" si="68"/>
        <v>2018/19</v>
      </c>
      <c r="F194" s="338" t="str">
        <f t="shared" si="68"/>
        <v>2019/20</v>
      </c>
      <c r="G194" s="338" t="str">
        <f t="shared" si="68"/>
        <v>2020/21</v>
      </c>
      <c r="H194" s="338" t="str">
        <f t="shared" si="68"/>
        <v>2021/22</v>
      </c>
      <c r="I194" s="338" t="str">
        <f t="shared" si="68"/>
        <v>2022/23</v>
      </c>
      <c r="J194" s="338" t="str">
        <f t="shared" si="68"/>
        <v>2023/24</v>
      </c>
      <c r="K194" s="338" t="str">
        <f t="shared" si="68"/>
        <v>2024/25</v>
      </c>
      <c r="L194" s="338" t="str">
        <f t="shared" si="68"/>
        <v>2025/26</v>
      </c>
      <c r="M194" s="338" t="str">
        <f t="shared" si="68"/>
        <v>2026/27</v>
      </c>
      <c r="N194" s="338" t="str">
        <f t="shared" si="68"/>
        <v>2027/28</v>
      </c>
    </row>
    <row r="195" spans="1:14">
      <c r="B195" s="338" t="str">
        <f t="shared" si="67"/>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row>
    <row r="196" spans="1:14">
      <c r="B196" s="338" t="str">
        <f t="shared" si="67"/>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row>
    <row r="197" spans="1:14">
      <c r="B197" s="338" t="str">
        <f t="shared" si="67"/>
        <v>30-34</v>
      </c>
      <c r="C197" s="459">
        <f>C95*Calc_SEC_death_rates!$G142</f>
        <v>0.12504282368479686</v>
      </c>
      <c r="D197" s="459">
        <f>D95*Calc_SEC_death_rates!$G142</f>
        <v>0.11867523373025564</v>
      </c>
      <c r="E197" s="459">
        <f>E95*Calc_SEC_death_rates!$G142</f>
        <v>0.1127811882872749</v>
      </c>
      <c r="F197" s="459">
        <f>F95*Calc_SEC_death_rates!$G142</f>
        <v>0.10509849095605021</v>
      </c>
      <c r="G197" s="459">
        <f>G95*Calc_SEC_death_rates!$G142</f>
        <v>9.8217075220991254E-2</v>
      </c>
      <c r="H197" s="459">
        <f>H95*Calc_SEC_death_rates!$G142</f>
        <v>9.4249610605153245E-2</v>
      </c>
      <c r="I197" s="459">
        <f>I95*Calc_SEC_death_rates!$G142</f>
        <v>9.2758910995501445E-2</v>
      </c>
      <c r="J197" s="459">
        <f>J95*Calc_SEC_death_rates!$G142</f>
        <v>9.2712475685631526E-2</v>
      </c>
      <c r="K197" s="459">
        <f>K95*Calc_SEC_death_rates!$G142</f>
        <v>9.3292481804807328E-2</v>
      </c>
      <c r="L197" s="459">
        <f>L95*Calc_SEC_death_rates!$G142</f>
        <v>9.4440244993178712E-2</v>
      </c>
      <c r="M197" s="459">
        <f>M95*Calc_SEC_death_rates!$G142</f>
        <v>9.5699068978813084E-2</v>
      </c>
      <c r="N197" s="459">
        <f>N95*Calc_SEC_death_rates!$G142</f>
        <v>9.6982174488105755E-2</v>
      </c>
    </row>
    <row r="198" spans="1:14">
      <c r="B198" s="338" t="str">
        <f t="shared" si="67"/>
        <v>35-39</v>
      </c>
      <c r="C198" s="459">
        <f>C96*Calc_SEC_death_rates!$G143</f>
        <v>0.41326349466810464</v>
      </c>
      <c r="D198" s="459">
        <f>D96*Calc_SEC_death_rates!$G143</f>
        <v>0.41740008283657143</v>
      </c>
      <c r="E198" s="459">
        <f>E96*Calc_SEC_death_rates!$G143</f>
        <v>0.41472966024174673</v>
      </c>
      <c r="F198" s="459">
        <f>F96*Calc_SEC_death_rates!$G143</f>
        <v>0.40141706322042481</v>
      </c>
      <c r="G198" s="459">
        <f>G96*Calc_SEC_death_rates!$G143</f>
        <v>0.38570285136670973</v>
      </c>
      <c r="H198" s="459">
        <f>H96*Calc_SEC_death_rates!$G143</f>
        <v>0.37398733521329885</v>
      </c>
      <c r="I198" s="459">
        <f>I96*Calc_SEC_death_rates!$G143</f>
        <v>0.36617751997143988</v>
      </c>
      <c r="J198" s="459">
        <f>J96*Calc_SEC_death_rates!$G143</f>
        <v>0.36079299849013707</v>
      </c>
      <c r="K198" s="459">
        <f>K96*Calc_SEC_death_rates!$G143</f>
        <v>0.35677341394921519</v>
      </c>
      <c r="L198" s="459">
        <f>L96*Calc_SEC_death_rates!$G143</f>
        <v>0.35464213644094694</v>
      </c>
      <c r="M198" s="459">
        <f>M96*Calc_SEC_death_rates!$G143</f>
        <v>0.35361754410433471</v>
      </c>
      <c r="N198" s="459">
        <f>N96*Calc_SEC_death_rates!$G143</f>
        <v>0.35363174441733514</v>
      </c>
    </row>
    <row r="199" spans="1:14">
      <c r="B199" s="338" t="str">
        <f t="shared" si="67"/>
        <v>40-44</v>
      </c>
      <c r="C199" s="459">
        <f>C97*Calc_SEC_death_rates!$G144</f>
        <v>0.38677071869382251</v>
      </c>
      <c r="D199" s="459">
        <f>D97*Calc_SEC_death_rates!$G144</f>
        <v>0.39514910893113731</v>
      </c>
      <c r="E199" s="459">
        <f>E97*Calc_SEC_death_rates!$G144</f>
        <v>0.4010122953113987</v>
      </c>
      <c r="F199" s="459">
        <f>F97*Calc_SEC_death_rates!$G144</f>
        <v>0.39805844815302582</v>
      </c>
      <c r="G199" s="459">
        <f>G97*Calc_SEC_death_rates!$G144</f>
        <v>0.39261361340389939</v>
      </c>
      <c r="H199" s="459">
        <f>H97*Calc_SEC_death_rates!$G144</f>
        <v>0.38968046870693052</v>
      </c>
      <c r="I199" s="459">
        <f>I97*Calc_SEC_death_rates!$G144</f>
        <v>0.38842964433309446</v>
      </c>
      <c r="J199" s="459">
        <f>J97*Calc_SEC_death_rates!$G144</f>
        <v>0.38719921588006123</v>
      </c>
      <c r="K199" s="459">
        <f>K97*Calc_SEC_death_rates!$G144</f>
        <v>0.38515472396098255</v>
      </c>
      <c r="L199" s="459">
        <f>L97*Calc_SEC_death_rates!$G144</f>
        <v>0.3832066767058035</v>
      </c>
      <c r="M199" s="459">
        <f>M97*Calc_SEC_death_rates!$G144</f>
        <v>0.38108739045642392</v>
      </c>
      <c r="N199" s="459">
        <f>N97*Calc_SEC_death_rates!$G144</f>
        <v>0.37920707888114497</v>
      </c>
    </row>
    <row r="200" spans="1:14">
      <c r="B200" s="338" t="str">
        <f t="shared" si="67"/>
        <v>45-49</v>
      </c>
      <c r="C200" s="459">
        <f>C98*Calc_SEC_death_rates!$G145</f>
        <v>0.45781750782508285</v>
      </c>
      <c r="D200" s="459">
        <f>D98*Calc_SEC_death_rates!$G145</f>
        <v>0.4705331887253289</v>
      </c>
      <c r="E200" s="459">
        <f>E98*Calc_SEC_death_rates!$G145</f>
        <v>0.4807498643013533</v>
      </c>
      <c r="F200" s="459">
        <f>F98*Calc_SEC_death_rates!$G145</f>
        <v>0.48180915820578696</v>
      </c>
      <c r="G200" s="459">
        <f>G98*Calc_SEC_death_rates!$G145</f>
        <v>0.48117298779795931</v>
      </c>
      <c r="H200" s="459">
        <f>H98*Calc_SEC_death_rates!$G145</f>
        <v>0.48440691841159728</v>
      </c>
      <c r="I200" s="459">
        <f>I98*Calc_SEC_death_rates!$G145</f>
        <v>0.4899749644707288</v>
      </c>
      <c r="J200" s="459">
        <f>J98*Calc_SEC_death_rates!$G145</f>
        <v>0.49529116077540275</v>
      </c>
      <c r="K200" s="459">
        <f>K98*Calc_SEC_death_rates!$G145</f>
        <v>0.49883776728407603</v>
      </c>
      <c r="L200" s="459">
        <f>L98*Calc_SEC_death_rates!$G145</f>
        <v>0.50135873584874258</v>
      </c>
      <c r="M200" s="459">
        <f>M98*Calc_SEC_death_rates!$G145</f>
        <v>0.50239566753079612</v>
      </c>
      <c r="N200" s="459">
        <f>N98*Calc_SEC_death_rates!$G145</f>
        <v>0.50245837626894274</v>
      </c>
    </row>
    <row r="201" spans="1:14">
      <c r="B201" s="338" t="str">
        <f t="shared" si="67"/>
        <v>50-54</v>
      </c>
      <c r="C201" s="459">
        <f>C99*Calc_SEC_death_rates!$G146</f>
        <v>0.5005529125440199</v>
      </c>
      <c r="D201" s="459">
        <f>D99*Calc_SEC_death_rates!$G146</f>
        <v>0.49691163881310207</v>
      </c>
      <c r="E201" s="459">
        <f>E99*Calc_SEC_death_rates!$G146</f>
        <v>0.49604657481598352</v>
      </c>
      <c r="F201" s="459">
        <f>F99*Calc_SEC_death_rates!$G146</f>
        <v>0.48990274990423566</v>
      </c>
      <c r="G201" s="459">
        <f>G99*Calc_SEC_death_rates!$G146</f>
        <v>0.48518859658463681</v>
      </c>
      <c r="H201" s="459">
        <f>H99*Calc_SEC_death_rates!$G146</f>
        <v>0.48686450267238801</v>
      </c>
      <c r="I201" s="459">
        <f>I99*Calc_SEC_death_rates!$G146</f>
        <v>0.49283653656510779</v>
      </c>
      <c r="J201" s="459">
        <f>J99*Calc_SEC_death_rates!$G146</f>
        <v>0.50000891136237158</v>
      </c>
      <c r="K201" s="459">
        <f>K99*Calc_SEC_death_rates!$G146</f>
        <v>0.50638203440171636</v>
      </c>
      <c r="L201" s="459">
        <f>L99*Calc_SEC_death_rates!$G146</f>
        <v>0.51224870818276169</v>
      </c>
      <c r="M201" s="459">
        <f>M99*Calc_SEC_death_rates!$G146</f>
        <v>0.51674743146434621</v>
      </c>
      <c r="N201" s="459">
        <f>N99*Calc_SEC_death_rates!$G146</f>
        <v>0.52007305549018856</v>
      </c>
    </row>
    <row r="202" spans="1:14">
      <c r="B202" s="338" t="str">
        <f t="shared" si="67"/>
        <v>55-59</v>
      </c>
      <c r="C202" s="459">
        <f>C100*Calc_SEC_death_rates!$G147</f>
        <v>1.0845594724287535</v>
      </c>
      <c r="D202" s="459">
        <f>D100*Calc_SEC_death_rates!$G147</f>
        <v>0.94905006829089622</v>
      </c>
      <c r="E202" s="459">
        <f>E100*Calc_SEC_death_rates!$G147</f>
        <v>0.86345652970677877</v>
      </c>
      <c r="F202" s="459">
        <f>F100*Calc_SEC_death_rates!$G147</f>
        <v>0.79642822503828259</v>
      </c>
      <c r="G202" s="459">
        <f>G100*Calc_SEC_death_rates!$G147</f>
        <v>0.75212846808048106</v>
      </c>
      <c r="H202" s="459">
        <f>H100*Calc_SEC_death_rates!$G147</f>
        <v>0.73319802086213204</v>
      </c>
      <c r="I202" s="459">
        <f>I100*Calc_SEC_death_rates!$G147</f>
        <v>0.73029893678654512</v>
      </c>
      <c r="J202" s="459">
        <f>J100*Calc_SEC_death_rates!$G147</f>
        <v>0.73446594380976804</v>
      </c>
      <c r="K202" s="459">
        <f>K100*Calc_SEC_death_rates!$G147</f>
        <v>0.74041342737355353</v>
      </c>
      <c r="L202" s="459">
        <f>L100*Calc_SEC_death_rates!$G147</f>
        <v>0.74798446322024759</v>
      </c>
      <c r="M202" s="459">
        <f>M100*Calc_SEC_death_rates!$G147</f>
        <v>0.75483582788840164</v>
      </c>
      <c r="N202" s="459">
        <f>N100*Calc_SEC_death_rates!$G147</f>
        <v>0.76089976344541832</v>
      </c>
    </row>
    <row r="203" spans="1:14">
      <c r="B203" s="338" t="str">
        <f t="shared" si="67"/>
        <v>60-64</v>
      </c>
      <c r="C203" s="459">
        <f>C101*Calc_SEC_death_rates!$G148</f>
        <v>0.72664347422284403</v>
      </c>
      <c r="D203" s="459">
        <f>D101*Calc_SEC_death_rates!$G148</f>
        <v>0.62394598756357</v>
      </c>
      <c r="E203" s="459">
        <f>E101*Calc_SEC_death_rates!$G148</f>
        <v>0.54395820618929547</v>
      </c>
      <c r="F203" s="459">
        <f>F101*Calc_SEC_death_rates!$G148</f>
        <v>0.47531815188957888</v>
      </c>
      <c r="G203" s="459">
        <f>G101*Calc_SEC_death_rates!$G148</f>
        <v>0.4277000766225949</v>
      </c>
      <c r="H203" s="459">
        <f>H101*Calc_SEC_death_rates!$G148</f>
        <v>0.403922945715119</v>
      </c>
      <c r="I203" s="459">
        <f>I101*Calc_SEC_death_rates!$G148</f>
        <v>0.39496039726286108</v>
      </c>
      <c r="J203" s="459">
        <f>J101*Calc_SEC_death_rates!$G148</f>
        <v>0.39263384659558925</v>
      </c>
      <c r="K203" s="459">
        <f>K101*Calc_SEC_death_rates!$G148</f>
        <v>0.39246671388753024</v>
      </c>
      <c r="L203" s="459">
        <f>L101*Calc_SEC_death_rates!$G148</f>
        <v>0.39446912211258106</v>
      </c>
      <c r="M203" s="459">
        <f>M101*Calc_SEC_death_rates!$G148</f>
        <v>0.39665277574288416</v>
      </c>
      <c r="N203" s="459">
        <f>N101*Calc_SEC_death_rates!$G148</f>
        <v>0.39901194867841472</v>
      </c>
    </row>
    <row r="204" spans="1:14">
      <c r="B204" s="338" t="str">
        <f t="shared" si="67"/>
        <v>65 plus</v>
      </c>
      <c r="C204" s="459">
        <f>C102*Calc_SEC_death_rates!$G149</f>
        <v>0.9745691571724211</v>
      </c>
      <c r="D204" s="459">
        <f>D102*Calc_SEC_death_rates!$G149</f>
        <v>1.0971304516459344</v>
      </c>
      <c r="E204" s="459">
        <f>E102*Calc_SEC_death_rates!$G149</f>
        <v>1.080990499844924</v>
      </c>
      <c r="F204" s="459">
        <f>F102*Calc_SEC_death_rates!$G149</f>
        <v>0.98816876577921053</v>
      </c>
      <c r="G204" s="459">
        <f>G102*Calc_SEC_death_rates!$G149</f>
        <v>0.89168810406651566</v>
      </c>
      <c r="H204" s="459">
        <f>H102*Calc_SEC_death_rates!$G149</f>
        <v>0.82879183771562637</v>
      </c>
      <c r="I204" s="459">
        <f>I102*Calc_SEC_death_rates!$G149</f>
        <v>0.79506054628144474</v>
      </c>
      <c r="J204" s="459">
        <f>J102*Calc_SEC_death_rates!$G149</f>
        <v>0.77757469896622922</v>
      </c>
      <c r="K204" s="459">
        <f>K102*Calc_SEC_death_rates!$G149</f>
        <v>0.76715135842435511</v>
      </c>
      <c r="L204" s="459">
        <f>L102*Calc_SEC_death_rates!$G149</f>
        <v>0.76352428102182945</v>
      </c>
      <c r="M204" s="459">
        <f>M102*Calc_SEC_death_rates!$G149</f>
        <v>0.76210173655521507</v>
      </c>
      <c r="N204" s="459">
        <f>N102*Calc_SEC_death_rates!$G149</f>
        <v>0.76248480537433361</v>
      </c>
    </row>
    <row r="205" spans="1:14">
      <c r="B205" s="338" t="str">
        <f t="shared" si="67"/>
        <v>Total</v>
      </c>
      <c r="C205" s="459">
        <f>SUM(C195:C204)</f>
        <v>4.6692195612398457</v>
      </c>
      <c r="D205" s="459">
        <f t="shared" ref="D205:N205" si="69">SUM(D195:D204)</f>
        <v>4.5687957605367959</v>
      </c>
      <c r="E205" s="459">
        <f t="shared" si="69"/>
        <v>4.3937248186987556</v>
      </c>
      <c r="F205" s="459">
        <f t="shared" si="69"/>
        <v>4.1362010531465954</v>
      </c>
      <c r="G205" s="459">
        <f t="shared" si="69"/>
        <v>3.9144117731437884</v>
      </c>
      <c r="H205" s="459">
        <f t="shared" si="69"/>
        <v>3.7951016399022457</v>
      </c>
      <c r="I205" s="459">
        <f t="shared" si="69"/>
        <v>3.7504974566667233</v>
      </c>
      <c r="J205" s="459">
        <f t="shared" si="69"/>
        <v>3.740679251565191</v>
      </c>
      <c r="K205" s="459">
        <f t="shared" si="69"/>
        <v>3.7404719210862365</v>
      </c>
      <c r="L205" s="459">
        <f t="shared" si="69"/>
        <v>3.7518743685260914</v>
      </c>
      <c r="M205" s="459">
        <f t="shared" si="69"/>
        <v>3.7631374427212148</v>
      </c>
      <c r="N205" s="459">
        <f t="shared" si="69"/>
        <v>3.7747489470438835</v>
      </c>
    </row>
    <row r="206" spans="1:14">
      <c r="A206" s="309">
        <f>SUM(C206:N206)</f>
        <v>0</v>
      </c>
      <c r="C206" s="309">
        <f>SUM(C195:C204)-C205</f>
        <v>0</v>
      </c>
      <c r="D206" s="309">
        <f t="shared" ref="D206:N206" si="70">SUM(D195:D204)-D205</f>
        <v>0</v>
      </c>
      <c r="E206" s="309">
        <f t="shared" si="70"/>
        <v>0</v>
      </c>
      <c r="F206" s="309">
        <f t="shared" si="70"/>
        <v>0</v>
      </c>
      <c r="G206" s="309">
        <f t="shared" si="70"/>
        <v>0</v>
      </c>
      <c r="H206" s="309">
        <f t="shared" si="70"/>
        <v>0</v>
      </c>
      <c r="I206" s="309">
        <f t="shared" si="70"/>
        <v>0</v>
      </c>
      <c r="J206" s="309">
        <f t="shared" si="70"/>
        <v>0</v>
      </c>
      <c r="K206" s="309">
        <f t="shared" si="70"/>
        <v>0</v>
      </c>
      <c r="L206" s="309">
        <f t="shared" si="70"/>
        <v>0</v>
      </c>
      <c r="M206" s="309">
        <f t="shared" si="70"/>
        <v>0</v>
      </c>
      <c r="N206" s="309">
        <f t="shared" si="70"/>
        <v>0</v>
      </c>
    </row>
    <row r="208" spans="1:14"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1">B178</f>
        <v>Age group</v>
      </c>
      <c r="C212" s="338" t="str">
        <f t="shared" ref="C212:N212" si="72">C178</f>
        <v>2016/17</v>
      </c>
      <c r="D212" s="338" t="str">
        <f t="shared" si="72"/>
        <v>2017/18</v>
      </c>
      <c r="E212" s="338" t="str">
        <f t="shared" si="72"/>
        <v>2018/19</v>
      </c>
      <c r="F212" s="338" t="str">
        <f t="shared" si="72"/>
        <v>2019/20</v>
      </c>
      <c r="G212" s="338" t="str">
        <f t="shared" si="72"/>
        <v>2020/21</v>
      </c>
      <c r="H212" s="338" t="str">
        <f t="shared" si="72"/>
        <v>2021/22</v>
      </c>
      <c r="I212" s="338" t="str">
        <f t="shared" si="72"/>
        <v>2022/23</v>
      </c>
      <c r="J212" s="338" t="str">
        <f t="shared" si="72"/>
        <v>2023/24</v>
      </c>
      <c r="K212" s="338" t="str">
        <f t="shared" si="72"/>
        <v>2024/25</v>
      </c>
      <c r="L212" s="338" t="str">
        <f t="shared" si="72"/>
        <v>2025/26</v>
      </c>
      <c r="M212" s="338" t="str">
        <f t="shared" si="72"/>
        <v>2026/27</v>
      </c>
      <c r="N212" s="338" t="str">
        <f t="shared" si="72"/>
        <v>2027/28</v>
      </c>
    </row>
    <row r="213" spans="1:14">
      <c r="B213" s="338" t="str">
        <f t="shared" si="71"/>
        <v>20-24</v>
      </c>
      <c r="C213" s="459">
        <f t="shared" ref="C213:C222" si="73">C111+C145+C179</f>
        <v>10.555798459668924</v>
      </c>
      <c r="D213" s="459">
        <f t="shared" ref="D213:N213" si="74">D111+D145+D179</f>
        <v>19.205930773240151</v>
      </c>
      <c r="E213" s="459">
        <f t="shared" si="74"/>
        <v>24.803290554481549</v>
      </c>
      <c r="F213" s="459">
        <f t="shared" si="74"/>
        <v>25.537874137217131</v>
      </c>
      <c r="G213" s="459">
        <f t="shared" si="74"/>
        <v>25.813730283295488</v>
      </c>
      <c r="H213" s="459">
        <f t="shared" si="74"/>
        <v>28.107387183768161</v>
      </c>
      <c r="I213" s="459">
        <f t="shared" si="74"/>
        <v>31.356580729909336</v>
      </c>
      <c r="J213" s="459">
        <f t="shared" si="74"/>
        <v>34.305545876150646</v>
      </c>
      <c r="K213" s="459">
        <f t="shared" si="74"/>
        <v>36.396917679325583</v>
      </c>
      <c r="L213" s="459">
        <f t="shared" si="74"/>
        <v>38.077822271023699</v>
      </c>
      <c r="M213" s="459">
        <f t="shared" si="74"/>
        <v>39.16001088174653</v>
      </c>
      <c r="N213" s="459">
        <f t="shared" si="74"/>
        <v>39.881455826784418</v>
      </c>
    </row>
    <row r="214" spans="1:14">
      <c r="B214" s="338" t="str">
        <f t="shared" si="71"/>
        <v>25-29</v>
      </c>
      <c r="C214" s="459">
        <f t="shared" si="73"/>
        <v>42.224009671442602</v>
      </c>
      <c r="D214" s="459">
        <f t="shared" ref="D214:N214" si="75">D112+D146+D180</f>
        <v>44.016364368041629</v>
      </c>
      <c r="E214" s="459">
        <f t="shared" si="75"/>
        <v>45.957263297904518</v>
      </c>
      <c r="F214" s="459">
        <f t="shared" si="75"/>
        <v>44.911053830719005</v>
      </c>
      <c r="G214" s="459">
        <f t="shared" si="75"/>
        <v>43.99941371804951</v>
      </c>
      <c r="H214" s="459">
        <f t="shared" si="75"/>
        <v>45.457215082102444</v>
      </c>
      <c r="I214" s="459">
        <f t="shared" si="75"/>
        <v>48.448630719308738</v>
      </c>
      <c r="J214" s="459">
        <f t="shared" si="75"/>
        <v>51.718454446344211</v>
      </c>
      <c r="K214" s="459">
        <f t="shared" si="75"/>
        <v>54.510108384862171</v>
      </c>
      <c r="L214" s="459">
        <f t="shared" si="75"/>
        <v>57.0330446356907</v>
      </c>
      <c r="M214" s="459">
        <f t="shared" si="75"/>
        <v>58.997736181007419</v>
      </c>
      <c r="N214" s="459">
        <f t="shared" si="75"/>
        <v>60.536585844103335</v>
      </c>
    </row>
    <row r="215" spans="1:14">
      <c r="B215" s="338" t="str">
        <f t="shared" si="71"/>
        <v>30-34</v>
      </c>
      <c r="C215" s="459">
        <f t="shared" si="73"/>
        <v>51.317791120769577</v>
      </c>
      <c r="D215" s="459">
        <f t="shared" ref="D215:N215" si="76">D113+D147+D181</f>
        <v>49.402119080031447</v>
      </c>
      <c r="E215" s="459">
        <f t="shared" si="76"/>
        <v>47.955867591286761</v>
      </c>
      <c r="F215" s="459">
        <f t="shared" si="76"/>
        <v>45.690145758357723</v>
      </c>
      <c r="G215" s="459">
        <f t="shared" si="76"/>
        <v>43.73886959813747</v>
      </c>
      <c r="H215" s="459">
        <f t="shared" si="76"/>
        <v>43.081963487646526</v>
      </c>
      <c r="I215" s="459">
        <f t="shared" si="76"/>
        <v>43.503199045833973</v>
      </c>
      <c r="J215" s="459">
        <f t="shared" si="76"/>
        <v>44.505818352715544</v>
      </c>
      <c r="K215" s="459">
        <f t="shared" si="76"/>
        <v>45.696770577592112</v>
      </c>
      <c r="L215" s="459">
        <f t="shared" si="76"/>
        <v>47.053207530159625</v>
      </c>
      <c r="M215" s="459">
        <f t="shared" si="76"/>
        <v>48.361489578020695</v>
      </c>
      <c r="N215" s="459">
        <f t="shared" si="76"/>
        <v>49.587196981777552</v>
      </c>
    </row>
    <row r="216" spans="1:14">
      <c r="B216" s="338" t="str">
        <f t="shared" si="71"/>
        <v>35-39</v>
      </c>
      <c r="C216" s="459">
        <f t="shared" si="73"/>
        <v>51.199262669510134</v>
      </c>
      <c r="D216" s="459">
        <f t="shared" ref="D216:N216" si="77">D114+D148+D182</f>
        <v>51.412152841848709</v>
      </c>
      <c r="E216" s="459">
        <f t="shared" si="77"/>
        <v>51.046928977119876</v>
      </c>
      <c r="F216" s="459">
        <f t="shared" si="77"/>
        <v>49.567455768015314</v>
      </c>
      <c r="G216" s="459">
        <f t="shared" si="77"/>
        <v>47.959764957333981</v>
      </c>
      <c r="H216" s="459">
        <f t="shared" si="77"/>
        <v>46.9869781346883</v>
      </c>
      <c r="I216" s="459">
        <f t="shared" si="77"/>
        <v>46.596035128206452</v>
      </c>
      <c r="J216" s="459">
        <f t="shared" si="77"/>
        <v>46.563590796195882</v>
      </c>
      <c r="K216" s="459">
        <f t="shared" si="77"/>
        <v>46.72527717980811</v>
      </c>
      <c r="L216" s="459">
        <f t="shared" si="77"/>
        <v>47.125608172079076</v>
      </c>
      <c r="M216" s="459">
        <f t="shared" si="77"/>
        <v>47.648400865161143</v>
      </c>
      <c r="N216" s="459">
        <f t="shared" si="77"/>
        <v>48.272852931362983</v>
      </c>
    </row>
    <row r="217" spans="1:14">
      <c r="B217" s="338" t="str">
        <f t="shared" si="71"/>
        <v>40-44</v>
      </c>
      <c r="C217" s="459">
        <f t="shared" si="73"/>
        <v>53.459853836257338</v>
      </c>
      <c r="D217" s="459">
        <f t="shared" ref="D217:N217" si="78">D115+D149+D183</f>
        <v>53.613213564768259</v>
      </c>
      <c r="E217" s="459">
        <f t="shared" si="78"/>
        <v>53.62028211355215</v>
      </c>
      <c r="F217" s="459">
        <f t="shared" si="78"/>
        <v>52.682392554555371</v>
      </c>
      <c r="G217" s="459">
        <f t="shared" si="78"/>
        <v>51.608290636637101</v>
      </c>
      <c r="H217" s="459">
        <f t="shared" si="78"/>
        <v>51.02990333503687</v>
      </c>
      <c r="I217" s="459">
        <f t="shared" si="78"/>
        <v>50.824922010883149</v>
      </c>
      <c r="J217" s="459">
        <f t="shared" si="78"/>
        <v>50.758643669736479</v>
      </c>
      <c r="K217" s="459">
        <f t="shared" si="78"/>
        <v>50.699567055496402</v>
      </c>
      <c r="L217" s="459">
        <f t="shared" si="78"/>
        <v>50.740099346956782</v>
      </c>
      <c r="M217" s="459">
        <f t="shared" si="78"/>
        <v>50.823386390778509</v>
      </c>
      <c r="N217" s="459">
        <f t="shared" si="78"/>
        <v>50.981783388210587</v>
      </c>
    </row>
    <row r="218" spans="1:14">
      <c r="B218" s="338" t="str">
        <f t="shared" si="71"/>
        <v>45-49</v>
      </c>
      <c r="C218" s="459">
        <f t="shared" si="73"/>
        <v>54.106417348466216</v>
      </c>
      <c r="D218" s="459">
        <f t="shared" ref="D218:N218" si="79">D116+D150+D184</f>
        <v>53.816734057183091</v>
      </c>
      <c r="E218" s="459">
        <f t="shared" si="79"/>
        <v>53.497316673656762</v>
      </c>
      <c r="F218" s="459">
        <f t="shared" si="79"/>
        <v>52.475846314343556</v>
      </c>
      <c r="G218" s="459">
        <f t="shared" si="79"/>
        <v>51.468071919788699</v>
      </c>
      <c r="H218" s="459">
        <f t="shared" si="79"/>
        <v>51.009193424110471</v>
      </c>
      <c r="I218" s="459">
        <f t="shared" si="79"/>
        <v>50.941060234090244</v>
      </c>
      <c r="J218" s="459">
        <f t="shared" si="79"/>
        <v>51.001146859702736</v>
      </c>
      <c r="K218" s="459">
        <f t="shared" si="79"/>
        <v>51.028922209683692</v>
      </c>
      <c r="L218" s="459">
        <f t="shared" si="79"/>
        <v>51.08299924728589</v>
      </c>
      <c r="M218" s="459">
        <f t="shared" si="79"/>
        <v>51.103157252495386</v>
      </c>
      <c r="N218" s="459">
        <f t="shared" si="79"/>
        <v>51.123213778984606</v>
      </c>
    </row>
    <row r="219" spans="1:14">
      <c r="B219" s="338" t="str">
        <f t="shared" si="71"/>
        <v>50-54</v>
      </c>
      <c r="C219" s="459">
        <f t="shared" si="73"/>
        <v>63.943130950374602</v>
      </c>
      <c r="D219" s="459">
        <f t="shared" ref="D219:N219" si="80">D117+D151+D185</f>
        <v>62.321276226724549</v>
      </c>
      <c r="E219" s="459">
        <f t="shared" si="80"/>
        <v>60.948903955155814</v>
      </c>
      <c r="F219" s="459">
        <f t="shared" si="80"/>
        <v>59.072515501827795</v>
      </c>
      <c r="G219" s="459">
        <f t="shared" si="80"/>
        <v>57.412429997633595</v>
      </c>
      <c r="H219" s="459">
        <f t="shared" si="80"/>
        <v>56.498360950385113</v>
      </c>
      <c r="I219" s="459">
        <f t="shared" si="80"/>
        <v>56.13487403229081</v>
      </c>
      <c r="J219" s="459">
        <f t="shared" si="80"/>
        <v>56.017226912087487</v>
      </c>
      <c r="K219" s="459">
        <f t="shared" si="80"/>
        <v>55.945997987396069</v>
      </c>
      <c r="L219" s="459">
        <f t="shared" si="80"/>
        <v>55.949999638019968</v>
      </c>
      <c r="M219" s="459">
        <f t="shared" si="80"/>
        <v>55.937509939168166</v>
      </c>
      <c r="N219" s="459">
        <f t="shared" si="80"/>
        <v>55.921189982024629</v>
      </c>
    </row>
    <row r="220" spans="1:14">
      <c r="B220" s="338" t="str">
        <f t="shared" si="71"/>
        <v>55-59</v>
      </c>
      <c r="C220" s="459">
        <f t="shared" si="73"/>
        <v>122.33282228741072</v>
      </c>
      <c r="D220" s="459">
        <f t="shared" ref="D220:N220" si="81">D118+D152+D186</f>
        <v>104.22272653809783</v>
      </c>
      <c r="E220" s="459">
        <f t="shared" si="81"/>
        <v>92.576301664394862</v>
      </c>
      <c r="F220" s="459">
        <f t="shared" si="81"/>
        <v>83.757408695097752</v>
      </c>
      <c r="G220" s="459">
        <f t="shared" si="81"/>
        <v>77.64045567591198</v>
      </c>
      <c r="H220" s="459">
        <f t="shared" si="81"/>
        <v>74.181222182505834</v>
      </c>
      <c r="I220" s="459">
        <f t="shared" si="81"/>
        <v>72.411701407975784</v>
      </c>
      <c r="J220" s="459">
        <f t="shared" si="81"/>
        <v>71.470797077630095</v>
      </c>
      <c r="K220" s="459">
        <f t="shared" si="81"/>
        <v>70.859232981779272</v>
      </c>
      <c r="L220" s="459">
        <f t="shared" si="81"/>
        <v>70.545121174950054</v>
      </c>
      <c r="M220" s="459">
        <f t="shared" si="81"/>
        <v>70.312832531548906</v>
      </c>
      <c r="N220" s="459">
        <f t="shared" si="81"/>
        <v>70.149309694697777</v>
      </c>
    </row>
    <row r="221" spans="1:14">
      <c r="B221" s="338" t="str">
        <f t="shared" si="71"/>
        <v>60-64</v>
      </c>
      <c r="C221" s="459">
        <f t="shared" si="73"/>
        <v>88.95190165185106</v>
      </c>
      <c r="D221" s="459">
        <f t="shared" ref="D221:N221" si="82">D119+D153+D187</f>
        <v>74.614836344987751</v>
      </c>
      <c r="E221" s="459">
        <f t="shared" si="82"/>
        <v>63.401929153935363</v>
      </c>
      <c r="F221" s="459">
        <f t="shared" si="82"/>
        <v>54.243829009824005</v>
      </c>
      <c r="G221" s="459">
        <f t="shared" si="82"/>
        <v>47.745329684895154</v>
      </c>
      <c r="H221" s="459">
        <f t="shared" si="82"/>
        <v>43.942557815659242</v>
      </c>
      <c r="I221" s="459">
        <f t="shared" si="82"/>
        <v>41.876702718088971</v>
      </c>
      <c r="J221" s="459">
        <f t="shared" si="82"/>
        <v>40.695844640779214</v>
      </c>
      <c r="K221" s="459">
        <f t="shared" si="82"/>
        <v>39.909567678023542</v>
      </c>
      <c r="L221" s="459">
        <f t="shared" si="82"/>
        <v>39.456802759201842</v>
      </c>
      <c r="M221" s="459">
        <f t="shared" si="82"/>
        <v>39.127663791563421</v>
      </c>
      <c r="N221" s="459">
        <f t="shared" si="82"/>
        <v>38.89924686542961</v>
      </c>
    </row>
    <row r="222" spans="1:14">
      <c r="B222" s="338" t="str">
        <f t="shared" si="71"/>
        <v>65 plus</v>
      </c>
      <c r="C222" s="459">
        <f t="shared" si="73"/>
        <v>27.607765673807801</v>
      </c>
      <c r="D222" s="459">
        <f t="shared" ref="D222:N222" si="83">D120+D154+D188</f>
        <v>29.021081216007772</v>
      </c>
      <c r="E222" s="459">
        <f t="shared" si="83"/>
        <v>27.688578037421038</v>
      </c>
      <c r="F222" s="459">
        <f t="shared" si="83"/>
        <v>24.91999659787361</v>
      </c>
      <c r="G222" s="459">
        <f t="shared" si="83"/>
        <v>22.11321987173023</v>
      </c>
      <c r="H222" s="459">
        <f t="shared" si="83"/>
        <v>20.005779146101631</v>
      </c>
      <c r="I222" s="459">
        <f t="shared" si="83"/>
        <v>18.580001204574277</v>
      </c>
      <c r="J222" s="459">
        <f t="shared" si="83"/>
        <v>17.618285018275067</v>
      </c>
      <c r="K222" s="459">
        <f t="shared" si="83"/>
        <v>16.934495529282216</v>
      </c>
      <c r="L222" s="459">
        <f t="shared" si="83"/>
        <v>16.485083382696942</v>
      </c>
      <c r="M222" s="459">
        <f t="shared" si="83"/>
        <v>16.162962757494931</v>
      </c>
      <c r="N222" s="459">
        <f t="shared" si="83"/>
        <v>15.936352803445454</v>
      </c>
    </row>
    <row r="223" spans="1:14">
      <c r="B223" s="338" t="str">
        <f t="shared" si="71"/>
        <v>Total</v>
      </c>
      <c r="C223" s="459">
        <f>SUM(C213:C222)</f>
        <v>565.69875366955887</v>
      </c>
      <c r="D223" s="459">
        <f t="shared" ref="D223:N223" si="84">SUM(D213:D222)</f>
        <v>541.64643501093133</v>
      </c>
      <c r="E223" s="459">
        <f t="shared" si="84"/>
        <v>521.49666201890864</v>
      </c>
      <c r="F223" s="459">
        <f t="shared" si="84"/>
        <v>492.85851816783128</v>
      </c>
      <c r="G223" s="459">
        <f t="shared" si="84"/>
        <v>469.49957634341314</v>
      </c>
      <c r="H223" s="459">
        <f t="shared" si="84"/>
        <v>460.30056074200468</v>
      </c>
      <c r="I223" s="459">
        <f t="shared" si="84"/>
        <v>460.67370723116164</v>
      </c>
      <c r="J223" s="459">
        <f t="shared" si="84"/>
        <v>464.65535364961738</v>
      </c>
      <c r="K223" s="459">
        <f t="shared" si="84"/>
        <v>468.70685726324922</v>
      </c>
      <c r="L223" s="459">
        <f t="shared" si="84"/>
        <v>473.54978815806453</v>
      </c>
      <c r="M223" s="459">
        <f t="shared" si="84"/>
        <v>477.63515016898515</v>
      </c>
      <c r="N223" s="459">
        <f t="shared" si="84"/>
        <v>481.28918809682096</v>
      </c>
    </row>
    <row r="224" spans="1:14">
      <c r="A224" s="309">
        <f>SUM(C224:N224)</f>
        <v>0</v>
      </c>
      <c r="C224" s="309">
        <f>SUM(C213:C222)-C223</f>
        <v>0</v>
      </c>
      <c r="D224" s="309">
        <f t="shared" ref="D224:N224" si="85">SUM(D213:D222)-D223</f>
        <v>0</v>
      </c>
      <c r="E224" s="309">
        <f t="shared" si="85"/>
        <v>0</v>
      </c>
      <c r="F224" s="309">
        <f t="shared" si="85"/>
        <v>0</v>
      </c>
      <c r="G224" s="309">
        <f t="shared" si="85"/>
        <v>0</v>
      </c>
      <c r="H224" s="309">
        <f t="shared" si="85"/>
        <v>0</v>
      </c>
      <c r="I224" s="309">
        <f t="shared" si="85"/>
        <v>0</v>
      </c>
      <c r="J224" s="309">
        <f t="shared" si="85"/>
        <v>0</v>
      </c>
      <c r="K224" s="309">
        <f t="shared" si="85"/>
        <v>0</v>
      </c>
      <c r="L224" s="309">
        <f t="shared" si="85"/>
        <v>0</v>
      </c>
      <c r="M224" s="309">
        <f t="shared" si="85"/>
        <v>0</v>
      </c>
      <c r="N224" s="309">
        <f t="shared" si="85"/>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6">B212</f>
        <v>Age group</v>
      </c>
      <c r="C228" s="338" t="str">
        <f t="shared" ref="C228:N228" si="87">C212</f>
        <v>2016/17</v>
      </c>
      <c r="D228" s="338" t="str">
        <f t="shared" si="87"/>
        <v>2017/18</v>
      </c>
      <c r="E228" s="338" t="str">
        <f t="shared" si="87"/>
        <v>2018/19</v>
      </c>
      <c r="F228" s="338" t="str">
        <f t="shared" si="87"/>
        <v>2019/20</v>
      </c>
      <c r="G228" s="338" t="str">
        <f t="shared" si="87"/>
        <v>2020/21</v>
      </c>
      <c r="H228" s="338" t="str">
        <f t="shared" si="87"/>
        <v>2021/22</v>
      </c>
      <c r="I228" s="338" t="str">
        <f t="shared" si="87"/>
        <v>2022/23</v>
      </c>
      <c r="J228" s="338" t="str">
        <f t="shared" si="87"/>
        <v>2023/24</v>
      </c>
      <c r="K228" s="338" t="str">
        <f t="shared" si="87"/>
        <v>2024/25</v>
      </c>
      <c r="L228" s="338" t="str">
        <f t="shared" si="87"/>
        <v>2025/26</v>
      </c>
      <c r="M228" s="338" t="str">
        <f t="shared" si="87"/>
        <v>2026/27</v>
      </c>
      <c r="N228" s="338" t="str">
        <f t="shared" si="87"/>
        <v>2027/28</v>
      </c>
    </row>
    <row r="229" spans="1:14">
      <c r="B229" s="338" t="str">
        <f t="shared" si="86"/>
        <v>20-24</v>
      </c>
      <c r="C229" s="459">
        <f t="shared" ref="C229:C238" si="88">C195+C161+C127</f>
        <v>32.926818244223739</v>
      </c>
      <c r="D229" s="459">
        <f t="shared" ref="D229:N229" si="89">D195+D161+D127</f>
        <v>45.388395616586365</v>
      </c>
      <c r="E229" s="459">
        <f t="shared" si="89"/>
        <v>53.209608552690746</v>
      </c>
      <c r="F229" s="459">
        <f t="shared" si="89"/>
        <v>52.684034452180889</v>
      </c>
      <c r="G229" s="459">
        <f t="shared" si="89"/>
        <v>51.844319703931788</v>
      </c>
      <c r="H229" s="459">
        <f t="shared" si="89"/>
        <v>55.176916410483926</v>
      </c>
      <c r="I229" s="459">
        <f t="shared" si="89"/>
        <v>60.580198375630154</v>
      </c>
      <c r="J229" s="459">
        <f t="shared" si="89"/>
        <v>65.62044707356327</v>
      </c>
      <c r="K229" s="459">
        <f t="shared" si="89"/>
        <v>69.195138715381361</v>
      </c>
      <c r="L229" s="459">
        <f t="shared" si="89"/>
        <v>72.101137896400431</v>
      </c>
      <c r="M229" s="459">
        <f t="shared" si="89"/>
        <v>73.956262242991684</v>
      </c>
      <c r="N229" s="459">
        <f t="shared" si="89"/>
        <v>75.185690126597805</v>
      </c>
    </row>
    <row r="230" spans="1:14">
      <c r="B230" s="338" t="str">
        <f t="shared" si="86"/>
        <v>25-29</v>
      </c>
      <c r="C230" s="459">
        <f t="shared" si="88"/>
        <v>125.26415015873918</v>
      </c>
      <c r="D230" s="459">
        <f t="shared" ref="D230:N230" si="90">D196+D162+D128</f>
        <v>119.83303247829492</v>
      </c>
      <c r="E230" s="459">
        <f t="shared" si="90"/>
        <v>116.60785644361833</v>
      </c>
      <c r="F230" s="459">
        <f t="shared" si="90"/>
        <v>108.80057863423829</v>
      </c>
      <c r="G230" s="459">
        <f t="shared" si="90"/>
        <v>102.54260044877813</v>
      </c>
      <c r="H230" s="459">
        <f t="shared" si="90"/>
        <v>102.14918169074515</v>
      </c>
      <c r="I230" s="459">
        <f t="shared" si="90"/>
        <v>105.66153793822765</v>
      </c>
      <c r="J230" s="459">
        <f t="shared" si="90"/>
        <v>110.32134815738105</v>
      </c>
      <c r="K230" s="459">
        <f t="shared" si="90"/>
        <v>114.4463601396648</v>
      </c>
      <c r="L230" s="459">
        <f t="shared" si="90"/>
        <v>118.37143146679222</v>
      </c>
      <c r="M230" s="459">
        <f t="shared" si="90"/>
        <v>121.42537517408523</v>
      </c>
      <c r="N230" s="459">
        <f t="shared" si="90"/>
        <v>123.82245963370798</v>
      </c>
    </row>
    <row r="231" spans="1:14">
      <c r="B231" s="338" t="str">
        <f t="shared" si="86"/>
        <v>30-34</v>
      </c>
      <c r="C231" s="459">
        <f t="shared" si="88"/>
        <v>160.69343646809895</v>
      </c>
      <c r="D231" s="459">
        <f t="shared" ref="D231:N231" si="91">D197+D163+D129</f>
        <v>152.51040059557025</v>
      </c>
      <c r="E231" s="459">
        <f t="shared" si="91"/>
        <v>144.9359201974051</v>
      </c>
      <c r="F231" s="459">
        <f t="shared" si="91"/>
        <v>135.06283033012238</v>
      </c>
      <c r="G231" s="459">
        <f t="shared" si="91"/>
        <v>126.21947323335907</v>
      </c>
      <c r="H231" s="459">
        <f t="shared" si="91"/>
        <v>121.12085578057587</v>
      </c>
      <c r="I231" s="459">
        <f t="shared" si="91"/>
        <v>119.20514693813611</v>
      </c>
      <c r="J231" s="459">
        <f t="shared" si="91"/>
        <v>119.14547258580969</v>
      </c>
      <c r="K231" s="459">
        <f t="shared" si="91"/>
        <v>119.89084264157415</v>
      </c>
      <c r="L231" s="459">
        <f t="shared" si="91"/>
        <v>121.36584141044318</v>
      </c>
      <c r="M231" s="459">
        <f t="shared" si="91"/>
        <v>122.9835652125701</v>
      </c>
      <c r="N231" s="459">
        <f t="shared" si="91"/>
        <v>124.63249337624575</v>
      </c>
    </row>
    <row r="232" spans="1:14">
      <c r="B232" s="338" t="str">
        <f t="shared" si="86"/>
        <v>35-39</v>
      </c>
      <c r="C232" s="459">
        <f t="shared" si="88"/>
        <v>127.94679653875266</v>
      </c>
      <c r="D232" s="459">
        <f t="shared" ref="D232:N232" si="92">D198+D164+D130</f>
        <v>129.22748842560924</v>
      </c>
      <c r="E232" s="459">
        <f t="shared" si="92"/>
        <v>128.40072288541333</v>
      </c>
      <c r="F232" s="459">
        <f t="shared" si="92"/>
        <v>124.27912936344637</v>
      </c>
      <c r="G232" s="459">
        <f t="shared" si="92"/>
        <v>119.41399345680441</v>
      </c>
      <c r="H232" s="459">
        <f t="shared" si="92"/>
        <v>115.78685778920628</v>
      </c>
      <c r="I232" s="459">
        <f t="shared" si="92"/>
        <v>113.368931079861</v>
      </c>
      <c r="J232" s="459">
        <f t="shared" si="92"/>
        <v>111.70187777533411</v>
      </c>
      <c r="K232" s="459">
        <f t="shared" si="92"/>
        <v>110.457410330077</v>
      </c>
      <c r="L232" s="459">
        <f t="shared" si="92"/>
        <v>109.79756465477239</v>
      </c>
      <c r="M232" s="459">
        <f t="shared" si="92"/>
        <v>109.48034982956027</v>
      </c>
      <c r="N232" s="459">
        <f t="shared" si="92"/>
        <v>109.48474626084851</v>
      </c>
    </row>
    <row r="233" spans="1:14">
      <c r="B233" s="338" t="str">
        <f t="shared" si="86"/>
        <v>40-44</v>
      </c>
      <c r="C233" s="459">
        <f t="shared" si="88"/>
        <v>102.35373133459763</v>
      </c>
      <c r="D233" s="459">
        <f t="shared" ref="D233:N233" si="93">D199+D165+D131</f>
        <v>104.5709609797544</v>
      </c>
      <c r="E233" s="459">
        <f t="shared" si="93"/>
        <v>106.1225753459004</v>
      </c>
      <c r="F233" s="459">
        <f t="shared" si="93"/>
        <v>105.34087894584046</v>
      </c>
      <c r="G233" s="459">
        <f t="shared" si="93"/>
        <v>103.89997577986283</v>
      </c>
      <c r="H233" s="459">
        <f t="shared" si="93"/>
        <v>103.12375801112137</v>
      </c>
      <c r="I233" s="459">
        <f t="shared" si="93"/>
        <v>102.79274396140545</v>
      </c>
      <c r="J233" s="459">
        <f t="shared" si="93"/>
        <v>102.46712742111117</v>
      </c>
      <c r="K233" s="459">
        <f t="shared" si="93"/>
        <v>101.92607980171577</v>
      </c>
      <c r="L233" s="459">
        <f t="shared" si="93"/>
        <v>101.41055498107512</v>
      </c>
      <c r="M233" s="459">
        <f t="shared" si="93"/>
        <v>100.84971403602461</v>
      </c>
      <c r="N233" s="459">
        <f t="shared" si="93"/>
        <v>100.35211456300506</v>
      </c>
    </row>
    <row r="234" spans="1:14">
      <c r="B234" s="338" t="str">
        <f t="shared" si="86"/>
        <v>45-49</v>
      </c>
      <c r="C234" s="459">
        <f t="shared" si="88"/>
        <v>86.599043883284267</v>
      </c>
      <c r="D234" s="459">
        <f t="shared" ref="D234:N234" si="94">D200+D166+D132</f>
        <v>89.00429442408921</v>
      </c>
      <c r="E234" s="459">
        <f t="shared" si="94"/>
        <v>90.936842484019337</v>
      </c>
      <c r="F234" s="459">
        <f t="shared" si="94"/>
        <v>91.137214548755665</v>
      </c>
      <c r="G234" s="459">
        <f t="shared" si="94"/>
        <v>91.016878938773345</v>
      </c>
      <c r="H234" s="459">
        <f t="shared" si="94"/>
        <v>91.628597132899131</v>
      </c>
      <c r="I234" s="459">
        <f t="shared" si="94"/>
        <v>92.681827856445665</v>
      </c>
      <c r="J234" s="459">
        <f t="shared" si="94"/>
        <v>93.687419624370165</v>
      </c>
      <c r="K234" s="459">
        <f t="shared" si="94"/>
        <v>94.358282418893708</v>
      </c>
      <c r="L234" s="459">
        <f t="shared" si="94"/>
        <v>94.835139384012962</v>
      </c>
      <c r="M234" s="459">
        <f t="shared" si="94"/>
        <v>95.031281494577343</v>
      </c>
      <c r="N234" s="459">
        <f t="shared" si="94"/>
        <v>95.043143244453219</v>
      </c>
    </row>
    <row r="235" spans="1:14">
      <c r="B235" s="338" t="str">
        <f t="shared" si="86"/>
        <v>50-54</v>
      </c>
      <c r="C235" s="459">
        <f t="shared" si="88"/>
        <v>98.205250592351533</v>
      </c>
      <c r="D235" s="459">
        <f t="shared" ref="D235:N235" si="95">D201+D167+D133</f>
        <v>97.490856189165072</v>
      </c>
      <c r="E235" s="459">
        <f t="shared" si="95"/>
        <v>97.321136216537852</v>
      </c>
      <c r="F235" s="459">
        <f t="shared" si="95"/>
        <v>96.115757424539169</v>
      </c>
      <c r="G235" s="459">
        <f t="shared" si="95"/>
        <v>95.190870971019123</v>
      </c>
      <c r="H235" s="459">
        <f t="shared" si="95"/>
        <v>95.519672928199583</v>
      </c>
      <c r="I235" s="459">
        <f t="shared" si="95"/>
        <v>96.691347431100382</v>
      </c>
      <c r="J235" s="459">
        <f t="shared" si="95"/>
        <v>98.098521071800391</v>
      </c>
      <c r="K235" s="459">
        <f t="shared" si="95"/>
        <v>99.348886676415063</v>
      </c>
      <c r="L235" s="459">
        <f t="shared" si="95"/>
        <v>100.49989020545851</v>
      </c>
      <c r="M235" s="459">
        <f t="shared" si="95"/>
        <v>101.38251067602624</v>
      </c>
      <c r="N235" s="459">
        <f t="shared" si="95"/>
        <v>102.03497664445685</v>
      </c>
    </row>
    <row r="236" spans="1:14">
      <c r="B236" s="338" t="str">
        <f t="shared" si="86"/>
        <v>55-59</v>
      </c>
      <c r="C236" s="459">
        <f t="shared" si="88"/>
        <v>172.99033508039616</v>
      </c>
      <c r="D236" s="459">
        <f t="shared" ref="D236:N236" si="96">D202+D168+D134</f>
        <v>151.37619788987647</v>
      </c>
      <c r="E236" s="459">
        <f t="shared" si="96"/>
        <v>137.72378389433507</v>
      </c>
      <c r="F236" s="459">
        <f t="shared" si="96"/>
        <v>127.0325777601913</v>
      </c>
      <c r="G236" s="459">
        <f t="shared" si="96"/>
        <v>119.96663993480973</v>
      </c>
      <c r="H236" s="459">
        <f t="shared" si="96"/>
        <v>116.94717950799659</v>
      </c>
      <c r="I236" s="459">
        <f t="shared" si="96"/>
        <v>116.48476731354225</v>
      </c>
      <c r="J236" s="459">
        <f t="shared" si="96"/>
        <v>117.14941684135047</v>
      </c>
      <c r="K236" s="459">
        <f t="shared" si="96"/>
        <v>118.09805746525316</v>
      </c>
      <c r="L236" s="459">
        <f t="shared" si="96"/>
        <v>119.30565931772912</v>
      </c>
      <c r="M236" s="459">
        <f t="shared" si="96"/>
        <v>120.39847156070164</v>
      </c>
      <c r="N236" s="459">
        <f t="shared" si="96"/>
        <v>121.36568661029695</v>
      </c>
    </row>
    <row r="237" spans="1:14">
      <c r="B237" s="338" t="str">
        <f t="shared" si="86"/>
        <v>60-64</v>
      </c>
      <c r="C237" s="459">
        <f t="shared" si="88"/>
        <v>129.87890651636465</v>
      </c>
      <c r="D237" s="459">
        <f t="shared" ref="D237:N237" si="97">D203+D169+D135</f>
        <v>111.52294827487505</v>
      </c>
      <c r="E237" s="459">
        <f t="shared" si="97"/>
        <v>97.226080625066871</v>
      </c>
      <c r="F237" s="459">
        <f t="shared" si="97"/>
        <v>84.957484660304772</v>
      </c>
      <c r="G237" s="459">
        <f t="shared" si="97"/>
        <v>76.446318227957278</v>
      </c>
      <c r="H237" s="459">
        <f t="shared" si="97"/>
        <v>72.19643796079842</v>
      </c>
      <c r="I237" s="459">
        <f t="shared" si="97"/>
        <v>70.594488677727853</v>
      </c>
      <c r="J237" s="459">
        <f t="shared" si="97"/>
        <v>70.178645327667681</v>
      </c>
      <c r="K237" s="459">
        <f t="shared" si="97"/>
        <v>70.14877233749317</v>
      </c>
      <c r="L237" s="459">
        <f t="shared" si="97"/>
        <v>70.506679068778595</v>
      </c>
      <c r="M237" s="459">
        <f t="shared" si="97"/>
        <v>70.896981267553002</v>
      </c>
      <c r="N237" s="459">
        <f t="shared" si="97"/>
        <v>71.318655461321029</v>
      </c>
    </row>
    <row r="238" spans="1:14">
      <c r="B238" s="338" t="str">
        <f t="shared" si="86"/>
        <v>65 plus</v>
      </c>
      <c r="C238" s="459">
        <f t="shared" si="88"/>
        <v>33.568074415281785</v>
      </c>
      <c r="D238" s="459">
        <f t="shared" ref="D238:N238" si="98">D204+D170+D136</f>
        <v>37.789577448742016</v>
      </c>
      <c r="E238" s="459">
        <f t="shared" si="98"/>
        <v>37.233652710997085</v>
      </c>
      <c r="F238" s="459">
        <f t="shared" si="98"/>
        <v>34.036499534599045</v>
      </c>
      <c r="G238" s="459">
        <f t="shared" si="98"/>
        <v>30.713318200393967</v>
      </c>
      <c r="H238" s="459">
        <f t="shared" si="98"/>
        <v>28.546918275081634</v>
      </c>
      <c r="I238" s="459">
        <f t="shared" si="98"/>
        <v>27.385077175706638</v>
      </c>
      <c r="J238" s="459">
        <f t="shared" si="98"/>
        <v>26.782794393031253</v>
      </c>
      <c r="K238" s="459">
        <f t="shared" si="98"/>
        <v>26.423772697761713</v>
      </c>
      <c r="L238" s="459">
        <f t="shared" si="98"/>
        <v>26.298841590244191</v>
      </c>
      <c r="M238" s="459">
        <f t="shared" si="98"/>
        <v>26.249843447667111</v>
      </c>
      <c r="N238" s="459">
        <f t="shared" si="98"/>
        <v>26.263037875719455</v>
      </c>
    </row>
    <row r="239" spans="1:14">
      <c r="B239" s="338" t="str">
        <f t="shared" si="86"/>
        <v>Total</v>
      </c>
      <c r="C239" s="459">
        <f>SUM(C229:C238)</f>
        <v>1070.4265432320904</v>
      </c>
      <c r="D239" s="459">
        <f t="shared" ref="D239:N239" si="99">SUM(D229:D238)</f>
        <v>1038.7141523225628</v>
      </c>
      <c r="E239" s="459">
        <f t="shared" si="99"/>
        <v>1009.7181793559839</v>
      </c>
      <c r="F239" s="459">
        <f t="shared" si="99"/>
        <v>959.44698565421845</v>
      </c>
      <c r="G239" s="459">
        <f t="shared" si="99"/>
        <v>917.25438889568954</v>
      </c>
      <c r="H239" s="459">
        <f t="shared" si="99"/>
        <v>902.19637548710807</v>
      </c>
      <c r="I239" s="459">
        <f t="shared" si="99"/>
        <v>905.44606674778322</v>
      </c>
      <c r="J239" s="459">
        <f t="shared" si="99"/>
        <v>915.15307027141921</v>
      </c>
      <c r="K239" s="459">
        <f t="shared" si="99"/>
        <v>924.29360322422997</v>
      </c>
      <c r="L239" s="459">
        <f t="shared" si="99"/>
        <v>934.49273997570663</v>
      </c>
      <c r="M239" s="459">
        <f t="shared" si="99"/>
        <v>942.65435494175711</v>
      </c>
      <c r="N239" s="459">
        <f t="shared" si="99"/>
        <v>949.50300379665248</v>
      </c>
    </row>
    <row r="240" spans="1:14">
      <c r="A240" s="309">
        <f>SUM(C240:N240)</f>
        <v>0</v>
      </c>
      <c r="C240" s="309">
        <f>SUM(C229:C238)-C239</f>
        <v>0</v>
      </c>
      <c r="D240" s="309">
        <f t="shared" ref="D240:N240" si="100">SUM(D229:D238)-D239</f>
        <v>0</v>
      </c>
      <c r="E240" s="309">
        <f t="shared" si="100"/>
        <v>0</v>
      </c>
      <c r="F240" s="309">
        <f t="shared" si="100"/>
        <v>0</v>
      </c>
      <c r="G240" s="309">
        <f t="shared" si="100"/>
        <v>0</v>
      </c>
      <c r="H240" s="309">
        <f t="shared" si="100"/>
        <v>0</v>
      </c>
      <c r="I240" s="309">
        <f t="shared" si="100"/>
        <v>0</v>
      </c>
      <c r="J240" s="309">
        <f t="shared" si="100"/>
        <v>0</v>
      </c>
      <c r="K240" s="309">
        <f t="shared" si="100"/>
        <v>0</v>
      </c>
      <c r="L240" s="309">
        <f t="shared" si="100"/>
        <v>0</v>
      </c>
      <c r="M240" s="309">
        <f t="shared" si="100"/>
        <v>0</v>
      </c>
      <c r="N240" s="309">
        <f t="shared" si="100"/>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1">B212</f>
        <v>Age group</v>
      </c>
      <c r="C246" s="338" t="str">
        <f t="shared" ref="C246:N246" si="102">C212</f>
        <v>2016/17</v>
      </c>
      <c r="D246" s="338" t="str">
        <f t="shared" si="102"/>
        <v>2017/18</v>
      </c>
      <c r="E246" s="338" t="str">
        <f t="shared" si="102"/>
        <v>2018/19</v>
      </c>
      <c r="F246" s="338" t="str">
        <f t="shared" si="102"/>
        <v>2019/20</v>
      </c>
      <c r="G246" s="338" t="str">
        <f t="shared" si="102"/>
        <v>2020/21</v>
      </c>
      <c r="H246" s="338" t="str">
        <f t="shared" si="102"/>
        <v>2021/22</v>
      </c>
      <c r="I246" s="338" t="str">
        <f t="shared" si="102"/>
        <v>2022/23</v>
      </c>
      <c r="J246" s="338" t="str">
        <f t="shared" si="102"/>
        <v>2023/24</v>
      </c>
      <c r="K246" s="338" t="str">
        <f t="shared" si="102"/>
        <v>2024/25</v>
      </c>
      <c r="L246" s="338" t="str">
        <f t="shared" si="102"/>
        <v>2025/26</v>
      </c>
      <c r="M246" s="338" t="str">
        <f t="shared" si="102"/>
        <v>2026/27</v>
      </c>
      <c r="N246" s="338" t="str">
        <f t="shared" si="102"/>
        <v>2027/28</v>
      </c>
    </row>
    <row r="247" spans="2:14">
      <c r="B247" s="338" t="str">
        <f t="shared" si="101"/>
        <v>20-24</v>
      </c>
      <c r="C247" s="459">
        <f t="shared" ref="C247:C256" si="103">C77-C213</f>
        <v>86.492126594715984</v>
      </c>
      <c r="D247" s="459">
        <f t="shared" ref="D247:N247" si="104">D77-D213</f>
        <v>157.36960137646849</v>
      </c>
      <c r="E247" s="459">
        <f t="shared" si="104"/>
        <v>203.23326130186715</v>
      </c>
      <c r="F247" s="459">
        <f t="shared" si="104"/>
        <v>209.25229401408876</v>
      </c>
      <c r="G247" s="459">
        <f t="shared" si="104"/>
        <v>211.5126047617504</v>
      </c>
      <c r="H247" s="459">
        <f t="shared" si="104"/>
        <v>230.30637614328057</v>
      </c>
      <c r="I247" s="459">
        <f t="shared" si="104"/>
        <v>256.92962597107152</v>
      </c>
      <c r="J247" s="459">
        <f t="shared" si="104"/>
        <v>281.0928636197097</v>
      </c>
      <c r="K247" s="459">
        <f t="shared" si="104"/>
        <v>298.22915088854597</v>
      </c>
      <c r="L247" s="459">
        <f t="shared" si="104"/>
        <v>312.00215094100741</v>
      </c>
      <c r="M247" s="459">
        <f t="shared" si="104"/>
        <v>320.8693905605989</v>
      </c>
      <c r="N247" s="459">
        <f t="shared" si="104"/>
        <v>326.78076787191713</v>
      </c>
    </row>
    <row r="248" spans="2:14">
      <c r="B248" s="338" t="str">
        <f t="shared" si="101"/>
        <v>25-29</v>
      </c>
      <c r="C248" s="459">
        <f t="shared" si="103"/>
        <v>458.48047938323612</v>
      </c>
      <c r="D248" s="459">
        <f t="shared" ref="D248:N248" si="105">D78-D214</f>
        <v>477.94238380481681</v>
      </c>
      <c r="E248" s="459">
        <f t="shared" si="105"/>
        <v>499.01722436880505</v>
      </c>
      <c r="F248" s="459">
        <f t="shared" si="105"/>
        <v>487.65718012424082</v>
      </c>
      <c r="G248" s="459">
        <f t="shared" si="105"/>
        <v>477.75832875664128</v>
      </c>
      <c r="H248" s="459">
        <f t="shared" si="105"/>
        <v>493.58755656890577</v>
      </c>
      <c r="I248" s="459">
        <f t="shared" si="105"/>
        <v>526.06921063380719</v>
      </c>
      <c r="J248" s="459">
        <f t="shared" si="105"/>
        <v>561.57390006371281</v>
      </c>
      <c r="K248" s="459">
        <f t="shared" si="105"/>
        <v>591.88648396948679</v>
      </c>
      <c r="L248" s="459">
        <f t="shared" si="105"/>
        <v>619.28125369254167</v>
      </c>
      <c r="M248" s="459">
        <f t="shared" si="105"/>
        <v>640.61444133971622</v>
      </c>
      <c r="N248" s="459">
        <f t="shared" si="105"/>
        <v>657.32371496685164</v>
      </c>
    </row>
    <row r="249" spans="2:14">
      <c r="B249" s="338" t="str">
        <f t="shared" si="101"/>
        <v>30-34</v>
      </c>
      <c r="C249" s="459">
        <f t="shared" si="103"/>
        <v>769.46256399438028</v>
      </c>
      <c r="D249" s="459">
        <f t="shared" ref="D249:N249" si="106">D79-D215</f>
        <v>740.73884288234422</v>
      </c>
      <c r="E249" s="459">
        <f t="shared" si="106"/>
        <v>719.05364649321541</v>
      </c>
      <c r="F249" s="459">
        <f t="shared" si="106"/>
        <v>685.08125421388308</v>
      </c>
      <c r="G249" s="459">
        <f t="shared" si="106"/>
        <v>655.82368243393717</v>
      </c>
      <c r="H249" s="459">
        <f t="shared" si="106"/>
        <v>645.97398608024196</v>
      </c>
      <c r="I249" s="459">
        <f t="shared" si="106"/>
        <v>652.29002162210168</v>
      </c>
      <c r="J249" s="459">
        <f t="shared" si="106"/>
        <v>667.32336592111471</v>
      </c>
      <c r="K249" s="459">
        <f t="shared" si="106"/>
        <v>685.18058721872922</v>
      </c>
      <c r="L249" s="459">
        <f t="shared" si="106"/>
        <v>705.51909814495059</v>
      </c>
      <c r="M249" s="459">
        <f t="shared" si="106"/>
        <v>725.13557104819631</v>
      </c>
      <c r="N249" s="459">
        <f t="shared" si="106"/>
        <v>743.51391393871745</v>
      </c>
    </row>
    <row r="250" spans="2:14">
      <c r="B250" s="338" t="str">
        <f t="shared" si="101"/>
        <v>35-39</v>
      </c>
      <c r="C250" s="459">
        <f t="shared" si="103"/>
        <v>762.36680956160342</v>
      </c>
      <c r="D250" s="459">
        <f t="shared" ref="D250:N250" si="107">D80-D216</f>
        <v>765.53678492863992</v>
      </c>
      <c r="E250" s="459">
        <f t="shared" si="107"/>
        <v>760.09853175834792</v>
      </c>
      <c r="F250" s="459">
        <f t="shared" si="107"/>
        <v>738.06889282511793</v>
      </c>
      <c r="G250" s="459">
        <f t="shared" si="107"/>
        <v>714.13006929142421</v>
      </c>
      <c r="H250" s="459">
        <f t="shared" si="107"/>
        <v>699.64508752223151</v>
      </c>
      <c r="I250" s="459">
        <f t="shared" si="107"/>
        <v>693.82387141418246</v>
      </c>
      <c r="J250" s="459">
        <f t="shared" si="107"/>
        <v>693.34076910775059</v>
      </c>
      <c r="K250" s="459">
        <f t="shared" si="107"/>
        <v>695.74831027137395</v>
      </c>
      <c r="L250" s="459">
        <f t="shared" si="107"/>
        <v>701.70931528264316</v>
      </c>
      <c r="M250" s="459">
        <f t="shared" si="107"/>
        <v>709.49379843154679</v>
      </c>
      <c r="N250" s="459">
        <f t="shared" si="107"/>
        <v>718.79200908171617</v>
      </c>
    </row>
    <row r="251" spans="2:14">
      <c r="B251" s="338" t="str">
        <f t="shared" si="101"/>
        <v>40-44</v>
      </c>
      <c r="C251" s="459">
        <f t="shared" si="103"/>
        <v>704.51324462967079</v>
      </c>
      <c r="D251" s="459">
        <f t="shared" ref="D251:N251" si="108">D81-D217</f>
        <v>706.53427447123545</v>
      </c>
      <c r="E251" s="459">
        <f t="shared" si="108"/>
        <v>706.62742635776726</v>
      </c>
      <c r="F251" s="459">
        <f t="shared" si="108"/>
        <v>694.26757931559325</v>
      </c>
      <c r="G251" s="459">
        <f t="shared" si="108"/>
        <v>680.11267665586456</v>
      </c>
      <c r="H251" s="459">
        <f t="shared" si="108"/>
        <v>672.49048008662101</v>
      </c>
      <c r="I251" s="459">
        <f t="shared" si="108"/>
        <v>669.78916223022838</v>
      </c>
      <c r="J251" s="459">
        <f t="shared" si="108"/>
        <v>668.91572233432203</v>
      </c>
      <c r="K251" s="459">
        <f t="shared" si="108"/>
        <v>668.1371893943051</v>
      </c>
      <c r="L251" s="459">
        <f t="shared" si="108"/>
        <v>668.67133855708596</v>
      </c>
      <c r="M251" s="459">
        <f t="shared" si="108"/>
        <v>669.76892527436689</v>
      </c>
      <c r="N251" s="459">
        <f t="shared" si="108"/>
        <v>671.85633806345299</v>
      </c>
    </row>
    <row r="252" spans="2:14">
      <c r="B252" s="338" t="str">
        <f t="shared" si="101"/>
        <v>45-49</v>
      </c>
      <c r="C252" s="459">
        <f t="shared" si="103"/>
        <v>631.24257680995652</v>
      </c>
      <c r="D252" s="459">
        <f t="shared" ref="D252:N252" si="109">D82-D218</f>
        <v>627.86293283777013</v>
      </c>
      <c r="E252" s="459">
        <f t="shared" si="109"/>
        <v>624.13639055062367</v>
      </c>
      <c r="F252" s="459">
        <f t="shared" si="109"/>
        <v>612.21921670421784</v>
      </c>
      <c r="G252" s="459">
        <f t="shared" si="109"/>
        <v>600.46182937685433</v>
      </c>
      <c r="H252" s="459">
        <f t="shared" si="109"/>
        <v>595.10823809785586</v>
      </c>
      <c r="I252" s="459">
        <f t="shared" si="109"/>
        <v>594.31334956998194</v>
      </c>
      <c r="J252" s="459">
        <f t="shared" si="109"/>
        <v>595.01436135827248</v>
      </c>
      <c r="K252" s="459">
        <f t="shared" si="109"/>
        <v>595.33840764248407</v>
      </c>
      <c r="L252" s="459">
        <f t="shared" si="109"/>
        <v>595.96930745502232</v>
      </c>
      <c r="M252" s="459">
        <f t="shared" si="109"/>
        <v>596.20448457033274</v>
      </c>
      <c r="N252" s="459">
        <f t="shared" si="109"/>
        <v>596.43847776528742</v>
      </c>
    </row>
    <row r="253" spans="2:14">
      <c r="B253" s="338" t="str">
        <f t="shared" si="101"/>
        <v>50-54</v>
      </c>
      <c r="C253" s="459">
        <f t="shared" si="103"/>
        <v>519.09663959598925</v>
      </c>
      <c r="D253" s="459">
        <f t="shared" ref="D253:N253" si="110">D83-D219</f>
        <v>505.93026309163861</v>
      </c>
      <c r="E253" s="459">
        <f t="shared" si="110"/>
        <v>494.78920972346799</v>
      </c>
      <c r="F253" s="459">
        <f t="shared" si="110"/>
        <v>479.55650331352984</v>
      </c>
      <c r="G253" s="459">
        <f t="shared" si="110"/>
        <v>466.07976556451331</v>
      </c>
      <c r="H253" s="459">
        <f t="shared" si="110"/>
        <v>458.65926294393245</v>
      </c>
      <c r="I253" s="459">
        <f t="shared" si="110"/>
        <v>455.70844031583363</v>
      </c>
      <c r="J253" s="459">
        <f t="shared" si="110"/>
        <v>454.75336939816015</v>
      </c>
      <c r="K253" s="459">
        <f t="shared" si="110"/>
        <v>454.17512596685157</v>
      </c>
      <c r="L253" s="459">
        <f t="shared" si="110"/>
        <v>454.20761176103827</v>
      </c>
      <c r="M253" s="459">
        <f t="shared" si="110"/>
        <v>454.10621915471484</v>
      </c>
      <c r="N253" s="459">
        <f t="shared" si="110"/>
        <v>453.97373213405069</v>
      </c>
    </row>
    <row r="254" spans="2:14">
      <c r="B254" s="338" t="str">
        <f t="shared" si="101"/>
        <v>55-59</v>
      </c>
      <c r="C254" s="459">
        <f t="shared" si="103"/>
        <v>349.05891970702316</v>
      </c>
      <c r="D254" s="459">
        <f t="shared" ref="D254:N254" si="111">D84-D220</f>
        <v>297.38439491600593</v>
      </c>
      <c r="E254" s="459">
        <f t="shared" si="111"/>
        <v>264.15301507166043</v>
      </c>
      <c r="F254" s="459">
        <f t="shared" si="111"/>
        <v>238.98958635878012</v>
      </c>
      <c r="G254" s="459">
        <f t="shared" si="111"/>
        <v>221.53575039839347</v>
      </c>
      <c r="H254" s="459">
        <f t="shared" si="111"/>
        <v>211.665330639861</v>
      </c>
      <c r="I254" s="459">
        <f t="shared" si="111"/>
        <v>206.61626041972471</v>
      </c>
      <c r="J254" s="459">
        <f t="shared" si="111"/>
        <v>203.93152673209255</v>
      </c>
      <c r="K254" s="459">
        <f t="shared" si="111"/>
        <v>202.18651751348926</v>
      </c>
      <c r="L254" s="459">
        <f t="shared" si="111"/>
        <v>201.29024514840455</v>
      </c>
      <c r="M254" s="459">
        <f t="shared" si="111"/>
        <v>200.62744328207208</v>
      </c>
      <c r="N254" s="459">
        <f t="shared" si="111"/>
        <v>200.1608546453399</v>
      </c>
    </row>
    <row r="255" spans="2:14">
      <c r="B255" s="338" t="str">
        <f t="shared" si="101"/>
        <v>60-64</v>
      </c>
      <c r="C255" s="459">
        <f t="shared" si="103"/>
        <v>134.6086347074621</v>
      </c>
      <c r="D255" s="459">
        <f t="shared" ref="D255:N255" si="112">D85-D221</f>
        <v>112.91272095148643</v>
      </c>
      <c r="E255" s="459">
        <f t="shared" si="112"/>
        <v>95.94451566233468</v>
      </c>
      <c r="F255" s="459">
        <f t="shared" si="112"/>
        <v>82.085797253615993</v>
      </c>
      <c r="G255" s="459">
        <f t="shared" si="112"/>
        <v>72.251784652067158</v>
      </c>
      <c r="H255" s="459">
        <f t="shared" si="112"/>
        <v>66.497147371514558</v>
      </c>
      <c r="I255" s="459">
        <f t="shared" si="112"/>
        <v>63.370941759005341</v>
      </c>
      <c r="J255" s="459">
        <f t="shared" si="112"/>
        <v>61.583979472442024</v>
      </c>
      <c r="K255" s="459">
        <f t="shared" si="112"/>
        <v>60.394126681292981</v>
      </c>
      <c r="L255" s="459">
        <f t="shared" si="112"/>
        <v>59.708969124970459</v>
      </c>
      <c r="M255" s="459">
        <f t="shared" si="112"/>
        <v>59.210891554507313</v>
      </c>
      <c r="N255" s="459">
        <f t="shared" si="112"/>
        <v>58.865234069956962</v>
      </c>
    </row>
    <row r="256" spans="2:14">
      <c r="B256" s="338" t="str">
        <f t="shared" si="101"/>
        <v>65 plus</v>
      </c>
      <c r="C256" s="459">
        <f t="shared" si="103"/>
        <v>32.066351315895957</v>
      </c>
      <c r="D256" s="459">
        <f t="shared" ref="D256:N256" si="113">D86-D222</f>
        <v>33.70791381073402</v>
      </c>
      <c r="E256" s="459">
        <f t="shared" si="113"/>
        <v>32.160214675680578</v>
      </c>
      <c r="F256" s="459">
        <f t="shared" si="113"/>
        <v>28.944514204438793</v>
      </c>
      <c r="G256" s="459">
        <f t="shared" si="113"/>
        <v>25.684450002605097</v>
      </c>
      <c r="H256" s="459">
        <f t="shared" si="113"/>
        <v>23.236662829826152</v>
      </c>
      <c r="I256" s="459">
        <f t="shared" si="113"/>
        <v>21.580625289097302</v>
      </c>
      <c r="J256" s="459">
        <f t="shared" si="113"/>
        <v>20.463594325403214</v>
      </c>
      <c r="K256" s="459">
        <f t="shared" si="113"/>
        <v>19.669374530899368</v>
      </c>
      <c r="L256" s="459">
        <f t="shared" si="113"/>
        <v>19.147383437947354</v>
      </c>
      <c r="M256" s="459">
        <f t="shared" si="113"/>
        <v>18.773241131182431</v>
      </c>
      <c r="N256" s="459">
        <f t="shared" si="113"/>
        <v>18.510034231932217</v>
      </c>
    </row>
    <row r="257" spans="1:14">
      <c r="B257" s="338" t="str">
        <f t="shared" si="101"/>
        <v>Total</v>
      </c>
      <c r="C257" s="459">
        <f>SUM(C247:C256)</f>
        <v>4447.3883462999338</v>
      </c>
      <c r="D257" s="459">
        <f t="shared" ref="D257:N257" si="114">SUM(D247:D256)</f>
        <v>4425.9201130711399</v>
      </c>
      <c r="E257" s="459">
        <f t="shared" si="114"/>
        <v>4399.2134359637703</v>
      </c>
      <c r="F257" s="459">
        <f t="shared" si="114"/>
        <v>4256.1228183275061</v>
      </c>
      <c r="G257" s="459">
        <f t="shared" si="114"/>
        <v>4125.3509418940512</v>
      </c>
      <c r="H257" s="459">
        <f t="shared" si="114"/>
        <v>4097.1701282842714</v>
      </c>
      <c r="I257" s="459">
        <f t="shared" si="114"/>
        <v>4140.491509225034</v>
      </c>
      <c r="J257" s="459">
        <f t="shared" si="114"/>
        <v>4207.9934523329794</v>
      </c>
      <c r="K257" s="459">
        <f t="shared" si="114"/>
        <v>4270.9452740774577</v>
      </c>
      <c r="L257" s="459">
        <f t="shared" si="114"/>
        <v>4337.5066735456121</v>
      </c>
      <c r="M257" s="459">
        <f t="shared" si="114"/>
        <v>4394.8044063472344</v>
      </c>
      <c r="N257" s="459">
        <f t="shared" si="114"/>
        <v>4446.2150767692228</v>
      </c>
    </row>
    <row r="258" spans="1:14">
      <c r="A258" s="309">
        <f>SUM(C258:N258)</f>
        <v>0</v>
      </c>
      <c r="C258" s="309">
        <f>SUM(C247:C256)-C257</f>
        <v>0</v>
      </c>
      <c r="D258" s="309">
        <f t="shared" ref="D258:N258" si="115">SUM(D247:D256)-D257</f>
        <v>0</v>
      </c>
      <c r="E258" s="309">
        <f t="shared" si="115"/>
        <v>0</v>
      </c>
      <c r="F258" s="309">
        <f t="shared" si="115"/>
        <v>0</v>
      </c>
      <c r="G258" s="309">
        <f t="shared" si="115"/>
        <v>0</v>
      </c>
      <c r="H258" s="309">
        <f t="shared" si="115"/>
        <v>0</v>
      </c>
      <c r="I258" s="309">
        <f t="shared" si="115"/>
        <v>0</v>
      </c>
      <c r="J258" s="309">
        <f t="shared" si="115"/>
        <v>0</v>
      </c>
      <c r="K258" s="309">
        <f t="shared" si="115"/>
        <v>0</v>
      </c>
      <c r="L258" s="309">
        <f t="shared" si="115"/>
        <v>0</v>
      </c>
      <c r="M258" s="309">
        <f t="shared" si="115"/>
        <v>0</v>
      </c>
      <c r="N258" s="309">
        <f t="shared" si="115"/>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6">B246</f>
        <v>Age group</v>
      </c>
      <c r="C262" s="338" t="str">
        <f t="shared" ref="C262:N262" si="117">C246</f>
        <v>2016/17</v>
      </c>
      <c r="D262" s="338" t="str">
        <f t="shared" si="117"/>
        <v>2017/18</v>
      </c>
      <c r="E262" s="338" t="str">
        <f t="shared" si="117"/>
        <v>2018/19</v>
      </c>
      <c r="F262" s="338" t="str">
        <f t="shared" si="117"/>
        <v>2019/20</v>
      </c>
      <c r="G262" s="338" t="str">
        <f t="shared" si="117"/>
        <v>2020/21</v>
      </c>
      <c r="H262" s="338" t="str">
        <f t="shared" si="117"/>
        <v>2021/22</v>
      </c>
      <c r="I262" s="338" t="str">
        <f t="shared" si="117"/>
        <v>2022/23</v>
      </c>
      <c r="J262" s="338" t="str">
        <f t="shared" si="117"/>
        <v>2023/24</v>
      </c>
      <c r="K262" s="338" t="str">
        <f t="shared" si="117"/>
        <v>2024/25</v>
      </c>
      <c r="L262" s="338" t="str">
        <f t="shared" si="117"/>
        <v>2025/26</v>
      </c>
      <c r="M262" s="338" t="str">
        <f t="shared" si="117"/>
        <v>2026/27</v>
      </c>
      <c r="N262" s="338" t="str">
        <f t="shared" si="117"/>
        <v>2027/28</v>
      </c>
    </row>
    <row r="263" spans="1:14">
      <c r="B263" s="338" t="str">
        <f t="shared" si="116"/>
        <v>20-24</v>
      </c>
      <c r="C263" s="459">
        <f t="shared" ref="C263:C272" si="118">C93-C229</f>
        <v>271.22553780745938</v>
      </c>
      <c r="D263" s="459">
        <f t="shared" ref="D263:N263" si="119">D93-D229</f>
        <v>373.87432700048271</v>
      </c>
      <c r="E263" s="459">
        <f t="shared" si="119"/>
        <v>438.2994004821486</v>
      </c>
      <c r="F263" s="459">
        <f t="shared" si="119"/>
        <v>433.97012952097805</v>
      </c>
      <c r="G263" s="459">
        <f t="shared" si="119"/>
        <v>427.05321205542026</v>
      </c>
      <c r="H263" s="459">
        <f t="shared" si="119"/>
        <v>454.50455361310435</v>
      </c>
      <c r="I263" s="459">
        <f t="shared" si="119"/>
        <v>499.01259098410731</v>
      </c>
      <c r="J263" s="459">
        <f t="shared" si="119"/>
        <v>540.53024245108668</v>
      </c>
      <c r="K263" s="459">
        <f t="shared" si="119"/>
        <v>569.97577392809239</v>
      </c>
      <c r="L263" s="459">
        <f t="shared" si="119"/>
        <v>593.91313662417383</v>
      </c>
      <c r="M263" s="459">
        <f t="shared" si="119"/>
        <v>609.19420917943637</v>
      </c>
      <c r="N263" s="459">
        <f t="shared" si="119"/>
        <v>619.32128056705983</v>
      </c>
    </row>
    <row r="264" spans="1:14">
      <c r="B264" s="338" t="str">
        <f t="shared" si="116"/>
        <v>25-29</v>
      </c>
      <c r="C264" s="459">
        <f t="shared" si="118"/>
        <v>1239.3694035878843</v>
      </c>
      <c r="D264" s="459">
        <f t="shared" ref="D264:N264" si="120">D94-D230</f>
        <v>1185.6336693662586</v>
      </c>
      <c r="E264" s="459">
        <f t="shared" si="120"/>
        <v>1153.7236257225049</v>
      </c>
      <c r="F264" s="459">
        <f t="shared" si="120"/>
        <v>1076.4780512305665</v>
      </c>
      <c r="G264" s="459">
        <f t="shared" si="120"/>
        <v>1014.5613202141412</v>
      </c>
      <c r="H264" s="459">
        <f t="shared" si="120"/>
        <v>1010.6688164859339</v>
      </c>
      <c r="I264" s="459">
        <f t="shared" si="120"/>
        <v>1045.420234685907</v>
      </c>
      <c r="J264" s="459">
        <f t="shared" si="120"/>
        <v>1091.5246165447734</v>
      </c>
      <c r="K264" s="459">
        <f t="shared" si="120"/>
        <v>1132.3376794506187</v>
      </c>
      <c r="L264" s="459">
        <f t="shared" si="120"/>
        <v>1171.1725200939886</v>
      </c>
      <c r="M264" s="459">
        <f t="shared" si="120"/>
        <v>1201.3883830228656</v>
      </c>
      <c r="N264" s="459">
        <f t="shared" si="120"/>
        <v>1225.1052496068614</v>
      </c>
    </row>
    <row r="265" spans="1:14">
      <c r="B265" s="338" t="str">
        <f t="shared" si="116"/>
        <v>30-34</v>
      </c>
      <c r="C265" s="459">
        <f t="shared" si="118"/>
        <v>1686.9184348139863</v>
      </c>
      <c r="D265" s="459">
        <f t="shared" ref="D265:N265" si="121">D95-D231</f>
        <v>1601.0150253809991</v>
      </c>
      <c r="E265" s="459">
        <f t="shared" si="121"/>
        <v>1521.5000750591882</v>
      </c>
      <c r="F265" s="459">
        <f t="shared" si="121"/>
        <v>1417.8549127441688</v>
      </c>
      <c r="G265" s="459">
        <f t="shared" si="121"/>
        <v>1325.0196206497421</v>
      </c>
      <c r="H265" s="459">
        <f t="shared" si="121"/>
        <v>1271.4956438016166</v>
      </c>
      <c r="I265" s="459">
        <f t="shared" si="121"/>
        <v>1251.3850242699386</v>
      </c>
      <c r="J265" s="459">
        <f t="shared" si="121"/>
        <v>1250.7585782417896</v>
      </c>
      <c r="K265" s="459">
        <f t="shared" si="121"/>
        <v>1258.5832816986544</v>
      </c>
      <c r="L265" s="459">
        <f t="shared" si="121"/>
        <v>1274.0674400390421</v>
      </c>
      <c r="M265" s="459">
        <f t="shared" si="121"/>
        <v>1291.0498891310874</v>
      </c>
      <c r="N265" s="459">
        <f t="shared" si="121"/>
        <v>1308.359913598332</v>
      </c>
    </row>
    <row r="266" spans="1:14">
      <c r="B266" s="338" t="str">
        <f t="shared" si="116"/>
        <v>35-39</v>
      </c>
      <c r="C266" s="459">
        <f t="shared" si="118"/>
        <v>1468.0418548482112</v>
      </c>
      <c r="D266" s="459">
        <f t="shared" ref="D266:N266" si="122">D96-D232</f>
        <v>1482.7363164832902</v>
      </c>
      <c r="E266" s="459">
        <f t="shared" si="122"/>
        <v>1473.250135898955</v>
      </c>
      <c r="F266" s="459">
        <f t="shared" si="122"/>
        <v>1425.9596060646572</v>
      </c>
      <c r="G266" s="459">
        <f t="shared" si="122"/>
        <v>1370.1377853259719</v>
      </c>
      <c r="H266" s="459">
        <f t="shared" si="122"/>
        <v>1328.5205888248145</v>
      </c>
      <c r="I266" s="459">
        <f t="shared" si="122"/>
        <v>1300.7776698358334</v>
      </c>
      <c r="J266" s="459">
        <f t="shared" si="122"/>
        <v>1281.6501567482567</v>
      </c>
      <c r="K266" s="459">
        <f t="shared" si="122"/>
        <v>1267.3713287818205</v>
      </c>
      <c r="L266" s="459">
        <f t="shared" si="122"/>
        <v>1259.8003610413787</v>
      </c>
      <c r="M266" s="459">
        <f t="shared" si="122"/>
        <v>1256.1606869503694</v>
      </c>
      <c r="N266" s="459">
        <f t="shared" si="122"/>
        <v>1256.2111309264415</v>
      </c>
    </row>
    <row r="267" spans="1:14">
      <c r="B267" s="338" t="str">
        <f t="shared" si="116"/>
        <v>40-44</v>
      </c>
      <c r="C267" s="459">
        <f t="shared" si="118"/>
        <v>1227.2843071784653</v>
      </c>
      <c r="D267" s="459">
        <f t="shared" ref="D267:N267" si="123">D97-D233</f>
        <v>1253.8702568398039</v>
      </c>
      <c r="E267" s="459">
        <f t="shared" si="123"/>
        <v>1272.475069165976</v>
      </c>
      <c r="F267" s="459">
        <f t="shared" si="123"/>
        <v>1263.1020476623899</v>
      </c>
      <c r="G267" s="459">
        <f t="shared" si="123"/>
        <v>1245.8247308444306</v>
      </c>
      <c r="H267" s="459">
        <f t="shared" si="123"/>
        <v>1236.5174015061843</v>
      </c>
      <c r="I267" s="459">
        <f t="shared" si="123"/>
        <v>1232.5483390853537</v>
      </c>
      <c r="J267" s="459">
        <f t="shared" si="123"/>
        <v>1228.6439961283343</v>
      </c>
      <c r="K267" s="459">
        <f t="shared" si="123"/>
        <v>1222.1565017882449</v>
      </c>
      <c r="L267" s="459">
        <f t="shared" si="123"/>
        <v>1215.9750415319013</v>
      </c>
      <c r="M267" s="459">
        <f t="shared" si="123"/>
        <v>1209.2502130209259</v>
      </c>
      <c r="N267" s="459">
        <f t="shared" si="123"/>
        <v>1203.2836887278274</v>
      </c>
    </row>
    <row r="268" spans="1:14">
      <c r="B268" s="338" t="str">
        <f t="shared" si="116"/>
        <v>45-49</v>
      </c>
      <c r="C268" s="459">
        <f t="shared" si="118"/>
        <v>982.8108037564399</v>
      </c>
      <c r="D268" s="459">
        <f t="shared" ref="D268:N268" si="124">D98-D234</f>
        <v>1010.1079436697871</v>
      </c>
      <c r="E268" s="459">
        <f t="shared" si="124"/>
        <v>1032.040392654302</v>
      </c>
      <c r="F268" s="459">
        <f t="shared" si="124"/>
        <v>1034.3144111787933</v>
      </c>
      <c r="G268" s="459">
        <f t="shared" si="124"/>
        <v>1032.9487247662894</v>
      </c>
      <c r="H268" s="459">
        <f t="shared" si="124"/>
        <v>1039.8911022231525</v>
      </c>
      <c r="I268" s="459">
        <f t="shared" si="124"/>
        <v>1051.8441964783831</v>
      </c>
      <c r="J268" s="459">
        <f t="shared" si="124"/>
        <v>1063.2566371863513</v>
      </c>
      <c r="K268" s="459">
        <f t="shared" si="124"/>
        <v>1070.8702455211571</v>
      </c>
      <c r="L268" s="459">
        <f t="shared" si="124"/>
        <v>1076.2820856079525</v>
      </c>
      <c r="M268" s="459">
        <f t="shared" si="124"/>
        <v>1078.508098467795</v>
      </c>
      <c r="N268" s="459">
        <f t="shared" si="124"/>
        <v>1078.6427172280805</v>
      </c>
    </row>
    <row r="269" spans="1:14">
      <c r="B269" s="338" t="str">
        <f t="shared" si="116"/>
        <v>50-54</v>
      </c>
      <c r="C269" s="459">
        <f t="shared" si="118"/>
        <v>775.28042548513156</v>
      </c>
      <c r="D269" s="459">
        <f t="shared" ref="D269:N269" si="125">D99-D235</f>
        <v>769.64064560039151</v>
      </c>
      <c r="E269" s="459">
        <f t="shared" si="125"/>
        <v>768.30079287563285</v>
      </c>
      <c r="F269" s="459">
        <f t="shared" si="125"/>
        <v>758.78494135960125</v>
      </c>
      <c r="G269" s="459">
        <f t="shared" si="125"/>
        <v>751.48343396681537</v>
      </c>
      <c r="H269" s="459">
        <f t="shared" si="125"/>
        <v>754.07915791971629</v>
      </c>
      <c r="I269" s="459">
        <f t="shared" si="125"/>
        <v>763.32893124303541</v>
      </c>
      <c r="J269" s="459">
        <f t="shared" si="125"/>
        <v>774.43785029077458</v>
      </c>
      <c r="K269" s="459">
        <f t="shared" si="125"/>
        <v>784.30884977512528</v>
      </c>
      <c r="L269" s="459">
        <f t="shared" si="125"/>
        <v>793.39543629009506</v>
      </c>
      <c r="M269" s="459">
        <f t="shared" si="125"/>
        <v>800.36327527870549</v>
      </c>
      <c r="N269" s="459">
        <f t="shared" si="125"/>
        <v>805.51416171877167</v>
      </c>
    </row>
    <row r="270" spans="1:14">
      <c r="B270" s="338" t="str">
        <f t="shared" si="116"/>
        <v>55-59</v>
      </c>
      <c r="C270" s="459">
        <f t="shared" si="118"/>
        <v>514.36599399240799</v>
      </c>
      <c r="D270" s="459">
        <f t="shared" ref="D270:N270" si="126">D100-D236</f>
        <v>450.09895181850197</v>
      </c>
      <c r="E270" s="459">
        <f t="shared" si="126"/>
        <v>409.50513776554396</v>
      </c>
      <c r="F270" s="459">
        <f t="shared" si="126"/>
        <v>377.71611979751191</v>
      </c>
      <c r="G270" s="459">
        <f t="shared" si="126"/>
        <v>356.70640193465073</v>
      </c>
      <c r="H270" s="459">
        <f t="shared" si="126"/>
        <v>347.7283988396415</v>
      </c>
      <c r="I270" s="459">
        <f t="shared" si="126"/>
        <v>346.35347169169319</v>
      </c>
      <c r="J270" s="459">
        <f t="shared" si="126"/>
        <v>348.32972727191839</v>
      </c>
      <c r="K270" s="459">
        <f t="shared" si="126"/>
        <v>351.15039628344732</v>
      </c>
      <c r="L270" s="459">
        <f t="shared" si="126"/>
        <v>354.74105542002394</v>
      </c>
      <c r="M270" s="459">
        <f t="shared" si="126"/>
        <v>357.99040143315466</v>
      </c>
      <c r="N270" s="459">
        <f t="shared" si="126"/>
        <v>360.86629926963371</v>
      </c>
    </row>
    <row r="271" spans="1:14">
      <c r="B271" s="338" t="str">
        <f t="shared" si="116"/>
        <v>60-64</v>
      </c>
      <c r="C271" s="459">
        <f t="shared" si="118"/>
        <v>174.57854019668898</v>
      </c>
      <c r="D271" s="459">
        <f t="shared" ref="D271:N271" si="127">D101-D237</f>
        <v>149.90512339896696</v>
      </c>
      <c r="E271" s="459">
        <f t="shared" si="127"/>
        <v>130.6877897253554</v>
      </c>
      <c r="F271" s="459">
        <f t="shared" si="127"/>
        <v>114.19678567211997</v>
      </c>
      <c r="G271" s="459">
        <f t="shared" si="127"/>
        <v>102.75638283085439</v>
      </c>
      <c r="H271" s="459">
        <f t="shared" si="127"/>
        <v>97.043847108528865</v>
      </c>
      <c r="I271" s="459">
        <f t="shared" si="127"/>
        <v>94.890564679465953</v>
      </c>
      <c r="J271" s="459">
        <f t="shared" si="127"/>
        <v>94.331603051660323</v>
      </c>
      <c r="K271" s="459">
        <f t="shared" si="127"/>
        <v>94.291448856064932</v>
      </c>
      <c r="L271" s="459">
        <f t="shared" si="127"/>
        <v>94.772534171227335</v>
      </c>
      <c r="M271" s="459">
        <f t="shared" si="127"/>
        <v>95.297164304982061</v>
      </c>
      <c r="N271" s="459">
        <f t="shared" si="127"/>
        <v>95.863963542526918</v>
      </c>
    </row>
    <row r="272" spans="1:14">
      <c r="B272" s="338" t="str">
        <f t="shared" si="116"/>
        <v>65 plus</v>
      </c>
      <c r="C272" s="459">
        <f t="shared" si="118"/>
        <v>33.183539777830617</v>
      </c>
      <c r="D272" s="459">
        <f t="shared" ref="D272:N272" si="128">D102-D238</f>
        <v>37.356683941538954</v>
      </c>
      <c r="E272" s="459">
        <f t="shared" si="128"/>
        <v>36.807127526112261</v>
      </c>
      <c r="F272" s="459">
        <f t="shared" si="128"/>
        <v>33.646598915137673</v>
      </c>
      <c r="G272" s="459">
        <f t="shared" si="128"/>
        <v>30.361485845251952</v>
      </c>
      <c r="H272" s="459">
        <f t="shared" si="128"/>
        <v>28.219902827801189</v>
      </c>
      <c r="I272" s="459">
        <f t="shared" si="128"/>
        <v>27.071371045499223</v>
      </c>
      <c r="J272" s="459">
        <f t="shared" si="128"/>
        <v>26.475987633595423</v>
      </c>
      <c r="K272" s="459">
        <f t="shared" si="128"/>
        <v>26.121078663879324</v>
      </c>
      <c r="L272" s="459">
        <f t="shared" si="128"/>
        <v>25.997578688143182</v>
      </c>
      <c r="M272" s="459">
        <f t="shared" si="128"/>
        <v>25.949141837308922</v>
      </c>
      <c r="N272" s="459">
        <f t="shared" si="128"/>
        <v>25.962185118335533</v>
      </c>
    </row>
    <row r="273" spans="1:14">
      <c r="B273" s="338" t="str">
        <f t="shared" si="116"/>
        <v>Total</v>
      </c>
      <c r="C273" s="459">
        <f>SUM(C263:C272)</f>
        <v>8373.0588414445065</v>
      </c>
      <c r="D273" s="459">
        <f t="shared" ref="D273:N273" si="129">SUM(D263:D272)</f>
        <v>8314.2389435000223</v>
      </c>
      <c r="E273" s="459">
        <f t="shared" si="129"/>
        <v>8236.589546875719</v>
      </c>
      <c r="F273" s="459">
        <f t="shared" si="129"/>
        <v>7936.0236041459248</v>
      </c>
      <c r="G273" s="459">
        <f t="shared" si="129"/>
        <v>7656.8530984335684</v>
      </c>
      <c r="H273" s="459">
        <f t="shared" si="129"/>
        <v>7568.6694131504937</v>
      </c>
      <c r="I273" s="459">
        <f t="shared" si="129"/>
        <v>7612.6323939992162</v>
      </c>
      <c r="J273" s="459">
        <f t="shared" si="129"/>
        <v>7699.9393955485411</v>
      </c>
      <c r="K273" s="459">
        <f t="shared" si="129"/>
        <v>7777.1665847471049</v>
      </c>
      <c r="L273" s="459">
        <f t="shared" si="129"/>
        <v>7860.1171895079269</v>
      </c>
      <c r="M273" s="459">
        <f t="shared" si="129"/>
        <v>7925.1514626266317</v>
      </c>
      <c r="N273" s="459">
        <f t="shared" si="129"/>
        <v>7979.130590303871</v>
      </c>
    </row>
    <row r="274" spans="1:14">
      <c r="A274" s="309">
        <f>SUM(C274:N274)</f>
        <v>0</v>
      </c>
      <c r="C274" s="309">
        <f>SUM(C263:C272)-C273</f>
        <v>0</v>
      </c>
      <c r="D274" s="309">
        <f t="shared" ref="D274:N274" si="130">SUM(D263:D272)-D273</f>
        <v>0</v>
      </c>
      <c r="E274" s="309">
        <f t="shared" si="130"/>
        <v>0</v>
      </c>
      <c r="F274" s="309">
        <f t="shared" si="130"/>
        <v>0</v>
      </c>
      <c r="G274" s="309">
        <f t="shared" si="130"/>
        <v>0</v>
      </c>
      <c r="H274" s="309">
        <f t="shared" si="130"/>
        <v>0</v>
      </c>
      <c r="I274" s="309">
        <f t="shared" si="130"/>
        <v>0</v>
      </c>
      <c r="J274" s="309">
        <f t="shared" si="130"/>
        <v>0</v>
      </c>
      <c r="K274" s="309">
        <f t="shared" si="130"/>
        <v>0</v>
      </c>
      <c r="L274" s="309">
        <f t="shared" si="130"/>
        <v>0</v>
      </c>
      <c r="M274" s="309">
        <f t="shared" si="130"/>
        <v>0</v>
      </c>
      <c r="N274" s="309">
        <f t="shared" si="130"/>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1">D262</f>
        <v>2017/18</v>
      </c>
      <c r="E278" s="326" t="str">
        <f t="shared" si="131"/>
        <v>2018/19</v>
      </c>
      <c r="F278" s="326" t="str">
        <f t="shared" si="131"/>
        <v>2019/20</v>
      </c>
      <c r="G278" s="326" t="str">
        <f t="shared" si="131"/>
        <v>2020/21</v>
      </c>
      <c r="H278" s="326" t="str">
        <f t="shared" si="131"/>
        <v>2021/22</v>
      </c>
      <c r="I278" s="326" t="str">
        <f t="shared" si="131"/>
        <v>2022/23</v>
      </c>
      <c r="J278" s="326" t="str">
        <f t="shared" si="131"/>
        <v>2023/24</v>
      </c>
      <c r="K278" s="326" t="str">
        <f t="shared" si="131"/>
        <v>2024/25</v>
      </c>
      <c r="L278" s="326" t="str">
        <f t="shared" si="131"/>
        <v>2025/26</v>
      </c>
      <c r="M278" s="326" t="str">
        <f t="shared" si="131"/>
        <v>2026/27</v>
      </c>
      <c r="N278" s="326" t="str">
        <f t="shared" si="131"/>
        <v>2027/28</v>
      </c>
    </row>
    <row r="279" spans="1:14">
      <c r="B279" s="326" t="s">
        <v>212</v>
      </c>
      <c r="C279" s="459">
        <f>C223+C239</f>
        <v>1636.1252969016491</v>
      </c>
      <c r="D279" s="459">
        <f t="shared" ref="D279:N279" si="132">D223+D239</f>
        <v>1580.3605873334941</v>
      </c>
      <c r="E279" s="459">
        <f t="shared" si="132"/>
        <v>1531.2148413748926</v>
      </c>
      <c r="F279" s="459">
        <f t="shared" si="132"/>
        <v>1452.3055038220498</v>
      </c>
      <c r="G279" s="459">
        <f t="shared" si="132"/>
        <v>1386.7539652391026</v>
      </c>
      <c r="H279" s="459">
        <f t="shared" si="132"/>
        <v>1362.4969362291126</v>
      </c>
      <c r="I279" s="459">
        <f t="shared" si="132"/>
        <v>1366.119773978945</v>
      </c>
      <c r="J279" s="459">
        <f t="shared" si="132"/>
        <v>1379.8084239210366</v>
      </c>
      <c r="K279" s="459">
        <f t="shared" si="132"/>
        <v>1393.0004604874791</v>
      </c>
      <c r="L279" s="459">
        <f t="shared" si="132"/>
        <v>1408.0425281337712</v>
      </c>
      <c r="M279" s="459">
        <f t="shared" si="132"/>
        <v>1420.2895051107423</v>
      </c>
      <c r="N279" s="459">
        <f t="shared" si="132"/>
        <v>1430.7921918934735</v>
      </c>
    </row>
    <row r="280" spans="1:14">
      <c r="B280" s="326" t="s">
        <v>213</v>
      </c>
      <c r="C280" s="459">
        <f>C155+C171</f>
        <v>535.66797355373683</v>
      </c>
      <c r="D280" s="459">
        <f t="shared" ref="D280:N280" si="133">D155+D171</f>
        <v>478.20330479636311</v>
      </c>
      <c r="E280" s="459">
        <f t="shared" si="133"/>
        <v>432.15445151112772</v>
      </c>
      <c r="F280" s="459">
        <f t="shared" si="133"/>
        <v>390.36595009497933</v>
      </c>
      <c r="G280" s="459">
        <f t="shared" si="133"/>
        <v>359.54663017335207</v>
      </c>
      <c r="H280" s="459">
        <f t="shared" si="133"/>
        <v>342.73328544741338</v>
      </c>
      <c r="I280" s="459">
        <f t="shared" si="133"/>
        <v>335.2741304643049</v>
      </c>
      <c r="J280" s="459">
        <f t="shared" si="133"/>
        <v>332.36196206658235</v>
      </c>
      <c r="K280" s="459">
        <f t="shared" si="133"/>
        <v>331.12310918956484</v>
      </c>
      <c r="L280" s="459">
        <f t="shared" si="133"/>
        <v>331.43360510574439</v>
      </c>
      <c r="M280" s="459">
        <f t="shared" si="133"/>
        <v>331.99181673662804</v>
      </c>
      <c r="N280" s="459">
        <f t="shared" si="133"/>
        <v>332.72824314884997</v>
      </c>
    </row>
    <row r="281" spans="1:14">
      <c r="B281" s="326" t="s">
        <v>540</v>
      </c>
      <c r="C281" s="459">
        <f>C189+C205</f>
        <v>9.1534953840350717</v>
      </c>
      <c r="D281" s="459">
        <f t="shared" ref="D281:N281" si="134">D189+D205</f>
        <v>8.8466191271079122</v>
      </c>
      <c r="E281" s="459">
        <f t="shared" si="134"/>
        <v>8.4671358727261712</v>
      </c>
      <c r="F281" s="459">
        <f t="shared" si="134"/>
        <v>7.9712504105914448</v>
      </c>
      <c r="G281" s="459">
        <f t="shared" si="134"/>
        <v>7.5467889369810557</v>
      </c>
      <c r="H281" s="459">
        <f t="shared" si="134"/>
        <v>7.304347618746891</v>
      </c>
      <c r="I281" s="459">
        <f t="shared" si="134"/>
        <v>7.1965041268554018</v>
      </c>
      <c r="J281" s="459">
        <f t="shared" si="134"/>
        <v>7.15491865536708</v>
      </c>
      <c r="K281" s="459">
        <f t="shared" si="134"/>
        <v>7.1357473178755626</v>
      </c>
      <c r="L281" s="459">
        <f t="shared" si="134"/>
        <v>7.1417062115297183</v>
      </c>
      <c r="M281" s="459">
        <f t="shared" si="134"/>
        <v>7.1519968147565702</v>
      </c>
      <c r="N281" s="459">
        <f t="shared" si="134"/>
        <v>7.1668299696324702</v>
      </c>
    </row>
    <row r="282" spans="1:14">
      <c r="B282" s="326" t="s">
        <v>214</v>
      </c>
      <c r="C282" s="459">
        <f>C121+C137</f>
        <v>1091.3038279638777</v>
      </c>
      <c r="D282" s="459">
        <f t="shared" ref="D282:N282" si="135">D121+D137</f>
        <v>1093.3106634100229</v>
      </c>
      <c r="E282" s="459">
        <f t="shared" si="135"/>
        <v>1090.5932539910389</v>
      </c>
      <c r="F282" s="459">
        <f t="shared" si="135"/>
        <v>1053.9683033164788</v>
      </c>
      <c r="G282" s="459">
        <f t="shared" si="135"/>
        <v>1019.6605461287697</v>
      </c>
      <c r="H282" s="459">
        <f t="shared" si="135"/>
        <v>1012.4593031629523</v>
      </c>
      <c r="I282" s="459">
        <f t="shared" si="135"/>
        <v>1023.6491393877847</v>
      </c>
      <c r="J282" s="459">
        <f t="shared" si="135"/>
        <v>1040.2915431990871</v>
      </c>
      <c r="K282" s="459">
        <f t="shared" si="135"/>
        <v>1054.7416039800389</v>
      </c>
      <c r="L282" s="459">
        <f t="shared" si="135"/>
        <v>1069.4672168164971</v>
      </c>
      <c r="M282" s="459">
        <f t="shared" si="135"/>
        <v>1081.1456915593578</v>
      </c>
      <c r="N282" s="459">
        <f t="shared" si="135"/>
        <v>1090.8971187749912</v>
      </c>
    </row>
    <row r="283" spans="1:14" ht="15.75">
      <c r="A283" s="309">
        <f>SUM(C283:N283)</f>
        <v>0</v>
      </c>
      <c r="B283" s="340"/>
      <c r="C283" s="309">
        <f>C279-C280-C281-C282</f>
        <v>0</v>
      </c>
      <c r="D283" s="309">
        <f t="shared" ref="D283:N283" si="136">D279-D280-D281-D282</f>
        <v>0</v>
      </c>
      <c r="E283" s="309">
        <f t="shared" si="136"/>
        <v>0</v>
      </c>
      <c r="F283" s="309">
        <f t="shared" si="136"/>
        <v>0</v>
      </c>
      <c r="G283" s="309">
        <f t="shared" si="136"/>
        <v>0</v>
      </c>
      <c r="H283" s="309">
        <f t="shared" si="136"/>
        <v>0</v>
      </c>
      <c r="I283" s="309">
        <f t="shared" si="136"/>
        <v>0</v>
      </c>
      <c r="J283" s="309">
        <f t="shared" si="136"/>
        <v>0</v>
      </c>
      <c r="K283" s="309">
        <f t="shared" si="136"/>
        <v>0</v>
      </c>
      <c r="L283" s="309">
        <f t="shared" si="136"/>
        <v>0</v>
      </c>
      <c r="M283" s="309">
        <f t="shared" si="136"/>
        <v>0</v>
      </c>
      <c r="N283" s="309">
        <f t="shared" si="136"/>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7">D278</f>
        <v>2017/18</v>
      </c>
      <c r="E289" s="326" t="str">
        <f t="shared" si="137"/>
        <v>2018/19</v>
      </c>
      <c r="F289" s="326" t="str">
        <f t="shared" si="137"/>
        <v>2019/20</v>
      </c>
      <c r="G289" s="326" t="str">
        <f t="shared" si="137"/>
        <v>2020/21</v>
      </c>
      <c r="H289" s="326" t="str">
        <f t="shared" si="137"/>
        <v>2021/22</v>
      </c>
      <c r="I289" s="326" t="str">
        <f t="shared" si="137"/>
        <v>2022/23</v>
      </c>
      <c r="J289" s="326" t="str">
        <f t="shared" si="137"/>
        <v>2023/24</v>
      </c>
      <c r="K289" s="326" t="str">
        <f t="shared" si="137"/>
        <v>2024/25</v>
      </c>
      <c r="L289" s="326" t="str">
        <f t="shared" si="137"/>
        <v>2025/26</v>
      </c>
      <c r="M289" s="326" t="str">
        <f t="shared" si="137"/>
        <v>2026/27</v>
      </c>
      <c r="N289" s="326" t="str">
        <f t="shared" si="137"/>
        <v>2027/28</v>
      </c>
    </row>
    <row r="290" spans="2:14" ht="15.75">
      <c r="B290" s="340"/>
      <c r="C290" s="459">
        <f>C53+C69-C15</f>
        <v>0</v>
      </c>
      <c r="D290" s="459">
        <f>D53+D69-D15</f>
        <v>0</v>
      </c>
      <c r="E290" s="459">
        <f>E53+E69-E15</f>
        <v>0</v>
      </c>
      <c r="F290" s="459">
        <f t="shared" ref="F290:N290" si="138">F53+F69-F15</f>
        <v>0</v>
      </c>
      <c r="G290" s="459">
        <f t="shared" si="138"/>
        <v>0</v>
      </c>
      <c r="H290" s="459">
        <f t="shared" si="138"/>
        <v>0</v>
      </c>
      <c r="I290" s="459">
        <f t="shared" si="138"/>
        <v>0</v>
      </c>
      <c r="J290" s="459">
        <f t="shared" si="138"/>
        <v>0</v>
      </c>
      <c r="K290" s="459">
        <f t="shared" si="138"/>
        <v>0</v>
      </c>
      <c r="L290" s="459">
        <f t="shared" si="138"/>
        <v>0</v>
      </c>
      <c r="M290" s="459">
        <f t="shared" si="138"/>
        <v>0</v>
      </c>
      <c r="N290" s="459">
        <f t="shared" si="138"/>
        <v>0</v>
      </c>
    </row>
    <row r="291" spans="2:14" ht="15.75">
      <c r="B291" s="340"/>
      <c r="H291" s="327"/>
    </row>
    <row r="292" spans="2:14" ht="15.75">
      <c r="B292" s="340" t="s">
        <v>263</v>
      </c>
      <c r="H292" s="327"/>
    </row>
    <row r="293" spans="2:14" ht="15.75">
      <c r="B293" s="340"/>
      <c r="C293" s="365" t="str">
        <f t="shared" ref="C293:N293" si="139">C262</f>
        <v>2016/17</v>
      </c>
      <c r="D293" s="365" t="str">
        <f t="shared" si="139"/>
        <v>2017/18</v>
      </c>
      <c r="E293" s="365" t="str">
        <f t="shared" si="139"/>
        <v>2018/19</v>
      </c>
      <c r="F293" s="365" t="str">
        <f t="shared" si="139"/>
        <v>2019/20</v>
      </c>
      <c r="G293" s="365" t="str">
        <f t="shared" si="139"/>
        <v>2020/21</v>
      </c>
      <c r="H293" s="365" t="str">
        <f t="shared" si="139"/>
        <v>2021/22</v>
      </c>
      <c r="I293" s="365" t="str">
        <f t="shared" si="139"/>
        <v>2022/23</v>
      </c>
      <c r="J293" s="365" t="str">
        <f t="shared" si="139"/>
        <v>2023/24</v>
      </c>
      <c r="K293" s="365" t="str">
        <f t="shared" si="139"/>
        <v>2024/25</v>
      </c>
      <c r="L293" s="365" t="str">
        <f t="shared" si="139"/>
        <v>2025/26</v>
      </c>
      <c r="M293" s="365" t="str">
        <f t="shared" si="139"/>
        <v>2026/27</v>
      </c>
      <c r="N293" s="365" t="str">
        <f t="shared" si="139"/>
        <v>2027/28</v>
      </c>
    </row>
    <row r="294" spans="2:14">
      <c r="B294" s="363" t="s">
        <v>266</v>
      </c>
      <c r="C294" s="459">
        <f>C36-C15+C279-C290</f>
        <v>1500.072456160216</v>
      </c>
      <c r="D294" s="459">
        <f>D36-D15+D279-D290</f>
        <v>1426.8587676432212</v>
      </c>
      <c r="E294" s="459">
        <f>E36-E15+E279-E290</f>
        <v>1008.6489434559915</v>
      </c>
      <c r="F294" s="459">
        <f t="shared" ref="F294:N294" si="140">F36-F15+F279-F290</f>
        <v>976.81158309329089</v>
      </c>
      <c r="G294" s="459">
        <f t="shared" si="140"/>
        <v>1246.1324373362588</v>
      </c>
      <c r="H294" s="459">
        <f t="shared" si="140"/>
        <v>1453.4041357684314</v>
      </c>
      <c r="I294" s="459">
        <f t="shared" si="140"/>
        <v>1534.617368578306</v>
      </c>
      <c r="J294" s="459">
        <f t="shared" si="140"/>
        <v>1533.1794714305215</v>
      </c>
      <c r="K294" s="459">
        <f t="shared" si="140"/>
        <v>1557.5545323627464</v>
      </c>
      <c r="L294" s="459">
        <f t="shared" si="140"/>
        <v>1542.6215110310686</v>
      </c>
      <c r="M294" s="459">
        <f t="shared" si="140"/>
        <v>1536.1819899927011</v>
      </c>
      <c r="N294" s="459">
        <f t="shared" si="140"/>
        <v>1520.0108002949419</v>
      </c>
    </row>
    <row r="295" spans="2:14" ht="12.75" customHeight="1">
      <c r="B295" s="1243" t="s">
        <v>264</v>
      </c>
      <c r="C295" s="1243"/>
      <c r="D295" s="1243"/>
      <c r="E295" s="1243"/>
      <c r="F295" s="1243"/>
      <c r="G295" s="1243"/>
      <c r="H295" s="1243"/>
      <c r="I295" s="1243"/>
      <c r="J295" s="1243"/>
      <c r="K295" s="1243"/>
      <c r="L295" s="1243"/>
      <c r="M295" s="1243"/>
      <c r="N295" s="1243"/>
    </row>
    <row r="296" spans="2:14">
      <c r="B296" s="545" t="s">
        <v>44</v>
      </c>
      <c r="C296" s="546">
        <f>IF(C294&lt;0,0,C294)</f>
        <v>1500.072456160216</v>
      </c>
      <c r="D296" s="546">
        <f t="shared" ref="D296:N296" si="141">IF(D294&lt;0,0,D294)</f>
        <v>1426.8587676432212</v>
      </c>
      <c r="E296" s="546">
        <f t="shared" si="141"/>
        <v>1008.6489434559915</v>
      </c>
      <c r="F296" s="546">
        <f t="shared" si="141"/>
        <v>976.81158309329089</v>
      </c>
      <c r="G296" s="546">
        <f t="shared" si="141"/>
        <v>1246.1324373362588</v>
      </c>
      <c r="H296" s="546">
        <f t="shared" si="141"/>
        <v>1453.4041357684314</v>
      </c>
      <c r="I296" s="546">
        <f t="shared" si="141"/>
        <v>1534.617368578306</v>
      </c>
      <c r="J296" s="546">
        <f t="shared" si="141"/>
        <v>1533.1794714305215</v>
      </c>
      <c r="K296" s="546">
        <f t="shared" si="141"/>
        <v>1557.5545323627464</v>
      </c>
      <c r="L296" s="546">
        <f t="shared" si="141"/>
        <v>1542.6215110310686</v>
      </c>
      <c r="M296" s="546">
        <f t="shared" si="141"/>
        <v>1536.1819899927011</v>
      </c>
      <c r="N296" s="546">
        <f t="shared" si="141"/>
        <v>1520.0108002949419</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2">B262</f>
        <v>Age group</v>
      </c>
      <c r="C302" s="338" t="str">
        <f>C293</f>
        <v>2016/17</v>
      </c>
      <c r="D302" s="338" t="str">
        <f t="shared" ref="D302:N302" si="143">D293</f>
        <v>2017/18</v>
      </c>
      <c r="E302" s="338" t="str">
        <f t="shared" si="143"/>
        <v>2018/19</v>
      </c>
      <c r="F302" s="338" t="str">
        <f t="shared" si="143"/>
        <v>2019/20</v>
      </c>
      <c r="G302" s="338" t="str">
        <f t="shared" si="143"/>
        <v>2020/21</v>
      </c>
      <c r="H302" s="338" t="str">
        <f t="shared" si="143"/>
        <v>2021/22</v>
      </c>
      <c r="I302" s="338" t="str">
        <f t="shared" si="143"/>
        <v>2022/23</v>
      </c>
      <c r="J302" s="338" t="str">
        <f t="shared" si="143"/>
        <v>2023/24</v>
      </c>
      <c r="K302" s="338" t="str">
        <f t="shared" si="143"/>
        <v>2024/25</v>
      </c>
      <c r="L302" s="338" t="str">
        <f t="shared" si="143"/>
        <v>2025/26</v>
      </c>
      <c r="M302" s="338" t="str">
        <f t="shared" si="143"/>
        <v>2026/27</v>
      </c>
      <c r="N302" s="338" t="str">
        <f t="shared" si="143"/>
        <v>2027/28</v>
      </c>
    </row>
    <row r="303" spans="2:14">
      <c r="B303" s="338" t="str">
        <f t="shared" si="142"/>
        <v>20-24</v>
      </c>
      <c r="C303" s="459">
        <f>C$296*Entrant_age_breakdowns!$K76*$G$31</f>
        <v>134.2272885924198</v>
      </c>
      <c r="D303" s="459">
        <f>D$296*Entrant_age_breakdowns!$K76*$G$31</f>
        <v>127.67608844396737</v>
      </c>
      <c r="E303" s="459">
        <f>E$296*Entrant_age_breakdowns!$K76*$G$31</f>
        <v>90.254448887265255</v>
      </c>
      <c r="F303" s="459">
        <f>F$296*Entrant_age_breakdowns!$K76*$G$31</f>
        <v>87.405624792218589</v>
      </c>
      <c r="G303" s="459">
        <f>G$296*Entrant_age_breakdowns!$K76*$G$31</f>
        <v>111.5045993970605</v>
      </c>
      <c r="H303" s="459">
        <f>H$296*Entrant_age_breakdowns!$K76*$G$31</f>
        <v>130.05138223294557</v>
      </c>
      <c r="I303" s="459">
        <f>I$296*Entrant_age_breakdowns!$K76*$G$31</f>
        <v>137.31838589875392</v>
      </c>
      <c r="J303" s="459">
        <f>J$296*Entrant_age_breakdowns!$K76*$G$31</f>
        <v>137.18972209012966</v>
      </c>
      <c r="K303" s="459">
        <f>K$296*Entrant_age_breakdowns!$K76*$G$31</f>
        <v>139.37081562649291</v>
      </c>
      <c r="L303" s="459">
        <f>L$296*Entrant_age_breakdowns!$K76*$G$31</f>
        <v>138.03460086192436</v>
      </c>
      <c r="M303" s="459">
        <f>M$296*Entrant_age_breakdowns!$K76*$G$31</f>
        <v>137.45838906277805</v>
      </c>
      <c r="N303" s="459">
        <f>N$296*Entrant_age_breakdowns!$K76*$G$31</f>
        <v>136.01138232818329</v>
      </c>
    </row>
    <row r="304" spans="2:14">
      <c r="B304" s="338" t="str">
        <f t="shared" si="142"/>
        <v>25-29</v>
      </c>
      <c r="C304" s="459">
        <f>C$296*Entrant_age_breakdowns!$K77*$G$31</f>
        <v>138.78810203605303</v>
      </c>
      <c r="D304" s="459">
        <f>D$296*Entrant_age_breakdowns!$K77*$G$31</f>
        <v>132.01430332346123</v>
      </c>
      <c r="E304" s="459">
        <f>E$296*Entrant_age_breakdowns!$K77*$G$31</f>
        <v>93.321140527611732</v>
      </c>
      <c r="F304" s="459">
        <f>F$296*Entrant_age_breakdowns!$K77*$G$31</f>
        <v>90.375518267545957</v>
      </c>
      <c r="G304" s="459">
        <f>G$296*Entrant_age_breakdowns!$K77*$G$31</f>
        <v>115.29333476741625</v>
      </c>
      <c r="H304" s="459">
        <f>H$296*Entrant_age_breakdowns!$K77*$G$31</f>
        <v>134.47030552843256</v>
      </c>
      <c r="I304" s="459">
        <f>I$296*Entrant_age_breakdowns!$K77*$G$31</f>
        <v>141.98422953630779</v>
      </c>
      <c r="J304" s="459">
        <f>J$296*Entrant_age_breakdowns!$K77*$G$31</f>
        <v>141.85119395176349</v>
      </c>
      <c r="K304" s="459">
        <f>K$296*Entrant_age_breakdowns!$K77*$G$31</f>
        <v>144.10639731204392</v>
      </c>
      <c r="L304" s="459">
        <f>L$296*Entrant_age_breakdowns!$K77*$G$31</f>
        <v>142.72478025763004</v>
      </c>
      <c r="M304" s="459">
        <f>M$296*Entrant_age_breakdowns!$K77*$G$31</f>
        <v>142.12898976813332</v>
      </c>
      <c r="N304" s="459">
        <f>N$296*Entrant_age_breakdowns!$K77*$G$31</f>
        <v>140.63281622224878</v>
      </c>
    </row>
    <row r="305" spans="1:14">
      <c r="B305" s="338" t="str">
        <f t="shared" si="142"/>
        <v>30-34</v>
      </c>
      <c r="C305" s="459">
        <f>C$296*Entrant_age_breakdowns!$K78*$G$31</f>
        <v>68.896493103766986</v>
      </c>
      <c r="D305" s="459">
        <f>D$296*Entrant_age_breakdowns!$K78*$G$31</f>
        <v>65.533877941213973</v>
      </c>
      <c r="E305" s="459">
        <f>E$296*Entrant_age_breakdowns!$K78*$G$31</f>
        <v>46.326012247981303</v>
      </c>
      <c r="F305" s="459">
        <f>F$296*Entrant_age_breakdowns!$K78*$G$31</f>
        <v>44.863761228263456</v>
      </c>
      <c r="G305" s="459">
        <f>G$296*Entrant_age_breakdowns!$K78*$G$31</f>
        <v>57.233338644908905</v>
      </c>
      <c r="H305" s="459">
        <f>H$296*Entrant_age_breakdowns!$K78*$G$31</f>
        <v>66.753074230343202</v>
      </c>
      <c r="I305" s="459">
        <f>I$296*Entrant_age_breakdowns!$K78*$G$31</f>
        <v>70.483098677657324</v>
      </c>
      <c r="J305" s="459">
        <f>J$296*Entrant_age_breakdowns!$K78*$G$31</f>
        <v>70.417057820417781</v>
      </c>
      <c r="K305" s="459">
        <f>K$296*Entrant_age_breakdowns!$K78*$G$31</f>
        <v>71.536574554775811</v>
      </c>
      <c r="L305" s="459">
        <f>L$296*Entrant_age_breakdowns!$K78*$G$31</f>
        <v>70.850719150277641</v>
      </c>
      <c r="M305" s="459">
        <f>M$296*Entrant_age_breakdowns!$K78*$G$31</f>
        <v>70.554959825460031</v>
      </c>
      <c r="N305" s="459">
        <f>N$296*Entrant_age_breakdowns!$K78*$G$31</f>
        <v>69.812236862368437</v>
      </c>
    </row>
    <row r="306" spans="1:14">
      <c r="B306" s="338" t="str">
        <f t="shared" si="142"/>
        <v>35-39</v>
      </c>
      <c r="C306" s="459">
        <f>C$296*Entrant_age_breakdowns!$K79*$G$31</f>
        <v>49.229598376970699</v>
      </c>
      <c r="D306" s="459">
        <f>D$296*Entrant_age_breakdowns!$K79*$G$31</f>
        <v>46.826860784805135</v>
      </c>
      <c r="E306" s="459">
        <f>E$296*Entrant_age_breakdowns!$K79*$G$31</f>
        <v>33.101989297769499</v>
      </c>
      <c r="F306" s="459">
        <f>F$296*Entrant_age_breakdowns!$K79*$G$31</f>
        <v>32.057146125293286</v>
      </c>
      <c r="G306" s="459">
        <f>G$296*Entrant_age_breakdowns!$K79*$G$31</f>
        <v>40.895757510014214</v>
      </c>
      <c r="H306" s="459">
        <f>H$296*Entrant_age_breakdowns!$K79*$G$31</f>
        <v>47.698030578108337</v>
      </c>
      <c r="I306" s="459">
        <f>I$296*Entrant_age_breakdowns!$K79*$G$31</f>
        <v>50.363298390810932</v>
      </c>
      <c r="J306" s="459">
        <f>J$296*Entrant_age_breakdowns!$K79*$G$31</f>
        <v>50.316109270844009</v>
      </c>
      <c r="K306" s="459">
        <f>K$296*Entrant_age_breakdowns!$K79*$G$31</f>
        <v>51.116053603652588</v>
      </c>
      <c r="L306" s="459">
        <f>L$296*Entrant_age_breakdowns!$K79*$G$31</f>
        <v>50.625979514434924</v>
      </c>
      <c r="M306" s="459">
        <f>M$296*Entrant_age_breakdowns!$K79*$G$31</f>
        <v>50.414646366387956</v>
      </c>
      <c r="N306" s="459">
        <f>N$296*Entrant_age_breakdowns!$K79*$G$31</f>
        <v>49.883937885721423</v>
      </c>
    </row>
    <row r="307" spans="1:14">
      <c r="B307" s="338" t="str">
        <f t="shared" si="142"/>
        <v>40-44</v>
      </c>
      <c r="C307" s="459">
        <f>C$296*Entrant_age_breakdowns!$K80*$G$31</f>
        <v>42.772013430690215</v>
      </c>
      <c r="D307" s="459">
        <f>D$296*Entrant_age_breakdowns!$K80*$G$31</f>
        <v>40.684449689552629</v>
      </c>
      <c r="E307" s="459">
        <f>E$296*Entrant_age_breakdowns!$K80*$G$31</f>
        <v>28.759908215889116</v>
      </c>
      <c r="F307" s="459">
        <f>F$296*Entrant_age_breakdowns!$K80*$G$31</f>
        <v>27.852120062430938</v>
      </c>
      <c r="G307" s="459">
        <f>G$296*Entrant_age_breakdowns!$K80*$G$31</f>
        <v>35.53134592084831</v>
      </c>
      <c r="H307" s="459">
        <f>H$296*Entrant_age_breakdowns!$K80*$G$31</f>
        <v>41.441345689683466</v>
      </c>
      <c r="I307" s="459">
        <f>I$296*Entrant_age_breakdowns!$K80*$G$31</f>
        <v>43.757002823596416</v>
      </c>
      <c r="J307" s="459">
        <f>J$296*Entrant_age_breakdowns!$K80*$G$31</f>
        <v>43.716003633281026</v>
      </c>
      <c r="K307" s="459">
        <f>K$296*Entrant_age_breakdowns!$K80*$G$31</f>
        <v>44.411017016991643</v>
      </c>
      <c r="L307" s="459">
        <f>L$296*Entrant_age_breakdowns!$K80*$G$31</f>
        <v>43.985227325076202</v>
      </c>
      <c r="M307" s="459">
        <f>M$296*Entrant_age_breakdowns!$K80*$G$31</f>
        <v>43.801615340728922</v>
      </c>
      <c r="N307" s="459">
        <f>N$296*Entrant_age_breakdowns!$K80*$G$31</f>
        <v>43.340521384832094</v>
      </c>
    </row>
    <row r="308" spans="1:14">
      <c r="B308" s="338" t="str">
        <f t="shared" si="142"/>
        <v>45-49</v>
      </c>
      <c r="C308" s="459">
        <f>C$296*Entrant_age_breakdowns!$K81*$G$31</f>
        <v>34.035692293644843</v>
      </c>
      <c r="D308" s="459">
        <f>D$296*Entrant_age_breakdowns!$K81*$G$31</f>
        <v>32.374520152383248</v>
      </c>
      <c r="E308" s="459">
        <f>E$296*Entrant_age_breakdowns!$K81*$G$31</f>
        <v>22.885604579164049</v>
      </c>
      <c r="F308" s="459">
        <f>F$296*Entrant_age_breakdowns!$K81*$G$31</f>
        <v>22.163235072080031</v>
      </c>
      <c r="G308" s="459">
        <f>G$296*Entrant_age_breakdowns!$K81*$G$31</f>
        <v>28.273954381425305</v>
      </c>
      <c r="H308" s="459">
        <f>H$296*Entrant_age_breakdowns!$K81*$G$31</f>
        <v>32.976817713158333</v>
      </c>
      <c r="I308" s="459">
        <f>I$296*Entrant_age_breakdowns!$K81*$G$31</f>
        <v>34.819494439030969</v>
      </c>
      <c r="J308" s="459">
        <f>J$296*Entrant_age_breakdowns!$K81*$G$31</f>
        <v>34.786869465036595</v>
      </c>
      <c r="K308" s="459">
        <f>K$296*Entrant_age_breakdowns!$K81*$G$31</f>
        <v>35.339924132576897</v>
      </c>
      <c r="L308" s="459">
        <f>L$296*Entrant_age_breakdowns!$K81*$G$31</f>
        <v>35.001103352972414</v>
      </c>
      <c r="M308" s="459">
        <f>M$296*Entrant_age_breakdowns!$K81*$G$31</f>
        <v>34.854994706233207</v>
      </c>
      <c r="N308" s="459">
        <f>N$296*Entrant_age_breakdowns!$K81*$G$31</f>
        <v>34.488080671971176</v>
      </c>
    </row>
    <row r="309" spans="1:14">
      <c r="B309" s="338" t="str">
        <f t="shared" si="142"/>
        <v>50-54</v>
      </c>
      <c r="C309" s="459">
        <f>C$296*Entrant_age_breakdowns!$K82*$G$31</f>
        <v>24.898217276064358</v>
      </c>
      <c r="D309" s="459">
        <f>D$296*Entrant_age_breakdowns!$K82*$G$31</f>
        <v>23.683015759102737</v>
      </c>
      <c r="E309" s="459">
        <f>E$296*Entrant_age_breakdowns!$K82*$G$31</f>
        <v>16.741565013282106</v>
      </c>
      <c r="F309" s="459">
        <f>F$296*Entrant_age_breakdowns!$K82*$G$31</f>
        <v>16.213128195079364</v>
      </c>
      <c r="G309" s="459">
        <f>G$296*Entrant_age_breakdowns!$K82*$G$31</f>
        <v>20.683318363813772</v>
      </c>
      <c r="H309" s="459">
        <f>H$296*Entrant_age_breakdowns!$K82*$G$31</f>
        <v>24.123616038469518</v>
      </c>
      <c r="I309" s="459">
        <f>I$296*Entrant_age_breakdowns!$K82*$G$31</f>
        <v>25.47159406972262</v>
      </c>
      <c r="J309" s="459">
        <f>J$296*Entrant_age_breakdowns!$K82*$G$31</f>
        <v>25.447727838822136</v>
      </c>
      <c r="K309" s="459">
        <f>K$296*Entrant_age_breakdowns!$K82*$G$31</f>
        <v>25.852305338205955</v>
      </c>
      <c r="L309" s="459">
        <f>L$296*Entrant_age_breakdowns!$K82*$G$31</f>
        <v>25.604446904316745</v>
      </c>
      <c r="M309" s="459">
        <f>M$296*Entrant_age_breakdowns!$K82*$G$31</f>
        <v>25.49756367123781</v>
      </c>
      <c r="N309" s="459">
        <f>N$296*Entrant_age_breakdowns!$K82*$G$31</f>
        <v>25.229154106717242</v>
      </c>
    </row>
    <row r="310" spans="1:14">
      <c r="B310" s="338" t="str">
        <f t="shared" si="142"/>
        <v>55-59</v>
      </c>
      <c r="C310" s="459">
        <f>C$296*Entrant_age_breakdowns!$K83*$G$31</f>
        <v>16.951267892593215</v>
      </c>
      <c r="D310" s="459">
        <f>D$296*Entrant_age_breakdowns!$K83*$G$31</f>
        <v>16.123931291377797</v>
      </c>
      <c r="E310" s="459">
        <f>E$296*Entrant_age_breakdowns!$K83*$G$31</f>
        <v>11.398035061499369</v>
      </c>
      <c r="F310" s="459">
        <f>F$296*Entrant_age_breakdowns!$K83*$G$31</f>
        <v>11.038263356949436</v>
      </c>
      <c r="G310" s="459">
        <f>G$296*Entrant_age_breakdowns!$K83*$G$31</f>
        <v>14.081669647483309</v>
      </c>
      <c r="H310" s="459">
        <f>H$296*Entrant_age_breakdowns!$K83*$G$31</f>
        <v>16.42390189916415</v>
      </c>
      <c r="I310" s="459">
        <f>I$296*Entrant_age_breakdowns!$K83*$G$31</f>
        <v>17.341635746039536</v>
      </c>
      <c r="J310" s="459">
        <f>J$296*Entrant_age_breakdowns!$K83*$G$31</f>
        <v>17.32538707774755</v>
      </c>
      <c r="K310" s="459">
        <f>K$296*Entrant_age_breakdowns!$K83*$G$31</f>
        <v>17.600832564439624</v>
      </c>
      <c r="L310" s="459">
        <f>L$296*Entrant_age_breakdowns!$K83*$G$31</f>
        <v>17.432084952282921</v>
      </c>
      <c r="M310" s="459">
        <f>M$296*Entrant_age_breakdowns!$K83*$G$31</f>
        <v>17.359316436486839</v>
      </c>
      <c r="N310" s="459">
        <f>N$296*Entrant_age_breakdowns!$K83*$G$31</f>
        <v>17.176577151072362</v>
      </c>
    </row>
    <row r="311" spans="1:14">
      <c r="B311" s="338" t="str">
        <f t="shared" si="142"/>
        <v>60-64</v>
      </c>
      <c r="C311" s="459">
        <f>C$296*Entrant_age_breakdowns!$K84*$G$31</f>
        <v>8.2982650132264979</v>
      </c>
      <c r="D311" s="459">
        <f>D$296*Entrant_age_breakdowns!$K84*$G$31</f>
        <v>7.893253517005177</v>
      </c>
      <c r="E311" s="459">
        <f>E$296*Entrant_age_breakdowns!$K84*$G$31</f>
        <v>5.5797546336753481</v>
      </c>
      <c r="F311" s="459">
        <f>F$296*Entrant_age_breakdowns!$K84*$G$31</f>
        <v>5.4036332386545034</v>
      </c>
      <c r="G311" s="459">
        <f>G$296*Entrant_age_breakdowns!$K84*$G$31</f>
        <v>6.8934918204308984</v>
      </c>
      <c r="H311" s="459">
        <f>H$296*Entrant_age_breakdowns!$K84*$G$31</f>
        <v>8.0401000900970576</v>
      </c>
      <c r="I311" s="459">
        <f>I$296*Entrant_age_breakdowns!$K84*$G$31</f>
        <v>8.4893643410801598</v>
      </c>
      <c r="J311" s="459">
        <f>J$296*Entrant_age_breakdowns!$K84*$G$31</f>
        <v>8.4814100242436119</v>
      </c>
      <c r="K311" s="459">
        <f>K$296*Entrant_age_breakdowns!$K84*$G$31</f>
        <v>8.6162506544401722</v>
      </c>
      <c r="L311" s="459">
        <f>L$296*Entrant_age_breakdowns!$K84*$G$31</f>
        <v>8.5336425324461018</v>
      </c>
      <c r="M311" s="459">
        <f>M$296*Entrant_age_breakdowns!$K84*$G$31</f>
        <v>8.4980196850861791</v>
      </c>
      <c r="N311" s="459">
        <f>N$296*Entrant_age_breakdowns!$K84*$G$31</f>
        <v>8.4085621277928055</v>
      </c>
    </row>
    <row r="312" spans="1:14">
      <c r="B312" s="338" t="str">
        <f t="shared" si="142"/>
        <v>65 plus</v>
      </c>
      <c r="C312" s="459">
        <f>C$296*Entrant_age_breakdowns!$K85*$G$31</f>
        <v>2.0812637667081098</v>
      </c>
      <c r="D312" s="459">
        <f>D$296*Entrant_age_breakdowns!$K85*$G$31</f>
        <v>1.9796840086692749</v>
      </c>
      <c r="E312" s="459">
        <f>E$296*Entrant_age_breakdowns!$K85*$G$31</f>
        <v>1.3994420674298143</v>
      </c>
      <c r="F312" s="459">
        <f>F$296*Entrant_age_breakdowns!$K85*$G$31</f>
        <v>1.3552695714424332</v>
      </c>
      <c r="G312" s="459">
        <f>G$296*Entrant_age_breakdowns!$K85*$G$31</f>
        <v>1.7289366788230769</v>
      </c>
      <c r="H312" s="459">
        <f>H$296*Entrant_age_breakdowns!$K85*$G$31</f>
        <v>2.0165141715231067</v>
      </c>
      <c r="I312" s="459">
        <f>I$296*Entrant_age_breakdowns!$K85*$G$31</f>
        <v>2.1291928345638804</v>
      </c>
      <c r="J312" s="459">
        <f>J$296*Entrant_age_breakdowns!$K85*$G$31</f>
        <v>2.12719783544124</v>
      </c>
      <c r="K312" s="459">
        <f>K$296*Entrant_age_breakdowns!$K85*$G$31</f>
        <v>2.1610168225982997</v>
      </c>
      <c r="L312" s="459">
        <f>L$296*Entrant_age_breakdowns!$K85*$G$31</f>
        <v>2.140298119246693</v>
      </c>
      <c r="M312" s="459">
        <f>M$296*Entrant_age_breakdowns!$K85*$G$31</f>
        <v>2.1313636562765406</v>
      </c>
      <c r="N312" s="459">
        <f>N$296*Entrant_age_breakdowns!$K85*$G$31</f>
        <v>2.1089270659343238</v>
      </c>
    </row>
    <row r="313" spans="1:14">
      <c r="B313" s="338" t="str">
        <f t="shared" si="142"/>
        <v>Total</v>
      </c>
      <c r="C313" s="459">
        <f>C$296*Entrant_age_breakdowns!$K86*$G$31</f>
        <v>520.17820178213765</v>
      </c>
      <c r="D313" s="459">
        <f>D$296*Entrant_age_breakdowns!$K86*$G$31</f>
        <v>494.78998491153851</v>
      </c>
      <c r="E313" s="459">
        <f>E$296*Entrant_age_breakdowns!$K86*$G$31</f>
        <v>349.76790053156759</v>
      </c>
      <c r="F313" s="459">
        <f>F$296*Entrant_age_breakdowns!$K86*$G$31</f>
        <v>338.72769990995795</v>
      </c>
      <c r="G313" s="459">
        <f>G$296*Entrant_age_breakdowns!$K86*$G$31</f>
        <v>432.11974713222452</v>
      </c>
      <c r="H313" s="459">
        <f>H$296*Entrant_age_breakdowns!$K86*$G$31</f>
        <v>503.99508817192526</v>
      </c>
      <c r="I313" s="459">
        <f>I$296*Entrant_age_breakdowns!$K86*$G$31</f>
        <v>532.15729675756347</v>
      </c>
      <c r="J313" s="459">
        <f>J$296*Entrant_age_breakdowns!$K86*$G$31</f>
        <v>531.65867900772707</v>
      </c>
      <c r="K313" s="459">
        <f>K$296*Entrant_age_breakdowns!$K86*$G$31</f>
        <v>540.11118762621777</v>
      </c>
      <c r="L313" s="459">
        <f>L$296*Entrant_age_breakdowns!$K86*$G$31</f>
        <v>534.93288297060803</v>
      </c>
      <c r="M313" s="459">
        <f>M$296*Entrant_age_breakdowns!$K86*$G$31</f>
        <v>532.69985851880881</v>
      </c>
      <c r="N313" s="459">
        <f>N$296*Entrant_age_breakdowns!$K86*$G$31</f>
        <v>527.09219580684191</v>
      </c>
    </row>
    <row r="314" spans="1:14">
      <c r="A314" s="309">
        <f>SUM(C314:N314)</f>
        <v>0</v>
      </c>
      <c r="C314" s="309">
        <f>SUM(C303:C312)-C313</f>
        <v>0</v>
      </c>
      <c r="D314" s="309">
        <f t="shared" ref="D314:N314" si="144">SUM(D303:D312)-D313</f>
        <v>0</v>
      </c>
      <c r="E314" s="309">
        <f t="shared" si="144"/>
        <v>0</v>
      </c>
      <c r="F314" s="309">
        <f t="shared" si="144"/>
        <v>0</v>
      </c>
      <c r="G314" s="309">
        <f t="shared" si="144"/>
        <v>0</v>
      </c>
      <c r="H314" s="309">
        <f t="shared" si="144"/>
        <v>0</v>
      </c>
      <c r="I314" s="309">
        <f t="shared" si="144"/>
        <v>0</v>
      </c>
      <c r="J314" s="309">
        <f t="shared" si="144"/>
        <v>0</v>
      </c>
      <c r="K314" s="309">
        <f t="shared" si="144"/>
        <v>0</v>
      </c>
      <c r="L314" s="309">
        <f t="shared" si="144"/>
        <v>0</v>
      </c>
      <c r="M314" s="309">
        <f t="shared" si="144"/>
        <v>0</v>
      </c>
      <c r="N314" s="309">
        <f t="shared" si="144"/>
        <v>0</v>
      </c>
    </row>
    <row r="316" spans="1:14">
      <c r="B316" s="341" t="s">
        <v>50</v>
      </c>
      <c r="H316" s="325"/>
    </row>
    <row r="317" spans="1:14">
      <c r="H317" s="325"/>
    </row>
    <row r="318" spans="1:14">
      <c r="B318" s="338" t="str">
        <f t="shared" ref="B318:B329" si="145">B302</f>
        <v>Age group</v>
      </c>
      <c r="C318" s="338" t="str">
        <f>C293</f>
        <v>2016/17</v>
      </c>
      <c r="D318" s="338" t="str">
        <f t="shared" ref="D318:N318" si="146">D302</f>
        <v>2017/18</v>
      </c>
      <c r="E318" s="338" t="str">
        <f t="shared" si="146"/>
        <v>2018/19</v>
      </c>
      <c r="F318" s="338" t="str">
        <f t="shared" si="146"/>
        <v>2019/20</v>
      </c>
      <c r="G318" s="338" t="str">
        <f t="shared" si="146"/>
        <v>2020/21</v>
      </c>
      <c r="H318" s="338" t="str">
        <f t="shared" si="146"/>
        <v>2021/22</v>
      </c>
      <c r="I318" s="338" t="str">
        <f t="shared" si="146"/>
        <v>2022/23</v>
      </c>
      <c r="J318" s="338" t="str">
        <f t="shared" si="146"/>
        <v>2023/24</v>
      </c>
      <c r="K318" s="338" t="str">
        <f t="shared" si="146"/>
        <v>2024/25</v>
      </c>
      <c r="L318" s="338" t="str">
        <f t="shared" si="146"/>
        <v>2025/26</v>
      </c>
      <c r="M318" s="338" t="str">
        <f t="shared" si="146"/>
        <v>2026/27</v>
      </c>
      <c r="N318" s="338" t="str">
        <f t="shared" si="146"/>
        <v>2027/28</v>
      </c>
    </row>
    <row r="319" spans="1:14">
      <c r="B319" s="338" t="str">
        <f t="shared" si="145"/>
        <v>20-24</v>
      </c>
      <c r="C319" s="459">
        <f>C$296*Entrant_age_breakdowns!$K76*$H$31</f>
        <v>252.85286546387701</v>
      </c>
      <c r="D319" s="459">
        <f>D$296*Entrant_age_breakdowns!$K76*$H$31</f>
        <v>240.5119342930665</v>
      </c>
      <c r="E319" s="459">
        <f>E$296*Entrant_age_breakdowns!$K76*$H$31</f>
        <v>170.01830448430007</v>
      </c>
      <c r="F319" s="459">
        <f>F$296*Entrant_age_breakdowns!$K76*$H$31</f>
        <v>164.65178517821192</v>
      </c>
      <c r="G319" s="459">
        <f>G$296*Entrant_age_breakdowns!$K76*$H$31</f>
        <v>210.04862547406512</v>
      </c>
      <c r="H319" s="459">
        <f>H$296*Entrant_age_breakdowns!$K76*$H$31</f>
        <v>244.98643308656744</v>
      </c>
      <c r="I319" s="459">
        <f>I$296*Entrant_age_breakdowns!$K76*$H$31</f>
        <v>258.67577092170501</v>
      </c>
      <c r="J319" s="459">
        <f>J$296*Entrant_age_breakdowns!$K76*$H$31</f>
        <v>258.43339835325565</v>
      </c>
      <c r="K319" s="459">
        <f>K$296*Entrant_age_breakdowns!$K76*$H$31</f>
        <v>262.54206922262557</v>
      </c>
      <c r="L319" s="459">
        <f>L$296*Entrant_age_breakdowns!$K76*$H$31</f>
        <v>260.02495265386119</v>
      </c>
      <c r="M319" s="459">
        <f>M$296*Entrant_age_breakdowns!$K76*$H$31</f>
        <v>258.93950418763575</v>
      </c>
      <c r="N319" s="459">
        <f>N$296*Entrant_age_breakdowns!$K76*$H$31</f>
        <v>256.21368142071094</v>
      </c>
    </row>
    <row r="320" spans="1:14">
      <c r="B320" s="338" t="str">
        <f t="shared" si="145"/>
        <v>25-29</v>
      </c>
      <c r="C320" s="459">
        <f>C$296*Entrant_age_breakdowns!$K77*$H$31</f>
        <v>261.44437289997342</v>
      </c>
      <c r="D320" s="459">
        <f>D$296*Entrant_age_breakdowns!$K77*$H$31</f>
        <v>248.68411801800838</v>
      </c>
      <c r="E320" s="459">
        <f>E$296*Entrant_age_breakdowns!$K77*$H$31</f>
        <v>175.79523536688899</v>
      </c>
      <c r="F320" s="459">
        <f>F$296*Entrant_age_breakdowns!$K77*$H$31</f>
        <v>170.24637092328527</v>
      </c>
      <c r="G320" s="459">
        <f>G$296*Entrant_age_breakdowns!$K77*$H$31</f>
        <v>217.18571812433638</v>
      </c>
      <c r="H320" s="459">
        <f>H$296*Entrant_age_breakdowns!$K77*$H$31</f>
        <v>253.3106526193165</v>
      </c>
      <c r="I320" s="459">
        <f>I$296*Entrant_age_breakdowns!$K77*$H$31</f>
        <v>267.46513071533286</v>
      </c>
      <c r="J320" s="459">
        <f>J$296*Entrant_age_breakdowns!$K77*$H$31</f>
        <v>267.21452274199572</v>
      </c>
      <c r="K320" s="459">
        <f>K$296*Entrant_age_breakdowns!$K77*$H$31</f>
        <v>271.46279921267808</v>
      </c>
      <c r="L320" s="459">
        <f>L$296*Entrant_age_breakdowns!$K77*$H$31</f>
        <v>268.86015533269108</v>
      </c>
      <c r="M320" s="459">
        <f>M$296*Entrant_age_breakdowns!$K77*$H$31</f>
        <v>267.73782518607828</v>
      </c>
      <c r="N320" s="459">
        <f>N$296*Entrant_age_breakdowns!$K77*$H$31</f>
        <v>264.91938362866216</v>
      </c>
    </row>
    <row r="321" spans="1:14">
      <c r="B321" s="338" t="str">
        <f t="shared" si="145"/>
        <v>30-34</v>
      </c>
      <c r="C321" s="459">
        <f>C$296*Entrant_age_breakdowns!$K78*$H$31</f>
        <v>129.78490353476096</v>
      </c>
      <c r="D321" s="459">
        <f>D$296*Entrant_age_breakdowns!$K78*$H$31</f>
        <v>123.45052184367594</v>
      </c>
      <c r="E321" s="459">
        <f>E$296*Entrant_age_breakdowns!$K78*$H$31</f>
        <v>87.267388511327198</v>
      </c>
      <c r="F321" s="459">
        <f>F$296*Entrant_age_breakdowns!$K78*$H$31</f>
        <v>84.512849071244858</v>
      </c>
      <c r="G321" s="459">
        <f>G$296*Entrant_age_breakdowns!$K78*$H$31</f>
        <v>107.81424424337898</v>
      </c>
      <c r="H321" s="459">
        <f>H$296*Entrant_age_breakdowns!$K78*$H$31</f>
        <v>125.7472029321641</v>
      </c>
      <c r="I321" s="459">
        <f>I$296*Entrant_age_breakdowns!$K78*$H$31</f>
        <v>132.77369791425042</v>
      </c>
      <c r="J321" s="459">
        <f>J$296*Entrant_age_breakdowns!$K78*$H$31</f>
        <v>132.6492923618041</v>
      </c>
      <c r="K321" s="459">
        <f>K$296*Entrant_age_breakdowns!$K78*$H$31</f>
        <v>134.75820044737782</v>
      </c>
      <c r="L321" s="459">
        <f>L$296*Entrant_age_breakdowns!$K78*$H$31</f>
        <v>133.46620903385951</v>
      </c>
      <c r="M321" s="459">
        <f>M$296*Entrant_age_breakdowns!$K78*$H$31</f>
        <v>132.90906753489892</v>
      </c>
      <c r="N321" s="459">
        <f>N$296*Entrant_age_breakdowns!$K78*$H$31</f>
        <v>131.50995092133326</v>
      </c>
    </row>
    <row r="322" spans="1:14">
      <c r="B322" s="338" t="str">
        <f t="shared" si="145"/>
        <v>35-39</v>
      </c>
      <c r="C322" s="459">
        <f>C$296*Entrant_age_breakdowns!$K79*$H$31</f>
        <v>92.737066700726274</v>
      </c>
      <c r="D322" s="459">
        <f>D$296*Entrant_age_breakdowns!$K79*$H$31</f>
        <v>88.210870191001433</v>
      </c>
      <c r="E322" s="459">
        <f>E$296*Entrant_age_breakdowns!$K79*$H$31</f>
        <v>62.356417493545969</v>
      </c>
      <c r="F322" s="459">
        <f>F$296*Entrant_age_breakdowns!$K79*$H$31</f>
        <v>60.388176959959722</v>
      </c>
      <c r="G322" s="459">
        <f>G$296*Entrant_age_breakdowns!$K79*$H$31</f>
        <v>77.03805671827395</v>
      </c>
      <c r="H322" s="459">
        <f>H$296*Entrant_age_breakdowns!$K79*$H$31</f>
        <v>89.851950636358268</v>
      </c>
      <c r="I322" s="459">
        <f>I$296*Entrant_age_breakdowns!$K79*$H$31</f>
        <v>94.87269277260782</v>
      </c>
      <c r="J322" s="459">
        <f>J$296*Entrant_age_breakdowns!$K79*$H$31</f>
        <v>94.78379949071649</v>
      </c>
      <c r="K322" s="459">
        <f>K$296*Entrant_age_breakdowns!$K79*$H$31</f>
        <v>96.290707801860478</v>
      </c>
      <c r="L322" s="459">
        <f>L$296*Entrant_age_breakdowns!$K79*$H$31</f>
        <v>95.367522665307817</v>
      </c>
      <c r="M322" s="459">
        <f>M$296*Entrant_age_breakdowns!$K79*$H$31</f>
        <v>94.969420367246528</v>
      </c>
      <c r="N322" s="459">
        <f>N$296*Entrant_age_breakdowns!$K79*$H$31</f>
        <v>93.969689526597705</v>
      </c>
    </row>
    <row r="323" spans="1:14">
      <c r="B323" s="338" t="str">
        <f t="shared" si="145"/>
        <v>40-44</v>
      </c>
      <c r="C323" s="459">
        <f>C$296*Entrant_age_breakdowns!$K80*$H$31</f>
        <v>80.572484708748036</v>
      </c>
      <c r="D323" s="459">
        <f>D$296*Entrant_age_breakdowns!$K80*$H$31</f>
        <v>76.640002131468748</v>
      </c>
      <c r="E323" s="459">
        <f>E$296*Entrant_age_breakdowns!$K80*$H$31</f>
        <v>54.1769507461863</v>
      </c>
      <c r="F323" s="459">
        <f>F$296*Entrant_age_breakdowns!$K80*$H$31</f>
        <v>52.46688986182285</v>
      </c>
      <c r="G323" s="459">
        <f>G$296*Entrant_age_breakdowns!$K80*$H$31</f>
        <v>66.932758041140204</v>
      </c>
      <c r="H323" s="459">
        <f>H$296*Entrant_age_breakdowns!$K80*$H$31</f>
        <v>78.06581743697167</v>
      </c>
      <c r="I323" s="459">
        <f>I$296*Entrant_age_breakdowns!$K80*$H$31</f>
        <v>82.427974699342414</v>
      </c>
      <c r="J323" s="459">
        <f>J$296*Entrant_age_breakdowns!$K80*$H$31</f>
        <v>82.35074179937358</v>
      </c>
      <c r="K323" s="459">
        <f>K$296*Entrant_age_breakdowns!$K80*$H$31</f>
        <v>83.659984707055315</v>
      </c>
      <c r="L323" s="459">
        <f>L$296*Entrant_age_breakdowns!$K80*$H$31</f>
        <v>82.857896362615051</v>
      </c>
      <c r="M323" s="459">
        <f>M$296*Entrant_age_breakdowns!$K80*$H$31</f>
        <v>82.51201426321056</v>
      </c>
      <c r="N323" s="459">
        <f>N$296*Entrant_age_breakdowns!$K80*$H$31</f>
        <v>81.643420930072395</v>
      </c>
    </row>
    <row r="324" spans="1:14">
      <c r="B324" s="338" t="str">
        <f t="shared" si="145"/>
        <v>45-49</v>
      </c>
      <c r="C324" s="459">
        <f>C$296*Entrant_age_breakdowns!$K81*$H$31</f>
        <v>64.1152958891021</v>
      </c>
      <c r="D324" s="459">
        <f>D$296*Entrant_age_breakdowns!$K81*$H$31</f>
        <v>60.986035510296553</v>
      </c>
      <c r="E324" s="459">
        <f>E$296*Entrant_age_breakdowns!$K81*$H$31</f>
        <v>43.111134527093817</v>
      </c>
      <c r="F324" s="459">
        <f>F$296*Entrant_age_breakdowns!$K81*$H$31</f>
        <v>41.750359071481753</v>
      </c>
      <c r="G324" s="459">
        <f>G$296*Entrant_age_breakdowns!$K81*$H$31</f>
        <v>53.26152720738235</v>
      </c>
      <c r="H324" s="459">
        <f>H$296*Entrant_age_breakdowns!$K81*$H$31</f>
        <v>62.120623459594391</v>
      </c>
      <c r="I324" s="459">
        <f>I$296*Entrant_age_breakdowns!$K81*$H$31</f>
        <v>65.591796088844717</v>
      </c>
      <c r="J324" s="459">
        <f>J$296*Entrant_age_breakdowns!$K81*$H$31</f>
        <v>65.530338256784859</v>
      </c>
      <c r="K324" s="459">
        <f>K$296*Entrant_age_breakdowns!$K81*$H$31</f>
        <v>66.572164094974625</v>
      </c>
      <c r="L324" s="459">
        <f>L$296*Entrant_age_breakdowns!$K81*$H$31</f>
        <v>65.933904871383817</v>
      </c>
      <c r="M324" s="459">
        <f>M$296*Entrant_age_breakdowns!$K81*$H$31</f>
        <v>65.658670301837844</v>
      </c>
      <c r="N324" s="459">
        <f>N$296*Entrant_age_breakdowns!$K81*$H$31</f>
        <v>64.967489947120427</v>
      </c>
    </row>
    <row r="325" spans="1:14">
      <c r="B325" s="338" t="str">
        <f t="shared" si="145"/>
        <v>50-54</v>
      </c>
      <c r="C325" s="459">
        <f>C$296*Entrant_age_breakdowns!$K82*$H$31</f>
        <v>46.902426840428703</v>
      </c>
      <c r="D325" s="459">
        <f>D$296*Entrant_age_breakdowns!$K82*$H$31</f>
        <v>44.613270969800858</v>
      </c>
      <c r="E325" s="459">
        <f>E$296*Entrant_age_breakdowns!$K82*$H$31</f>
        <v>31.537198809193775</v>
      </c>
      <c r="F325" s="459">
        <f>F$296*Entrant_age_breakdowns!$K82*$H$31</f>
        <v>30.541747250122924</v>
      </c>
      <c r="G325" s="459">
        <f>G$296*Entrant_age_breakdowns!$K82*$H$31</f>
        <v>38.962541599661613</v>
      </c>
      <c r="H325" s="459">
        <f>H$296*Entrant_age_breakdowns!$K82*$H$31</f>
        <v>45.443259002266906</v>
      </c>
      <c r="I325" s="459">
        <f>I$296*Entrant_age_breakdowns!$K82*$H$31</f>
        <v>47.982534818376557</v>
      </c>
      <c r="J325" s="459">
        <f>J$296*Entrant_age_breakdowns!$K82*$H$31</f>
        <v>47.937576412866825</v>
      </c>
      <c r="K325" s="459">
        <f>K$296*Entrant_age_breakdowns!$K82*$H$31</f>
        <v>48.699705940283842</v>
      </c>
      <c r="L325" s="459">
        <f>L$296*Entrant_age_breakdowns!$K82*$H$31</f>
        <v>48.232798533485379</v>
      </c>
      <c r="M325" s="459">
        <f>M$296*Entrant_age_breakdowns!$K82*$H$31</f>
        <v>48.031455482921977</v>
      </c>
      <c r="N325" s="459">
        <f>N$296*Entrant_age_breakdowns!$K82*$H$31</f>
        <v>47.525834545341851</v>
      </c>
    </row>
    <row r="326" spans="1:14">
      <c r="B326" s="338" t="str">
        <f t="shared" si="145"/>
        <v>55-59</v>
      </c>
      <c r="C326" s="459">
        <f>C$296*Entrant_age_breakdowns!$K83*$H$31</f>
        <v>31.932230061675128</v>
      </c>
      <c r="D326" s="459">
        <f>D$296*Entrant_age_breakdowns!$K83*$H$31</f>
        <v>30.373721113798812</v>
      </c>
      <c r="E326" s="459">
        <f>E$296*Entrant_age_breakdowns!$K83*$H$31</f>
        <v>21.4712362603785</v>
      </c>
      <c r="F326" s="459">
        <f>F$296*Entrant_age_breakdowns!$K83*$H$31</f>
        <v>20.793510386882673</v>
      </c>
      <c r="G326" s="459">
        <f>G$296*Entrant_age_breakdowns!$K83*$H$31</f>
        <v>26.526577108277628</v>
      </c>
      <c r="H326" s="459">
        <f>H$296*Entrant_age_breakdowns!$K83*$H$31</f>
        <v>30.938795686407012</v>
      </c>
      <c r="I326" s="459">
        <f>I$296*Entrant_age_breakdowns!$K83*$H$31</f>
        <v>32.667591934539921</v>
      </c>
      <c r="J326" s="459">
        <f>J$296*Entrant_age_breakdowns!$K83*$H$31</f>
        <v>32.636983238046945</v>
      </c>
      <c r="K326" s="459">
        <f>K$296*Entrant_age_breakdowns!$K83*$H$31</f>
        <v>33.155858209891655</v>
      </c>
      <c r="L326" s="459">
        <f>L$296*Entrant_age_breakdowns!$K83*$H$31</f>
        <v>32.837977116401255</v>
      </c>
      <c r="M326" s="459">
        <f>M$296*Entrant_age_breakdowns!$K83*$H$31</f>
        <v>32.700898226351832</v>
      </c>
      <c r="N326" s="459">
        <f>N$296*Entrant_age_breakdowns!$K83*$H$31</f>
        <v>32.356660087934415</v>
      </c>
    </row>
    <row r="327" spans="1:14">
      <c r="B327" s="338" t="str">
        <f t="shared" si="145"/>
        <v>60-64</v>
      </c>
      <c r="C327" s="459">
        <f>C$296*Entrant_age_breakdowns!$K84*$H$31</f>
        <v>15.63199338209273</v>
      </c>
      <c r="D327" s="459">
        <f>D$296*Entrant_age_breakdowns!$K84*$H$31</f>
        <v>14.869046305985611</v>
      </c>
      <c r="E327" s="459">
        <f>E$296*Entrant_age_breakdowns!$K84*$H$31</f>
        <v>10.510954683694864</v>
      </c>
      <c r="F327" s="459">
        <f>F$296*Entrant_age_breakdowns!$K84*$H$31</f>
        <v>10.179183105295934</v>
      </c>
      <c r="G327" s="459">
        <f>G$296*Entrant_age_breakdowns!$K84*$H$31</f>
        <v>12.98572874507267</v>
      </c>
      <c r="H327" s="459">
        <f>H$296*Entrant_age_breakdowns!$K84*$H$31</f>
        <v>15.145670956451282</v>
      </c>
      <c r="I327" s="459">
        <f>I$296*Entrant_age_breakdowns!$K84*$H$31</f>
        <v>15.991979888135797</v>
      </c>
      <c r="J327" s="459">
        <f>J$296*Entrant_age_breakdowns!$K84*$H$31</f>
        <v>15.976995812795973</v>
      </c>
      <c r="K327" s="459">
        <f>K$296*Entrant_age_breakdowns!$K84*$H$31</f>
        <v>16.231004070607721</v>
      </c>
      <c r="L327" s="459">
        <f>L$296*Entrant_age_breakdowns!$K84*$H$31</f>
        <v>16.07538966033519</v>
      </c>
      <c r="M327" s="459">
        <f>M$296*Entrant_age_breakdowns!$K84*$H$31</f>
        <v>16.008284534951265</v>
      </c>
      <c r="N327" s="459">
        <f>N$296*Entrant_age_breakdowns!$K84*$H$31</f>
        <v>15.839767388130898</v>
      </c>
    </row>
    <row r="328" spans="1:14">
      <c r="B328" s="338" t="str">
        <f t="shared" si="145"/>
        <v>65 plus</v>
      </c>
      <c r="C328" s="459">
        <f>C$296*Entrant_age_breakdowns!$K85*$H$31</f>
        <v>3.9206148966940142</v>
      </c>
      <c r="D328" s="459">
        <f>D$296*Entrant_age_breakdowns!$K85*$H$31</f>
        <v>3.7292623545798831</v>
      </c>
      <c r="E328" s="459">
        <f>E$296*Entrant_age_breakdowns!$K85*$H$31</f>
        <v>2.636222041814408</v>
      </c>
      <c r="F328" s="459">
        <f>F$296*Entrant_age_breakdowns!$K85*$H$31</f>
        <v>2.5530113750250645</v>
      </c>
      <c r="G328" s="459">
        <f>G$296*Entrant_age_breakdowns!$K85*$H$31</f>
        <v>3.2569129424454593</v>
      </c>
      <c r="H328" s="459">
        <f>H$296*Entrant_age_breakdowns!$K85*$H$31</f>
        <v>3.7986417804086381</v>
      </c>
      <c r="I328" s="459">
        <f>I$296*Entrant_age_breakdowns!$K85*$H$31</f>
        <v>4.0109020676071028</v>
      </c>
      <c r="J328" s="459">
        <f>J$296*Entrant_age_breakdowns!$K85*$H$31</f>
        <v>4.0071439551543557</v>
      </c>
      <c r="K328" s="459">
        <f>K$296*Entrant_age_breakdowns!$K85*$H$31</f>
        <v>4.070851029173518</v>
      </c>
      <c r="L328" s="459">
        <f>L$296*Entrant_age_breakdowns!$K85*$H$31</f>
        <v>4.0318218305203484</v>
      </c>
      <c r="M328" s="459">
        <f>M$296*Entrant_age_breakdowns!$K85*$H$31</f>
        <v>4.0149913887594062</v>
      </c>
      <c r="N328" s="459">
        <f>N$296*Entrant_age_breakdowns!$K85*$H$31</f>
        <v>3.9727260921959391</v>
      </c>
    </row>
    <row r="329" spans="1:14">
      <c r="B329" s="338" t="str">
        <f t="shared" si="145"/>
        <v>Total</v>
      </c>
      <c r="C329" s="459">
        <f>C$296*Entrant_age_breakdowns!$K86*$H$31</f>
        <v>979.89425437807836</v>
      </c>
      <c r="D329" s="459">
        <f>D$296*Entrant_age_breakdowns!$K86*$H$31</f>
        <v>932.06878273168263</v>
      </c>
      <c r="E329" s="459">
        <f>E$296*Entrant_age_breakdowns!$K86*$H$31</f>
        <v>658.88104292442392</v>
      </c>
      <c r="F329" s="459">
        <f>F$296*Entrant_age_breakdowns!$K86*$H$31</f>
        <v>638.08388318333289</v>
      </c>
      <c r="G329" s="459">
        <f>G$296*Entrant_age_breakdowns!$K86*$H$31</f>
        <v>814.01269020403436</v>
      </c>
      <c r="H329" s="459">
        <f>H$296*Entrant_age_breakdowns!$K86*$H$31</f>
        <v>949.40904759650618</v>
      </c>
      <c r="I329" s="459">
        <f>I$296*Entrant_age_breakdowns!$K86*$H$31</f>
        <v>1002.4600718207425</v>
      </c>
      <c r="J329" s="459">
        <f>J$296*Entrant_age_breakdowns!$K86*$H$31</f>
        <v>1001.5207924227944</v>
      </c>
      <c r="K329" s="459">
        <f>K$296*Entrant_age_breakdowns!$K86*$H$31</f>
        <v>1017.4433447365286</v>
      </c>
      <c r="L329" s="459">
        <f>L$296*Entrant_age_breakdowns!$K86*$H$31</f>
        <v>1007.6886280604606</v>
      </c>
      <c r="M329" s="459">
        <f>M$296*Entrant_age_breakdowns!$K86*$H$31</f>
        <v>1003.4821314738923</v>
      </c>
      <c r="N329" s="459">
        <f>N$296*Entrant_age_breakdowns!$K86*$H$31</f>
        <v>992.91860448809996</v>
      </c>
    </row>
    <row r="330" spans="1:14">
      <c r="A330" s="309">
        <f>SUM(C330:N330)</f>
        <v>0</v>
      </c>
      <c r="C330" s="309">
        <f>SUM(C319:C328)-C329</f>
        <v>0</v>
      </c>
      <c r="D330" s="309">
        <f t="shared" ref="D330:N330" si="147">SUM(D319:D328)-D329</f>
        <v>0</v>
      </c>
      <c r="E330" s="309">
        <f t="shared" si="147"/>
        <v>0</v>
      </c>
      <c r="F330" s="309">
        <f t="shared" si="147"/>
        <v>0</v>
      </c>
      <c r="G330" s="309">
        <f t="shared" si="147"/>
        <v>0</v>
      </c>
      <c r="H330" s="309">
        <f t="shared" si="147"/>
        <v>0</v>
      </c>
      <c r="I330" s="309">
        <f t="shared" si="147"/>
        <v>0</v>
      </c>
      <c r="J330" s="309">
        <f t="shared" si="147"/>
        <v>0</v>
      </c>
      <c r="K330" s="309">
        <f t="shared" si="147"/>
        <v>0</v>
      </c>
      <c r="L330" s="309">
        <f t="shared" si="147"/>
        <v>0</v>
      </c>
      <c r="M330" s="309">
        <f t="shared" si="147"/>
        <v>0</v>
      </c>
      <c r="N330" s="309">
        <f t="shared" si="147"/>
        <v>0</v>
      </c>
    </row>
    <row r="331" spans="1:14">
      <c r="C331" s="329">
        <f>C296</f>
        <v>1500.072456160216</v>
      </c>
      <c r="D331" s="329">
        <f t="shared" ref="D331:N331" si="148">D296</f>
        <v>1426.8587676432212</v>
      </c>
      <c r="E331" s="329">
        <f t="shared" si="148"/>
        <v>1008.6489434559915</v>
      </c>
      <c r="F331" s="329">
        <f t="shared" si="148"/>
        <v>976.81158309329089</v>
      </c>
      <c r="G331" s="329">
        <f t="shared" si="148"/>
        <v>1246.1324373362588</v>
      </c>
      <c r="H331" s="329">
        <f t="shared" si="148"/>
        <v>1453.4041357684314</v>
      </c>
      <c r="I331" s="329">
        <f t="shared" si="148"/>
        <v>1534.617368578306</v>
      </c>
      <c r="J331" s="329">
        <f t="shared" si="148"/>
        <v>1533.1794714305215</v>
      </c>
      <c r="K331" s="329">
        <f t="shared" si="148"/>
        <v>1557.5545323627464</v>
      </c>
      <c r="L331" s="329">
        <f t="shared" si="148"/>
        <v>1542.6215110310686</v>
      </c>
      <c r="M331" s="329">
        <f t="shared" si="148"/>
        <v>1536.1819899927011</v>
      </c>
      <c r="N331" s="329">
        <f t="shared" si="148"/>
        <v>1520.0108002949419</v>
      </c>
    </row>
    <row r="332" spans="1:14">
      <c r="C332" s="329">
        <f>C313+C329</f>
        <v>1500.072456160216</v>
      </c>
      <c r="D332" s="329">
        <f t="shared" ref="D332:N332" si="149">D313+D329</f>
        <v>1426.8587676432212</v>
      </c>
      <c r="E332" s="329">
        <f t="shared" si="149"/>
        <v>1008.6489434559915</v>
      </c>
      <c r="F332" s="329">
        <f t="shared" si="149"/>
        <v>976.81158309329089</v>
      </c>
      <c r="G332" s="329">
        <f t="shared" si="149"/>
        <v>1246.1324373362588</v>
      </c>
      <c r="H332" s="329">
        <f t="shared" si="149"/>
        <v>1453.4041357684314</v>
      </c>
      <c r="I332" s="329">
        <f t="shared" si="149"/>
        <v>1534.617368578306</v>
      </c>
      <c r="J332" s="329">
        <f t="shared" si="149"/>
        <v>1533.1794714305215</v>
      </c>
      <c r="K332" s="329">
        <f t="shared" si="149"/>
        <v>1557.5545323627464</v>
      </c>
      <c r="L332" s="329">
        <f t="shared" si="149"/>
        <v>1542.6215110310686</v>
      </c>
      <c r="M332" s="329">
        <f t="shared" si="149"/>
        <v>1536.1819899927011</v>
      </c>
      <c r="N332" s="329">
        <f t="shared" si="149"/>
        <v>1520.0108002949419</v>
      </c>
    </row>
    <row r="333" spans="1:14">
      <c r="A333" s="309">
        <f>SUM(C333:L333)</f>
        <v>0</v>
      </c>
      <c r="C333" s="329">
        <f>C331-C332</f>
        <v>0</v>
      </c>
      <c r="D333" s="329">
        <f t="shared" ref="D333:K333" si="150">D331-D332</f>
        <v>0</v>
      </c>
      <c r="E333" s="329">
        <f t="shared" si="150"/>
        <v>0</v>
      </c>
      <c r="F333" s="329">
        <f t="shared" si="150"/>
        <v>0</v>
      </c>
      <c r="G333" s="329">
        <f t="shared" si="150"/>
        <v>0</v>
      </c>
      <c r="H333" s="329">
        <f t="shared" si="150"/>
        <v>0</v>
      </c>
      <c r="I333" s="329">
        <f t="shared" si="150"/>
        <v>0</v>
      </c>
      <c r="J333" s="329">
        <f t="shared" si="150"/>
        <v>0</v>
      </c>
      <c r="K333" s="329">
        <f t="shared" si="150"/>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5">
      <c r="B337" s="341" t="s">
        <v>49</v>
      </c>
      <c r="C337" s="329"/>
      <c r="D337" s="329"/>
      <c r="E337" s="329"/>
      <c r="F337" s="329"/>
      <c r="G337" s="329"/>
      <c r="H337" s="339"/>
      <c r="I337" s="329"/>
      <c r="J337" s="329"/>
      <c r="K337" s="329"/>
      <c r="L337" s="329"/>
    </row>
    <row r="338" spans="1:15">
      <c r="C338" s="329"/>
      <c r="D338" s="329"/>
      <c r="E338" s="329"/>
      <c r="F338" s="329"/>
      <c r="G338" s="329"/>
      <c r="H338" s="339"/>
      <c r="I338" s="329"/>
      <c r="J338" s="329"/>
      <c r="K338" s="329"/>
      <c r="L338" s="329"/>
    </row>
    <row r="339" spans="1:15">
      <c r="B339" s="338" t="str">
        <f>B318</f>
        <v>Age group</v>
      </c>
      <c r="C339" s="338" t="str">
        <f t="shared" ref="C339:N339" si="151">C318</f>
        <v>2016/17</v>
      </c>
      <c r="D339" s="338" t="str">
        <f t="shared" si="151"/>
        <v>2017/18</v>
      </c>
      <c r="E339" s="338" t="str">
        <f t="shared" si="151"/>
        <v>2018/19</v>
      </c>
      <c r="F339" s="338" t="str">
        <f t="shared" si="151"/>
        <v>2019/20</v>
      </c>
      <c r="G339" s="338" t="str">
        <f t="shared" si="151"/>
        <v>2020/21</v>
      </c>
      <c r="H339" s="338" t="str">
        <f t="shared" si="151"/>
        <v>2021/22</v>
      </c>
      <c r="I339" s="338" t="str">
        <f t="shared" si="151"/>
        <v>2022/23</v>
      </c>
      <c r="J339" s="338" t="str">
        <f t="shared" si="151"/>
        <v>2023/24</v>
      </c>
      <c r="K339" s="338" t="str">
        <f t="shared" si="151"/>
        <v>2024/25</v>
      </c>
      <c r="L339" s="338" t="str">
        <f t="shared" si="151"/>
        <v>2025/26</v>
      </c>
      <c r="M339" s="338" t="str">
        <f t="shared" si="151"/>
        <v>2026/27</v>
      </c>
      <c r="N339" s="338" t="str">
        <f t="shared" si="151"/>
        <v>2027/28</v>
      </c>
    </row>
    <row r="340" spans="1:15">
      <c r="B340" s="338" t="str">
        <f t="shared" ref="B340:B350" si="152">B319</f>
        <v>20-24</v>
      </c>
      <c r="C340" s="459">
        <f t="shared" ref="C340:N340" si="153">C303+C247</f>
        <v>220.71941518713578</v>
      </c>
      <c r="D340" s="459">
        <f t="shared" si="153"/>
        <v>285.04568982043588</v>
      </c>
      <c r="E340" s="459">
        <f t="shared" si="153"/>
        <v>293.48771018913237</v>
      </c>
      <c r="F340" s="459">
        <f t="shared" si="153"/>
        <v>296.65791880630735</v>
      </c>
      <c r="G340" s="459">
        <f t="shared" si="153"/>
        <v>323.0172041588109</v>
      </c>
      <c r="H340" s="459">
        <f t="shared" si="153"/>
        <v>360.35775837622612</v>
      </c>
      <c r="I340" s="459">
        <f t="shared" si="153"/>
        <v>394.2480118698254</v>
      </c>
      <c r="J340" s="459">
        <f t="shared" si="153"/>
        <v>418.2825857098394</v>
      </c>
      <c r="K340" s="459">
        <f t="shared" si="153"/>
        <v>437.59996651503889</v>
      </c>
      <c r="L340" s="459">
        <f t="shared" si="153"/>
        <v>450.0367518029318</v>
      </c>
      <c r="M340" s="459">
        <f t="shared" si="153"/>
        <v>458.32777962337695</v>
      </c>
      <c r="N340" s="459">
        <f t="shared" si="153"/>
        <v>462.79215020010042</v>
      </c>
      <c r="O340" s="327"/>
    </row>
    <row r="341" spans="1:15">
      <c r="B341" s="338" t="str">
        <f t="shared" si="152"/>
        <v>25-29</v>
      </c>
      <c r="C341" s="459">
        <f t="shared" ref="C341:N341" si="154">C304+C248</f>
        <v>597.26858141928915</v>
      </c>
      <c r="D341" s="459">
        <f t="shared" si="154"/>
        <v>609.95668712827808</v>
      </c>
      <c r="E341" s="459">
        <f t="shared" si="154"/>
        <v>592.33836489641681</v>
      </c>
      <c r="F341" s="459">
        <f t="shared" si="154"/>
        <v>578.03269839178677</v>
      </c>
      <c r="G341" s="459">
        <f t="shared" si="154"/>
        <v>593.05166352405752</v>
      </c>
      <c r="H341" s="459">
        <f t="shared" si="154"/>
        <v>628.05786209733833</v>
      </c>
      <c r="I341" s="459">
        <f t="shared" si="154"/>
        <v>668.05344017011498</v>
      </c>
      <c r="J341" s="459">
        <f t="shared" si="154"/>
        <v>703.42509401547636</v>
      </c>
      <c r="K341" s="459">
        <f t="shared" si="154"/>
        <v>735.99288128153069</v>
      </c>
      <c r="L341" s="459">
        <f t="shared" si="154"/>
        <v>762.00603395017174</v>
      </c>
      <c r="M341" s="459">
        <f t="shared" si="154"/>
        <v>782.74343110784957</v>
      </c>
      <c r="N341" s="459">
        <f t="shared" si="154"/>
        <v>797.95653118910036</v>
      </c>
      <c r="O341" s="327"/>
    </row>
    <row r="342" spans="1:15">
      <c r="B342" s="338" t="str">
        <f t="shared" si="152"/>
        <v>30-34</v>
      </c>
      <c r="C342" s="459">
        <f t="shared" ref="C342:N342" si="155">C305+C249</f>
        <v>838.35905709814722</v>
      </c>
      <c r="D342" s="459">
        <f t="shared" si="155"/>
        <v>806.27272082355819</v>
      </c>
      <c r="E342" s="459">
        <f t="shared" si="155"/>
        <v>765.37965874119675</v>
      </c>
      <c r="F342" s="459">
        <f t="shared" si="155"/>
        <v>729.94501544214654</v>
      </c>
      <c r="G342" s="459">
        <f t="shared" si="155"/>
        <v>713.05702107884611</v>
      </c>
      <c r="H342" s="459">
        <f t="shared" si="155"/>
        <v>712.7270603105851</v>
      </c>
      <c r="I342" s="459">
        <f t="shared" si="155"/>
        <v>722.77312029975906</v>
      </c>
      <c r="J342" s="459">
        <f t="shared" si="155"/>
        <v>737.74042374153248</v>
      </c>
      <c r="K342" s="459">
        <f t="shared" si="155"/>
        <v>756.71716177350504</v>
      </c>
      <c r="L342" s="459">
        <f t="shared" si="155"/>
        <v>776.36981729522824</v>
      </c>
      <c r="M342" s="459">
        <f t="shared" si="155"/>
        <v>795.69053087365637</v>
      </c>
      <c r="N342" s="459">
        <f t="shared" si="155"/>
        <v>813.32615080108587</v>
      </c>
      <c r="O342" s="327"/>
    </row>
    <row r="343" spans="1:15">
      <c r="B343" s="338" t="str">
        <f t="shared" si="152"/>
        <v>35-39</v>
      </c>
      <c r="C343" s="459">
        <f t="shared" ref="C343:N343" si="156">C306+C250</f>
        <v>811.59640793857409</v>
      </c>
      <c r="D343" s="459">
        <f t="shared" si="156"/>
        <v>812.36364571344507</v>
      </c>
      <c r="E343" s="459">
        <f t="shared" si="156"/>
        <v>793.2005210561174</v>
      </c>
      <c r="F343" s="459">
        <f t="shared" si="156"/>
        <v>770.12603895041116</v>
      </c>
      <c r="G343" s="459">
        <f t="shared" si="156"/>
        <v>755.02582680143837</v>
      </c>
      <c r="H343" s="459">
        <f t="shared" si="156"/>
        <v>747.34311810033989</v>
      </c>
      <c r="I343" s="459">
        <f t="shared" si="156"/>
        <v>744.18716980499335</v>
      </c>
      <c r="J343" s="459">
        <f t="shared" si="156"/>
        <v>743.65687837859457</v>
      </c>
      <c r="K343" s="459">
        <f t="shared" si="156"/>
        <v>746.86436387502658</v>
      </c>
      <c r="L343" s="459">
        <f t="shared" si="156"/>
        <v>752.33529479707806</v>
      </c>
      <c r="M343" s="459">
        <f t="shared" si="156"/>
        <v>759.90844479793475</v>
      </c>
      <c r="N343" s="459">
        <f t="shared" si="156"/>
        <v>768.67594696743754</v>
      </c>
      <c r="O343" s="327"/>
    </row>
    <row r="344" spans="1:15">
      <c r="B344" s="338" t="str">
        <f t="shared" si="152"/>
        <v>40-44</v>
      </c>
      <c r="C344" s="459">
        <f t="shared" ref="C344:N344" si="157">C307+C251</f>
        <v>747.285258060361</v>
      </c>
      <c r="D344" s="459">
        <f t="shared" si="157"/>
        <v>747.21872416078804</v>
      </c>
      <c r="E344" s="459">
        <f t="shared" si="157"/>
        <v>735.3873345736564</v>
      </c>
      <c r="F344" s="459">
        <f t="shared" si="157"/>
        <v>722.11969937802417</v>
      </c>
      <c r="G344" s="459">
        <f t="shared" si="157"/>
        <v>715.64402257671281</v>
      </c>
      <c r="H344" s="459">
        <f t="shared" si="157"/>
        <v>713.93182577630444</v>
      </c>
      <c r="I344" s="459">
        <f t="shared" si="157"/>
        <v>713.54616505382478</v>
      </c>
      <c r="J344" s="459">
        <f t="shared" si="157"/>
        <v>712.63172596760307</v>
      </c>
      <c r="K344" s="459">
        <f t="shared" si="157"/>
        <v>712.54820641129675</v>
      </c>
      <c r="L344" s="459">
        <f t="shared" si="157"/>
        <v>712.65656588216211</v>
      </c>
      <c r="M344" s="459">
        <f t="shared" si="157"/>
        <v>713.57054061509587</v>
      </c>
      <c r="N344" s="459">
        <f t="shared" si="157"/>
        <v>715.19685944828507</v>
      </c>
      <c r="O344" s="327"/>
    </row>
    <row r="345" spans="1:15">
      <c r="B345" s="338" t="str">
        <f t="shared" si="152"/>
        <v>45-49</v>
      </c>
      <c r="C345" s="459">
        <f t="shared" ref="C345:N345" si="158">C308+C252</f>
        <v>665.27826910360136</v>
      </c>
      <c r="D345" s="459">
        <f t="shared" si="158"/>
        <v>660.23745299015343</v>
      </c>
      <c r="E345" s="459">
        <f t="shared" si="158"/>
        <v>647.02199512978768</v>
      </c>
      <c r="F345" s="459">
        <f t="shared" si="158"/>
        <v>634.3824517762979</v>
      </c>
      <c r="G345" s="459">
        <f t="shared" si="158"/>
        <v>628.73578375827958</v>
      </c>
      <c r="H345" s="459">
        <f t="shared" si="158"/>
        <v>628.08505581101417</v>
      </c>
      <c r="I345" s="459">
        <f t="shared" si="158"/>
        <v>629.13284400901296</v>
      </c>
      <c r="J345" s="459">
        <f t="shared" si="158"/>
        <v>629.80123082330908</v>
      </c>
      <c r="K345" s="459">
        <f t="shared" si="158"/>
        <v>630.678331775061</v>
      </c>
      <c r="L345" s="459">
        <f t="shared" si="158"/>
        <v>630.97041080799477</v>
      </c>
      <c r="M345" s="459">
        <f t="shared" si="158"/>
        <v>631.05947927656598</v>
      </c>
      <c r="N345" s="459">
        <f t="shared" si="158"/>
        <v>630.92655843725856</v>
      </c>
      <c r="O345" s="327"/>
    </row>
    <row r="346" spans="1:15">
      <c r="B346" s="338" t="str">
        <f t="shared" si="152"/>
        <v>50-54</v>
      </c>
      <c r="C346" s="459">
        <f t="shared" ref="C346:N346" si="159">C309+C253</f>
        <v>543.99485687205356</v>
      </c>
      <c r="D346" s="459">
        <f t="shared" si="159"/>
        <v>529.61327885074138</v>
      </c>
      <c r="E346" s="459">
        <f t="shared" si="159"/>
        <v>511.53077473675012</v>
      </c>
      <c r="F346" s="459">
        <f t="shared" si="159"/>
        <v>495.76963150860922</v>
      </c>
      <c r="G346" s="459">
        <f t="shared" si="159"/>
        <v>486.76308392832709</v>
      </c>
      <c r="H346" s="459">
        <f t="shared" si="159"/>
        <v>482.78287898240194</v>
      </c>
      <c r="I346" s="459">
        <f t="shared" si="159"/>
        <v>481.18003438555627</v>
      </c>
      <c r="J346" s="459">
        <f t="shared" si="159"/>
        <v>480.20109723698226</v>
      </c>
      <c r="K346" s="459">
        <f t="shared" si="159"/>
        <v>480.02743130505752</v>
      </c>
      <c r="L346" s="459">
        <f t="shared" si="159"/>
        <v>479.81205866535504</v>
      </c>
      <c r="M346" s="459">
        <f t="shared" si="159"/>
        <v>479.60378282595263</v>
      </c>
      <c r="N346" s="459">
        <f t="shared" si="159"/>
        <v>479.20288624076795</v>
      </c>
      <c r="O346" s="327"/>
    </row>
    <row r="347" spans="1:15">
      <c r="B347" s="338" t="str">
        <f t="shared" si="152"/>
        <v>55-59</v>
      </c>
      <c r="C347" s="459">
        <f t="shared" ref="C347:N347" si="160">C310+C254</f>
        <v>366.01018759961636</v>
      </c>
      <c r="D347" s="459">
        <f t="shared" si="160"/>
        <v>313.50832620738373</v>
      </c>
      <c r="E347" s="459">
        <f t="shared" si="160"/>
        <v>275.55105013315978</v>
      </c>
      <c r="F347" s="459">
        <f t="shared" si="160"/>
        <v>250.02784971572956</v>
      </c>
      <c r="G347" s="459">
        <f t="shared" si="160"/>
        <v>235.61742004587677</v>
      </c>
      <c r="H347" s="459">
        <f t="shared" si="160"/>
        <v>228.08923253902515</v>
      </c>
      <c r="I347" s="459">
        <f t="shared" si="160"/>
        <v>223.95789616576425</v>
      </c>
      <c r="J347" s="459">
        <f t="shared" si="160"/>
        <v>221.25691380984011</v>
      </c>
      <c r="K347" s="459">
        <f t="shared" si="160"/>
        <v>219.78735007792889</v>
      </c>
      <c r="L347" s="459">
        <f t="shared" si="160"/>
        <v>218.72233010068749</v>
      </c>
      <c r="M347" s="459">
        <f t="shared" si="160"/>
        <v>217.98675971855891</v>
      </c>
      <c r="N347" s="459">
        <f t="shared" si="160"/>
        <v>217.33743179641226</v>
      </c>
      <c r="O347" s="327"/>
    </row>
    <row r="348" spans="1:15">
      <c r="B348" s="338" t="str">
        <f t="shared" si="152"/>
        <v>60-64</v>
      </c>
      <c r="C348" s="459">
        <f t="shared" ref="C348:N348" si="161">C311+C255</f>
        <v>142.90689972068861</v>
      </c>
      <c r="D348" s="459">
        <f t="shared" si="161"/>
        <v>120.80597446849161</v>
      </c>
      <c r="E348" s="459">
        <f t="shared" si="161"/>
        <v>101.52427029601003</v>
      </c>
      <c r="F348" s="459">
        <f t="shared" si="161"/>
        <v>87.4894304922705</v>
      </c>
      <c r="G348" s="459">
        <f t="shared" si="161"/>
        <v>79.145276472498054</v>
      </c>
      <c r="H348" s="459">
        <f t="shared" si="161"/>
        <v>74.537247461611614</v>
      </c>
      <c r="I348" s="459">
        <f t="shared" si="161"/>
        <v>71.860306100085495</v>
      </c>
      <c r="J348" s="459">
        <f t="shared" si="161"/>
        <v>70.06538949668564</v>
      </c>
      <c r="K348" s="459">
        <f t="shared" si="161"/>
        <v>69.010377335733153</v>
      </c>
      <c r="L348" s="459">
        <f t="shared" si="161"/>
        <v>68.24261165741656</v>
      </c>
      <c r="M348" s="459">
        <f t="shared" si="161"/>
        <v>67.70891123959349</v>
      </c>
      <c r="N348" s="459">
        <f t="shared" si="161"/>
        <v>67.27379619774976</v>
      </c>
      <c r="O348" s="327"/>
    </row>
    <row r="349" spans="1:15">
      <c r="B349" s="338" t="str">
        <f t="shared" si="152"/>
        <v>65 plus</v>
      </c>
      <c r="C349" s="459">
        <f t="shared" ref="C349:N349" si="162">C312+C256</f>
        <v>34.147615082604069</v>
      </c>
      <c r="D349" s="459">
        <f t="shared" si="162"/>
        <v>35.687597819403294</v>
      </c>
      <c r="E349" s="459">
        <f t="shared" si="162"/>
        <v>33.559656743110395</v>
      </c>
      <c r="F349" s="459">
        <f t="shared" si="162"/>
        <v>30.299783775881227</v>
      </c>
      <c r="G349" s="459">
        <f t="shared" si="162"/>
        <v>27.413386681428172</v>
      </c>
      <c r="H349" s="459">
        <f t="shared" si="162"/>
        <v>25.253177001349258</v>
      </c>
      <c r="I349" s="459">
        <f t="shared" si="162"/>
        <v>23.709818123661183</v>
      </c>
      <c r="J349" s="459">
        <f t="shared" si="162"/>
        <v>22.590792160844455</v>
      </c>
      <c r="K349" s="459">
        <f t="shared" si="162"/>
        <v>21.830391353497667</v>
      </c>
      <c r="L349" s="459">
        <f t="shared" si="162"/>
        <v>21.287681557194048</v>
      </c>
      <c r="M349" s="459">
        <f t="shared" si="162"/>
        <v>20.904604787458972</v>
      </c>
      <c r="N349" s="459">
        <f t="shared" si="162"/>
        <v>20.618961297866541</v>
      </c>
      <c r="O349" s="327"/>
    </row>
    <row r="350" spans="1:15">
      <c r="B350" s="338" t="str">
        <f t="shared" si="152"/>
        <v>Total</v>
      </c>
      <c r="C350" s="459">
        <f t="shared" ref="C350:N350" si="163">SUM(C340:C349)</f>
        <v>4967.5665480820708</v>
      </c>
      <c r="D350" s="459">
        <f t="shared" si="163"/>
        <v>4920.7100979826782</v>
      </c>
      <c r="E350" s="459">
        <f t="shared" si="163"/>
        <v>4748.9813364953379</v>
      </c>
      <c r="F350" s="459">
        <f t="shared" si="163"/>
        <v>4594.8505182374647</v>
      </c>
      <c r="G350" s="459">
        <f t="shared" si="163"/>
        <v>4557.4706890262751</v>
      </c>
      <c r="H350" s="459">
        <f t="shared" si="163"/>
        <v>4601.1652164561956</v>
      </c>
      <c r="I350" s="459">
        <f t="shared" si="163"/>
        <v>4672.6488059825988</v>
      </c>
      <c r="J350" s="459">
        <f t="shared" si="163"/>
        <v>4739.6521313407065</v>
      </c>
      <c r="K350" s="459">
        <f t="shared" si="163"/>
        <v>4811.0564617036753</v>
      </c>
      <c r="L350" s="459">
        <f t="shared" si="163"/>
        <v>4872.4395565162213</v>
      </c>
      <c r="M350" s="459">
        <f t="shared" si="163"/>
        <v>4927.5042648660428</v>
      </c>
      <c r="N350" s="459">
        <f t="shared" si="163"/>
        <v>4973.3072725760649</v>
      </c>
      <c r="O350" s="327"/>
    </row>
    <row r="351" spans="1:15">
      <c r="A351" s="309">
        <f>SUM(C351:N351)</f>
        <v>0</v>
      </c>
      <c r="C351" s="309">
        <f>SUM(C340:C349)-C350</f>
        <v>0</v>
      </c>
      <c r="D351" s="309">
        <f t="shared" ref="D351:N351" si="164">SUM(D340:D349)-D350</f>
        <v>0</v>
      </c>
      <c r="E351" s="309">
        <f t="shared" si="164"/>
        <v>0</v>
      </c>
      <c r="F351" s="309">
        <f t="shared" si="164"/>
        <v>0</v>
      </c>
      <c r="G351" s="309">
        <f t="shared" si="164"/>
        <v>0</v>
      </c>
      <c r="H351" s="309">
        <f t="shared" si="164"/>
        <v>0</v>
      </c>
      <c r="I351" s="309">
        <f t="shared" si="164"/>
        <v>0</v>
      </c>
      <c r="J351" s="309">
        <f t="shared" si="164"/>
        <v>0</v>
      </c>
      <c r="K351" s="309">
        <f t="shared" si="164"/>
        <v>0</v>
      </c>
      <c r="L351" s="309">
        <f t="shared" si="164"/>
        <v>0</v>
      </c>
      <c r="M351" s="309">
        <f t="shared" si="164"/>
        <v>0</v>
      </c>
      <c r="N351" s="309">
        <f t="shared" si="164"/>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5">B339</f>
        <v>Age group</v>
      </c>
      <c r="C355" s="338" t="str">
        <f t="shared" ref="C355:N355" si="166">C339</f>
        <v>2016/17</v>
      </c>
      <c r="D355" s="338" t="str">
        <f t="shared" si="166"/>
        <v>2017/18</v>
      </c>
      <c r="E355" s="338" t="str">
        <f t="shared" si="166"/>
        <v>2018/19</v>
      </c>
      <c r="F355" s="338" t="str">
        <f t="shared" si="166"/>
        <v>2019/20</v>
      </c>
      <c r="G355" s="338" t="str">
        <f t="shared" si="166"/>
        <v>2020/21</v>
      </c>
      <c r="H355" s="338" t="str">
        <f t="shared" si="166"/>
        <v>2021/22</v>
      </c>
      <c r="I355" s="338" t="str">
        <f t="shared" si="166"/>
        <v>2022/23</v>
      </c>
      <c r="J355" s="338" t="str">
        <f t="shared" si="166"/>
        <v>2023/24</v>
      </c>
      <c r="K355" s="338" t="str">
        <f t="shared" si="166"/>
        <v>2024/25</v>
      </c>
      <c r="L355" s="338" t="str">
        <f t="shared" si="166"/>
        <v>2025/26</v>
      </c>
      <c r="M355" s="338" t="str">
        <f t="shared" si="166"/>
        <v>2026/27</v>
      </c>
      <c r="N355" s="338" t="str">
        <f t="shared" si="166"/>
        <v>2027/28</v>
      </c>
    </row>
    <row r="356" spans="1:14">
      <c r="B356" s="338" t="str">
        <f t="shared" si="165"/>
        <v>20-24</v>
      </c>
      <c r="C356" s="459">
        <f t="shared" ref="C356:N356" si="167">C319+C263</f>
        <v>524.07840327133636</v>
      </c>
      <c r="D356" s="459">
        <f t="shared" si="167"/>
        <v>614.38626129354918</v>
      </c>
      <c r="E356" s="459">
        <f t="shared" si="167"/>
        <v>608.31770496644867</v>
      </c>
      <c r="F356" s="459">
        <f t="shared" si="167"/>
        <v>598.62191469919003</v>
      </c>
      <c r="G356" s="459">
        <f t="shared" si="167"/>
        <v>637.10183752948535</v>
      </c>
      <c r="H356" s="459">
        <f t="shared" si="167"/>
        <v>699.49098669967179</v>
      </c>
      <c r="I356" s="459">
        <f t="shared" si="167"/>
        <v>757.68836190581237</v>
      </c>
      <c r="J356" s="459">
        <f t="shared" si="167"/>
        <v>798.96364080434228</v>
      </c>
      <c r="K356" s="459">
        <f t="shared" si="167"/>
        <v>832.51784315071791</v>
      </c>
      <c r="L356" s="459">
        <f t="shared" si="167"/>
        <v>853.93808927803502</v>
      </c>
      <c r="M356" s="459">
        <f t="shared" si="167"/>
        <v>868.13371336707212</v>
      </c>
      <c r="N356" s="459">
        <f t="shared" si="167"/>
        <v>875.53496198777077</v>
      </c>
    </row>
    <row r="357" spans="1:14">
      <c r="B357" s="338" t="str">
        <f t="shared" si="165"/>
        <v>25-29</v>
      </c>
      <c r="C357" s="459">
        <f t="shared" ref="C357:N357" si="168">C320+C264</f>
        <v>1500.8137764878577</v>
      </c>
      <c r="D357" s="459">
        <f t="shared" si="168"/>
        <v>1434.3177873842669</v>
      </c>
      <c r="E357" s="459">
        <f t="shared" si="168"/>
        <v>1329.518861089394</v>
      </c>
      <c r="F357" s="459">
        <f t="shared" si="168"/>
        <v>1246.7244221538517</v>
      </c>
      <c r="G357" s="459">
        <f t="shared" si="168"/>
        <v>1231.7470383384775</v>
      </c>
      <c r="H357" s="459">
        <f t="shared" si="168"/>
        <v>1263.9794691052505</v>
      </c>
      <c r="I357" s="459">
        <f t="shared" si="168"/>
        <v>1312.8853654012398</v>
      </c>
      <c r="J357" s="459">
        <f t="shared" si="168"/>
        <v>1358.7391392867692</v>
      </c>
      <c r="K357" s="459">
        <f t="shared" si="168"/>
        <v>1403.8004786632969</v>
      </c>
      <c r="L357" s="459">
        <f t="shared" si="168"/>
        <v>1440.0326754266798</v>
      </c>
      <c r="M357" s="459">
        <f t="shared" si="168"/>
        <v>1469.1262082089438</v>
      </c>
      <c r="N357" s="459">
        <f t="shared" si="168"/>
        <v>1490.0246332355237</v>
      </c>
    </row>
    <row r="358" spans="1:14">
      <c r="B358" s="338" t="str">
        <f t="shared" si="165"/>
        <v>30-34</v>
      </c>
      <c r="C358" s="459">
        <f t="shared" ref="C358:N358" si="169">C321+C265</f>
        <v>1816.7033383487474</v>
      </c>
      <c r="D358" s="459">
        <f t="shared" si="169"/>
        <v>1724.465547224675</v>
      </c>
      <c r="E358" s="459">
        <f t="shared" si="169"/>
        <v>1608.7674635705155</v>
      </c>
      <c r="F358" s="459">
        <f t="shared" si="169"/>
        <v>1502.3677618154136</v>
      </c>
      <c r="G358" s="459">
        <f t="shared" si="169"/>
        <v>1432.833864893121</v>
      </c>
      <c r="H358" s="459">
        <f t="shared" si="169"/>
        <v>1397.2428467337807</v>
      </c>
      <c r="I358" s="459">
        <f t="shared" si="169"/>
        <v>1384.1587221841892</v>
      </c>
      <c r="J358" s="459">
        <f t="shared" si="169"/>
        <v>1383.4078706035937</v>
      </c>
      <c r="K358" s="459">
        <f t="shared" si="169"/>
        <v>1393.3414821460324</v>
      </c>
      <c r="L358" s="459">
        <f t="shared" si="169"/>
        <v>1407.5336490729017</v>
      </c>
      <c r="M358" s="459">
        <f t="shared" si="169"/>
        <v>1423.9589566659863</v>
      </c>
      <c r="N358" s="459">
        <f t="shared" si="169"/>
        <v>1439.8698645196653</v>
      </c>
    </row>
    <row r="359" spans="1:14">
      <c r="B359" s="338" t="str">
        <f t="shared" si="165"/>
        <v>35-39</v>
      </c>
      <c r="C359" s="459">
        <f t="shared" ref="C359:N359" si="170">C322+C266</f>
        <v>1560.7789215489374</v>
      </c>
      <c r="D359" s="459">
        <f t="shared" si="170"/>
        <v>1570.9471866742917</v>
      </c>
      <c r="E359" s="459">
        <f t="shared" si="170"/>
        <v>1535.6065533925009</v>
      </c>
      <c r="F359" s="459">
        <f t="shared" si="170"/>
        <v>1486.347783024617</v>
      </c>
      <c r="G359" s="459">
        <f t="shared" si="170"/>
        <v>1447.1758420442459</v>
      </c>
      <c r="H359" s="459">
        <f t="shared" si="170"/>
        <v>1418.3725394611727</v>
      </c>
      <c r="I359" s="459">
        <f t="shared" si="170"/>
        <v>1395.6503626084414</v>
      </c>
      <c r="J359" s="459">
        <f t="shared" si="170"/>
        <v>1376.4339562389732</v>
      </c>
      <c r="K359" s="459">
        <f t="shared" si="170"/>
        <v>1363.6620365836809</v>
      </c>
      <c r="L359" s="459">
        <f t="shared" si="170"/>
        <v>1355.1678837066866</v>
      </c>
      <c r="M359" s="459">
        <f t="shared" si="170"/>
        <v>1351.130107317616</v>
      </c>
      <c r="N359" s="459">
        <f t="shared" si="170"/>
        <v>1350.1808204530391</v>
      </c>
    </row>
    <row r="360" spans="1:14">
      <c r="B360" s="338" t="str">
        <f t="shared" si="165"/>
        <v>40-44</v>
      </c>
      <c r="C360" s="459">
        <f t="shared" ref="C360:N360" si="171">C323+C267</f>
        <v>1307.8567918872134</v>
      </c>
      <c r="D360" s="459">
        <f t="shared" si="171"/>
        <v>1330.5102589712726</v>
      </c>
      <c r="E360" s="459">
        <f t="shared" si="171"/>
        <v>1326.6520199121624</v>
      </c>
      <c r="F360" s="459">
        <f t="shared" si="171"/>
        <v>1315.5689375242127</v>
      </c>
      <c r="G360" s="459">
        <f t="shared" si="171"/>
        <v>1312.7574888855709</v>
      </c>
      <c r="H360" s="459">
        <f t="shared" si="171"/>
        <v>1314.583218943156</v>
      </c>
      <c r="I360" s="459">
        <f t="shared" si="171"/>
        <v>1314.9763137846962</v>
      </c>
      <c r="J360" s="459">
        <f t="shared" si="171"/>
        <v>1310.9947379277078</v>
      </c>
      <c r="K360" s="459">
        <f t="shared" si="171"/>
        <v>1305.8164864953003</v>
      </c>
      <c r="L360" s="459">
        <f t="shared" si="171"/>
        <v>1298.8329378945164</v>
      </c>
      <c r="M360" s="459">
        <f t="shared" si="171"/>
        <v>1291.7622272841365</v>
      </c>
      <c r="N360" s="459">
        <f t="shared" si="171"/>
        <v>1284.9271096578998</v>
      </c>
    </row>
    <row r="361" spans="1:14">
      <c r="B361" s="338" t="str">
        <f t="shared" si="165"/>
        <v>45-49</v>
      </c>
      <c r="C361" s="459">
        <f t="shared" ref="C361:N361" si="172">C324+C268</f>
        <v>1046.9260996455421</v>
      </c>
      <c r="D361" s="459">
        <f t="shared" si="172"/>
        <v>1071.0939791800836</v>
      </c>
      <c r="E361" s="459">
        <f t="shared" si="172"/>
        <v>1075.1515271813957</v>
      </c>
      <c r="F361" s="459">
        <f t="shared" si="172"/>
        <v>1076.0647702502752</v>
      </c>
      <c r="G361" s="459">
        <f t="shared" si="172"/>
        <v>1086.2102519736718</v>
      </c>
      <c r="H361" s="459">
        <f t="shared" si="172"/>
        <v>1102.0117256827468</v>
      </c>
      <c r="I361" s="459">
        <f t="shared" si="172"/>
        <v>1117.4359925672279</v>
      </c>
      <c r="J361" s="459">
        <f t="shared" si="172"/>
        <v>1128.7869754431363</v>
      </c>
      <c r="K361" s="459">
        <f t="shared" si="172"/>
        <v>1137.4424096161317</v>
      </c>
      <c r="L361" s="459">
        <f t="shared" si="172"/>
        <v>1142.2159904793364</v>
      </c>
      <c r="M361" s="459">
        <f t="shared" si="172"/>
        <v>1144.1667687696329</v>
      </c>
      <c r="N361" s="459">
        <f t="shared" si="172"/>
        <v>1143.6102071752009</v>
      </c>
    </row>
    <row r="362" spans="1:14">
      <c r="B362" s="338" t="str">
        <f t="shared" si="165"/>
        <v>50-54</v>
      </c>
      <c r="C362" s="459">
        <f t="shared" ref="C362:N362" si="173">C325+C269</f>
        <v>822.18285232556025</v>
      </c>
      <c r="D362" s="459">
        <f t="shared" si="173"/>
        <v>814.25391657019236</v>
      </c>
      <c r="E362" s="459">
        <f t="shared" si="173"/>
        <v>799.83799168482665</v>
      </c>
      <c r="F362" s="459">
        <f t="shared" si="173"/>
        <v>789.32668860972421</v>
      </c>
      <c r="G362" s="459">
        <f t="shared" si="173"/>
        <v>790.44597556647693</v>
      </c>
      <c r="H362" s="459">
        <f t="shared" si="173"/>
        <v>799.52241692198322</v>
      </c>
      <c r="I362" s="459">
        <f t="shared" si="173"/>
        <v>811.31146606141192</v>
      </c>
      <c r="J362" s="459">
        <f t="shared" si="173"/>
        <v>822.37542670364144</v>
      </c>
      <c r="K362" s="459">
        <f t="shared" si="173"/>
        <v>833.0085557154091</v>
      </c>
      <c r="L362" s="459">
        <f t="shared" si="173"/>
        <v>841.62823482358044</v>
      </c>
      <c r="M362" s="459">
        <f t="shared" si="173"/>
        <v>848.39473076162744</v>
      </c>
      <c r="N362" s="459">
        <f t="shared" si="173"/>
        <v>853.03999626411348</v>
      </c>
    </row>
    <row r="363" spans="1:14">
      <c r="B363" s="338" t="str">
        <f t="shared" si="165"/>
        <v>55-59</v>
      </c>
      <c r="C363" s="459">
        <f t="shared" ref="C363:N363" si="174">C326+C270</f>
        <v>546.29822405408311</v>
      </c>
      <c r="D363" s="459">
        <f t="shared" si="174"/>
        <v>480.47267293230078</v>
      </c>
      <c r="E363" s="459">
        <f t="shared" si="174"/>
        <v>430.97637402592244</v>
      </c>
      <c r="F363" s="459">
        <f t="shared" si="174"/>
        <v>398.50963018439461</v>
      </c>
      <c r="G363" s="459">
        <f t="shared" si="174"/>
        <v>383.23297904292838</v>
      </c>
      <c r="H363" s="459">
        <f t="shared" si="174"/>
        <v>378.66719452604849</v>
      </c>
      <c r="I363" s="459">
        <f t="shared" si="174"/>
        <v>379.02106362623311</v>
      </c>
      <c r="J363" s="459">
        <f t="shared" si="174"/>
        <v>380.96671050996531</v>
      </c>
      <c r="K363" s="459">
        <f t="shared" si="174"/>
        <v>384.306254493339</v>
      </c>
      <c r="L363" s="459">
        <f t="shared" si="174"/>
        <v>387.57903253642519</v>
      </c>
      <c r="M363" s="459">
        <f t="shared" si="174"/>
        <v>390.69129965950651</v>
      </c>
      <c r="N363" s="459">
        <f t="shared" si="174"/>
        <v>393.22295935756813</v>
      </c>
    </row>
    <row r="364" spans="1:14">
      <c r="B364" s="338" t="str">
        <f t="shared" si="165"/>
        <v>60-64</v>
      </c>
      <c r="C364" s="459">
        <f t="shared" ref="C364:N364" si="175">C327+C271</f>
        <v>190.21053357878171</v>
      </c>
      <c r="D364" s="459">
        <f t="shared" si="175"/>
        <v>164.77416970495258</v>
      </c>
      <c r="E364" s="459">
        <f t="shared" si="175"/>
        <v>141.19874440905028</v>
      </c>
      <c r="F364" s="459">
        <f t="shared" si="175"/>
        <v>124.37596877741591</v>
      </c>
      <c r="G364" s="459">
        <f t="shared" si="175"/>
        <v>115.74211157592705</v>
      </c>
      <c r="H364" s="459">
        <f t="shared" si="175"/>
        <v>112.18951806498015</v>
      </c>
      <c r="I364" s="459">
        <f t="shared" si="175"/>
        <v>110.88254456760176</v>
      </c>
      <c r="J364" s="459">
        <f t="shared" si="175"/>
        <v>110.3085988644563</v>
      </c>
      <c r="K364" s="459">
        <f t="shared" si="175"/>
        <v>110.52245292667266</v>
      </c>
      <c r="L364" s="459">
        <f t="shared" si="175"/>
        <v>110.84792383156253</v>
      </c>
      <c r="M364" s="459">
        <f t="shared" si="175"/>
        <v>111.30544883993332</v>
      </c>
      <c r="N364" s="459">
        <f t="shared" si="175"/>
        <v>111.70373093065781</v>
      </c>
    </row>
    <row r="365" spans="1:14">
      <c r="B365" s="338" t="str">
        <f t="shared" si="165"/>
        <v>65 plus</v>
      </c>
      <c r="C365" s="459">
        <f t="shared" ref="C365:N365" si="176">C328+C272</f>
        <v>37.104154674524629</v>
      </c>
      <c r="D365" s="459">
        <f t="shared" si="176"/>
        <v>41.085946296118834</v>
      </c>
      <c r="E365" s="459">
        <f t="shared" si="176"/>
        <v>39.443349567926667</v>
      </c>
      <c r="F365" s="459">
        <f t="shared" si="176"/>
        <v>36.199610290162738</v>
      </c>
      <c r="G365" s="459">
        <f t="shared" si="176"/>
        <v>33.618398787697409</v>
      </c>
      <c r="H365" s="459">
        <f t="shared" si="176"/>
        <v>32.01854460820983</v>
      </c>
      <c r="I365" s="459">
        <f t="shared" si="176"/>
        <v>31.082273113106325</v>
      </c>
      <c r="J365" s="459">
        <f t="shared" si="176"/>
        <v>30.483131588749778</v>
      </c>
      <c r="K365" s="459">
        <f t="shared" si="176"/>
        <v>30.191929693052842</v>
      </c>
      <c r="L365" s="459">
        <f t="shared" si="176"/>
        <v>30.029400518663529</v>
      </c>
      <c r="M365" s="459">
        <f t="shared" si="176"/>
        <v>29.964133226068327</v>
      </c>
      <c r="N365" s="459">
        <f t="shared" si="176"/>
        <v>29.934911210531471</v>
      </c>
    </row>
    <row r="366" spans="1:14">
      <c r="B366" s="338" t="str">
        <f t="shared" si="165"/>
        <v>Total</v>
      </c>
      <c r="C366" s="459">
        <f t="shared" ref="C366:N366" si="177">SUM(C356:C365)</f>
        <v>9352.9530958225841</v>
      </c>
      <c r="D366" s="459">
        <f t="shared" si="177"/>
        <v>9246.3077262317038</v>
      </c>
      <c r="E366" s="459">
        <f t="shared" si="177"/>
        <v>8895.470589800143</v>
      </c>
      <c r="F366" s="459">
        <f t="shared" si="177"/>
        <v>8574.10748732926</v>
      </c>
      <c r="G366" s="459">
        <f t="shared" si="177"/>
        <v>8470.8657886376004</v>
      </c>
      <c r="H366" s="459">
        <f t="shared" si="177"/>
        <v>8518.0784607470014</v>
      </c>
      <c r="I366" s="459">
        <f t="shared" si="177"/>
        <v>8615.0924658199601</v>
      </c>
      <c r="J366" s="459">
        <f t="shared" si="177"/>
        <v>8701.4601879713355</v>
      </c>
      <c r="K366" s="459">
        <f t="shared" si="177"/>
        <v>8794.6099294836349</v>
      </c>
      <c r="L366" s="459">
        <f t="shared" si="177"/>
        <v>8867.8058175683891</v>
      </c>
      <c r="M366" s="459">
        <f t="shared" si="177"/>
        <v>8928.6335941005254</v>
      </c>
      <c r="N366" s="459">
        <f t="shared" si="177"/>
        <v>8972.0491947919709</v>
      </c>
    </row>
    <row r="367" spans="1:14">
      <c r="A367" s="309">
        <f>SUM(C367:N367)</f>
        <v>0</v>
      </c>
      <c r="C367" s="309">
        <f>SUM(C356:C365)-C366</f>
        <v>0</v>
      </c>
      <c r="D367" s="309">
        <f t="shared" ref="D367:N367" si="178">SUM(D356:D365)-D366</f>
        <v>0</v>
      </c>
      <c r="E367" s="309">
        <f t="shared" si="178"/>
        <v>0</v>
      </c>
      <c r="F367" s="309">
        <f t="shared" si="178"/>
        <v>0</v>
      </c>
      <c r="G367" s="309">
        <f t="shared" si="178"/>
        <v>0</v>
      </c>
      <c r="H367" s="309">
        <f t="shared" si="178"/>
        <v>0</v>
      </c>
      <c r="I367" s="309">
        <f t="shared" si="178"/>
        <v>0</v>
      </c>
      <c r="J367" s="309">
        <f t="shared" si="178"/>
        <v>0</v>
      </c>
      <c r="K367" s="309">
        <f t="shared" si="178"/>
        <v>0</v>
      </c>
      <c r="L367" s="309">
        <f t="shared" si="178"/>
        <v>0</v>
      </c>
      <c r="M367" s="309">
        <f t="shared" si="178"/>
        <v>0</v>
      </c>
      <c r="N367" s="309">
        <f t="shared" si="178"/>
        <v>0</v>
      </c>
    </row>
    <row r="368" spans="1:14">
      <c r="C368" s="329">
        <f>C350+C366</f>
        <v>14320.519643904656</v>
      </c>
      <c r="D368" s="329">
        <f t="shared" ref="D368:N368" si="179">D350+D366</f>
        <v>14167.017824214381</v>
      </c>
      <c r="E368" s="329">
        <f t="shared" si="179"/>
        <v>13644.451926295482</v>
      </c>
      <c r="F368" s="329">
        <f t="shared" si="179"/>
        <v>13168.958005566725</v>
      </c>
      <c r="G368" s="329">
        <f t="shared" si="179"/>
        <v>13028.336477663875</v>
      </c>
      <c r="H368" s="329">
        <f t="shared" si="179"/>
        <v>13119.243677203198</v>
      </c>
      <c r="I368" s="329">
        <f t="shared" si="179"/>
        <v>13287.741271802559</v>
      </c>
      <c r="J368" s="329">
        <f t="shared" si="179"/>
        <v>13441.112319312042</v>
      </c>
      <c r="K368" s="329">
        <f t="shared" si="179"/>
        <v>13605.666391187311</v>
      </c>
      <c r="L368" s="329">
        <f t="shared" si="179"/>
        <v>13740.24537408461</v>
      </c>
      <c r="M368" s="329">
        <f t="shared" si="179"/>
        <v>13856.137858966569</v>
      </c>
      <c r="N368" s="329">
        <f t="shared" si="179"/>
        <v>13945.356467368036</v>
      </c>
    </row>
    <row r="369" spans="1:14">
      <c r="C369" s="329">
        <f t="shared" ref="C369:N369" si="180">C36</f>
        <v>14320.519643904654</v>
      </c>
      <c r="D369" s="329">
        <f t="shared" si="180"/>
        <v>14167.017824214381</v>
      </c>
      <c r="E369" s="329">
        <f t="shared" si="180"/>
        <v>13644.45192629548</v>
      </c>
      <c r="F369" s="329">
        <f t="shared" si="180"/>
        <v>13168.958005566721</v>
      </c>
      <c r="G369" s="329">
        <f t="shared" si="180"/>
        <v>13028.336477663877</v>
      </c>
      <c r="H369" s="329">
        <f t="shared" si="180"/>
        <v>13119.243677203196</v>
      </c>
      <c r="I369" s="329">
        <f t="shared" si="180"/>
        <v>13287.741271802557</v>
      </c>
      <c r="J369" s="329">
        <f t="shared" si="180"/>
        <v>13441.112319312042</v>
      </c>
      <c r="K369" s="329">
        <f t="shared" si="180"/>
        <v>13605.666391187309</v>
      </c>
      <c r="L369" s="329">
        <f t="shared" si="180"/>
        <v>13740.245374084607</v>
      </c>
      <c r="M369" s="329">
        <f t="shared" si="180"/>
        <v>13856.137858966566</v>
      </c>
      <c r="N369" s="329">
        <f t="shared" si="180"/>
        <v>13945.356467368034</v>
      </c>
    </row>
    <row r="370" spans="1:14">
      <c r="A370" s="309">
        <f>SUM(C370:L370)</f>
        <v>0</v>
      </c>
      <c r="C370" s="329">
        <f>C368-C369</f>
        <v>0</v>
      </c>
      <c r="D370" s="329">
        <f t="shared" ref="D370:N370" si="181">D368-D369</f>
        <v>0</v>
      </c>
      <c r="E370" s="329">
        <f t="shared" si="181"/>
        <v>0</v>
      </c>
      <c r="F370" s="329">
        <f t="shared" si="181"/>
        <v>0</v>
      </c>
      <c r="G370" s="329">
        <f t="shared" si="181"/>
        <v>0</v>
      </c>
      <c r="H370" s="329">
        <f t="shared" si="181"/>
        <v>0</v>
      </c>
      <c r="I370" s="329">
        <f t="shared" si="181"/>
        <v>0</v>
      </c>
      <c r="J370" s="329">
        <f t="shared" si="181"/>
        <v>0</v>
      </c>
      <c r="K370" s="329">
        <f t="shared" si="181"/>
        <v>0</v>
      </c>
      <c r="L370" s="329">
        <f t="shared" si="181"/>
        <v>0</v>
      </c>
      <c r="M370" s="329">
        <f t="shared" si="181"/>
        <v>0</v>
      </c>
      <c r="N370" s="329">
        <f t="shared" si="181"/>
        <v>0</v>
      </c>
    </row>
    <row r="371" spans="1:14">
      <c r="A371" s="309">
        <f>SUM(C371:L371)</f>
        <v>0</v>
      </c>
      <c r="C371" s="329">
        <f>IF(C294&gt;0,0,C294)</f>
        <v>0</v>
      </c>
      <c r="D371" s="329">
        <f t="shared" ref="D371:N371" si="182">IF(D294&gt;0,0,D294)</f>
        <v>0</v>
      </c>
      <c r="E371" s="329">
        <f t="shared" si="182"/>
        <v>0</v>
      </c>
      <c r="F371" s="329">
        <f t="shared" si="182"/>
        <v>0</v>
      </c>
      <c r="G371" s="329">
        <f t="shared" si="182"/>
        <v>0</v>
      </c>
      <c r="H371" s="329">
        <f t="shared" si="182"/>
        <v>0</v>
      </c>
      <c r="I371" s="329">
        <f t="shared" si="182"/>
        <v>0</v>
      </c>
      <c r="J371" s="329">
        <f t="shared" si="182"/>
        <v>0</v>
      </c>
      <c r="K371" s="329">
        <f t="shared" si="182"/>
        <v>0</v>
      </c>
      <c r="L371" s="329">
        <f t="shared" si="182"/>
        <v>0</v>
      </c>
      <c r="M371" s="329">
        <f t="shared" si="182"/>
        <v>0</v>
      </c>
      <c r="N371" s="329">
        <f t="shared" si="182"/>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FF0000"/>
  </sheetPr>
  <dimension ref="A1:S371"/>
  <sheetViews>
    <sheetView showGridLines="0" workbookViewId="0"/>
  </sheetViews>
  <sheetFormatPr defaultColWidth="9.140625" defaultRowHeight="12.75"/>
  <cols>
    <col min="1" max="1" width="9.140625" style="309" customWidth="1"/>
    <col min="2" max="2" width="30"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1703</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2" t="str">
        <f>Forecast_stock_figures!B32</f>
        <v>Physical Education</v>
      </c>
      <c r="C15" s="307">
        <f>Forecast_stock_figures!C56</f>
        <v>17166.532058637091</v>
      </c>
      <c r="D15" s="307">
        <f>Forecast_stock_figures!D56</f>
        <v>16924.886854184697</v>
      </c>
      <c r="E15" s="307">
        <f>Forecast_stock_figures!E56</f>
        <v>17045.013299898539</v>
      </c>
      <c r="F15" s="307">
        <f>Forecast_stock_figures!F56</f>
        <v>16956.087003196979</v>
      </c>
      <c r="G15" s="307">
        <f>Forecast_stock_figures!G56</f>
        <v>16863.039703106369</v>
      </c>
      <c r="H15" s="307">
        <f>Forecast_stock_figures!H56</f>
        <v>16951.559238171318</v>
      </c>
      <c r="I15" s="307">
        <f>Forecast_stock_figures!I56</f>
        <v>17100.221557807639</v>
      </c>
      <c r="J15" s="307">
        <f>Forecast_stock_figures!J56</f>
        <v>17247.144454354897</v>
      </c>
      <c r="K15" s="307">
        <f>Forecast_stock_figures!K56</f>
        <v>17376.861204319455</v>
      </c>
      <c r="L15" s="307">
        <f>Forecast_stock_figures!L56</f>
        <v>17403.765600561375</v>
      </c>
      <c r="M15" s="307">
        <f>Forecast_stock_figures!M56</f>
        <v>17393.955577466586</v>
      </c>
      <c r="N15" s="307">
        <f>Forecast_stock_figures!N56</f>
        <v>17354.566627480825</v>
      </c>
    </row>
    <row r="17" spans="1:9" ht="15.75">
      <c r="B17" s="340" t="s">
        <v>149</v>
      </c>
    </row>
    <row r="19" spans="1:9">
      <c r="B19" s="1243" t="str">
        <f>Stock_ages_breakdowns!B73</f>
        <v>Age group</v>
      </c>
      <c r="C19" s="1241" t="str">
        <f>Stock_ages_breakdowns!AI73</f>
        <v>Physical Education</v>
      </c>
      <c r="D19" s="1248"/>
      <c r="H19" s="325" t="s">
        <v>120</v>
      </c>
    </row>
    <row r="20" spans="1:9">
      <c r="B20" s="1243"/>
      <c r="C20" s="363" t="str">
        <f>Stock_ages_breakdowns!AI74</f>
        <v>Male</v>
      </c>
      <c r="D20" s="363" t="str">
        <f>Stock_ages_breakdowns!AJ74</f>
        <v>Female</v>
      </c>
    </row>
    <row r="21" spans="1:9">
      <c r="B21" s="363" t="str">
        <f>Stock_ages_breakdowns!B75</f>
        <v>20-24</v>
      </c>
      <c r="C21" s="331">
        <f>Stock_ages_breakdowns!AI20</f>
        <v>359.84435732044318</v>
      </c>
      <c r="D21" s="331">
        <f>Stock_ages_breakdowns!AJ20</f>
        <v>630.61470640176026</v>
      </c>
    </row>
    <row r="22" spans="1:9">
      <c r="B22" s="363" t="str">
        <f>Stock_ages_breakdowns!B76</f>
        <v>25-29</v>
      </c>
      <c r="C22" s="331">
        <f>Stock_ages_breakdowns!AI21</f>
        <v>1700.402099616952</v>
      </c>
      <c r="D22" s="331">
        <f>Stock_ages_breakdowns!AJ21</f>
        <v>1884.9378975506008</v>
      </c>
    </row>
    <row r="23" spans="1:9">
      <c r="B23" s="363" t="str">
        <f>Stock_ages_breakdowns!B77</f>
        <v>30-34</v>
      </c>
      <c r="C23" s="331">
        <f>Stock_ages_breakdowns!AI22</f>
        <v>2385.3054708867126</v>
      </c>
      <c r="D23" s="331">
        <f>Stock_ages_breakdowns!AJ22</f>
        <v>1919.5497628550436</v>
      </c>
    </row>
    <row r="24" spans="1:9">
      <c r="B24" s="363" t="str">
        <f>Stock_ages_breakdowns!B78</f>
        <v>35-39</v>
      </c>
      <c r="C24" s="331">
        <f>Stock_ages_breakdowns!AI23</f>
        <v>1940.8167780298638</v>
      </c>
      <c r="D24" s="331">
        <f>Stock_ages_breakdowns!AJ23</f>
        <v>1551.399395341856</v>
      </c>
    </row>
    <row r="25" spans="1:9">
      <c r="B25" s="363" t="str">
        <f>Stock_ages_breakdowns!B79</f>
        <v>40-44</v>
      </c>
      <c r="C25" s="331">
        <f>Stock_ages_breakdowns!AI24</f>
        <v>1197.9896784948221</v>
      </c>
      <c r="D25" s="331">
        <f>Stock_ages_breakdowns!AJ24</f>
        <v>903.75193439288125</v>
      </c>
    </row>
    <row r="26" spans="1:9">
      <c r="B26" s="363" t="str">
        <f>Stock_ages_breakdowns!B80</f>
        <v>45-49</v>
      </c>
      <c r="C26" s="331">
        <f>Stock_ages_breakdowns!AI25</f>
        <v>560.71999453495721</v>
      </c>
      <c r="D26" s="331">
        <f>Stock_ages_breakdowns!AJ25</f>
        <v>507.78725018815862</v>
      </c>
    </row>
    <row r="27" spans="1:9">
      <c r="B27" s="363" t="str">
        <f>Stock_ages_breakdowns!B81</f>
        <v>50-54</v>
      </c>
      <c r="C27" s="331">
        <f>Stock_ages_breakdowns!AI26</f>
        <v>408.66547208677395</v>
      </c>
      <c r="D27" s="331">
        <f>Stock_ages_breakdowns!AJ26</f>
        <v>400.87192009101329</v>
      </c>
    </row>
    <row r="28" spans="1:9">
      <c r="B28" s="363" t="str">
        <f>Stock_ages_breakdowns!B82</f>
        <v>55-59</v>
      </c>
      <c r="C28" s="331">
        <f>Stock_ages_breakdowns!AI27</f>
        <v>343.23034293418812</v>
      </c>
      <c r="D28" s="331">
        <f>Stock_ages_breakdowns!AJ27</f>
        <v>315.37814022808999</v>
      </c>
    </row>
    <row r="29" spans="1:9">
      <c r="B29" s="363" t="str">
        <f>Stock_ages_breakdowns!B83</f>
        <v>60-64</v>
      </c>
      <c r="C29" s="331">
        <f>Stock_ages_breakdowns!AI28</f>
        <v>73.925584416228816</v>
      </c>
      <c r="D29" s="331">
        <f>Stock_ages_breakdowns!AJ28</f>
        <v>63.093158021135601</v>
      </c>
      <c r="F29" s="325"/>
    </row>
    <row r="30" spans="1:9">
      <c r="B30" s="363" t="str">
        <f>Stock_ages_breakdowns!B84</f>
        <v>65 plus</v>
      </c>
      <c r="C30" s="331">
        <f>Stock_ages_breakdowns!AI29</f>
        <v>12.762601905811961</v>
      </c>
      <c r="D30" s="331">
        <f>Stock_ages_breakdowns!AJ29</f>
        <v>5.4855133397952196</v>
      </c>
      <c r="G30" s="326" t="s">
        <v>49</v>
      </c>
      <c r="H30" s="326" t="s">
        <v>50</v>
      </c>
    </row>
    <row r="31" spans="1:9">
      <c r="A31" s="309">
        <f>I31</f>
        <v>0</v>
      </c>
      <c r="B31" s="363" t="str">
        <f>Stock_ages_breakdowns!B85</f>
        <v>Total</v>
      </c>
      <c r="C31" s="331">
        <f>Stock_ages_breakdowns!AI30</f>
        <v>8983.662380226755</v>
      </c>
      <c r="D31" s="331">
        <f>Stock_ages_breakdowns!AJ30</f>
        <v>8182.8696784103349</v>
      </c>
      <c r="E31" s="327">
        <f>SUM(C31:D31)</f>
        <v>17166.532058637091</v>
      </c>
      <c r="G31" s="366">
        <f>C31/$E$31</f>
        <v>0.52332424216729068</v>
      </c>
      <c r="H31" s="366">
        <f>D31/$E$31</f>
        <v>0.47667575783270932</v>
      </c>
      <c r="I31" s="309">
        <f>(G31+H31)-1</f>
        <v>0</v>
      </c>
    </row>
    <row r="33" spans="2:17" ht="15.75">
      <c r="B33" s="340" t="s">
        <v>262</v>
      </c>
      <c r="H33" s="325"/>
    </row>
    <row r="34" spans="2:17">
      <c r="H34" s="325"/>
    </row>
    <row r="35" spans="2:17">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7">
      <c r="B36" s="322" t="str">
        <f>B15</f>
        <v>Physical Education</v>
      </c>
      <c r="C36" s="307">
        <f>Teacher_need_by_subject!C636</f>
        <v>16924.886854184697</v>
      </c>
      <c r="D36" s="307">
        <f>Teacher_need_by_subject!D636</f>
        <v>17045.013299898539</v>
      </c>
      <c r="E36" s="307">
        <f>Teacher_need_by_subject!E636</f>
        <v>16956.087003196979</v>
      </c>
      <c r="F36" s="307">
        <f>Teacher_need_by_subject!F636</f>
        <v>16863.039703106369</v>
      </c>
      <c r="G36" s="307">
        <f>Teacher_need_by_subject!G636</f>
        <v>16951.559238171318</v>
      </c>
      <c r="H36" s="307">
        <f>Teacher_need_by_subject!H636</f>
        <v>17100.221557807639</v>
      </c>
      <c r="I36" s="307">
        <f>Teacher_need_by_subject!I636</f>
        <v>17247.144454354897</v>
      </c>
      <c r="J36" s="307">
        <f>Teacher_need_by_subject!J636</f>
        <v>17376.861204319455</v>
      </c>
      <c r="K36" s="307">
        <f>Teacher_need_by_subject!K636</f>
        <v>17403.765600561375</v>
      </c>
      <c r="L36" s="307">
        <f>Teacher_need_by_subject!L636</f>
        <v>17393.955577466586</v>
      </c>
      <c r="M36" s="307">
        <f>Teacher_need_by_subject!M636</f>
        <v>17354.566627480825</v>
      </c>
      <c r="N36" s="307">
        <f>Teacher_need_by_subject!N636</f>
        <v>17312.191984170175</v>
      </c>
    </row>
    <row r="37" spans="2:17">
      <c r="H37" s="325"/>
    </row>
    <row r="38" spans="2:17" ht="15.75">
      <c r="B38" s="340" t="s">
        <v>157</v>
      </c>
      <c r="H38" s="325"/>
    </row>
    <row r="39" spans="2:17">
      <c r="H39" s="325"/>
    </row>
    <row r="40" spans="2:17">
      <c r="B40" s="341" t="s">
        <v>49</v>
      </c>
      <c r="H40" s="325"/>
    </row>
    <row r="41" spans="2:17">
      <c r="H41" s="325"/>
    </row>
    <row r="42" spans="2:17">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7">
      <c r="B43" s="363" t="str">
        <f>B21</f>
        <v>20-24</v>
      </c>
      <c r="C43" s="307">
        <f>C21</f>
        <v>359.84435732044318</v>
      </c>
      <c r="D43" s="307">
        <f>C340</f>
        <v>438.76829676519958</v>
      </c>
      <c r="E43" s="307">
        <f t="shared" ref="E43:L43" si="2">D340</f>
        <v>540.61987183131976</v>
      </c>
      <c r="F43" s="307">
        <f t="shared" si="2"/>
        <v>586.90030004766288</v>
      </c>
      <c r="G43" s="307">
        <f t="shared" si="2"/>
        <v>618.65498692631843</v>
      </c>
      <c r="H43" s="307">
        <f t="shared" si="2"/>
        <v>665.56902883309635</v>
      </c>
      <c r="I43" s="307">
        <f t="shared" si="2"/>
        <v>709.84564894198115</v>
      </c>
      <c r="J43" s="307">
        <f t="shared" si="2"/>
        <v>744.95979695998847</v>
      </c>
      <c r="K43" s="307">
        <f t="shared" si="2"/>
        <v>771.53264218396214</v>
      </c>
      <c r="L43" s="307">
        <f t="shared" si="2"/>
        <v>780.22239130602554</v>
      </c>
      <c r="M43" s="307">
        <f>L340</f>
        <v>783.59016035309946</v>
      </c>
      <c r="N43" s="307">
        <f>M340</f>
        <v>783.52101041988817</v>
      </c>
      <c r="O43" s="327"/>
      <c r="P43" s="327"/>
      <c r="Q43" s="327"/>
    </row>
    <row r="44" spans="2:17">
      <c r="B44" s="363" t="str">
        <f t="shared" ref="B44:C53" si="3">B22</f>
        <v>25-29</v>
      </c>
      <c r="C44" s="307">
        <f t="shared" si="3"/>
        <v>1700.402099616952</v>
      </c>
      <c r="D44" s="307">
        <f t="shared" ref="D44:K53" si="4">C341</f>
        <v>1499.9023552072736</v>
      </c>
      <c r="E44" s="307">
        <f t="shared" si="4"/>
        <v>1414.6113471981475</v>
      </c>
      <c r="F44" s="307">
        <f t="shared" si="4"/>
        <v>1343.5519316514499</v>
      </c>
      <c r="G44" s="307">
        <f t="shared" si="4"/>
        <v>1298.6890558087562</v>
      </c>
      <c r="H44" s="307">
        <f t="shared" si="4"/>
        <v>1296.7389239700078</v>
      </c>
      <c r="I44" s="307">
        <f t="shared" si="4"/>
        <v>1315.0974670286903</v>
      </c>
      <c r="J44" s="307">
        <f t="shared" si="4"/>
        <v>1340.3203953132113</v>
      </c>
      <c r="K44" s="307">
        <f t="shared" si="4"/>
        <v>1366.8169279886185</v>
      </c>
      <c r="L44" s="307">
        <f t="shared" ref="L44:L53" si="5">K341</f>
        <v>1380.4882263661798</v>
      </c>
      <c r="M44" s="307">
        <f t="shared" ref="M44:M53" si="6">L341</f>
        <v>1389.1703658395918</v>
      </c>
      <c r="N44" s="307">
        <f t="shared" ref="N44:N53" si="7">M341</f>
        <v>1393.5928492009882</v>
      </c>
      <c r="O44" s="327"/>
      <c r="P44" s="327"/>
      <c r="Q44" s="327"/>
    </row>
    <row r="45" spans="2:17">
      <c r="B45" s="363" t="str">
        <f t="shared" si="3"/>
        <v>30-34</v>
      </c>
      <c r="C45" s="307">
        <f t="shared" si="3"/>
        <v>2385.3054708867126</v>
      </c>
      <c r="D45" s="307">
        <f t="shared" si="4"/>
        <v>2201.2748582085501</v>
      </c>
      <c r="E45" s="307">
        <f t="shared" si="4"/>
        <v>2049.0579456520322</v>
      </c>
      <c r="F45" s="307">
        <f t="shared" si="4"/>
        <v>1905.3874805699115</v>
      </c>
      <c r="G45" s="307">
        <f t="shared" si="4"/>
        <v>1783.6762010140133</v>
      </c>
      <c r="H45" s="307">
        <f t="shared" si="4"/>
        <v>1696.4425390075007</v>
      </c>
      <c r="I45" s="307">
        <f t="shared" si="4"/>
        <v>1636.210893969919</v>
      </c>
      <c r="J45" s="307">
        <f t="shared" si="4"/>
        <v>1596.3003061952106</v>
      </c>
      <c r="K45" s="307">
        <f t="shared" si="4"/>
        <v>1571.8861967914333</v>
      </c>
      <c r="L45" s="307">
        <f t="shared" si="5"/>
        <v>1553.2796735750376</v>
      </c>
      <c r="M45" s="307">
        <f t="shared" si="6"/>
        <v>1540.4369249839317</v>
      </c>
      <c r="N45" s="307">
        <f t="shared" si="7"/>
        <v>1531.1649918492867</v>
      </c>
      <c r="O45" s="327"/>
      <c r="P45" s="327"/>
      <c r="Q45" s="327"/>
    </row>
    <row r="46" spans="2:17">
      <c r="B46" s="363" t="str">
        <f t="shared" si="3"/>
        <v>35-39</v>
      </c>
      <c r="C46" s="307">
        <f t="shared" si="3"/>
        <v>1940.8167780298638</v>
      </c>
      <c r="D46" s="307">
        <f t="shared" si="4"/>
        <v>1968.8066583536606</v>
      </c>
      <c r="E46" s="307">
        <f t="shared" si="4"/>
        <v>1972.0166106617512</v>
      </c>
      <c r="F46" s="307">
        <f t="shared" si="4"/>
        <v>1936.2355659644109</v>
      </c>
      <c r="G46" s="307">
        <f t="shared" si="4"/>
        <v>1882.0306196702832</v>
      </c>
      <c r="H46" s="307">
        <f t="shared" si="4"/>
        <v>1827.4878831776768</v>
      </c>
      <c r="I46" s="307">
        <f t="shared" si="4"/>
        <v>1774.2220697970606</v>
      </c>
      <c r="J46" s="307">
        <f t="shared" si="4"/>
        <v>1724.3032742461478</v>
      </c>
      <c r="K46" s="307">
        <f t="shared" si="4"/>
        <v>1679.9653487842133</v>
      </c>
      <c r="L46" s="307">
        <f t="shared" si="5"/>
        <v>1638.3900615912528</v>
      </c>
      <c r="M46" s="307">
        <f t="shared" si="6"/>
        <v>1602.6986800877021</v>
      </c>
      <c r="N46" s="307">
        <f t="shared" si="7"/>
        <v>1572.6295489377103</v>
      </c>
      <c r="O46" s="327"/>
      <c r="P46" s="327"/>
      <c r="Q46" s="327"/>
    </row>
    <row r="47" spans="2:17">
      <c r="B47" s="363" t="str">
        <f t="shared" si="3"/>
        <v>40-44</v>
      </c>
      <c r="C47" s="307">
        <f t="shared" si="3"/>
        <v>1197.9896784948221</v>
      </c>
      <c r="D47" s="307">
        <f t="shared" si="4"/>
        <v>1309.6427431146644</v>
      </c>
      <c r="E47" s="307">
        <f t="shared" si="4"/>
        <v>1412.3926647494648</v>
      </c>
      <c r="F47" s="307">
        <f t="shared" si="4"/>
        <v>1480.9989860693554</v>
      </c>
      <c r="G47" s="307">
        <f t="shared" si="4"/>
        <v>1524.9655722751063</v>
      </c>
      <c r="H47" s="307">
        <f t="shared" si="4"/>
        <v>1555.3165129318413</v>
      </c>
      <c r="I47" s="307">
        <f t="shared" si="4"/>
        <v>1571.195836320047</v>
      </c>
      <c r="J47" s="307">
        <f t="shared" si="4"/>
        <v>1574.2313395196363</v>
      </c>
      <c r="K47" s="307">
        <f t="shared" si="4"/>
        <v>1567.6986296085995</v>
      </c>
      <c r="L47" s="307">
        <f t="shared" si="5"/>
        <v>1551.3307059933782</v>
      </c>
      <c r="M47" s="307">
        <f t="shared" si="6"/>
        <v>1530.5301971098954</v>
      </c>
      <c r="N47" s="307">
        <f t="shared" si="7"/>
        <v>1507.6414486960821</v>
      </c>
      <c r="O47" s="327"/>
      <c r="P47" s="327"/>
      <c r="Q47" s="327"/>
    </row>
    <row r="48" spans="2:17">
      <c r="B48" s="363" t="str">
        <f t="shared" si="3"/>
        <v>45-49</v>
      </c>
      <c r="C48" s="307">
        <f t="shared" si="3"/>
        <v>560.71999453495721</v>
      </c>
      <c r="D48" s="307">
        <f t="shared" si="4"/>
        <v>680.04570718920172</v>
      </c>
      <c r="E48" s="307">
        <f t="shared" si="4"/>
        <v>800.09521222963838</v>
      </c>
      <c r="F48" s="307">
        <f t="shared" si="4"/>
        <v>900.80185834368126</v>
      </c>
      <c r="G48" s="307">
        <f t="shared" si="4"/>
        <v>987.32970094886514</v>
      </c>
      <c r="H48" s="307">
        <f t="shared" si="4"/>
        <v>1065.3411317794748</v>
      </c>
      <c r="I48" s="307">
        <f t="shared" si="4"/>
        <v>1131.1597429790825</v>
      </c>
      <c r="J48" s="307">
        <f t="shared" si="4"/>
        <v>1183.4818585539026</v>
      </c>
      <c r="K48" s="307">
        <f t="shared" si="4"/>
        <v>1222.9839037807608</v>
      </c>
      <c r="L48" s="307">
        <f t="shared" si="5"/>
        <v>1248.2866214496298</v>
      </c>
      <c r="M48" s="307">
        <f t="shared" si="6"/>
        <v>1263.1985259872552</v>
      </c>
      <c r="N48" s="307">
        <f t="shared" si="7"/>
        <v>1269.7281806703279</v>
      </c>
      <c r="O48" s="327"/>
      <c r="P48" s="327"/>
      <c r="Q48" s="327"/>
    </row>
    <row r="49" spans="1:17">
      <c r="B49" s="363" t="str">
        <f t="shared" si="3"/>
        <v>50-54</v>
      </c>
      <c r="C49" s="307">
        <f t="shared" si="3"/>
        <v>408.66547208677395</v>
      </c>
      <c r="D49" s="307">
        <f t="shared" si="4"/>
        <v>424.71969003667368</v>
      </c>
      <c r="E49" s="307">
        <f t="shared" si="4"/>
        <v>465.85708028516342</v>
      </c>
      <c r="F49" s="307">
        <f t="shared" si="4"/>
        <v>511.64883316190577</v>
      </c>
      <c r="G49" s="307">
        <f t="shared" si="4"/>
        <v>561.96648126996865</v>
      </c>
      <c r="H49" s="307">
        <f t="shared" si="4"/>
        <v>617.71603353958415</v>
      </c>
      <c r="I49" s="307">
        <f t="shared" si="4"/>
        <v>673.32394339582811</v>
      </c>
      <c r="J49" s="307">
        <f t="shared" si="4"/>
        <v>725.30907955163855</v>
      </c>
      <c r="K49" s="307">
        <f t="shared" si="4"/>
        <v>771.93800760009219</v>
      </c>
      <c r="L49" s="307">
        <f t="shared" si="5"/>
        <v>810.28152662085711</v>
      </c>
      <c r="M49" s="307">
        <f t="shared" si="6"/>
        <v>841.57316373442598</v>
      </c>
      <c r="N49" s="307">
        <f t="shared" si="7"/>
        <v>866.05809118561831</v>
      </c>
      <c r="O49" s="327"/>
      <c r="P49" s="327"/>
      <c r="Q49" s="327"/>
    </row>
    <row r="50" spans="1:17">
      <c r="B50" s="363" t="str">
        <f t="shared" si="3"/>
        <v>55-59</v>
      </c>
      <c r="C50" s="307">
        <f t="shared" si="3"/>
        <v>343.23034293418812</v>
      </c>
      <c r="D50" s="307">
        <f t="shared" si="4"/>
        <v>286.85820493511756</v>
      </c>
      <c r="E50" s="307">
        <f t="shared" si="4"/>
        <v>261.59777002135837</v>
      </c>
      <c r="F50" s="307">
        <f t="shared" si="4"/>
        <v>249.39991180383066</v>
      </c>
      <c r="G50" s="307">
        <f t="shared" si="4"/>
        <v>248.79874780346165</v>
      </c>
      <c r="H50" s="307">
        <f t="shared" si="4"/>
        <v>258.95996443505049</v>
      </c>
      <c r="I50" s="307">
        <f t="shared" si="4"/>
        <v>274.60310129722313</v>
      </c>
      <c r="J50" s="307">
        <f t="shared" si="4"/>
        <v>292.55305732918504</v>
      </c>
      <c r="K50" s="307">
        <f t="shared" si="4"/>
        <v>311.07936288194355</v>
      </c>
      <c r="L50" s="307">
        <f t="shared" si="5"/>
        <v>327.66450524576891</v>
      </c>
      <c r="M50" s="307">
        <f t="shared" si="6"/>
        <v>342.81079466406311</v>
      </c>
      <c r="N50" s="307">
        <f t="shared" si="7"/>
        <v>356.10551711325871</v>
      </c>
      <c r="O50" s="327"/>
      <c r="P50" s="327"/>
      <c r="Q50" s="327"/>
    </row>
    <row r="51" spans="1:17">
      <c r="B51" s="363" t="str">
        <f t="shared" si="3"/>
        <v>60-64</v>
      </c>
      <c r="C51" s="307">
        <f t="shared" si="3"/>
        <v>73.925584416228816</v>
      </c>
      <c r="D51" s="307">
        <f t="shared" si="4"/>
        <v>88.206243405097055</v>
      </c>
      <c r="E51" s="307">
        <f t="shared" si="4"/>
        <v>91.114489371683831</v>
      </c>
      <c r="F51" s="307">
        <f t="shared" si="4"/>
        <v>87.845143904209067</v>
      </c>
      <c r="G51" s="307">
        <f t="shared" si="4"/>
        <v>84.724617358812736</v>
      </c>
      <c r="H51" s="307">
        <f t="shared" si="4"/>
        <v>84.649740677893377</v>
      </c>
      <c r="I51" s="307">
        <f t="shared" si="4"/>
        <v>86.506703124077418</v>
      </c>
      <c r="J51" s="307">
        <f t="shared" si="4"/>
        <v>89.504166952316851</v>
      </c>
      <c r="K51" s="307">
        <f t="shared" si="4"/>
        <v>93.204615493066512</v>
      </c>
      <c r="L51" s="307">
        <f t="shared" si="5"/>
        <v>96.584000612274849</v>
      </c>
      <c r="M51" s="307">
        <f t="shared" si="6"/>
        <v>100.03421481871041</v>
      </c>
      <c r="N51" s="307">
        <f t="shared" si="7"/>
        <v>103.36738238236474</v>
      </c>
      <c r="O51" s="327"/>
      <c r="P51" s="327"/>
      <c r="Q51" s="327"/>
    </row>
    <row r="52" spans="1:17">
      <c r="B52" s="363" t="str">
        <f t="shared" si="3"/>
        <v>65 plus</v>
      </c>
      <c r="C52" s="307">
        <f t="shared" si="3"/>
        <v>12.762601905811961</v>
      </c>
      <c r="D52" s="307">
        <f t="shared" si="4"/>
        <v>17.628159852069665</v>
      </c>
      <c r="E52" s="307">
        <f t="shared" si="4"/>
        <v>22.484211519188975</v>
      </c>
      <c r="F52" s="307">
        <f t="shared" si="4"/>
        <v>24.997814905537915</v>
      </c>
      <c r="G52" s="307">
        <f t="shared" si="4"/>
        <v>25.977891102547165</v>
      </c>
      <c r="H52" s="307">
        <f t="shared" si="4"/>
        <v>26.545546973460837</v>
      </c>
      <c r="I52" s="307">
        <f t="shared" si="4"/>
        <v>27.010422005122084</v>
      </c>
      <c r="J52" s="307">
        <f t="shared" si="4"/>
        <v>27.514773052993366</v>
      </c>
      <c r="K52" s="307">
        <f t="shared" si="4"/>
        <v>28.131763936253158</v>
      </c>
      <c r="L52" s="307">
        <f t="shared" si="5"/>
        <v>28.701972700908332</v>
      </c>
      <c r="M52" s="307">
        <f t="shared" si="6"/>
        <v>29.327718689917752</v>
      </c>
      <c r="N52" s="307">
        <f t="shared" si="7"/>
        <v>29.996464494196026</v>
      </c>
      <c r="O52" s="327"/>
      <c r="P52" s="327"/>
      <c r="Q52" s="327"/>
    </row>
    <row r="53" spans="1:17">
      <c r="B53" s="363" t="str">
        <f t="shared" si="3"/>
        <v>Total</v>
      </c>
      <c r="C53" s="307">
        <f t="shared" si="3"/>
        <v>8983.662380226755</v>
      </c>
      <c r="D53" s="307">
        <f t="shared" si="4"/>
        <v>8915.8529170675065</v>
      </c>
      <c r="E53" s="307">
        <f t="shared" si="4"/>
        <v>9029.8472035197501</v>
      </c>
      <c r="F53" s="307">
        <f t="shared" si="4"/>
        <v>9027.7678264219558</v>
      </c>
      <c r="G53" s="307">
        <f t="shared" si="4"/>
        <v>9016.8138741781313</v>
      </c>
      <c r="H53" s="307">
        <f t="shared" si="4"/>
        <v>9094.7673053255858</v>
      </c>
      <c r="I53" s="307">
        <f t="shared" si="4"/>
        <v>9199.1758288590318</v>
      </c>
      <c r="J53" s="307">
        <f t="shared" si="4"/>
        <v>9298.4780476742308</v>
      </c>
      <c r="K53" s="307">
        <f t="shared" si="4"/>
        <v>9385.2373990489432</v>
      </c>
      <c r="L53" s="307">
        <f t="shared" si="5"/>
        <v>9415.2296854613123</v>
      </c>
      <c r="M53" s="307">
        <f t="shared" si="6"/>
        <v>9423.3707462685925</v>
      </c>
      <c r="N53" s="307">
        <f t="shared" si="7"/>
        <v>9413.8054849497221</v>
      </c>
      <c r="O53" s="327"/>
      <c r="P53" s="327"/>
      <c r="Q53" s="327"/>
    </row>
    <row r="54" spans="1:17">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7">
      <c r="B56" s="341" t="s">
        <v>50</v>
      </c>
      <c r="H56" s="325"/>
    </row>
    <row r="57" spans="1:17">
      <c r="H57" s="325"/>
    </row>
    <row r="58" spans="1:17">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7">
      <c r="B59" s="338" t="str">
        <f t="shared" si="9"/>
        <v>20-24</v>
      </c>
      <c r="C59" s="307">
        <f t="shared" ref="C59:C69" si="11">D21</f>
        <v>630.61470640176026</v>
      </c>
      <c r="D59" s="307">
        <f>C356</f>
        <v>615.83988570785687</v>
      </c>
      <c r="E59" s="307">
        <f t="shared" ref="E59:L59" si="12">D356</f>
        <v>646.81667446150504</v>
      </c>
      <c r="F59" s="307">
        <f t="shared" si="12"/>
        <v>644.92487853202283</v>
      </c>
      <c r="G59" s="307">
        <f t="shared" si="12"/>
        <v>642.44348520876804</v>
      </c>
      <c r="H59" s="307">
        <f t="shared" si="12"/>
        <v>662.78300130206355</v>
      </c>
      <c r="I59" s="307">
        <f t="shared" si="12"/>
        <v>687.15554546144062</v>
      </c>
      <c r="J59" s="307">
        <f t="shared" si="12"/>
        <v>707.77230818606597</v>
      </c>
      <c r="K59" s="307">
        <f t="shared" si="12"/>
        <v>723.88016455447723</v>
      </c>
      <c r="L59" s="307">
        <f t="shared" si="12"/>
        <v>726.02935646469496</v>
      </c>
      <c r="M59" s="307">
        <f>L356</f>
        <v>724.98676102037325</v>
      </c>
      <c r="N59" s="307">
        <f>M356</f>
        <v>721.99286268842616</v>
      </c>
    </row>
    <row r="60" spans="1:17">
      <c r="B60" s="338" t="str">
        <f t="shared" si="9"/>
        <v>25-29</v>
      </c>
      <c r="C60" s="307">
        <f t="shared" si="11"/>
        <v>1884.9378975506008</v>
      </c>
      <c r="D60" s="307">
        <f t="shared" ref="D60:K69" si="13">C357</f>
        <v>1655.6787202042362</v>
      </c>
      <c r="E60" s="307">
        <f t="shared" si="13"/>
        <v>1529.3509500145067</v>
      </c>
      <c r="F60" s="307">
        <f t="shared" si="13"/>
        <v>1418.3866270807996</v>
      </c>
      <c r="G60" s="307">
        <f t="shared" si="13"/>
        <v>1336.2499068877041</v>
      </c>
      <c r="H60" s="307">
        <f t="shared" si="13"/>
        <v>1298.9824619263659</v>
      </c>
      <c r="I60" s="307">
        <f t="shared" si="13"/>
        <v>1285.7972902842039</v>
      </c>
      <c r="J60" s="307">
        <f t="shared" si="13"/>
        <v>1283.9837356173621</v>
      </c>
      <c r="K60" s="307">
        <f t="shared" si="13"/>
        <v>1287.8584791724013</v>
      </c>
      <c r="L60" s="307">
        <f t="shared" ref="L60:L69" si="14">K357</f>
        <v>1283.9401052468384</v>
      </c>
      <c r="M60" s="307">
        <f t="shared" ref="M60:M69" si="15">L357</f>
        <v>1278.8201948337933</v>
      </c>
      <c r="N60" s="307">
        <f t="shared" ref="N60:N69" si="16">M357</f>
        <v>1272.5842943895207</v>
      </c>
    </row>
    <row r="61" spans="1:17">
      <c r="B61" s="338" t="str">
        <f t="shared" si="9"/>
        <v>30-34</v>
      </c>
      <c r="C61" s="307">
        <f t="shared" si="11"/>
        <v>1919.5497628550436</v>
      </c>
      <c r="D61" s="307">
        <f t="shared" si="13"/>
        <v>1831.4653014461849</v>
      </c>
      <c r="E61" s="307">
        <f t="shared" si="13"/>
        <v>1746.5725832345015</v>
      </c>
      <c r="F61" s="307">
        <f t="shared" si="13"/>
        <v>1649.1831577025312</v>
      </c>
      <c r="G61" s="307">
        <f t="shared" si="13"/>
        <v>1557.2042603895543</v>
      </c>
      <c r="H61" s="307">
        <f t="shared" si="13"/>
        <v>1486.3708632245225</v>
      </c>
      <c r="I61" s="307">
        <f t="shared" si="13"/>
        <v>1432.8896461864549</v>
      </c>
      <c r="J61" s="307">
        <f t="shared" si="13"/>
        <v>1393.0758184531799</v>
      </c>
      <c r="K61" s="307">
        <f t="shared" si="13"/>
        <v>1364.3823798164717</v>
      </c>
      <c r="L61" s="307">
        <f t="shared" si="14"/>
        <v>1339.3365234004921</v>
      </c>
      <c r="M61" s="307">
        <f t="shared" si="15"/>
        <v>1319.0048642257905</v>
      </c>
      <c r="N61" s="307">
        <f t="shared" si="16"/>
        <v>1302.0643227851906</v>
      </c>
    </row>
    <row r="62" spans="1:17">
      <c r="B62" s="338" t="str">
        <f t="shared" si="9"/>
        <v>35-39</v>
      </c>
      <c r="C62" s="307">
        <f t="shared" si="11"/>
        <v>1551.399395341856</v>
      </c>
      <c r="D62" s="307">
        <f t="shared" si="13"/>
        <v>1555.6236953855803</v>
      </c>
      <c r="E62" s="307">
        <f t="shared" si="13"/>
        <v>1557.7545458150219</v>
      </c>
      <c r="F62" s="307">
        <f t="shared" si="13"/>
        <v>1534.9063458789631</v>
      </c>
      <c r="G62" s="307">
        <f t="shared" si="13"/>
        <v>1499.7616480625136</v>
      </c>
      <c r="H62" s="307">
        <f t="shared" si="13"/>
        <v>1465.0878640157996</v>
      </c>
      <c r="I62" s="307">
        <f t="shared" si="13"/>
        <v>1430.1588272329404</v>
      </c>
      <c r="J62" s="307">
        <f t="shared" si="13"/>
        <v>1395.8014686798756</v>
      </c>
      <c r="K62" s="307">
        <f t="shared" si="13"/>
        <v>1363.7081167573724</v>
      </c>
      <c r="L62" s="307">
        <f t="shared" si="14"/>
        <v>1331.3867666479032</v>
      </c>
      <c r="M62" s="307">
        <f t="shared" si="15"/>
        <v>1302.0502789191869</v>
      </c>
      <c r="N62" s="307">
        <f t="shared" si="16"/>
        <v>1275.8969577285113</v>
      </c>
    </row>
    <row r="63" spans="1:17">
      <c r="B63" s="338" t="str">
        <f t="shared" si="9"/>
        <v>40-44</v>
      </c>
      <c r="C63" s="307">
        <f t="shared" si="11"/>
        <v>903.75193439288125</v>
      </c>
      <c r="D63" s="307">
        <f t="shared" si="13"/>
        <v>1006.6256056642867</v>
      </c>
      <c r="E63" s="307">
        <f t="shared" si="13"/>
        <v>1096.5986666926995</v>
      </c>
      <c r="F63" s="307">
        <f t="shared" si="13"/>
        <v>1155.7850330076872</v>
      </c>
      <c r="G63" s="307">
        <f t="shared" si="13"/>
        <v>1194.9107304002487</v>
      </c>
      <c r="H63" s="307">
        <f t="shared" si="13"/>
        <v>1224.3592973667839</v>
      </c>
      <c r="I63" s="307">
        <f t="shared" si="13"/>
        <v>1242.8464017557044</v>
      </c>
      <c r="J63" s="307">
        <f t="shared" si="13"/>
        <v>1251.0786503992611</v>
      </c>
      <c r="K63" s="307">
        <f t="shared" si="13"/>
        <v>1251.2610782846</v>
      </c>
      <c r="L63" s="307">
        <f t="shared" si="14"/>
        <v>1242.4943367434323</v>
      </c>
      <c r="M63" s="307">
        <f t="shared" si="15"/>
        <v>1229.2333726414147</v>
      </c>
      <c r="N63" s="307">
        <f t="shared" si="16"/>
        <v>1213.3086012280755</v>
      </c>
    </row>
    <row r="64" spans="1:17">
      <c r="B64" s="338" t="str">
        <f t="shared" si="9"/>
        <v>45-49</v>
      </c>
      <c r="C64" s="307">
        <f t="shared" si="11"/>
        <v>507.78725018815862</v>
      </c>
      <c r="D64" s="307">
        <f t="shared" si="13"/>
        <v>581.5303949488499</v>
      </c>
      <c r="E64" s="307">
        <f t="shared" si="13"/>
        <v>665.18363888956139</v>
      </c>
      <c r="F64" s="307">
        <f t="shared" si="13"/>
        <v>737.1411906328708</v>
      </c>
      <c r="G64" s="307">
        <f t="shared" si="13"/>
        <v>800.63735222464504</v>
      </c>
      <c r="H64" s="307">
        <f t="shared" si="13"/>
        <v>860.11861316603245</v>
      </c>
      <c r="I64" s="307">
        <f t="shared" si="13"/>
        <v>911.76384041720496</v>
      </c>
      <c r="J64" s="307">
        <f t="shared" si="13"/>
        <v>953.95122229463698</v>
      </c>
      <c r="K64" s="307">
        <f t="shared" si="13"/>
        <v>986.83622969877126</v>
      </c>
      <c r="L64" s="307">
        <f t="shared" si="14"/>
        <v>1008.678545426299</v>
      </c>
      <c r="M64" s="307">
        <f t="shared" si="15"/>
        <v>1022.4728857696108</v>
      </c>
      <c r="N64" s="307">
        <f t="shared" si="16"/>
        <v>1029.6067442819456</v>
      </c>
    </row>
    <row r="65" spans="1:17">
      <c r="B65" s="338" t="str">
        <f t="shared" si="9"/>
        <v>50-54</v>
      </c>
      <c r="C65" s="307">
        <f t="shared" si="11"/>
        <v>400.87192009101329</v>
      </c>
      <c r="D65" s="307">
        <f t="shared" si="13"/>
        <v>405.5662253171493</v>
      </c>
      <c r="E65" s="307">
        <f t="shared" si="13"/>
        <v>429.69102283782473</v>
      </c>
      <c r="F65" s="307">
        <f t="shared" si="13"/>
        <v>457.22057353794179</v>
      </c>
      <c r="G65" s="307">
        <f t="shared" si="13"/>
        <v>489.33165954227076</v>
      </c>
      <c r="H65" s="307">
        <f t="shared" si="13"/>
        <v>527.50501787386224</v>
      </c>
      <c r="I65" s="307">
        <f t="shared" si="13"/>
        <v>566.9984491999179</v>
      </c>
      <c r="J65" s="307">
        <f t="shared" si="13"/>
        <v>604.80784037009312</v>
      </c>
      <c r="K65" s="307">
        <f t="shared" si="13"/>
        <v>639.40319645271177</v>
      </c>
      <c r="L65" s="307">
        <f t="shared" si="14"/>
        <v>668.07252967356726</v>
      </c>
      <c r="M65" s="307">
        <f t="shared" si="15"/>
        <v>691.8289061303567</v>
      </c>
      <c r="N65" s="307">
        <f t="shared" si="16"/>
        <v>710.7285899520873</v>
      </c>
    </row>
    <row r="66" spans="1:17">
      <c r="B66" s="338" t="str">
        <f t="shared" si="9"/>
        <v>55-59</v>
      </c>
      <c r="C66" s="307">
        <f t="shared" si="11"/>
        <v>315.37814022808999</v>
      </c>
      <c r="D66" s="307">
        <f t="shared" si="13"/>
        <v>269.75993429774081</v>
      </c>
      <c r="E66" s="307">
        <f t="shared" si="13"/>
        <v>248.39580601672043</v>
      </c>
      <c r="F66" s="307">
        <f t="shared" si="13"/>
        <v>236.1868929223603</v>
      </c>
      <c r="G66" s="307">
        <f t="shared" si="13"/>
        <v>232.85518255694944</v>
      </c>
      <c r="H66" s="307">
        <f t="shared" si="13"/>
        <v>238.4587154854477</v>
      </c>
      <c r="I66" s="307">
        <f t="shared" si="13"/>
        <v>248.77205141866341</v>
      </c>
      <c r="J66" s="307">
        <f t="shared" si="13"/>
        <v>261.26487045556553</v>
      </c>
      <c r="K66" s="307">
        <f t="shared" si="13"/>
        <v>274.57936667577587</v>
      </c>
      <c r="L66" s="307">
        <f t="shared" si="14"/>
        <v>286.54815130780651</v>
      </c>
      <c r="M66" s="307">
        <f t="shared" si="15"/>
        <v>297.6788871192108</v>
      </c>
      <c r="N66" s="307">
        <f t="shared" si="16"/>
        <v>307.61375055145817</v>
      </c>
    </row>
    <row r="67" spans="1:17">
      <c r="B67" s="338" t="str">
        <f t="shared" si="9"/>
        <v>60-64</v>
      </c>
      <c r="C67" s="307">
        <f t="shared" si="11"/>
        <v>63.093158021135601</v>
      </c>
      <c r="D67" s="307">
        <f t="shared" si="13"/>
        <v>75.370902034458027</v>
      </c>
      <c r="E67" s="307">
        <f t="shared" si="13"/>
        <v>78.338146655922614</v>
      </c>
      <c r="F67" s="307">
        <f t="shared" si="13"/>
        <v>75.766077240800612</v>
      </c>
      <c r="G67" s="307">
        <f t="shared" si="13"/>
        <v>73.116089836858364</v>
      </c>
      <c r="H67" s="307">
        <f t="shared" si="13"/>
        <v>72.885261246157384</v>
      </c>
      <c r="I67" s="307">
        <f t="shared" si="13"/>
        <v>74.03171851308862</v>
      </c>
      <c r="J67" s="307">
        <f t="shared" si="13"/>
        <v>75.94003872279481</v>
      </c>
      <c r="K67" s="307">
        <f t="shared" si="13"/>
        <v>78.334685255401922</v>
      </c>
      <c r="L67" s="307">
        <f t="shared" si="14"/>
        <v>80.382554600750112</v>
      </c>
      <c r="M67" s="307">
        <f t="shared" si="15"/>
        <v>82.535325071164081</v>
      </c>
      <c r="N67" s="307">
        <f t="shared" si="16"/>
        <v>84.660243124476935</v>
      </c>
    </row>
    <row r="68" spans="1:17">
      <c r="B68" s="338" t="str">
        <f t="shared" si="9"/>
        <v>65 plus</v>
      </c>
      <c r="C68" s="307">
        <f t="shared" si="11"/>
        <v>5.4855133397952196</v>
      </c>
      <c r="D68" s="307">
        <f t="shared" si="13"/>
        <v>11.573272110843888</v>
      </c>
      <c r="E68" s="307">
        <f t="shared" si="13"/>
        <v>16.464061760523656</v>
      </c>
      <c r="F68" s="307">
        <f t="shared" si="13"/>
        <v>18.81840023904342</v>
      </c>
      <c r="G68" s="307">
        <f t="shared" si="13"/>
        <v>19.715513818721988</v>
      </c>
      <c r="H68" s="307">
        <f t="shared" si="13"/>
        <v>20.240837238692933</v>
      </c>
      <c r="I68" s="307">
        <f t="shared" si="13"/>
        <v>20.631958478986764</v>
      </c>
      <c r="J68" s="307">
        <f t="shared" si="13"/>
        <v>20.99045350182967</v>
      </c>
      <c r="K68" s="307">
        <f t="shared" si="13"/>
        <v>21.380108602527915</v>
      </c>
      <c r="L68" s="307">
        <f t="shared" si="14"/>
        <v>21.667045588277883</v>
      </c>
      <c r="M68" s="307">
        <f t="shared" si="15"/>
        <v>21.973355467091395</v>
      </c>
      <c r="N68" s="307">
        <f t="shared" si="16"/>
        <v>22.304775801410621</v>
      </c>
    </row>
    <row r="69" spans="1:17">
      <c r="B69" s="338" t="str">
        <f t="shared" si="9"/>
        <v>Total</v>
      </c>
      <c r="C69" s="307">
        <f t="shared" si="11"/>
        <v>8182.8696784103349</v>
      </c>
      <c r="D69" s="307">
        <f t="shared" si="13"/>
        <v>8009.0339371171876</v>
      </c>
      <c r="E69" s="307">
        <f t="shared" si="13"/>
        <v>8015.1660963787872</v>
      </c>
      <c r="F69" s="307">
        <f t="shared" si="13"/>
        <v>7928.3191767750222</v>
      </c>
      <c r="G69" s="307">
        <f t="shared" si="13"/>
        <v>7846.2258289282345</v>
      </c>
      <c r="H69" s="307">
        <f t="shared" si="13"/>
        <v>7856.7919328457283</v>
      </c>
      <c r="I69" s="307">
        <f t="shared" si="13"/>
        <v>7901.0457289486058</v>
      </c>
      <c r="J69" s="307">
        <f t="shared" si="13"/>
        <v>7948.6664066806652</v>
      </c>
      <c r="K69" s="307">
        <f t="shared" si="13"/>
        <v>7991.623805270513</v>
      </c>
      <c r="L69" s="307">
        <f t="shared" si="14"/>
        <v>7988.5359151000621</v>
      </c>
      <c r="M69" s="307">
        <f t="shared" si="15"/>
        <v>7970.5848311979926</v>
      </c>
      <c r="N69" s="307">
        <f t="shared" si="16"/>
        <v>7940.7611425311043</v>
      </c>
    </row>
    <row r="70" spans="1:17">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7" ht="15.75">
      <c r="B72" s="340" t="s">
        <v>150</v>
      </c>
      <c r="H72" s="325"/>
    </row>
    <row r="73" spans="1:17">
      <c r="H73" s="325"/>
    </row>
    <row r="74" spans="1:17">
      <c r="B74" s="341" t="s">
        <v>49</v>
      </c>
      <c r="C74" s="262" t="s">
        <v>453</v>
      </c>
      <c r="H74" s="325"/>
    </row>
    <row r="75" spans="1:17">
      <c r="H75" s="325"/>
    </row>
    <row r="76" spans="1:17">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7">
      <c r="B77" s="338" t="str">
        <f t="shared" si="18"/>
        <v>20-24</v>
      </c>
      <c r="C77" s="459">
        <f>C43-(0.2*C43)</f>
        <v>287.87548585635454</v>
      </c>
      <c r="D77" s="459">
        <f>D43-(0.2*D43)</f>
        <v>351.01463741215969</v>
      </c>
      <c r="E77" s="459">
        <f t="shared" ref="E77:N77" si="20">E43-(0.2*E43)</f>
        <v>432.4958974650558</v>
      </c>
      <c r="F77" s="459">
        <f t="shared" si="20"/>
        <v>469.52024003813028</v>
      </c>
      <c r="G77" s="459">
        <f t="shared" si="20"/>
        <v>494.92398954105477</v>
      </c>
      <c r="H77" s="459">
        <f t="shared" si="20"/>
        <v>532.45522306647706</v>
      </c>
      <c r="I77" s="459">
        <f t="shared" si="20"/>
        <v>567.87651915358492</v>
      </c>
      <c r="J77" s="459">
        <f t="shared" si="20"/>
        <v>595.96783756799073</v>
      </c>
      <c r="K77" s="459">
        <f t="shared" si="20"/>
        <v>617.22611374716973</v>
      </c>
      <c r="L77" s="459">
        <f t="shared" si="20"/>
        <v>624.17791304482046</v>
      </c>
      <c r="M77" s="459">
        <f t="shared" si="20"/>
        <v>626.87212828247959</v>
      </c>
      <c r="N77" s="459">
        <f t="shared" si="20"/>
        <v>626.81680833591054</v>
      </c>
      <c r="O77" s="327"/>
      <c r="P77" s="327"/>
      <c r="Q77" s="327"/>
    </row>
    <row r="78" spans="1:17">
      <c r="B78" s="338" t="str">
        <f t="shared" si="18"/>
        <v>25-29</v>
      </c>
      <c r="C78" s="459">
        <f t="shared" ref="C78:C85" si="21">C44+(0.2*C43)-(0.2*C44)</f>
        <v>1432.29055115765</v>
      </c>
      <c r="D78" s="459">
        <f t="shared" ref="D78:N78" si="22">D44+(0.2*D43)-(0.2*D44)</f>
        <v>1287.6755435188588</v>
      </c>
      <c r="E78" s="459">
        <f t="shared" si="22"/>
        <v>1239.8130521247822</v>
      </c>
      <c r="F78" s="459">
        <f t="shared" si="22"/>
        <v>1192.2216053306925</v>
      </c>
      <c r="G78" s="459">
        <f t="shared" si="22"/>
        <v>1162.6822420322685</v>
      </c>
      <c r="H78" s="459">
        <f t="shared" si="22"/>
        <v>1170.5049449426253</v>
      </c>
      <c r="I78" s="459">
        <f t="shared" si="22"/>
        <v>1194.0471034113484</v>
      </c>
      <c r="J78" s="459">
        <f t="shared" si="22"/>
        <v>1221.2482756425666</v>
      </c>
      <c r="K78" s="459">
        <f t="shared" si="22"/>
        <v>1247.7600708276873</v>
      </c>
      <c r="L78" s="459">
        <f t="shared" si="22"/>
        <v>1260.435059354149</v>
      </c>
      <c r="M78" s="459">
        <f t="shared" si="22"/>
        <v>1268.0543247422934</v>
      </c>
      <c r="N78" s="459">
        <f t="shared" si="22"/>
        <v>1271.5784814447682</v>
      </c>
      <c r="O78" s="327"/>
      <c r="P78" s="327"/>
      <c r="Q78" s="327"/>
    </row>
    <row r="79" spans="1:17">
      <c r="B79" s="338" t="str">
        <f t="shared" si="18"/>
        <v>30-34</v>
      </c>
      <c r="C79" s="459">
        <f t="shared" si="21"/>
        <v>2248.3247966327604</v>
      </c>
      <c r="D79" s="459">
        <f t="shared" ref="D79:N79" si="23">D45+(0.2*D44)-(0.2*D45)</f>
        <v>2061.0003576082945</v>
      </c>
      <c r="E79" s="459">
        <f t="shared" si="23"/>
        <v>1922.1686259612552</v>
      </c>
      <c r="F79" s="459">
        <f t="shared" si="23"/>
        <v>1793.0203707862192</v>
      </c>
      <c r="G79" s="459">
        <f t="shared" si="23"/>
        <v>1686.6787719729618</v>
      </c>
      <c r="H79" s="459">
        <f t="shared" si="23"/>
        <v>1616.5018160000022</v>
      </c>
      <c r="I79" s="459">
        <f t="shared" si="23"/>
        <v>1571.9882085816732</v>
      </c>
      <c r="J79" s="459">
        <f t="shared" si="23"/>
        <v>1545.1043240188108</v>
      </c>
      <c r="K79" s="459">
        <f t="shared" si="23"/>
        <v>1530.8723430308703</v>
      </c>
      <c r="L79" s="459">
        <f t="shared" si="23"/>
        <v>1518.7213841332659</v>
      </c>
      <c r="M79" s="459">
        <f t="shared" si="23"/>
        <v>1510.1836131550638</v>
      </c>
      <c r="N79" s="459">
        <f t="shared" si="23"/>
        <v>1503.6505633196271</v>
      </c>
      <c r="O79" s="327"/>
      <c r="P79" s="327"/>
      <c r="Q79" s="327"/>
    </row>
    <row r="80" spans="1:17">
      <c r="B80" s="338" t="str">
        <f t="shared" si="18"/>
        <v>35-39</v>
      </c>
      <c r="C80" s="459">
        <f t="shared" si="21"/>
        <v>2029.7145166012338</v>
      </c>
      <c r="D80" s="459">
        <f t="shared" ref="D80:N80" si="24">D46+(0.2*D45)-(0.2*D46)</f>
        <v>2015.3002983246388</v>
      </c>
      <c r="E80" s="459">
        <f t="shared" si="24"/>
        <v>1987.4248776598074</v>
      </c>
      <c r="F80" s="459">
        <f t="shared" si="24"/>
        <v>1930.065948885511</v>
      </c>
      <c r="G80" s="459">
        <f t="shared" si="24"/>
        <v>1862.3597359390292</v>
      </c>
      <c r="H80" s="459">
        <f t="shared" si="24"/>
        <v>1801.2788143436417</v>
      </c>
      <c r="I80" s="459">
        <f t="shared" si="24"/>
        <v>1746.6198346316323</v>
      </c>
      <c r="J80" s="459">
        <f t="shared" si="24"/>
        <v>1698.7026806359604</v>
      </c>
      <c r="K80" s="459">
        <f t="shared" si="24"/>
        <v>1658.3495183856573</v>
      </c>
      <c r="L80" s="459">
        <f t="shared" si="24"/>
        <v>1621.3679839880097</v>
      </c>
      <c r="M80" s="459">
        <f t="shared" si="24"/>
        <v>1590.246329066948</v>
      </c>
      <c r="N80" s="459">
        <f t="shared" si="24"/>
        <v>1564.3366375200255</v>
      </c>
      <c r="O80" s="327"/>
      <c r="P80" s="327"/>
      <c r="Q80" s="327"/>
    </row>
    <row r="81" spans="1:17">
      <c r="B81" s="338" t="str">
        <f t="shared" si="18"/>
        <v>40-44</v>
      </c>
      <c r="C81" s="459">
        <f t="shared" si="21"/>
        <v>1346.5550984018305</v>
      </c>
      <c r="D81" s="459">
        <f t="shared" ref="D81:N81" si="25">D47+(0.2*D46)-(0.2*D47)</f>
        <v>1441.4755261624637</v>
      </c>
      <c r="E81" s="459">
        <f t="shared" si="25"/>
        <v>1524.317453931922</v>
      </c>
      <c r="F81" s="459">
        <f t="shared" si="25"/>
        <v>1572.0463020483664</v>
      </c>
      <c r="G81" s="459">
        <f t="shared" si="25"/>
        <v>1596.3785817541418</v>
      </c>
      <c r="H81" s="459">
        <f t="shared" si="25"/>
        <v>1609.7507869810083</v>
      </c>
      <c r="I81" s="459">
        <f t="shared" si="25"/>
        <v>1611.8010830154496</v>
      </c>
      <c r="J81" s="459">
        <f t="shared" si="25"/>
        <v>1604.2457264649386</v>
      </c>
      <c r="K81" s="459">
        <f t="shared" si="25"/>
        <v>1590.1519734437222</v>
      </c>
      <c r="L81" s="459">
        <f t="shared" si="25"/>
        <v>1568.7425771129533</v>
      </c>
      <c r="M81" s="459">
        <f t="shared" si="25"/>
        <v>1544.9638937054567</v>
      </c>
      <c r="N81" s="459">
        <f t="shared" si="25"/>
        <v>1520.6390687444077</v>
      </c>
      <c r="O81" s="327"/>
      <c r="P81" s="327"/>
      <c r="Q81" s="327"/>
    </row>
    <row r="82" spans="1:17">
      <c r="B82" s="338" t="str">
        <f t="shared" si="18"/>
        <v>45-49</v>
      </c>
      <c r="C82" s="459">
        <f t="shared" si="21"/>
        <v>688.17393132693019</v>
      </c>
      <c r="D82" s="459">
        <f t="shared" ref="D82:N82" si="26">D48+(0.2*D47)-(0.2*D48)</f>
        <v>805.96511437429422</v>
      </c>
      <c r="E82" s="459">
        <f t="shared" si="26"/>
        <v>922.55470273360356</v>
      </c>
      <c r="F82" s="459">
        <f t="shared" si="26"/>
        <v>1016.8412838888161</v>
      </c>
      <c r="G82" s="459">
        <f t="shared" si="26"/>
        <v>1094.8568752141132</v>
      </c>
      <c r="H82" s="459">
        <f t="shared" si="26"/>
        <v>1163.3362080099482</v>
      </c>
      <c r="I82" s="459">
        <f t="shared" si="26"/>
        <v>1219.1669616472755</v>
      </c>
      <c r="J82" s="459">
        <f t="shared" si="26"/>
        <v>1261.6317547470494</v>
      </c>
      <c r="K82" s="459">
        <f t="shared" si="26"/>
        <v>1291.9268489463286</v>
      </c>
      <c r="L82" s="459">
        <f t="shared" si="26"/>
        <v>1308.8954383583794</v>
      </c>
      <c r="M82" s="459">
        <f t="shared" si="26"/>
        <v>1316.6648602117832</v>
      </c>
      <c r="N82" s="459">
        <f t="shared" si="26"/>
        <v>1317.3108342754788</v>
      </c>
      <c r="O82" s="327"/>
      <c r="P82" s="327"/>
      <c r="Q82" s="327"/>
    </row>
    <row r="83" spans="1:17">
      <c r="B83" s="338" t="str">
        <f t="shared" si="18"/>
        <v>50-54</v>
      </c>
      <c r="C83" s="459">
        <f t="shared" si="21"/>
        <v>439.07637657641067</v>
      </c>
      <c r="D83" s="459">
        <f t="shared" ref="D83:N83" si="27">D49+(0.2*D48)-(0.2*D49)</f>
        <v>475.78489346717924</v>
      </c>
      <c r="E83" s="459">
        <f t="shared" si="27"/>
        <v>532.70470667405834</v>
      </c>
      <c r="F83" s="459">
        <f t="shared" si="27"/>
        <v>589.47943819826094</v>
      </c>
      <c r="G83" s="459">
        <f t="shared" si="27"/>
        <v>647.03912520574795</v>
      </c>
      <c r="H83" s="459">
        <f t="shared" si="27"/>
        <v>707.24105318756233</v>
      </c>
      <c r="I83" s="459">
        <f t="shared" si="27"/>
        <v>764.89110331247889</v>
      </c>
      <c r="J83" s="459">
        <f t="shared" si="27"/>
        <v>816.94363535209141</v>
      </c>
      <c r="K83" s="459">
        <f t="shared" si="27"/>
        <v>862.14718683622596</v>
      </c>
      <c r="L83" s="459">
        <f t="shared" si="27"/>
        <v>897.88254558661151</v>
      </c>
      <c r="M83" s="459">
        <f t="shared" si="27"/>
        <v>925.89823618499179</v>
      </c>
      <c r="N83" s="459">
        <f t="shared" si="27"/>
        <v>946.79210908256027</v>
      </c>
      <c r="O83" s="327"/>
      <c r="P83" s="327"/>
      <c r="Q83" s="327"/>
    </row>
    <row r="84" spans="1:17">
      <c r="B84" s="338" t="str">
        <f t="shared" si="18"/>
        <v>55-59</v>
      </c>
      <c r="C84" s="459">
        <f t="shared" si="21"/>
        <v>356.31736876470529</v>
      </c>
      <c r="D84" s="459">
        <f t="shared" ref="D84:N84" si="28">D50+(0.2*D49)-(0.2*D50)</f>
        <v>314.43050195542878</v>
      </c>
      <c r="E84" s="459">
        <f t="shared" si="28"/>
        <v>302.44963207411934</v>
      </c>
      <c r="F84" s="459">
        <f t="shared" si="28"/>
        <v>301.84969607544571</v>
      </c>
      <c r="G84" s="459">
        <f t="shared" si="28"/>
        <v>311.43229449676306</v>
      </c>
      <c r="H84" s="459">
        <f t="shared" si="28"/>
        <v>330.71117825595724</v>
      </c>
      <c r="I84" s="459">
        <f t="shared" si="28"/>
        <v>354.3472697169442</v>
      </c>
      <c r="J84" s="459">
        <f t="shared" si="28"/>
        <v>379.10426177367572</v>
      </c>
      <c r="K84" s="459">
        <f t="shared" si="28"/>
        <v>403.25109182557327</v>
      </c>
      <c r="L84" s="459">
        <f t="shared" si="28"/>
        <v>424.18790952078655</v>
      </c>
      <c r="M84" s="459">
        <f t="shared" si="28"/>
        <v>442.56326847813568</v>
      </c>
      <c r="N84" s="459">
        <f t="shared" si="28"/>
        <v>458.09603192773062</v>
      </c>
      <c r="O84" s="327"/>
      <c r="P84" s="327"/>
      <c r="Q84" s="327"/>
    </row>
    <row r="85" spans="1:17">
      <c r="B85" s="338" t="str">
        <f t="shared" si="18"/>
        <v>60-64</v>
      </c>
      <c r="C85" s="459">
        <f t="shared" si="21"/>
        <v>127.78653611982068</v>
      </c>
      <c r="D85" s="459">
        <f t="shared" ref="D85:N85" si="29">D51+(0.2*D50)-(0.2*D51)</f>
        <v>127.93663571110113</v>
      </c>
      <c r="E85" s="459">
        <f t="shared" si="29"/>
        <v>125.21114550161876</v>
      </c>
      <c r="F85" s="459">
        <f t="shared" si="29"/>
        <v>120.15609748413337</v>
      </c>
      <c r="G85" s="459">
        <f t="shared" si="29"/>
        <v>117.53944344774253</v>
      </c>
      <c r="H85" s="459">
        <f t="shared" si="29"/>
        <v>119.51178542932479</v>
      </c>
      <c r="I85" s="459">
        <f t="shared" si="29"/>
        <v>124.12598275870656</v>
      </c>
      <c r="J85" s="459">
        <f t="shared" si="29"/>
        <v>130.11394502769051</v>
      </c>
      <c r="K85" s="459">
        <f t="shared" si="29"/>
        <v>136.7795649708419</v>
      </c>
      <c r="L85" s="459">
        <f t="shared" si="29"/>
        <v>142.80010153897368</v>
      </c>
      <c r="M85" s="459">
        <f t="shared" si="29"/>
        <v>148.58953078778094</v>
      </c>
      <c r="N85" s="459">
        <f t="shared" si="29"/>
        <v>153.91500932854353</v>
      </c>
      <c r="O85" s="327"/>
      <c r="P85" s="327"/>
      <c r="Q85" s="327"/>
    </row>
    <row r="86" spans="1:17">
      <c r="B86" s="338" t="str">
        <f t="shared" si="18"/>
        <v>65 plus</v>
      </c>
      <c r="C86" s="459">
        <f>C52+(0.2*C51)</f>
        <v>27.547718789057726</v>
      </c>
      <c r="D86" s="459">
        <f t="shared" ref="D86:N86" si="30">D52+(0.2*D51)</f>
        <v>35.269408533089077</v>
      </c>
      <c r="E86" s="459">
        <f t="shared" si="30"/>
        <v>40.707109393525741</v>
      </c>
      <c r="F86" s="459">
        <f t="shared" si="30"/>
        <v>42.566843686379727</v>
      </c>
      <c r="G86" s="459">
        <f t="shared" si="30"/>
        <v>42.922814574309712</v>
      </c>
      <c r="H86" s="459">
        <f t="shared" si="30"/>
        <v>43.475495109039514</v>
      </c>
      <c r="I86" s="459">
        <f t="shared" si="30"/>
        <v>44.311762629937569</v>
      </c>
      <c r="J86" s="459">
        <f t="shared" si="30"/>
        <v>45.415606443456738</v>
      </c>
      <c r="K86" s="459">
        <f t="shared" si="30"/>
        <v>46.772687034866465</v>
      </c>
      <c r="L86" s="459">
        <f t="shared" si="30"/>
        <v>48.018772823363307</v>
      </c>
      <c r="M86" s="459">
        <f t="shared" si="30"/>
        <v>49.334561653659833</v>
      </c>
      <c r="N86" s="459">
        <f t="shared" si="30"/>
        <v>50.669940970668975</v>
      </c>
      <c r="O86" s="327"/>
      <c r="P86" s="327"/>
      <c r="Q86" s="327"/>
    </row>
    <row r="87" spans="1:17">
      <c r="B87" s="338" t="str">
        <f t="shared" si="18"/>
        <v>Total</v>
      </c>
      <c r="C87" s="459">
        <f>SUM(C77:C86)</f>
        <v>8983.6623802267532</v>
      </c>
      <c r="D87" s="459">
        <f t="shared" ref="D87:N87" si="31">SUM(D77:D86)</f>
        <v>8915.8529170675083</v>
      </c>
      <c r="E87" s="459">
        <f t="shared" si="31"/>
        <v>9029.8472035197483</v>
      </c>
      <c r="F87" s="459">
        <f t="shared" si="31"/>
        <v>9027.7678264219558</v>
      </c>
      <c r="G87" s="459">
        <f t="shared" si="31"/>
        <v>9016.8138741781331</v>
      </c>
      <c r="H87" s="459">
        <f t="shared" si="31"/>
        <v>9094.7673053255876</v>
      </c>
      <c r="I87" s="459">
        <f t="shared" si="31"/>
        <v>9199.1758288590318</v>
      </c>
      <c r="J87" s="459">
        <f t="shared" si="31"/>
        <v>9298.4780476742308</v>
      </c>
      <c r="K87" s="459">
        <f t="shared" si="31"/>
        <v>9385.237399048945</v>
      </c>
      <c r="L87" s="459">
        <f t="shared" si="31"/>
        <v>9415.2296854613123</v>
      </c>
      <c r="M87" s="459">
        <f t="shared" si="31"/>
        <v>9423.3707462685925</v>
      </c>
      <c r="N87" s="459">
        <f t="shared" si="31"/>
        <v>9413.8054849497221</v>
      </c>
      <c r="O87" s="327"/>
      <c r="P87" s="327"/>
      <c r="Q87" s="327"/>
    </row>
    <row r="88" spans="1:17">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7">
      <c r="B90" s="341" t="s">
        <v>50</v>
      </c>
      <c r="H90" s="325"/>
    </row>
    <row r="91" spans="1:17">
      <c r="H91" s="325"/>
    </row>
    <row r="92" spans="1:17">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7">
      <c r="B93" s="338" t="str">
        <f t="shared" si="33"/>
        <v>20-24</v>
      </c>
      <c r="C93" s="459">
        <f>C59-(0.2*C59)</f>
        <v>504.49176512140821</v>
      </c>
      <c r="D93" s="459">
        <f t="shared" ref="D93:N93" si="35">D59-(0.2*D59)</f>
        <v>492.67190856628548</v>
      </c>
      <c r="E93" s="459">
        <f t="shared" si="35"/>
        <v>517.45333956920399</v>
      </c>
      <c r="F93" s="459">
        <f t="shared" si="35"/>
        <v>515.93990282561822</v>
      </c>
      <c r="G93" s="459">
        <f t="shared" si="35"/>
        <v>513.95478816701439</v>
      </c>
      <c r="H93" s="459">
        <f t="shared" si="35"/>
        <v>530.22640104165089</v>
      </c>
      <c r="I93" s="459">
        <f t="shared" si="35"/>
        <v>549.7244363691525</v>
      </c>
      <c r="J93" s="459">
        <f t="shared" si="35"/>
        <v>566.21784654885278</v>
      </c>
      <c r="K93" s="459">
        <f t="shared" si="35"/>
        <v>579.10413164358181</v>
      </c>
      <c r="L93" s="459">
        <f t="shared" si="35"/>
        <v>580.82348517175592</v>
      </c>
      <c r="M93" s="459">
        <f t="shared" si="35"/>
        <v>579.98940881629858</v>
      </c>
      <c r="N93" s="459">
        <f t="shared" si="35"/>
        <v>577.5942901507409</v>
      </c>
      <c r="O93" s="327"/>
    </row>
    <row r="94" spans="1:17">
      <c r="B94" s="338" t="str">
        <f t="shared" si="33"/>
        <v>25-29</v>
      </c>
      <c r="C94" s="459">
        <f t="shared" ref="C94:C101" si="36">C60+(0.2*C59)-(0.2*C60)</f>
        <v>1634.0732593208327</v>
      </c>
      <c r="D94" s="459">
        <f t="shared" ref="D94:N94" si="37">D60+(0.2*D59)-(0.2*D60)</f>
        <v>1447.7109533049602</v>
      </c>
      <c r="E94" s="459">
        <f t="shared" si="37"/>
        <v>1352.8440949039064</v>
      </c>
      <c r="F94" s="459">
        <f t="shared" si="37"/>
        <v>1263.6942773710443</v>
      </c>
      <c r="G94" s="459">
        <f t="shared" si="37"/>
        <v>1197.4886225519167</v>
      </c>
      <c r="H94" s="459">
        <f t="shared" si="37"/>
        <v>1171.7425698015054</v>
      </c>
      <c r="I94" s="459">
        <f t="shared" si="37"/>
        <v>1166.0689413196512</v>
      </c>
      <c r="J94" s="459">
        <f t="shared" si="37"/>
        <v>1168.7414501311027</v>
      </c>
      <c r="K94" s="459">
        <f t="shared" si="37"/>
        <v>1175.0628162488165</v>
      </c>
      <c r="L94" s="459">
        <f t="shared" si="37"/>
        <v>1172.3579554904097</v>
      </c>
      <c r="M94" s="459">
        <f t="shared" si="37"/>
        <v>1168.0535080711093</v>
      </c>
      <c r="N94" s="459">
        <f t="shared" si="37"/>
        <v>1162.4660080493018</v>
      </c>
      <c r="O94" s="327"/>
    </row>
    <row r="95" spans="1:17">
      <c r="B95" s="338" t="str">
        <f t="shared" si="33"/>
        <v>30-34</v>
      </c>
      <c r="C95" s="459">
        <f t="shared" si="36"/>
        <v>1912.6273897941549</v>
      </c>
      <c r="D95" s="459">
        <f t="shared" ref="D95:N95" si="38">D61+(0.2*D60)-(0.2*D61)</f>
        <v>1796.307985197795</v>
      </c>
      <c r="E95" s="459">
        <f t="shared" si="38"/>
        <v>1703.1282565905026</v>
      </c>
      <c r="F95" s="459">
        <f t="shared" si="38"/>
        <v>1603.0238515781848</v>
      </c>
      <c r="G95" s="459">
        <f t="shared" si="38"/>
        <v>1513.0133896891841</v>
      </c>
      <c r="H95" s="459">
        <f t="shared" si="38"/>
        <v>1448.8931829648914</v>
      </c>
      <c r="I95" s="459">
        <f t="shared" si="38"/>
        <v>1403.4711750060046</v>
      </c>
      <c r="J95" s="459">
        <f t="shared" si="38"/>
        <v>1371.2574018860164</v>
      </c>
      <c r="K95" s="459">
        <f t="shared" si="38"/>
        <v>1349.0775996876578</v>
      </c>
      <c r="L95" s="459">
        <f t="shared" si="38"/>
        <v>1328.2572397697613</v>
      </c>
      <c r="M95" s="459">
        <f t="shared" si="38"/>
        <v>1310.9679303473911</v>
      </c>
      <c r="N95" s="459">
        <f t="shared" si="38"/>
        <v>1296.1683171060567</v>
      </c>
      <c r="O95" s="327"/>
    </row>
    <row r="96" spans="1:17">
      <c r="B96" s="338" t="str">
        <f t="shared" si="33"/>
        <v>35-39</v>
      </c>
      <c r="C96" s="459">
        <f t="shared" si="36"/>
        <v>1625.0294688444935</v>
      </c>
      <c r="D96" s="459">
        <f t="shared" ref="D96:N96" si="39">D62+(0.2*D61)-(0.2*D62)</f>
        <v>1610.7920165977011</v>
      </c>
      <c r="E96" s="459">
        <f t="shared" si="39"/>
        <v>1595.5181532989177</v>
      </c>
      <c r="F96" s="459">
        <f t="shared" si="39"/>
        <v>1557.7617082436766</v>
      </c>
      <c r="G96" s="459">
        <f t="shared" si="39"/>
        <v>1511.2501705279217</v>
      </c>
      <c r="H96" s="459">
        <f t="shared" si="39"/>
        <v>1469.3444638575443</v>
      </c>
      <c r="I96" s="459">
        <f t="shared" si="39"/>
        <v>1430.7049910236433</v>
      </c>
      <c r="J96" s="459">
        <f t="shared" si="39"/>
        <v>1395.2563386345366</v>
      </c>
      <c r="K96" s="459">
        <f t="shared" si="39"/>
        <v>1363.8429693691921</v>
      </c>
      <c r="L96" s="459">
        <f t="shared" si="39"/>
        <v>1332.976717998421</v>
      </c>
      <c r="M96" s="459">
        <f t="shared" si="39"/>
        <v>1305.4411959805077</v>
      </c>
      <c r="N96" s="459">
        <f t="shared" si="39"/>
        <v>1281.1304307398473</v>
      </c>
      <c r="O96" s="327"/>
    </row>
    <row r="97" spans="1:15">
      <c r="B97" s="338" t="str">
        <f t="shared" si="33"/>
        <v>40-44</v>
      </c>
      <c r="C97" s="459">
        <f t="shared" si="36"/>
        <v>1033.2814265826764</v>
      </c>
      <c r="D97" s="459">
        <f t="shared" ref="D97:N97" si="40">D63+(0.2*D62)-(0.2*D63)</f>
        <v>1116.4252236085454</v>
      </c>
      <c r="E97" s="459">
        <f t="shared" si="40"/>
        <v>1188.829842517164</v>
      </c>
      <c r="F97" s="459">
        <f t="shared" si="40"/>
        <v>1231.6092955819424</v>
      </c>
      <c r="G97" s="459">
        <f t="shared" si="40"/>
        <v>1255.8809139327018</v>
      </c>
      <c r="H97" s="459">
        <f t="shared" si="40"/>
        <v>1272.5050106965871</v>
      </c>
      <c r="I97" s="459">
        <f t="shared" si="40"/>
        <v>1280.3088868511516</v>
      </c>
      <c r="J97" s="459">
        <f t="shared" si="40"/>
        <v>1280.023214055384</v>
      </c>
      <c r="K97" s="459">
        <f t="shared" si="40"/>
        <v>1273.7504859791545</v>
      </c>
      <c r="L97" s="459">
        <f t="shared" si="40"/>
        <v>1260.2728227243265</v>
      </c>
      <c r="M97" s="459">
        <f t="shared" si="40"/>
        <v>1243.7967538969692</v>
      </c>
      <c r="N97" s="459">
        <f t="shared" si="40"/>
        <v>1225.8262725281629</v>
      </c>
      <c r="O97" s="327"/>
    </row>
    <row r="98" spans="1:15">
      <c r="B98" s="338" t="str">
        <f t="shared" si="33"/>
        <v>45-49</v>
      </c>
      <c r="C98" s="459">
        <f t="shared" si="36"/>
        <v>586.98018702910315</v>
      </c>
      <c r="D98" s="459">
        <f t="shared" ref="D98:N98" si="41">D64+(0.2*D63)-(0.2*D64)</f>
        <v>666.54943709193731</v>
      </c>
      <c r="E98" s="459">
        <f t="shared" si="41"/>
        <v>751.46664445018905</v>
      </c>
      <c r="F98" s="459">
        <f t="shared" si="41"/>
        <v>820.86995910783412</v>
      </c>
      <c r="G98" s="459">
        <f t="shared" si="41"/>
        <v>879.49202785976581</v>
      </c>
      <c r="H98" s="459">
        <f t="shared" si="41"/>
        <v>932.96675000618279</v>
      </c>
      <c r="I98" s="459">
        <f t="shared" si="41"/>
        <v>977.98035268490491</v>
      </c>
      <c r="J98" s="459">
        <f t="shared" si="41"/>
        <v>1013.3767079155618</v>
      </c>
      <c r="K98" s="459">
        <f t="shared" si="41"/>
        <v>1039.721199415937</v>
      </c>
      <c r="L98" s="459">
        <f t="shared" si="41"/>
        <v>1055.4417036897257</v>
      </c>
      <c r="M98" s="459">
        <f t="shared" si="41"/>
        <v>1063.8249831439716</v>
      </c>
      <c r="N98" s="459">
        <f t="shared" si="41"/>
        <v>1066.3471156711717</v>
      </c>
      <c r="O98" s="327"/>
    </row>
    <row r="99" spans="1:15">
      <c r="B99" s="338" t="str">
        <f t="shared" si="33"/>
        <v>50-54</v>
      </c>
      <c r="C99" s="459">
        <f t="shared" si="36"/>
        <v>422.25498611044236</v>
      </c>
      <c r="D99" s="459">
        <f t="shared" ref="D99:N99" si="42">D65+(0.2*D64)-(0.2*D65)</f>
        <v>440.75905924348945</v>
      </c>
      <c r="E99" s="459">
        <f t="shared" si="42"/>
        <v>476.78954604817204</v>
      </c>
      <c r="F99" s="459">
        <f t="shared" si="42"/>
        <v>513.20469695692759</v>
      </c>
      <c r="G99" s="459">
        <f t="shared" si="42"/>
        <v>551.59279807874555</v>
      </c>
      <c r="H99" s="459">
        <f t="shared" si="42"/>
        <v>594.02773693229631</v>
      </c>
      <c r="I99" s="459">
        <f t="shared" si="42"/>
        <v>635.95152744337531</v>
      </c>
      <c r="J99" s="459">
        <f t="shared" si="42"/>
        <v>674.63651675500194</v>
      </c>
      <c r="K99" s="459">
        <f t="shared" si="42"/>
        <v>708.88980310192369</v>
      </c>
      <c r="L99" s="459">
        <f t="shared" si="42"/>
        <v>736.19373282411357</v>
      </c>
      <c r="M99" s="459">
        <f t="shared" si="42"/>
        <v>757.95770205820747</v>
      </c>
      <c r="N99" s="459">
        <f t="shared" si="42"/>
        <v>774.50422081805903</v>
      </c>
      <c r="O99" s="327"/>
    </row>
    <row r="100" spans="1:15">
      <c r="B100" s="338" t="str">
        <f t="shared" si="33"/>
        <v>55-59</v>
      </c>
      <c r="C100" s="459">
        <f t="shared" si="36"/>
        <v>332.47689620067467</v>
      </c>
      <c r="D100" s="459">
        <f t="shared" ref="D100:N100" si="43">D66+(0.2*D65)-(0.2*D66)</f>
        <v>296.9211925016225</v>
      </c>
      <c r="E100" s="459">
        <f t="shared" si="43"/>
        <v>284.65484938094124</v>
      </c>
      <c r="F100" s="459">
        <f t="shared" si="43"/>
        <v>280.39362904547659</v>
      </c>
      <c r="G100" s="459">
        <f t="shared" si="43"/>
        <v>284.15047795401375</v>
      </c>
      <c r="H100" s="459">
        <f t="shared" si="43"/>
        <v>296.2679759631306</v>
      </c>
      <c r="I100" s="459">
        <f t="shared" si="43"/>
        <v>312.41733097491431</v>
      </c>
      <c r="J100" s="459">
        <f t="shared" si="43"/>
        <v>329.97346443847101</v>
      </c>
      <c r="K100" s="459">
        <f t="shared" si="43"/>
        <v>347.54413263116305</v>
      </c>
      <c r="L100" s="459">
        <f t="shared" si="43"/>
        <v>362.85302698095865</v>
      </c>
      <c r="M100" s="459">
        <f t="shared" si="43"/>
        <v>376.50889092144001</v>
      </c>
      <c r="N100" s="459">
        <f t="shared" si="43"/>
        <v>388.23671843158399</v>
      </c>
      <c r="O100" s="327"/>
    </row>
    <row r="101" spans="1:15">
      <c r="B101" s="338" t="str">
        <f t="shared" si="33"/>
        <v>60-64</v>
      </c>
      <c r="C101" s="459">
        <f t="shared" si="36"/>
        <v>113.55015446252648</v>
      </c>
      <c r="D101" s="459">
        <f t="shared" ref="D101:N101" si="44">D67+(0.2*D66)-(0.2*D67)</f>
        <v>114.24870848711458</v>
      </c>
      <c r="E101" s="459">
        <f t="shared" si="44"/>
        <v>112.34967852808218</v>
      </c>
      <c r="F101" s="459">
        <f t="shared" si="44"/>
        <v>107.85024037711256</v>
      </c>
      <c r="G101" s="459">
        <f t="shared" si="44"/>
        <v>105.06390838087658</v>
      </c>
      <c r="H101" s="459">
        <f t="shared" si="44"/>
        <v>105.99995209401544</v>
      </c>
      <c r="I101" s="459">
        <f t="shared" si="44"/>
        <v>108.97978509420358</v>
      </c>
      <c r="J101" s="459">
        <f t="shared" si="44"/>
        <v>113.00500506934897</v>
      </c>
      <c r="K101" s="459">
        <f t="shared" si="44"/>
        <v>117.58362153947671</v>
      </c>
      <c r="L101" s="459">
        <f t="shared" si="44"/>
        <v>121.61567394216139</v>
      </c>
      <c r="M101" s="459">
        <f t="shared" si="44"/>
        <v>125.56403748077342</v>
      </c>
      <c r="N101" s="459">
        <f t="shared" si="44"/>
        <v>129.25094460987316</v>
      </c>
      <c r="O101" s="327"/>
    </row>
    <row r="102" spans="1:15">
      <c r="B102" s="338" t="str">
        <f t="shared" si="33"/>
        <v>65 plus</v>
      </c>
      <c r="C102" s="459">
        <f>C68+(0.2*C67)</f>
        <v>18.104144944022341</v>
      </c>
      <c r="D102" s="459">
        <f t="shared" ref="D102:N102" si="45">D68+(0.2*D67)</f>
        <v>26.647452517735495</v>
      </c>
      <c r="E102" s="459">
        <f t="shared" si="45"/>
        <v>32.131691091708177</v>
      </c>
      <c r="F102" s="459">
        <f t="shared" si="45"/>
        <v>33.971615687203546</v>
      </c>
      <c r="G102" s="459">
        <f t="shared" si="45"/>
        <v>34.338731786093661</v>
      </c>
      <c r="H102" s="459">
        <f t="shared" si="45"/>
        <v>34.817889487924411</v>
      </c>
      <c r="I102" s="459">
        <f t="shared" si="45"/>
        <v>35.438302181604485</v>
      </c>
      <c r="J102" s="459">
        <f t="shared" si="45"/>
        <v>36.178461246388636</v>
      </c>
      <c r="K102" s="459">
        <f t="shared" si="45"/>
        <v>37.047045653608301</v>
      </c>
      <c r="L102" s="459">
        <f t="shared" si="45"/>
        <v>37.743556508427908</v>
      </c>
      <c r="M102" s="459">
        <f t="shared" si="45"/>
        <v>38.480420481324217</v>
      </c>
      <c r="N102" s="459">
        <f t="shared" si="45"/>
        <v>39.236824426306008</v>
      </c>
      <c r="O102" s="327"/>
    </row>
    <row r="103" spans="1:15">
      <c r="B103" s="338" t="str">
        <f t="shared" si="33"/>
        <v>Total</v>
      </c>
      <c r="C103" s="459">
        <f>SUM(C93:C102)</f>
        <v>8182.8696784103358</v>
      </c>
      <c r="D103" s="459">
        <f t="shared" ref="D103:N103" si="46">SUM(D93:D102)</f>
        <v>8009.0339371171867</v>
      </c>
      <c r="E103" s="459">
        <f t="shared" si="46"/>
        <v>8015.166096378789</v>
      </c>
      <c r="F103" s="459">
        <f t="shared" si="46"/>
        <v>7928.3191767750204</v>
      </c>
      <c r="G103" s="459">
        <f t="shared" si="46"/>
        <v>7846.2258289282336</v>
      </c>
      <c r="H103" s="459">
        <f t="shared" si="46"/>
        <v>7856.7919328457301</v>
      </c>
      <c r="I103" s="459">
        <f t="shared" si="46"/>
        <v>7901.0457289486039</v>
      </c>
      <c r="J103" s="459">
        <f t="shared" si="46"/>
        <v>7948.6664066806652</v>
      </c>
      <c r="K103" s="459">
        <f t="shared" si="46"/>
        <v>7991.6238052705112</v>
      </c>
      <c r="L103" s="459">
        <f t="shared" si="46"/>
        <v>7988.5359151000621</v>
      </c>
      <c r="M103" s="459">
        <f t="shared" si="46"/>
        <v>7970.5848311979926</v>
      </c>
      <c r="N103" s="459">
        <f t="shared" si="46"/>
        <v>7940.7611425311043</v>
      </c>
      <c r="O103" s="327"/>
    </row>
    <row r="104" spans="1:15">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5" ht="15.75">
      <c r="B106" s="340" t="s">
        <v>151</v>
      </c>
      <c r="H106" s="325"/>
    </row>
    <row r="107" spans="1:15">
      <c r="H107" s="325"/>
    </row>
    <row r="108" spans="1:15">
      <c r="B108" s="341" t="s">
        <v>49</v>
      </c>
      <c r="H108" s="325"/>
    </row>
    <row r="109" spans="1:15">
      <c r="H109" s="325"/>
    </row>
    <row r="110" spans="1:15">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5">
      <c r="B111" s="338" t="str">
        <f t="shared" si="48"/>
        <v>20-24</v>
      </c>
      <c r="C111" s="459">
        <f>C77*Group_3_rates!E74</f>
        <v>31.311907065257248</v>
      </c>
      <c r="D111" s="459">
        <f>D77*Group_3_rates!F74</f>
        <v>38.179484691096008</v>
      </c>
      <c r="E111" s="459">
        <f>E77*Group_3_rates!G74</f>
        <v>47.042113736243039</v>
      </c>
      <c r="F111" s="459">
        <f>F77*Group_3_rates!H74</f>
        <v>51.0692116683637</v>
      </c>
      <c r="G111" s="459">
        <f>G77*Group_3_rates!I74</f>
        <v>53.832350187013247</v>
      </c>
      <c r="H111" s="459">
        <f>H77*Group_3_rates!J74</f>
        <v>57.914582102998217</v>
      </c>
      <c r="I111" s="459">
        <f>I77*Group_3_rates!K74</f>
        <v>61.76731839247828</v>
      </c>
      <c r="J111" s="459">
        <f>J77*Group_3_rates!L74</f>
        <v>64.822780891884449</v>
      </c>
      <c r="K111" s="459">
        <f>K77*Group_3_rates!M74</f>
        <v>67.1350207344328</v>
      </c>
      <c r="L111" s="459">
        <f>L77*Group_3_rates!N74</f>
        <v>67.89116046927974</v>
      </c>
      <c r="M111" s="459">
        <f>M77*Group_3_rates!O74</f>
        <v>68.184207363788431</v>
      </c>
      <c r="N111" s="459">
        <f>N77*Group_3_rates!P74</f>
        <v>68.178190272681576</v>
      </c>
    </row>
    <row r="112" spans="1:15">
      <c r="B112" s="338" t="str">
        <f t="shared" si="48"/>
        <v>25-29</v>
      </c>
      <c r="C112" s="459">
        <f>C78*Group_3_rates!E75</f>
        <v>120.78391827198529</v>
      </c>
      <c r="D112" s="459">
        <f>D78*Group_3_rates!F75</f>
        <v>108.58865017541896</v>
      </c>
      <c r="E112" s="459">
        <f>E78*Group_3_rates!G75</f>
        <v>104.55244450181227</v>
      </c>
      <c r="F112" s="459">
        <f>F78*Group_3_rates!H75</f>
        <v>100.53909580285115</v>
      </c>
      <c r="G112" s="459">
        <f>G78*Group_3_rates!I75</f>
        <v>98.048064887678549</v>
      </c>
      <c r="H112" s="459">
        <f>H78*Group_3_rates!J75</f>
        <v>98.707747176461979</v>
      </c>
      <c r="I112" s="459">
        <f>I78*Group_3_rates!K75</f>
        <v>100.69303859804826</v>
      </c>
      <c r="J112" s="459">
        <f>J78*Group_3_rates!L75</f>
        <v>102.98689172793324</v>
      </c>
      <c r="K112" s="459">
        <f>K78*Group_3_rates!M75</f>
        <v>105.22261024209578</v>
      </c>
      <c r="L112" s="459">
        <f>L78*Group_3_rates!N75</f>
        <v>106.29148190157935</v>
      </c>
      <c r="M112" s="459">
        <f>M78*Group_3_rates!O75</f>
        <v>106.93400846659115</v>
      </c>
      <c r="N112" s="459">
        <f>N78*Group_3_rates!P75</f>
        <v>107.2311977867227</v>
      </c>
    </row>
    <row r="113" spans="1:19">
      <c r="B113" s="338" t="str">
        <f t="shared" si="48"/>
        <v>30-34</v>
      </c>
      <c r="C113" s="459">
        <f>C79*Group_3_rates!E76</f>
        <v>140.04964256507978</v>
      </c>
      <c r="D113" s="459">
        <f>D79*Group_3_rates!F76</f>
        <v>128.38107903352446</v>
      </c>
      <c r="E113" s="459">
        <f>E79*Group_3_rates!G76</f>
        <v>119.73315840258246</v>
      </c>
      <c r="F113" s="459">
        <f>F79*Group_3_rates!H76</f>
        <v>111.68842794270583</v>
      </c>
      <c r="G113" s="459">
        <f>G79*Group_3_rates!I76</f>
        <v>105.06433923190181</v>
      </c>
      <c r="H113" s="459">
        <f>H79*Group_3_rates!J76</f>
        <v>100.69297010630315</v>
      </c>
      <c r="I113" s="459">
        <f>I79*Group_3_rates!K76</f>
        <v>97.920187980893218</v>
      </c>
      <c r="J113" s="459">
        <f>J79*Group_3_rates!L76</f>
        <v>96.245572983349888</v>
      </c>
      <c r="K113" s="459">
        <f>K79*Group_3_rates!M76</f>
        <v>95.359053449633407</v>
      </c>
      <c r="L113" s="459">
        <f>L79*Group_3_rates!N76</f>
        <v>94.602162161959541</v>
      </c>
      <c r="M113" s="459">
        <f>M79*Group_3_rates!O76</f>
        <v>94.070338745880818</v>
      </c>
      <c r="N113" s="459">
        <f>N79*Group_3_rates!P76</f>
        <v>93.663390739221356</v>
      </c>
    </row>
    <row r="114" spans="1:19">
      <c r="B114" s="338" t="str">
        <f t="shared" si="48"/>
        <v>35-39</v>
      </c>
      <c r="C114" s="459">
        <f>C80*Group_3_rates!E77</f>
        <v>126.065280667208</v>
      </c>
      <c r="D114" s="459">
        <f>D80*Group_3_rates!F77</f>
        <v>125.17001561501725</v>
      </c>
      <c r="E114" s="459">
        <f>E80*Group_3_rates!G77</f>
        <v>123.43867719225577</v>
      </c>
      <c r="F114" s="459">
        <f>F80*Group_3_rates!H77</f>
        <v>119.87612226368859</v>
      </c>
      <c r="G114" s="459">
        <f>G80*Group_3_rates!I77</f>
        <v>115.67089898317299</v>
      </c>
      <c r="H114" s="459">
        <f>H80*Group_3_rates!J77</f>
        <v>111.877171608533</v>
      </c>
      <c r="I114" s="459">
        <f>I80*Group_3_rates!K77</f>
        <v>108.48231013317832</v>
      </c>
      <c r="J114" s="459">
        <f>J80*Group_3_rates!L77</f>
        <v>105.50618249659159</v>
      </c>
      <c r="K114" s="459">
        <f>K80*Group_3_rates!M77</f>
        <v>102.99985331419393</v>
      </c>
      <c r="L114" s="459">
        <f>L80*Group_3_rates!N77</f>
        <v>100.70293545938637</v>
      </c>
      <c r="M114" s="459">
        <f>M80*Group_3_rates!O77</f>
        <v>98.769973887518958</v>
      </c>
      <c r="N114" s="459">
        <f>N80*Group_3_rates!P77</f>
        <v>97.160726621389614</v>
      </c>
    </row>
    <row r="115" spans="1:19">
      <c r="B115" s="338" t="str">
        <f t="shared" si="48"/>
        <v>40-44</v>
      </c>
      <c r="C115" s="459">
        <f>C81*Group_3_rates!E78</f>
        <v>93.262507115959281</v>
      </c>
      <c r="D115" s="459">
        <f>D81*Group_3_rates!F78</f>
        <v>99.836703062328368</v>
      </c>
      <c r="E115" s="459">
        <f>E81*Group_3_rates!G78</f>
        <v>105.57434119334032</v>
      </c>
      <c r="F115" s="459">
        <f>F81*Group_3_rates!H78</f>
        <v>108.88004479386845</v>
      </c>
      <c r="G115" s="459">
        <f>G81*Group_3_rates!I78</f>
        <v>110.56530031137434</v>
      </c>
      <c r="H115" s="459">
        <f>H81*Group_3_rates!J78</f>
        <v>111.49146024839206</v>
      </c>
      <c r="I115" s="459">
        <f>I81*Group_3_rates!K78</f>
        <v>111.63346390552339</v>
      </c>
      <c r="J115" s="459">
        <f>J81*Group_3_rates!L78</f>
        <v>111.11017934413266</v>
      </c>
      <c r="K115" s="459">
        <f>K81*Group_3_rates!M78</f>
        <v>110.13404495275738</v>
      </c>
      <c r="L115" s="459">
        <f>L81*Group_3_rates!N78</f>
        <v>108.65122855704024</v>
      </c>
      <c r="M115" s="459">
        <f>M81*Group_3_rates!O78</f>
        <v>107.00431516067655</v>
      </c>
      <c r="N115" s="459">
        <f>N81*Group_3_rates!P78</f>
        <v>105.31957595934956</v>
      </c>
    </row>
    <row r="116" spans="1:19">
      <c r="B116" s="338" t="str">
        <f t="shared" si="48"/>
        <v>45-49</v>
      </c>
      <c r="C116" s="459">
        <f>C82*Group_3_rates!E79</f>
        <v>52.908699626110987</v>
      </c>
      <c r="D116" s="459">
        <f>D82*Group_3_rates!F79</f>
        <v>61.964808901335076</v>
      </c>
      <c r="E116" s="459">
        <f>E82*Group_3_rates!G79</f>
        <v>70.928536280749725</v>
      </c>
      <c r="F116" s="459">
        <f>F82*Group_3_rates!H79</f>
        <v>78.177547285126408</v>
      </c>
      <c r="G116" s="459">
        <f>G82*Group_3_rates!I79</f>
        <v>84.175599957108005</v>
      </c>
      <c r="H116" s="459">
        <f>H82*Group_3_rates!J79</f>
        <v>89.440478913660741</v>
      </c>
      <c r="I116" s="459">
        <f>I82*Group_3_rates!K79</f>
        <v>93.732900407164578</v>
      </c>
      <c r="J116" s="459">
        <f>J82*Group_3_rates!L79</f>
        <v>96.997710189291482</v>
      </c>
      <c r="K116" s="459">
        <f>K82*Group_3_rates!M79</f>
        <v>99.326880136260783</v>
      </c>
      <c r="L116" s="459">
        <f>L82*Group_3_rates!N79</f>
        <v>100.63147183817239</v>
      </c>
      <c r="M116" s="459">
        <f>M82*Group_3_rates!O79</f>
        <v>101.22880630319298</v>
      </c>
      <c r="N116" s="459">
        <f>N82*Group_3_rates!P79</f>
        <v>101.27847056123372</v>
      </c>
    </row>
    <row r="117" spans="1:19">
      <c r="B117" s="338" t="str">
        <f t="shared" si="48"/>
        <v>50-54</v>
      </c>
      <c r="C117" s="459">
        <f>C83*Group_3_rates!E80</f>
        <v>35.102342519423914</v>
      </c>
      <c r="D117" s="459">
        <f>D83*Group_3_rates!F80</f>
        <v>38.037036805021799</v>
      </c>
      <c r="E117" s="459">
        <f>E83*Group_3_rates!G80</f>
        <v>42.587540739914758</v>
      </c>
      <c r="F117" s="459">
        <f>F83*Group_3_rates!H80</f>
        <v>47.126445993598047</v>
      </c>
      <c r="G117" s="459">
        <f>G83*Group_3_rates!I80</f>
        <v>51.728105195584355</v>
      </c>
      <c r="H117" s="459">
        <f>H83*Group_3_rates!J80</f>
        <v>56.541000648591222</v>
      </c>
      <c r="I117" s="459">
        <f>I83*Group_3_rates!K80</f>
        <v>61.149884008533526</v>
      </c>
      <c r="J117" s="459">
        <f>J83*Group_3_rates!L80</f>
        <v>65.311268920435737</v>
      </c>
      <c r="K117" s="459">
        <f>K83*Group_3_rates!M80</f>
        <v>68.925106129494438</v>
      </c>
      <c r="L117" s="459">
        <f>L83*Group_3_rates!N80</f>
        <v>71.782000441803746</v>
      </c>
      <c r="M117" s="459">
        <f>M83*Group_3_rates!O80</f>
        <v>74.021739174664972</v>
      </c>
      <c r="N117" s="459">
        <f>N83*Group_3_rates!P80</f>
        <v>75.692118001980731</v>
      </c>
    </row>
    <row r="118" spans="1:19">
      <c r="B118" s="338" t="str">
        <f t="shared" si="48"/>
        <v>55-59</v>
      </c>
      <c r="C118" s="459">
        <f>C84*Group_3_rates!E81</f>
        <v>17.39354955874413</v>
      </c>
      <c r="D118" s="459">
        <f>D84*Group_3_rates!F81</f>
        <v>15.348851888705004</v>
      </c>
      <c r="E118" s="459">
        <f>E84*Group_3_rates!G81</f>
        <v>14.764008509444894</v>
      </c>
      <c r="F118" s="459">
        <f>F84*Group_3_rates!H81</f>
        <v>14.734722773076832</v>
      </c>
      <c r="G118" s="459">
        <f>G84*Group_3_rates!I81</f>
        <v>15.202495088304023</v>
      </c>
      <c r="H118" s="459">
        <f>H84*Group_3_rates!J81</f>
        <v>16.143589319172811</v>
      </c>
      <c r="I118" s="459">
        <f>I84*Group_3_rates!K81</f>
        <v>17.297379631519799</v>
      </c>
      <c r="J118" s="459">
        <f>J84*Group_3_rates!L81</f>
        <v>18.505886445984267</v>
      </c>
      <c r="K118" s="459">
        <f>K84*Group_3_rates!M81</f>
        <v>19.684608343966172</v>
      </c>
      <c r="L118" s="459">
        <f>L84*Group_3_rates!N81</f>
        <v>20.706634234667447</v>
      </c>
      <c r="M118" s="459">
        <f>M84*Group_3_rates!O81</f>
        <v>21.603623112286328</v>
      </c>
      <c r="N118" s="459">
        <f>N84*Group_3_rates!P81</f>
        <v>22.361851350728408</v>
      </c>
    </row>
    <row r="119" spans="1:19">
      <c r="B119" s="338" t="str">
        <f t="shared" si="48"/>
        <v>60-64</v>
      </c>
      <c r="C119" s="459">
        <f>C85*Group_3_rates!E82</f>
        <v>2.5313567384353486</v>
      </c>
      <c r="D119" s="459">
        <f>D85*Group_3_rates!F82</f>
        <v>2.5343301002883365</v>
      </c>
      <c r="E119" s="459">
        <f>E85*Group_3_rates!G82</f>
        <v>2.4803401556759899</v>
      </c>
      <c r="F119" s="459">
        <f>F85*Group_3_rates!H82</f>
        <v>2.3802033943964021</v>
      </c>
      <c r="G119" s="459">
        <f>G85*Group_3_rates!I82</f>
        <v>2.3283694138512119</v>
      </c>
      <c r="H119" s="459">
        <f>H85*Group_3_rates!J82</f>
        <v>2.3674400492810332</v>
      </c>
      <c r="I119" s="459">
        <f>I85*Group_3_rates!K82</f>
        <v>2.4588438845900118</v>
      </c>
      <c r="J119" s="459">
        <f>J85*Group_3_rates!L82</f>
        <v>2.5774609869808018</v>
      </c>
      <c r="K119" s="459">
        <f>K85*Group_3_rates!M82</f>
        <v>2.709501986535904</v>
      </c>
      <c r="L119" s="459">
        <f>L85*Group_3_rates!N82</f>
        <v>2.8287643616929135</v>
      </c>
      <c r="M119" s="459">
        <f>M85*Group_3_rates!O82</f>
        <v>2.9434486718374613</v>
      </c>
      <c r="N119" s="459">
        <f>N85*Group_3_rates!P82</f>
        <v>3.0489424617067784</v>
      </c>
    </row>
    <row r="120" spans="1:19">
      <c r="B120" s="338" t="str">
        <f t="shared" si="48"/>
        <v>65 plus</v>
      </c>
      <c r="C120" s="459">
        <f>C86*Group_3_rates!E83</f>
        <v>0.63044084382614263</v>
      </c>
      <c r="D120" s="459">
        <f>D86*Group_3_rates!F83</f>
        <v>0.80715488084921738</v>
      </c>
      <c r="E120" s="459">
        <f>E86*Group_3_rates!G83</f>
        <v>0.93159889543998387</v>
      </c>
      <c r="F120" s="459">
        <f>F86*Group_3_rates!H83</f>
        <v>0.97415967754528809</v>
      </c>
      <c r="G120" s="459">
        <f>G86*Group_3_rates!I83</f>
        <v>0.98230621732531742</v>
      </c>
      <c r="H120" s="459">
        <f>H86*Group_3_rates!J83</f>
        <v>0.99495453805740441</v>
      </c>
      <c r="I120" s="459">
        <f>I86*Group_3_rates!K83</f>
        <v>1.0140928632877602</v>
      </c>
      <c r="J120" s="459">
        <f>J86*Group_3_rates!L83</f>
        <v>1.0393547817273994</v>
      </c>
      <c r="K120" s="459">
        <f>K86*Group_3_rates!M83</f>
        <v>1.0704121277000271</v>
      </c>
      <c r="L120" s="459">
        <f>L86*Group_3_rates!N83</f>
        <v>1.0989293120808898</v>
      </c>
      <c r="M120" s="459">
        <f>M86*Group_3_rates!O83</f>
        <v>1.1290416791636646</v>
      </c>
      <c r="N120" s="459">
        <f>N86*Group_3_rates!P83</f>
        <v>1.1596023825703519</v>
      </c>
    </row>
    <row r="121" spans="1:19">
      <c r="B121" s="338" t="str">
        <f t="shared" si="48"/>
        <v>Total</v>
      </c>
      <c r="C121" s="459">
        <f>SUM(C111:C120)</f>
        <v>620.03964497203003</v>
      </c>
      <c r="D121" s="459">
        <f t="shared" ref="D121:N121" si="50">SUM(D111:D120)</f>
        <v>618.84811515358444</v>
      </c>
      <c r="E121" s="459">
        <f t="shared" si="50"/>
        <v>632.03275960745918</v>
      </c>
      <c r="F121" s="459">
        <f t="shared" si="50"/>
        <v>635.4459815952207</v>
      </c>
      <c r="G121" s="459">
        <f t="shared" si="50"/>
        <v>637.59782947331382</v>
      </c>
      <c r="H121" s="459">
        <f t="shared" si="50"/>
        <v>646.17139471145163</v>
      </c>
      <c r="I121" s="459">
        <f t="shared" si="50"/>
        <v>656.14941980521712</v>
      </c>
      <c r="J121" s="459">
        <f t="shared" si="50"/>
        <v>665.10328876831159</v>
      </c>
      <c r="K121" s="459">
        <f t="shared" si="50"/>
        <v>672.56709141707051</v>
      </c>
      <c r="L121" s="459">
        <f t="shared" si="50"/>
        <v>675.18676873766265</v>
      </c>
      <c r="M121" s="459">
        <f t="shared" si="50"/>
        <v>675.88950256560133</v>
      </c>
      <c r="N121" s="459">
        <f t="shared" si="50"/>
        <v>675.09406613758483</v>
      </c>
    </row>
    <row r="122" spans="1:19">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9">
      <c r="B124" s="341" t="s">
        <v>50</v>
      </c>
      <c r="C124" s="329"/>
      <c r="D124" s="329"/>
      <c r="E124" s="329"/>
      <c r="F124" s="329"/>
      <c r="G124" s="329"/>
      <c r="H124" s="339"/>
      <c r="I124" s="329"/>
      <c r="J124" s="329"/>
      <c r="K124" s="329"/>
      <c r="L124" s="329"/>
    </row>
    <row r="125" spans="1:19">
      <c r="C125" s="329"/>
      <c r="D125" s="329"/>
      <c r="E125" s="329"/>
      <c r="F125" s="329"/>
      <c r="G125" s="329"/>
      <c r="H125" s="339"/>
      <c r="I125" s="329"/>
      <c r="J125" s="329"/>
      <c r="K125" s="329"/>
      <c r="L125" s="329"/>
    </row>
    <row r="126" spans="1:19">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9">
      <c r="B127" s="338" t="str">
        <f t="shared" si="52"/>
        <v>20-24</v>
      </c>
      <c r="C127" s="459">
        <f>C93*Group_3_rates!E89</f>
        <v>54.615091171733503</v>
      </c>
      <c r="D127" s="459">
        <f>D93*Group_3_rates!F89</f>
        <v>53.335501319083505</v>
      </c>
      <c r="E127" s="459">
        <f>E93*Group_3_rates!G89</f>
        <v>56.018280716413621</v>
      </c>
      <c r="F127" s="459">
        <f>F93*Group_3_rates!H89</f>
        <v>55.854439616423221</v>
      </c>
      <c r="G127" s="459">
        <f>G93*Group_3_rates!I89</f>
        <v>55.63953577544595</v>
      </c>
      <c r="H127" s="459">
        <f>H93*Group_3_rates!J89</f>
        <v>57.401062290047356</v>
      </c>
      <c r="I127" s="459">
        <f>I93*Group_3_rates!K89</f>
        <v>59.511873706017468</v>
      </c>
      <c r="J127" s="459">
        <f>J93*Group_3_rates!L89</f>
        <v>61.297411474865591</v>
      </c>
      <c r="K127" s="459">
        <f>K93*Group_3_rates!M89</f>
        <v>62.692450371376033</v>
      </c>
      <c r="L127" s="459">
        <f>L93*Group_3_rates!N89</f>
        <v>62.878583537841244</v>
      </c>
      <c r="M127" s="459">
        <f>M93*Group_3_rates!O89</f>
        <v>62.788288394596385</v>
      </c>
      <c r="N127" s="459">
        <f>N93*Group_3_rates!P89</f>
        <v>62.528998484769865</v>
      </c>
      <c r="O127" s="327"/>
      <c r="P127" s="327"/>
      <c r="Q127" s="327"/>
      <c r="R127" s="327"/>
      <c r="S127" s="327"/>
    </row>
    <row r="128" spans="1:19">
      <c r="B128" s="338" t="str">
        <f t="shared" si="52"/>
        <v>25-29</v>
      </c>
      <c r="C128" s="459">
        <f>C94*Group_3_rates!E90</f>
        <v>149.99689664962673</v>
      </c>
      <c r="D128" s="459">
        <f>D94*Group_3_rates!F90</f>
        <v>132.89009473888052</v>
      </c>
      <c r="E128" s="459">
        <f>E94*Group_3_rates!G90</f>
        <v>124.18195740544668</v>
      </c>
      <c r="F128" s="459">
        <f>F94*Group_3_rates!H90</f>
        <v>115.99860583871971</v>
      </c>
      <c r="G128" s="459">
        <f>G94*Group_3_rates!I90</f>
        <v>109.92137355621298</v>
      </c>
      <c r="H128" s="459">
        <f>H94*Group_3_rates!J90</f>
        <v>107.55805967691704</v>
      </c>
      <c r="I128" s="459">
        <f>I94*Group_3_rates!K90</f>
        <v>107.03725887428058</v>
      </c>
      <c r="J128" s="459">
        <f>J94*Group_3_rates!L90</f>
        <v>107.28257714608996</v>
      </c>
      <c r="K128" s="459">
        <f>K94*Group_3_rates!M90</f>
        <v>107.8628358920395</v>
      </c>
      <c r="L128" s="459">
        <f>L94*Group_3_rates!N90</f>
        <v>107.61454792984678</v>
      </c>
      <c r="M128" s="459">
        <f>M94*Group_3_rates!O90</f>
        <v>107.21942870798588</v>
      </c>
      <c r="N128" s="459">
        <f>N94*Group_3_rates!P90</f>
        <v>106.70653391669042</v>
      </c>
      <c r="O128" s="327"/>
      <c r="P128" s="327"/>
      <c r="Q128" s="327"/>
      <c r="R128" s="327"/>
      <c r="S128" s="327"/>
    </row>
    <row r="129" spans="1:19">
      <c r="B129" s="338" t="str">
        <f t="shared" si="52"/>
        <v>30-34</v>
      </c>
      <c r="C129" s="459">
        <f>C95*Group_3_rates!E91</f>
        <v>165.98764600471435</v>
      </c>
      <c r="D129" s="459">
        <f>D95*Group_3_rates!F91</f>
        <v>155.89284957094702</v>
      </c>
      <c r="E129" s="459">
        <f>E95*Group_3_rates!G91</f>
        <v>147.80623328101342</v>
      </c>
      <c r="F129" s="459">
        <f>F95*Group_3_rates!H91</f>
        <v>139.11865794283662</v>
      </c>
      <c r="G129" s="459">
        <f>G95*Group_3_rates!I91</f>
        <v>131.30708692567146</v>
      </c>
      <c r="H129" s="459">
        <f>H95*Group_3_rates!J91</f>
        <v>125.74240546586738</v>
      </c>
      <c r="I129" s="459">
        <f>I95*Group_3_rates!K91</f>
        <v>121.80044990351688</v>
      </c>
      <c r="J129" s="459">
        <f>J95*Group_3_rates!L91</f>
        <v>119.00477292134615</v>
      </c>
      <c r="K129" s="459">
        <f>K95*Group_3_rates!M91</f>
        <v>117.07989556394725</v>
      </c>
      <c r="L129" s="459">
        <f>L95*Group_3_rates!N91</f>
        <v>115.27299760243972</v>
      </c>
      <c r="M129" s="459">
        <f>M95*Group_3_rates!O91</f>
        <v>113.77254237138959</v>
      </c>
      <c r="N129" s="459">
        <f>N95*Group_3_rates!P91</f>
        <v>112.48815578526334</v>
      </c>
      <c r="O129" s="327"/>
      <c r="P129" s="327"/>
      <c r="Q129" s="327"/>
      <c r="R129" s="327"/>
      <c r="S129" s="327"/>
    </row>
    <row r="130" spans="1:19">
      <c r="B130" s="338" t="str">
        <f t="shared" si="52"/>
        <v>35-39</v>
      </c>
      <c r="C130" s="459">
        <f>C96*Group_3_rates!E92</f>
        <v>129.29905661264766</v>
      </c>
      <c r="D130" s="459">
        <f>D96*Group_3_rates!F92</f>
        <v>128.16622229833405</v>
      </c>
      <c r="E130" s="459">
        <f>E96*Group_3_rates!G92</f>
        <v>126.95092365100088</v>
      </c>
      <c r="F130" s="459">
        <f>F96*Group_3_rates!H92</f>
        <v>123.94674876046102</v>
      </c>
      <c r="G130" s="459">
        <f>G96*Group_3_rates!I92</f>
        <v>120.24595559729028</v>
      </c>
      <c r="H130" s="459">
        <f>H96*Group_3_rates!J92</f>
        <v>116.9116355476859</v>
      </c>
      <c r="I130" s="459">
        <f>I96*Group_3_rates!K92</f>
        <v>113.83720060283167</v>
      </c>
      <c r="J130" s="459">
        <f>J96*Group_3_rates!L92</f>
        <v>111.01665032975858</v>
      </c>
      <c r="K130" s="459">
        <f>K96*Group_3_rates!M92</f>
        <v>108.51717626549933</v>
      </c>
      <c r="L130" s="459">
        <f>L96*Group_3_rates!N92</f>
        <v>106.06123484417397</v>
      </c>
      <c r="M130" s="459">
        <f>M96*Group_3_rates!O92</f>
        <v>103.87031025572044</v>
      </c>
      <c r="N130" s="459">
        <f>N96*Group_3_rates!P92</f>
        <v>101.9359705582477</v>
      </c>
      <c r="O130" s="327"/>
      <c r="P130" s="327"/>
      <c r="Q130" s="327"/>
      <c r="R130" s="327"/>
      <c r="S130" s="327"/>
    </row>
    <row r="131" spans="1:19">
      <c r="B131" s="338" t="str">
        <f t="shared" si="52"/>
        <v>40-44</v>
      </c>
      <c r="C131" s="459">
        <f>C97*Group_3_rates!E93</f>
        <v>78.672134688455472</v>
      </c>
      <c r="D131" s="459">
        <f>D97*Group_3_rates!F93</f>
        <v>85.002549452380762</v>
      </c>
      <c r="E131" s="459">
        <f>E97*Group_3_rates!G93</f>
        <v>90.515303078161111</v>
      </c>
      <c r="F131" s="459">
        <f>F97*Group_3_rates!H93</f>
        <v>93.772451427901061</v>
      </c>
      <c r="G131" s="459">
        <f>G97*Group_3_rates!I93</f>
        <v>95.620447509968386</v>
      </c>
      <c r="H131" s="459">
        <f>H97*Group_3_rates!J93</f>
        <v>96.886175457878679</v>
      </c>
      <c r="I131" s="459">
        <f>I97*Group_3_rates!K93</f>
        <v>97.480348139327532</v>
      </c>
      <c r="J131" s="459">
        <f>J97*Group_3_rates!L93</f>
        <v>97.458597541583998</v>
      </c>
      <c r="K131" s="459">
        <f>K97*Group_3_rates!M93</f>
        <v>96.98100363988263</v>
      </c>
      <c r="L131" s="459">
        <f>L97*Group_3_rates!N93</f>
        <v>95.954839313696866</v>
      </c>
      <c r="M131" s="459">
        <f>M97*Group_3_rates!O93</f>
        <v>94.700381938798529</v>
      </c>
      <c r="N131" s="459">
        <f>N97*Group_3_rates!P93</f>
        <v>93.332142759914973</v>
      </c>
      <c r="O131" s="327"/>
      <c r="P131" s="327"/>
      <c r="Q131" s="327"/>
      <c r="R131" s="327"/>
      <c r="S131" s="327"/>
    </row>
    <row r="132" spans="1:19">
      <c r="B132" s="338" t="str">
        <f t="shared" si="52"/>
        <v>45-49</v>
      </c>
      <c r="C132" s="459">
        <f>C98*Group_3_rates!E94</f>
        <v>46.627359617707519</v>
      </c>
      <c r="D132" s="459">
        <f>D98*Group_3_rates!F94</f>
        <v>52.948022766440197</v>
      </c>
      <c r="E132" s="459">
        <f>E98*Group_3_rates!G94</f>
        <v>59.693506264383764</v>
      </c>
      <c r="F132" s="459">
        <f>F98*Group_3_rates!H94</f>
        <v>65.206628142622691</v>
      </c>
      <c r="G132" s="459">
        <f>G98*Group_3_rates!I94</f>
        <v>69.863330943895903</v>
      </c>
      <c r="H132" s="459">
        <f>H98*Group_3_rates!J94</f>
        <v>74.111149107227448</v>
      </c>
      <c r="I132" s="459">
        <f>I98*Group_3_rates!K94</f>
        <v>77.686849763177037</v>
      </c>
      <c r="J132" s="459">
        <f>J98*Group_3_rates!L94</f>
        <v>80.498594726579242</v>
      </c>
      <c r="K132" s="459">
        <f>K98*Group_3_rates!M94</f>
        <v>82.591295819866275</v>
      </c>
      <c r="L132" s="459">
        <f>L98*Group_3_rates!N94</f>
        <v>83.840069837019456</v>
      </c>
      <c r="M132" s="459">
        <f>M98*Group_3_rates!O94</f>
        <v>84.506004044896699</v>
      </c>
      <c r="N132" s="459">
        <f>N98*Group_3_rates!P94</f>
        <v>84.706352170690323</v>
      </c>
      <c r="O132" s="327"/>
      <c r="P132" s="327"/>
      <c r="Q132" s="327"/>
      <c r="R132" s="327"/>
      <c r="S132" s="327"/>
    </row>
    <row r="133" spans="1:19">
      <c r="B133" s="338" t="str">
        <f t="shared" si="52"/>
        <v>50-54</v>
      </c>
      <c r="C133" s="459">
        <f>C99*Group_3_rates!E95</f>
        <v>37.119943675443338</v>
      </c>
      <c r="D133" s="459">
        <f>D99*Group_3_rates!F95</f>
        <v>38.746615177400066</v>
      </c>
      <c r="E133" s="459">
        <f>E99*Group_3_rates!G95</f>
        <v>41.914013277558453</v>
      </c>
      <c r="F133" s="459">
        <f>F99*Group_3_rates!H95</f>
        <v>45.115226750765913</v>
      </c>
      <c r="G133" s="459">
        <f>G99*Group_3_rates!I95</f>
        <v>48.489879977658539</v>
      </c>
      <c r="H133" s="459">
        <f>H99*Group_3_rates!J95</f>
        <v>52.220285992811412</v>
      </c>
      <c r="I133" s="459">
        <f>I99*Group_3_rates!K95</f>
        <v>55.905757552939548</v>
      </c>
      <c r="J133" s="459">
        <f>J99*Group_3_rates!L95</f>
        <v>59.306509874564284</v>
      </c>
      <c r="K133" s="459">
        <f>K99*Group_3_rates!M95</f>
        <v>62.317676353872614</v>
      </c>
      <c r="L133" s="459">
        <f>L99*Group_3_rates!N95</f>
        <v>64.717932992028366</v>
      </c>
      <c r="M133" s="459">
        <f>M99*Group_3_rates!O95</f>
        <v>66.631178160700784</v>
      </c>
      <c r="N133" s="459">
        <f>N99*Group_3_rates!P95</f>
        <v>68.085763339310631</v>
      </c>
      <c r="O133" s="327"/>
      <c r="P133" s="327"/>
      <c r="Q133" s="327"/>
      <c r="R133" s="327"/>
      <c r="S133" s="327"/>
    </row>
    <row r="134" spans="1:19">
      <c r="B134" s="338" t="str">
        <f t="shared" si="52"/>
        <v>55-59</v>
      </c>
      <c r="C134" s="459">
        <f>C100*Group_3_rates!E96</f>
        <v>18.475172321272705</v>
      </c>
      <c r="D134" s="459">
        <f>D100*Group_3_rates!F96</f>
        <v>16.499402695320665</v>
      </c>
      <c r="E134" s="459">
        <f>E100*Group_3_rates!G96</f>
        <v>15.817782993331928</v>
      </c>
      <c r="F134" s="459">
        <f>F100*Group_3_rates!H96</f>
        <v>15.58099426937469</v>
      </c>
      <c r="G134" s="459">
        <f>G100*Group_3_rates!I96</f>
        <v>15.789755936014878</v>
      </c>
      <c r="H134" s="459">
        <f>H100*Group_3_rates!J96</f>
        <v>16.463104569797807</v>
      </c>
      <c r="I134" s="459">
        <f>I100*Group_3_rates!K96</f>
        <v>17.360496599528584</v>
      </c>
      <c r="J134" s="459">
        <f>J100*Group_3_rates!L96</f>
        <v>18.336060901111516</v>
      </c>
      <c r="K134" s="459">
        <f>K100*Group_3_rates!M96</f>
        <v>19.312432872726525</v>
      </c>
      <c r="L134" s="459">
        <f>L100*Group_3_rates!N96</f>
        <v>20.163121941328512</v>
      </c>
      <c r="M134" s="459">
        <f>M100*Group_3_rates!O96</f>
        <v>20.92195493808498</v>
      </c>
      <c r="N134" s="459">
        <f>N100*Group_3_rates!P96</f>
        <v>21.573650248887251</v>
      </c>
      <c r="O134" s="327"/>
      <c r="P134" s="327"/>
      <c r="Q134" s="327"/>
      <c r="R134" s="327"/>
      <c r="S134" s="327"/>
    </row>
    <row r="135" spans="1:19">
      <c r="B135" s="338" t="str">
        <f t="shared" si="52"/>
        <v>60-64</v>
      </c>
      <c r="C135" s="459">
        <f>C101*Group_3_rates!E97</f>
        <v>2.7008881355560628</v>
      </c>
      <c r="D135" s="459">
        <f>D101*Group_3_rates!F97</f>
        <v>2.717503844147438</v>
      </c>
      <c r="E135" s="459">
        <f>E101*Group_3_rates!G97</f>
        <v>2.6723337824271889</v>
      </c>
      <c r="F135" s="459">
        <f>F101*Group_3_rates!H97</f>
        <v>2.5653107741702277</v>
      </c>
      <c r="G135" s="459">
        <f>G101*Group_3_rates!I97</f>
        <v>2.4990354699579598</v>
      </c>
      <c r="H135" s="459">
        <f>H101*Group_3_rates!J97</f>
        <v>2.5213000751550658</v>
      </c>
      <c r="I135" s="459">
        <f>I101*Group_3_rates!K97</f>
        <v>2.5921779672569443</v>
      </c>
      <c r="J135" s="459">
        <f>J101*Group_3_rates!L97</f>
        <v>2.6879212881298478</v>
      </c>
      <c r="K135" s="459">
        <f>K101*Group_3_rates!M97</f>
        <v>2.7968276208421536</v>
      </c>
      <c r="L135" s="459">
        <f>L101*Group_3_rates!N97</f>
        <v>2.892733456883489</v>
      </c>
      <c r="M135" s="459">
        <f>M101*Group_3_rates!O97</f>
        <v>2.9866486812772939</v>
      </c>
      <c r="N135" s="459">
        <f>N101*Group_3_rates!P97</f>
        <v>3.074344939983563</v>
      </c>
      <c r="O135" s="327"/>
      <c r="P135" s="327"/>
      <c r="Q135" s="327"/>
      <c r="R135" s="327"/>
      <c r="S135" s="327"/>
    </row>
    <row r="136" spans="1:19">
      <c r="B136" s="338" t="str">
        <f t="shared" si="52"/>
        <v>65 plus</v>
      </c>
      <c r="C136" s="459">
        <f>C102*Group_3_rates!E98</f>
        <v>0.63100013572134173</v>
      </c>
      <c r="D136" s="459">
        <f>D102*Group_3_rates!F98</f>
        <v>0.92876776049403886</v>
      </c>
      <c r="E136" s="459">
        <f>E102*Group_3_rates!G98</f>
        <v>1.119914887033566</v>
      </c>
      <c r="F136" s="459">
        <f>F102*Group_3_rates!H98</f>
        <v>1.1840434428457505</v>
      </c>
      <c r="G136" s="459">
        <f>G102*Group_3_rates!I98</f>
        <v>1.1968388722317507</v>
      </c>
      <c r="H136" s="459">
        <f>H102*Group_3_rates!J98</f>
        <v>1.213539388926794</v>
      </c>
      <c r="I136" s="459">
        <f>I102*Group_3_rates!K98</f>
        <v>1.2351631935928427</v>
      </c>
      <c r="J136" s="459">
        <f>J102*Group_3_rates!L98</f>
        <v>1.2609606268203306</v>
      </c>
      <c r="K136" s="459">
        <f>K102*Group_3_rates!M98</f>
        <v>1.2912341846456625</v>
      </c>
      <c r="L136" s="459">
        <f>L102*Group_3_rates!N98</f>
        <v>1.3155103073391938</v>
      </c>
      <c r="M136" s="459">
        <f>M102*Group_3_rates!O98</f>
        <v>1.3411928937492887</v>
      </c>
      <c r="N136" s="459">
        <f>N102*Group_3_rates!P98</f>
        <v>1.3675565244769172</v>
      </c>
      <c r="O136" s="327"/>
      <c r="P136" s="327"/>
      <c r="Q136" s="327"/>
      <c r="R136" s="327"/>
      <c r="S136" s="327"/>
    </row>
    <row r="137" spans="1:19">
      <c r="B137" s="338" t="str">
        <f t="shared" si="52"/>
        <v>Total</v>
      </c>
      <c r="C137" s="459">
        <f>SUM(C127:C136)</f>
        <v>684.12518901287865</v>
      </c>
      <c r="D137" s="459">
        <f t="shared" ref="D137:N137" si="54">SUM(D127:D136)</f>
        <v>667.12752962342825</v>
      </c>
      <c r="E137" s="459">
        <f t="shared" si="54"/>
        <v>666.69024933677065</v>
      </c>
      <c r="F137" s="459">
        <f t="shared" si="54"/>
        <v>658.34310696612101</v>
      </c>
      <c r="G137" s="459">
        <f t="shared" si="54"/>
        <v>650.57324056434811</v>
      </c>
      <c r="H137" s="459">
        <f t="shared" si="54"/>
        <v>651.02871757231492</v>
      </c>
      <c r="I137" s="459">
        <f t="shared" si="54"/>
        <v>654.44757630246909</v>
      </c>
      <c r="J137" s="459">
        <f t="shared" si="54"/>
        <v>658.15005683084939</v>
      </c>
      <c r="K137" s="459">
        <f t="shared" si="54"/>
        <v>661.44282858469785</v>
      </c>
      <c r="L137" s="459">
        <f t="shared" si="54"/>
        <v>660.7115717625976</v>
      </c>
      <c r="M137" s="459">
        <f t="shared" si="54"/>
        <v>658.73793038719975</v>
      </c>
      <c r="N137" s="459">
        <f t="shared" si="54"/>
        <v>655.79946872823496</v>
      </c>
      <c r="O137" s="327"/>
      <c r="P137" s="327"/>
      <c r="Q137" s="327"/>
      <c r="R137" s="327"/>
      <c r="S137" s="327"/>
    </row>
    <row r="138" spans="1:19">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9" ht="15.75">
      <c r="B140" s="340" t="s">
        <v>152</v>
      </c>
      <c r="H140" s="325"/>
    </row>
    <row r="141" spans="1:19">
      <c r="H141" s="325"/>
    </row>
    <row r="142" spans="1:19">
      <c r="B142" s="341" t="s">
        <v>49</v>
      </c>
      <c r="H142" s="325"/>
    </row>
    <row r="143" spans="1:19">
      <c r="H143" s="325"/>
    </row>
    <row r="144" spans="1:19">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0.81124998038612839</v>
      </c>
      <c r="D148" s="459">
        <f>D80*Calc_SEC_retirement_rates!$G127</f>
        <v>0.80548880845848714</v>
      </c>
      <c r="E148" s="459">
        <f>E80*Calc_SEC_retirement_rates!$G127</f>
        <v>0.79434737241778386</v>
      </c>
      <c r="F148" s="459">
        <f>F80*Calc_SEC_retirement_rates!$G127</f>
        <v>0.7714217691063211</v>
      </c>
      <c r="G148" s="459">
        <f>G80*Calc_SEC_retirement_rates!$G127</f>
        <v>0.74436049350544131</v>
      </c>
      <c r="H148" s="459">
        <f>H80*Calc_SEC_retirement_rates!$G127</f>
        <v>0.71994725901313472</v>
      </c>
      <c r="I148" s="459">
        <f>I80*Calc_SEC_retirement_rates!$G127</f>
        <v>0.69810078954335697</v>
      </c>
      <c r="J148" s="459">
        <f>J80*Calc_SEC_retirement_rates!$G127</f>
        <v>0.6789489384228159</v>
      </c>
      <c r="K148" s="459">
        <f>K80*Calc_SEC_retirement_rates!$G127</f>
        <v>0.66282031451225032</v>
      </c>
      <c r="L148" s="459">
        <f>L80*Calc_SEC_retirement_rates!$G127</f>
        <v>0.64803928555011936</v>
      </c>
      <c r="M148" s="459">
        <f>M80*Calc_SEC_retirement_rates!$G127</f>
        <v>0.63560037271888425</v>
      </c>
      <c r="N148" s="459">
        <f>N80*Calc_SEC_retirement_rates!$G127</f>
        <v>0.62524461254308961</v>
      </c>
    </row>
    <row r="149" spans="1:14">
      <c r="B149" s="338" t="str">
        <f t="shared" si="56"/>
        <v>40-44</v>
      </c>
      <c r="C149" s="459">
        <f>C81*Calc_SEC_retirement_rates!$G128</f>
        <v>0.68743271860117472</v>
      </c>
      <c r="D149" s="459">
        <f>D81*Calc_SEC_retirement_rates!$G128</f>
        <v>0.73589074886204009</v>
      </c>
      <c r="E149" s="459">
        <f>E81*Calc_SEC_retirement_rates!$G128</f>
        <v>0.77818255830103766</v>
      </c>
      <c r="F149" s="459">
        <f>F81*Calc_SEC_retirement_rates!$G128</f>
        <v>0.80254871446897402</v>
      </c>
      <c r="G149" s="459">
        <f>G81*Calc_SEC_retirement_rates!$G128</f>
        <v>0.81497063853859264</v>
      </c>
      <c r="H149" s="459">
        <f>H81*Calc_SEC_retirement_rates!$G128</f>
        <v>0.82179731158279845</v>
      </c>
      <c r="I149" s="459">
        <f>I81*Calc_SEC_retirement_rates!$G128</f>
        <v>0.82284401258936402</v>
      </c>
      <c r="J149" s="459">
        <f>J81*Calc_SEC_retirement_rates!$G128</f>
        <v>0.81898691138371471</v>
      </c>
      <c r="K149" s="459">
        <f>K81*Calc_SEC_retirement_rates!$G128</f>
        <v>0.81179187943428521</v>
      </c>
      <c r="L149" s="459">
        <f>L81*Calc_SEC_retirement_rates!$G128</f>
        <v>0.80086212279771085</v>
      </c>
      <c r="M149" s="459">
        <f>M81*Calc_SEC_retirement_rates!$G128</f>
        <v>0.78872281635642771</v>
      </c>
      <c r="N149" s="459">
        <f>N81*Calc_SEC_retirement_rates!$G128</f>
        <v>0.77630469802445756</v>
      </c>
    </row>
    <row r="150" spans="1:14">
      <c r="B150" s="338" t="str">
        <f t="shared" si="56"/>
        <v>45-49</v>
      </c>
      <c r="C150" s="459">
        <f>C82*Calc_SEC_retirement_rates!$G129</f>
        <v>0.86321416219203084</v>
      </c>
      <c r="D150" s="459">
        <f>D82*Calc_SEC_retirement_rates!$G129</f>
        <v>1.0109660789084662</v>
      </c>
      <c r="E150" s="459">
        <f>E82*Calc_SEC_retirement_rates!$G129</f>
        <v>1.1572107697555003</v>
      </c>
      <c r="F150" s="459">
        <f>F82*Calc_SEC_retirement_rates!$G129</f>
        <v>1.2754795800850536</v>
      </c>
      <c r="G150" s="459">
        <f>G82*Calc_SEC_retirement_rates!$G129</f>
        <v>1.3733387988641343</v>
      </c>
      <c r="H150" s="459">
        <f>H82*Calc_SEC_retirement_rates!$G129</f>
        <v>1.4592361675320322</v>
      </c>
      <c r="I150" s="459">
        <f>I82*Calc_SEC_retirement_rates!$G129</f>
        <v>1.5292677322742017</v>
      </c>
      <c r="J150" s="459">
        <f>J82*Calc_SEC_retirement_rates!$G129</f>
        <v>1.582533642430954</v>
      </c>
      <c r="K150" s="459">
        <f>K82*Calc_SEC_retirement_rates!$G129</f>
        <v>1.6205344343344412</v>
      </c>
      <c r="L150" s="459">
        <f>L82*Calc_SEC_retirement_rates!$G129</f>
        <v>1.6418190631559091</v>
      </c>
      <c r="M150" s="459">
        <f>M82*Calc_SEC_retirement_rates!$G129</f>
        <v>1.6515646734887077</v>
      </c>
      <c r="N150" s="459">
        <f>N82*Calc_SEC_retirement_rates!$G129</f>
        <v>1.6523749540512329</v>
      </c>
    </row>
    <row r="151" spans="1:14">
      <c r="B151" s="338" t="str">
        <f t="shared" si="56"/>
        <v>50-54</v>
      </c>
      <c r="C151" s="459">
        <f>C83*Calc_SEC_retirement_rates!$G130</f>
        <v>12.352243810388252</v>
      </c>
      <c r="D151" s="459">
        <f>D83*Calc_SEC_retirement_rates!$G130</f>
        <v>13.384940112767481</v>
      </c>
      <c r="E151" s="459">
        <f>E83*Calc_SEC_retirement_rates!$G130</f>
        <v>14.986227378220653</v>
      </c>
      <c r="F151" s="459">
        <f>F83*Calc_SEC_retirement_rates!$G130</f>
        <v>16.583433157143361</v>
      </c>
      <c r="G151" s="459">
        <f>G83*Calc_SEC_retirement_rates!$G130</f>
        <v>18.202721566849878</v>
      </c>
      <c r="H151" s="459">
        <f>H83*Calc_SEC_retirement_rates!$G130</f>
        <v>19.896342385362296</v>
      </c>
      <c r="I151" s="459">
        <f>I83*Calc_SEC_retirement_rates!$G130</f>
        <v>21.518172920579321</v>
      </c>
      <c r="J151" s="459">
        <f>J83*Calc_SEC_retirement_rates!$G130</f>
        <v>22.982532200654248</v>
      </c>
      <c r="K151" s="459">
        <f>K83*Calc_SEC_retirement_rates!$G130</f>
        <v>24.254213663868423</v>
      </c>
      <c r="L151" s="459">
        <f>L83*Calc_SEC_retirement_rates!$G130</f>
        <v>25.259532755226179</v>
      </c>
      <c r="M151" s="459">
        <f>M83*Calc_SEC_retirement_rates!$G130</f>
        <v>26.047679554391021</v>
      </c>
      <c r="N151" s="459">
        <f>N83*Calc_SEC_retirement_rates!$G130</f>
        <v>26.635472990663754</v>
      </c>
    </row>
    <row r="152" spans="1:14">
      <c r="B152" s="338" t="str">
        <f t="shared" si="56"/>
        <v>55-59</v>
      </c>
      <c r="C152" s="459">
        <f>C84*Calc_SEC_retirement_rates!$G131</f>
        <v>74.564234992926984</v>
      </c>
      <c r="D152" s="459">
        <f>D84*Calc_SEC_retirement_rates!$G131</f>
        <v>65.798840842447675</v>
      </c>
      <c r="E152" s="459">
        <f>E84*Calc_SEC_retirement_rates!$G131</f>
        <v>63.291681563777878</v>
      </c>
      <c r="F152" s="459">
        <f>F84*Calc_SEC_retirement_rates!$G131</f>
        <v>63.166136831168011</v>
      </c>
      <c r="G152" s="459">
        <f>G84*Calc_SEC_retirement_rates!$G131</f>
        <v>65.17142532722724</v>
      </c>
      <c r="H152" s="459">
        <f>H84*Calc_SEC_retirement_rates!$G131</f>
        <v>69.205792846289</v>
      </c>
      <c r="I152" s="459">
        <f>I84*Calc_SEC_retirement_rates!$G131</f>
        <v>74.151965086282033</v>
      </c>
      <c r="J152" s="459">
        <f>J84*Calc_SEC_retirement_rates!$G131</f>
        <v>79.332700956205784</v>
      </c>
      <c r="K152" s="459">
        <f>K84*Calc_SEC_retirement_rates!$G131</f>
        <v>84.385752163240582</v>
      </c>
      <c r="L152" s="459">
        <f>L84*Calc_SEC_retirement_rates!$G131</f>
        <v>88.767064811687021</v>
      </c>
      <c r="M152" s="459">
        <f>M84*Calc_SEC_retirement_rates!$G131</f>
        <v>92.612357529595315</v>
      </c>
      <c r="N152" s="459">
        <f>N84*Calc_SEC_retirement_rates!$G131</f>
        <v>95.862798640452183</v>
      </c>
    </row>
    <row r="153" spans="1:14">
      <c r="B153" s="338" t="str">
        <f t="shared" si="56"/>
        <v>60-64</v>
      </c>
      <c r="C153" s="459">
        <f>C85*Calc_SEC_retirement_rates!$G132</f>
        <v>47.94250677568624</v>
      </c>
      <c r="D153" s="459">
        <f>D85*Calc_SEC_retirement_rates!$G132</f>
        <v>47.998820616647102</v>
      </c>
      <c r="E153" s="459">
        <f>E85*Calc_SEC_retirement_rates!$G132</f>
        <v>46.976280709057356</v>
      </c>
      <c r="F153" s="459">
        <f>F85*Calc_SEC_retirement_rates!$G132</f>
        <v>45.079745430861315</v>
      </c>
      <c r="G153" s="459">
        <f>G85*Calc_SEC_retirement_rates!$G132</f>
        <v>44.0980382989639</v>
      </c>
      <c r="H153" s="459">
        <f>H85*Calc_SEC_retirement_rates!$G132</f>
        <v>44.838014682135544</v>
      </c>
      <c r="I153" s="459">
        <f>I85*Calc_SEC_retirement_rates!$G132</f>
        <v>46.569153137291828</v>
      </c>
      <c r="J153" s="459">
        <f>J85*Calc_SEC_retirement_rates!$G132</f>
        <v>48.815695929438057</v>
      </c>
      <c r="K153" s="459">
        <f>K85*Calc_SEC_retirement_rates!$G132</f>
        <v>51.316479963438631</v>
      </c>
      <c r="L153" s="459">
        <f>L85*Calc_SEC_retirement_rates!$G132</f>
        <v>53.575243867487785</v>
      </c>
      <c r="M153" s="459">
        <f>M85*Calc_SEC_retirement_rates!$G132</f>
        <v>55.747301733803532</v>
      </c>
      <c r="N153" s="459">
        <f>N85*Calc_SEC_retirement_rates!$G132</f>
        <v>57.745296192193742</v>
      </c>
    </row>
    <row r="154" spans="1:14">
      <c r="B154" s="338" t="str">
        <f t="shared" si="56"/>
        <v>65 plus</v>
      </c>
      <c r="C154" s="459">
        <f>C86*Calc_SEC_retirement_rates!$G133</f>
        <v>11.85383732484066</v>
      </c>
      <c r="D154" s="459">
        <f>D86*Calc_SEC_retirement_rates!$G133</f>
        <v>15.176495538376498</v>
      </c>
      <c r="E154" s="459">
        <f>E86*Calc_SEC_retirement_rates!$G133</f>
        <v>17.516348863958054</v>
      </c>
      <c r="F154" s="459">
        <f>F86*Calc_SEC_retirement_rates!$G133</f>
        <v>18.316596170957403</v>
      </c>
      <c r="G154" s="459">
        <f>G86*Calc_SEC_retirement_rates!$G133</f>
        <v>18.469771140914524</v>
      </c>
      <c r="H154" s="459">
        <f>H86*Calc_SEC_retirement_rates!$G133</f>
        <v>18.707590656986223</v>
      </c>
      <c r="I154" s="459">
        <f>I86*Calc_SEC_retirement_rates!$G133</f>
        <v>19.067438208381692</v>
      </c>
      <c r="J154" s="459">
        <f>J86*Calc_SEC_retirement_rates!$G133</f>
        <v>19.542424362323608</v>
      </c>
      <c r="K154" s="459">
        <f>K86*Calc_SEC_retirement_rates!$G133</f>
        <v>20.12637879755108</v>
      </c>
      <c r="L154" s="459">
        <f>L86*Calc_SEC_retirement_rates!$G133</f>
        <v>20.662571951791662</v>
      </c>
      <c r="M154" s="459">
        <f>M86*Calc_SEC_retirement_rates!$G133</f>
        <v>21.228758461375634</v>
      </c>
      <c r="N154" s="459">
        <f>N86*Calc_SEC_retirement_rates!$G133</f>
        <v>21.803374795744155</v>
      </c>
    </row>
    <row r="155" spans="1:14">
      <c r="B155" s="338" t="str">
        <f t="shared" si="56"/>
        <v>Total</v>
      </c>
      <c r="C155" s="459">
        <f>SUM(C145:C154)</f>
        <v>149.07471976502148</v>
      </c>
      <c r="D155" s="459">
        <f t="shared" ref="D155:N155" si="58">SUM(D145:D154)</f>
        <v>144.91144274646774</v>
      </c>
      <c r="E155" s="459">
        <f t="shared" si="58"/>
        <v>145.50027921548826</v>
      </c>
      <c r="F155" s="459">
        <f t="shared" si="58"/>
        <v>145.99536165379044</v>
      </c>
      <c r="G155" s="459">
        <f t="shared" si="58"/>
        <v>148.87462626486371</v>
      </c>
      <c r="H155" s="459">
        <f t="shared" si="58"/>
        <v>155.648721308901</v>
      </c>
      <c r="I155" s="459">
        <f t="shared" si="58"/>
        <v>164.3569418869418</v>
      </c>
      <c r="J155" s="459">
        <f t="shared" si="58"/>
        <v>173.75382294085918</v>
      </c>
      <c r="K155" s="459">
        <f t="shared" si="58"/>
        <v>183.17797121637969</v>
      </c>
      <c r="L155" s="459">
        <f t="shared" si="58"/>
        <v>191.35513385769639</v>
      </c>
      <c r="M155" s="459">
        <f t="shared" si="58"/>
        <v>198.71198514172951</v>
      </c>
      <c r="N155" s="459">
        <f t="shared" si="58"/>
        <v>205.10086688367261</v>
      </c>
    </row>
    <row r="156" spans="1:14">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0.23098053314706288</v>
      </c>
      <c r="D163" s="459">
        <f>D95*Calc_SEC_retirement_rates!$G142</f>
        <v>0.21693309336219829</v>
      </c>
      <c r="E163" s="459">
        <f>E95*Calc_SEC_retirement_rates!$G142</f>
        <v>0.20568014179041966</v>
      </c>
      <c r="F163" s="459">
        <f>F95*Calc_SEC_retirement_rates!$G142</f>
        <v>0.19359092411869991</v>
      </c>
      <c r="G163" s="459">
        <f>G95*Calc_SEC_retirement_rates!$G142</f>
        <v>0.18272071249939839</v>
      </c>
      <c r="H163" s="459">
        <f>H95*Calc_SEC_retirement_rates!$G142</f>
        <v>0.17497716578784001</v>
      </c>
      <c r="I163" s="459">
        <f>I95*Calc_SEC_retirement_rates!$G142</f>
        <v>0.16949172744739935</v>
      </c>
      <c r="J163" s="459">
        <f>J95*Calc_SEC_retirement_rates!$G142</f>
        <v>0.16560139599568141</v>
      </c>
      <c r="K163" s="459">
        <f>K95*Calc_SEC_retirement_rates!$G142</f>
        <v>0.16292282798802329</v>
      </c>
      <c r="L163" s="459">
        <f>L95*Calc_SEC_retirement_rates!$G142</f>
        <v>0.1604084345103334</v>
      </c>
      <c r="M163" s="459">
        <f>M95*Calc_SEC_retirement_rates!$G142</f>
        <v>0.15832047219763568</v>
      </c>
      <c r="N163" s="459">
        <f>N95*Calc_SEC_retirement_rates!$G142</f>
        <v>0.15653318076016356</v>
      </c>
    </row>
    <row r="164" spans="1:14">
      <c r="B164" s="338" t="str">
        <f t="shared" si="60"/>
        <v>35-39</v>
      </c>
      <c r="C164" s="459">
        <f>C96*Calc_SEC_retirement_rates!$G143</f>
        <v>0.55509321629215935</v>
      </c>
      <c r="D164" s="459">
        <f>D96*Calc_SEC_retirement_rates!$G143</f>
        <v>0.55022985023572857</v>
      </c>
      <c r="E164" s="459">
        <f>E96*Calc_SEC_retirement_rates!$G143</f>
        <v>0.54501245691069722</v>
      </c>
      <c r="F164" s="459">
        <f>F96*Calc_SEC_retirement_rates!$G143</f>
        <v>0.53211524678417887</v>
      </c>
      <c r="G164" s="459">
        <f>G96*Calc_SEC_retirement_rates!$G143</f>
        <v>0.51622738778818722</v>
      </c>
      <c r="H164" s="459">
        <f>H96*Calc_SEC_retirement_rates!$G143</f>
        <v>0.50191283291848621</v>
      </c>
      <c r="I164" s="459">
        <f>I96*Calc_SEC_retirement_rates!$G143</f>
        <v>0.48871398965907448</v>
      </c>
      <c r="J164" s="459">
        <f>J96*Calc_SEC_retirement_rates!$G143</f>
        <v>0.47660509757733038</v>
      </c>
      <c r="K164" s="459">
        <f>K96*Calc_SEC_retirement_rates!$G143</f>
        <v>0.46587461636798194</v>
      </c>
      <c r="L164" s="459">
        <f>L96*Calc_SEC_retirement_rates!$G143</f>
        <v>0.45533102495824163</v>
      </c>
      <c r="M164" s="459">
        <f>M96*Calc_SEC_retirement_rates!$G143</f>
        <v>0.4459251761584192</v>
      </c>
      <c r="N164" s="459">
        <f>N96*Calc_SEC_retirement_rates!$G143</f>
        <v>0.43762087083553941</v>
      </c>
    </row>
    <row r="165" spans="1:14">
      <c r="B165" s="338" t="str">
        <f t="shared" si="60"/>
        <v>40-44</v>
      </c>
      <c r="C165" s="459">
        <f>C97*Calc_SEC_retirement_rates!$G144</f>
        <v>0.56790168063458701</v>
      </c>
      <c r="D165" s="459">
        <f>D97*Calc_SEC_retirement_rates!$G144</f>
        <v>0.6135983329217497</v>
      </c>
      <c r="E165" s="459">
        <f>E97*Calc_SEC_retirement_rates!$G144</f>
        <v>0.65339262681504195</v>
      </c>
      <c r="F165" s="459">
        <f>F97*Calc_SEC_retirement_rates!$G144</f>
        <v>0.67690463687068014</v>
      </c>
      <c r="G165" s="459">
        <f>G97*Calc_SEC_retirement_rates!$G144</f>
        <v>0.69024455811430918</v>
      </c>
      <c r="H165" s="459">
        <f>H97*Calc_SEC_retirement_rates!$G144</f>
        <v>0.69938132593802371</v>
      </c>
      <c r="I165" s="459">
        <f>I97*Calc_SEC_retirement_rates!$G144</f>
        <v>0.70367041337308822</v>
      </c>
      <c r="J165" s="459">
        <f>J97*Calc_SEC_retirement_rates!$G144</f>
        <v>0.7035134047821523</v>
      </c>
      <c r="K165" s="459">
        <f>K97*Calc_SEC_retirement_rates!$G144</f>
        <v>0.70006585145833444</v>
      </c>
      <c r="L165" s="459">
        <f>L97*Calc_SEC_retirement_rates!$G144</f>
        <v>0.69265839457724299</v>
      </c>
      <c r="M165" s="459">
        <f>M97*Calc_SEC_retirement_rates!$G144</f>
        <v>0.68360298436992639</v>
      </c>
      <c r="N165" s="459">
        <f>N97*Calc_SEC_retirement_rates!$G144</f>
        <v>0.67372623026537459</v>
      </c>
    </row>
    <row r="166" spans="1:14">
      <c r="B166" s="338" t="str">
        <f t="shared" si="60"/>
        <v>45-49</v>
      </c>
      <c r="C166" s="459">
        <f>C98*Calc_SEC_retirement_rates!$G145</f>
        <v>0.65403888482215555</v>
      </c>
      <c r="D166" s="459">
        <f>D98*Calc_SEC_retirement_rates!$G145</f>
        <v>0.74269840813695365</v>
      </c>
      <c r="E166" s="459">
        <f>E98*Calc_SEC_retirement_rates!$G145</f>
        <v>0.83731685835058756</v>
      </c>
      <c r="F166" s="459">
        <f>F98*Calc_SEC_retirement_rates!$G145</f>
        <v>0.91464905375464933</v>
      </c>
      <c r="G166" s="459">
        <f>G98*Calc_SEC_retirement_rates!$G145</f>
        <v>0.9799683154941945</v>
      </c>
      <c r="H166" s="459">
        <f>H98*Calc_SEC_retirement_rates!$G145</f>
        <v>1.0395521795013165</v>
      </c>
      <c r="I166" s="459">
        <f>I98*Calc_SEC_retirement_rates!$G145</f>
        <v>1.0897082957525783</v>
      </c>
      <c r="J166" s="459">
        <f>J98*Calc_SEC_retirement_rates!$G145</f>
        <v>1.1291484561079055</v>
      </c>
      <c r="K166" s="459">
        <f>K98*Calc_SEC_retirement_rates!$G145</f>
        <v>1.1585026357256543</v>
      </c>
      <c r="L166" s="459">
        <f>L98*Calc_SEC_retirement_rates!$G145</f>
        <v>1.1760191061471013</v>
      </c>
      <c r="M166" s="459">
        <f>M98*Calc_SEC_retirement_rates!$G145</f>
        <v>1.1853601211703828</v>
      </c>
      <c r="N166" s="459">
        <f>N98*Calc_SEC_retirement_rates!$G145</f>
        <v>1.1881703910600918</v>
      </c>
    </row>
    <row r="167" spans="1:14">
      <c r="B167" s="338" t="str">
        <f t="shared" si="60"/>
        <v>50-54</v>
      </c>
      <c r="C167" s="459">
        <f>C99*Calc_SEC_retirement_rates!$G146</f>
        <v>10.111850607640514</v>
      </c>
      <c r="D167" s="459">
        <f>D99*Calc_SEC_retirement_rates!$G146</f>
        <v>10.55497248733168</v>
      </c>
      <c r="E167" s="459">
        <f>E99*Calc_SEC_retirement_rates!$G146</f>
        <v>11.417803979851275</v>
      </c>
      <c r="F167" s="459">
        <f>F99*Calc_SEC_retirement_rates!$G146</f>
        <v>12.289847124293173</v>
      </c>
      <c r="G167" s="459">
        <f>G99*Calc_SEC_retirement_rates!$G146</f>
        <v>13.209137023579981</v>
      </c>
      <c r="H167" s="459">
        <f>H99*Calc_SEC_retirement_rates!$G146</f>
        <v>14.225337604617604</v>
      </c>
      <c r="I167" s="459">
        <f>I99*Calc_SEC_retirement_rates!$G146</f>
        <v>15.229297582589702</v>
      </c>
      <c r="J167" s="459">
        <f>J99*Calc_SEC_retirement_rates!$G146</f>
        <v>16.155697141019129</v>
      </c>
      <c r="K167" s="459">
        <f>K99*Calc_SEC_retirement_rates!$G146</f>
        <v>16.975969549289076</v>
      </c>
      <c r="L167" s="459">
        <f>L99*Calc_SEC_retirement_rates!$G146</f>
        <v>17.62982389662433</v>
      </c>
      <c r="M167" s="459">
        <f>M99*Calc_SEC_retirement_rates!$G146</f>
        <v>18.151011360984739</v>
      </c>
      <c r="N167" s="459">
        <f>N99*Calc_SEC_retirement_rates!$G146</f>
        <v>18.547255174035602</v>
      </c>
    </row>
    <row r="168" spans="1:14">
      <c r="B168" s="338" t="str">
        <f t="shared" si="60"/>
        <v>55-59</v>
      </c>
      <c r="C168" s="459">
        <f>C100*Calc_SEC_retirement_rates!$G147</f>
        <v>64.676311553480247</v>
      </c>
      <c r="D168" s="459">
        <f>D100*Calc_SEC_retirement_rates!$G147</f>
        <v>57.759705328441562</v>
      </c>
      <c r="E168" s="459">
        <f>E100*Calc_SEC_retirement_rates!$G147</f>
        <v>55.373549062063795</v>
      </c>
      <c r="F168" s="459">
        <f>F100*Calc_SEC_retirement_rates!$G147</f>
        <v>54.54461924118327</v>
      </c>
      <c r="G168" s="459">
        <f>G100*Calc_SEC_retirement_rates!$G147</f>
        <v>55.275434324109348</v>
      </c>
      <c r="H168" s="459">
        <f>H100*Calc_SEC_retirement_rates!$G147</f>
        <v>57.632635938543594</v>
      </c>
      <c r="I168" s="459">
        <f>I100*Calc_SEC_retirement_rates!$G147</f>
        <v>60.77414961382604</v>
      </c>
      <c r="J168" s="459">
        <f>J100*Calc_SEC_retirement_rates!$G147</f>
        <v>64.189322128183647</v>
      </c>
      <c r="K168" s="459">
        <f>K100*Calc_SEC_retirement_rates!$G147</f>
        <v>67.607322065079927</v>
      </c>
      <c r="L168" s="459">
        <f>L100*Calc_SEC_retirement_rates!$G147</f>
        <v>70.585341987129127</v>
      </c>
      <c r="M168" s="459">
        <f>M100*Calc_SEC_retirement_rates!$G147</f>
        <v>73.241799987186454</v>
      </c>
      <c r="N168" s="459">
        <f>N100*Calc_SEC_retirement_rates!$G147</f>
        <v>75.523199490608576</v>
      </c>
    </row>
    <row r="169" spans="1:14">
      <c r="B169" s="338" t="str">
        <f t="shared" si="60"/>
        <v>60-64</v>
      </c>
      <c r="C169" s="459">
        <f>C101*Calc_SEC_retirement_rates!$G148</f>
        <v>45.467614806143473</v>
      </c>
      <c r="D169" s="459">
        <f>D101*Calc_SEC_retirement_rates!$G148</f>
        <v>45.747328959431883</v>
      </c>
      <c r="E169" s="459">
        <f>E101*Calc_SEC_retirement_rates!$G148</f>
        <v>44.986921691900534</v>
      </c>
      <c r="F169" s="459">
        <f>F101*Calc_SEC_retirement_rates!$G148</f>
        <v>43.185262137488678</v>
      </c>
      <c r="G169" s="459">
        <f>G101*Calc_SEC_retirement_rates!$G148</f>
        <v>42.069562466919763</v>
      </c>
      <c r="H169" s="459">
        <f>H101*Calc_SEC_retirement_rates!$G148</f>
        <v>42.444371952579736</v>
      </c>
      <c r="I169" s="459">
        <f>I101*Calc_SEC_retirement_rates!$G148</f>
        <v>43.637553059910609</v>
      </c>
      <c r="J169" s="459">
        <f>J101*Calc_SEC_retirement_rates!$G148</f>
        <v>45.249326748869386</v>
      </c>
      <c r="K169" s="459">
        <f>K101*Calc_SEC_retirement_rates!$G148</f>
        <v>47.08269078958088</v>
      </c>
      <c r="L169" s="459">
        <f>L101*Calc_SEC_retirement_rates!$G148</f>
        <v>48.697200310868709</v>
      </c>
      <c r="M169" s="459">
        <f>M101*Calc_SEC_retirement_rates!$G148</f>
        <v>50.278199238945724</v>
      </c>
      <c r="N169" s="459">
        <f>N101*Calc_SEC_retirement_rates!$G148</f>
        <v>51.754506109380259</v>
      </c>
    </row>
    <row r="170" spans="1:14">
      <c r="B170" s="338" t="str">
        <f t="shared" si="60"/>
        <v>65 plus</v>
      </c>
      <c r="C170" s="459">
        <f>C102*Calc_SEC_retirement_rates!$G149</f>
        <v>8.2088991020629614</v>
      </c>
      <c r="D170" s="459">
        <f>D102*Calc_SEC_retirement_rates!$G149</f>
        <v>12.082661165244943</v>
      </c>
      <c r="E170" s="459">
        <f>E102*Calc_SEC_retirement_rates!$G149</f>
        <v>14.569360274459049</v>
      </c>
      <c r="F170" s="459">
        <f>F102*Calc_SEC_retirement_rates!$G149</f>
        <v>15.403630846558753</v>
      </c>
      <c r="G170" s="459">
        <f>G102*Calc_SEC_retirement_rates!$G149</f>
        <v>15.570091014871036</v>
      </c>
      <c r="H170" s="459">
        <f>H102*Calc_SEC_retirement_rates!$G149</f>
        <v>15.787353815211338</v>
      </c>
      <c r="I170" s="459">
        <f>I102*Calc_SEC_retirement_rates!$G149</f>
        <v>16.068665372305361</v>
      </c>
      <c r="J170" s="459">
        <f>J102*Calc_SEC_retirement_rates!$G149</f>
        <v>16.404273107499534</v>
      </c>
      <c r="K170" s="459">
        <f>K102*Calc_SEC_retirement_rates!$G149</f>
        <v>16.798112296400063</v>
      </c>
      <c r="L170" s="459">
        <f>L102*Calc_SEC_retirement_rates!$G149</f>
        <v>17.113928776459435</v>
      </c>
      <c r="M170" s="459">
        <f>M102*Calc_SEC_retirement_rates!$G149</f>
        <v>17.448042429667247</v>
      </c>
      <c r="N170" s="459">
        <f>N102*Calc_SEC_retirement_rates!$G149</f>
        <v>17.791016024054432</v>
      </c>
    </row>
    <row r="171" spans="1:14">
      <c r="B171" s="338" t="str">
        <f t="shared" si="60"/>
        <v>Total</v>
      </c>
      <c r="C171" s="459">
        <f>SUM(C161:C170)</f>
        <v>130.47269038422317</v>
      </c>
      <c r="D171" s="459">
        <f t="shared" ref="D171:N171" si="62">SUM(D161:D170)</f>
        <v>128.2681276251067</v>
      </c>
      <c r="E171" s="459">
        <f t="shared" si="62"/>
        <v>128.58903709214141</v>
      </c>
      <c r="F171" s="459">
        <f t="shared" si="62"/>
        <v>127.74061921105208</v>
      </c>
      <c r="G171" s="459">
        <f t="shared" si="62"/>
        <v>128.49338580337621</v>
      </c>
      <c r="H171" s="459">
        <f t="shared" si="62"/>
        <v>132.50552281509792</v>
      </c>
      <c r="I171" s="459">
        <f t="shared" si="62"/>
        <v>138.16125005486384</v>
      </c>
      <c r="J171" s="459">
        <f t="shared" si="62"/>
        <v>144.47348748003478</v>
      </c>
      <c r="K171" s="459">
        <f t="shared" si="62"/>
        <v>150.95146063188994</v>
      </c>
      <c r="L171" s="459">
        <f t="shared" si="62"/>
        <v>156.5107119312745</v>
      </c>
      <c r="M171" s="459">
        <f t="shared" si="62"/>
        <v>161.59226177068052</v>
      </c>
      <c r="N171" s="459">
        <f t="shared" si="62"/>
        <v>166.07202747100004</v>
      </c>
    </row>
    <row r="172" spans="1:14">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0.52275486889614775</v>
      </c>
      <c r="D181" s="459">
        <f>D79*Calc_SEC_death_rates!$G126</f>
        <v>0.47920032432592474</v>
      </c>
      <c r="E181" s="459">
        <f>E79*Calc_SEC_death_rates!$G126</f>
        <v>0.44692075164831774</v>
      </c>
      <c r="F181" s="459">
        <f>F79*Calc_SEC_death_rates!$G126</f>
        <v>0.41689267060624413</v>
      </c>
      <c r="G181" s="459">
        <f>G79*Calc_SEC_death_rates!$G126</f>
        <v>0.39216733348898808</v>
      </c>
      <c r="H181" s="459">
        <f>H79*Calc_SEC_death_rates!$G126</f>
        <v>0.3758505871389422</v>
      </c>
      <c r="I181" s="459">
        <f>I79*Calc_SEC_death_rates!$G126</f>
        <v>0.36550079023908444</v>
      </c>
      <c r="J181" s="459">
        <f>J79*Calc_SEC_death_rates!$G126</f>
        <v>0.35925005566055462</v>
      </c>
      <c r="K181" s="459">
        <f>K79*Calc_SEC_death_rates!$G126</f>
        <v>0.35594099757133829</v>
      </c>
      <c r="L181" s="459">
        <f>L79*Calc_SEC_death_rates!$G126</f>
        <v>0.35311579503165508</v>
      </c>
      <c r="M181" s="459">
        <f>M79*Calc_SEC_death_rates!$G126</f>
        <v>0.35113068978571388</v>
      </c>
      <c r="N181" s="459">
        <f>N79*Calc_SEC_death_rates!$G126</f>
        <v>0.34961169946219367</v>
      </c>
    </row>
    <row r="182" spans="1:14">
      <c r="B182" s="338" t="str">
        <f t="shared" si="64"/>
        <v>35-39</v>
      </c>
      <c r="C182" s="459">
        <f>C80*Calc_SEC_death_rates!$G127</f>
        <v>0.8572702403850484</v>
      </c>
      <c r="D182" s="459">
        <f>D80*Calc_SEC_death_rates!$G127</f>
        <v>0.85118225103192946</v>
      </c>
      <c r="E182" s="459">
        <f>E80*Calc_SEC_death_rates!$G127</f>
        <v>0.83940878812435293</v>
      </c>
      <c r="F182" s="459">
        <f>F80*Calc_SEC_death_rates!$G127</f>
        <v>0.81518267048249415</v>
      </c>
      <c r="G182" s="459">
        <f>G80*Calc_SEC_death_rates!$G127</f>
        <v>0.78658627381022506</v>
      </c>
      <c r="H182" s="459">
        <f>H80*Calc_SEC_death_rates!$G127</f>
        <v>0.76078813524899536</v>
      </c>
      <c r="I182" s="459">
        <f>I80*Calc_SEC_death_rates!$G127</f>
        <v>0.73770236811590173</v>
      </c>
      <c r="J182" s="459">
        <f>J80*Calc_SEC_death_rates!$G127</f>
        <v>0.71746407854933636</v>
      </c>
      <c r="K182" s="459">
        <f>K80*Calc_SEC_death_rates!$G127</f>
        <v>0.70042051660026916</v>
      </c>
      <c r="L182" s="459">
        <f>L80*Calc_SEC_death_rates!$G127</f>
        <v>0.68480099541954342</v>
      </c>
      <c r="M182" s="459">
        <f>M80*Calc_SEC_death_rates!$G127</f>
        <v>0.67165645298407106</v>
      </c>
      <c r="N182" s="459">
        <f>N80*Calc_SEC_death_rates!$G127</f>
        <v>0.66071323544334715</v>
      </c>
    </row>
    <row r="183" spans="1:14">
      <c r="B183" s="338" t="str">
        <f t="shared" si="64"/>
        <v>40-44</v>
      </c>
      <c r="C183" s="459">
        <f>C81*Calc_SEC_death_rates!$G128</f>
        <v>1.0226111553410231</v>
      </c>
      <c r="D183" s="459">
        <f>D81*Calc_SEC_death_rates!$G128</f>
        <v>1.0946963514187547</v>
      </c>
      <c r="E183" s="459">
        <f>E81*Calc_SEC_death_rates!$G128</f>
        <v>1.1576088007998073</v>
      </c>
      <c r="F183" s="459">
        <f>F81*Calc_SEC_death_rates!$G128</f>
        <v>1.1938554071016079</v>
      </c>
      <c r="G183" s="459">
        <f>G81*Calc_SEC_death_rates!$G128</f>
        <v>1.2123340127609943</v>
      </c>
      <c r="H183" s="459">
        <f>H81*Calc_SEC_death_rates!$G128</f>
        <v>1.2224892349667051</v>
      </c>
      <c r="I183" s="459">
        <f>I81*Calc_SEC_death_rates!$G128</f>
        <v>1.224046286437573</v>
      </c>
      <c r="J183" s="459">
        <f>J81*Calc_SEC_death_rates!$G128</f>
        <v>1.2183085398720581</v>
      </c>
      <c r="K183" s="459">
        <f>K81*Calc_SEC_death_rates!$G128</f>
        <v>1.2076053543305065</v>
      </c>
      <c r="L183" s="459">
        <f>L81*Calc_SEC_death_rates!$G128</f>
        <v>1.191346467083378</v>
      </c>
      <c r="M183" s="459">
        <f>M81*Calc_SEC_death_rates!$G128</f>
        <v>1.1732882777521811</v>
      </c>
      <c r="N183" s="459">
        <f>N81*Calc_SEC_death_rates!$G128</f>
        <v>1.1548153334319604</v>
      </c>
    </row>
    <row r="184" spans="1:14">
      <c r="B184" s="338" t="str">
        <f t="shared" si="64"/>
        <v>45-49</v>
      </c>
      <c r="C184" s="459">
        <f>C82*Calc_SEC_death_rates!$G129</f>
        <v>0.55752457679158585</v>
      </c>
      <c r="D184" s="459">
        <f>D82*Calc_SEC_death_rates!$G129</f>
        <v>0.65295318355620824</v>
      </c>
      <c r="E184" s="459">
        <f>E82*Calc_SEC_death_rates!$G129</f>
        <v>0.74740831757006687</v>
      </c>
      <c r="F184" s="459">
        <f>F82*Calc_SEC_death_rates!$G129</f>
        <v>0.82379465518434702</v>
      </c>
      <c r="G184" s="459">
        <f>G82*Calc_SEC_death_rates!$G129</f>
        <v>0.88699903936221591</v>
      </c>
      <c r="H184" s="459">
        <f>H82*Calc_SEC_death_rates!$G129</f>
        <v>0.94247761723038925</v>
      </c>
      <c r="I184" s="459">
        <f>I82*Calc_SEC_death_rates!$G129</f>
        <v>0.98770894012224497</v>
      </c>
      <c r="J184" s="459">
        <f>J82*Calc_SEC_death_rates!$G129</f>
        <v>1.0221118210274305</v>
      </c>
      <c r="K184" s="459">
        <f>K82*Calc_SEC_death_rates!$G129</f>
        <v>1.0466554121218312</v>
      </c>
      <c r="L184" s="459">
        <f>L82*Calc_SEC_death_rates!$G129</f>
        <v>1.0604025263324237</v>
      </c>
      <c r="M184" s="459">
        <f>M82*Calc_SEC_death_rates!$G129</f>
        <v>1.0666969287117498</v>
      </c>
      <c r="N184" s="459">
        <f>N82*Calc_SEC_death_rates!$G129</f>
        <v>1.0672202650371838</v>
      </c>
    </row>
    <row r="185" spans="1:14">
      <c r="B185" s="338" t="str">
        <f t="shared" si="64"/>
        <v>50-54</v>
      </c>
      <c r="C185" s="459">
        <f>C83*Calc_SEC_death_rates!$G130</f>
        <v>0.69979294749100762</v>
      </c>
      <c r="D185" s="459">
        <f>D83*Calc_SEC_death_rates!$G130</f>
        <v>0.75829839803087273</v>
      </c>
      <c r="E185" s="459">
        <f>E83*Calc_SEC_death_rates!$G130</f>
        <v>0.84901629127136158</v>
      </c>
      <c r="F185" s="459">
        <f>F83*Calc_SEC_death_rates!$G130</f>
        <v>0.93950295563285946</v>
      </c>
      <c r="G185" s="459">
        <f>G83*Calc_SEC_death_rates!$G130</f>
        <v>1.0312406695624985</v>
      </c>
      <c r="H185" s="459">
        <f>H83*Calc_SEC_death_rates!$G130</f>
        <v>1.127189545144293</v>
      </c>
      <c r="I185" s="459">
        <f>I83*Calc_SEC_death_rates!$G130</f>
        <v>1.2190712783736803</v>
      </c>
      <c r="J185" s="459">
        <f>J83*Calc_SEC_death_rates!$G130</f>
        <v>1.3020317762815687</v>
      </c>
      <c r="K185" s="459">
        <f>K83*Calc_SEC_death_rates!$G130</f>
        <v>1.3740764778817676</v>
      </c>
      <c r="L185" s="459">
        <f>L83*Calc_SEC_death_rates!$G130</f>
        <v>1.4310309244511081</v>
      </c>
      <c r="M185" s="459">
        <f>M83*Calc_SEC_death_rates!$G130</f>
        <v>1.4756818866657078</v>
      </c>
      <c r="N185" s="459">
        <f>N83*Calc_SEC_death_rates!$G130</f>
        <v>1.5089822090686085</v>
      </c>
    </row>
    <row r="186" spans="1:14">
      <c r="B186" s="338" t="str">
        <f t="shared" si="64"/>
        <v>55-59</v>
      </c>
      <c r="C186" s="459">
        <f>C84*Calc_SEC_death_rates!$G131</f>
        <v>0.51161078942329763</v>
      </c>
      <c r="D186" s="459">
        <f>D84*Calc_SEC_death_rates!$G131</f>
        <v>0.45146841390830089</v>
      </c>
      <c r="E186" s="459">
        <f>E84*Calc_SEC_death_rates!$G131</f>
        <v>0.43426593422227083</v>
      </c>
      <c r="F186" s="459">
        <f>F84*Calc_SEC_death_rates!$G131</f>
        <v>0.43340452875402502</v>
      </c>
      <c r="G186" s="459">
        <f>G84*Calc_SEC_death_rates!$G131</f>
        <v>0.44716350087501089</v>
      </c>
      <c r="H186" s="459">
        <f>H84*Calc_SEC_death_rates!$G131</f>
        <v>0.47484468008172692</v>
      </c>
      <c r="I186" s="459">
        <f>I84*Calc_SEC_death_rates!$G131</f>
        <v>0.50878206419847505</v>
      </c>
      <c r="J186" s="459">
        <f>J84*Calc_SEC_death_rates!$G131</f>
        <v>0.54432886982796624</v>
      </c>
      <c r="K186" s="459">
        <f>K84*Calc_SEC_death_rates!$G131</f>
        <v>0.57899958719363964</v>
      </c>
      <c r="L186" s="459">
        <f>L84*Calc_SEC_death_rates!$G131</f>
        <v>0.60906127592409576</v>
      </c>
      <c r="M186" s="459">
        <f>M84*Calc_SEC_death_rates!$G131</f>
        <v>0.63544514807351615</v>
      </c>
      <c r="N186" s="459">
        <f>N84*Calc_SEC_death_rates!$G131</f>
        <v>0.65774753933196828</v>
      </c>
    </row>
    <row r="187" spans="1:14">
      <c r="B187" s="338" t="str">
        <f t="shared" si="64"/>
        <v>60-64</v>
      </c>
      <c r="C187" s="459">
        <f>C85*Calc_SEC_death_rates!$G132</f>
        <v>0.37077829283781077</v>
      </c>
      <c r="D187" s="459">
        <f>D85*Calc_SEC_death_rates!$G132</f>
        <v>0.37121381344820148</v>
      </c>
      <c r="E187" s="459">
        <f>E85*Calc_SEC_death_rates!$G132</f>
        <v>0.36330568292285031</v>
      </c>
      <c r="F187" s="459">
        <f>F85*Calc_SEC_death_rates!$G132</f>
        <v>0.34863823726661208</v>
      </c>
      <c r="G187" s="459">
        <f>G85*Calc_SEC_death_rates!$G132</f>
        <v>0.34104589971666521</v>
      </c>
      <c r="H187" s="459">
        <f>H85*Calc_SEC_death_rates!$G132</f>
        <v>0.34676873730995983</v>
      </c>
      <c r="I187" s="459">
        <f>I85*Calc_SEC_death_rates!$G132</f>
        <v>0.36015703517414771</v>
      </c>
      <c r="J187" s="459">
        <f>J85*Calc_SEC_death_rates!$G132</f>
        <v>0.37753137283980981</v>
      </c>
      <c r="K187" s="459">
        <f>K85*Calc_SEC_death_rates!$G132</f>
        <v>0.39687196425321142</v>
      </c>
      <c r="L187" s="459">
        <f>L85*Calc_SEC_death_rates!$G132</f>
        <v>0.41434081769021502</v>
      </c>
      <c r="M187" s="459">
        <f>M85*Calc_SEC_death_rates!$G132</f>
        <v>0.4311391030069503</v>
      </c>
      <c r="N187" s="459">
        <f>N85*Calc_SEC_death_rates!$G132</f>
        <v>0.44659121480092573</v>
      </c>
    </row>
    <row r="188" spans="1:14">
      <c r="B188" s="338" t="str">
        <f t="shared" si="64"/>
        <v>65 plus</v>
      </c>
      <c r="C188" s="459">
        <f>C86*Calc_SEC_death_rates!$G133</f>
        <v>0.26045947541900522</v>
      </c>
      <c r="D188" s="459">
        <f>D86*Calc_SEC_death_rates!$G133</f>
        <v>0.33346687307247574</v>
      </c>
      <c r="E188" s="459">
        <f>E86*Calc_SEC_death_rates!$G133</f>
        <v>0.38487950452990799</v>
      </c>
      <c r="F188" s="459">
        <f>F86*Calc_SEC_death_rates!$G133</f>
        <v>0.40246300834176946</v>
      </c>
      <c r="G188" s="459">
        <f>G86*Calc_SEC_death_rates!$G133</f>
        <v>0.40582865874079666</v>
      </c>
      <c r="H188" s="459">
        <f>H86*Calc_SEC_death_rates!$G133</f>
        <v>0.41105416881850221</v>
      </c>
      <c r="I188" s="459">
        <f>I86*Calc_SEC_death_rates!$G133</f>
        <v>0.41896095055498406</v>
      </c>
      <c r="J188" s="459">
        <f>J86*Calc_SEC_death_rates!$G133</f>
        <v>0.42939762528711894</v>
      </c>
      <c r="K188" s="459">
        <f>K86*Calc_SEC_death_rates!$G133</f>
        <v>0.44222861509235434</v>
      </c>
      <c r="L188" s="459">
        <f>L86*Calc_SEC_death_rates!$G133</f>
        <v>0.45401016598171079</v>
      </c>
      <c r="M188" s="459">
        <f>M86*Calc_SEC_death_rates!$G133</f>
        <v>0.466450748489666</v>
      </c>
      <c r="N188" s="459">
        <f>N86*Calc_SEC_death_rates!$G133</f>
        <v>0.47907655605859417</v>
      </c>
    </row>
    <row r="189" spans="1:14">
      <c r="B189" s="338" t="str">
        <f t="shared" si="64"/>
        <v>Total</v>
      </c>
      <c r="C189" s="459">
        <f>SUM(C179:C188)</f>
        <v>4.8028023465849268</v>
      </c>
      <c r="D189" s="459">
        <f t="shared" ref="D189:N189" si="66">SUM(D179:D188)</f>
        <v>4.9924796087926682</v>
      </c>
      <c r="E189" s="459">
        <f t="shared" si="66"/>
        <v>5.2228140710889361</v>
      </c>
      <c r="F189" s="459">
        <f t="shared" si="66"/>
        <v>5.3737341333699584</v>
      </c>
      <c r="G189" s="459">
        <f t="shared" si="66"/>
        <v>5.5033653883173939</v>
      </c>
      <c r="H189" s="459">
        <f t="shared" si="66"/>
        <v>5.6614627059395142</v>
      </c>
      <c r="I189" s="459">
        <f t="shared" si="66"/>
        <v>5.8219297132160923</v>
      </c>
      <c r="J189" s="459">
        <f t="shared" si="66"/>
        <v>5.9704241393458437</v>
      </c>
      <c r="K189" s="459">
        <f t="shared" si="66"/>
        <v>6.1027989250449179</v>
      </c>
      <c r="L189" s="459">
        <f t="shared" si="66"/>
        <v>6.1981089679141297</v>
      </c>
      <c r="M189" s="459">
        <f t="shared" si="66"/>
        <v>6.2714892354695557</v>
      </c>
      <c r="N189" s="459">
        <f t="shared" si="66"/>
        <v>6.3247580526347811</v>
      </c>
    </row>
    <row r="190" spans="1:14">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6">
      <c r="C193" s="329"/>
      <c r="D193" s="329"/>
      <c r="E193" s="329"/>
      <c r="F193" s="329"/>
      <c r="G193" s="329"/>
      <c r="H193" s="339"/>
      <c r="I193" s="329"/>
      <c r="J193" s="329"/>
      <c r="K193" s="329"/>
      <c r="L193" s="329"/>
    </row>
    <row r="194" spans="1:16">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6">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c r="O195" s="327"/>
      <c r="P195" s="327"/>
    </row>
    <row r="196" spans="1:16">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c r="O196" s="327"/>
      <c r="P196" s="327"/>
    </row>
    <row r="197" spans="1:16">
      <c r="B197" s="338" t="str">
        <f t="shared" si="68"/>
        <v>30-34</v>
      </c>
      <c r="C197" s="459">
        <f>C95*Calc_SEC_death_rates!$G142</f>
        <v>0.12944294913562493</v>
      </c>
      <c r="D197" s="459">
        <f>D95*Calc_SEC_death_rates!$G142</f>
        <v>0.12157067518775823</v>
      </c>
      <c r="E197" s="459">
        <f>E95*Calc_SEC_death_rates!$G142</f>
        <v>0.11526445007828556</v>
      </c>
      <c r="F197" s="459">
        <f>F95*Calc_SEC_death_rates!$G142</f>
        <v>0.10848957616640666</v>
      </c>
      <c r="G197" s="459">
        <f>G95*Calc_SEC_death_rates!$G142</f>
        <v>0.10239784094283759</v>
      </c>
      <c r="H197" s="459">
        <f>H95*Calc_SEC_death_rates!$G142</f>
        <v>9.8058308474638617E-2</v>
      </c>
      <c r="I197" s="459">
        <f>I95*Calc_SEC_death_rates!$G142</f>
        <v>9.498423419481096E-2</v>
      </c>
      <c r="J197" s="459">
        <f>J95*Calc_SEC_death_rates!$G142</f>
        <v>9.2804067886575678E-2</v>
      </c>
      <c r="K197" s="459">
        <f>K95*Calc_SEC_death_rates!$G142</f>
        <v>9.1302981463197971E-2</v>
      </c>
      <c r="L197" s="459">
        <f>L95*Calc_SEC_death_rates!$G142</f>
        <v>8.9893899482976131E-2</v>
      </c>
      <c r="M197" s="459">
        <f>M95*Calc_SEC_death_rates!$G142</f>
        <v>8.872379222000798E-2</v>
      </c>
      <c r="N197" s="459">
        <f>N95*Calc_SEC_death_rates!$G142</f>
        <v>8.7722182813885691E-2</v>
      </c>
      <c r="O197" s="327"/>
      <c r="P197" s="327"/>
    </row>
    <row r="198" spans="1:16">
      <c r="B198" s="338" t="str">
        <f t="shared" si="68"/>
        <v>35-39</v>
      </c>
      <c r="C198" s="459">
        <f>C96*Calc_SEC_death_rates!$G143</f>
        <v>0.42078329106520779</v>
      </c>
      <c r="D198" s="459">
        <f>D96*Calc_SEC_death_rates!$G143</f>
        <v>0.41709666129778028</v>
      </c>
      <c r="E198" s="459">
        <f>E96*Calc_SEC_death_rates!$G143</f>
        <v>0.41314166442580835</v>
      </c>
      <c r="F198" s="459">
        <f>F96*Calc_SEC_death_rates!$G143</f>
        <v>0.40336505328498762</v>
      </c>
      <c r="G198" s="459">
        <f>G96*Calc_SEC_death_rates!$G143</f>
        <v>0.39132140836176332</v>
      </c>
      <c r="H198" s="459">
        <f>H96*Calc_SEC_death_rates!$G143</f>
        <v>0.38047039211544686</v>
      </c>
      <c r="I198" s="459">
        <f>I96*Calc_SEC_death_rates!$G143</f>
        <v>0.37046513076124216</v>
      </c>
      <c r="J198" s="459">
        <f>J96*Calc_SEC_death_rates!$G143</f>
        <v>0.36128609684087809</v>
      </c>
      <c r="K198" s="459">
        <f>K96*Calc_SEC_death_rates!$G143</f>
        <v>0.35315195456448151</v>
      </c>
      <c r="L198" s="459">
        <f>L96*Calc_SEC_death_rates!$G143</f>
        <v>0.34515948237634669</v>
      </c>
      <c r="M198" s="459">
        <f>M96*Calc_SEC_death_rates!$G143</f>
        <v>0.33802946547632406</v>
      </c>
      <c r="N198" s="459">
        <f>N96*Calc_SEC_death_rates!$G143</f>
        <v>0.33173446344565155</v>
      </c>
      <c r="O198" s="327"/>
      <c r="P198" s="327"/>
    </row>
    <row r="199" spans="1:16">
      <c r="B199" s="338" t="str">
        <f t="shared" si="68"/>
        <v>40-44</v>
      </c>
      <c r="C199" s="459">
        <f>C97*Calc_SEC_death_rates!$G144</f>
        <v>0.30056525790980049</v>
      </c>
      <c r="D199" s="459">
        <f>D97*Calc_SEC_death_rates!$G144</f>
        <v>0.32475047614151603</v>
      </c>
      <c r="E199" s="459">
        <f>E97*Calc_SEC_death_rates!$G144</f>
        <v>0.34581183696371071</v>
      </c>
      <c r="F199" s="459">
        <f>F97*Calc_SEC_death_rates!$G144</f>
        <v>0.3582557046389287</v>
      </c>
      <c r="G199" s="459">
        <f>G97*Calc_SEC_death_rates!$G144</f>
        <v>0.36531593531936524</v>
      </c>
      <c r="H199" s="459">
        <f>H97*Calc_SEC_death_rates!$G144</f>
        <v>0.37015162267695162</v>
      </c>
      <c r="I199" s="459">
        <f>I97*Calc_SEC_death_rates!$G144</f>
        <v>0.37242164707567732</v>
      </c>
      <c r="J199" s="459">
        <f>J97*Calc_SEC_death_rates!$G144</f>
        <v>0.37233854936838412</v>
      </c>
      <c r="K199" s="459">
        <f>K97*Calc_SEC_death_rates!$G144</f>
        <v>0.37051391177834697</v>
      </c>
      <c r="L199" s="459">
        <f>L97*Calc_SEC_death_rates!$G144</f>
        <v>0.36659347226594208</v>
      </c>
      <c r="M199" s="459">
        <f>M97*Calc_SEC_death_rates!$G144</f>
        <v>0.36180084389865186</v>
      </c>
      <c r="N199" s="459">
        <f>N97*Calc_SEC_death_rates!$G144</f>
        <v>0.3565735145105276</v>
      </c>
      <c r="O199" s="327"/>
      <c r="P199" s="327"/>
    </row>
    <row r="200" spans="1:16">
      <c r="B200" s="338" t="str">
        <f t="shared" si="68"/>
        <v>45-49</v>
      </c>
      <c r="C200" s="459">
        <f>C98*Calc_SEC_death_rates!$G145</f>
        <v>0.25128794817204453</v>
      </c>
      <c r="D200" s="459">
        <f>D98*Calc_SEC_death_rates!$G145</f>
        <v>0.28535177865170352</v>
      </c>
      <c r="E200" s="459">
        <f>E98*Calc_SEC_death_rates!$G145</f>
        <v>0.3217050854124599</v>
      </c>
      <c r="F200" s="459">
        <f>F98*Calc_SEC_death_rates!$G145</f>
        <v>0.35141684898139564</v>
      </c>
      <c r="G200" s="459">
        <f>G98*Calc_SEC_death_rates!$G145</f>
        <v>0.37651312940072618</v>
      </c>
      <c r="H200" s="459">
        <f>H98*Calc_SEC_death_rates!$G145</f>
        <v>0.39940581556660021</v>
      </c>
      <c r="I200" s="459">
        <f>I98*Calc_SEC_death_rates!$G145</f>
        <v>0.41867627154948145</v>
      </c>
      <c r="J200" s="459">
        <f>J98*Calc_SEC_death_rates!$G145</f>
        <v>0.43382955555332398</v>
      </c>
      <c r="K200" s="459">
        <f>K98*Calc_SEC_death_rates!$G145</f>
        <v>0.44510771001416083</v>
      </c>
      <c r="L200" s="459">
        <f>L98*Calc_SEC_death_rates!$G145</f>
        <v>0.45183770422944147</v>
      </c>
      <c r="M200" s="459">
        <f>M98*Calc_SEC_death_rates!$G145</f>
        <v>0.45542661087324593</v>
      </c>
      <c r="N200" s="459">
        <f>N98*Calc_SEC_death_rates!$G145</f>
        <v>0.45650634324204331</v>
      </c>
      <c r="O200" s="327"/>
      <c r="P200" s="327"/>
    </row>
    <row r="201" spans="1:16">
      <c r="B201" s="338" t="str">
        <f t="shared" si="68"/>
        <v>50-54</v>
      </c>
      <c r="C201" s="459">
        <f>C99*Calc_SEC_death_rates!$G146</f>
        <v>0.24197416044984771</v>
      </c>
      <c r="D201" s="459">
        <f>D99*Calc_SEC_death_rates!$G146</f>
        <v>0.25257796078034411</v>
      </c>
      <c r="E201" s="459">
        <f>E99*Calc_SEC_death_rates!$G146</f>
        <v>0.27322531150903873</v>
      </c>
      <c r="F201" s="459">
        <f>F99*Calc_SEC_death_rates!$G146</f>
        <v>0.29409309485949026</v>
      </c>
      <c r="G201" s="459">
        <f>G99*Calc_SEC_death_rates!$G146</f>
        <v>0.31609148172468693</v>
      </c>
      <c r="H201" s="459">
        <f>H99*Calc_SEC_death_rates!$G146</f>
        <v>0.34040891796721101</v>
      </c>
      <c r="I201" s="459">
        <f>I99*Calc_SEC_death_rates!$G146</f>
        <v>0.3644334395133943</v>
      </c>
      <c r="J201" s="459">
        <f>J99*Calc_SEC_death_rates!$G146</f>
        <v>0.38660195881713988</v>
      </c>
      <c r="K201" s="459">
        <f>K99*Calc_SEC_death_rates!$G146</f>
        <v>0.40623088086443754</v>
      </c>
      <c r="L201" s="459">
        <f>L99*Calc_SEC_death_rates!$G146</f>
        <v>0.4218774586168208</v>
      </c>
      <c r="M201" s="459">
        <f>M99*Calc_SEC_death_rates!$G146</f>
        <v>0.43434934967010669</v>
      </c>
      <c r="N201" s="459">
        <f>N99*Calc_SEC_death_rates!$G146</f>
        <v>0.44383136910619103</v>
      </c>
      <c r="O201" s="327"/>
      <c r="P201" s="327"/>
    </row>
    <row r="202" spans="1:16">
      <c r="B202" s="338" t="str">
        <f t="shared" si="68"/>
        <v>55-59</v>
      </c>
      <c r="C202" s="459">
        <f>C100*Calc_SEC_death_rates!$G147</f>
        <v>0.52460558212152542</v>
      </c>
      <c r="D202" s="459">
        <f>D100*Calc_SEC_death_rates!$G147</f>
        <v>0.46850327591639457</v>
      </c>
      <c r="E202" s="459">
        <f>E100*Calc_SEC_death_rates!$G147</f>
        <v>0.44914857143358039</v>
      </c>
      <c r="F202" s="459">
        <f>F100*Calc_SEC_death_rates!$G147</f>
        <v>0.44242491634602432</v>
      </c>
      <c r="G202" s="459">
        <f>G100*Calc_SEC_death_rates!$G147</f>
        <v>0.44835273849284857</v>
      </c>
      <c r="H202" s="459">
        <f>H100*Calc_SEC_death_rates!$G147</f>
        <v>0.46747258462222385</v>
      </c>
      <c r="I202" s="459">
        <f>I100*Calc_SEC_death_rates!$G147</f>
        <v>0.49295418013654929</v>
      </c>
      <c r="J202" s="459">
        <f>J100*Calc_SEC_death_rates!$G147</f>
        <v>0.52065549027478342</v>
      </c>
      <c r="K202" s="459">
        <f>K100*Calc_SEC_death_rates!$G147</f>
        <v>0.54837973433752818</v>
      </c>
      <c r="L202" s="459">
        <f>L100*Calc_SEC_death_rates!$G147</f>
        <v>0.57253519152503773</v>
      </c>
      <c r="M202" s="459">
        <f>M100*Calc_SEC_death_rates!$G147</f>
        <v>0.59408238031840466</v>
      </c>
      <c r="N202" s="459">
        <f>N100*Calc_SEC_death_rates!$G147</f>
        <v>0.61258737675059716</v>
      </c>
      <c r="O202" s="327"/>
      <c r="P202" s="327"/>
    </row>
    <row r="203" spans="1:16">
      <c r="B203" s="338" t="str">
        <f t="shared" si="68"/>
        <v>60-64</v>
      </c>
      <c r="C203" s="459">
        <f>C101*Calc_SEC_death_rates!$G148</f>
        <v>0.27100824640021254</v>
      </c>
      <c r="D203" s="459">
        <f>D101*Calc_SEC_death_rates!$G148</f>
        <v>0.27267547355737076</v>
      </c>
      <c r="E203" s="459">
        <f>E101*Calc_SEC_death_rates!$G148</f>
        <v>0.26814309065137759</v>
      </c>
      <c r="F203" s="459">
        <f>F101*Calc_SEC_death_rates!$G148</f>
        <v>0.25740435719168059</v>
      </c>
      <c r="G203" s="459">
        <f>G101*Calc_SEC_death_rates!$G148</f>
        <v>0.25075426541714307</v>
      </c>
      <c r="H203" s="459">
        <f>H101*Calc_SEC_death_rates!$G148</f>
        <v>0.2529883052249482</v>
      </c>
      <c r="I203" s="459">
        <f>I101*Calc_SEC_death_rates!$G148</f>
        <v>0.26010022259546112</v>
      </c>
      <c r="J203" s="459">
        <f>J101*Calc_SEC_death_rates!$G148</f>
        <v>0.26970714750016717</v>
      </c>
      <c r="K203" s="459">
        <f>K101*Calc_SEC_death_rates!$G148</f>
        <v>0.28063485452427295</v>
      </c>
      <c r="L203" s="459">
        <f>L101*Calc_SEC_death_rates!$G148</f>
        <v>0.29025808626902549</v>
      </c>
      <c r="M203" s="459">
        <f>M101*Calc_SEC_death_rates!$G148</f>
        <v>0.29968157920758348</v>
      </c>
      <c r="N203" s="459">
        <f>N101*Calc_SEC_death_rates!$G148</f>
        <v>0.3084810585251348</v>
      </c>
      <c r="O203" s="327"/>
      <c r="P203" s="327"/>
    </row>
    <row r="204" spans="1:16">
      <c r="B204" s="338" t="str">
        <f t="shared" si="68"/>
        <v>65 plus</v>
      </c>
      <c r="C204" s="459">
        <f>C102*Calc_SEC_death_rates!$G149</f>
        <v>0.26431932010482717</v>
      </c>
      <c r="D204" s="459">
        <f>D102*Calc_SEC_death_rates!$G149</f>
        <v>0.38905104625441728</v>
      </c>
      <c r="E204" s="459">
        <f>E102*Calc_SEC_death_rates!$G149</f>
        <v>0.4691205671098474</v>
      </c>
      <c r="F204" s="459">
        <f>F102*Calc_SEC_death_rates!$G149</f>
        <v>0.49598334464666011</v>
      </c>
      <c r="G204" s="459">
        <f>G102*Calc_SEC_death_rates!$G149</f>
        <v>0.50134321543637184</v>
      </c>
      <c r="H204" s="459">
        <f>H102*Calc_SEC_death_rates!$G149</f>
        <v>0.50833888622681767</v>
      </c>
      <c r="I204" s="459">
        <f>I102*Calc_SEC_death_rates!$G149</f>
        <v>0.51739687056603756</v>
      </c>
      <c r="J204" s="459">
        <f>J102*Calc_SEC_death_rates!$G149</f>
        <v>0.52820314401215063</v>
      </c>
      <c r="K204" s="459">
        <f>K102*Calc_SEC_death_rates!$G149</f>
        <v>0.54088441897320649</v>
      </c>
      <c r="L204" s="459">
        <f>L102*Calc_SEC_death_rates!$G149</f>
        <v>0.55105343143752272</v>
      </c>
      <c r="M204" s="459">
        <f>M102*Calc_SEC_death_rates!$G149</f>
        <v>0.56181159675976855</v>
      </c>
      <c r="N204" s="459">
        <f>N102*Calc_SEC_death_rates!$G149</f>
        <v>0.57285504438352453</v>
      </c>
      <c r="O204" s="327"/>
      <c r="P204" s="327"/>
    </row>
    <row r="205" spans="1:16">
      <c r="B205" s="338" t="str">
        <f t="shared" si="68"/>
        <v>Total</v>
      </c>
      <c r="C205" s="459">
        <f>SUM(C195:C204)</f>
        <v>2.4039867553590906</v>
      </c>
      <c r="D205" s="459">
        <f t="shared" ref="D205:N205" si="70">SUM(D195:D204)</f>
        <v>2.5315773477872852</v>
      </c>
      <c r="E205" s="459">
        <f t="shared" si="70"/>
        <v>2.6555605775841085</v>
      </c>
      <c r="F205" s="459">
        <f t="shared" si="70"/>
        <v>2.7114328961155736</v>
      </c>
      <c r="G205" s="459">
        <f t="shared" si="70"/>
        <v>2.7520900150957428</v>
      </c>
      <c r="H205" s="459">
        <f t="shared" si="70"/>
        <v>2.817294832874838</v>
      </c>
      <c r="I205" s="459">
        <f t="shared" si="70"/>
        <v>2.8914319963926545</v>
      </c>
      <c r="J205" s="459">
        <f t="shared" si="70"/>
        <v>2.9654260102534029</v>
      </c>
      <c r="K205" s="459">
        <f t="shared" si="70"/>
        <v>3.0362064465196319</v>
      </c>
      <c r="L205" s="459">
        <f t="shared" si="70"/>
        <v>3.0892087262031129</v>
      </c>
      <c r="M205" s="459">
        <f t="shared" si="70"/>
        <v>3.1339056184240928</v>
      </c>
      <c r="N205" s="459">
        <f t="shared" si="70"/>
        <v>3.1702913527775558</v>
      </c>
      <c r="O205" s="327"/>
      <c r="P205" s="327"/>
    </row>
    <row r="206" spans="1:16">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6"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31.311907065257248</v>
      </c>
      <c r="D213" s="459">
        <f t="shared" ref="D213:N213" si="75">D111+D145+D179</f>
        <v>38.179484691096008</v>
      </c>
      <c r="E213" s="459">
        <f t="shared" si="75"/>
        <v>47.042113736243039</v>
      </c>
      <c r="F213" s="459">
        <f t="shared" si="75"/>
        <v>51.0692116683637</v>
      </c>
      <c r="G213" s="459">
        <f t="shared" si="75"/>
        <v>53.832350187013247</v>
      </c>
      <c r="H213" s="459">
        <f t="shared" si="75"/>
        <v>57.914582102998217</v>
      </c>
      <c r="I213" s="459">
        <f t="shared" si="75"/>
        <v>61.76731839247828</v>
      </c>
      <c r="J213" s="459">
        <f t="shared" si="75"/>
        <v>64.822780891884449</v>
      </c>
      <c r="K213" s="459">
        <f t="shared" si="75"/>
        <v>67.1350207344328</v>
      </c>
      <c r="L213" s="459">
        <f t="shared" si="75"/>
        <v>67.89116046927974</v>
      </c>
      <c r="M213" s="459">
        <f t="shared" si="75"/>
        <v>68.184207363788431</v>
      </c>
      <c r="N213" s="459">
        <f t="shared" si="75"/>
        <v>68.178190272681576</v>
      </c>
    </row>
    <row r="214" spans="1:14">
      <c r="B214" s="338" t="str">
        <f t="shared" si="72"/>
        <v>25-29</v>
      </c>
      <c r="C214" s="459">
        <f t="shared" si="74"/>
        <v>120.78391827198529</v>
      </c>
      <c r="D214" s="459">
        <f t="shared" ref="D214:N214" si="76">D112+D146+D180</f>
        <v>108.58865017541896</v>
      </c>
      <c r="E214" s="459">
        <f t="shared" si="76"/>
        <v>104.55244450181227</v>
      </c>
      <c r="F214" s="459">
        <f t="shared" si="76"/>
        <v>100.53909580285115</v>
      </c>
      <c r="G214" s="459">
        <f t="shared" si="76"/>
        <v>98.048064887678549</v>
      </c>
      <c r="H214" s="459">
        <f t="shared" si="76"/>
        <v>98.707747176461979</v>
      </c>
      <c r="I214" s="459">
        <f t="shared" si="76"/>
        <v>100.69303859804826</v>
      </c>
      <c r="J214" s="459">
        <f t="shared" si="76"/>
        <v>102.98689172793324</v>
      </c>
      <c r="K214" s="459">
        <f t="shared" si="76"/>
        <v>105.22261024209578</v>
      </c>
      <c r="L214" s="459">
        <f t="shared" si="76"/>
        <v>106.29148190157935</v>
      </c>
      <c r="M214" s="459">
        <f t="shared" si="76"/>
        <v>106.93400846659115</v>
      </c>
      <c r="N214" s="459">
        <f t="shared" si="76"/>
        <v>107.2311977867227</v>
      </c>
    </row>
    <row r="215" spans="1:14">
      <c r="B215" s="338" t="str">
        <f t="shared" si="72"/>
        <v>30-34</v>
      </c>
      <c r="C215" s="459">
        <f t="shared" si="74"/>
        <v>140.57239743397594</v>
      </c>
      <c r="D215" s="459">
        <f t="shared" ref="D215:N215" si="77">D113+D147+D181</f>
        <v>128.86027935785037</v>
      </c>
      <c r="E215" s="459">
        <f t="shared" si="77"/>
        <v>120.18007915423078</v>
      </c>
      <c r="F215" s="459">
        <f t="shared" si="77"/>
        <v>112.10532061331207</v>
      </c>
      <c r="G215" s="459">
        <f t="shared" si="77"/>
        <v>105.4565065653908</v>
      </c>
      <c r="H215" s="459">
        <f t="shared" si="77"/>
        <v>101.06882069344209</v>
      </c>
      <c r="I215" s="459">
        <f t="shared" si="77"/>
        <v>98.2856887711323</v>
      </c>
      <c r="J215" s="459">
        <f t="shared" si="77"/>
        <v>96.604823039010441</v>
      </c>
      <c r="K215" s="459">
        <f t="shared" si="77"/>
        <v>95.714994447204745</v>
      </c>
      <c r="L215" s="459">
        <f t="shared" si="77"/>
        <v>94.955277956991196</v>
      </c>
      <c r="M215" s="459">
        <f t="shared" si="77"/>
        <v>94.421469435666538</v>
      </c>
      <c r="N215" s="459">
        <f t="shared" si="77"/>
        <v>94.013002438683543</v>
      </c>
    </row>
    <row r="216" spans="1:14">
      <c r="B216" s="338" t="str">
        <f t="shared" si="72"/>
        <v>35-39</v>
      </c>
      <c r="C216" s="459">
        <f t="shared" si="74"/>
        <v>127.73380088797917</v>
      </c>
      <c r="D216" s="459">
        <f t="shared" ref="D216:N216" si="78">D114+D148+D182</f>
        <v>126.82668667450767</v>
      </c>
      <c r="E216" s="459">
        <f t="shared" si="78"/>
        <v>125.07243335279792</v>
      </c>
      <c r="F216" s="459">
        <f t="shared" si="78"/>
        <v>121.46272670327741</v>
      </c>
      <c r="G216" s="459">
        <f t="shared" si="78"/>
        <v>117.20184575048866</v>
      </c>
      <c r="H216" s="459">
        <f t="shared" si="78"/>
        <v>113.35790700279514</v>
      </c>
      <c r="I216" s="459">
        <f t="shared" si="78"/>
        <v>109.91811329083758</v>
      </c>
      <c r="J216" s="459">
        <f t="shared" si="78"/>
        <v>106.90259551356375</v>
      </c>
      <c r="K216" s="459">
        <f t="shared" si="78"/>
        <v>104.36309414530645</v>
      </c>
      <c r="L216" s="459">
        <f t="shared" si="78"/>
        <v>102.03577574035603</v>
      </c>
      <c r="M216" s="459">
        <f t="shared" si="78"/>
        <v>100.07723071322191</v>
      </c>
      <c r="N216" s="459">
        <f t="shared" si="78"/>
        <v>98.446684469376052</v>
      </c>
    </row>
    <row r="217" spans="1:14">
      <c r="B217" s="338" t="str">
        <f t="shared" si="72"/>
        <v>40-44</v>
      </c>
      <c r="C217" s="459">
        <f t="shared" si="74"/>
        <v>94.972550989901478</v>
      </c>
      <c r="D217" s="459">
        <f t="shared" ref="D217:N217" si="79">D115+D149+D183</f>
        <v>101.66729016260916</v>
      </c>
      <c r="E217" s="459">
        <f t="shared" si="79"/>
        <v>107.51013255244116</v>
      </c>
      <c r="F217" s="459">
        <f t="shared" si="79"/>
        <v>110.87644891543903</v>
      </c>
      <c r="G217" s="459">
        <f t="shared" si="79"/>
        <v>112.59260496267393</v>
      </c>
      <c r="H217" s="459">
        <f t="shared" si="79"/>
        <v>113.53574679494156</v>
      </c>
      <c r="I217" s="459">
        <f t="shared" si="79"/>
        <v>113.68035420455031</v>
      </c>
      <c r="J217" s="459">
        <f t="shared" si="79"/>
        <v>113.14747479538843</v>
      </c>
      <c r="K217" s="459">
        <f t="shared" si="79"/>
        <v>112.15344218652217</v>
      </c>
      <c r="L217" s="459">
        <f t="shared" si="79"/>
        <v>110.64343714692133</v>
      </c>
      <c r="M217" s="459">
        <f t="shared" si="79"/>
        <v>108.96632625478516</v>
      </c>
      <c r="N217" s="459">
        <f t="shared" si="79"/>
        <v>107.25069599080598</v>
      </c>
    </row>
    <row r="218" spans="1:14">
      <c r="B218" s="338" t="str">
        <f t="shared" si="72"/>
        <v>45-49</v>
      </c>
      <c r="C218" s="459">
        <f t="shared" si="74"/>
        <v>54.329438365094603</v>
      </c>
      <c r="D218" s="459">
        <f t="shared" ref="D218:N218" si="80">D116+D150+D184</f>
        <v>63.628728163799749</v>
      </c>
      <c r="E218" s="459">
        <f t="shared" si="80"/>
        <v>72.833155368075282</v>
      </c>
      <c r="F218" s="459">
        <f t="shared" si="80"/>
        <v>80.276821520395799</v>
      </c>
      <c r="G218" s="459">
        <f t="shared" si="80"/>
        <v>86.435937795334354</v>
      </c>
      <c r="H218" s="459">
        <f t="shared" si="80"/>
        <v>91.842192698423162</v>
      </c>
      <c r="I218" s="459">
        <f t="shared" si="80"/>
        <v>96.249877079561031</v>
      </c>
      <c r="J218" s="459">
        <f t="shared" si="80"/>
        <v>99.602355652749878</v>
      </c>
      <c r="K218" s="459">
        <f t="shared" si="80"/>
        <v>101.99406998271706</v>
      </c>
      <c r="L218" s="459">
        <f t="shared" si="80"/>
        <v>103.33369342766072</v>
      </c>
      <c r="M218" s="459">
        <f t="shared" si="80"/>
        <v>103.94706790539344</v>
      </c>
      <c r="N218" s="459">
        <f t="shared" si="80"/>
        <v>103.99806578032214</v>
      </c>
    </row>
    <row r="219" spans="1:14">
      <c r="B219" s="338" t="str">
        <f t="shared" si="72"/>
        <v>50-54</v>
      </c>
      <c r="C219" s="459">
        <f t="shared" si="74"/>
        <v>48.154379277303171</v>
      </c>
      <c r="D219" s="459">
        <f t="shared" ref="D219:N219" si="81">D117+D151+D185</f>
        <v>52.180275315820154</v>
      </c>
      <c r="E219" s="459">
        <f t="shared" si="81"/>
        <v>58.422784409406773</v>
      </c>
      <c r="F219" s="459">
        <f t="shared" si="81"/>
        <v>64.649382106374262</v>
      </c>
      <c r="G219" s="459">
        <f t="shared" si="81"/>
        <v>70.962067431996729</v>
      </c>
      <c r="H219" s="459">
        <f t="shared" si="81"/>
        <v>77.564532579097801</v>
      </c>
      <c r="I219" s="459">
        <f t="shared" si="81"/>
        <v>83.887128207486526</v>
      </c>
      <c r="J219" s="459">
        <f t="shared" si="81"/>
        <v>89.595832897371551</v>
      </c>
      <c r="K219" s="459">
        <f t="shared" si="81"/>
        <v>94.553396271244637</v>
      </c>
      <c r="L219" s="459">
        <f t="shared" si="81"/>
        <v>98.472564121481028</v>
      </c>
      <c r="M219" s="459">
        <f t="shared" si="81"/>
        <v>101.54510061572171</v>
      </c>
      <c r="N219" s="459">
        <f t="shared" si="81"/>
        <v>103.83657320171309</v>
      </c>
    </row>
    <row r="220" spans="1:14">
      <c r="B220" s="338" t="str">
        <f t="shared" si="72"/>
        <v>55-59</v>
      </c>
      <c r="C220" s="459">
        <f t="shared" si="74"/>
        <v>92.469395341094412</v>
      </c>
      <c r="D220" s="459">
        <f t="shared" ref="D220:N220" si="82">D118+D152+D186</f>
        <v>81.599161145060975</v>
      </c>
      <c r="E220" s="459">
        <f t="shared" si="82"/>
        <v>78.489956007445045</v>
      </c>
      <c r="F220" s="459">
        <f t="shared" si="82"/>
        <v>78.334264132998868</v>
      </c>
      <c r="G220" s="459">
        <f t="shared" si="82"/>
        <v>80.821083916406266</v>
      </c>
      <c r="H220" s="459">
        <f t="shared" si="82"/>
        <v>85.824226845543535</v>
      </c>
      <c r="I220" s="459">
        <f t="shared" si="82"/>
        <v>91.958126782000306</v>
      </c>
      <c r="J220" s="459">
        <f t="shared" si="82"/>
        <v>98.382916272018022</v>
      </c>
      <c r="K220" s="459">
        <f t="shared" si="82"/>
        <v>104.64936009440039</v>
      </c>
      <c r="L220" s="459">
        <f t="shared" si="82"/>
        <v>110.08276032227856</v>
      </c>
      <c r="M220" s="459">
        <f t="shared" si="82"/>
        <v>114.85142578995516</v>
      </c>
      <c r="N220" s="459">
        <f t="shared" si="82"/>
        <v>118.88239753051256</v>
      </c>
    </row>
    <row r="221" spans="1:14">
      <c r="B221" s="338" t="str">
        <f t="shared" si="72"/>
        <v>60-64</v>
      </c>
      <c r="C221" s="459">
        <f t="shared" si="74"/>
        <v>50.844641806959402</v>
      </c>
      <c r="D221" s="459">
        <f t="shared" ref="D221:N221" si="83">D119+D153+D187</f>
        <v>50.904364530383639</v>
      </c>
      <c r="E221" s="459">
        <f t="shared" si="83"/>
        <v>49.819926547656195</v>
      </c>
      <c r="F221" s="459">
        <f t="shared" si="83"/>
        <v>47.808587062524332</v>
      </c>
      <c r="G221" s="459">
        <f t="shared" si="83"/>
        <v>46.767453612531781</v>
      </c>
      <c r="H221" s="459">
        <f t="shared" si="83"/>
        <v>47.552223468726538</v>
      </c>
      <c r="I221" s="459">
        <f t="shared" si="83"/>
        <v>49.388154057055985</v>
      </c>
      <c r="J221" s="459">
        <f t="shared" si="83"/>
        <v>51.770688289258672</v>
      </c>
      <c r="K221" s="459">
        <f t="shared" si="83"/>
        <v>54.422853914227744</v>
      </c>
      <c r="L221" s="459">
        <f t="shared" si="83"/>
        <v>56.818349046870914</v>
      </c>
      <c r="M221" s="459">
        <f t="shared" si="83"/>
        <v>59.121889508647939</v>
      </c>
      <c r="N221" s="459">
        <f t="shared" si="83"/>
        <v>61.240829868701447</v>
      </c>
    </row>
    <row r="222" spans="1:14">
      <c r="B222" s="338" t="str">
        <f t="shared" si="72"/>
        <v>65 plus</v>
      </c>
      <c r="C222" s="459">
        <f t="shared" si="74"/>
        <v>12.744737644085808</v>
      </c>
      <c r="D222" s="459">
        <f t="shared" ref="D222:N222" si="84">D120+D154+D188</f>
        <v>16.317117292298192</v>
      </c>
      <c r="E222" s="459">
        <f t="shared" si="84"/>
        <v>18.832827263927946</v>
      </c>
      <c r="F222" s="459">
        <f t="shared" si="84"/>
        <v>19.69321885684446</v>
      </c>
      <c r="G222" s="459">
        <f t="shared" si="84"/>
        <v>19.857906016980635</v>
      </c>
      <c r="H222" s="459">
        <f t="shared" si="84"/>
        <v>20.113599363862129</v>
      </c>
      <c r="I222" s="459">
        <f t="shared" si="84"/>
        <v>20.500492022224435</v>
      </c>
      <c r="J222" s="459">
        <f t="shared" si="84"/>
        <v>21.011176769338128</v>
      </c>
      <c r="K222" s="459">
        <f t="shared" si="84"/>
        <v>21.639019540343462</v>
      </c>
      <c r="L222" s="459">
        <f t="shared" si="84"/>
        <v>22.215511429854264</v>
      </c>
      <c r="M222" s="459">
        <f t="shared" si="84"/>
        <v>22.824250889028963</v>
      </c>
      <c r="N222" s="459">
        <f t="shared" si="84"/>
        <v>23.442053734373101</v>
      </c>
    </row>
    <row r="223" spans="1:14">
      <c r="B223" s="338" t="str">
        <f t="shared" si="72"/>
        <v>Total</v>
      </c>
      <c r="C223" s="459">
        <f>SUM(C213:C222)</f>
        <v>773.91716708363651</v>
      </c>
      <c r="D223" s="459">
        <f t="shared" ref="D223:N223" si="85">SUM(D213:D222)</f>
        <v>768.75203750884486</v>
      </c>
      <c r="E223" s="459">
        <f t="shared" si="85"/>
        <v>782.75585289403637</v>
      </c>
      <c r="F223" s="459">
        <f t="shared" si="85"/>
        <v>786.81507738238111</v>
      </c>
      <c r="G223" s="459">
        <f t="shared" si="85"/>
        <v>791.97582112649491</v>
      </c>
      <c r="H223" s="459">
        <f t="shared" si="85"/>
        <v>807.48157872629224</v>
      </c>
      <c r="I223" s="459">
        <f t="shared" si="85"/>
        <v>826.32829140537513</v>
      </c>
      <c r="J223" s="459">
        <f t="shared" si="85"/>
        <v>844.82753584851673</v>
      </c>
      <c r="K223" s="459">
        <f t="shared" si="85"/>
        <v>861.84786155849531</v>
      </c>
      <c r="L223" s="459">
        <f t="shared" si="85"/>
        <v>872.74001156327313</v>
      </c>
      <c r="M223" s="459">
        <f t="shared" si="85"/>
        <v>880.87297694280028</v>
      </c>
      <c r="N223" s="459">
        <f t="shared" si="85"/>
        <v>886.5196910738922</v>
      </c>
    </row>
    <row r="224" spans="1:14">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54.615091171733503</v>
      </c>
      <c r="D229" s="459">
        <f t="shared" ref="D229:N229" si="90">D195+D161+D127</f>
        <v>53.335501319083505</v>
      </c>
      <c r="E229" s="459">
        <f t="shared" si="90"/>
        <v>56.018280716413621</v>
      </c>
      <c r="F229" s="459">
        <f t="shared" si="90"/>
        <v>55.854439616423221</v>
      </c>
      <c r="G229" s="459">
        <f t="shared" si="90"/>
        <v>55.63953577544595</v>
      </c>
      <c r="H229" s="459">
        <f t="shared" si="90"/>
        <v>57.401062290047356</v>
      </c>
      <c r="I229" s="459">
        <f t="shared" si="90"/>
        <v>59.511873706017468</v>
      </c>
      <c r="J229" s="459">
        <f t="shared" si="90"/>
        <v>61.297411474865591</v>
      </c>
      <c r="K229" s="459">
        <f t="shared" si="90"/>
        <v>62.692450371376033</v>
      </c>
      <c r="L229" s="459">
        <f t="shared" si="90"/>
        <v>62.878583537841244</v>
      </c>
      <c r="M229" s="459">
        <f t="shared" si="90"/>
        <v>62.788288394596385</v>
      </c>
      <c r="N229" s="459">
        <f t="shared" si="90"/>
        <v>62.528998484769865</v>
      </c>
    </row>
    <row r="230" spans="1:14">
      <c r="B230" s="338" t="str">
        <f t="shared" si="87"/>
        <v>25-29</v>
      </c>
      <c r="C230" s="459">
        <f t="shared" si="89"/>
        <v>149.99689664962673</v>
      </c>
      <c r="D230" s="459">
        <f t="shared" ref="D230:N230" si="91">D196+D162+D128</f>
        <v>132.89009473888052</v>
      </c>
      <c r="E230" s="459">
        <f t="shared" si="91"/>
        <v>124.18195740544668</v>
      </c>
      <c r="F230" s="459">
        <f t="shared" si="91"/>
        <v>115.99860583871971</v>
      </c>
      <c r="G230" s="459">
        <f t="shared" si="91"/>
        <v>109.92137355621298</v>
      </c>
      <c r="H230" s="459">
        <f t="shared" si="91"/>
        <v>107.55805967691704</v>
      </c>
      <c r="I230" s="459">
        <f t="shared" si="91"/>
        <v>107.03725887428058</v>
      </c>
      <c r="J230" s="459">
        <f t="shared" si="91"/>
        <v>107.28257714608996</v>
      </c>
      <c r="K230" s="459">
        <f t="shared" si="91"/>
        <v>107.8628358920395</v>
      </c>
      <c r="L230" s="459">
        <f t="shared" si="91"/>
        <v>107.61454792984678</v>
      </c>
      <c r="M230" s="459">
        <f t="shared" si="91"/>
        <v>107.21942870798588</v>
      </c>
      <c r="N230" s="459">
        <f t="shared" si="91"/>
        <v>106.70653391669042</v>
      </c>
    </row>
    <row r="231" spans="1:14">
      <c r="B231" s="338" t="str">
        <f t="shared" si="87"/>
        <v>30-34</v>
      </c>
      <c r="C231" s="459">
        <f t="shared" si="89"/>
        <v>166.34806948699705</v>
      </c>
      <c r="D231" s="459">
        <f t="shared" ref="D231:N231" si="92">D197+D163+D129</f>
        <v>156.23135333949699</v>
      </c>
      <c r="E231" s="459">
        <f t="shared" si="92"/>
        <v>148.12717787288213</v>
      </c>
      <c r="F231" s="459">
        <f t="shared" si="92"/>
        <v>139.42073844312173</v>
      </c>
      <c r="G231" s="459">
        <f t="shared" si="92"/>
        <v>131.59220547911369</v>
      </c>
      <c r="H231" s="459">
        <f t="shared" si="92"/>
        <v>126.01544094012986</v>
      </c>
      <c r="I231" s="459">
        <f t="shared" si="92"/>
        <v>122.06492586515908</v>
      </c>
      <c r="J231" s="459">
        <f t="shared" si="92"/>
        <v>119.2631783852284</v>
      </c>
      <c r="K231" s="459">
        <f t="shared" si="92"/>
        <v>117.33412137339847</v>
      </c>
      <c r="L231" s="459">
        <f t="shared" si="92"/>
        <v>115.52329993643302</v>
      </c>
      <c r="M231" s="459">
        <f t="shared" si="92"/>
        <v>114.01958663580723</v>
      </c>
      <c r="N231" s="459">
        <f t="shared" si="92"/>
        <v>112.7324111488374</v>
      </c>
    </row>
    <row r="232" spans="1:14">
      <c r="B232" s="338" t="str">
        <f t="shared" si="87"/>
        <v>35-39</v>
      </c>
      <c r="C232" s="459">
        <f t="shared" si="89"/>
        <v>130.27493312000502</v>
      </c>
      <c r="D232" s="459">
        <f t="shared" ref="D232:N232" si="93">D198+D164+D130</f>
        <v>129.13354880986756</v>
      </c>
      <c r="E232" s="459">
        <f t="shared" si="93"/>
        <v>127.90907777233738</v>
      </c>
      <c r="F232" s="459">
        <f t="shared" si="93"/>
        <v>124.88222906053019</v>
      </c>
      <c r="G232" s="459">
        <f t="shared" si="93"/>
        <v>121.15350439344023</v>
      </c>
      <c r="H232" s="459">
        <f t="shared" si="93"/>
        <v>117.79401877271984</v>
      </c>
      <c r="I232" s="459">
        <f t="shared" si="93"/>
        <v>114.69637972325199</v>
      </c>
      <c r="J232" s="459">
        <f t="shared" si="93"/>
        <v>111.85454152417678</v>
      </c>
      <c r="K232" s="459">
        <f t="shared" si="93"/>
        <v>109.3362028364318</v>
      </c>
      <c r="L232" s="459">
        <f t="shared" si="93"/>
        <v>106.86172535150855</v>
      </c>
      <c r="M232" s="459">
        <f t="shared" si="93"/>
        <v>104.65426489735519</v>
      </c>
      <c r="N232" s="459">
        <f t="shared" si="93"/>
        <v>102.70532589252889</v>
      </c>
    </row>
    <row r="233" spans="1:14">
      <c r="B233" s="338" t="str">
        <f t="shared" si="87"/>
        <v>40-44</v>
      </c>
      <c r="C233" s="459">
        <f t="shared" si="89"/>
        <v>79.540601626999859</v>
      </c>
      <c r="D233" s="459">
        <f t="shared" ref="D233:N233" si="94">D199+D165+D131</f>
        <v>85.940898261444033</v>
      </c>
      <c r="E233" s="459">
        <f t="shared" si="94"/>
        <v>91.514507541939864</v>
      </c>
      <c r="F233" s="459">
        <f t="shared" si="94"/>
        <v>94.80761176941067</v>
      </c>
      <c r="G233" s="459">
        <f t="shared" si="94"/>
        <v>96.67600800340206</v>
      </c>
      <c r="H233" s="459">
        <f t="shared" si="94"/>
        <v>97.955708406493656</v>
      </c>
      <c r="I233" s="459">
        <f t="shared" si="94"/>
        <v>98.556440199776304</v>
      </c>
      <c r="J233" s="459">
        <f t="shared" si="94"/>
        <v>98.534449495734535</v>
      </c>
      <c r="K233" s="459">
        <f t="shared" si="94"/>
        <v>98.051583403119309</v>
      </c>
      <c r="L233" s="459">
        <f t="shared" si="94"/>
        <v>97.014091180540049</v>
      </c>
      <c r="M233" s="459">
        <f t="shared" si="94"/>
        <v>95.745785767067105</v>
      </c>
      <c r="N233" s="459">
        <f t="shared" si="94"/>
        <v>94.362442504690875</v>
      </c>
    </row>
    <row r="234" spans="1:14">
      <c r="B234" s="338" t="str">
        <f t="shared" si="87"/>
        <v>45-49</v>
      </c>
      <c r="C234" s="459">
        <f t="shared" si="89"/>
        <v>47.532686450701718</v>
      </c>
      <c r="D234" s="459">
        <f t="shared" ref="D234:N234" si="95">D200+D166+D132</f>
        <v>53.976072953228851</v>
      </c>
      <c r="E234" s="459">
        <f t="shared" si="95"/>
        <v>60.852528208146808</v>
      </c>
      <c r="F234" s="459">
        <f t="shared" si="95"/>
        <v>66.472694045358736</v>
      </c>
      <c r="G234" s="459">
        <f t="shared" si="95"/>
        <v>71.219812388790828</v>
      </c>
      <c r="H234" s="459">
        <f t="shared" si="95"/>
        <v>75.550107102295371</v>
      </c>
      <c r="I234" s="459">
        <f t="shared" si="95"/>
        <v>79.195234330479096</v>
      </c>
      <c r="J234" s="459">
        <f t="shared" si="95"/>
        <v>82.061572738240471</v>
      </c>
      <c r="K234" s="459">
        <f t="shared" si="95"/>
        <v>84.194906165606085</v>
      </c>
      <c r="L234" s="459">
        <f t="shared" si="95"/>
        <v>85.467926647395998</v>
      </c>
      <c r="M234" s="459">
        <f t="shared" si="95"/>
        <v>86.146790776940321</v>
      </c>
      <c r="N234" s="459">
        <f t="shared" si="95"/>
        <v>86.351028904992461</v>
      </c>
    </row>
    <row r="235" spans="1:14">
      <c r="B235" s="338" t="str">
        <f t="shared" si="87"/>
        <v>50-54</v>
      </c>
      <c r="C235" s="459">
        <f t="shared" si="89"/>
        <v>47.4737684435337</v>
      </c>
      <c r="D235" s="459">
        <f t="shared" ref="D235:N235" si="96">D201+D167+D133</f>
        <v>49.554165625512091</v>
      </c>
      <c r="E235" s="459">
        <f t="shared" si="96"/>
        <v>53.605042568918769</v>
      </c>
      <c r="F235" s="459">
        <f t="shared" si="96"/>
        <v>57.699166969918579</v>
      </c>
      <c r="G235" s="459">
        <f t="shared" si="96"/>
        <v>62.015108482963207</v>
      </c>
      <c r="H235" s="459">
        <f t="shared" si="96"/>
        <v>66.786032515396229</v>
      </c>
      <c r="I235" s="459">
        <f t="shared" si="96"/>
        <v>71.499488575042648</v>
      </c>
      <c r="J235" s="459">
        <f t="shared" si="96"/>
        <v>75.848808974400555</v>
      </c>
      <c r="K235" s="459">
        <f t="shared" si="96"/>
        <v>79.699876784026131</v>
      </c>
      <c r="L235" s="459">
        <f t="shared" si="96"/>
        <v>82.769634347269516</v>
      </c>
      <c r="M235" s="459">
        <f t="shared" si="96"/>
        <v>85.216538871355624</v>
      </c>
      <c r="N235" s="459">
        <f t="shared" si="96"/>
        <v>87.076849882452422</v>
      </c>
    </row>
    <row r="236" spans="1:14">
      <c r="B236" s="338" t="str">
        <f t="shared" si="87"/>
        <v>55-59</v>
      </c>
      <c r="C236" s="459">
        <f t="shared" si="89"/>
        <v>83.676089456874479</v>
      </c>
      <c r="D236" s="459">
        <f t="shared" ref="D236:N236" si="97">D202+D168+D134</f>
        <v>74.727611299678628</v>
      </c>
      <c r="E236" s="459">
        <f t="shared" si="97"/>
        <v>71.640480626829302</v>
      </c>
      <c r="F236" s="459">
        <f t="shared" si="97"/>
        <v>70.568038426903982</v>
      </c>
      <c r="G236" s="459">
        <f t="shared" si="97"/>
        <v>71.513542998617083</v>
      </c>
      <c r="H236" s="459">
        <f t="shared" si="97"/>
        <v>74.563213092963622</v>
      </c>
      <c r="I236" s="459">
        <f t="shared" si="97"/>
        <v>78.627600393491178</v>
      </c>
      <c r="J236" s="459">
        <f t="shared" si="97"/>
        <v>83.046038519569947</v>
      </c>
      <c r="K236" s="459">
        <f t="shared" si="97"/>
        <v>87.468134672143975</v>
      </c>
      <c r="L236" s="459">
        <f t="shared" si="97"/>
        <v>91.320999119982673</v>
      </c>
      <c r="M236" s="459">
        <f t="shared" si="97"/>
        <v>94.757837305589845</v>
      </c>
      <c r="N236" s="459">
        <f t="shared" si="97"/>
        <v>97.70943711624642</v>
      </c>
    </row>
    <row r="237" spans="1:14">
      <c r="B237" s="338" t="str">
        <f t="shared" si="87"/>
        <v>60-64</v>
      </c>
      <c r="C237" s="459">
        <f t="shared" si="89"/>
        <v>48.43951118809975</v>
      </c>
      <c r="D237" s="459">
        <f t="shared" ref="D237:N237" si="98">D203+D169+D135</f>
        <v>48.737508277136691</v>
      </c>
      <c r="E237" s="459">
        <f t="shared" si="98"/>
        <v>47.9273985649791</v>
      </c>
      <c r="F237" s="459">
        <f t="shared" si="98"/>
        <v>46.007977268850588</v>
      </c>
      <c r="G237" s="459">
        <f t="shared" si="98"/>
        <v>44.819352202294866</v>
      </c>
      <c r="H237" s="459">
        <f t="shared" si="98"/>
        <v>45.21866033295975</v>
      </c>
      <c r="I237" s="459">
        <f t="shared" si="98"/>
        <v>46.489831249763014</v>
      </c>
      <c r="J237" s="459">
        <f t="shared" si="98"/>
        <v>48.206955184499407</v>
      </c>
      <c r="K237" s="459">
        <f t="shared" si="98"/>
        <v>50.160153264947304</v>
      </c>
      <c r="L237" s="459">
        <f t="shared" si="98"/>
        <v>51.880191854021227</v>
      </c>
      <c r="M237" s="459">
        <f t="shared" si="98"/>
        <v>53.564529499430606</v>
      </c>
      <c r="N237" s="459">
        <f t="shared" si="98"/>
        <v>55.137332107888952</v>
      </c>
    </row>
    <row r="238" spans="1:14">
      <c r="B238" s="338" t="str">
        <f t="shared" si="87"/>
        <v>65 plus</v>
      </c>
      <c r="C238" s="459">
        <f t="shared" si="89"/>
        <v>9.1042185578891299</v>
      </c>
      <c r="D238" s="459">
        <f t="shared" ref="D238:N238" si="99">D204+D170+D136</f>
        <v>13.400479971993398</v>
      </c>
      <c r="E238" s="459">
        <f t="shared" si="99"/>
        <v>16.158395728602461</v>
      </c>
      <c r="F238" s="459">
        <f t="shared" si="99"/>
        <v>17.083657634051164</v>
      </c>
      <c r="G238" s="459">
        <f t="shared" si="99"/>
        <v>17.268273102539158</v>
      </c>
      <c r="H238" s="459">
        <f t="shared" si="99"/>
        <v>17.50923209036495</v>
      </c>
      <c r="I238" s="459">
        <f t="shared" si="99"/>
        <v>17.821225436464243</v>
      </c>
      <c r="J238" s="459">
        <f t="shared" si="99"/>
        <v>18.193436878332015</v>
      </c>
      <c r="K238" s="459">
        <f t="shared" si="99"/>
        <v>18.630230900018933</v>
      </c>
      <c r="L238" s="459">
        <f t="shared" si="99"/>
        <v>18.980492515236151</v>
      </c>
      <c r="M238" s="459">
        <f t="shared" si="99"/>
        <v>19.351046920176302</v>
      </c>
      <c r="N238" s="459">
        <f t="shared" si="99"/>
        <v>19.731427592914873</v>
      </c>
    </row>
    <row r="239" spans="1:14">
      <c r="B239" s="338" t="str">
        <f t="shared" si="87"/>
        <v>Total</v>
      </c>
      <c r="C239" s="459">
        <f>SUM(C229:C238)</f>
        <v>817.00186615246093</v>
      </c>
      <c r="D239" s="459">
        <f t="shared" ref="D239:N239" si="100">SUM(D229:D238)</f>
        <v>797.92723459632214</v>
      </c>
      <c r="E239" s="459">
        <f t="shared" si="100"/>
        <v>797.93484700649617</v>
      </c>
      <c r="F239" s="459">
        <f t="shared" si="100"/>
        <v>788.79515907328857</v>
      </c>
      <c r="G239" s="459">
        <f t="shared" si="100"/>
        <v>781.81871638282018</v>
      </c>
      <c r="H239" s="459">
        <f t="shared" si="100"/>
        <v>786.3515352202877</v>
      </c>
      <c r="I239" s="459">
        <f t="shared" si="100"/>
        <v>795.50025835372571</v>
      </c>
      <c r="J239" s="459">
        <f t="shared" si="100"/>
        <v>805.58897032113771</v>
      </c>
      <c r="K239" s="459">
        <f t="shared" si="100"/>
        <v>815.43049566310742</v>
      </c>
      <c r="L239" s="459">
        <f t="shared" si="100"/>
        <v>820.31149242007518</v>
      </c>
      <c r="M239" s="459">
        <f t="shared" si="100"/>
        <v>823.46409777630447</v>
      </c>
      <c r="N239" s="459">
        <f t="shared" si="100"/>
        <v>825.04178755201269</v>
      </c>
    </row>
    <row r="240" spans="1:14">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256.56357879109731</v>
      </c>
      <c r="D247" s="459">
        <f t="shared" ref="D247:N247" si="105">D77-D213</f>
        <v>312.83515272106365</v>
      </c>
      <c r="E247" s="459">
        <f t="shared" si="105"/>
        <v>385.45378372881277</v>
      </c>
      <c r="F247" s="459">
        <f t="shared" si="105"/>
        <v>418.45102836976656</v>
      </c>
      <c r="G247" s="459">
        <f t="shared" si="105"/>
        <v>441.09163935404149</v>
      </c>
      <c r="H247" s="459">
        <f t="shared" si="105"/>
        <v>474.54064096347884</v>
      </c>
      <c r="I247" s="459">
        <f t="shared" si="105"/>
        <v>506.10920076110665</v>
      </c>
      <c r="J247" s="459">
        <f t="shared" si="105"/>
        <v>531.14505667610626</v>
      </c>
      <c r="K247" s="459">
        <f t="shared" si="105"/>
        <v>550.09109301273691</v>
      </c>
      <c r="L247" s="459">
        <f t="shared" si="105"/>
        <v>556.28675257554073</v>
      </c>
      <c r="M247" s="459">
        <f t="shared" si="105"/>
        <v>558.68792091869113</v>
      </c>
      <c r="N247" s="459">
        <f t="shared" si="105"/>
        <v>558.63861806322893</v>
      </c>
    </row>
    <row r="248" spans="2:14">
      <c r="B248" s="338" t="str">
        <f t="shared" si="102"/>
        <v>25-29</v>
      </c>
      <c r="C248" s="459">
        <f t="shared" si="104"/>
        <v>1311.5066328856647</v>
      </c>
      <c r="D248" s="459">
        <f t="shared" ref="D248:N248" si="106">D78-D214</f>
        <v>1179.0868933434399</v>
      </c>
      <c r="E248" s="459">
        <f t="shared" si="106"/>
        <v>1135.2606076229699</v>
      </c>
      <c r="F248" s="459">
        <f t="shared" si="106"/>
        <v>1091.6825095278414</v>
      </c>
      <c r="G248" s="459">
        <f t="shared" si="106"/>
        <v>1064.63417714459</v>
      </c>
      <c r="H248" s="459">
        <f t="shared" si="106"/>
        <v>1071.7971977661634</v>
      </c>
      <c r="I248" s="459">
        <f t="shared" si="106"/>
        <v>1093.3540648133001</v>
      </c>
      <c r="J248" s="459">
        <f t="shared" si="106"/>
        <v>1118.2613839146334</v>
      </c>
      <c r="K248" s="459">
        <f t="shared" si="106"/>
        <v>1142.5374605855916</v>
      </c>
      <c r="L248" s="459">
        <f t="shared" si="106"/>
        <v>1154.1435774525696</v>
      </c>
      <c r="M248" s="459">
        <f t="shared" si="106"/>
        <v>1161.1203162757022</v>
      </c>
      <c r="N248" s="459">
        <f t="shared" si="106"/>
        <v>1164.3472836580454</v>
      </c>
    </row>
    <row r="249" spans="2:14">
      <c r="B249" s="338" t="str">
        <f t="shared" si="102"/>
        <v>30-34</v>
      </c>
      <c r="C249" s="459">
        <f t="shared" si="104"/>
        <v>2107.7523991987846</v>
      </c>
      <c r="D249" s="459">
        <f t="shared" ref="D249:N249" si="107">D79-D215</f>
        <v>1932.140078250444</v>
      </c>
      <c r="E249" s="459">
        <f t="shared" si="107"/>
        <v>1801.9885468070245</v>
      </c>
      <c r="F249" s="459">
        <f t="shared" si="107"/>
        <v>1680.9150501729073</v>
      </c>
      <c r="G249" s="459">
        <f t="shared" si="107"/>
        <v>1581.2222654075711</v>
      </c>
      <c r="H249" s="459">
        <f t="shared" si="107"/>
        <v>1515.4329953065601</v>
      </c>
      <c r="I249" s="459">
        <f t="shared" si="107"/>
        <v>1473.7025198105409</v>
      </c>
      <c r="J249" s="459">
        <f t="shared" si="107"/>
        <v>1448.4995009798004</v>
      </c>
      <c r="K249" s="459">
        <f t="shared" si="107"/>
        <v>1435.1573485836655</v>
      </c>
      <c r="L249" s="459">
        <f t="shared" si="107"/>
        <v>1423.7661061762747</v>
      </c>
      <c r="M249" s="459">
        <f t="shared" si="107"/>
        <v>1415.7621437193973</v>
      </c>
      <c r="N249" s="459">
        <f t="shared" si="107"/>
        <v>1409.6375608809435</v>
      </c>
    </row>
    <row r="250" spans="2:14">
      <c r="B250" s="338" t="str">
        <f t="shared" si="102"/>
        <v>35-39</v>
      </c>
      <c r="C250" s="459">
        <f t="shared" si="104"/>
        <v>1901.9807157132545</v>
      </c>
      <c r="D250" s="459">
        <f t="shared" ref="D250:N250" si="108">D80-D216</f>
        <v>1888.473611650131</v>
      </c>
      <c r="E250" s="459">
        <f t="shared" si="108"/>
        <v>1862.3524443070096</v>
      </c>
      <c r="F250" s="459">
        <f t="shared" si="108"/>
        <v>1808.6032221822336</v>
      </c>
      <c r="G250" s="459">
        <f t="shared" si="108"/>
        <v>1745.1578901885405</v>
      </c>
      <c r="H250" s="459">
        <f t="shared" si="108"/>
        <v>1687.9209073408465</v>
      </c>
      <c r="I250" s="459">
        <f t="shared" si="108"/>
        <v>1636.7017213407948</v>
      </c>
      <c r="J250" s="459">
        <f t="shared" si="108"/>
        <v>1591.8000851223967</v>
      </c>
      <c r="K250" s="459">
        <f t="shared" si="108"/>
        <v>1553.986424240351</v>
      </c>
      <c r="L250" s="459">
        <f t="shared" si="108"/>
        <v>1519.3322082476536</v>
      </c>
      <c r="M250" s="459">
        <f t="shared" si="108"/>
        <v>1490.169098353726</v>
      </c>
      <c r="N250" s="459">
        <f t="shared" si="108"/>
        <v>1465.8899530506494</v>
      </c>
    </row>
    <row r="251" spans="2:14">
      <c r="B251" s="338" t="str">
        <f t="shared" si="102"/>
        <v>40-44</v>
      </c>
      <c r="C251" s="459">
        <f t="shared" si="104"/>
        <v>1251.582547411929</v>
      </c>
      <c r="D251" s="459">
        <f t="shared" ref="D251:N251" si="109">D81-D217</f>
        <v>1339.8082359998546</v>
      </c>
      <c r="E251" s="459">
        <f t="shared" si="109"/>
        <v>1416.807321379481</v>
      </c>
      <c r="F251" s="459">
        <f t="shared" si="109"/>
        <v>1461.1698531329275</v>
      </c>
      <c r="G251" s="459">
        <f t="shared" si="109"/>
        <v>1483.7859767914679</v>
      </c>
      <c r="H251" s="459">
        <f t="shared" si="109"/>
        <v>1496.2150401860667</v>
      </c>
      <c r="I251" s="459">
        <f t="shared" si="109"/>
        <v>1498.1207288108994</v>
      </c>
      <c r="J251" s="459">
        <f t="shared" si="109"/>
        <v>1491.0982516695501</v>
      </c>
      <c r="K251" s="459">
        <f t="shared" si="109"/>
        <v>1477.9985312572001</v>
      </c>
      <c r="L251" s="459">
        <f t="shared" si="109"/>
        <v>1458.099139966032</v>
      </c>
      <c r="M251" s="459">
        <f t="shared" si="109"/>
        <v>1435.9975674506716</v>
      </c>
      <c r="N251" s="459">
        <f t="shared" si="109"/>
        <v>1413.3883727536017</v>
      </c>
    </row>
    <row r="252" spans="2:14">
      <c r="B252" s="338" t="str">
        <f t="shared" si="102"/>
        <v>45-49</v>
      </c>
      <c r="C252" s="459">
        <f t="shared" si="104"/>
        <v>633.84449296183561</v>
      </c>
      <c r="D252" s="459">
        <f t="shared" ref="D252:N252" si="110">D82-D218</f>
        <v>742.33638621049442</v>
      </c>
      <c r="E252" s="459">
        <f t="shared" si="110"/>
        <v>849.72154736552829</v>
      </c>
      <c r="F252" s="459">
        <f t="shared" si="110"/>
        <v>936.56446236842021</v>
      </c>
      <c r="G252" s="459">
        <f t="shared" si="110"/>
        <v>1008.4209374187789</v>
      </c>
      <c r="H252" s="459">
        <f t="shared" si="110"/>
        <v>1071.4940153115251</v>
      </c>
      <c r="I252" s="459">
        <f t="shared" si="110"/>
        <v>1122.9170845677145</v>
      </c>
      <c r="J252" s="459">
        <f t="shared" si="110"/>
        <v>1162.0293990942996</v>
      </c>
      <c r="K252" s="459">
        <f t="shared" si="110"/>
        <v>1189.9327789636116</v>
      </c>
      <c r="L252" s="459">
        <f t="shared" si="110"/>
        <v>1205.5617449307185</v>
      </c>
      <c r="M252" s="459">
        <f t="shared" si="110"/>
        <v>1212.7177923063898</v>
      </c>
      <c r="N252" s="459">
        <f t="shared" si="110"/>
        <v>1213.3127684951567</v>
      </c>
    </row>
    <row r="253" spans="2:14">
      <c r="B253" s="338" t="str">
        <f t="shared" si="102"/>
        <v>50-54</v>
      </c>
      <c r="C253" s="459">
        <f t="shared" si="104"/>
        <v>390.92199729910749</v>
      </c>
      <c r="D253" s="459">
        <f t="shared" ref="D253:N253" si="111">D83-D219</f>
        <v>423.60461815135909</v>
      </c>
      <c r="E253" s="459">
        <f t="shared" si="111"/>
        <v>474.2819222646516</v>
      </c>
      <c r="F253" s="459">
        <f t="shared" si="111"/>
        <v>524.83005609188672</v>
      </c>
      <c r="G253" s="459">
        <f t="shared" si="111"/>
        <v>576.07705777375122</v>
      </c>
      <c r="H253" s="459">
        <f t="shared" si="111"/>
        <v>629.67652060846456</v>
      </c>
      <c r="I253" s="459">
        <f t="shared" si="111"/>
        <v>681.00397510499238</v>
      </c>
      <c r="J253" s="459">
        <f t="shared" si="111"/>
        <v>727.34780245471984</v>
      </c>
      <c r="K253" s="459">
        <f t="shared" si="111"/>
        <v>767.5937905649813</v>
      </c>
      <c r="L253" s="459">
        <f t="shared" si="111"/>
        <v>799.4099814651305</v>
      </c>
      <c r="M253" s="459">
        <f t="shared" si="111"/>
        <v>824.35313556927008</v>
      </c>
      <c r="N253" s="459">
        <f t="shared" si="111"/>
        <v>842.95553588084715</v>
      </c>
    </row>
    <row r="254" spans="2:14">
      <c r="B254" s="338" t="str">
        <f t="shared" si="102"/>
        <v>55-59</v>
      </c>
      <c r="C254" s="459">
        <f t="shared" si="104"/>
        <v>263.84797342361088</v>
      </c>
      <c r="D254" s="459">
        <f t="shared" ref="D254:N254" si="112">D84-D220</f>
        <v>232.83134081036781</v>
      </c>
      <c r="E254" s="459">
        <f t="shared" si="112"/>
        <v>223.95967606667429</v>
      </c>
      <c r="F254" s="459">
        <f t="shared" si="112"/>
        <v>223.51543194244684</v>
      </c>
      <c r="G254" s="459">
        <f t="shared" si="112"/>
        <v>230.61121058035678</v>
      </c>
      <c r="H254" s="459">
        <f t="shared" si="112"/>
        <v>244.8869514104137</v>
      </c>
      <c r="I254" s="459">
        <f t="shared" si="112"/>
        <v>262.38914293494389</v>
      </c>
      <c r="J254" s="459">
        <f t="shared" si="112"/>
        <v>280.72134550165771</v>
      </c>
      <c r="K254" s="459">
        <f t="shared" si="112"/>
        <v>298.60173173117289</v>
      </c>
      <c r="L254" s="459">
        <f t="shared" si="112"/>
        <v>314.105149198508</v>
      </c>
      <c r="M254" s="459">
        <f t="shared" si="112"/>
        <v>327.71184268818052</v>
      </c>
      <c r="N254" s="459">
        <f t="shared" si="112"/>
        <v>339.21363439721807</v>
      </c>
    </row>
    <row r="255" spans="2:14">
      <c r="B255" s="338" t="str">
        <f t="shared" si="102"/>
        <v>60-64</v>
      </c>
      <c r="C255" s="459">
        <f t="shared" si="104"/>
        <v>76.94189431286128</v>
      </c>
      <c r="D255" s="459">
        <f t="shared" ref="D255:N255" si="113">D85-D221</f>
        <v>77.032271180717487</v>
      </c>
      <c r="E255" s="459">
        <f t="shared" si="113"/>
        <v>75.391218953962564</v>
      </c>
      <c r="F255" s="459">
        <f t="shared" si="113"/>
        <v>72.34751042160903</v>
      </c>
      <c r="G255" s="459">
        <f t="shared" si="113"/>
        <v>70.771989835210746</v>
      </c>
      <c r="H255" s="459">
        <f t="shared" si="113"/>
        <v>71.959561960598251</v>
      </c>
      <c r="I255" s="459">
        <f t="shared" si="113"/>
        <v>74.737828701650571</v>
      </c>
      <c r="J255" s="459">
        <f t="shared" si="113"/>
        <v>78.343256738431833</v>
      </c>
      <c r="K255" s="459">
        <f t="shared" si="113"/>
        <v>82.356711056614159</v>
      </c>
      <c r="L255" s="459">
        <f t="shared" si="113"/>
        <v>85.981752492102771</v>
      </c>
      <c r="M255" s="459">
        <f t="shared" si="113"/>
        <v>89.467641279133005</v>
      </c>
      <c r="N255" s="459">
        <f t="shared" si="113"/>
        <v>92.674179459842094</v>
      </c>
    </row>
    <row r="256" spans="2:14">
      <c r="B256" s="338" t="str">
        <f t="shared" si="102"/>
        <v>65 plus</v>
      </c>
      <c r="C256" s="459">
        <f t="shared" si="104"/>
        <v>14.802981144971918</v>
      </c>
      <c r="D256" s="459">
        <f t="shared" ref="D256:N256" si="114">D86-D222</f>
        <v>18.952291240790885</v>
      </c>
      <c r="E256" s="459">
        <f t="shared" si="114"/>
        <v>21.874282129597795</v>
      </c>
      <c r="F256" s="459">
        <f t="shared" si="114"/>
        <v>22.873624829535267</v>
      </c>
      <c r="G256" s="459">
        <f t="shared" si="114"/>
        <v>23.064908557329076</v>
      </c>
      <c r="H256" s="459">
        <f t="shared" si="114"/>
        <v>23.361895745177385</v>
      </c>
      <c r="I256" s="459">
        <f t="shared" si="114"/>
        <v>23.811270607713134</v>
      </c>
      <c r="J256" s="459">
        <f t="shared" si="114"/>
        <v>24.40442967411861</v>
      </c>
      <c r="K256" s="459">
        <f t="shared" si="114"/>
        <v>25.133667494523003</v>
      </c>
      <c r="L256" s="459">
        <f t="shared" si="114"/>
        <v>25.803261393509043</v>
      </c>
      <c r="M256" s="459">
        <f t="shared" si="114"/>
        <v>26.510310764630869</v>
      </c>
      <c r="N256" s="459">
        <f t="shared" si="114"/>
        <v>27.227887236295874</v>
      </c>
    </row>
    <row r="257" spans="1:14">
      <c r="B257" s="338" t="str">
        <f t="shared" si="102"/>
        <v>Total</v>
      </c>
      <c r="C257" s="459">
        <f>SUM(C247:C256)</f>
        <v>8209.7452131431182</v>
      </c>
      <c r="D257" s="459">
        <f t="shared" ref="D257:N257" si="115">SUM(D247:D256)</f>
        <v>8147.1008795586631</v>
      </c>
      <c r="E257" s="459">
        <f t="shared" si="115"/>
        <v>8247.0913506257129</v>
      </c>
      <c r="F257" s="459">
        <f t="shared" si="115"/>
        <v>8240.952749039574</v>
      </c>
      <c r="G257" s="459">
        <f t="shared" si="115"/>
        <v>8224.8380530516388</v>
      </c>
      <c r="H257" s="459">
        <f t="shared" si="115"/>
        <v>8287.2857265992952</v>
      </c>
      <c r="I257" s="459">
        <f t="shared" si="115"/>
        <v>8372.8475374536574</v>
      </c>
      <c r="J257" s="459">
        <f t="shared" si="115"/>
        <v>8453.6505118257155</v>
      </c>
      <c r="K257" s="459">
        <f t="shared" si="115"/>
        <v>8523.3895374904496</v>
      </c>
      <c r="L257" s="459">
        <f t="shared" si="115"/>
        <v>8542.4896738980406</v>
      </c>
      <c r="M257" s="459">
        <f t="shared" si="115"/>
        <v>8542.4977693257915</v>
      </c>
      <c r="N257" s="459">
        <f t="shared" si="115"/>
        <v>8527.2857938758298</v>
      </c>
    </row>
    <row r="258" spans="1:14">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4">
      <c r="B263" s="338" t="str">
        <f t="shared" si="117"/>
        <v>20-24</v>
      </c>
      <c r="C263" s="459">
        <f t="shared" ref="C263:C272" si="119">C93-C229</f>
        <v>449.87667394967468</v>
      </c>
      <c r="D263" s="459">
        <f t="shared" ref="D263:N263" si="120">D93-D229</f>
        <v>439.33640724720198</v>
      </c>
      <c r="E263" s="459">
        <f t="shared" si="120"/>
        <v>461.43505885279035</v>
      </c>
      <c r="F263" s="459">
        <f t="shared" si="120"/>
        <v>460.08546320919498</v>
      </c>
      <c r="G263" s="459">
        <f t="shared" si="120"/>
        <v>458.31525239156844</v>
      </c>
      <c r="H263" s="459">
        <f t="shared" si="120"/>
        <v>472.82533875160351</v>
      </c>
      <c r="I263" s="459">
        <f t="shared" si="120"/>
        <v>490.21256266313503</v>
      </c>
      <c r="J263" s="459">
        <f t="shared" si="120"/>
        <v>504.92043507398716</v>
      </c>
      <c r="K263" s="459">
        <f t="shared" si="120"/>
        <v>516.41168127220578</v>
      </c>
      <c r="L263" s="459">
        <f t="shared" si="120"/>
        <v>517.9449016339147</v>
      </c>
      <c r="M263" s="459">
        <f t="shared" si="120"/>
        <v>517.20112042170217</v>
      </c>
      <c r="N263" s="459">
        <f t="shared" si="120"/>
        <v>515.06529166597102</v>
      </c>
    </row>
    <row r="264" spans="1:14">
      <c r="B264" s="338" t="str">
        <f t="shared" si="117"/>
        <v>25-29</v>
      </c>
      <c r="C264" s="459">
        <f t="shared" si="119"/>
        <v>1484.076362671206</v>
      </c>
      <c r="D264" s="459">
        <f t="shared" ref="D264:N264" si="121">D94-D230</f>
        <v>1314.8208585660796</v>
      </c>
      <c r="E264" s="459">
        <f t="shared" si="121"/>
        <v>1228.6621374984597</v>
      </c>
      <c r="F264" s="459">
        <f t="shared" si="121"/>
        <v>1147.6956715323247</v>
      </c>
      <c r="G264" s="459">
        <f t="shared" si="121"/>
        <v>1087.5672489957037</v>
      </c>
      <c r="H264" s="459">
        <f t="shared" si="121"/>
        <v>1064.1845101245883</v>
      </c>
      <c r="I264" s="459">
        <f t="shared" si="121"/>
        <v>1059.0316824453707</v>
      </c>
      <c r="J264" s="459">
        <f t="shared" si="121"/>
        <v>1061.4588729850127</v>
      </c>
      <c r="K264" s="459">
        <f t="shared" si="121"/>
        <v>1067.1999803567769</v>
      </c>
      <c r="L264" s="459">
        <f t="shared" si="121"/>
        <v>1064.7434075605629</v>
      </c>
      <c r="M264" s="459">
        <f t="shared" si="121"/>
        <v>1060.8340793631235</v>
      </c>
      <c r="N264" s="459">
        <f t="shared" si="121"/>
        <v>1055.7594741326113</v>
      </c>
    </row>
    <row r="265" spans="1:14">
      <c r="B265" s="338" t="str">
        <f t="shared" si="117"/>
        <v>30-34</v>
      </c>
      <c r="C265" s="459">
        <f t="shared" si="119"/>
        <v>1746.2793203071578</v>
      </c>
      <c r="D265" s="459">
        <f t="shared" ref="D265:N265" si="122">D95-D231</f>
        <v>1640.076631858298</v>
      </c>
      <c r="E265" s="459">
        <f t="shared" si="122"/>
        <v>1555.0010787176204</v>
      </c>
      <c r="F265" s="459">
        <f t="shared" si="122"/>
        <v>1463.603113135063</v>
      </c>
      <c r="G265" s="459">
        <f t="shared" si="122"/>
        <v>1381.4211842100704</v>
      </c>
      <c r="H265" s="459">
        <f t="shared" si="122"/>
        <v>1322.8777420247616</v>
      </c>
      <c r="I265" s="459">
        <f t="shared" si="122"/>
        <v>1281.4062491408456</v>
      </c>
      <c r="J265" s="459">
        <f t="shared" si="122"/>
        <v>1251.9942235007879</v>
      </c>
      <c r="K265" s="459">
        <f t="shared" si="122"/>
        <v>1231.7434783142594</v>
      </c>
      <c r="L265" s="459">
        <f t="shared" si="122"/>
        <v>1212.7339398333283</v>
      </c>
      <c r="M265" s="459">
        <f t="shared" si="122"/>
        <v>1196.9483437115839</v>
      </c>
      <c r="N265" s="459">
        <f t="shared" si="122"/>
        <v>1183.4359059572193</v>
      </c>
    </row>
    <row r="266" spans="1:14">
      <c r="B266" s="338" t="str">
        <f t="shared" si="117"/>
        <v>35-39</v>
      </c>
      <c r="C266" s="459">
        <f t="shared" si="119"/>
        <v>1494.7545357244885</v>
      </c>
      <c r="D266" s="459">
        <f t="shared" ref="D266:N266" si="123">D96-D232</f>
        <v>1481.6584677878336</v>
      </c>
      <c r="E266" s="459">
        <f t="shared" si="123"/>
        <v>1467.6090755265802</v>
      </c>
      <c r="F266" s="459">
        <f t="shared" si="123"/>
        <v>1432.8794791831465</v>
      </c>
      <c r="G266" s="459">
        <f t="shared" si="123"/>
        <v>1390.0966661344814</v>
      </c>
      <c r="H266" s="459">
        <f t="shared" si="123"/>
        <v>1351.5504450848243</v>
      </c>
      <c r="I266" s="459">
        <f t="shared" si="123"/>
        <v>1316.0086113003913</v>
      </c>
      <c r="J266" s="459">
        <f t="shared" si="123"/>
        <v>1283.4017971103599</v>
      </c>
      <c r="K266" s="459">
        <f t="shared" si="123"/>
        <v>1254.5067665327604</v>
      </c>
      <c r="L266" s="459">
        <f t="shared" si="123"/>
        <v>1226.1149926469125</v>
      </c>
      <c r="M266" s="459">
        <f t="shared" si="123"/>
        <v>1200.7869310831525</v>
      </c>
      <c r="N266" s="459">
        <f t="shared" si="123"/>
        <v>1178.4251048473184</v>
      </c>
    </row>
    <row r="267" spans="1:14">
      <c r="B267" s="338" t="str">
        <f t="shared" si="117"/>
        <v>40-44</v>
      </c>
      <c r="C267" s="459">
        <f t="shared" si="119"/>
        <v>953.74082495567654</v>
      </c>
      <c r="D267" s="459">
        <f t="shared" ref="D267:N267" si="124">D97-D233</f>
        <v>1030.4843253471013</v>
      </c>
      <c r="E267" s="459">
        <f t="shared" si="124"/>
        <v>1097.3153349752242</v>
      </c>
      <c r="F267" s="459">
        <f t="shared" si="124"/>
        <v>1136.8016838125318</v>
      </c>
      <c r="G267" s="459">
        <f t="shared" si="124"/>
        <v>1159.2049059292997</v>
      </c>
      <c r="H267" s="459">
        <f t="shared" si="124"/>
        <v>1174.5493022900935</v>
      </c>
      <c r="I267" s="459">
        <f t="shared" si="124"/>
        <v>1181.7524466513753</v>
      </c>
      <c r="J267" s="459">
        <f t="shared" si="124"/>
        <v>1181.4887645596493</v>
      </c>
      <c r="K267" s="459">
        <f t="shared" si="124"/>
        <v>1175.6989025760352</v>
      </c>
      <c r="L267" s="459">
        <f t="shared" si="124"/>
        <v>1163.2587315437863</v>
      </c>
      <c r="M267" s="459">
        <f t="shared" si="124"/>
        <v>1148.0509681299022</v>
      </c>
      <c r="N267" s="459">
        <f t="shared" si="124"/>
        <v>1131.4638300234719</v>
      </c>
    </row>
    <row r="268" spans="1:14">
      <c r="B268" s="338" t="str">
        <f t="shared" si="117"/>
        <v>45-49</v>
      </c>
      <c r="C268" s="459">
        <f t="shared" si="119"/>
        <v>539.44750057840145</v>
      </c>
      <c r="D268" s="459">
        <f t="shared" ref="D268:N268" si="125">D98-D234</f>
        <v>612.57336413870848</v>
      </c>
      <c r="E268" s="459">
        <f t="shared" si="125"/>
        <v>690.6141162420422</v>
      </c>
      <c r="F268" s="459">
        <f t="shared" si="125"/>
        <v>754.39726506247541</v>
      </c>
      <c r="G268" s="459">
        <f t="shared" si="125"/>
        <v>808.27221547097497</v>
      </c>
      <c r="H268" s="459">
        <f t="shared" si="125"/>
        <v>857.41664290388746</v>
      </c>
      <c r="I268" s="459">
        <f t="shared" si="125"/>
        <v>898.78511835442578</v>
      </c>
      <c r="J268" s="459">
        <f t="shared" si="125"/>
        <v>931.31513517732139</v>
      </c>
      <c r="K268" s="459">
        <f t="shared" si="125"/>
        <v>955.52629325033092</v>
      </c>
      <c r="L268" s="459">
        <f t="shared" si="125"/>
        <v>969.97377704232974</v>
      </c>
      <c r="M268" s="459">
        <f t="shared" si="125"/>
        <v>977.67819236703133</v>
      </c>
      <c r="N268" s="459">
        <f t="shared" si="125"/>
        <v>979.99608676617913</v>
      </c>
    </row>
    <row r="269" spans="1:14">
      <c r="B269" s="338" t="str">
        <f t="shared" si="117"/>
        <v>50-54</v>
      </c>
      <c r="C269" s="459">
        <f t="shared" si="119"/>
        <v>374.78121766690867</v>
      </c>
      <c r="D269" s="459">
        <f t="shared" ref="D269:N269" si="126">D99-D235</f>
        <v>391.20489361797735</v>
      </c>
      <c r="E269" s="459">
        <f t="shared" si="126"/>
        <v>423.18450347925329</v>
      </c>
      <c r="F269" s="459">
        <f t="shared" si="126"/>
        <v>455.50552998700903</v>
      </c>
      <c r="G269" s="459">
        <f t="shared" si="126"/>
        <v>489.57768959578232</v>
      </c>
      <c r="H269" s="459">
        <f t="shared" si="126"/>
        <v>527.24170441690012</v>
      </c>
      <c r="I269" s="459">
        <f t="shared" si="126"/>
        <v>564.45203886833269</v>
      </c>
      <c r="J269" s="459">
        <f t="shared" si="126"/>
        <v>598.78770778060141</v>
      </c>
      <c r="K269" s="459">
        <f t="shared" si="126"/>
        <v>629.18992631789752</v>
      </c>
      <c r="L269" s="459">
        <f t="shared" si="126"/>
        <v>653.42409847684405</v>
      </c>
      <c r="M269" s="459">
        <f t="shared" si="126"/>
        <v>672.74116318685185</v>
      </c>
      <c r="N269" s="459">
        <f t="shared" si="126"/>
        <v>687.42737093560663</v>
      </c>
    </row>
    <row r="270" spans="1:14">
      <c r="B270" s="338" t="str">
        <f t="shared" si="117"/>
        <v>55-59</v>
      </c>
      <c r="C270" s="459">
        <f t="shared" si="119"/>
        <v>248.80080674380019</v>
      </c>
      <c r="D270" s="459">
        <f t="shared" ref="D270:N270" si="127">D100-D236</f>
        <v>222.19358120194386</v>
      </c>
      <c r="E270" s="459">
        <f t="shared" si="127"/>
        <v>213.01436875411196</v>
      </c>
      <c r="F270" s="459">
        <f t="shared" si="127"/>
        <v>209.82559061857262</v>
      </c>
      <c r="G270" s="459">
        <f t="shared" si="127"/>
        <v>212.63693495539667</v>
      </c>
      <c r="H270" s="459">
        <f t="shared" si="127"/>
        <v>221.70476287016697</v>
      </c>
      <c r="I270" s="459">
        <f t="shared" si="127"/>
        <v>233.78973058142313</v>
      </c>
      <c r="J270" s="459">
        <f t="shared" si="127"/>
        <v>246.92742591890106</v>
      </c>
      <c r="K270" s="459">
        <f t="shared" si="127"/>
        <v>260.07599795901911</v>
      </c>
      <c r="L270" s="459">
        <f t="shared" si="127"/>
        <v>271.53202786097597</v>
      </c>
      <c r="M270" s="459">
        <f t="shared" si="127"/>
        <v>281.7510536158502</v>
      </c>
      <c r="N270" s="459">
        <f t="shared" si="127"/>
        <v>290.52728131533758</v>
      </c>
    </row>
    <row r="271" spans="1:14">
      <c r="B271" s="338" t="str">
        <f t="shared" si="117"/>
        <v>60-64</v>
      </c>
      <c r="C271" s="459">
        <f t="shared" si="119"/>
        <v>65.110643274426735</v>
      </c>
      <c r="D271" s="459">
        <f t="shared" ref="D271:N271" si="128">D101-D237</f>
        <v>65.511200209977886</v>
      </c>
      <c r="E271" s="459">
        <f t="shared" si="128"/>
        <v>64.42227996310308</v>
      </c>
      <c r="F271" s="459">
        <f t="shared" si="128"/>
        <v>61.842263108261967</v>
      </c>
      <c r="G271" s="459">
        <f t="shared" si="128"/>
        <v>60.244556178581718</v>
      </c>
      <c r="H271" s="459">
        <f t="shared" si="128"/>
        <v>60.781291761055691</v>
      </c>
      <c r="I271" s="459">
        <f t="shared" si="128"/>
        <v>62.489953844440564</v>
      </c>
      <c r="J271" s="459">
        <f t="shared" si="128"/>
        <v>64.798049884849561</v>
      </c>
      <c r="K271" s="459">
        <f t="shared" si="128"/>
        <v>67.423468274529398</v>
      </c>
      <c r="L271" s="459">
        <f t="shared" si="128"/>
        <v>69.735482088140174</v>
      </c>
      <c r="M271" s="459">
        <f t="shared" si="128"/>
        <v>71.999507981342816</v>
      </c>
      <c r="N271" s="459">
        <f t="shared" si="128"/>
        <v>74.113612501984207</v>
      </c>
    </row>
    <row r="272" spans="1:14">
      <c r="B272" s="338" t="str">
        <f t="shared" si="117"/>
        <v>65 plus</v>
      </c>
      <c r="C272" s="459">
        <f t="shared" si="119"/>
        <v>8.9999263861332111</v>
      </c>
      <c r="D272" s="459">
        <f t="shared" ref="D272:N272" si="129">D102-D238</f>
        <v>13.246972545742096</v>
      </c>
      <c r="E272" s="459">
        <f t="shared" si="129"/>
        <v>15.973295363105716</v>
      </c>
      <c r="F272" s="459">
        <f t="shared" si="129"/>
        <v>16.887958053152381</v>
      </c>
      <c r="G272" s="459">
        <f t="shared" si="129"/>
        <v>17.070458683554502</v>
      </c>
      <c r="H272" s="459">
        <f t="shared" si="129"/>
        <v>17.308657397559461</v>
      </c>
      <c r="I272" s="459">
        <f t="shared" si="129"/>
        <v>17.617076745140242</v>
      </c>
      <c r="J272" s="459">
        <f t="shared" si="129"/>
        <v>17.985024368056621</v>
      </c>
      <c r="K272" s="459">
        <f t="shared" si="129"/>
        <v>18.416814753589367</v>
      </c>
      <c r="L272" s="459">
        <f t="shared" si="129"/>
        <v>18.763063993191757</v>
      </c>
      <c r="M272" s="459">
        <f t="shared" si="129"/>
        <v>19.129373561147915</v>
      </c>
      <c r="N272" s="459">
        <f t="shared" si="129"/>
        <v>19.505396833391135</v>
      </c>
    </row>
    <row r="273" spans="1:14">
      <c r="B273" s="338" t="str">
        <f t="shared" si="117"/>
        <v>Total</v>
      </c>
      <c r="C273" s="459">
        <f>SUM(C263:C272)</f>
        <v>7365.8678122578731</v>
      </c>
      <c r="D273" s="459">
        <f t="shared" ref="D273:N273" si="130">SUM(D263:D272)</f>
        <v>7211.1067025208631</v>
      </c>
      <c r="E273" s="459">
        <f t="shared" si="130"/>
        <v>7217.231249372292</v>
      </c>
      <c r="F273" s="459">
        <f t="shared" si="130"/>
        <v>7139.5240177017322</v>
      </c>
      <c r="G273" s="459">
        <f t="shared" si="130"/>
        <v>7064.4071125454129</v>
      </c>
      <c r="H273" s="459">
        <f t="shared" si="130"/>
        <v>7070.4403976254407</v>
      </c>
      <c r="I273" s="459">
        <f t="shared" si="130"/>
        <v>7105.5454705948805</v>
      </c>
      <c r="J273" s="459">
        <f t="shared" si="130"/>
        <v>7143.0774363595274</v>
      </c>
      <c r="K273" s="459">
        <f t="shared" si="130"/>
        <v>7176.1933096074035</v>
      </c>
      <c r="L273" s="459">
        <f t="shared" si="130"/>
        <v>7168.2244226799867</v>
      </c>
      <c r="M273" s="459">
        <f t="shared" si="130"/>
        <v>7147.1207334216888</v>
      </c>
      <c r="N273" s="459">
        <f t="shared" si="130"/>
        <v>7115.7193549790909</v>
      </c>
    </row>
    <row r="274" spans="1:14">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4" ht="15.75">
      <c r="B275" s="340"/>
      <c r="H275" s="327"/>
    </row>
    <row r="276" spans="1:14" ht="15.75">
      <c r="B276" s="340" t="s">
        <v>1621</v>
      </c>
      <c r="H276" s="327"/>
    </row>
    <row r="277" spans="1:14" ht="15.75">
      <c r="B277" s="340"/>
      <c r="H277" s="327"/>
    </row>
    <row r="278" spans="1:14"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4">
      <c r="B279" s="326" t="s">
        <v>593</v>
      </c>
      <c r="C279" s="459">
        <f>C223+C239</f>
        <v>1590.9190332360974</v>
      </c>
      <c r="D279" s="459">
        <f t="shared" ref="D279:N279" si="133">D223+D239</f>
        <v>1566.679272105167</v>
      </c>
      <c r="E279" s="459">
        <f t="shared" si="133"/>
        <v>1580.6906999005325</v>
      </c>
      <c r="F279" s="459">
        <f t="shared" si="133"/>
        <v>1575.6102364556696</v>
      </c>
      <c r="G279" s="459">
        <f t="shared" si="133"/>
        <v>1573.794537509315</v>
      </c>
      <c r="H279" s="459">
        <f t="shared" si="133"/>
        <v>1593.8331139465799</v>
      </c>
      <c r="I279" s="459">
        <f t="shared" si="133"/>
        <v>1621.828549759101</v>
      </c>
      <c r="J279" s="459">
        <f t="shared" si="133"/>
        <v>1650.4165061696544</v>
      </c>
      <c r="K279" s="459">
        <f t="shared" si="133"/>
        <v>1677.2783572216026</v>
      </c>
      <c r="L279" s="459">
        <f t="shared" si="133"/>
        <v>1693.0515039833483</v>
      </c>
      <c r="M279" s="459">
        <f t="shared" si="133"/>
        <v>1704.3370747191047</v>
      </c>
      <c r="N279" s="459">
        <f t="shared" si="133"/>
        <v>1711.5614786259048</v>
      </c>
    </row>
    <row r="280" spans="1:14">
      <c r="B280" s="326" t="s">
        <v>594</v>
      </c>
      <c r="C280" s="459">
        <f>C155+C171</f>
        <v>279.54741014924468</v>
      </c>
      <c r="D280" s="459">
        <f t="shared" ref="D280:N280" si="134">D155+D171</f>
        <v>273.17957037157441</v>
      </c>
      <c r="E280" s="459">
        <f t="shared" si="134"/>
        <v>274.0893163076297</v>
      </c>
      <c r="F280" s="459">
        <f t="shared" si="134"/>
        <v>273.73598086484253</v>
      </c>
      <c r="G280" s="459">
        <f t="shared" si="134"/>
        <v>277.36801206823992</v>
      </c>
      <c r="H280" s="459">
        <f t="shared" si="134"/>
        <v>288.15424412399892</v>
      </c>
      <c r="I280" s="459">
        <f t="shared" si="134"/>
        <v>302.51819194180564</v>
      </c>
      <c r="J280" s="459">
        <f t="shared" si="134"/>
        <v>318.22731042089396</v>
      </c>
      <c r="K280" s="459">
        <f t="shared" si="134"/>
        <v>334.12943184826963</v>
      </c>
      <c r="L280" s="459">
        <f t="shared" si="134"/>
        <v>347.86584578897089</v>
      </c>
      <c r="M280" s="459">
        <f t="shared" si="134"/>
        <v>360.30424691241001</v>
      </c>
      <c r="N280" s="459">
        <f t="shared" si="134"/>
        <v>371.17289435467262</v>
      </c>
    </row>
    <row r="281" spans="1:14">
      <c r="B281" s="326" t="s">
        <v>595</v>
      </c>
      <c r="C281" s="459">
        <f>C189+C205</f>
        <v>7.2067891019440173</v>
      </c>
      <c r="D281" s="459">
        <f t="shared" ref="D281:N281" si="135">D189+D205</f>
        <v>7.5240569565799529</v>
      </c>
      <c r="E281" s="459">
        <f t="shared" si="135"/>
        <v>7.878374648673045</v>
      </c>
      <c r="F281" s="459">
        <f t="shared" si="135"/>
        <v>8.0851670294855325</v>
      </c>
      <c r="G281" s="459">
        <f t="shared" si="135"/>
        <v>8.2554554034131371</v>
      </c>
      <c r="H281" s="459">
        <f t="shared" si="135"/>
        <v>8.478757538814353</v>
      </c>
      <c r="I281" s="459">
        <f t="shared" si="135"/>
        <v>8.7133617096087477</v>
      </c>
      <c r="J281" s="459">
        <f t="shared" si="135"/>
        <v>8.9358501495992471</v>
      </c>
      <c r="K281" s="459">
        <f t="shared" si="135"/>
        <v>9.1390053715645507</v>
      </c>
      <c r="L281" s="459">
        <f t="shared" si="135"/>
        <v>9.2873176941172417</v>
      </c>
      <c r="M281" s="459">
        <f t="shared" si="135"/>
        <v>9.4053948538936485</v>
      </c>
      <c r="N281" s="459">
        <f t="shared" si="135"/>
        <v>9.4950494054123364</v>
      </c>
    </row>
    <row r="282" spans="1:14">
      <c r="B282" s="326" t="s">
        <v>596</v>
      </c>
      <c r="C282" s="459">
        <f>C121+C137</f>
        <v>1304.1648339849087</v>
      </c>
      <c r="D282" s="459">
        <f t="shared" ref="D282:N282" si="136">D121+D137</f>
        <v>1285.9756447770128</v>
      </c>
      <c r="E282" s="459">
        <f t="shared" si="136"/>
        <v>1298.7230089442298</v>
      </c>
      <c r="F282" s="459">
        <f t="shared" si="136"/>
        <v>1293.7890885613417</v>
      </c>
      <c r="G282" s="459">
        <f t="shared" si="136"/>
        <v>1288.171070037662</v>
      </c>
      <c r="H282" s="459">
        <f t="shared" si="136"/>
        <v>1297.2001122837664</v>
      </c>
      <c r="I282" s="459">
        <f t="shared" si="136"/>
        <v>1310.5969961076862</v>
      </c>
      <c r="J282" s="459">
        <f t="shared" si="136"/>
        <v>1323.2533455991611</v>
      </c>
      <c r="K282" s="459">
        <f t="shared" si="136"/>
        <v>1334.0099200017685</v>
      </c>
      <c r="L282" s="459">
        <f t="shared" si="136"/>
        <v>1335.8983405002602</v>
      </c>
      <c r="M282" s="459">
        <f t="shared" si="136"/>
        <v>1334.627432952801</v>
      </c>
      <c r="N282" s="459">
        <f t="shared" si="136"/>
        <v>1330.8935348658197</v>
      </c>
    </row>
    <row r="283" spans="1:14"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4" ht="15.75">
      <c r="B284" s="340"/>
      <c r="H284" s="327"/>
    </row>
    <row r="285" spans="1:14" ht="15.75">
      <c r="B285" s="340" t="s">
        <v>1622</v>
      </c>
      <c r="F285" s="364"/>
      <c r="G285" s="364" t="s">
        <v>265</v>
      </c>
      <c r="H285" s="327"/>
    </row>
    <row r="286" spans="1:14" ht="15.75">
      <c r="B286" s="340"/>
      <c r="H286" s="327"/>
    </row>
    <row r="287" spans="1:14" ht="15.75">
      <c r="B287" s="340" t="s">
        <v>199</v>
      </c>
      <c r="H287" s="327"/>
    </row>
    <row r="288" spans="1:14" ht="15.75">
      <c r="B288" s="340"/>
      <c r="H288" s="327"/>
    </row>
    <row r="289" spans="2:14"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4"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4" ht="15.75">
      <c r="B291" s="340"/>
      <c r="H291" s="327"/>
    </row>
    <row r="292" spans="2:14" ht="15.75">
      <c r="B292" s="340" t="s">
        <v>263</v>
      </c>
      <c r="H292" s="327"/>
    </row>
    <row r="293" spans="2:14"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4">
      <c r="B294" s="363" t="s">
        <v>266</v>
      </c>
      <c r="C294" s="459">
        <f>C36-C15+C279-C290</f>
        <v>1349.2738287837035</v>
      </c>
      <c r="D294" s="459">
        <f>D36-D15+D279-D290</f>
        <v>1686.8057178190093</v>
      </c>
      <c r="E294" s="459">
        <f>E36-E15+E279-E290</f>
        <v>1491.7644031989723</v>
      </c>
      <c r="F294" s="459">
        <f t="shared" ref="F294:N294" si="141">F36-F15+F279-F290</f>
        <v>1482.5629363650601</v>
      </c>
      <c r="G294" s="459">
        <f t="shared" si="141"/>
        <v>1662.3140725742633</v>
      </c>
      <c r="H294" s="459">
        <f t="shared" si="141"/>
        <v>1742.4954335829016</v>
      </c>
      <c r="I294" s="459">
        <f t="shared" si="141"/>
        <v>1768.7514463063585</v>
      </c>
      <c r="J294" s="459">
        <f t="shared" si="141"/>
        <v>1780.1332561342128</v>
      </c>
      <c r="K294" s="459">
        <f t="shared" si="141"/>
        <v>1704.1827534635227</v>
      </c>
      <c r="L294" s="459">
        <f t="shared" si="141"/>
        <v>1683.241480888559</v>
      </c>
      <c r="M294" s="459">
        <f t="shared" si="141"/>
        <v>1664.9481247333433</v>
      </c>
      <c r="N294" s="459">
        <f t="shared" si="141"/>
        <v>1669.1868353152549</v>
      </c>
    </row>
    <row r="295" spans="2:14" ht="12.75" customHeight="1">
      <c r="B295" s="1243" t="s">
        <v>264</v>
      </c>
      <c r="C295" s="1243"/>
      <c r="D295" s="1243"/>
      <c r="E295" s="1243"/>
      <c r="F295" s="1243"/>
      <c r="G295" s="1243"/>
      <c r="H295" s="1243"/>
      <c r="I295" s="1243"/>
      <c r="J295" s="1243"/>
      <c r="K295" s="1243"/>
      <c r="L295" s="1243"/>
      <c r="M295" s="1243"/>
      <c r="N295" s="1243"/>
    </row>
    <row r="296" spans="2:14">
      <c r="B296" s="326" t="s">
        <v>562</v>
      </c>
      <c r="C296" s="282">
        <f>IF(C294&lt;0,0,C294)</f>
        <v>1349.2738287837035</v>
      </c>
      <c r="D296" s="282">
        <f t="shared" ref="D296:N296" si="142">IF(D294&lt;0,0,D294)</f>
        <v>1686.8057178190093</v>
      </c>
      <c r="E296" s="282">
        <f t="shared" si="142"/>
        <v>1491.7644031989723</v>
      </c>
      <c r="F296" s="282">
        <f t="shared" si="142"/>
        <v>1482.5629363650601</v>
      </c>
      <c r="G296" s="282">
        <f t="shared" si="142"/>
        <v>1662.3140725742633</v>
      </c>
      <c r="H296" s="282">
        <f t="shared" si="142"/>
        <v>1742.4954335829016</v>
      </c>
      <c r="I296" s="282">
        <f t="shared" si="142"/>
        <v>1768.7514463063585</v>
      </c>
      <c r="J296" s="282">
        <f t="shared" si="142"/>
        <v>1780.1332561342128</v>
      </c>
      <c r="K296" s="282">
        <f t="shared" si="142"/>
        <v>1704.1827534635227</v>
      </c>
      <c r="L296" s="282">
        <f t="shared" si="142"/>
        <v>1683.241480888559</v>
      </c>
      <c r="M296" s="282">
        <f t="shared" si="142"/>
        <v>1664.9481247333433</v>
      </c>
      <c r="N296" s="282">
        <f t="shared" si="142"/>
        <v>1669.1868353152549</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4">
      <c r="B303" s="338" t="str">
        <f t="shared" si="143"/>
        <v>20-24</v>
      </c>
      <c r="C303" s="459">
        <f>C$296*Entrant_age_breakdowns!$K76*$G$31</f>
        <v>182.20471797410227</v>
      </c>
      <c r="D303" s="459">
        <f>D$296*Entrant_age_breakdowns!$K76*$G$31</f>
        <v>227.78471911025611</v>
      </c>
      <c r="E303" s="459">
        <f>E$296*Entrant_age_breakdowns!$K76*$G$31</f>
        <v>201.44651631885012</v>
      </c>
      <c r="F303" s="459">
        <f>F$296*Entrant_age_breakdowns!$K76*$G$31</f>
        <v>200.2039585565519</v>
      </c>
      <c r="G303" s="459">
        <f>G$296*Entrant_age_breakdowns!$K76*$G$31</f>
        <v>224.47738947905486</v>
      </c>
      <c r="H303" s="459">
        <f>H$296*Entrant_age_breakdowns!$K76*$G$31</f>
        <v>235.30500797850226</v>
      </c>
      <c r="I303" s="459">
        <f>I$296*Entrant_age_breakdowns!$K76*$G$31</f>
        <v>238.85059619888179</v>
      </c>
      <c r="J303" s="459">
        <f>J$296*Entrant_age_breakdowns!$K76*$G$31</f>
        <v>240.38758550785587</v>
      </c>
      <c r="K303" s="459">
        <f>K$296*Entrant_age_breakdowns!$K76*$G$31</f>
        <v>230.13129829328867</v>
      </c>
      <c r="L303" s="459">
        <f>L$296*Entrant_age_breakdowns!$K76*$G$31</f>
        <v>227.30340777755873</v>
      </c>
      <c r="M303" s="459">
        <f>M$296*Entrant_age_breakdowns!$K76*$G$31</f>
        <v>224.83308950119704</v>
      </c>
      <c r="N303" s="459">
        <f>N$296*Entrant_age_breakdowns!$K76*$G$31</f>
        <v>225.40548114600296</v>
      </c>
    </row>
    <row r="304" spans="2:14">
      <c r="B304" s="338" t="str">
        <f t="shared" si="143"/>
        <v>25-29</v>
      </c>
      <c r="C304" s="459">
        <f>C$296*Entrant_age_breakdowns!$K77*$G$31</f>
        <v>188.39572232160879</v>
      </c>
      <c r="D304" s="459">
        <f>D$296*Entrant_age_breakdowns!$K77*$G$31</f>
        <v>235.52445385470762</v>
      </c>
      <c r="E304" s="459">
        <f>E$296*Entrant_age_breakdowns!$K77*$G$31</f>
        <v>208.29132402847986</v>
      </c>
      <c r="F304" s="459">
        <f>F$296*Entrant_age_breakdowns!$K77*$G$31</f>
        <v>207.00654628091479</v>
      </c>
      <c r="G304" s="459">
        <f>G$296*Entrant_age_breakdowns!$K77*$G$31</f>
        <v>232.10474682541775</v>
      </c>
      <c r="H304" s="459">
        <f>H$296*Entrant_age_breakdowns!$K77*$G$31</f>
        <v>243.30026926252688</v>
      </c>
      <c r="I304" s="459">
        <f>I$296*Entrant_age_breakdowns!$K77*$G$31</f>
        <v>246.96633049991118</v>
      </c>
      <c r="J304" s="459">
        <f>J$296*Entrant_age_breakdowns!$K77*$G$31</f>
        <v>248.55554407398509</v>
      </c>
      <c r="K304" s="459">
        <f>K$296*Entrant_age_breakdowns!$K77*$G$31</f>
        <v>237.9507657805882</v>
      </c>
      <c r="L304" s="459">
        <f>L$296*Entrant_age_breakdowns!$K77*$G$31</f>
        <v>235.02678838702207</v>
      </c>
      <c r="M304" s="459">
        <f>M$296*Entrant_age_breakdowns!$K77*$G$31</f>
        <v>232.472532925286</v>
      </c>
      <c r="N304" s="459">
        <f>N$296*Entrant_age_breakdowns!$K77*$G$31</f>
        <v>233.06437345813865</v>
      </c>
    </row>
    <row r="305" spans="1:14">
      <c r="B305" s="338" t="str">
        <f t="shared" si="143"/>
        <v>30-34</v>
      </c>
      <c r="C305" s="459">
        <f>C$296*Entrant_age_breakdowns!$K78*$G$31</f>
        <v>93.522459009765512</v>
      </c>
      <c r="D305" s="459">
        <f>D$296*Entrant_age_breakdowns!$K78*$G$31</f>
        <v>116.91786740158827</v>
      </c>
      <c r="E305" s="459">
        <f>E$296*Entrant_age_breakdowns!$K78*$G$31</f>
        <v>103.39893376288707</v>
      </c>
      <c r="F305" s="459">
        <f>F$296*Entrant_age_breakdowns!$K78*$G$31</f>
        <v>102.76115084110609</v>
      </c>
      <c r="G305" s="459">
        <f>G$296*Entrant_age_breakdowns!$K78*$G$31</f>
        <v>115.22027359992961</v>
      </c>
      <c r="H305" s="459">
        <f>H$296*Entrant_age_breakdowns!$K78*$G$31</f>
        <v>120.77789866335895</v>
      </c>
      <c r="I305" s="459">
        <f>I$296*Entrant_age_breakdowns!$K78*$G$31</f>
        <v>122.59778638466969</v>
      </c>
      <c r="J305" s="459">
        <f>J$296*Entrant_age_breakdowns!$K78*$G$31</f>
        <v>123.38669581163307</v>
      </c>
      <c r="K305" s="459">
        <f>K$296*Entrant_age_breakdowns!$K78*$G$31</f>
        <v>118.12232499137212</v>
      </c>
      <c r="L305" s="459">
        <f>L$296*Entrant_age_breakdowns!$K78*$G$31</f>
        <v>116.6708188076571</v>
      </c>
      <c r="M305" s="459">
        <f>M$296*Entrant_age_breakdowns!$K78*$G$31</f>
        <v>115.40284812988934</v>
      </c>
      <c r="N305" s="459">
        <f>N$296*Entrant_age_breakdowns!$K78*$G$31</f>
        <v>115.69664663705258</v>
      </c>
    </row>
    <row r="306" spans="1:14">
      <c r="B306" s="338" t="str">
        <f t="shared" si="143"/>
        <v>35-39</v>
      </c>
      <c r="C306" s="459">
        <f>C$296*Entrant_age_breakdowns!$K79*$G$31</f>
        <v>66.825942640405998</v>
      </c>
      <c r="D306" s="459">
        <f>D$296*Entrant_age_breakdowns!$K79*$G$31</f>
        <v>83.542999011620225</v>
      </c>
      <c r="E306" s="459">
        <f>E$296*Entrant_age_breakdowns!$K79*$G$31</f>
        <v>73.883121657401304</v>
      </c>
      <c r="F306" s="459">
        <f>F$296*Entrant_age_breakdowns!$K79*$G$31</f>
        <v>73.427397488049451</v>
      </c>
      <c r="G306" s="459">
        <f>G$296*Entrant_age_breakdowns!$K79*$G$31</f>
        <v>82.329992989136301</v>
      </c>
      <c r="H306" s="459">
        <f>H$296*Entrant_age_breakdowns!$K79*$G$31</f>
        <v>86.301162456214072</v>
      </c>
      <c r="I306" s="459">
        <f>I$296*Entrant_age_breakdowns!$K79*$G$31</f>
        <v>87.601552905353046</v>
      </c>
      <c r="J306" s="459">
        <f>J$296*Entrant_age_breakdowns!$K79*$G$31</f>
        <v>88.165263661816653</v>
      </c>
      <c r="K306" s="459">
        <f>K$296*Entrant_age_breakdowns!$K79*$G$31</f>
        <v>84.403637350901832</v>
      </c>
      <c r="L306" s="459">
        <f>L$296*Entrant_age_breakdowns!$K79*$G$31</f>
        <v>83.366471840048391</v>
      </c>
      <c r="M306" s="459">
        <f>M$296*Entrant_age_breakdowns!$K79*$G$31</f>
        <v>82.46045058398434</v>
      </c>
      <c r="N306" s="459">
        <f>N$296*Entrant_age_breakdowns!$K79*$G$31</f>
        <v>82.670382640897827</v>
      </c>
    </row>
    <row r="307" spans="1:14">
      <c r="B307" s="338" t="str">
        <f t="shared" si="143"/>
        <v>40-44</v>
      </c>
      <c r="C307" s="459">
        <f>C$296*Entrant_age_breakdowns!$K80*$G$31</f>
        <v>58.060195702735321</v>
      </c>
      <c r="D307" s="459">
        <f>D$296*Entrant_age_breakdowns!$K80*$G$31</f>
        <v>72.584428749610296</v>
      </c>
      <c r="E307" s="459">
        <f>E$296*Entrant_age_breakdowns!$K80*$G$31</f>
        <v>64.191664689874401</v>
      </c>
      <c r="F307" s="459">
        <f>F$296*Entrant_age_breakdowns!$K80*$G$31</f>
        <v>63.79571914217874</v>
      </c>
      <c r="G307" s="459">
        <f>G$296*Entrant_age_breakdowns!$K80*$G$31</f>
        <v>71.5305361403734</v>
      </c>
      <c r="H307" s="459">
        <f>H$296*Entrant_age_breakdowns!$K80*$G$31</f>
        <v>74.980796133980292</v>
      </c>
      <c r="I307" s="459">
        <f>I$296*Entrant_age_breakdowns!$K80*$G$31</f>
        <v>76.110610708736843</v>
      </c>
      <c r="J307" s="459">
        <f>J$296*Entrant_age_breakdowns!$K80*$G$31</f>
        <v>76.600377939049352</v>
      </c>
      <c r="K307" s="459">
        <f>K$296*Entrant_age_breakdowns!$K80*$G$31</f>
        <v>73.332174736178004</v>
      </c>
      <c r="L307" s="459">
        <f>L$296*Entrant_age_breakdowns!$K80*$G$31</f>
        <v>72.431057143863356</v>
      </c>
      <c r="M307" s="459">
        <f>M$296*Entrant_age_breakdowns!$K80*$G$31</f>
        <v>71.643881245410569</v>
      </c>
      <c r="N307" s="459">
        <f>N$296*Entrant_age_breakdowns!$K80*$G$31</f>
        <v>71.826275923690872</v>
      </c>
    </row>
    <row r="308" spans="1:14">
      <c r="B308" s="338" t="str">
        <f t="shared" si="143"/>
        <v>45-49</v>
      </c>
      <c r="C308" s="459">
        <f>C$296*Entrant_age_breakdowns!$K81*$G$31</f>
        <v>46.201214227366123</v>
      </c>
      <c r="D308" s="459">
        <f>D$296*Entrant_age_breakdowns!$K81*$G$31</f>
        <v>57.758826019143932</v>
      </c>
      <c r="E308" s="459">
        <f>E$296*Entrant_age_breakdowns!$K81*$G$31</f>
        <v>51.080310978152959</v>
      </c>
      <c r="F308" s="459">
        <f>F$296*Entrant_age_breakdowns!$K81*$G$31</f>
        <v>50.765238580444922</v>
      </c>
      <c r="G308" s="459">
        <f>G$296*Entrant_age_breakdowns!$K81*$G$31</f>
        <v>56.92019436069608</v>
      </c>
      <c r="H308" s="459">
        <f>H$296*Entrant_age_breakdowns!$K81*$G$31</f>
        <v>59.665727667557341</v>
      </c>
      <c r="I308" s="459">
        <f>I$296*Entrant_age_breakdowns!$K81*$G$31</f>
        <v>60.56477398618815</v>
      </c>
      <c r="J308" s="459">
        <f>J$296*Entrant_age_breakdowns!$K81*$G$31</f>
        <v>60.9545046864611</v>
      </c>
      <c r="K308" s="459">
        <f>K$296*Entrant_age_breakdowns!$K81*$G$31</f>
        <v>58.353842486018159</v>
      </c>
      <c r="L308" s="459">
        <f>L$296*Entrant_age_breakdowns!$K81*$G$31</f>
        <v>57.636781056536705</v>
      </c>
      <c r="M308" s="459">
        <f>M$296*Entrant_age_breakdowns!$K81*$G$31</f>
        <v>57.010388363938119</v>
      </c>
      <c r="N308" s="459">
        <f>N$296*Entrant_age_breakdowns!$K81*$G$31</f>
        <v>57.155528343284814</v>
      </c>
    </row>
    <row r="309" spans="1:14">
      <c r="B309" s="338" t="str">
        <f t="shared" si="143"/>
        <v>50-54</v>
      </c>
      <c r="C309" s="459">
        <f>C$296*Entrant_age_breakdowns!$K82*$G$31</f>
        <v>33.797692737566187</v>
      </c>
      <c r="D309" s="459">
        <f>D$296*Entrant_age_breakdowns!$K82*$G$31</f>
        <v>42.25246213380435</v>
      </c>
      <c r="E309" s="459">
        <f>E$296*Entrant_age_breakdowns!$K82*$G$31</f>
        <v>37.366910897254193</v>
      </c>
      <c r="F309" s="459">
        <f>F$296*Entrant_age_breakdowns!$K82*$G$31</f>
        <v>37.136425178081964</v>
      </c>
      <c r="G309" s="459">
        <f>G$296*Entrant_age_breakdowns!$K82*$G$31</f>
        <v>41.638975765832939</v>
      </c>
      <c r="H309" s="459">
        <f>H$296*Entrant_age_breakdowns!$K82*$G$31</f>
        <v>43.647422787363539</v>
      </c>
      <c r="I309" s="459">
        <f>I$296*Entrant_age_breakdowns!$K82*$G$31</f>
        <v>44.305104446646119</v>
      </c>
      <c r="J309" s="459">
        <f>J$296*Entrant_age_breakdowns!$K82*$G$31</f>
        <v>44.590205145372337</v>
      </c>
      <c r="K309" s="459">
        <f>K$296*Entrant_age_breakdowns!$K82*$G$31</f>
        <v>42.687736055875767</v>
      </c>
      <c r="L309" s="459">
        <f>L$296*Entrant_age_breakdowns!$K82*$G$31</f>
        <v>42.163182269295426</v>
      </c>
      <c r="M309" s="459">
        <f>M$296*Entrant_age_breakdowns!$K82*$G$31</f>
        <v>41.704955616348201</v>
      </c>
      <c r="N309" s="459">
        <f>N$296*Entrant_age_breakdowns!$K82*$G$31</f>
        <v>41.811130237685113</v>
      </c>
    </row>
    <row r="310" spans="1:14">
      <c r="B310" s="338" t="str">
        <f t="shared" si="143"/>
        <v>55-59</v>
      </c>
      <c r="C310" s="459">
        <f>C$296*Entrant_age_breakdowns!$K83*$G$31</f>
        <v>23.010231511506696</v>
      </c>
      <c r="D310" s="459">
        <f>D$296*Entrant_age_breakdowns!$K83*$G$31</f>
        <v>28.766429210990587</v>
      </c>
      <c r="E310" s="459">
        <f>E$296*Entrant_age_breakdowns!$K83*$G$31</f>
        <v>25.440235737156367</v>
      </c>
      <c r="F310" s="459">
        <f>F$296*Entrant_age_breakdowns!$K83*$G$31</f>
        <v>25.28331586101482</v>
      </c>
      <c r="G310" s="459">
        <f>G$296*Entrant_age_breakdowns!$K83*$G$31</f>
        <v>28.348753854693701</v>
      </c>
      <c r="H310" s="459">
        <f>H$296*Entrant_age_breakdowns!$K83*$G$31</f>
        <v>29.716149886809454</v>
      </c>
      <c r="I310" s="459">
        <f>I$296*Entrant_age_breakdowns!$K83*$G$31</f>
        <v>30.163914394241147</v>
      </c>
      <c r="J310" s="459">
        <f>J$296*Entrant_age_breakdowns!$K83*$G$31</f>
        <v>30.358017380285837</v>
      </c>
      <c r="K310" s="459">
        <f>K$296*Entrant_age_breakdowns!$K83*$G$31</f>
        <v>29.062773514596032</v>
      </c>
      <c r="L310" s="459">
        <f>L$296*Entrant_age_breakdowns!$K83*$G$31</f>
        <v>28.705645465555122</v>
      </c>
      <c r="M310" s="459">
        <f>M$296*Entrant_age_breakdowns!$K83*$G$31</f>
        <v>28.393674425078181</v>
      </c>
      <c r="N310" s="459">
        <f>N$296*Entrant_age_breakdowns!$K83*$G$31</f>
        <v>28.465960502017793</v>
      </c>
    </row>
    <row r="311" spans="1:14">
      <c r="B311" s="338" t="str">
        <f t="shared" si="143"/>
        <v>60-64</v>
      </c>
      <c r="C311" s="459">
        <f>C$296*Entrant_age_breakdowns!$K84*$G$31</f>
        <v>11.264349092235779</v>
      </c>
      <c r="D311" s="459">
        <f>D$296*Entrant_age_breakdowns!$K84*$G$31</f>
        <v>14.082218190966344</v>
      </c>
      <c r="E311" s="459">
        <f>E$296*Entrant_age_breakdowns!$K84*$G$31</f>
        <v>12.453924950246503</v>
      </c>
      <c r="F311" s="459">
        <f>F$296*Entrant_age_breakdowns!$K84*$G$31</f>
        <v>12.377106937203701</v>
      </c>
      <c r="G311" s="459">
        <f>G$296*Entrant_age_breakdowns!$K84*$G$31</f>
        <v>13.877750842682634</v>
      </c>
      <c r="H311" s="459">
        <f>H$296*Entrant_age_breakdowns!$K84*$G$31</f>
        <v>14.547141163479163</v>
      </c>
      <c r="I311" s="459">
        <f>I$296*Entrant_age_breakdowns!$K84*$G$31</f>
        <v>14.766338250666283</v>
      </c>
      <c r="J311" s="459">
        <f>J$296*Entrant_age_breakdowns!$K84*$G$31</f>
        <v>14.861358754634677</v>
      </c>
      <c r="K311" s="459">
        <f>K$296*Entrant_age_breakdowns!$K84*$G$31</f>
        <v>14.227289555660697</v>
      </c>
      <c r="L311" s="459">
        <f>L$296*Entrant_age_breakdowns!$K84*$G$31</f>
        <v>14.052462326607644</v>
      </c>
      <c r="M311" s="459">
        <f>M$296*Entrant_age_breakdowns!$K84*$G$31</f>
        <v>13.899741103231733</v>
      </c>
      <c r="N311" s="459">
        <f>N$296*Entrant_age_breakdowns!$K84*$G$31</f>
        <v>13.935127779143654</v>
      </c>
    </row>
    <row r="312" spans="1:14">
      <c r="B312" s="338" t="str">
        <f t="shared" si="143"/>
        <v>65 plus</v>
      </c>
      <c r="C312" s="459">
        <f>C$296*Entrant_age_breakdowns!$K85*$G$31</f>
        <v>2.8251787070977477</v>
      </c>
      <c r="D312" s="459">
        <f>D$296*Entrant_age_breakdowns!$K85*$G$31</f>
        <v>3.5319202783980916</v>
      </c>
      <c r="E312" s="459">
        <f>E$296*Entrant_age_breakdowns!$K85*$G$31</f>
        <v>3.1235327759401206</v>
      </c>
      <c r="F312" s="459">
        <f>F$296*Entrant_age_breakdowns!$K85*$G$31</f>
        <v>3.1042662730118984</v>
      </c>
      <c r="G312" s="459">
        <f>G$296*Entrant_age_breakdowns!$K85*$G$31</f>
        <v>3.4806384161317627</v>
      </c>
      <c r="H312" s="459">
        <f>H$296*Entrant_age_breakdowns!$K85*$G$31</f>
        <v>3.6485262599447004</v>
      </c>
      <c r="I312" s="459">
        <f>I$296*Entrant_age_breakdowns!$K85*$G$31</f>
        <v>3.7035024452802339</v>
      </c>
      <c r="J312" s="459">
        <f>J$296*Entrant_age_breakdowns!$K85*$G$31</f>
        <v>3.7273342621345464</v>
      </c>
      <c r="K312" s="459">
        <f>K$296*Entrant_age_breakdowns!$K85*$G$31</f>
        <v>3.568305206385328</v>
      </c>
      <c r="L312" s="459">
        <f>L$296*Entrant_age_breakdowns!$K85*$G$31</f>
        <v>3.5244572964087082</v>
      </c>
      <c r="M312" s="459">
        <f>M$296*Entrant_age_breakdowns!$K85*$G$31</f>
        <v>3.486153729565157</v>
      </c>
      <c r="N312" s="459">
        <f>N$296*Entrant_age_breakdowns!$K85*$G$31</f>
        <v>3.4950289590597965</v>
      </c>
    </row>
    <row r="313" spans="1:14">
      <c r="B313" s="338" t="str">
        <f t="shared" si="143"/>
        <v>Total</v>
      </c>
      <c r="C313" s="459">
        <f>C$296*Entrant_age_breakdowns!$K86*$G$31</f>
        <v>706.10770392439031</v>
      </c>
      <c r="D313" s="459">
        <f>D$296*Entrant_age_breakdowns!$K86*$G$31</f>
        <v>882.74632396108575</v>
      </c>
      <c r="E313" s="459">
        <f>E$296*Entrant_age_breakdowns!$K86*$G$31</f>
        <v>780.67647579624281</v>
      </c>
      <c r="F313" s="459">
        <f>F$296*Entrant_age_breakdowns!$K86*$G$31</f>
        <v>775.86112513855824</v>
      </c>
      <c r="G313" s="459">
        <f>G$296*Entrant_age_breakdowns!$K86*$G$31</f>
        <v>869.92925227394892</v>
      </c>
      <c r="H313" s="459">
        <f>H$296*Entrant_age_breakdowns!$K86*$G$31</f>
        <v>911.89010225973652</v>
      </c>
      <c r="I313" s="459">
        <f>I$296*Entrant_age_breakdowns!$K86*$G$31</f>
        <v>925.63051022057437</v>
      </c>
      <c r="J313" s="459">
        <f>J$296*Entrant_age_breakdowns!$K86*$G$31</f>
        <v>931.58688722322847</v>
      </c>
      <c r="K313" s="459">
        <f>K$296*Entrant_age_breakdowns!$K86*$G$31</f>
        <v>891.84014797086479</v>
      </c>
      <c r="L313" s="459">
        <f>L$296*Entrant_age_breakdowns!$K86*$G$31</f>
        <v>880.88107237055317</v>
      </c>
      <c r="M313" s="459">
        <f>M$296*Entrant_age_breakdowns!$K86*$G$31</f>
        <v>871.30771562392863</v>
      </c>
      <c r="N313" s="459">
        <f>N$296*Entrant_age_breakdowns!$K86*$G$31</f>
        <v>873.52593562697405</v>
      </c>
    </row>
    <row r="314" spans="1:14">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4">
      <c r="B316" s="341" t="s">
        <v>50</v>
      </c>
      <c r="H316" s="325"/>
    </row>
    <row r="317" spans="1:14">
      <c r="H317" s="325"/>
    </row>
    <row r="318" spans="1:14">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4">
      <c r="B319" s="338" t="str">
        <f t="shared" si="146"/>
        <v>20-24</v>
      </c>
      <c r="C319" s="459">
        <f>C$296*Entrant_age_breakdowns!$K76*$H$31</f>
        <v>165.96321175818218</v>
      </c>
      <c r="D319" s="459">
        <f>D$296*Entrant_age_breakdowns!$K76*$H$31</f>
        <v>207.48026721430313</v>
      </c>
      <c r="E319" s="459">
        <f>E$296*Entrant_age_breakdowns!$K76*$H$31</f>
        <v>183.48981967923243</v>
      </c>
      <c r="F319" s="459">
        <f>F$296*Entrant_age_breakdowns!$K76*$H$31</f>
        <v>182.35802199957308</v>
      </c>
      <c r="G319" s="459">
        <f>G$296*Entrant_age_breakdowns!$K76*$H$31</f>
        <v>204.46774891049512</v>
      </c>
      <c r="H319" s="459">
        <f>H$296*Entrant_age_breakdowns!$K76*$H$31</f>
        <v>214.33020670983711</v>
      </c>
      <c r="I319" s="459">
        <f>I$296*Entrant_age_breakdowns!$K76*$H$31</f>
        <v>217.55974552293091</v>
      </c>
      <c r="J319" s="459">
        <f>J$296*Entrant_age_breakdowns!$K76*$H$31</f>
        <v>218.95972948049001</v>
      </c>
      <c r="K319" s="459">
        <f>K$296*Entrant_age_breakdowns!$K76*$H$31</f>
        <v>209.61767519248914</v>
      </c>
      <c r="L319" s="459">
        <f>L$296*Entrant_age_breakdowns!$K76*$H$31</f>
        <v>207.0418593864585</v>
      </c>
      <c r="M319" s="459">
        <f>M$296*Entrant_age_breakdowns!$K76*$H$31</f>
        <v>204.79174226672404</v>
      </c>
      <c r="N319" s="459">
        <f>N$296*Entrant_age_breakdowns!$K76*$H$31</f>
        <v>205.31311161880109</v>
      </c>
    </row>
    <row r="320" spans="1:14">
      <c r="B320" s="338" t="str">
        <f t="shared" si="146"/>
        <v>25-29</v>
      </c>
      <c r="C320" s="459">
        <f>C$296*Entrant_age_breakdowns!$K77*$H$31</f>
        <v>171.60235753303027</v>
      </c>
      <c r="D320" s="459">
        <f>D$296*Entrant_age_breakdowns!$K77*$H$31</f>
        <v>214.53009144842721</v>
      </c>
      <c r="E320" s="459">
        <f>E$296*Entrant_age_breakdowns!$K77*$H$31</f>
        <v>189.72448958233988</v>
      </c>
      <c r="F320" s="459">
        <f>F$296*Entrant_age_breakdowns!$K77*$H$31</f>
        <v>188.55423535537938</v>
      </c>
      <c r="G320" s="459">
        <f>G$296*Entrant_age_breakdowns!$K77*$H$31</f>
        <v>211.41521293066211</v>
      </c>
      <c r="H320" s="459">
        <f>H$296*Entrant_age_breakdowns!$K77*$H$31</f>
        <v>221.6127801596156</v>
      </c>
      <c r="I320" s="459">
        <f>I$296*Entrant_age_breakdowns!$K77*$H$31</f>
        <v>224.95205317199145</v>
      </c>
      <c r="J320" s="459">
        <f>J$296*Entrant_age_breakdowns!$K77*$H$31</f>
        <v>226.39960618738868</v>
      </c>
      <c r="K320" s="459">
        <f>K$296*Entrant_age_breakdowns!$K77*$H$31</f>
        <v>216.74012489006157</v>
      </c>
      <c r="L320" s="459">
        <f>L$296*Entrant_age_breakdowns!$K77*$H$31</f>
        <v>214.07678727323031</v>
      </c>
      <c r="M320" s="459">
        <f>M$296*Entrant_age_breakdowns!$K77*$H$31</f>
        <v>211.75021502639723</v>
      </c>
      <c r="N320" s="459">
        <f>N$296*Entrant_age_breakdowns!$K77*$H$31</f>
        <v>212.289299616374</v>
      </c>
    </row>
    <row r="321" spans="1:14">
      <c r="B321" s="338" t="str">
        <f t="shared" si="146"/>
        <v>30-34</v>
      </c>
      <c r="C321" s="459">
        <f>C$296*Entrant_age_breakdowns!$K78*$H$31</f>
        <v>85.185981139027078</v>
      </c>
      <c r="D321" s="459">
        <f>D$296*Entrant_age_breakdowns!$K78*$H$31</f>
        <v>106.49595137620346</v>
      </c>
      <c r="E321" s="459">
        <f>E$296*Entrant_age_breakdowns!$K78*$H$31</f>
        <v>94.182078984910717</v>
      </c>
      <c r="F321" s="459">
        <f>F$296*Entrant_age_breakdowns!$K78*$H$31</f>
        <v>93.601147254491224</v>
      </c>
      <c r="G321" s="459">
        <f>G$296*Entrant_age_breakdowns!$K78*$H$31</f>
        <v>104.9496790144521</v>
      </c>
      <c r="H321" s="459">
        <f>H$296*Entrant_age_breakdowns!$K78*$H$31</f>
        <v>110.01190416169338</v>
      </c>
      <c r="I321" s="459">
        <f>I$296*Entrant_age_breakdowns!$K78*$H$31</f>
        <v>111.6695693123342</v>
      </c>
      <c r="J321" s="459">
        <f>J$296*Entrant_age_breakdowns!$K78*$H$31</f>
        <v>112.38815631568372</v>
      </c>
      <c r="K321" s="459">
        <f>K$296*Entrant_age_breakdowns!$K78*$H$31</f>
        <v>107.59304508623273</v>
      </c>
      <c r="L321" s="459">
        <f>L$296*Entrant_age_breakdowns!$K78*$H$31</f>
        <v>106.27092439246209</v>
      </c>
      <c r="M321" s="459">
        <f>M$296*Entrant_age_breakdowns!$K78*$H$31</f>
        <v>105.11597907360679</v>
      </c>
      <c r="N321" s="459">
        <f>N$296*Entrant_age_breakdowns!$K78*$H$31</f>
        <v>105.38358874036363</v>
      </c>
    </row>
    <row r="322" spans="1:14">
      <c r="B322" s="338" t="str">
        <f t="shared" si="146"/>
        <v>35-39</v>
      </c>
      <c r="C322" s="459">
        <f>C$296*Entrant_age_breakdowns!$K79*$H$31</f>
        <v>60.869159661091814</v>
      </c>
      <c r="D322" s="459">
        <f>D$296*Entrant_age_breakdowns!$K79*$H$31</f>
        <v>76.096078027188327</v>
      </c>
      <c r="E322" s="459">
        <f>E$296*Entrant_age_breakdowns!$K79*$H$31</f>
        <v>67.297270352382824</v>
      </c>
      <c r="F322" s="459">
        <f>F$296*Entrant_age_breakdowns!$K79*$H$31</f>
        <v>66.882168879367129</v>
      </c>
      <c r="G322" s="459">
        <f>G$296*Entrant_age_breakdowns!$K79*$H$31</f>
        <v>74.991197881318229</v>
      </c>
      <c r="H322" s="459">
        <f>H$296*Entrant_age_breakdowns!$K79*$H$31</f>
        <v>78.608382148116036</v>
      </c>
      <c r="I322" s="459">
        <f>I$296*Entrant_age_breakdowns!$K79*$H$31</f>
        <v>79.792857379484317</v>
      </c>
      <c r="J322" s="459">
        <f>J$296*Entrant_age_breakdowns!$K79*$H$31</f>
        <v>80.3063196470126</v>
      </c>
      <c r="K322" s="459">
        <f>K$296*Entrant_age_breakdowns!$K79*$H$31</f>
        <v>76.880000115142749</v>
      </c>
      <c r="L322" s="459">
        <f>L$296*Entrant_age_breakdowns!$K79*$H$31</f>
        <v>75.935286272274439</v>
      </c>
      <c r="M322" s="459">
        <f>M$296*Entrant_age_breakdowns!$K79*$H$31</f>
        <v>75.110026645358829</v>
      </c>
      <c r="N322" s="459">
        <f>N$296*Entrant_age_breakdowns!$K79*$H$31</f>
        <v>75.301245614898988</v>
      </c>
    </row>
    <row r="323" spans="1:14">
      <c r="B323" s="338" t="str">
        <f t="shared" si="146"/>
        <v>40-44</v>
      </c>
      <c r="C323" s="459">
        <f>C$296*Entrant_age_breakdowns!$K80*$H$31</f>
        <v>52.884780708610172</v>
      </c>
      <c r="D323" s="459">
        <f>D$296*Entrant_age_breakdowns!$K80*$H$31</f>
        <v>66.114341345598248</v>
      </c>
      <c r="E323" s="459">
        <f>E$296*Entrant_age_breakdowns!$K80*$H$31</f>
        <v>58.469698032463036</v>
      </c>
      <c r="F323" s="459">
        <f>F$296*Entrant_age_breakdowns!$K80*$H$31</f>
        <v>58.10904658771689</v>
      </c>
      <c r="G323" s="459">
        <f>G$296*Entrant_age_breakdowns!$K80*$H$31</f>
        <v>65.154391437484307</v>
      </c>
      <c r="H323" s="459">
        <f>H$296*Entrant_age_breakdowns!$K80*$H$31</f>
        <v>68.29709946561097</v>
      </c>
      <c r="I323" s="459">
        <f>I$296*Entrant_age_breakdowns!$K80*$H$31</f>
        <v>69.326203747885685</v>
      </c>
      <c r="J323" s="459">
        <f>J$296*Entrant_age_breakdowns!$K80*$H$31</f>
        <v>69.772313724950735</v>
      </c>
      <c r="K323" s="459">
        <f>K$296*Entrant_age_breakdowns!$K80*$H$31</f>
        <v>66.795434167397232</v>
      </c>
      <c r="L323" s="459">
        <f>L$296*Entrant_age_breakdowns!$K80*$H$31</f>
        <v>65.97464109762835</v>
      </c>
      <c r="M323" s="459">
        <f>M$296*Entrant_age_breakdowns!$K80*$H$31</f>
        <v>65.257633098173415</v>
      </c>
      <c r="N323" s="459">
        <f>N$296*Entrant_age_breakdowns!$K80*$H$31</f>
        <v>65.423769337407919</v>
      </c>
    </row>
    <row r="324" spans="1:14">
      <c r="B324" s="338" t="str">
        <f t="shared" si="146"/>
        <v>45-49</v>
      </c>
      <c r="C324" s="459">
        <f>C$296*Entrant_age_breakdowns!$K81*$H$31</f>
        <v>42.082894370448486</v>
      </c>
      <c r="D324" s="459">
        <f>D$296*Entrant_age_breakdowns!$K81*$H$31</f>
        <v>52.610274750852902</v>
      </c>
      <c r="E324" s="459">
        <f>E$296*Entrant_age_breakdowns!$K81*$H$31</f>
        <v>46.527074390828581</v>
      </c>
      <c r="F324" s="459">
        <f>F$296*Entrant_age_breakdowns!$K81*$H$31</f>
        <v>46.240087162169608</v>
      </c>
      <c r="G324" s="459">
        <f>G$296*Entrant_age_breakdowns!$K81*$H$31</f>
        <v>51.846397695057455</v>
      </c>
      <c r="H324" s="459">
        <f>H$296*Entrant_age_breakdowns!$K81*$H$31</f>
        <v>54.347197513317504</v>
      </c>
      <c r="I324" s="459">
        <f>I$296*Entrant_age_breakdowns!$K81*$H$31</f>
        <v>55.166103940211165</v>
      </c>
      <c r="J324" s="459">
        <f>J$296*Entrant_age_breakdowns!$K81*$H$31</f>
        <v>55.521094521449889</v>
      </c>
      <c r="K324" s="459">
        <f>K$296*Entrant_age_breakdowns!$K81*$H$31</f>
        <v>53.152252175968151</v>
      </c>
      <c r="L324" s="459">
        <f>L$296*Entrant_age_breakdowns!$K81*$H$31</f>
        <v>52.499108727281097</v>
      </c>
      <c r="M324" s="459">
        <f>M$296*Entrant_age_breakdowns!$K81*$H$31</f>
        <v>51.928551914914181</v>
      </c>
      <c r="N324" s="459">
        <f>N$296*Entrant_age_breakdowns!$K81*$H$31</f>
        <v>52.060754293616128</v>
      </c>
    </row>
    <row r="325" spans="1:14">
      <c r="B325" s="338" t="str">
        <f t="shared" si="146"/>
        <v>50-54</v>
      </c>
      <c r="C325" s="459">
        <f>C$296*Entrant_age_breakdowns!$K82*$H$31</f>
        <v>30.785007650240622</v>
      </c>
      <c r="D325" s="459">
        <f>D$296*Entrant_age_breakdowns!$K82*$H$31</f>
        <v>38.486129219847363</v>
      </c>
      <c r="E325" s="459">
        <f>E$296*Entrant_age_breakdowns!$K82*$H$31</f>
        <v>34.036070058688487</v>
      </c>
      <c r="F325" s="459">
        <f>F$296*Entrant_age_breakdowns!$K82*$H$31</f>
        <v>33.826129555261716</v>
      </c>
      <c r="G325" s="459">
        <f>G$296*Entrant_age_breakdowns!$K82*$H$31</f>
        <v>37.927328278079926</v>
      </c>
      <c r="H325" s="459">
        <f>H$296*Entrant_age_breakdowns!$K82*$H$31</f>
        <v>39.756744783017808</v>
      </c>
      <c r="I325" s="459">
        <f>I$296*Entrant_age_breakdowns!$K82*$H$31</f>
        <v>40.355801501760418</v>
      </c>
      <c r="J325" s="459">
        <f>J$296*Entrant_age_breakdowns!$K82*$H$31</f>
        <v>40.615488672110359</v>
      </c>
      <c r="K325" s="459">
        <f>K$296*Entrant_age_breakdowns!$K82*$H$31</f>
        <v>38.882603355669794</v>
      </c>
      <c r="L325" s="459">
        <f>L$296*Entrant_age_breakdowns!$K82*$H$31</f>
        <v>38.404807653512613</v>
      </c>
      <c r="M325" s="459">
        <f>M$296*Entrant_age_breakdowns!$K82*$H$31</f>
        <v>37.987426765235426</v>
      </c>
      <c r="N325" s="459">
        <f>N$296*Entrant_age_breakdowns!$K82*$H$31</f>
        <v>38.08413711039119</v>
      </c>
    </row>
    <row r="326" spans="1:14">
      <c r="B326" s="338" t="str">
        <f t="shared" si="146"/>
        <v>55-59</v>
      </c>
      <c r="C326" s="459">
        <f>C$296*Entrant_age_breakdowns!$K83*$H$31</f>
        <v>20.959127553940597</v>
      </c>
      <c r="D326" s="459">
        <f>D$296*Entrant_age_breakdowns!$K83*$H$31</f>
        <v>26.202224814776564</v>
      </c>
      <c r="E326" s="459">
        <f>E$296*Entrant_age_breakdowns!$K83*$H$31</f>
        <v>23.172524168248334</v>
      </c>
      <c r="F326" s="459">
        <f>F$296*Entrant_age_breakdowns!$K83*$H$31</f>
        <v>23.029591938376825</v>
      </c>
      <c r="G326" s="459">
        <f>G$296*Entrant_age_breakdowns!$K83*$H$31</f>
        <v>25.821780530051033</v>
      </c>
      <c r="H326" s="459">
        <f>H$296*Entrant_age_breakdowns!$K83*$H$31</f>
        <v>27.067288548496421</v>
      </c>
      <c r="I326" s="459">
        <f>I$296*Entrant_age_breakdowns!$K83*$H$31</f>
        <v>27.475139874142371</v>
      </c>
      <c r="J326" s="459">
        <f>J$296*Entrant_age_breakdowns!$K83*$H$31</f>
        <v>27.651940756874779</v>
      </c>
      <c r="K326" s="459">
        <f>K$296*Entrant_age_breakdowns!$K83*$H$31</f>
        <v>26.472153348787373</v>
      </c>
      <c r="L326" s="459">
        <f>L$296*Entrant_age_breakdowns!$K83*$H$31</f>
        <v>26.146859258234855</v>
      </c>
      <c r="M326" s="459">
        <f>M$296*Entrant_age_breakdowns!$K83*$H$31</f>
        <v>25.862696935607985</v>
      </c>
      <c r="N326" s="459">
        <f>N$296*Entrant_age_breakdowns!$K83*$H$31</f>
        <v>25.928539519859847</v>
      </c>
    </row>
    <row r="327" spans="1:14">
      <c r="B327" s="338" t="str">
        <f t="shared" si="146"/>
        <v>60-64</v>
      </c>
      <c r="C327" s="459">
        <f>C$296*Entrant_age_breakdowns!$K84*$H$31</f>
        <v>10.260258760031292</v>
      </c>
      <c r="D327" s="459">
        <f>D$296*Entrant_age_breakdowns!$K84*$H$31</f>
        <v>12.826946445944728</v>
      </c>
      <c r="E327" s="459">
        <f>E$296*Entrant_age_breakdowns!$K84*$H$31</f>
        <v>11.343797277697536</v>
      </c>
      <c r="F327" s="459">
        <f>F$296*Entrant_age_breakdowns!$K84*$H$31</f>
        <v>11.273826728596402</v>
      </c>
      <c r="G327" s="459">
        <f>G$296*Entrant_age_breakdowns!$K84*$H$31</f>
        <v>12.640705067575663</v>
      </c>
      <c r="H327" s="459">
        <f>H$296*Entrant_age_breakdowns!$K84*$H$31</f>
        <v>13.250426752032935</v>
      </c>
      <c r="I327" s="459">
        <f>I$296*Entrant_age_breakdowns!$K84*$H$31</f>
        <v>13.45008487835425</v>
      </c>
      <c r="J327" s="459">
        <f>J$296*Entrant_age_breakdowns!$K84*$H$31</f>
        <v>13.536635370552355</v>
      </c>
      <c r="K327" s="459">
        <f>K$296*Entrant_age_breakdowns!$K84*$H$31</f>
        <v>12.95908632622071</v>
      </c>
      <c r="L327" s="459">
        <f>L$296*Entrant_age_breakdowns!$K84*$H$31</f>
        <v>12.799842983023902</v>
      </c>
      <c r="M327" s="459">
        <f>M$296*Entrant_age_breakdowns!$K84*$H$31</f>
        <v>12.660735143134115</v>
      </c>
      <c r="N327" s="459">
        <f>N$296*Entrant_age_breakdowns!$K84*$H$31</f>
        <v>12.692967493937585</v>
      </c>
    </row>
    <row r="328" spans="1:14">
      <c r="B328" s="338" t="str">
        <f t="shared" si="146"/>
        <v>65 plus</v>
      </c>
      <c r="C328" s="459">
        <f>C$296*Entrant_age_breakdowns!$K85*$H$31</f>
        <v>2.5733457247106779</v>
      </c>
      <c r="D328" s="459">
        <f>D$296*Entrant_age_breakdowns!$K85*$H$31</f>
        <v>3.2170892147815602</v>
      </c>
      <c r="E328" s="459">
        <f>E$296*Entrant_age_breakdowns!$K85*$H$31</f>
        <v>2.8451048759377051</v>
      </c>
      <c r="F328" s="459">
        <f>F$296*Entrant_age_breakdowns!$K85*$H$31</f>
        <v>2.8275557655696044</v>
      </c>
      <c r="G328" s="459">
        <f>G$296*Entrant_age_breakdowns!$K85*$H$31</f>
        <v>3.1703785551384307</v>
      </c>
      <c r="H328" s="459">
        <f>H$296*Entrant_age_breakdowns!$K85*$H$31</f>
        <v>3.3233010814273025</v>
      </c>
      <c r="I328" s="459">
        <f>I$296*Entrant_age_breakdowns!$K85*$H$31</f>
        <v>3.3733767566894275</v>
      </c>
      <c r="J328" s="459">
        <f>J$296*Entrant_age_breakdowns!$K85*$H$31</f>
        <v>3.3950842344712959</v>
      </c>
      <c r="K328" s="459">
        <f>K$296*Entrant_age_breakdowns!$K85*$H$31</f>
        <v>3.2502308346885167</v>
      </c>
      <c r="L328" s="459">
        <f>L$296*Entrant_age_breakdowns!$K85*$H$31</f>
        <v>3.2102914738996384</v>
      </c>
      <c r="M328" s="459">
        <f>M$296*Entrant_age_breakdowns!$K85*$H$31</f>
        <v>3.1754022402627053</v>
      </c>
      <c r="N328" s="459">
        <f>N$296*Entrant_age_breakdowns!$K85*$H$31</f>
        <v>3.183486342630629</v>
      </c>
    </row>
    <row r="329" spans="1:14">
      <c r="B329" s="338" t="str">
        <f t="shared" si="146"/>
        <v>Total</v>
      </c>
      <c r="C329" s="459">
        <f>C$296*Entrant_age_breakdowns!$K86*$H$31</f>
        <v>643.16612485931319</v>
      </c>
      <c r="D329" s="459">
        <f>D$296*Entrant_age_breakdowns!$K86*$H$31</f>
        <v>804.05939385792351</v>
      </c>
      <c r="E329" s="459">
        <f>E$296*Entrant_age_breakdowns!$K86*$H$31</f>
        <v>711.08792740272952</v>
      </c>
      <c r="F329" s="459">
        <f>F$296*Entrant_age_breakdowns!$K86*$H$31</f>
        <v>706.70181122650183</v>
      </c>
      <c r="G329" s="459">
        <f>G$296*Entrant_age_breakdowns!$K86*$H$31</f>
        <v>792.38482030031435</v>
      </c>
      <c r="H329" s="459">
        <f>H$296*Entrant_age_breakdowns!$K86*$H$31</f>
        <v>830.60533132316505</v>
      </c>
      <c r="I329" s="459">
        <f>I$296*Entrant_age_breakdowns!$K86*$H$31</f>
        <v>843.12093608578414</v>
      </c>
      <c r="J329" s="459">
        <f>J$296*Entrant_age_breakdowns!$K86*$H$31</f>
        <v>848.54636891098437</v>
      </c>
      <c r="K329" s="459">
        <f>K$296*Entrant_age_breakdowns!$K86*$H$31</f>
        <v>812.34260549265787</v>
      </c>
      <c r="L329" s="459">
        <f>L$296*Entrant_age_breakdowns!$K86*$H$31</f>
        <v>802.36040851800578</v>
      </c>
      <c r="M329" s="459">
        <f>M$296*Entrant_age_breakdowns!$K86*$H$31</f>
        <v>793.64040910941469</v>
      </c>
      <c r="N329" s="459">
        <f>N$296*Entrant_age_breakdowns!$K86*$H$31</f>
        <v>795.66089968828089</v>
      </c>
    </row>
    <row r="330" spans="1:14">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4">
      <c r="C331" s="329">
        <f>C296</f>
        <v>1349.2738287837035</v>
      </c>
      <c r="D331" s="329">
        <f t="shared" ref="D331:N331" si="149">D296</f>
        <v>1686.8057178190093</v>
      </c>
      <c r="E331" s="329">
        <f t="shared" si="149"/>
        <v>1491.7644031989723</v>
      </c>
      <c r="F331" s="329">
        <f t="shared" si="149"/>
        <v>1482.5629363650601</v>
      </c>
      <c r="G331" s="329">
        <f t="shared" si="149"/>
        <v>1662.3140725742633</v>
      </c>
      <c r="H331" s="329">
        <f t="shared" si="149"/>
        <v>1742.4954335829016</v>
      </c>
      <c r="I331" s="329">
        <f t="shared" si="149"/>
        <v>1768.7514463063585</v>
      </c>
      <c r="J331" s="329">
        <f t="shared" si="149"/>
        <v>1780.1332561342128</v>
      </c>
      <c r="K331" s="329">
        <f t="shared" si="149"/>
        <v>1704.1827534635227</v>
      </c>
      <c r="L331" s="329">
        <f t="shared" si="149"/>
        <v>1683.241480888559</v>
      </c>
      <c r="M331" s="329">
        <f t="shared" si="149"/>
        <v>1664.9481247333433</v>
      </c>
      <c r="N331" s="329">
        <f t="shared" si="149"/>
        <v>1669.1868353152549</v>
      </c>
    </row>
    <row r="332" spans="1:14">
      <c r="C332" s="329">
        <f>C313+C329</f>
        <v>1349.2738287837035</v>
      </c>
      <c r="D332" s="329">
        <f t="shared" ref="D332:N332" si="150">D313+D329</f>
        <v>1686.8057178190093</v>
      </c>
      <c r="E332" s="329">
        <f t="shared" si="150"/>
        <v>1491.7644031989723</v>
      </c>
      <c r="F332" s="329">
        <f t="shared" si="150"/>
        <v>1482.5629363650601</v>
      </c>
      <c r="G332" s="329">
        <f t="shared" si="150"/>
        <v>1662.3140725742633</v>
      </c>
      <c r="H332" s="329">
        <f t="shared" si="150"/>
        <v>1742.4954335829016</v>
      </c>
      <c r="I332" s="329">
        <f t="shared" si="150"/>
        <v>1768.7514463063585</v>
      </c>
      <c r="J332" s="329">
        <f t="shared" si="150"/>
        <v>1780.1332561342128</v>
      </c>
      <c r="K332" s="329">
        <f t="shared" si="150"/>
        <v>1704.1827534635227</v>
      </c>
      <c r="L332" s="329">
        <f t="shared" si="150"/>
        <v>1683.241480888559</v>
      </c>
      <c r="M332" s="329">
        <f t="shared" si="150"/>
        <v>1664.9481247333433</v>
      </c>
      <c r="N332" s="329">
        <f t="shared" si="150"/>
        <v>1669.1868353152549</v>
      </c>
    </row>
    <row r="333" spans="1:14">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438.76829676519958</v>
      </c>
      <c r="D340" s="459">
        <f t="shared" si="154"/>
        <v>540.61987183131976</v>
      </c>
      <c r="E340" s="459">
        <f t="shared" si="154"/>
        <v>586.90030004766288</v>
      </c>
      <c r="F340" s="459">
        <f t="shared" si="154"/>
        <v>618.65498692631843</v>
      </c>
      <c r="G340" s="459">
        <f t="shared" si="154"/>
        <v>665.56902883309635</v>
      </c>
      <c r="H340" s="459">
        <f t="shared" si="154"/>
        <v>709.84564894198115</v>
      </c>
      <c r="I340" s="459">
        <f t="shared" si="154"/>
        <v>744.95979695998847</v>
      </c>
      <c r="J340" s="459">
        <f t="shared" si="154"/>
        <v>771.53264218396214</v>
      </c>
      <c r="K340" s="459">
        <f t="shared" si="154"/>
        <v>780.22239130602554</v>
      </c>
      <c r="L340" s="459">
        <f t="shared" si="154"/>
        <v>783.59016035309946</v>
      </c>
      <c r="M340" s="459">
        <f t="shared" si="154"/>
        <v>783.52101041988817</v>
      </c>
      <c r="N340" s="459">
        <f t="shared" si="154"/>
        <v>784.04409920923194</v>
      </c>
    </row>
    <row r="341" spans="1:14">
      <c r="B341" s="338" t="str">
        <f t="shared" si="153"/>
        <v>25-29</v>
      </c>
      <c r="C341" s="459">
        <f t="shared" ref="C341:N341" si="155">C304+C248</f>
        <v>1499.9023552072736</v>
      </c>
      <c r="D341" s="459">
        <f t="shared" si="155"/>
        <v>1414.6113471981475</v>
      </c>
      <c r="E341" s="459">
        <f t="shared" si="155"/>
        <v>1343.5519316514499</v>
      </c>
      <c r="F341" s="459">
        <f t="shared" si="155"/>
        <v>1298.6890558087562</v>
      </c>
      <c r="G341" s="459">
        <f t="shared" si="155"/>
        <v>1296.7389239700078</v>
      </c>
      <c r="H341" s="459">
        <f t="shared" si="155"/>
        <v>1315.0974670286903</v>
      </c>
      <c r="I341" s="459">
        <f t="shared" si="155"/>
        <v>1340.3203953132113</v>
      </c>
      <c r="J341" s="459">
        <f t="shared" si="155"/>
        <v>1366.8169279886185</v>
      </c>
      <c r="K341" s="459">
        <f t="shared" si="155"/>
        <v>1380.4882263661798</v>
      </c>
      <c r="L341" s="459">
        <f t="shared" si="155"/>
        <v>1389.1703658395918</v>
      </c>
      <c r="M341" s="459">
        <f t="shared" si="155"/>
        <v>1393.5928492009882</v>
      </c>
      <c r="N341" s="459">
        <f t="shared" si="155"/>
        <v>1397.411657116184</v>
      </c>
    </row>
    <row r="342" spans="1:14">
      <c r="B342" s="338" t="str">
        <f t="shared" si="153"/>
        <v>30-34</v>
      </c>
      <c r="C342" s="459">
        <f t="shared" ref="C342:N342" si="156">C305+C249</f>
        <v>2201.2748582085501</v>
      </c>
      <c r="D342" s="459">
        <f t="shared" si="156"/>
        <v>2049.0579456520322</v>
      </c>
      <c r="E342" s="459">
        <f t="shared" si="156"/>
        <v>1905.3874805699115</v>
      </c>
      <c r="F342" s="459">
        <f t="shared" si="156"/>
        <v>1783.6762010140133</v>
      </c>
      <c r="G342" s="459">
        <f t="shared" si="156"/>
        <v>1696.4425390075007</v>
      </c>
      <c r="H342" s="459">
        <f t="shared" si="156"/>
        <v>1636.210893969919</v>
      </c>
      <c r="I342" s="459">
        <f t="shared" si="156"/>
        <v>1596.3003061952106</v>
      </c>
      <c r="J342" s="459">
        <f t="shared" si="156"/>
        <v>1571.8861967914333</v>
      </c>
      <c r="K342" s="459">
        <f t="shared" si="156"/>
        <v>1553.2796735750376</v>
      </c>
      <c r="L342" s="459">
        <f t="shared" si="156"/>
        <v>1540.4369249839317</v>
      </c>
      <c r="M342" s="459">
        <f t="shared" si="156"/>
        <v>1531.1649918492867</v>
      </c>
      <c r="N342" s="459">
        <f t="shared" si="156"/>
        <v>1525.334207517996</v>
      </c>
    </row>
    <row r="343" spans="1:14">
      <c r="B343" s="338" t="str">
        <f t="shared" si="153"/>
        <v>35-39</v>
      </c>
      <c r="C343" s="459">
        <f t="shared" ref="C343:N343" si="157">C306+C250</f>
        <v>1968.8066583536606</v>
      </c>
      <c r="D343" s="459">
        <f t="shared" si="157"/>
        <v>1972.0166106617512</v>
      </c>
      <c r="E343" s="459">
        <f t="shared" si="157"/>
        <v>1936.2355659644109</v>
      </c>
      <c r="F343" s="459">
        <f t="shared" si="157"/>
        <v>1882.0306196702832</v>
      </c>
      <c r="G343" s="459">
        <f t="shared" si="157"/>
        <v>1827.4878831776768</v>
      </c>
      <c r="H343" s="459">
        <f t="shared" si="157"/>
        <v>1774.2220697970606</v>
      </c>
      <c r="I343" s="459">
        <f t="shared" si="157"/>
        <v>1724.3032742461478</v>
      </c>
      <c r="J343" s="459">
        <f t="shared" si="157"/>
        <v>1679.9653487842133</v>
      </c>
      <c r="K343" s="459">
        <f t="shared" si="157"/>
        <v>1638.3900615912528</v>
      </c>
      <c r="L343" s="459">
        <f t="shared" si="157"/>
        <v>1602.6986800877021</v>
      </c>
      <c r="M343" s="459">
        <f t="shared" si="157"/>
        <v>1572.6295489377103</v>
      </c>
      <c r="N343" s="459">
        <f t="shared" si="157"/>
        <v>1548.5603356915472</v>
      </c>
    </row>
    <row r="344" spans="1:14">
      <c r="B344" s="338" t="str">
        <f t="shared" si="153"/>
        <v>40-44</v>
      </c>
      <c r="C344" s="459">
        <f t="shared" ref="C344:N344" si="158">C307+C251</f>
        <v>1309.6427431146644</v>
      </c>
      <c r="D344" s="459">
        <f t="shared" si="158"/>
        <v>1412.3926647494648</v>
      </c>
      <c r="E344" s="459">
        <f t="shared" si="158"/>
        <v>1480.9989860693554</v>
      </c>
      <c r="F344" s="459">
        <f t="shared" si="158"/>
        <v>1524.9655722751063</v>
      </c>
      <c r="G344" s="459">
        <f t="shared" si="158"/>
        <v>1555.3165129318413</v>
      </c>
      <c r="H344" s="459">
        <f t="shared" si="158"/>
        <v>1571.195836320047</v>
      </c>
      <c r="I344" s="459">
        <f t="shared" si="158"/>
        <v>1574.2313395196363</v>
      </c>
      <c r="J344" s="459">
        <f t="shared" si="158"/>
        <v>1567.6986296085995</v>
      </c>
      <c r="K344" s="459">
        <f t="shared" si="158"/>
        <v>1551.3307059933782</v>
      </c>
      <c r="L344" s="459">
        <f t="shared" si="158"/>
        <v>1530.5301971098954</v>
      </c>
      <c r="M344" s="459">
        <f t="shared" si="158"/>
        <v>1507.6414486960821</v>
      </c>
      <c r="N344" s="459">
        <f t="shared" si="158"/>
        <v>1485.2146486772926</v>
      </c>
    </row>
    <row r="345" spans="1:14">
      <c r="B345" s="338" t="str">
        <f t="shared" si="153"/>
        <v>45-49</v>
      </c>
      <c r="C345" s="459">
        <f t="shared" ref="C345:N345" si="159">C308+C252</f>
        <v>680.04570718920172</v>
      </c>
      <c r="D345" s="459">
        <f t="shared" si="159"/>
        <v>800.09521222963838</v>
      </c>
      <c r="E345" s="459">
        <f t="shared" si="159"/>
        <v>900.80185834368126</v>
      </c>
      <c r="F345" s="459">
        <f t="shared" si="159"/>
        <v>987.32970094886514</v>
      </c>
      <c r="G345" s="459">
        <f t="shared" si="159"/>
        <v>1065.3411317794748</v>
      </c>
      <c r="H345" s="459">
        <f t="shared" si="159"/>
        <v>1131.1597429790825</v>
      </c>
      <c r="I345" s="459">
        <f t="shared" si="159"/>
        <v>1183.4818585539026</v>
      </c>
      <c r="J345" s="459">
        <f t="shared" si="159"/>
        <v>1222.9839037807608</v>
      </c>
      <c r="K345" s="459">
        <f t="shared" si="159"/>
        <v>1248.2866214496298</v>
      </c>
      <c r="L345" s="459">
        <f t="shared" si="159"/>
        <v>1263.1985259872552</v>
      </c>
      <c r="M345" s="459">
        <f t="shared" si="159"/>
        <v>1269.7281806703279</v>
      </c>
      <c r="N345" s="459">
        <f t="shared" si="159"/>
        <v>1270.4682968384416</v>
      </c>
    </row>
    <row r="346" spans="1:14">
      <c r="B346" s="338" t="str">
        <f t="shared" si="153"/>
        <v>50-54</v>
      </c>
      <c r="C346" s="459">
        <f t="shared" ref="C346:N346" si="160">C309+C253</f>
        <v>424.71969003667368</v>
      </c>
      <c r="D346" s="459">
        <f t="shared" si="160"/>
        <v>465.85708028516342</v>
      </c>
      <c r="E346" s="459">
        <f t="shared" si="160"/>
        <v>511.64883316190577</v>
      </c>
      <c r="F346" s="459">
        <f t="shared" si="160"/>
        <v>561.96648126996865</v>
      </c>
      <c r="G346" s="459">
        <f t="shared" si="160"/>
        <v>617.71603353958415</v>
      </c>
      <c r="H346" s="459">
        <f t="shared" si="160"/>
        <v>673.32394339582811</v>
      </c>
      <c r="I346" s="459">
        <f t="shared" si="160"/>
        <v>725.30907955163855</v>
      </c>
      <c r="J346" s="459">
        <f t="shared" si="160"/>
        <v>771.93800760009219</v>
      </c>
      <c r="K346" s="459">
        <f t="shared" si="160"/>
        <v>810.28152662085711</v>
      </c>
      <c r="L346" s="459">
        <f t="shared" si="160"/>
        <v>841.57316373442598</v>
      </c>
      <c r="M346" s="459">
        <f t="shared" si="160"/>
        <v>866.05809118561831</v>
      </c>
      <c r="N346" s="459">
        <f t="shared" si="160"/>
        <v>884.76666611853227</v>
      </c>
    </row>
    <row r="347" spans="1:14">
      <c r="B347" s="338" t="str">
        <f t="shared" si="153"/>
        <v>55-59</v>
      </c>
      <c r="C347" s="459">
        <f t="shared" ref="C347:N347" si="161">C310+C254</f>
        <v>286.85820493511756</v>
      </c>
      <c r="D347" s="459">
        <f t="shared" si="161"/>
        <v>261.59777002135837</v>
      </c>
      <c r="E347" s="459">
        <f t="shared" si="161"/>
        <v>249.39991180383066</v>
      </c>
      <c r="F347" s="459">
        <f t="shared" si="161"/>
        <v>248.79874780346165</v>
      </c>
      <c r="G347" s="459">
        <f t="shared" si="161"/>
        <v>258.95996443505049</v>
      </c>
      <c r="H347" s="459">
        <f t="shared" si="161"/>
        <v>274.60310129722313</v>
      </c>
      <c r="I347" s="459">
        <f t="shared" si="161"/>
        <v>292.55305732918504</v>
      </c>
      <c r="J347" s="459">
        <f t="shared" si="161"/>
        <v>311.07936288194355</v>
      </c>
      <c r="K347" s="459">
        <f t="shared" si="161"/>
        <v>327.66450524576891</v>
      </c>
      <c r="L347" s="459">
        <f t="shared" si="161"/>
        <v>342.81079466406311</v>
      </c>
      <c r="M347" s="459">
        <f t="shared" si="161"/>
        <v>356.10551711325871</v>
      </c>
      <c r="N347" s="459">
        <f t="shared" si="161"/>
        <v>367.67959489923589</v>
      </c>
    </row>
    <row r="348" spans="1:14">
      <c r="B348" s="338" t="str">
        <f t="shared" si="153"/>
        <v>60-64</v>
      </c>
      <c r="C348" s="459">
        <f t="shared" ref="C348:N348" si="162">C311+C255</f>
        <v>88.206243405097055</v>
      </c>
      <c r="D348" s="459">
        <f t="shared" si="162"/>
        <v>91.114489371683831</v>
      </c>
      <c r="E348" s="459">
        <f t="shared" si="162"/>
        <v>87.845143904209067</v>
      </c>
      <c r="F348" s="459">
        <f t="shared" si="162"/>
        <v>84.724617358812736</v>
      </c>
      <c r="G348" s="459">
        <f t="shared" si="162"/>
        <v>84.649740677893377</v>
      </c>
      <c r="H348" s="459">
        <f t="shared" si="162"/>
        <v>86.506703124077418</v>
      </c>
      <c r="I348" s="459">
        <f t="shared" si="162"/>
        <v>89.504166952316851</v>
      </c>
      <c r="J348" s="459">
        <f t="shared" si="162"/>
        <v>93.204615493066512</v>
      </c>
      <c r="K348" s="459">
        <f t="shared" si="162"/>
        <v>96.584000612274849</v>
      </c>
      <c r="L348" s="459">
        <f t="shared" si="162"/>
        <v>100.03421481871041</v>
      </c>
      <c r="M348" s="459">
        <f t="shared" si="162"/>
        <v>103.36738238236474</v>
      </c>
      <c r="N348" s="459">
        <f t="shared" si="162"/>
        <v>106.60930723898575</v>
      </c>
    </row>
    <row r="349" spans="1:14">
      <c r="B349" s="338" t="str">
        <f t="shared" si="153"/>
        <v>65 plus</v>
      </c>
      <c r="C349" s="459">
        <f t="shared" ref="C349:N349" si="163">C312+C256</f>
        <v>17.628159852069665</v>
      </c>
      <c r="D349" s="459">
        <f t="shared" si="163"/>
        <v>22.484211519188975</v>
      </c>
      <c r="E349" s="459">
        <f t="shared" si="163"/>
        <v>24.997814905537915</v>
      </c>
      <c r="F349" s="459">
        <f t="shared" si="163"/>
        <v>25.977891102547165</v>
      </c>
      <c r="G349" s="459">
        <f t="shared" si="163"/>
        <v>26.545546973460837</v>
      </c>
      <c r="H349" s="459">
        <f t="shared" si="163"/>
        <v>27.010422005122084</v>
      </c>
      <c r="I349" s="459">
        <f t="shared" si="163"/>
        <v>27.514773052993366</v>
      </c>
      <c r="J349" s="459">
        <f t="shared" si="163"/>
        <v>28.131763936253158</v>
      </c>
      <c r="K349" s="459">
        <f t="shared" si="163"/>
        <v>28.701972700908332</v>
      </c>
      <c r="L349" s="459">
        <f t="shared" si="163"/>
        <v>29.327718689917752</v>
      </c>
      <c r="M349" s="459">
        <f t="shared" si="163"/>
        <v>29.996464494196026</v>
      </c>
      <c r="N349" s="459">
        <f t="shared" si="163"/>
        <v>30.722916195355673</v>
      </c>
    </row>
    <row r="350" spans="1:14">
      <c r="B350" s="338" t="str">
        <f t="shared" si="153"/>
        <v>Total</v>
      </c>
      <c r="C350" s="459">
        <f t="shared" ref="C350:N350" si="164">SUM(C340:C349)</f>
        <v>8915.8529170675065</v>
      </c>
      <c r="D350" s="459">
        <f t="shared" si="164"/>
        <v>9029.8472035197501</v>
      </c>
      <c r="E350" s="459">
        <f t="shared" si="164"/>
        <v>9027.7678264219558</v>
      </c>
      <c r="F350" s="459">
        <f t="shared" si="164"/>
        <v>9016.8138741781313</v>
      </c>
      <c r="G350" s="459">
        <f t="shared" si="164"/>
        <v>9094.7673053255858</v>
      </c>
      <c r="H350" s="459">
        <f t="shared" si="164"/>
        <v>9199.1758288590318</v>
      </c>
      <c r="I350" s="459">
        <f t="shared" si="164"/>
        <v>9298.4780476742308</v>
      </c>
      <c r="J350" s="459">
        <f t="shared" si="164"/>
        <v>9385.2373990489432</v>
      </c>
      <c r="K350" s="459">
        <f t="shared" si="164"/>
        <v>9415.2296854613123</v>
      </c>
      <c r="L350" s="459">
        <f t="shared" si="164"/>
        <v>9423.3707462685925</v>
      </c>
      <c r="M350" s="459">
        <f t="shared" si="164"/>
        <v>9413.8054849497221</v>
      </c>
      <c r="N350" s="459">
        <f t="shared" si="164"/>
        <v>9400.8117295028042</v>
      </c>
    </row>
    <row r="351" spans="1:14">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5">
      <c r="B353" s="341" t="s">
        <v>50</v>
      </c>
      <c r="C353" s="329"/>
      <c r="D353" s="329"/>
      <c r="E353" s="329"/>
      <c r="F353" s="329"/>
      <c r="G353" s="329"/>
      <c r="H353" s="339"/>
      <c r="I353" s="329"/>
      <c r="J353" s="329"/>
      <c r="K353" s="329"/>
      <c r="L353" s="329"/>
    </row>
    <row r="354" spans="1:15">
      <c r="C354" s="329"/>
      <c r="D354" s="329"/>
      <c r="E354" s="329"/>
      <c r="F354" s="329"/>
      <c r="G354" s="329"/>
      <c r="H354" s="339"/>
      <c r="I354" s="329"/>
      <c r="J354" s="329"/>
      <c r="K354" s="329"/>
      <c r="L354" s="329"/>
    </row>
    <row r="355" spans="1:15">
      <c r="B355" s="338" t="str">
        <f t="shared" ref="B355:B366" si="166">B339</f>
        <v>Age group</v>
      </c>
      <c r="C355" s="338" t="str">
        <f t="shared" ref="C355:K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L339</f>
        <v>2025/26</v>
      </c>
      <c r="M355" s="338" t="str">
        <f>M339</f>
        <v>2026/27</v>
      </c>
      <c r="N355" s="338" t="str">
        <f>N339</f>
        <v>2027/28</v>
      </c>
    </row>
    <row r="356" spans="1:15">
      <c r="B356" s="338" t="str">
        <f t="shared" si="166"/>
        <v>20-24</v>
      </c>
      <c r="C356" s="459">
        <f t="shared" ref="C356:N356" si="168">C319+C263</f>
        <v>615.83988570785687</v>
      </c>
      <c r="D356" s="459">
        <f t="shared" si="168"/>
        <v>646.81667446150504</v>
      </c>
      <c r="E356" s="459">
        <f t="shared" si="168"/>
        <v>644.92487853202283</v>
      </c>
      <c r="F356" s="459">
        <f t="shared" si="168"/>
        <v>642.44348520876804</v>
      </c>
      <c r="G356" s="459">
        <f t="shared" si="168"/>
        <v>662.78300130206355</v>
      </c>
      <c r="H356" s="459">
        <f t="shared" si="168"/>
        <v>687.15554546144062</v>
      </c>
      <c r="I356" s="459">
        <f t="shared" si="168"/>
        <v>707.77230818606597</v>
      </c>
      <c r="J356" s="459">
        <f t="shared" si="168"/>
        <v>723.88016455447723</v>
      </c>
      <c r="K356" s="459">
        <f t="shared" si="168"/>
        <v>726.02935646469496</v>
      </c>
      <c r="L356" s="459">
        <f t="shared" si="168"/>
        <v>724.98676102037325</v>
      </c>
      <c r="M356" s="459">
        <f t="shared" si="168"/>
        <v>721.99286268842616</v>
      </c>
      <c r="N356" s="459">
        <f t="shared" si="168"/>
        <v>720.37840328477205</v>
      </c>
      <c r="O356" s="327"/>
    </row>
    <row r="357" spans="1:15">
      <c r="B357" s="338" t="str">
        <f t="shared" si="166"/>
        <v>25-29</v>
      </c>
      <c r="C357" s="459">
        <f t="shared" ref="C357:N357" si="169">C320+C264</f>
        <v>1655.6787202042362</v>
      </c>
      <c r="D357" s="459">
        <f t="shared" si="169"/>
        <v>1529.3509500145067</v>
      </c>
      <c r="E357" s="459">
        <f t="shared" si="169"/>
        <v>1418.3866270807996</v>
      </c>
      <c r="F357" s="459">
        <f t="shared" si="169"/>
        <v>1336.2499068877041</v>
      </c>
      <c r="G357" s="459">
        <f t="shared" si="169"/>
        <v>1298.9824619263659</v>
      </c>
      <c r="H357" s="459">
        <f t="shared" si="169"/>
        <v>1285.7972902842039</v>
      </c>
      <c r="I357" s="459">
        <f t="shared" si="169"/>
        <v>1283.9837356173621</v>
      </c>
      <c r="J357" s="459">
        <f t="shared" si="169"/>
        <v>1287.8584791724013</v>
      </c>
      <c r="K357" s="459">
        <f t="shared" si="169"/>
        <v>1283.9401052468384</v>
      </c>
      <c r="L357" s="459">
        <f t="shared" si="169"/>
        <v>1278.8201948337933</v>
      </c>
      <c r="M357" s="459">
        <f t="shared" si="169"/>
        <v>1272.5842943895207</v>
      </c>
      <c r="N357" s="459">
        <f t="shared" si="169"/>
        <v>1268.0487737489852</v>
      </c>
      <c r="O357" s="327"/>
    </row>
    <row r="358" spans="1:15">
      <c r="B358" s="338" t="str">
        <f t="shared" si="166"/>
        <v>30-34</v>
      </c>
      <c r="C358" s="459">
        <f t="shared" ref="C358:N358" si="170">C321+C265</f>
        <v>1831.4653014461849</v>
      </c>
      <c r="D358" s="459">
        <f t="shared" si="170"/>
        <v>1746.5725832345015</v>
      </c>
      <c r="E358" s="459">
        <f t="shared" si="170"/>
        <v>1649.1831577025312</v>
      </c>
      <c r="F358" s="459">
        <f t="shared" si="170"/>
        <v>1557.2042603895543</v>
      </c>
      <c r="G358" s="459">
        <f t="shared" si="170"/>
        <v>1486.3708632245225</v>
      </c>
      <c r="H358" s="459">
        <f t="shared" si="170"/>
        <v>1432.8896461864549</v>
      </c>
      <c r="I358" s="459">
        <f t="shared" si="170"/>
        <v>1393.0758184531799</v>
      </c>
      <c r="J358" s="459">
        <f t="shared" si="170"/>
        <v>1364.3823798164717</v>
      </c>
      <c r="K358" s="459">
        <f t="shared" si="170"/>
        <v>1339.3365234004921</v>
      </c>
      <c r="L358" s="459">
        <f t="shared" si="170"/>
        <v>1319.0048642257905</v>
      </c>
      <c r="M358" s="459">
        <f t="shared" si="170"/>
        <v>1302.0643227851906</v>
      </c>
      <c r="N358" s="459">
        <f t="shared" si="170"/>
        <v>1288.819494697583</v>
      </c>
      <c r="O358" s="327"/>
    </row>
    <row r="359" spans="1:15">
      <c r="B359" s="338" t="str">
        <f t="shared" si="166"/>
        <v>35-39</v>
      </c>
      <c r="C359" s="459">
        <f t="shared" ref="C359:N359" si="171">C322+C266</f>
        <v>1555.6236953855803</v>
      </c>
      <c r="D359" s="459">
        <f t="shared" si="171"/>
        <v>1557.7545458150219</v>
      </c>
      <c r="E359" s="459">
        <f t="shared" si="171"/>
        <v>1534.9063458789631</v>
      </c>
      <c r="F359" s="459">
        <f t="shared" si="171"/>
        <v>1499.7616480625136</v>
      </c>
      <c r="G359" s="459">
        <f t="shared" si="171"/>
        <v>1465.0878640157996</v>
      </c>
      <c r="H359" s="459">
        <f t="shared" si="171"/>
        <v>1430.1588272329404</v>
      </c>
      <c r="I359" s="459">
        <f t="shared" si="171"/>
        <v>1395.8014686798756</v>
      </c>
      <c r="J359" s="459">
        <f t="shared" si="171"/>
        <v>1363.7081167573724</v>
      </c>
      <c r="K359" s="459">
        <f t="shared" si="171"/>
        <v>1331.3867666479032</v>
      </c>
      <c r="L359" s="459">
        <f t="shared" si="171"/>
        <v>1302.0502789191869</v>
      </c>
      <c r="M359" s="459">
        <f t="shared" si="171"/>
        <v>1275.8969577285113</v>
      </c>
      <c r="N359" s="459">
        <f t="shared" si="171"/>
        <v>1253.7263504622174</v>
      </c>
      <c r="O359" s="327"/>
    </row>
    <row r="360" spans="1:15">
      <c r="B360" s="338" t="str">
        <f t="shared" si="166"/>
        <v>40-44</v>
      </c>
      <c r="C360" s="459">
        <f t="shared" ref="C360:N360" si="172">C323+C267</f>
        <v>1006.6256056642867</v>
      </c>
      <c r="D360" s="459">
        <f t="shared" si="172"/>
        <v>1096.5986666926995</v>
      </c>
      <c r="E360" s="459">
        <f t="shared" si="172"/>
        <v>1155.7850330076872</v>
      </c>
      <c r="F360" s="459">
        <f t="shared" si="172"/>
        <v>1194.9107304002487</v>
      </c>
      <c r="G360" s="459">
        <f t="shared" si="172"/>
        <v>1224.3592973667839</v>
      </c>
      <c r="H360" s="459">
        <f t="shared" si="172"/>
        <v>1242.8464017557044</v>
      </c>
      <c r="I360" s="459">
        <f t="shared" si="172"/>
        <v>1251.0786503992611</v>
      </c>
      <c r="J360" s="459">
        <f t="shared" si="172"/>
        <v>1251.2610782846</v>
      </c>
      <c r="K360" s="459">
        <f t="shared" si="172"/>
        <v>1242.4943367434323</v>
      </c>
      <c r="L360" s="459">
        <f t="shared" si="172"/>
        <v>1229.2333726414147</v>
      </c>
      <c r="M360" s="459">
        <f t="shared" si="172"/>
        <v>1213.3086012280755</v>
      </c>
      <c r="N360" s="459">
        <f t="shared" si="172"/>
        <v>1196.8875993608799</v>
      </c>
      <c r="O360" s="327"/>
    </row>
    <row r="361" spans="1:15">
      <c r="B361" s="338" t="str">
        <f t="shared" si="166"/>
        <v>45-49</v>
      </c>
      <c r="C361" s="459">
        <f t="shared" ref="C361:N361" si="173">C324+C268</f>
        <v>581.5303949488499</v>
      </c>
      <c r="D361" s="459">
        <f t="shared" si="173"/>
        <v>665.18363888956139</v>
      </c>
      <c r="E361" s="459">
        <f t="shared" si="173"/>
        <v>737.1411906328708</v>
      </c>
      <c r="F361" s="459">
        <f t="shared" si="173"/>
        <v>800.63735222464504</v>
      </c>
      <c r="G361" s="459">
        <f t="shared" si="173"/>
        <v>860.11861316603245</v>
      </c>
      <c r="H361" s="459">
        <f t="shared" si="173"/>
        <v>911.76384041720496</v>
      </c>
      <c r="I361" s="459">
        <f t="shared" si="173"/>
        <v>953.95122229463698</v>
      </c>
      <c r="J361" s="459">
        <f t="shared" si="173"/>
        <v>986.83622969877126</v>
      </c>
      <c r="K361" s="459">
        <f t="shared" si="173"/>
        <v>1008.678545426299</v>
      </c>
      <c r="L361" s="459">
        <f t="shared" si="173"/>
        <v>1022.4728857696108</v>
      </c>
      <c r="M361" s="459">
        <f t="shared" si="173"/>
        <v>1029.6067442819456</v>
      </c>
      <c r="N361" s="459">
        <f t="shared" si="173"/>
        <v>1032.0568410597953</v>
      </c>
      <c r="O361" s="327"/>
    </row>
    <row r="362" spans="1:15">
      <c r="B362" s="338" t="str">
        <f t="shared" si="166"/>
        <v>50-54</v>
      </c>
      <c r="C362" s="459">
        <f t="shared" ref="C362:N362" si="174">C325+C269</f>
        <v>405.5662253171493</v>
      </c>
      <c r="D362" s="459">
        <f t="shared" si="174"/>
        <v>429.69102283782473</v>
      </c>
      <c r="E362" s="459">
        <f t="shared" si="174"/>
        <v>457.22057353794179</v>
      </c>
      <c r="F362" s="459">
        <f t="shared" si="174"/>
        <v>489.33165954227076</v>
      </c>
      <c r="G362" s="459">
        <f t="shared" si="174"/>
        <v>527.50501787386224</v>
      </c>
      <c r="H362" s="459">
        <f t="shared" si="174"/>
        <v>566.9984491999179</v>
      </c>
      <c r="I362" s="459">
        <f t="shared" si="174"/>
        <v>604.80784037009312</v>
      </c>
      <c r="J362" s="459">
        <f t="shared" si="174"/>
        <v>639.40319645271177</v>
      </c>
      <c r="K362" s="459">
        <f t="shared" si="174"/>
        <v>668.07252967356726</v>
      </c>
      <c r="L362" s="459">
        <f t="shared" si="174"/>
        <v>691.8289061303567</v>
      </c>
      <c r="M362" s="459">
        <f t="shared" si="174"/>
        <v>710.7285899520873</v>
      </c>
      <c r="N362" s="459">
        <f t="shared" si="174"/>
        <v>725.51150804599786</v>
      </c>
      <c r="O362" s="327"/>
    </row>
    <row r="363" spans="1:15">
      <c r="B363" s="338" t="str">
        <f t="shared" si="166"/>
        <v>55-59</v>
      </c>
      <c r="C363" s="459">
        <f t="shared" ref="C363:N363" si="175">C326+C270</f>
        <v>269.75993429774081</v>
      </c>
      <c r="D363" s="459">
        <f t="shared" si="175"/>
        <v>248.39580601672043</v>
      </c>
      <c r="E363" s="459">
        <f t="shared" si="175"/>
        <v>236.1868929223603</v>
      </c>
      <c r="F363" s="459">
        <f t="shared" si="175"/>
        <v>232.85518255694944</v>
      </c>
      <c r="G363" s="459">
        <f t="shared" si="175"/>
        <v>238.4587154854477</v>
      </c>
      <c r="H363" s="459">
        <f t="shared" si="175"/>
        <v>248.77205141866341</v>
      </c>
      <c r="I363" s="459">
        <f t="shared" si="175"/>
        <v>261.26487045556553</v>
      </c>
      <c r="J363" s="459">
        <f t="shared" si="175"/>
        <v>274.57936667577587</v>
      </c>
      <c r="K363" s="459">
        <f t="shared" si="175"/>
        <v>286.54815130780651</v>
      </c>
      <c r="L363" s="459">
        <f t="shared" si="175"/>
        <v>297.6788871192108</v>
      </c>
      <c r="M363" s="459">
        <f t="shared" si="175"/>
        <v>307.61375055145817</v>
      </c>
      <c r="N363" s="459">
        <f t="shared" si="175"/>
        <v>316.45582083519741</v>
      </c>
      <c r="O363" s="327"/>
    </row>
    <row r="364" spans="1:15">
      <c r="B364" s="338" t="str">
        <f t="shared" si="166"/>
        <v>60-64</v>
      </c>
      <c r="C364" s="459">
        <f t="shared" ref="C364:N364" si="176">C327+C271</f>
        <v>75.370902034458027</v>
      </c>
      <c r="D364" s="459">
        <f t="shared" si="176"/>
        <v>78.338146655922614</v>
      </c>
      <c r="E364" s="459">
        <f t="shared" si="176"/>
        <v>75.766077240800612</v>
      </c>
      <c r="F364" s="459">
        <f t="shared" si="176"/>
        <v>73.116089836858364</v>
      </c>
      <c r="G364" s="459">
        <f t="shared" si="176"/>
        <v>72.885261246157384</v>
      </c>
      <c r="H364" s="459">
        <f t="shared" si="176"/>
        <v>74.03171851308862</v>
      </c>
      <c r="I364" s="459">
        <f t="shared" si="176"/>
        <v>75.94003872279481</v>
      </c>
      <c r="J364" s="459">
        <f t="shared" si="176"/>
        <v>78.334685255401922</v>
      </c>
      <c r="K364" s="459">
        <f t="shared" si="176"/>
        <v>80.382554600750112</v>
      </c>
      <c r="L364" s="459">
        <f t="shared" si="176"/>
        <v>82.535325071164081</v>
      </c>
      <c r="M364" s="459">
        <f t="shared" si="176"/>
        <v>84.660243124476935</v>
      </c>
      <c r="N364" s="459">
        <f t="shared" si="176"/>
        <v>86.806579995921794</v>
      </c>
      <c r="O364" s="327"/>
    </row>
    <row r="365" spans="1:15">
      <c r="B365" s="338" t="str">
        <f t="shared" si="166"/>
        <v>65 plus</v>
      </c>
      <c r="C365" s="459">
        <f t="shared" ref="C365:N365" si="177">C328+C272</f>
        <v>11.573272110843888</v>
      </c>
      <c r="D365" s="459">
        <f t="shared" si="177"/>
        <v>16.464061760523656</v>
      </c>
      <c r="E365" s="459">
        <f t="shared" si="177"/>
        <v>18.81840023904342</v>
      </c>
      <c r="F365" s="459">
        <f t="shared" si="177"/>
        <v>19.715513818721988</v>
      </c>
      <c r="G365" s="459">
        <f t="shared" si="177"/>
        <v>20.240837238692933</v>
      </c>
      <c r="H365" s="459">
        <f t="shared" si="177"/>
        <v>20.631958478986764</v>
      </c>
      <c r="I365" s="459">
        <f t="shared" si="177"/>
        <v>20.99045350182967</v>
      </c>
      <c r="J365" s="459">
        <f t="shared" si="177"/>
        <v>21.380108602527915</v>
      </c>
      <c r="K365" s="459">
        <f t="shared" si="177"/>
        <v>21.667045588277883</v>
      </c>
      <c r="L365" s="459">
        <f t="shared" si="177"/>
        <v>21.973355467091395</v>
      </c>
      <c r="M365" s="459">
        <f t="shared" si="177"/>
        <v>22.304775801410621</v>
      </c>
      <c r="N365" s="459">
        <f t="shared" si="177"/>
        <v>22.688883176021765</v>
      </c>
      <c r="O365" s="327"/>
    </row>
    <row r="366" spans="1:15">
      <c r="B366" s="338" t="str">
        <f t="shared" si="166"/>
        <v>Total</v>
      </c>
      <c r="C366" s="459">
        <f t="shared" ref="C366:N366" si="178">SUM(C356:C365)</f>
        <v>8009.0339371171876</v>
      </c>
      <c r="D366" s="459">
        <f t="shared" si="178"/>
        <v>8015.1660963787872</v>
      </c>
      <c r="E366" s="459">
        <f t="shared" si="178"/>
        <v>7928.3191767750222</v>
      </c>
      <c r="F366" s="459">
        <f t="shared" si="178"/>
        <v>7846.2258289282345</v>
      </c>
      <c r="G366" s="459">
        <f t="shared" si="178"/>
        <v>7856.7919328457283</v>
      </c>
      <c r="H366" s="459">
        <f t="shared" si="178"/>
        <v>7901.0457289486058</v>
      </c>
      <c r="I366" s="459">
        <f t="shared" si="178"/>
        <v>7948.6664066806652</v>
      </c>
      <c r="J366" s="459">
        <f t="shared" si="178"/>
        <v>7991.623805270513</v>
      </c>
      <c r="K366" s="459">
        <f t="shared" si="178"/>
        <v>7988.5359151000621</v>
      </c>
      <c r="L366" s="459">
        <f t="shared" si="178"/>
        <v>7970.5848311979926</v>
      </c>
      <c r="M366" s="459">
        <f t="shared" si="178"/>
        <v>7940.7611425311043</v>
      </c>
      <c r="N366" s="459">
        <f t="shared" si="178"/>
        <v>7911.3802546673714</v>
      </c>
      <c r="O366" s="327"/>
    </row>
    <row r="367" spans="1:15">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5">
      <c r="C368" s="329">
        <f>C350+C366</f>
        <v>16924.886854184693</v>
      </c>
      <c r="D368" s="329">
        <f t="shared" ref="D368:N368" si="180">D350+D366</f>
        <v>17045.013299898535</v>
      </c>
      <c r="E368" s="329">
        <f t="shared" si="180"/>
        <v>16956.087003196979</v>
      </c>
      <c r="F368" s="329">
        <f t="shared" si="180"/>
        <v>16863.039703106366</v>
      </c>
      <c r="G368" s="329">
        <f t="shared" si="180"/>
        <v>16951.559238171314</v>
      </c>
      <c r="H368" s="329">
        <f t="shared" si="180"/>
        <v>17100.221557807636</v>
      </c>
      <c r="I368" s="329">
        <f t="shared" si="180"/>
        <v>17247.144454354897</v>
      </c>
      <c r="J368" s="329">
        <f t="shared" si="180"/>
        <v>17376.861204319455</v>
      </c>
      <c r="K368" s="329">
        <f t="shared" si="180"/>
        <v>17403.765600561375</v>
      </c>
      <c r="L368" s="329">
        <f t="shared" si="180"/>
        <v>17393.955577466586</v>
      </c>
      <c r="M368" s="329">
        <f t="shared" si="180"/>
        <v>17354.566627480825</v>
      </c>
      <c r="N368" s="329">
        <f t="shared" si="180"/>
        <v>17312.191984170175</v>
      </c>
    </row>
    <row r="369" spans="1:14">
      <c r="C369" s="329">
        <f t="shared" ref="C369:N369" si="181">C36</f>
        <v>16924.886854184697</v>
      </c>
      <c r="D369" s="329">
        <f t="shared" si="181"/>
        <v>17045.013299898539</v>
      </c>
      <c r="E369" s="329">
        <f t="shared" si="181"/>
        <v>16956.087003196979</v>
      </c>
      <c r="F369" s="329">
        <f t="shared" si="181"/>
        <v>16863.039703106369</v>
      </c>
      <c r="G369" s="329">
        <f t="shared" si="181"/>
        <v>16951.559238171318</v>
      </c>
      <c r="H369" s="329">
        <f t="shared" si="181"/>
        <v>17100.221557807639</v>
      </c>
      <c r="I369" s="329">
        <f t="shared" si="181"/>
        <v>17247.144454354897</v>
      </c>
      <c r="J369" s="329">
        <f t="shared" si="181"/>
        <v>17376.861204319455</v>
      </c>
      <c r="K369" s="329">
        <f t="shared" si="181"/>
        <v>17403.765600561375</v>
      </c>
      <c r="L369" s="329">
        <f t="shared" si="181"/>
        <v>17393.955577466586</v>
      </c>
      <c r="M369" s="329">
        <f t="shared" si="181"/>
        <v>17354.566627480825</v>
      </c>
      <c r="N369" s="329">
        <f t="shared" si="181"/>
        <v>17312.191984170175</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0000"/>
  </sheetPr>
  <dimension ref="A1:R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1704</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2" t="str">
        <f>Forecast_stock_figures!B33</f>
        <v>Physics</v>
      </c>
      <c r="C15" s="307">
        <f>Forecast_stock_figures!C57</f>
        <v>10265.321856439094</v>
      </c>
      <c r="D15" s="307">
        <f>Forecast_stock_figures!D57</f>
        <v>10725.251800299693</v>
      </c>
      <c r="E15" s="307">
        <f>Forecast_stock_figures!E57</f>
        <v>10795.237162264597</v>
      </c>
      <c r="F15" s="307">
        <f>Forecast_stock_figures!F57</f>
        <v>10936.738865252666</v>
      </c>
      <c r="G15" s="307">
        <f>Forecast_stock_figures!G57</f>
        <v>11065.944998845214</v>
      </c>
      <c r="H15" s="307">
        <f>Forecast_stock_figures!H57</f>
        <v>11162.671456202223</v>
      </c>
      <c r="I15" s="307">
        <f>Forecast_stock_figures!I57</f>
        <v>11276.285763812999</v>
      </c>
      <c r="J15" s="307">
        <f>Forecast_stock_figures!J57</f>
        <v>11413.977518269763</v>
      </c>
      <c r="K15" s="307">
        <f>Forecast_stock_figures!K57</f>
        <v>11499.237254241132</v>
      </c>
      <c r="L15" s="307">
        <f>Forecast_stock_figures!L57</f>
        <v>11533.927145164296</v>
      </c>
      <c r="M15" s="307">
        <f>Forecast_stock_figures!M57</f>
        <v>11589.923896002259</v>
      </c>
      <c r="N15" s="307">
        <f>Forecast_stock_figures!N57</f>
        <v>11631.942741265495</v>
      </c>
    </row>
    <row r="17" spans="1:9" ht="15.75">
      <c r="B17" s="340" t="s">
        <v>149</v>
      </c>
    </row>
    <row r="19" spans="1:9">
      <c r="B19" s="1243" t="str">
        <f>Stock_ages_breakdowns!B73</f>
        <v>Age group</v>
      </c>
      <c r="C19" s="1241" t="str">
        <f>Stock_ages_breakdowns!AK73</f>
        <v>Physics</v>
      </c>
      <c r="D19" s="1248"/>
      <c r="H19" s="325" t="s">
        <v>120</v>
      </c>
    </row>
    <row r="20" spans="1:9">
      <c r="B20" s="1243"/>
      <c r="C20" s="363" t="str">
        <f>Stock_ages_breakdowns!AK74</f>
        <v>Male</v>
      </c>
      <c r="D20" s="363" t="str">
        <f>Stock_ages_breakdowns!AL74</f>
        <v>Female</v>
      </c>
    </row>
    <row r="21" spans="1:9">
      <c r="B21" s="363" t="str">
        <f>Stock_ages_breakdowns!B75</f>
        <v>20-24</v>
      </c>
      <c r="C21" s="331">
        <f>Stock_ages_breakdowns!AK20</f>
        <v>264.79881578836859</v>
      </c>
      <c r="D21" s="331">
        <f>Stock_ages_breakdowns!AL20</f>
        <v>234.4094365777849</v>
      </c>
    </row>
    <row r="22" spans="1:9">
      <c r="B22" s="363" t="str">
        <f>Stock_ages_breakdowns!B76</f>
        <v>25-29</v>
      </c>
      <c r="C22" s="331">
        <f>Stock_ages_breakdowns!AK21</f>
        <v>977.71119308287825</v>
      </c>
      <c r="D22" s="331">
        <f>Stock_ages_breakdowns!AL21</f>
        <v>559.26561301859203</v>
      </c>
    </row>
    <row r="23" spans="1:9">
      <c r="B23" s="363" t="str">
        <f>Stock_ages_breakdowns!B77</f>
        <v>30-34</v>
      </c>
      <c r="C23" s="331">
        <f>Stock_ages_breakdowns!AK22</f>
        <v>1042.5552869963301</v>
      </c>
      <c r="D23" s="331">
        <f>Stock_ages_breakdowns!AL22</f>
        <v>733.09357951527636</v>
      </c>
    </row>
    <row r="24" spans="1:9">
      <c r="B24" s="363" t="str">
        <f>Stock_ages_breakdowns!B78</f>
        <v>35-39</v>
      </c>
      <c r="C24" s="331">
        <f>Stock_ages_breakdowns!AK23</f>
        <v>920.56134443202939</v>
      </c>
      <c r="D24" s="331">
        <f>Stock_ages_breakdowns!AL23</f>
        <v>597.1947945993021</v>
      </c>
    </row>
    <row r="25" spans="1:9">
      <c r="B25" s="363" t="str">
        <f>Stock_ages_breakdowns!B79</f>
        <v>40-44</v>
      </c>
      <c r="C25" s="331">
        <f>Stock_ages_breakdowns!AK24</f>
        <v>890.03047560382208</v>
      </c>
      <c r="D25" s="331">
        <f>Stock_ages_breakdowns!AL24</f>
        <v>554.03747200682324</v>
      </c>
    </row>
    <row r="26" spans="1:9">
      <c r="B26" s="363" t="str">
        <f>Stock_ages_breakdowns!B80</f>
        <v>45-49</v>
      </c>
      <c r="C26" s="331">
        <f>Stock_ages_breakdowns!AK25</f>
        <v>926.52981492192725</v>
      </c>
      <c r="D26" s="331">
        <f>Stock_ages_breakdowns!AL25</f>
        <v>429.75777463387072</v>
      </c>
    </row>
    <row r="27" spans="1:9">
      <c r="B27" s="363" t="str">
        <f>Stock_ages_breakdowns!B81</f>
        <v>50-54</v>
      </c>
      <c r="C27" s="331">
        <f>Stock_ages_breakdowns!AK26</f>
        <v>831.80351232866951</v>
      </c>
      <c r="D27" s="331">
        <f>Stock_ages_breakdowns!AL26</f>
        <v>426.87616918198677</v>
      </c>
    </row>
    <row r="28" spans="1:9">
      <c r="B28" s="363" t="str">
        <f>Stock_ages_breakdowns!B82</f>
        <v>55-59</v>
      </c>
      <c r="C28" s="331">
        <f>Stock_ages_breakdowns!AK27</f>
        <v>416.15484322684466</v>
      </c>
      <c r="D28" s="331">
        <f>Stock_ages_breakdowns!AL27</f>
        <v>182.69298852483485</v>
      </c>
    </row>
    <row r="29" spans="1:9">
      <c r="B29" s="363" t="str">
        <f>Stock_ages_breakdowns!B83</f>
        <v>60-64</v>
      </c>
      <c r="C29" s="331">
        <f>Stock_ages_breakdowns!AK28</f>
        <v>157.89045639886845</v>
      </c>
      <c r="D29" s="331">
        <f>Stock_ages_breakdowns!AL28</f>
        <v>62.408450953374903</v>
      </c>
      <c r="F29" s="325"/>
    </row>
    <row r="30" spans="1:9">
      <c r="B30" s="363" t="str">
        <f>Stock_ages_breakdowns!B84</f>
        <v>65 plus</v>
      </c>
      <c r="C30" s="331">
        <f>Stock_ages_breakdowns!AK29</f>
        <v>52.50659781897496</v>
      </c>
      <c r="D30" s="331">
        <f>Stock_ages_breakdowns!AL29</f>
        <v>5.0432368285347398</v>
      </c>
      <c r="G30" s="326" t="s">
        <v>49</v>
      </c>
      <c r="H30" s="326" t="s">
        <v>50</v>
      </c>
    </row>
    <row r="31" spans="1:9">
      <c r="A31" s="309">
        <f>I31</f>
        <v>0</v>
      </c>
      <c r="B31" s="363" t="str">
        <f>Stock_ages_breakdowns!B85</f>
        <v>Total</v>
      </c>
      <c r="C31" s="331">
        <f>Stock_ages_breakdowns!AK30</f>
        <v>6480.5423405987131</v>
      </c>
      <c r="D31" s="331">
        <f>Stock_ages_breakdowns!AL30</f>
        <v>3784.7795158403806</v>
      </c>
      <c r="E31" s="327">
        <f>SUM(C31:D31)</f>
        <v>10265.321856439094</v>
      </c>
      <c r="G31" s="366">
        <f>C31/$E$31</f>
        <v>0.63130434985179595</v>
      </c>
      <c r="H31" s="366">
        <f>D31/$E$31</f>
        <v>0.36869565014820405</v>
      </c>
      <c r="I31" s="309">
        <f>(G31+H31)-1</f>
        <v>0</v>
      </c>
    </row>
    <row r="33" spans="2:17" ht="15.75">
      <c r="B33" s="340" t="s">
        <v>262</v>
      </c>
      <c r="H33" s="325"/>
    </row>
    <row r="34" spans="2:17">
      <c r="H34" s="325"/>
    </row>
    <row r="35" spans="2:17">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7">
      <c r="B36" s="322" t="str">
        <f>B15</f>
        <v>Physics</v>
      </c>
      <c r="C36" s="307">
        <f>Teacher_need_by_subject!C637</f>
        <v>10725.251800299693</v>
      </c>
      <c r="D36" s="307">
        <f>Teacher_need_by_subject!D637</f>
        <v>10795.237162264597</v>
      </c>
      <c r="E36" s="307">
        <f>Teacher_need_by_subject!E637</f>
        <v>10936.738865252666</v>
      </c>
      <c r="F36" s="307">
        <f>Teacher_need_by_subject!F637</f>
        <v>11065.944998845214</v>
      </c>
      <c r="G36" s="307">
        <f>Teacher_need_by_subject!G637</f>
        <v>11162.671456202223</v>
      </c>
      <c r="H36" s="307">
        <f>Teacher_need_by_subject!H637</f>
        <v>11276.285763812999</v>
      </c>
      <c r="I36" s="307">
        <f>Teacher_need_by_subject!I637</f>
        <v>11413.977518269763</v>
      </c>
      <c r="J36" s="307">
        <f>Teacher_need_by_subject!J637</f>
        <v>11499.237254241132</v>
      </c>
      <c r="K36" s="307">
        <f>Teacher_need_by_subject!K637</f>
        <v>11533.927145164296</v>
      </c>
      <c r="L36" s="307">
        <f>Teacher_need_by_subject!L637</f>
        <v>11589.923896002259</v>
      </c>
      <c r="M36" s="307">
        <f>Teacher_need_by_subject!M637</f>
        <v>11631.942741265495</v>
      </c>
      <c r="N36" s="307">
        <f>Teacher_need_by_subject!N637</f>
        <v>11604.656566877386</v>
      </c>
    </row>
    <row r="37" spans="2:17">
      <c r="H37" s="325"/>
    </row>
    <row r="38" spans="2:17" ht="15.75">
      <c r="B38" s="340" t="s">
        <v>157</v>
      </c>
      <c r="H38" s="325"/>
    </row>
    <row r="39" spans="2:17">
      <c r="H39" s="325"/>
    </row>
    <row r="40" spans="2:17">
      <c r="B40" s="341" t="s">
        <v>49</v>
      </c>
      <c r="H40" s="325"/>
    </row>
    <row r="41" spans="2:17">
      <c r="H41" s="325"/>
    </row>
    <row r="42" spans="2:17">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7">
      <c r="B43" s="363" t="str">
        <f>B21</f>
        <v>20-24</v>
      </c>
      <c r="C43" s="307">
        <f>C21</f>
        <v>264.79881578836859</v>
      </c>
      <c r="D43" s="307">
        <f>C340</f>
        <v>447.46940687834638</v>
      </c>
      <c r="E43" s="307">
        <f t="shared" ref="E43:L43" si="2">D340</f>
        <v>516.55258366321391</v>
      </c>
      <c r="F43" s="307">
        <f t="shared" si="2"/>
        <v>575.43195530379739</v>
      </c>
      <c r="G43" s="307">
        <f t="shared" si="2"/>
        <v>615.14038475807774</v>
      </c>
      <c r="H43" s="307">
        <f t="shared" si="2"/>
        <v>638.27887858264796</v>
      </c>
      <c r="I43" s="307">
        <f t="shared" si="2"/>
        <v>657.60129871689605</v>
      </c>
      <c r="J43" s="307">
        <f t="shared" si="2"/>
        <v>675.9318770231946</v>
      </c>
      <c r="K43" s="307">
        <f t="shared" si="2"/>
        <v>681.69044440773598</v>
      </c>
      <c r="L43" s="307">
        <f t="shared" si="2"/>
        <v>678.24617247871129</v>
      </c>
      <c r="M43" s="307">
        <f>L340</f>
        <v>679.37486754175643</v>
      </c>
      <c r="N43" s="307">
        <f>M340</f>
        <v>678.42707618958639</v>
      </c>
      <c r="O43" s="327"/>
      <c r="P43" s="327"/>
      <c r="Q43" s="327"/>
    </row>
    <row r="44" spans="2:17">
      <c r="B44" s="363" t="str">
        <f t="shared" ref="B44:C53" si="3">B22</f>
        <v>25-29</v>
      </c>
      <c r="C44" s="307">
        <f t="shared" si="3"/>
        <v>977.71119308287825</v>
      </c>
      <c r="D44" s="307">
        <f t="shared" ref="D44:K53" si="4">C341</f>
        <v>1021.866663735527</v>
      </c>
      <c r="E44" s="307">
        <f t="shared" si="4"/>
        <v>1027.9315377061762</v>
      </c>
      <c r="F44" s="307">
        <f t="shared" si="4"/>
        <v>1056.4803757125248</v>
      </c>
      <c r="G44" s="307">
        <f t="shared" si="4"/>
        <v>1086.7154245108525</v>
      </c>
      <c r="H44" s="307">
        <f t="shared" si="4"/>
        <v>1111.2009863162243</v>
      </c>
      <c r="I44" s="307">
        <f t="shared" si="4"/>
        <v>1136.421765130078</v>
      </c>
      <c r="J44" s="307">
        <f t="shared" si="4"/>
        <v>1163.1689130275413</v>
      </c>
      <c r="K44" s="307">
        <f t="shared" si="4"/>
        <v>1178.5358178544259</v>
      </c>
      <c r="L44" s="307">
        <f t="shared" ref="L44:L53" si="5">K341</f>
        <v>1182.9159090864005</v>
      </c>
      <c r="M44" s="307">
        <f t="shared" ref="M44:M53" si="6">L341</f>
        <v>1189.0461748117666</v>
      </c>
      <c r="N44" s="307">
        <f t="shared" ref="N44:N53" si="7">M341</f>
        <v>1191.8545201994309</v>
      </c>
      <c r="O44" s="327"/>
      <c r="P44" s="327"/>
      <c r="Q44" s="327"/>
    </row>
    <row r="45" spans="2:17">
      <c r="B45" s="363" t="str">
        <f t="shared" si="3"/>
        <v>30-34</v>
      </c>
      <c r="C45" s="307">
        <f t="shared" si="3"/>
        <v>1042.5552869963301</v>
      </c>
      <c r="D45" s="307">
        <f t="shared" si="4"/>
        <v>1090.3415736765048</v>
      </c>
      <c r="E45" s="307">
        <f t="shared" si="4"/>
        <v>1105.0425755547142</v>
      </c>
      <c r="F45" s="307">
        <f t="shared" si="4"/>
        <v>1122.9445698518443</v>
      </c>
      <c r="G45" s="307">
        <f t="shared" si="4"/>
        <v>1141.1408372563719</v>
      </c>
      <c r="H45" s="307">
        <f t="shared" si="4"/>
        <v>1158.1172858885375</v>
      </c>
      <c r="I45" s="307">
        <f t="shared" si="4"/>
        <v>1177.0036048942704</v>
      </c>
      <c r="J45" s="307">
        <f t="shared" si="4"/>
        <v>1198.2772872691994</v>
      </c>
      <c r="K45" s="307">
        <f t="shared" si="4"/>
        <v>1215.4998993537392</v>
      </c>
      <c r="L45" s="307">
        <f t="shared" si="5"/>
        <v>1227.3167645875169</v>
      </c>
      <c r="M45" s="307">
        <f t="shared" si="6"/>
        <v>1238.6804431615562</v>
      </c>
      <c r="N45" s="307">
        <f t="shared" si="7"/>
        <v>1247.3554758786026</v>
      </c>
      <c r="O45" s="327"/>
      <c r="P45" s="327"/>
      <c r="Q45" s="327"/>
    </row>
    <row r="46" spans="2:17">
      <c r="B46" s="363" t="str">
        <f t="shared" si="3"/>
        <v>35-39</v>
      </c>
      <c r="C46" s="307">
        <f t="shared" si="3"/>
        <v>920.56134443202939</v>
      </c>
      <c r="D46" s="307">
        <f t="shared" si="4"/>
        <v>972.58765648941642</v>
      </c>
      <c r="E46" s="307">
        <f t="shared" si="4"/>
        <v>999.33235931414254</v>
      </c>
      <c r="F46" s="307">
        <f t="shared" si="4"/>
        <v>1026.0725212516388</v>
      </c>
      <c r="G46" s="307">
        <f t="shared" si="4"/>
        <v>1048.9399387784358</v>
      </c>
      <c r="H46" s="307">
        <f t="shared" si="4"/>
        <v>1067.7418376633138</v>
      </c>
      <c r="I46" s="307">
        <f t="shared" si="4"/>
        <v>1086.0777632051177</v>
      </c>
      <c r="J46" s="307">
        <f t="shared" si="4"/>
        <v>1105.0191709601438</v>
      </c>
      <c r="K46" s="307">
        <f t="shared" si="4"/>
        <v>1120.4901255139748</v>
      </c>
      <c r="L46" s="307">
        <f t="shared" si="5"/>
        <v>1132.4293872160049</v>
      </c>
      <c r="M46" s="307">
        <f t="shared" si="6"/>
        <v>1144.7448988081096</v>
      </c>
      <c r="N46" s="307">
        <f t="shared" si="7"/>
        <v>1155.3423582432129</v>
      </c>
      <c r="O46" s="327"/>
      <c r="P46" s="327"/>
      <c r="Q46" s="327"/>
    </row>
    <row r="47" spans="2:17">
      <c r="B47" s="363" t="str">
        <f t="shared" si="3"/>
        <v>40-44</v>
      </c>
      <c r="C47" s="307">
        <f t="shared" si="3"/>
        <v>890.03047560382208</v>
      </c>
      <c r="D47" s="307">
        <f t="shared" si="4"/>
        <v>915.80416700369153</v>
      </c>
      <c r="E47" s="307">
        <f t="shared" si="4"/>
        <v>926.63500121555774</v>
      </c>
      <c r="F47" s="307">
        <f t="shared" si="4"/>
        <v>943.28328163450442</v>
      </c>
      <c r="G47" s="307">
        <f t="shared" si="4"/>
        <v>960.37016731035976</v>
      </c>
      <c r="H47" s="307">
        <f t="shared" si="4"/>
        <v>975.97743189436551</v>
      </c>
      <c r="I47" s="307">
        <f t="shared" si="4"/>
        <v>992.14117248109312</v>
      </c>
      <c r="J47" s="307">
        <f t="shared" si="4"/>
        <v>1009.1500292553012</v>
      </c>
      <c r="K47" s="307">
        <f t="shared" si="4"/>
        <v>1023.1090882490022</v>
      </c>
      <c r="L47" s="307">
        <f t="shared" si="5"/>
        <v>1033.9789693875159</v>
      </c>
      <c r="M47" s="307">
        <f t="shared" si="6"/>
        <v>1045.3718441561277</v>
      </c>
      <c r="N47" s="307">
        <f t="shared" si="7"/>
        <v>1055.5606038582048</v>
      </c>
      <c r="O47" s="327"/>
      <c r="P47" s="327"/>
      <c r="Q47" s="327"/>
    </row>
    <row r="48" spans="2:17">
      <c r="B48" s="363" t="str">
        <f t="shared" si="3"/>
        <v>45-49</v>
      </c>
      <c r="C48" s="307">
        <f t="shared" si="3"/>
        <v>926.52981492192725</v>
      </c>
      <c r="D48" s="307">
        <f t="shared" si="4"/>
        <v>906.17989505420041</v>
      </c>
      <c r="E48" s="307">
        <f t="shared" si="4"/>
        <v>881.74986166148415</v>
      </c>
      <c r="F48" s="307">
        <f t="shared" si="4"/>
        <v>868.79775003586815</v>
      </c>
      <c r="G48" s="307">
        <f t="shared" si="4"/>
        <v>862.201243655741</v>
      </c>
      <c r="H48" s="307">
        <f t="shared" si="4"/>
        <v>859.45970063763696</v>
      </c>
      <c r="I48" s="307">
        <f t="shared" si="4"/>
        <v>861.17878976234658</v>
      </c>
      <c r="J48" s="307">
        <f t="shared" si="4"/>
        <v>866.66845727707914</v>
      </c>
      <c r="K48" s="307">
        <f t="shared" si="4"/>
        <v>872.04969741827313</v>
      </c>
      <c r="L48" s="307">
        <f t="shared" si="5"/>
        <v>876.64991815596932</v>
      </c>
      <c r="M48" s="307">
        <f t="shared" si="6"/>
        <v>882.87759896691205</v>
      </c>
      <c r="N48" s="307">
        <f t="shared" si="7"/>
        <v>889.06629129450653</v>
      </c>
      <c r="O48" s="327"/>
      <c r="P48" s="327"/>
      <c r="Q48" s="327"/>
    </row>
    <row r="49" spans="1:17">
      <c r="B49" s="363" t="str">
        <f t="shared" si="3"/>
        <v>50-54</v>
      </c>
      <c r="C49" s="307">
        <f t="shared" si="3"/>
        <v>831.80351232866951</v>
      </c>
      <c r="D49" s="307">
        <f t="shared" si="4"/>
        <v>806.12506692638135</v>
      </c>
      <c r="E49" s="307">
        <f t="shared" si="4"/>
        <v>773.78423733376701</v>
      </c>
      <c r="F49" s="307">
        <f t="shared" si="4"/>
        <v>748.54621143919303</v>
      </c>
      <c r="G49" s="307">
        <f t="shared" si="4"/>
        <v>728.14855811941993</v>
      </c>
      <c r="H49" s="307">
        <f t="shared" si="4"/>
        <v>711.69399497200857</v>
      </c>
      <c r="I49" s="307">
        <f t="shared" si="4"/>
        <v>700.13357702257179</v>
      </c>
      <c r="J49" s="307">
        <f t="shared" si="4"/>
        <v>693.1518550021957</v>
      </c>
      <c r="K49" s="307">
        <f t="shared" si="4"/>
        <v>687.89390101385584</v>
      </c>
      <c r="L49" s="307">
        <f t="shared" si="5"/>
        <v>683.73717671850898</v>
      </c>
      <c r="M49" s="307">
        <f t="shared" si="6"/>
        <v>682.24527602198475</v>
      </c>
      <c r="N49" s="307">
        <f t="shared" si="7"/>
        <v>681.97202487092</v>
      </c>
      <c r="O49" s="327"/>
      <c r="P49" s="327"/>
      <c r="Q49" s="327"/>
    </row>
    <row r="50" spans="1:17">
      <c r="B50" s="363" t="str">
        <f t="shared" si="3"/>
        <v>55-59</v>
      </c>
      <c r="C50" s="307">
        <f t="shared" si="3"/>
        <v>416.15484322684466</v>
      </c>
      <c r="D50" s="307">
        <f t="shared" si="4"/>
        <v>404.62468130917875</v>
      </c>
      <c r="E50" s="307">
        <f t="shared" si="4"/>
        <v>386.84125996585215</v>
      </c>
      <c r="F50" s="307">
        <f t="shared" si="4"/>
        <v>372.90774050203038</v>
      </c>
      <c r="G50" s="307">
        <f t="shared" si="4"/>
        <v>360.78249488410631</v>
      </c>
      <c r="H50" s="307">
        <f t="shared" si="4"/>
        <v>350.02118534443008</v>
      </c>
      <c r="I50" s="307">
        <f t="shared" si="4"/>
        <v>341.61143121674729</v>
      </c>
      <c r="J50" s="307">
        <f t="shared" si="4"/>
        <v>335.53284659893933</v>
      </c>
      <c r="K50" s="307">
        <f t="shared" si="4"/>
        <v>330.01915855963898</v>
      </c>
      <c r="L50" s="307">
        <f t="shared" si="5"/>
        <v>325.02520691673453</v>
      </c>
      <c r="M50" s="307">
        <f t="shared" si="6"/>
        <v>321.87925286021459</v>
      </c>
      <c r="N50" s="307">
        <f t="shared" si="7"/>
        <v>319.56948947666132</v>
      </c>
      <c r="O50" s="327"/>
      <c r="P50" s="327"/>
      <c r="Q50" s="327"/>
    </row>
    <row r="51" spans="1:17">
      <c r="B51" s="363" t="str">
        <f t="shared" si="3"/>
        <v>60-64</v>
      </c>
      <c r="C51" s="307">
        <f t="shared" si="3"/>
        <v>157.89045639886845</v>
      </c>
      <c r="D51" s="307">
        <f t="shared" si="4"/>
        <v>143.07829410373782</v>
      </c>
      <c r="E51" s="307">
        <f t="shared" si="4"/>
        <v>131.04110894619021</v>
      </c>
      <c r="F51" s="307">
        <f t="shared" si="4"/>
        <v>123.77933570154211</v>
      </c>
      <c r="G51" s="307">
        <f t="shared" si="4"/>
        <v>118.539861161262</v>
      </c>
      <c r="H51" s="307">
        <f t="shared" si="4"/>
        <v>114.28600084607498</v>
      </c>
      <c r="I51" s="307">
        <f t="shared" si="4"/>
        <v>111.14086349173286</v>
      </c>
      <c r="J51" s="307">
        <f t="shared" si="4"/>
        <v>108.91672395933617</v>
      </c>
      <c r="K51" s="307">
        <f t="shared" si="4"/>
        <v>106.68457825157509</v>
      </c>
      <c r="L51" s="307">
        <f t="shared" si="5"/>
        <v>104.48142922014642</v>
      </c>
      <c r="M51" s="307">
        <f t="shared" si="6"/>
        <v>103.02838564309999</v>
      </c>
      <c r="N51" s="307">
        <f t="shared" si="7"/>
        <v>101.83899913057869</v>
      </c>
      <c r="O51" s="327"/>
      <c r="P51" s="327"/>
      <c r="Q51" s="327"/>
    </row>
    <row r="52" spans="1:17">
      <c r="B52" s="363" t="str">
        <f t="shared" si="3"/>
        <v>65 plus</v>
      </c>
      <c r="C52" s="307">
        <f t="shared" si="3"/>
        <v>52.50659781897496</v>
      </c>
      <c r="D52" s="307">
        <f t="shared" si="4"/>
        <v>49.675393353026067</v>
      </c>
      <c r="E52" s="307">
        <f t="shared" si="4"/>
        <v>45.663403206056401</v>
      </c>
      <c r="F52" s="307">
        <f t="shared" si="4"/>
        <v>42.363135207893421</v>
      </c>
      <c r="G52" s="307">
        <f t="shared" si="4"/>
        <v>39.777261545634296</v>
      </c>
      <c r="H52" s="307">
        <f t="shared" si="4"/>
        <v>37.744685186644531</v>
      </c>
      <c r="I52" s="307">
        <f t="shared" si="4"/>
        <v>36.235866471603039</v>
      </c>
      <c r="J52" s="307">
        <f t="shared" si="4"/>
        <v>35.156185111041133</v>
      </c>
      <c r="K52" s="307">
        <f t="shared" si="4"/>
        <v>34.224419798294676</v>
      </c>
      <c r="L52" s="307">
        <f t="shared" si="5"/>
        <v>33.363041885584188</v>
      </c>
      <c r="M52" s="307">
        <f t="shared" si="6"/>
        <v>32.71179815398775</v>
      </c>
      <c r="N52" s="307">
        <f t="shared" si="7"/>
        <v>32.174810182672871</v>
      </c>
      <c r="O52" s="327"/>
      <c r="P52" s="327"/>
      <c r="Q52" s="327"/>
    </row>
    <row r="53" spans="1:17">
      <c r="B53" s="363" t="str">
        <f t="shared" si="3"/>
        <v>Total</v>
      </c>
      <c r="C53" s="307">
        <f t="shared" si="3"/>
        <v>6480.5423405987131</v>
      </c>
      <c r="D53" s="307">
        <f t="shared" si="4"/>
        <v>6757.7527985300103</v>
      </c>
      <c r="E53" s="307">
        <f t="shared" si="4"/>
        <v>6794.5739285671552</v>
      </c>
      <c r="F53" s="307">
        <f t="shared" si="4"/>
        <v>6880.606876640838</v>
      </c>
      <c r="G53" s="307">
        <f t="shared" si="4"/>
        <v>6961.7561719802607</v>
      </c>
      <c r="H53" s="307">
        <f t="shared" si="4"/>
        <v>7024.5219873318838</v>
      </c>
      <c r="I53" s="307">
        <f t="shared" si="4"/>
        <v>7099.5461323924555</v>
      </c>
      <c r="J53" s="307">
        <f t="shared" si="4"/>
        <v>7190.9733454839716</v>
      </c>
      <c r="K53" s="307">
        <f t="shared" si="4"/>
        <v>7250.1971304205154</v>
      </c>
      <c r="L53" s="307">
        <f t="shared" si="5"/>
        <v>7278.1439756530935</v>
      </c>
      <c r="M53" s="307">
        <f t="shared" si="6"/>
        <v>7319.9605401255158</v>
      </c>
      <c r="N53" s="307">
        <f t="shared" si="7"/>
        <v>7353.1616493243764</v>
      </c>
      <c r="O53" s="327"/>
      <c r="P53" s="327"/>
      <c r="Q53" s="327"/>
    </row>
    <row r="54" spans="1:17">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7">
      <c r="B56" s="341" t="s">
        <v>50</v>
      </c>
      <c r="H56" s="325"/>
    </row>
    <row r="57" spans="1:17">
      <c r="H57" s="325"/>
    </row>
    <row r="58" spans="1:17">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7">
      <c r="B59" s="338" t="str">
        <f t="shared" si="9"/>
        <v>20-24</v>
      </c>
      <c r="C59" s="307">
        <f t="shared" ref="C59:C69" si="11">D21</f>
        <v>234.4094365777849</v>
      </c>
      <c r="D59" s="307">
        <f>C356</f>
        <v>319.48319298425702</v>
      </c>
      <c r="E59" s="307">
        <f t="shared" ref="E59:L59" si="12">D356</f>
        <v>346.22936837613952</v>
      </c>
      <c r="F59" s="307">
        <f t="shared" si="12"/>
        <v>371.66863750140806</v>
      </c>
      <c r="G59" s="307">
        <f t="shared" si="12"/>
        <v>389.08624873001861</v>
      </c>
      <c r="H59" s="307">
        <f t="shared" si="12"/>
        <v>398.88946869670525</v>
      </c>
      <c r="I59" s="307">
        <f t="shared" si="12"/>
        <v>407.76957224784837</v>
      </c>
      <c r="J59" s="307">
        <f t="shared" si="12"/>
        <v>416.95321329305904</v>
      </c>
      <c r="K59" s="307">
        <f t="shared" si="12"/>
        <v>419.40491109384891</v>
      </c>
      <c r="L59" s="307">
        <f t="shared" si="12"/>
        <v>416.80329809161333</v>
      </c>
      <c r="M59" s="307">
        <f>L356</f>
        <v>417.01968953124396</v>
      </c>
      <c r="N59" s="307">
        <f>M356</f>
        <v>416.16534766301845</v>
      </c>
    </row>
    <row r="60" spans="1:17">
      <c r="B60" s="338" t="str">
        <f t="shared" si="9"/>
        <v>25-29</v>
      </c>
      <c r="C60" s="307">
        <f t="shared" si="11"/>
        <v>559.26561301859203</v>
      </c>
      <c r="D60" s="307">
        <f t="shared" ref="D60:K69" si="13">C357</f>
        <v>603.22608704107915</v>
      </c>
      <c r="E60" s="307">
        <f t="shared" si="13"/>
        <v>615.96742293335956</v>
      </c>
      <c r="F60" s="307">
        <f t="shared" si="13"/>
        <v>636.8089471536191</v>
      </c>
      <c r="G60" s="307">
        <f t="shared" si="13"/>
        <v>655.87408578441068</v>
      </c>
      <c r="H60" s="307">
        <f t="shared" si="13"/>
        <v>670.16977108470792</v>
      </c>
      <c r="I60" s="307">
        <f t="shared" si="13"/>
        <v>684.24752859864759</v>
      </c>
      <c r="J60" s="307">
        <f t="shared" si="13"/>
        <v>698.98662262500557</v>
      </c>
      <c r="K60" s="307">
        <f t="shared" si="13"/>
        <v>707.07335058901492</v>
      </c>
      <c r="L60" s="307">
        <f t="shared" ref="L60:L69" si="14">K357</f>
        <v>708.84081287757317</v>
      </c>
      <c r="M60" s="307">
        <f t="shared" ref="M60:M69" si="15">L357</f>
        <v>711.75061486316656</v>
      </c>
      <c r="N60" s="307">
        <f t="shared" ref="N60:N69" si="16">M357</f>
        <v>712.83440990676695</v>
      </c>
    </row>
    <row r="61" spans="1:17">
      <c r="B61" s="338" t="str">
        <f t="shared" si="9"/>
        <v>30-34</v>
      </c>
      <c r="C61" s="307">
        <f t="shared" si="11"/>
        <v>733.09357951527636</v>
      </c>
      <c r="D61" s="307">
        <f t="shared" si="13"/>
        <v>712.82612404716087</v>
      </c>
      <c r="E61" s="307">
        <f t="shared" si="13"/>
        <v>689.21698653200406</v>
      </c>
      <c r="F61" s="307">
        <f t="shared" si="13"/>
        <v>677.83702286490791</v>
      </c>
      <c r="G61" s="307">
        <f t="shared" si="13"/>
        <v>673.1493835134346</v>
      </c>
      <c r="H61" s="307">
        <f t="shared" si="13"/>
        <v>671.97170138807178</v>
      </c>
      <c r="I61" s="307">
        <f t="shared" si="13"/>
        <v>674.74082205321417</v>
      </c>
      <c r="J61" s="307">
        <f t="shared" si="13"/>
        <v>680.8212132230135</v>
      </c>
      <c r="K61" s="307">
        <f t="shared" si="13"/>
        <v>685.85881317976168</v>
      </c>
      <c r="L61" s="307">
        <f t="shared" si="14"/>
        <v>688.76192229166918</v>
      </c>
      <c r="M61" s="307">
        <f t="shared" si="15"/>
        <v>692.23533044804071</v>
      </c>
      <c r="N61" s="307">
        <f t="shared" si="16"/>
        <v>694.76610941065985</v>
      </c>
    </row>
    <row r="62" spans="1:17">
      <c r="B62" s="338" t="str">
        <f t="shared" si="9"/>
        <v>35-39</v>
      </c>
      <c r="C62" s="307">
        <f t="shared" si="11"/>
        <v>597.1947945993021</v>
      </c>
      <c r="D62" s="307">
        <f t="shared" si="13"/>
        <v>632.17819730770543</v>
      </c>
      <c r="E62" s="307">
        <f t="shared" si="13"/>
        <v>642.16772152763201</v>
      </c>
      <c r="F62" s="307">
        <f t="shared" si="13"/>
        <v>647.6345991921329</v>
      </c>
      <c r="G62" s="307">
        <f t="shared" si="13"/>
        <v>649.41533077275824</v>
      </c>
      <c r="H62" s="307">
        <f t="shared" si="13"/>
        <v>648.98181136274593</v>
      </c>
      <c r="I62" s="307">
        <f t="shared" si="13"/>
        <v>649.18194056626805</v>
      </c>
      <c r="J62" s="307">
        <f t="shared" si="13"/>
        <v>650.92503448506966</v>
      </c>
      <c r="K62" s="307">
        <f t="shared" si="13"/>
        <v>651.8685180922173</v>
      </c>
      <c r="L62" s="307">
        <f t="shared" si="14"/>
        <v>651.90775563836553</v>
      </c>
      <c r="M62" s="307">
        <f t="shared" si="15"/>
        <v>653.21981903089375</v>
      </c>
      <c r="N62" s="307">
        <f t="shared" si="16"/>
        <v>654.45798357444971</v>
      </c>
    </row>
    <row r="63" spans="1:17">
      <c r="B63" s="338" t="str">
        <f t="shared" si="9"/>
        <v>40-44</v>
      </c>
      <c r="C63" s="307">
        <f t="shared" si="11"/>
        <v>554.03747200682324</v>
      </c>
      <c r="D63" s="307">
        <f t="shared" si="13"/>
        <v>568.1178372276147</v>
      </c>
      <c r="E63" s="307">
        <f t="shared" si="13"/>
        <v>574.47170655020057</v>
      </c>
      <c r="F63" s="307">
        <f t="shared" si="13"/>
        <v>583.13133525018873</v>
      </c>
      <c r="G63" s="307">
        <f t="shared" si="13"/>
        <v>590.39331021876615</v>
      </c>
      <c r="H63" s="307">
        <f t="shared" si="13"/>
        <v>595.31036492506348</v>
      </c>
      <c r="I63" s="307">
        <f t="shared" si="13"/>
        <v>599.49653631042816</v>
      </c>
      <c r="J63" s="307">
        <f t="shared" si="13"/>
        <v>603.56345172249223</v>
      </c>
      <c r="K63" s="307">
        <f t="shared" si="13"/>
        <v>605.61392906976744</v>
      </c>
      <c r="L63" s="307">
        <f t="shared" si="14"/>
        <v>605.92336088239506</v>
      </c>
      <c r="M63" s="307">
        <f t="shared" si="15"/>
        <v>606.80882935255931</v>
      </c>
      <c r="N63" s="307">
        <f t="shared" si="16"/>
        <v>607.3831334697644</v>
      </c>
    </row>
    <row r="64" spans="1:17">
      <c r="B64" s="338" t="str">
        <f t="shared" si="9"/>
        <v>45-49</v>
      </c>
      <c r="C64" s="307">
        <f t="shared" si="11"/>
        <v>429.75777463387072</v>
      </c>
      <c r="D64" s="307">
        <f t="shared" si="13"/>
        <v>454.56778338163895</v>
      </c>
      <c r="E64" s="307">
        <f t="shared" si="13"/>
        <v>466.92919778489431</v>
      </c>
      <c r="F64" s="307">
        <f t="shared" si="13"/>
        <v>478.81886726992468</v>
      </c>
      <c r="G64" s="307">
        <f t="shared" si="13"/>
        <v>488.98328773494796</v>
      </c>
      <c r="H64" s="307">
        <f t="shared" si="13"/>
        <v>497.12677822813862</v>
      </c>
      <c r="I64" s="307">
        <f t="shared" si="13"/>
        <v>504.48455871157989</v>
      </c>
      <c r="J64" s="307">
        <f t="shared" si="13"/>
        <v>511.37576696242883</v>
      </c>
      <c r="K64" s="307">
        <f t="shared" si="13"/>
        <v>516.14332415340527</v>
      </c>
      <c r="L64" s="307">
        <f t="shared" si="14"/>
        <v>518.90599201807004</v>
      </c>
      <c r="M64" s="307">
        <f t="shared" si="15"/>
        <v>521.49840886164498</v>
      </c>
      <c r="N64" s="307">
        <f t="shared" si="16"/>
        <v>523.29928510295895</v>
      </c>
    </row>
    <row r="65" spans="1:18">
      <c r="B65" s="338" t="str">
        <f t="shared" si="9"/>
        <v>50-54</v>
      </c>
      <c r="C65" s="307">
        <f t="shared" si="11"/>
        <v>426.87616918198677</v>
      </c>
      <c r="D65" s="307">
        <f t="shared" si="13"/>
        <v>411.55877984900752</v>
      </c>
      <c r="E65" s="307">
        <f t="shared" si="13"/>
        <v>398.9289438133502</v>
      </c>
      <c r="F65" s="307">
        <f t="shared" si="13"/>
        <v>393.33627805647359</v>
      </c>
      <c r="G65" s="307">
        <f t="shared" si="13"/>
        <v>391.38240025169404</v>
      </c>
      <c r="H65" s="307">
        <f t="shared" si="13"/>
        <v>391.35686674674844</v>
      </c>
      <c r="I65" s="307">
        <f t="shared" si="13"/>
        <v>393.16962026341594</v>
      </c>
      <c r="J65" s="307">
        <f t="shared" si="13"/>
        <v>396.33490264583008</v>
      </c>
      <c r="K65" s="307">
        <f t="shared" si="13"/>
        <v>399.09735906878558</v>
      </c>
      <c r="L65" s="307">
        <f t="shared" si="14"/>
        <v>401.12883571152821</v>
      </c>
      <c r="M65" s="307">
        <f t="shared" si="15"/>
        <v>403.45733574915414</v>
      </c>
      <c r="N65" s="307">
        <f t="shared" si="16"/>
        <v>405.40311611354332</v>
      </c>
    </row>
    <row r="66" spans="1:18">
      <c r="B66" s="338" t="str">
        <f t="shared" si="9"/>
        <v>55-59</v>
      </c>
      <c r="C66" s="307">
        <f t="shared" si="11"/>
        <v>182.69298852483485</v>
      </c>
      <c r="D66" s="307">
        <f t="shared" si="13"/>
        <v>194.95693424435973</v>
      </c>
      <c r="E66" s="307">
        <f t="shared" si="13"/>
        <v>195.91454290555976</v>
      </c>
      <c r="F66" s="307">
        <f t="shared" si="13"/>
        <v>195.42669109056345</v>
      </c>
      <c r="G66" s="307">
        <f t="shared" si="13"/>
        <v>194.23164684302552</v>
      </c>
      <c r="H66" s="307">
        <f t="shared" si="13"/>
        <v>192.9077820451771</v>
      </c>
      <c r="I66" s="307">
        <f t="shared" si="13"/>
        <v>192.35542040209774</v>
      </c>
      <c r="J66" s="307">
        <f t="shared" si="13"/>
        <v>192.66903820440274</v>
      </c>
      <c r="K66" s="307">
        <f t="shared" si="13"/>
        <v>192.83521831973528</v>
      </c>
      <c r="L66" s="307">
        <f t="shared" si="14"/>
        <v>192.80878808797274</v>
      </c>
      <c r="M66" s="307">
        <f t="shared" si="15"/>
        <v>193.35812520037521</v>
      </c>
      <c r="N66" s="307">
        <f t="shared" si="16"/>
        <v>193.91665131965576</v>
      </c>
    </row>
    <row r="67" spans="1:18">
      <c r="B67" s="338" t="str">
        <f t="shared" si="9"/>
        <v>60-64</v>
      </c>
      <c r="C67" s="307">
        <f t="shared" si="11"/>
        <v>62.408450953374903</v>
      </c>
      <c r="D67" s="307">
        <f t="shared" si="13"/>
        <v>59.418559660045432</v>
      </c>
      <c r="E67" s="307">
        <f t="shared" si="13"/>
        <v>57.420558135937512</v>
      </c>
      <c r="F67" s="307">
        <f t="shared" si="13"/>
        <v>57.023547715639168</v>
      </c>
      <c r="G67" s="307">
        <f t="shared" si="13"/>
        <v>56.758714799806192</v>
      </c>
      <c r="H67" s="307">
        <f t="shared" si="13"/>
        <v>56.350182814204885</v>
      </c>
      <c r="I67" s="307">
        <f t="shared" si="13"/>
        <v>56.133453253526767</v>
      </c>
      <c r="J67" s="307">
        <f t="shared" si="13"/>
        <v>56.152826722844459</v>
      </c>
      <c r="K67" s="307">
        <f t="shared" si="13"/>
        <v>55.951507034944697</v>
      </c>
      <c r="L67" s="307">
        <f t="shared" si="14"/>
        <v>55.610771190335107</v>
      </c>
      <c r="M67" s="307">
        <f t="shared" si="15"/>
        <v>55.576763703501534</v>
      </c>
      <c r="N67" s="307">
        <f t="shared" si="16"/>
        <v>55.562202277319003</v>
      </c>
    </row>
    <row r="68" spans="1:18">
      <c r="B68" s="338" t="str">
        <f t="shared" si="9"/>
        <v>65 plus</v>
      </c>
      <c r="C68" s="307">
        <f t="shared" si="11"/>
        <v>5.0432368285347398</v>
      </c>
      <c r="D68" s="307">
        <f t="shared" si="13"/>
        <v>11.165506026813905</v>
      </c>
      <c r="E68" s="307">
        <f t="shared" si="13"/>
        <v>13.416785138365146</v>
      </c>
      <c r="F68" s="307">
        <f t="shared" si="13"/>
        <v>14.44606251697137</v>
      </c>
      <c r="G68" s="307">
        <f t="shared" si="13"/>
        <v>14.914418216091294</v>
      </c>
      <c r="H68" s="307">
        <f t="shared" si="13"/>
        <v>15.084741578775189</v>
      </c>
      <c r="I68" s="307">
        <f t="shared" si="13"/>
        <v>15.160179013516144</v>
      </c>
      <c r="J68" s="307">
        <f t="shared" si="13"/>
        <v>15.222102901645618</v>
      </c>
      <c r="K68" s="307">
        <f t="shared" si="13"/>
        <v>15.193193219135667</v>
      </c>
      <c r="L68" s="307">
        <f t="shared" si="14"/>
        <v>15.091632721681403</v>
      </c>
      <c r="M68" s="307">
        <f t="shared" si="15"/>
        <v>15.038439136164438</v>
      </c>
      <c r="N68" s="307">
        <f t="shared" si="16"/>
        <v>14.992853102982476</v>
      </c>
    </row>
    <row r="69" spans="1:18">
      <c r="B69" s="338" t="str">
        <f t="shared" si="9"/>
        <v>Total</v>
      </c>
      <c r="C69" s="307">
        <f t="shared" si="11"/>
        <v>3784.7795158403806</v>
      </c>
      <c r="D69" s="307">
        <f t="shared" si="13"/>
        <v>3967.4990017696828</v>
      </c>
      <c r="E69" s="307">
        <f t="shared" si="13"/>
        <v>4000.6632336974421</v>
      </c>
      <c r="F69" s="307">
        <f t="shared" si="13"/>
        <v>4056.1319886118295</v>
      </c>
      <c r="G69" s="307">
        <f t="shared" si="13"/>
        <v>4104.1888268649536</v>
      </c>
      <c r="H69" s="307">
        <f t="shared" si="13"/>
        <v>4138.1494688703388</v>
      </c>
      <c r="I69" s="307">
        <f t="shared" si="13"/>
        <v>4176.7396314205425</v>
      </c>
      <c r="J69" s="307">
        <f t="shared" si="13"/>
        <v>4223.0041727857906</v>
      </c>
      <c r="K69" s="307">
        <f t="shared" si="13"/>
        <v>4249.0401238206159</v>
      </c>
      <c r="L69" s="307">
        <f t="shared" si="14"/>
        <v>4255.7831695112036</v>
      </c>
      <c r="M69" s="307">
        <f t="shared" si="15"/>
        <v>4269.9633558767446</v>
      </c>
      <c r="N69" s="307">
        <f t="shared" si="16"/>
        <v>4278.7810919411186</v>
      </c>
    </row>
    <row r="70" spans="1:18">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8" ht="15.75">
      <c r="B72" s="340" t="s">
        <v>150</v>
      </c>
      <c r="H72" s="325"/>
    </row>
    <row r="73" spans="1:18">
      <c r="H73" s="325"/>
    </row>
    <row r="74" spans="1:18">
      <c r="B74" s="341" t="s">
        <v>49</v>
      </c>
      <c r="C74" s="262" t="s">
        <v>453</v>
      </c>
      <c r="H74" s="325"/>
    </row>
    <row r="75" spans="1:18">
      <c r="H75" s="325"/>
    </row>
    <row r="76" spans="1:18">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8">
      <c r="B77" s="338" t="str">
        <f t="shared" si="18"/>
        <v>20-24</v>
      </c>
      <c r="C77" s="459">
        <f>C43-(0.2*C43)</f>
        <v>211.83905263069488</v>
      </c>
      <c r="D77" s="459">
        <f>D43-(0.2*D43)</f>
        <v>357.9755255026771</v>
      </c>
      <c r="E77" s="459">
        <f t="shared" ref="E77:N77" si="20">E43-(0.2*E43)</f>
        <v>413.24206693057113</v>
      </c>
      <c r="F77" s="459">
        <f t="shared" si="20"/>
        <v>460.34556424303793</v>
      </c>
      <c r="G77" s="459">
        <f t="shared" si="20"/>
        <v>492.11230780646218</v>
      </c>
      <c r="H77" s="459">
        <f t="shared" si="20"/>
        <v>510.62310286611836</v>
      </c>
      <c r="I77" s="459">
        <f t="shared" si="20"/>
        <v>526.0810389735168</v>
      </c>
      <c r="J77" s="459">
        <f t="shared" si="20"/>
        <v>540.74550161855564</v>
      </c>
      <c r="K77" s="459">
        <f t="shared" si="20"/>
        <v>545.35235552618883</v>
      </c>
      <c r="L77" s="459">
        <f t="shared" si="20"/>
        <v>542.59693798296905</v>
      </c>
      <c r="M77" s="459">
        <f t="shared" si="20"/>
        <v>543.4998940334051</v>
      </c>
      <c r="N77" s="459">
        <f t="shared" si="20"/>
        <v>542.74166095166913</v>
      </c>
      <c r="O77" s="327"/>
      <c r="P77" s="327"/>
      <c r="Q77" s="327"/>
      <c r="R77" s="327"/>
    </row>
    <row r="78" spans="1:18">
      <c r="B78" s="338" t="str">
        <f t="shared" si="18"/>
        <v>25-29</v>
      </c>
      <c r="C78" s="459">
        <f t="shared" ref="C78:C85" si="21">C44+(0.2*C43)-(0.2*C44)</f>
        <v>835.12871762397629</v>
      </c>
      <c r="D78" s="459">
        <f t="shared" ref="D78:N78" si="22">D44+(0.2*D43)-(0.2*D44)</f>
        <v>906.98721236409074</v>
      </c>
      <c r="E78" s="459">
        <f t="shared" si="22"/>
        <v>925.65574689758375</v>
      </c>
      <c r="F78" s="459">
        <f t="shared" si="22"/>
        <v>960.27069163077942</v>
      </c>
      <c r="G78" s="459">
        <f t="shared" si="22"/>
        <v>992.40041656029746</v>
      </c>
      <c r="H78" s="459">
        <f t="shared" si="22"/>
        <v>1016.6165647695091</v>
      </c>
      <c r="I78" s="459">
        <f t="shared" si="22"/>
        <v>1040.6576718474416</v>
      </c>
      <c r="J78" s="459">
        <f t="shared" si="22"/>
        <v>1065.721505826672</v>
      </c>
      <c r="K78" s="459">
        <f t="shared" si="22"/>
        <v>1079.1667431650881</v>
      </c>
      <c r="L78" s="459">
        <f t="shared" si="22"/>
        <v>1081.9819617648627</v>
      </c>
      <c r="M78" s="459">
        <f t="shared" si="22"/>
        <v>1087.1119133577645</v>
      </c>
      <c r="N78" s="459">
        <f t="shared" si="22"/>
        <v>1089.169031397462</v>
      </c>
      <c r="O78" s="327"/>
      <c r="P78" s="327"/>
      <c r="Q78" s="327"/>
      <c r="R78" s="327"/>
    </row>
    <row r="79" spans="1:18">
      <c r="B79" s="338" t="str">
        <f t="shared" si="18"/>
        <v>30-34</v>
      </c>
      <c r="C79" s="459">
        <f t="shared" si="21"/>
        <v>1029.5864682136398</v>
      </c>
      <c r="D79" s="459">
        <f t="shared" ref="D79:N79" si="23">D45+(0.2*D44)-(0.2*D45)</f>
        <v>1076.6465916883094</v>
      </c>
      <c r="E79" s="459">
        <f t="shared" si="23"/>
        <v>1089.6203679850066</v>
      </c>
      <c r="F79" s="459">
        <f t="shared" si="23"/>
        <v>1109.6517310239806</v>
      </c>
      <c r="G79" s="459">
        <f t="shared" si="23"/>
        <v>1130.2557547072681</v>
      </c>
      <c r="H79" s="459">
        <f t="shared" si="23"/>
        <v>1148.7340259740749</v>
      </c>
      <c r="I79" s="459">
        <f t="shared" si="23"/>
        <v>1168.8872369414321</v>
      </c>
      <c r="J79" s="459">
        <f t="shared" si="23"/>
        <v>1191.2556124208677</v>
      </c>
      <c r="K79" s="459">
        <f t="shared" si="23"/>
        <v>1208.1070830538767</v>
      </c>
      <c r="L79" s="459">
        <f t="shared" si="23"/>
        <v>1218.4365934872935</v>
      </c>
      <c r="M79" s="459">
        <f t="shared" si="23"/>
        <v>1228.7535894915982</v>
      </c>
      <c r="N79" s="459">
        <f t="shared" si="23"/>
        <v>1236.2552847427683</v>
      </c>
      <c r="O79" s="327"/>
      <c r="P79" s="327"/>
      <c r="Q79" s="327"/>
      <c r="R79" s="327"/>
    </row>
    <row r="80" spans="1:18">
      <c r="B80" s="338" t="str">
        <f t="shared" si="18"/>
        <v>35-39</v>
      </c>
      <c r="C80" s="459">
        <f t="shared" si="21"/>
        <v>944.96013294488944</v>
      </c>
      <c r="D80" s="459">
        <f t="shared" ref="D80:N80" si="24">D46+(0.2*D45)-(0.2*D46)</f>
        <v>996.13843992683405</v>
      </c>
      <c r="E80" s="459">
        <f t="shared" si="24"/>
        <v>1020.4744025622567</v>
      </c>
      <c r="F80" s="459">
        <f t="shared" si="24"/>
        <v>1045.4469309716799</v>
      </c>
      <c r="G80" s="459">
        <f t="shared" si="24"/>
        <v>1067.380118474023</v>
      </c>
      <c r="H80" s="459">
        <f t="shared" si="24"/>
        <v>1085.8169273083586</v>
      </c>
      <c r="I80" s="459">
        <f t="shared" si="24"/>
        <v>1104.2629315429483</v>
      </c>
      <c r="J80" s="459">
        <f t="shared" si="24"/>
        <v>1123.670794221955</v>
      </c>
      <c r="K80" s="459">
        <f t="shared" si="24"/>
        <v>1139.4920802819277</v>
      </c>
      <c r="L80" s="459">
        <f t="shared" si="24"/>
        <v>1151.4068626903074</v>
      </c>
      <c r="M80" s="459">
        <f t="shared" si="24"/>
        <v>1163.5320076787989</v>
      </c>
      <c r="N80" s="459">
        <f t="shared" si="24"/>
        <v>1173.7449817702909</v>
      </c>
      <c r="O80" s="327"/>
      <c r="P80" s="327"/>
      <c r="Q80" s="327"/>
      <c r="R80" s="327"/>
    </row>
    <row r="81" spans="1:18">
      <c r="B81" s="338" t="str">
        <f t="shared" si="18"/>
        <v>40-44</v>
      </c>
      <c r="C81" s="459">
        <f t="shared" si="21"/>
        <v>896.13664936946338</v>
      </c>
      <c r="D81" s="459">
        <f t="shared" ref="D81:N81" si="25">D47+(0.2*D46)-(0.2*D47)</f>
        <v>927.16086490083649</v>
      </c>
      <c r="E81" s="459">
        <f t="shared" si="25"/>
        <v>941.17447283527463</v>
      </c>
      <c r="F81" s="459">
        <f t="shared" si="25"/>
        <v>959.84112955793125</v>
      </c>
      <c r="G81" s="459">
        <f t="shared" si="25"/>
        <v>978.08412160397495</v>
      </c>
      <c r="H81" s="459">
        <f t="shared" si="25"/>
        <v>994.33031304815518</v>
      </c>
      <c r="I81" s="459">
        <f t="shared" si="25"/>
        <v>1010.9284906258979</v>
      </c>
      <c r="J81" s="459">
        <f t="shared" si="25"/>
        <v>1028.3238575962696</v>
      </c>
      <c r="K81" s="459">
        <f t="shared" si="25"/>
        <v>1042.5852957019965</v>
      </c>
      <c r="L81" s="459">
        <f t="shared" si="25"/>
        <v>1053.6690529532136</v>
      </c>
      <c r="M81" s="459">
        <f t="shared" si="25"/>
        <v>1065.2464550865243</v>
      </c>
      <c r="N81" s="459">
        <f t="shared" si="25"/>
        <v>1075.5169547352064</v>
      </c>
      <c r="O81" s="327"/>
      <c r="P81" s="327"/>
      <c r="Q81" s="327"/>
      <c r="R81" s="327"/>
    </row>
    <row r="82" spans="1:18">
      <c r="B82" s="338" t="str">
        <f t="shared" si="18"/>
        <v>45-49</v>
      </c>
      <c r="C82" s="459">
        <f t="shared" si="21"/>
        <v>919.22994705830627</v>
      </c>
      <c r="D82" s="459">
        <f t="shared" ref="D82:N82" si="26">D48+(0.2*D47)-(0.2*D48)</f>
        <v>908.10474944409862</v>
      </c>
      <c r="E82" s="459">
        <f t="shared" si="26"/>
        <v>890.72688957229889</v>
      </c>
      <c r="F82" s="459">
        <f t="shared" si="26"/>
        <v>883.69485635559545</v>
      </c>
      <c r="G82" s="459">
        <f t="shared" si="26"/>
        <v>881.8350283866647</v>
      </c>
      <c r="H82" s="459">
        <f t="shared" si="26"/>
        <v>882.76324688898274</v>
      </c>
      <c r="I82" s="459">
        <f t="shared" si="26"/>
        <v>887.37126630609578</v>
      </c>
      <c r="J82" s="459">
        <f t="shared" si="26"/>
        <v>895.16477167272365</v>
      </c>
      <c r="K82" s="459">
        <f t="shared" si="26"/>
        <v>902.26157558441901</v>
      </c>
      <c r="L82" s="459">
        <f t="shared" si="26"/>
        <v>908.11572840227871</v>
      </c>
      <c r="M82" s="459">
        <f t="shared" si="26"/>
        <v>915.37644800475505</v>
      </c>
      <c r="N82" s="459">
        <f t="shared" si="26"/>
        <v>922.3651538072462</v>
      </c>
      <c r="O82" s="327"/>
      <c r="P82" s="327"/>
      <c r="Q82" s="327"/>
      <c r="R82" s="327"/>
    </row>
    <row r="83" spans="1:18">
      <c r="B83" s="338" t="str">
        <f t="shared" si="18"/>
        <v>50-54</v>
      </c>
      <c r="C83" s="459">
        <f t="shared" si="21"/>
        <v>850.74877284732111</v>
      </c>
      <c r="D83" s="459">
        <f t="shared" ref="D83:N83" si="27">D49+(0.2*D48)-(0.2*D49)</f>
        <v>826.13603255194516</v>
      </c>
      <c r="E83" s="459">
        <f t="shared" si="27"/>
        <v>795.37736219931048</v>
      </c>
      <c r="F83" s="459">
        <f t="shared" si="27"/>
        <v>772.59651915852805</v>
      </c>
      <c r="G83" s="459">
        <f t="shared" si="27"/>
        <v>754.95909522668421</v>
      </c>
      <c r="H83" s="459">
        <f t="shared" si="27"/>
        <v>741.24713610513425</v>
      </c>
      <c r="I83" s="459">
        <f t="shared" si="27"/>
        <v>732.34261957052672</v>
      </c>
      <c r="J83" s="459">
        <f t="shared" si="27"/>
        <v>727.85517545717244</v>
      </c>
      <c r="K83" s="459">
        <f t="shared" si="27"/>
        <v>724.72506029473925</v>
      </c>
      <c r="L83" s="459">
        <f t="shared" si="27"/>
        <v>722.31972500600102</v>
      </c>
      <c r="M83" s="459">
        <f t="shared" si="27"/>
        <v>722.37174061097028</v>
      </c>
      <c r="N83" s="459">
        <f t="shared" si="27"/>
        <v>723.39087815563732</v>
      </c>
      <c r="O83" s="327"/>
      <c r="P83" s="327"/>
      <c r="Q83" s="327"/>
      <c r="R83" s="327"/>
    </row>
    <row r="84" spans="1:18">
      <c r="B84" s="338" t="str">
        <f t="shared" si="18"/>
        <v>55-59</v>
      </c>
      <c r="C84" s="459">
        <f t="shared" si="21"/>
        <v>499.28457704720967</v>
      </c>
      <c r="D84" s="459">
        <f t="shared" ref="D84:N84" si="28">D50+(0.2*D49)-(0.2*D50)</f>
        <v>484.92475843261929</v>
      </c>
      <c r="E84" s="459">
        <f t="shared" si="28"/>
        <v>464.22985543943508</v>
      </c>
      <c r="F84" s="459">
        <f t="shared" si="28"/>
        <v>448.03543468946293</v>
      </c>
      <c r="G84" s="459">
        <f t="shared" si="28"/>
        <v>434.25570753116904</v>
      </c>
      <c r="H84" s="459">
        <f t="shared" si="28"/>
        <v>422.35574726994577</v>
      </c>
      <c r="I84" s="459">
        <f t="shared" si="28"/>
        <v>413.31586037791214</v>
      </c>
      <c r="J84" s="459">
        <f t="shared" si="28"/>
        <v>407.0566482795906</v>
      </c>
      <c r="K84" s="459">
        <f t="shared" si="28"/>
        <v>401.59410705048242</v>
      </c>
      <c r="L84" s="459">
        <f t="shared" si="28"/>
        <v>396.76760087708942</v>
      </c>
      <c r="M84" s="459">
        <f t="shared" si="28"/>
        <v>393.95245749256861</v>
      </c>
      <c r="N84" s="459">
        <f t="shared" si="28"/>
        <v>392.04999655551308</v>
      </c>
      <c r="O84" s="327"/>
      <c r="P84" s="327"/>
      <c r="Q84" s="327"/>
      <c r="R84" s="327"/>
    </row>
    <row r="85" spans="1:18">
      <c r="B85" s="338" t="str">
        <f t="shared" si="18"/>
        <v>60-64</v>
      </c>
      <c r="C85" s="459">
        <f t="shared" si="21"/>
        <v>209.54333376446368</v>
      </c>
      <c r="D85" s="459">
        <f t="shared" ref="D85:N85" si="29">D51+(0.2*D50)-(0.2*D51)</f>
        <v>195.38757154482602</v>
      </c>
      <c r="E85" s="459">
        <f t="shared" si="29"/>
        <v>182.20113915012257</v>
      </c>
      <c r="F85" s="459">
        <f t="shared" si="29"/>
        <v>173.60501666163978</v>
      </c>
      <c r="G85" s="459">
        <f t="shared" si="29"/>
        <v>166.98838790583085</v>
      </c>
      <c r="H85" s="459">
        <f t="shared" si="29"/>
        <v>161.43303774574599</v>
      </c>
      <c r="I85" s="459">
        <f t="shared" si="29"/>
        <v>157.23497703673573</v>
      </c>
      <c r="J85" s="459">
        <f t="shared" si="29"/>
        <v>154.23994848725681</v>
      </c>
      <c r="K85" s="459">
        <f t="shared" si="29"/>
        <v>151.35149431318786</v>
      </c>
      <c r="L85" s="459">
        <f t="shared" si="29"/>
        <v>148.59018475946405</v>
      </c>
      <c r="M85" s="459">
        <f t="shared" si="29"/>
        <v>146.79855908652291</v>
      </c>
      <c r="N85" s="459">
        <f t="shared" si="29"/>
        <v>145.38509719979521</v>
      </c>
      <c r="O85" s="327"/>
      <c r="P85" s="327"/>
      <c r="Q85" s="327"/>
      <c r="R85" s="327"/>
    </row>
    <row r="86" spans="1:18">
      <c r="B86" s="338" t="str">
        <f t="shared" si="18"/>
        <v>65 plus</v>
      </c>
      <c r="C86" s="459">
        <f>C52+(0.2*C51)</f>
        <v>84.084689098748655</v>
      </c>
      <c r="D86" s="459">
        <f t="shared" ref="D86:N86" si="30">D52+(0.2*D51)</f>
        <v>78.291052173773636</v>
      </c>
      <c r="E86" s="459">
        <f t="shared" si="30"/>
        <v>71.871624995294439</v>
      </c>
      <c r="F86" s="459">
        <f t="shared" si="30"/>
        <v>67.119002348201846</v>
      </c>
      <c r="G86" s="459">
        <f t="shared" si="30"/>
        <v>63.485233777886698</v>
      </c>
      <c r="H86" s="459">
        <f t="shared" si="30"/>
        <v>60.60188535585953</v>
      </c>
      <c r="I86" s="459">
        <f t="shared" si="30"/>
        <v>58.464039169949615</v>
      </c>
      <c r="J86" s="459">
        <f t="shared" si="30"/>
        <v>56.939529902908369</v>
      </c>
      <c r="K86" s="459">
        <f t="shared" si="30"/>
        <v>55.561335448609697</v>
      </c>
      <c r="L86" s="459">
        <f t="shared" si="30"/>
        <v>54.259327729613474</v>
      </c>
      <c r="M86" s="459">
        <f t="shared" si="30"/>
        <v>53.317475282607752</v>
      </c>
      <c r="N86" s="459">
        <f t="shared" si="30"/>
        <v>52.542610008788614</v>
      </c>
      <c r="O86" s="327"/>
      <c r="P86" s="327"/>
      <c r="Q86" s="327"/>
      <c r="R86" s="327"/>
    </row>
    <row r="87" spans="1:18">
      <c r="B87" s="338" t="str">
        <f t="shared" si="18"/>
        <v>Total</v>
      </c>
      <c r="C87" s="459">
        <f>SUM(C77:C86)</f>
        <v>6480.5423405987131</v>
      </c>
      <c r="D87" s="459">
        <f t="shared" ref="D87:N87" si="31">SUM(D77:D86)</f>
        <v>6757.7527985300112</v>
      </c>
      <c r="E87" s="459">
        <f t="shared" si="31"/>
        <v>6794.5739285671534</v>
      </c>
      <c r="F87" s="459">
        <f t="shared" si="31"/>
        <v>6880.606876640838</v>
      </c>
      <c r="G87" s="459">
        <f t="shared" si="31"/>
        <v>6961.7561719802616</v>
      </c>
      <c r="H87" s="459">
        <f t="shared" si="31"/>
        <v>7024.5219873318847</v>
      </c>
      <c r="I87" s="459">
        <f t="shared" si="31"/>
        <v>7099.5461323924574</v>
      </c>
      <c r="J87" s="459">
        <f t="shared" si="31"/>
        <v>7190.9733454839716</v>
      </c>
      <c r="K87" s="459">
        <f t="shared" si="31"/>
        <v>7250.1971304205154</v>
      </c>
      <c r="L87" s="459">
        <f t="shared" si="31"/>
        <v>7278.1439756530926</v>
      </c>
      <c r="M87" s="459">
        <f t="shared" si="31"/>
        <v>7319.9605401255158</v>
      </c>
      <c r="N87" s="459">
        <f t="shared" si="31"/>
        <v>7353.1616493243773</v>
      </c>
      <c r="O87" s="327"/>
      <c r="P87" s="327"/>
      <c r="Q87" s="327"/>
      <c r="R87" s="327"/>
    </row>
    <row r="88" spans="1:18">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8">
      <c r="B90" s="341" t="s">
        <v>50</v>
      </c>
      <c r="H90" s="325"/>
    </row>
    <row r="91" spans="1:18">
      <c r="H91" s="325"/>
    </row>
    <row r="92" spans="1:18">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8">
      <c r="B93" s="338" t="str">
        <f t="shared" si="33"/>
        <v>20-24</v>
      </c>
      <c r="C93" s="459">
        <f>C59-(0.2*C59)</f>
        <v>187.52754926222792</v>
      </c>
      <c r="D93" s="459">
        <f t="shared" ref="D93:N93" si="35">D59-(0.2*D59)</f>
        <v>255.58655438740561</v>
      </c>
      <c r="E93" s="459">
        <f t="shared" si="35"/>
        <v>276.98349470091159</v>
      </c>
      <c r="F93" s="459">
        <f t="shared" si="35"/>
        <v>297.33491000112645</v>
      </c>
      <c r="G93" s="459">
        <f t="shared" si="35"/>
        <v>311.2689989840149</v>
      </c>
      <c r="H93" s="459">
        <f t="shared" si="35"/>
        <v>319.11157495736421</v>
      </c>
      <c r="I93" s="459">
        <f t="shared" si="35"/>
        <v>326.2156577982787</v>
      </c>
      <c r="J93" s="459">
        <f t="shared" si="35"/>
        <v>333.56257063444724</v>
      </c>
      <c r="K93" s="459">
        <f t="shared" si="35"/>
        <v>335.52392887507915</v>
      </c>
      <c r="L93" s="459">
        <f t="shared" si="35"/>
        <v>333.44263847329069</v>
      </c>
      <c r="M93" s="459">
        <f t="shared" si="35"/>
        <v>333.61575162499514</v>
      </c>
      <c r="N93" s="459">
        <f t="shared" si="35"/>
        <v>332.93227813041477</v>
      </c>
      <c r="O93" s="327"/>
      <c r="P93" s="327"/>
    </row>
    <row r="94" spans="1:18">
      <c r="B94" s="338" t="str">
        <f t="shared" si="33"/>
        <v>25-29</v>
      </c>
      <c r="C94" s="459">
        <f t="shared" ref="C94:C101" si="36">C60+(0.2*C59)-(0.2*C60)</f>
        <v>494.29437773043065</v>
      </c>
      <c r="D94" s="459">
        <f t="shared" ref="D94:N94" si="37">D60+(0.2*D59)-(0.2*D60)</f>
        <v>546.47750822971466</v>
      </c>
      <c r="E94" s="459">
        <f t="shared" si="37"/>
        <v>562.01981202191553</v>
      </c>
      <c r="F94" s="459">
        <f t="shared" si="37"/>
        <v>583.78088522317694</v>
      </c>
      <c r="G94" s="459">
        <f t="shared" si="37"/>
        <v>602.51651837353234</v>
      </c>
      <c r="H94" s="459">
        <f t="shared" si="37"/>
        <v>615.9137106071073</v>
      </c>
      <c r="I94" s="459">
        <f t="shared" si="37"/>
        <v>628.9519373284877</v>
      </c>
      <c r="J94" s="459">
        <f t="shared" si="37"/>
        <v>642.5799407586162</v>
      </c>
      <c r="K94" s="459">
        <f t="shared" si="37"/>
        <v>649.5396626899817</v>
      </c>
      <c r="L94" s="459">
        <f t="shared" si="37"/>
        <v>650.43330992038113</v>
      </c>
      <c r="M94" s="459">
        <f t="shared" si="37"/>
        <v>652.80442979678196</v>
      </c>
      <c r="N94" s="459">
        <f t="shared" si="37"/>
        <v>653.5005974580173</v>
      </c>
      <c r="O94" s="327"/>
      <c r="P94" s="327"/>
    </row>
    <row r="95" spans="1:18">
      <c r="B95" s="338" t="str">
        <f t="shared" si="33"/>
        <v>30-34</v>
      </c>
      <c r="C95" s="459">
        <f t="shared" si="36"/>
        <v>698.32798621593952</v>
      </c>
      <c r="D95" s="459">
        <f t="shared" ref="D95:N95" si="38">D61+(0.2*D60)-(0.2*D61)</f>
        <v>690.90611664594451</v>
      </c>
      <c r="E95" s="459">
        <f t="shared" si="38"/>
        <v>674.56707381227523</v>
      </c>
      <c r="F95" s="459">
        <f t="shared" si="38"/>
        <v>669.63140772265024</v>
      </c>
      <c r="G95" s="459">
        <f t="shared" si="38"/>
        <v>669.69432396762977</v>
      </c>
      <c r="H95" s="459">
        <f t="shared" si="38"/>
        <v>671.61131532739898</v>
      </c>
      <c r="I95" s="459">
        <f t="shared" si="38"/>
        <v>676.64216336230083</v>
      </c>
      <c r="J95" s="459">
        <f t="shared" si="38"/>
        <v>684.45429510341194</v>
      </c>
      <c r="K95" s="459">
        <f t="shared" si="38"/>
        <v>690.10172066161226</v>
      </c>
      <c r="L95" s="459">
        <f t="shared" si="38"/>
        <v>692.77770040885002</v>
      </c>
      <c r="M95" s="459">
        <f t="shared" si="38"/>
        <v>696.13838733106593</v>
      </c>
      <c r="N95" s="459">
        <f t="shared" si="38"/>
        <v>698.37976950988127</v>
      </c>
      <c r="O95" s="327"/>
      <c r="P95" s="327"/>
    </row>
    <row r="96" spans="1:18">
      <c r="B96" s="338" t="str">
        <f t="shared" si="33"/>
        <v>35-39</v>
      </c>
      <c r="C96" s="459">
        <f t="shared" si="36"/>
        <v>624.37455158249702</v>
      </c>
      <c r="D96" s="459">
        <f t="shared" ref="D96:N96" si="39">D62+(0.2*D61)-(0.2*D62)</f>
        <v>648.3077826555965</v>
      </c>
      <c r="E96" s="459">
        <f t="shared" si="39"/>
        <v>651.57757452850637</v>
      </c>
      <c r="F96" s="459">
        <f t="shared" si="39"/>
        <v>653.67508392668788</v>
      </c>
      <c r="G96" s="459">
        <f t="shared" si="39"/>
        <v>654.16214132089351</v>
      </c>
      <c r="H96" s="459">
        <f t="shared" si="39"/>
        <v>653.57978936781103</v>
      </c>
      <c r="I96" s="459">
        <f t="shared" si="39"/>
        <v>654.29371686365721</v>
      </c>
      <c r="J96" s="459">
        <f t="shared" si="39"/>
        <v>656.9042702326584</v>
      </c>
      <c r="K96" s="459">
        <f t="shared" si="39"/>
        <v>658.66657710972618</v>
      </c>
      <c r="L96" s="459">
        <f t="shared" si="39"/>
        <v>659.27858896902626</v>
      </c>
      <c r="M96" s="459">
        <f t="shared" si="39"/>
        <v>661.02292131432318</v>
      </c>
      <c r="N96" s="459">
        <f t="shared" si="39"/>
        <v>662.51960874169174</v>
      </c>
      <c r="O96" s="327"/>
      <c r="P96" s="327"/>
    </row>
    <row r="97" spans="1:16">
      <c r="B97" s="338" t="str">
        <f t="shared" si="33"/>
        <v>40-44</v>
      </c>
      <c r="C97" s="459">
        <f t="shared" si="36"/>
        <v>562.66893652531894</v>
      </c>
      <c r="D97" s="459">
        <f t="shared" ref="D97:N97" si="40">D63+(0.2*D62)-(0.2*D63)</f>
        <v>580.92990924363289</v>
      </c>
      <c r="E97" s="459">
        <f t="shared" si="40"/>
        <v>588.0109095456869</v>
      </c>
      <c r="F97" s="459">
        <f t="shared" si="40"/>
        <v>596.03198803857754</v>
      </c>
      <c r="G97" s="459">
        <f t="shared" si="40"/>
        <v>602.19771432956463</v>
      </c>
      <c r="H97" s="459">
        <f t="shared" si="40"/>
        <v>606.04465421259999</v>
      </c>
      <c r="I97" s="459">
        <f t="shared" si="40"/>
        <v>609.4336171615962</v>
      </c>
      <c r="J97" s="459">
        <f t="shared" si="40"/>
        <v>613.03576827500774</v>
      </c>
      <c r="K97" s="459">
        <f t="shared" si="40"/>
        <v>614.86484687425741</v>
      </c>
      <c r="L97" s="459">
        <f t="shared" si="40"/>
        <v>615.12023983358915</v>
      </c>
      <c r="M97" s="459">
        <f t="shared" si="40"/>
        <v>616.09102728822631</v>
      </c>
      <c r="N97" s="459">
        <f t="shared" si="40"/>
        <v>616.79810349070146</v>
      </c>
      <c r="O97" s="327"/>
      <c r="P97" s="327"/>
    </row>
    <row r="98" spans="1:16">
      <c r="B98" s="338" t="str">
        <f t="shared" si="33"/>
        <v>45-49</v>
      </c>
      <c r="C98" s="459">
        <f t="shared" si="36"/>
        <v>454.61371410846118</v>
      </c>
      <c r="D98" s="459">
        <f t="shared" ref="D98:N98" si="41">D64+(0.2*D63)-(0.2*D64)</f>
        <v>477.27779415083404</v>
      </c>
      <c r="E98" s="459">
        <f t="shared" si="41"/>
        <v>488.43769953795555</v>
      </c>
      <c r="F98" s="459">
        <f t="shared" si="41"/>
        <v>499.68136086597752</v>
      </c>
      <c r="G98" s="459">
        <f t="shared" si="41"/>
        <v>509.26529223171161</v>
      </c>
      <c r="H98" s="459">
        <f t="shared" si="41"/>
        <v>516.76349556752359</v>
      </c>
      <c r="I98" s="459">
        <f t="shared" si="41"/>
        <v>523.4869542313495</v>
      </c>
      <c r="J98" s="459">
        <f t="shared" si="41"/>
        <v>529.81330391444146</v>
      </c>
      <c r="K98" s="459">
        <f t="shared" si="41"/>
        <v>534.03744513667766</v>
      </c>
      <c r="L98" s="459">
        <f t="shared" si="41"/>
        <v>536.30946579093506</v>
      </c>
      <c r="M98" s="459">
        <f t="shared" si="41"/>
        <v>538.5604929598278</v>
      </c>
      <c r="N98" s="459">
        <f t="shared" si="41"/>
        <v>540.11605477631997</v>
      </c>
      <c r="O98" s="327"/>
      <c r="P98" s="327"/>
    </row>
    <row r="99" spans="1:16">
      <c r="B99" s="338" t="str">
        <f t="shared" si="33"/>
        <v>50-54</v>
      </c>
      <c r="C99" s="459">
        <f t="shared" si="36"/>
        <v>427.45249027236355</v>
      </c>
      <c r="D99" s="459">
        <f t="shared" ref="D99:N99" si="42">D65+(0.2*D64)-(0.2*D65)</f>
        <v>420.16058055553378</v>
      </c>
      <c r="E99" s="459">
        <f t="shared" si="42"/>
        <v>412.528994607659</v>
      </c>
      <c r="F99" s="459">
        <f t="shared" si="42"/>
        <v>410.43279589916381</v>
      </c>
      <c r="G99" s="459">
        <f t="shared" si="42"/>
        <v>410.90257774834481</v>
      </c>
      <c r="H99" s="459">
        <f t="shared" si="42"/>
        <v>412.5108490430265</v>
      </c>
      <c r="I99" s="459">
        <f t="shared" si="42"/>
        <v>415.43260795304872</v>
      </c>
      <c r="J99" s="459">
        <f t="shared" si="42"/>
        <v>419.34307550914986</v>
      </c>
      <c r="K99" s="459">
        <f t="shared" si="42"/>
        <v>422.50655208570953</v>
      </c>
      <c r="L99" s="459">
        <f t="shared" si="42"/>
        <v>424.68426697283661</v>
      </c>
      <c r="M99" s="459">
        <f t="shared" si="42"/>
        <v>427.06555037165231</v>
      </c>
      <c r="N99" s="459">
        <f t="shared" si="42"/>
        <v>428.98234991142647</v>
      </c>
      <c r="O99" s="327"/>
      <c r="P99" s="327"/>
    </row>
    <row r="100" spans="1:16">
      <c r="B100" s="338" t="str">
        <f t="shared" si="33"/>
        <v>55-59</v>
      </c>
      <c r="C100" s="459">
        <f t="shared" si="36"/>
        <v>231.52962465626521</v>
      </c>
      <c r="D100" s="459">
        <f t="shared" ref="D100:N100" si="43">D66+(0.2*D65)-(0.2*D66)</f>
        <v>238.27730336528927</v>
      </c>
      <c r="E100" s="459">
        <f t="shared" si="43"/>
        <v>236.51742308711786</v>
      </c>
      <c r="F100" s="459">
        <f t="shared" si="43"/>
        <v>235.00860848374546</v>
      </c>
      <c r="G100" s="459">
        <f t="shared" si="43"/>
        <v>233.66179752475921</v>
      </c>
      <c r="H100" s="459">
        <f t="shared" si="43"/>
        <v>232.59759898549137</v>
      </c>
      <c r="I100" s="459">
        <f t="shared" si="43"/>
        <v>232.5182603743614</v>
      </c>
      <c r="J100" s="459">
        <f t="shared" si="43"/>
        <v>233.40221109268819</v>
      </c>
      <c r="K100" s="459">
        <f t="shared" si="43"/>
        <v>234.08764646954535</v>
      </c>
      <c r="L100" s="459">
        <f t="shared" si="43"/>
        <v>234.47279761268385</v>
      </c>
      <c r="M100" s="459">
        <f t="shared" si="43"/>
        <v>235.37796731013097</v>
      </c>
      <c r="N100" s="459">
        <f t="shared" si="43"/>
        <v>236.21394427843327</v>
      </c>
      <c r="O100" s="327"/>
      <c r="P100" s="327"/>
    </row>
    <row r="101" spans="1:16">
      <c r="B101" s="338" t="str">
        <f t="shared" si="33"/>
        <v>60-64</v>
      </c>
      <c r="C101" s="459">
        <f t="shared" si="36"/>
        <v>86.465358467666888</v>
      </c>
      <c r="D101" s="459">
        <f t="shared" ref="D101:N101" si="44">D67+(0.2*D66)-(0.2*D67)</f>
        <v>86.526234576908294</v>
      </c>
      <c r="E101" s="459">
        <f t="shared" si="44"/>
        <v>85.119355089861955</v>
      </c>
      <c r="F101" s="459">
        <f t="shared" si="44"/>
        <v>84.704176390624028</v>
      </c>
      <c r="G101" s="459">
        <f t="shared" si="44"/>
        <v>84.253301208450054</v>
      </c>
      <c r="H101" s="459">
        <f t="shared" si="44"/>
        <v>83.661702660399328</v>
      </c>
      <c r="I101" s="459">
        <f t="shared" si="44"/>
        <v>83.377846683240975</v>
      </c>
      <c r="J101" s="459">
        <f t="shared" si="44"/>
        <v>83.456069019156118</v>
      </c>
      <c r="K101" s="459">
        <f t="shared" si="44"/>
        <v>83.328249291902821</v>
      </c>
      <c r="L101" s="459">
        <f t="shared" si="44"/>
        <v>83.05037456986264</v>
      </c>
      <c r="M101" s="459">
        <f t="shared" si="44"/>
        <v>83.133036002876281</v>
      </c>
      <c r="N101" s="459">
        <f t="shared" si="44"/>
        <v>83.233092085786353</v>
      </c>
      <c r="O101" s="327"/>
      <c r="P101" s="327"/>
    </row>
    <row r="102" spans="1:16">
      <c r="B102" s="338" t="str">
        <f t="shared" si="33"/>
        <v>65 plus</v>
      </c>
      <c r="C102" s="459">
        <f>C68+(0.2*C67)</f>
        <v>17.52492701920972</v>
      </c>
      <c r="D102" s="459">
        <f t="shared" ref="D102:N102" si="45">D68+(0.2*D67)</f>
        <v>23.049217958822993</v>
      </c>
      <c r="E102" s="459">
        <f t="shared" si="45"/>
        <v>24.900896765552648</v>
      </c>
      <c r="F102" s="459">
        <f t="shared" si="45"/>
        <v>25.850772060099203</v>
      </c>
      <c r="G102" s="459">
        <f t="shared" si="45"/>
        <v>26.266161176052535</v>
      </c>
      <c r="H102" s="459">
        <f t="shared" si="45"/>
        <v>26.354778141616165</v>
      </c>
      <c r="I102" s="459">
        <f t="shared" si="45"/>
        <v>26.3868696642215</v>
      </c>
      <c r="J102" s="459">
        <f t="shared" si="45"/>
        <v>26.452668246214511</v>
      </c>
      <c r="K102" s="459">
        <f t="shared" si="45"/>
        <v>26.383494626124609</v>
      </c>
      <c r="L102" s="459">
        <f t="shared" si="45"/>
        <v>26.213786959748425</v>
      </c>
      <c r="M102" s="459">
        <f t="shared" si="45"/>
        <v>26.153791876864744</v>
      </c>
      <c r="N102" s="459">
        <f t="shared" si="45"/>
        <v>26.105293558446277</v>
      </c>
      <c r="O102" s="327"/>
      <c r="P102" s="327"/>
    </row>
    <row r="103" spans="1:16">
      <c r="B103" s="338" t="str">
        <f t="shared" si="33"/>
        <v>Total</v>
      </c>
      <c r="C103" s="459">
        <f>SUM(C93:C102)</f>
        <v>3784.7795158403801</v>
      </c>
      <c r="D103" s="459">
        <f t="shared" ref="D103:N103" si="46">SUM(D93:D102)</f>
        <v>3967.4990017696828</v>
      </c>
      <c r="E103" s="459">
        <f t="shared" si="46"/>
        <v>4000.663233697443</v>
      </c>
      <c r="F103" s="459">
        <f t="shared" si="46"/>
        <v>4056.1319886118295</v>
      </c>
      <c r="G103" s="459">
        <f t="shared" si="46"/>
        <v>4104.1888268649527</v>
      </c>
      <c r="H103" s="459">
        <f t="shared" si="46"/>
        <v>4138.1494688703388</v>
      </c>
      <c r="I103" s="459">
        <f t="shared" si="46"/>
        <v>4176.7396314205425</v>
      </c>
      <c r="J103" s="459">
        <f t="shared" si="46"/>
        <v>4223.0041727857924</v>
      </c>
      <c r="K103" s="459">
        <f t="shared" si="46"/>
        <v>4249.0401238206177</v>
      </c>
      <c r="L103" s="459">
        <f t="shared" si="46"/>
        <v>4255.7831695112036</v>
      </c>
      <c r="M103" s="459">
        <f t="shared" si="46"/>
        <v>4269.9633558767437</v>
      </c>
      <c r="N103" s="459">
        <f t="shared" si="46"/>
        <v>4278.7810919411204</v>
      </c>
      <c r="O103" s="327"/>
      <c r="P103" s="327"/>
    </row>
    <row r="104" spans="1:16">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6" ht="15.75">
      <c r="B106" s="340" t="s">
        <v>151</v>
      </c>
      <c r="H106" s="325"/>
    </row>
    <row r="107" spans="1:16">
      <c r="H107" s="325"/>
    </row>
    <row r="108" spans="1:16">
      <c r="B108" s="341" t="s">
        <v>49</v>
      </c>
      <c r="H108" s="325"/>
    </row>
    <row r="109" spans="1:16">
      <c r="H109" s="325"/>
    </row>
    <row r="110" spans="1:16">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6">
      <c r="B111" s="338" t="str">
        <f t="shared" si="48"/>
        <v>20-24</v>
      </c>
      <c r="C111" s="459">
        <f>C77*Group_1_rates!E74</f>
        <v>30.070657980557197</v>
      </c>
      <c r="D111" s="459">
        <f>D77*Group_1_rates!F74</f>
        <v>50.814802365866882</v>
      </c>
      <c r="E111" s="459">
        <f>E77*Group_1_rates!G74</f>
        <v>58.659915173955845</v>
      </c>
      <c r="F111" s="459">
        <f>F77*Group_1_rates!H74</f>
        <v>65.346279844593766</v>
      </c>
      <c r="G111" s="459">
        <f>G77*Group_1_rates!I74</f>
        <v>69.855584757871995</v>
      </c>
      <c r="H111" s="459">
        <f>H77*Group_1_rates!J74</f>
        <v>72.483201244419917</v>
      </c>
      <c r="I111" s="459">
        <f>I77*Group_1_rates!K74</f>
        <v>74.677462897304267</v>
      </c>
      <c r="J111" s="459">
        <f>J77*Group_1_rates!L74</f>
        <v>76.759090600938194</v>
      </c>
      <c r="K111" s="459">
        <f>K77*Group_1_rates!M74</f>
        <v>77.413035784805388</v>
      </c>
      <c r="L111" s="459">
        <f>L77*Group_1_rates!N74</f>
        <v>77.021902905825627</v>
      </c>
      <c r="M111" s="459">
        <f>M77*Group_1_rates!O74</f>
        <v>77.150077962440292</v>
      </c>
      <c r="N111" s="459">
        <f>N77*Group_1_rates!P74</f>
        <v>77.042446402596724</v>
      </c>
      <c r="O111" s="327"/>
    </row>
    <row r="112" spans="1:16">
      <c r="B112" s="338" t="str">
        <f t="shared" si="48"/>
        <v>25-29</v>
      </c>
      <c r="C112" s="459">
        <f>C78*Group_1_rates!E75</f>
        <v>87.991131581326826</v>
      </c>
      <c r="D112" s="459">
        <f>D78*Group_1_rates!F75</f>
        <v>95.562312086174984</v>
      </c>
      <c r="E112" s="459">
        <f>E78*Group_1_rates!G75</f>
        <v>97.529272919758426</v>
      </c>
      <c r="F112" s="459">
        <f>F78*Group_1_rates!H75</f>
        <v>101.17638514620012</v>
      </c>
      <c r="G112" s="459">
        <f>G78*Group_1_rates!I75</f>
        <v>104.56164875201711</v>
      </c>
      <c r="H112" s="459">
        <f>H78*Group_1_rates!J75</f>
        <v>107.11311924812459</v>
      </c>
      <c r="I112" s="459">
        <f>I78*Group_1_rates!K75</f>
        <v>109.64614699775541</v>
      </c>
      <c r="J112" s="459">
        <f>J78*Group_1_rates!L75</f>
        <v>112.28693166610397</v>
      </c>
      <c r="K112" s="459">
        <f>K78*Group_1_rates!M75</f>
        <v>113.70355358655793</v>
      </c>
      <c r="L112" s="459">
        <f>L78*Group_1_rates!N75</f>
        <v>114.00017165873696</v>
      </c>
      <c r="M112" s="459">
        <f>M78*Group_1_rates!O75</f>
        <v>114.54067545903868</v>
      </c>
      <c r="N112" s="459">
        <f>N78*Group_1_rates!P75</f>
        <v>114.75741826800869</v>
      </c>
      <c r="O112" s="327"/>
    </row>
    <row r="113" spans="1:15">
      <c r="B113" s="338" t="str">
        <f t="shared" si="48"/>
        <v>30-34</v>
      </c>
      <c r="C113" s="459">
        <f>C79*Group_1_rates!E76</f>
        <v>75.385136839228721</v>
      </c>
      <c r="D113" s="459">
        <f>D79*Group_1_rates!F76</f>
        <v>78.830824945410043</v>
      </c>
      <c r="E113" s="459">
        <f>E79*Group_1_rates!G76</f>
        <v>79.780749921740565</v>
      </c>
      <c r="F113" s="459">
        <f>F79*Group_1_rates!H76</f>
        <v>81.247423280792503</v>
      </c>
      <c r="G113" s="459">
        <f>G79*Group_1_rates!I76</f>
        <v>82.75602619347282</v>
      </c>
      <c r="H113" s="459">
        <f>H79*Group_1_rates!J76</f>
        <v>84.108983959533489</v>
      </c>
      <c r="I113" s="459">
        <f>I79*Group_1_rates!K76</f>
        <v>85.584578883736413</v>
      </c>
      <c r="J113" s="459">
        <f>J79*Group_1_rates!L76</f>
        <v>87.222365605345317</v>
      </c>
      <c r="K113" s="459">
        <f>K79*Group_1_rates!M76</f>
        <v>88.456210900355572</v>
      </c>
      <c r="L113" s="459">
        <f>L79*Group_1_rates!N76</f>
        <v>89.212525771952926</v>
      </c>
      <c r="M113" s="459">
        <f>M79*Group_1_rates!O76</f>
        <v>89.967924351446385</v>
      </c>
      <c r="N113" s="459">
        <f>N79*Group_1_rates!P76</f>
        <v>90.517189848317997</v>
      </c>
      <c r="O113" s="327"/>
    </row>
    <row r="114" spans="1:15">
      <c r="B114" s="338" t="str">
        <f t="shared" si="48"/>
        <v>35-39</v>
      </c>
      <c r="C114" s="459">
        <f>C80*Group_1_rates!E77</f>
        <v>69.044966155319386</v>
      </c>
      <c r="D114" s="459">
        <f>D80*Group_1_rates!F77</f>
        <v>72.784387904724554</v>
      </c>
      <c r="E114" s="459">
        <f>E80*Group_1_rates!G77</f>
        <v>74.562532461239797</v>
      </c>
      <c r="F114" s="459">
        <f>F80*Group_1_rates!H77</f>
        <v>76.387188675537388</v>
      </c>
      <c r="G114" s="459">
        <f>G80*Group_1_rates!I77</f>
        <v>77.989770769723876</v>
      </c>
      <c r="H114" s="459">
        <f>H80*Group_1_rates!J77</f>
        <v>79.336884576537813</v>
      </c>
      <c r="I114" s="459">
        <f>I80*Group_1_rates!K77</f>
        <v>80.684670259420585</v>
      </c>
      <c r="J114" s="459">
        <f>J80*Group_1_rates!L77</f>
        <v>82.102735609588379</v>
      </c>
      <c r="K114" s="459">
        <f>K80*Group_1_rates!M77</f>
        <v>83.258742220301286</v>
      </c>
      <c r="L114" s="459">
        <f>L80*Group_1_rates!N77</f>
        <v>84.129314130642982</v>
      </c>
      <c r="M114" s="459">
        <f>M80*Group_1_rates!O77</f>
        <v>85.015256506592465</v>
      </c>
      <c r="N114" s="459">
        <f>N80*Group_1_rates!P77</f>
        <v>85.76148317363149</v>
      </c>
      <c r="O114" s="327"/>
    </row>
    <row r="115" spans="1:15">
      <c r="B115" s="338" t="str">
        <f t="shared" si="48"/>
        <v>40-44</v>
      </c>
      <c r="C115" s="459">
        <f>C81*Group_1_rates!E78</f>
        <v>63.861036172710357</v>
      </c>
      <c r="D115" s="459">
        <f>D81*Group_1_rates!F78</f>
        <v>66.071902731591763</v>
      </c>
      <c r="E115" s="459">
        <f>E81*Group_1_rates!G78</f>
        <v>67.070549002605247</v>
      </c>
      <c r="F115" s="459">
        <f>F81*Group_1_rates!H78</f>
        <v>68.400783672761747</v>
      </c>
      <c r="G115" s="459">
        <f>G81*Group_1_rates!I78</f>
        <v>69.700826892476726</v>
      </c>
      <c r="H115" s="459">
        <f>H81*Group_1_rates!J78</f>
        <v>70.858572890495637</v>
      </c>
      <c r="I115" s="459">
        <f>I81*Group_1_rates!K78</f>
        <v>72.04140233892754</v>
      </c>
      <c r="J115" s="459">
        <f>J81*Group_1_rates!L78</f>
        <v>73.281041583806228</v>
      </c>
      <c r="K115" s="459">
        <f>K81*Group_1_rates!M78</f>
        <v>74.297348879557958</v>
      </c>
      <c r="L115" s="459">
        <f>L81*Group_1_rates!N78</f>
        <v>75.087206345210717</v>
      </c>
      <c r="M115" s="459">
        <f>M81*Group_1_rates!O78</f>
        <v>75.912242233366371</v>
      </c>
      <c r="N115" s="459">
        <f>N81*Group_1_rates!P78</f>
        <v>76.644144840003179</v>
      </c>
      <c r="O115" s="327"/>
    </row>
    <row r="116" spans="1:15">
      <c r="B116" s="338" t="str">
        <f t="shared" si="48"/>
        <v>45-49</v>
      </c>
      <c r="C116" s="459">
        <f>C82*Group_1_rates!E79</f>
        <v>78.525466604473408</v>
      </c>
      <c r="D116" s="459">
        <f>D82*Group_1_rates!F79</f>
        <v>77.57509359223819</v>
      </c>
      <c r="E116" s="459">
        <f>E82*Group_1_rates!G79</f>
        <v>76.090585217171423</v>
      </c>
      <c r="F116" s="459">
        <f>F82*Group_1_rates!H79</f>
        <v>75.489871879570856</v>
      </c>
      <c r="G116" s="459">
        <f>G82*Group_1_rates!I79</f>
        <v>75.330995572797235</v>
      </c>
      <c r="H116" s="459">
        <f>H82*Group_1_rates!J79</f>
        <v>75.410288889163482</v>
      </c>
      <c r="I116" s="459">
        <f>I82*Group_1_rates!K79</f>
        <v>75.803930192962653</v>
      </c>
      <c r="J116" s="459">
        <f>J82*Group_1_rates!L79</f>
        <v>76.469692494721201</v>
      </c>
      <c r="K116" s="459">
        <f>K82*Group_1_rates!M79</f>
        <v>77.075938886442572</v>
      </c>
      <c r="L116" s="459">
        <f>L82*Group_1_rates!N79</f>
        <v>77.576031472707243</v>
      </c>
      <c r="M116" s="459">
        <f>M82*Group_1_rates!O79</f>
        <v>78.196280406603805</v>
      </c>
      <c r="N116" s="459">
        <f>N82*Group_1_rates!P79</f>
        <v>78.793292488138178</v>
      </c>
      <c r="O116" s="327"/>
    </row>
    <row r="117" spans="1:15">
      <c r="B117" s="338" t="str">
        <f t="shared" si="48"/>
        <v>50-54</v>
      </c>
      <c r="C117" s="459">
        <f>C83*Group_1_rates!E80</f>
        <v>68.619914027030475</v>
      </c>
      <c r="D117" s="459">
        <f>D83*Group_1_rates!F80</f>
        <v>66.634693269807684</v>
      </c>
      <c r="E117" s="459">
        <f>E83*Group_1_rates!G80</f>
        <v>64.153752500278827</v>
      </c>
      <c r="F117" s="459">
        <f>F83*Group_1_rates!H80</f>
        <v>62.316289384475652</v>
      </c>
      <c r="G117" s="459">
        <f>G83*Group_1_rates!I80</f>
        <v>60.893685494245162</v>
      </c>
      <c r="H117" s="459">
        <f>H83*Group_1_rates!J80</f>
        <v>59.787702757515696</v>
      </c>
      <c r="I117" s="459">
        <f>I83*Group_1_rates!K80</f>
        <v>59.069479965360465</v>
      </c>
      <c r="J117" s="459">
        <f>J83*Group_1_rates!L80</f>
        <v>58.707530540233599</v>
      </c>
      <c r="K117" s="459">
        <f>K83*Group_1_rates!M80</f>
        <v>58.455060903842579</v>
      </c>
      <c r="L117" s="459">
        <f>L83*Group_1_rates!N80</f>
        <v>58.261050749508776</v>
      </c>
      <c r="M117" s="459">
        <f>M83*Group_1_rates!O80</f>
        <v>58.265246237595242</v>
      </c>
      <c r="N117" s="459">
        <f>N83*Group_1_rates!P80</f>
        <v>58.347448096626685</v>
      </c>
      <c r="O117" s="327"/>
    </row>
    <row r="118" spans="1:15">
      <c r="B118" s="338" t="str">
        <f t="shared" si="48"/>
        <v>55-59</v>
      </c>
      <c r="C118" s="459">
        <f>C84*Group_1_rates!E81</f>
        <v>23.015743120538467</v>
      </c>
      <c r="D118" s="459">
        <f>D84*Group_1_rates!F81</f>
        <v>22.353792177760418</v>
      </c>
      <c r="E118" s="459">
        <f>E84*Group_1_rates!G81</f>
        <v>21.399810033924734</v>
      </c>
      <c r="F118" s="459">
        <f>F84*Group_1_rates!H81</f>
        <v>20.653288620882901</v>
      </c>
      <c r="G118" s="459">
        <f>G84*Group_1_rates!I81</f>
        <v>20.018078411863343</v>
      </c>
      <c r="H118" s="459">
        <f>H84*Group_1_rates!J81</f>
        <v>19.469520653206533</v>
      </c>
      <c r="I118" s="459">
        <f>I84*Group_1_rates!K81</f>
        <v>19.052804968183288</v>
      </c>
      <c r="J118" s="459">
        <f>J84*Group_1_rates!L81</f>
        <v>18.764271285360731</v>
      </c>
      <c r="K118" s="459">
        <f>K84*Group_1_rates!M81</f>
        <v>18.512462093780961</v>
      </c>
      <c r="L118" s="459">
        <f>L84*Group_1_rates!N81</f>
        <v>18.289972492933543</v>
      </c>
      <c r="M118" s="459">
        <f>M84*Group_1_rates!O81</f>
        <v>18.16020157677827</v>
      </c>
      <c r="N118" s="459">
        <f>N84*Group_1_rates!P81</f>
        <v>18.072502989164999</v>
      </c>
      <c r="O118" s="327"/>
    </row>
    <row r="119" spans="1:15">
      <c r="B119" s="338" t="str">
        <f t="shared" si="48"/>
        <v>60-64</v>
      </c>
      <c r="C119" s="459">
        <f>C85*Group_1_rates!E82</f>
        <v>3.6676013203420683</v>
      </c>
      <c r="D119" s="459">
        <f>D85*Group_1_rates!F82</f>
        <v>3.4198354225944008</v>
      </c>
      <c r="E119" s="459">
        <f>E85*Group_1_rates!G82</f>
        <v>3.1890355398561718</v>
      </c>
      <c r="F119" s="459">
        <f>F85*Group_1_rates!H82</f>
        <v>3.0385790704367266</v>
      </c>
      <c r="G119" s="459">
        <f>G85*Group_1_rates!I82</f>
        <v>2.9227693430402182</v>
      </c>
      <c r="H119" s="459">
        <f>H85*Group_1_rates!J82</f>
        <v>2.8255349943446308</v>
      </c>
      <c r="I119" s="459">
        <f>I85*Group_1_rates!K82</f>
        <v>2.752057051989524</v>
      </c>
      <c r="J119" s="459">
        <f>J85*Group_1_rates!L82</f>
        <v>2.6996355768454934</v>
      </c>
      <c r="K119" s="459">
        <f>K85*Group_1_rates!M82</f>
        <v>2.6490794548622922</v>
      </c>
      <c r="L119" s="459">
        <f>L85*Group_1_rates!N82</f>
        <v>2.6007487235373139</v>
      </c>
      <c r="M119" s="459">
        <f>M85*Group_1_rates!O82</f>
        <v>2.5693902042010524</v>
      </c>
      <c r="N119" s="459">
        <f>N85*Group_1_rates!P82</f>
        <v>2.544650621276201</v>
      </c>
      <c r="O119" s="327"/>
    </row>
    <row r="120" spans="1:15">
      <c r="B120" s="338" t="str">
        <f t="shared" si="48"/>
        <v>65 plus</v>
      </c>
      <c r="C120" s="459">
        <f>C86*Group_1_rates!E83</f>
        <v>1.5523135963790913</v>
      </c>
      <c r="D120" s="459">
        <f>D86*Group_1_rates!F83</f>
        <v>1.4453554632454753</v>
      </c>
      <c r="E120" s="459">
        <f>E86*Group_1_rates!G83</f>
        <v>1.3268444216167679</v>
      </c>
      <c r="F120" s="459">
        <f>F86*Group_1_rates!H83</f>
        <v>1.2391047768298691</v>
      </c>
      <c r="G120" s="459">
        <f>G86*Group_1_rates!I83</f>
        <v>1.1720206451258113</v>
      </c>
      <c r="H120" s="459">
        <f>H86*Group_1_rates!J83</f>
        <v>1.1187902531652185</v>
      </c>
      <c r="I120" s="459">
        <f>I86*Group_1_rates!K83</f>
        <v>1.079322809842002</v>
      </c>
      <c r="J120" s="459">
        <f>J86*Group_1_rates!L83</f>
        <v>1.0511783701300965</v>
      </c>
      <c r="K120" s="459">
        <f>K86*Group_1_rates!M83</f>
        <v>1.0257350936811629</v>
      </c>
      <c r="L120" s="459">
        <f>L86*Group_1_rates!N83</f>
        <v>1.0016983242472561</v>
      </c>
      <c r="M120" s="459">
        <f>M86*Group_1_rates!O83</f>
        <v>0.98431049330037734</v>
      </c>
      <c r="N120" s="459">
        <f>N86*Group_1_rates!P83</f>
        <v>0.97000546449187619</v>
      </c>
      <c r="O120" s="327"/>
    </row>
    <row r="121" spans="1:15">
      <c r="B121" s="338" t="str">
        <f t="shared" si="48"/>
        <v>Total</v>
      </c>
      <c r="C121" s="459">
        <f>SUM(C111:C120)</f>
        <v>501.73396739790593</v>
      </c>
      <c r="D121" s="459">
        <f t="shared" ref="D121:N121" si="50">SUM(D111:D120)</f>
        <v>535.49299995941442</v>
      </c>
      <c r="E121" s="459">
        <f t="shared" si="50"/>
        <v>543.76304719214784</v>
      </c>
      <c r="F121" s="459">
        <f t="shared" si="50"/>
        <v>555.29519435208158</v>
      </c>
      <c r="G121" s="459">
        <f t="shared" si="50"/>
        <v>565.20140683263446</v>
      </c>
      <c r="H121" s="459">
        <f t="shared" si="50"/>
        <v>572.51259946650703</v>
      </c>
      <c r="I121" s="459">
        <f t="shared" si="50"/>
        <v>580.39185636548211</v>
      </c>
      <c r="J121" s="459">
        <f t="shared" si="50"/>
        <v>589.3444733330731</v>
      </c>
      <c r="K121" s="459">
        <f t="shared" si="50"/>
        <v>594.84716780418773</v>
      </c>
      <c r="L121" s="459">
        <f t="shared" si="50"/>
        <v>597.18062257530335</v>
      </c>
      <c r="M121" s="459">
        <f t="shared" si="50"/>
        <v>600.7616054313628</v>
      </c>
      <c r="N121" s="459">
        <f t="shared" si="50"/>
        <v>603.45058219225598</v>
      </c>
      <c r="O121" s="327"/>
    </row>
    <row r="122" spans="1:15">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5">
      <c r="B124" s="341" t="s">
        <v>50</v>
      </c>
      <c r="C124" s="329"/>
      <c r="D124" s="329"/>
      <c r="E124" s="329"/>
      <c r="F124" s="329"/>
      <c r="G124" s="329"/>
      <c r="H124" s="339"/>
      <c r="I124" s="329"/>
      <c r="J124" s="329"/>
      <c r="K124" s="329"/>
      <c r="L124" s="329"/>
    </row>
    <row r="125" spans="1:15">
      <c r="C125" s="329"/>
      <c r="D125" s="329"/>
      <c r="E125" s="329"/>
      <c r="F125" s="329"/>
      <c r="G125" s="329"/>
      <c r="H125" s="339"/>
      <c r="I125" s="329"/>
      <c r="J125" s="329"/>
      <c r="K125" s="329"/>
      <c r="L125" s="329"/>
    </row>
    <row r="126" spans="1:15">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5">
      <c r="B127" s="338" t="str">
        <f t="shared" si="52"/>
        <v>20-24</v>
      </c>
      <c r="C127" s="459">
        <f>C93*Group_1_rates!E89</f>
        <v>23.219601738441597</v>
      </c>
      <c r="D127" s="459">
        <f>D93*Group_1_rates!F89</f>
        <v>31.646646191048266</v>
      </c>
      <c r="E127" s="459">
        <f>E93*Group_1_rates!G89</f>
        <v>34.296008561832934</v>
      </c>
      <c r="F127" s="459">
        <f>F93*Group_1_rates!H89</f>
        <v>36.815914356708042</v>
      </c>
      <c r="G127" s="459">
        <f>G93*Group_1_rates!I89</f>
        <v>38.541228840065635</v>
      </c>
      <c r="H127" s="459">
        <f>H93*Group_1_rates!J89</f>
        <v>39.512294112453972</v>
      </c>
      <c r="I127" s="459">
        <f>I93*Group_1_rates!K89</f>
        <v>40.391919399148613</v>
      </c>
      <c r="J127" s="459">
        <f>J93*Group_1_rates!L89</f>
        <v>41.30161181892386</v>
      </c>
      <c r="K127" s="459">
        <f>K93*Group_1_rates!M89</f>
        <v>41.544466574894678</v>
      </c>
      <c r="L127" s="459">
        <f>L93*Group_1_rates!N89</f>
        <v>41.286761856725555</v>
      </c>
      <c r="M127" s="459">
        <f>M93*Group_1_rates!O89</f>
        <v>41.30819667232506</v>
      </c>
      <c r="N127" s="459">
        <f>N93*Group_1_rates!P89</f>
        <v>41.223569200759563</v>
      </c>
      <c r="O127" s="327"/>
    </row>
    <row r="128" spans="1:15">
      <c r="B128" s="338" t="str">
        <f t="shared" si="52"/>
        <v>25-29</v>
      </c>
      <c r="C128" s="459">
        <f>C94*Group_1_rates!E90</f>
        <v>51.516125300931485</v>
      </c>
      <c r="D128" s="459">
        <f>D94*Group_1_rates!F90</f>
        <v>56.954731950149856</v>
      </c>
      <c r="E128" s="459">
        <f>E94*Group_1_rates!G90</f>
        <v>58.574574913568753</v>
      </c>
      <c r="F128" s="459">
        <f>F94*Group_1_rates!H90</f>
        <v>60.842547652539096</v>
      </c>
      <c r="G128" s="459">
        <f>G94*Group_1_rates!I90</f>
        <v>62.795204345495392</v>
      </c>
      <c r="H128" s="459">
        <f>H94*Group_1_rates!J90</f>
        <v>64.191480461267659</v>
      </c>
      <c r="I128" s="459">
        <f>I94*Group_1_rates!K90</f>
        <v>65.550344635617819</v>
      </c>
      <c r="J128" s="459">
        <f>J94*Group_1_rates!L90</f>
        <v>66.970676251630863</v>
      </c>
      <c r="K128" s="459">
        <f>K94*Group_1_rates!M90</f>
        <v>67.696029246180586</v>
      </c>
      <c r="L128" s="459">
        <f>L94*Group_1_rates!N90</f>
        <v>67.789166544054524</v>
      </c>
      <c r="M128" s="459">
        <f>M94*Group_1_rates!O90</f>
        <v>68.036288328479941</v>
      </c>
      <c r="N128" s="459">
        <f>N94*Group_1_rates!P90</f>
        <v>68.108843999922783</v>
      </c>
      <c r="O128" s="327"/>
    </row>
    <row r="129" spans="1:15">
      <c r="B129" s="338" t="str">
        <f t="shared" si="52"/>
        <v>30-34</v>
      </c>
      <c r="C129" s="459">
        <f>C95*Group_1_rates!E91</f>
        <v>65.01897517996089</v>
      </c>
      <c r="D129" s="459">
        <f>D95*Group_1_rates!F91</f>
        <v>64.327949812389292</v>
      </c>
      <c r="E129" s="459">
        <f>E95*Group_1_rates!G91</f>
        <v>62.806676368626491</v>
      </c>
      <c r="F129" s="459">
        <f>F95*Group_1_rates!H91</f>
        <v>62.347133063313976</v>
      </c>
      <c r="G129" s="459">
        <f>G95*Group_1_rates!I91</f>
        <v>62.352990983734593</v>
      </c>
      <c r="H129" s="459">
        <f>H95*Group_1_rates!J91</f>
        <v>62.531475615743155</v>
      </c>
      <c r="I129" s="459">
        <f>I95*Group_1_rates!K91</f>
        <v>62.999880992545989</v>
      </c>
      <c r="J129" s="459">
        <f>J95*Group_1_rates!L91</f>
        <v>63.727242361134792</v>
      </c>
      <c r="K129" s="459">
        <f>K95*Group_1_rates!M91</f>
        <v>64.253055201873153</v>
      </c>
      <c r="L129" s="459">
        <f>L95*Group_1_rates!N91</f>
        <v>64.502206695443576</v>
      </c>
      <c r="M129" s="459">
        <f>M95*Group_1_rates!O91</f>
        <v>64.815108976171601</v>
      </c>
      <c r="N129" s="459">
        <f>N95*Group_1_rates!P91</f>
        <v>65.023796548673005</v>
      </c>
      <c r="O129" s="327"/>
    </row>
    <row r="130" spans="1:15">
      <c r="B130" s="338" t="str">
        <f t="shared" si="52"/>
        <v>35-39</v>
      </c>
      <c r="C130" s="459">
        <f>C96*Group_1_rates!E92</f>
        <v>48.733932715769129</v>
      </c>
      <c r="D130" s="459">
        <f>D96*Group_1_rates!F92</f>
        <v>50.60197885863515</v>
      </c>
      <c r="E130" s="459">
        <f>E96*Group_1_rates!G92</f>
        <v>50.857193964255778</v>
      </c>
      <c r="F130" s="459">
        <f>F96*Group_1_rates!H92</f>
        <v>51.020909608371305</v>
      </c>
      <c r="G130" s="459">
        <f>G96*Group_1_rates!I92</f>
        <v>51.058925607290185</v>
      </c>
      <c r="H130" s="459">
        <f>H96*Group_1_rates!J92</f>
        <v>51.013471639272929</v>
      </c>
      <c r="I130" s="459">
        <f>I96*Group_1_rates!K92</f>
        <v>51.06919539428236</v>
      </c>
      <c r="J130" s="459">
        <f>J96*Group_1_rates!L92</f>
        <v>51.272955352008658</v>
      </c>
      <c r="K130" s="459">
        <f>K96*Group_1_rates!M92</f>
        <v>51.410507634615122</v>
      </c>
      <c r="L130" s="459">
        <f>L96*Group_1_rates!N92</f>
        <v>51.458276629518565</v>
      </c>
      <c r="M130" s="459">
        <f>M96*Group_1_rates!O92</f>
        <v>51.594425956768021</v>
      </c>
      <c r="N130" s="459">
        <f>N96*Group_1_rates!P92</f>
        <v>51.711246003640611</v>
      </c>
      <c r="O130" s="327"/>
    </row>
    <row r="131" spans="1:15">
      <c r="B131" s="338" t="str">
        <f t="shared" si="52"/>
        <v>40-44</v>
      </c>
      <c r="C131" s="459">
        <f>C97*Group_1_rates!E93</f>
        <v>43.525335411778265</v>
      </c>
      <c r="D131" s="459">
        <f>D97*Group_1_rates!F93</f>
        <v>44.937915547120753</v>
      </c>
      <c r="E131" s="459">
        <f>E97*Group_1_rates!G93</f>
        <v>45.485667330080496</v>
      </c>
      <c r="F131" s="459">
        <f>F97*Group_1_rates!H93</f>
        <v>46.106138994862995</v>
      </c>
      <c r="G131" s="459">
        <f>G97*Group_1_rates!I93</f>
        <v>46.583089626845073</v>
      </c>
      <c r="H131" s="459">
        <f>H97*Group_1_rates!J93</f>
        <v>46.88067020726961</v>
      </c>
      <c r="I131" s="459">
        <f>I97*Group_1_rates!K93</f>
        <v>47.142823916987531</v>
      </c>
      <c r="J131" s="459">
        <f>J97*Group_1_rates!L93</f>
        <v>47.421468827409186</v>
      </c>
      <c r="K131" s="459">
        <f>K97*Group_1_rates!M93</f>
        <v>47.562957461948841</v>
      </c>
      <c r="L131" s="459">
        <f>L97*Group_1_rates!N93</f>
        <v>47.582713420551009</v>
      </c>
      <c r="M131" s="459">
        <f>M97*Group_1_rates!O93</f>
        <v>47.657808821831843</v>
      </c>
      <c r="N131" s="459">
        <f>N97*Group_1_rates!P93</f>
        <v>47.712504801788491</v>
      </c>
      <c r="O131" s="327"/>
    </row>
    <row r="132" spans="1:15">
      <c r="B132" s="338" t="str">
        <f t="shared" si="52"/>
        <v>45-49</v>
      </c>
      <c r="C132" s="459">
        <f>C98*Group_1_rates!E94</f>
        <v>38.692174436616952</v>
      </c>
      <c r="D132" s="459">
        <f>D98*Group_1_rates!F94</f>
        <v>40.621114350285559</v>
      </c>
      <c r="E132" s="459">
        <f>E98*Group_1_rates!G94</f>
        <v>41.570933927949305</v>
      </c>
      <c r="F132" s="459">
        <f>F98*Group_1_rates!H94</f>
        <v>42.527881973969492</v>
      </c>
      <c r="G132" s="459">
        <f>G98*Group_1_rates!I94</f>
        <v>43.343570398413007</v>
      </c>
      <c r="H132" s="459">
        <f>H98*Group_1_rates!J94</f>
        <v>43.98174250459202</v>
      </c>
      <c r="I132" s="459">
        <f>I98*Group_1_rates!K94</f>
        <v>44.553976089644124</v>
      </c>
      <c r="J132" s="459">
        <f>J98*Group_1_rates!L94</f>
        <v>45.092411728272552</v>
      </c>
      <c r="K132" s="459">
        <f>K98*Group_1_rates!M94</f>
        <v>45.451928399115161</v>
      </c>
      <c r="L132" s="459">
        <f>L98*Group_1_rates!N94</f>
        <v>45.645300083140405</v>
      </c>
      <c r="M132" s="459">
        <f>M98*Group_1_rates!O94</f>
        <v>45.836885011569514</v>
      </c>
      <c r="N132" s="459">
        <f>N98*Group_1_rates!P94</f>
        <v>45.969278881975931</v>
      </c>
      <c r="O132" s="327"/>
    </row>
    <row r="133" spans="1:15">
      <c r="B133" s="338" t="str">
        <f t="shared" si="52"/>
        <v>50-54</v>
      </c>
      <c r="C133" s="459">
        <f>C99*Group_1_rates!E95</f>
        <v>34.196357055216694</v>
      </c>
      <c r="D133" s="459">
        <f>D99*Group_1_rates!F95</f>
        <v>33.613001585390727</v>
      </c>
      <c r="E133" s="459">
        <f>E99*Group_1_rates!G95</f>
        <v>33.002471891658416</v>
      </c>
      <c r="F133" s="459">
        <f>F99*Group_1_rates!H95</f>
        <v>32.834775220974123</v>
      </c>
      <c r="G133" s="459">
        <f>G99*Group_1_rates!I95</f>
        <v>32.872357942371806</v>
      </c>
      <c r="H133" s="459">
        <f>H99*Group_1_rates!J95</f>
        <v>33.001020239787714</v>
      </c>
      <c r="I133" s="459">
        <f>I99*Group_1_rates!K95</f>
        <v>33.234762031425696</v>
      </c>
      <c r="J133" s="459">
        <f>J99*Group_1_rates!L95</f>
        <v>33.547600879822788</v>
      </c>
      <c r="K133" s="459">
        <f>K99*Group_1_rates!M95</f>
        <v>33.800680174036088</v>
      </c>
      <c r="L133" s="459">
        <f>L99*Group_1_rates!N95</f>
        <v>33.974898169110133</v>
      </c>
      <c r="M133" s="459">
        <f>M99*Group_1_rates!O95</f>
        <v>34.165401720285324</v>
      </c>
      <c r="N133" s="459">
        <f>N99*Group_1_rates!P95</f>
        <v>34.318746391230221</v>
      </c>
      <c r="O133" s="327"/>
    </row>
    <row r="134" spans="1:15">
      <c r="B134" s="338" t="str">
        <f t="shared" si="52"/>
        <v>55-59</v>
      </c>
      <c r="C134" s="459">
        <f>C100*Group_1_rates!E96</f>
        <v>10.764939634392798</v>
      </c>
      <c r="D134" s="459">
        <f>D100*Group_1_rates!F96</f>
        <v>11.07867207395755</v>
      </c>
      <c r="E134" s="459">
        <f>E100*Group_1_rates!G96</f>
        <v>10.996846670463722</v>
      </c>
      <c r="F134" s="459">
        <f>F100*Group_1_rates!H96</f>
        <v>10.926694532702051</v>
      </c>
      <c r="G134" s="459">
        <f>G100*Group_1_rates!I96</f>
        <v>10.864074733210085</v>
      </c>
      <c r="H134" s="459">
        <f>H100*Group_1_rates!J96</f>
        <v>10.814594961231725</v>
      </c>
      <c r="I134" s="459">
        <f>I100*Group_1_rates!K96</f>
        <v>10.810906122877848</v>
      </c>
      <c r="J134" s="459">
        <f>J100*Group_1_rates!L96</f>
        <v>10.852005295982341</v>
      </c>
      <c r="K134" s="459">
        <f>K100*Group_1_rates!M96</f>
        <v>10.883874524233798</v>
      </c>
      <c r="L134" s="459">
        <f>L100*Group_1_rates!N96</f>
        <v>10.901782076289647</v>
      </c>
      <c r="M134" s="459">
        <f>M100*Group_1_rates!O96</f>
        <v>10.943867823054736</v>
      </c>
      <c r="N134" s="459">
        <f>N100*Group_1_rates!P96</f>
        <v>10.982736462922647</v>
      </c>
      <c r="O134" s="327"/>
    </row>
    <row r="135" spans="1:15">
      <c r="B135" s="338" t="str">
        <f t="shared" si="52"/>
        <v>60-64</v>
      </c>
      <c r="C135" s="459">
        <f>C101*Group_1_rates!E97</f>
        <v>1.8113995048492868</v>
      </c>
      <c r="D135" s="459">
        <f>D101*Group_1_rates!F97</f>
        <v>1.8126748243077524</v>
      </c>
      <c r="E135" s="459">
        <f>E101*Group_1_rates!G97</f>
        <v>1.7832015086194666</v>
      </c>
      <c r="F135" s="459">
        <f>F101*Group_1_rates!H97</f>
        <v>1.7745037537780894</v>
      </c>
      <c r="G135" s="459">
        <f>G101*Group_1_rates!I97</f>
        <v>1.765058178160148</v>
      </c>
      <c r="H135" s="459">
        <f>H101*Group_1_rates!J97</f>
        <v>1.7526645290040022</v>
      </c>
      <c r="I135" s="459">
        <f>I101*Group_1_rates!K97</f>
        <v>1.7467179096227221</v>
      </c>
      <c r="J135" s="459">
        <f>J101*Group_1_rates!L97</f>
        <v>1.748356622548406</v>
      </c>
      <c r="K135" s="459">
        <f>K101*Group_1_rates!M97</f>
        <v>1.7456788728141794</v>
      </c>
      <c r="L135" s="459">
        <f>L101*Group_1_rates!N97</f>
        <v>1.7398575572858117</v>
      </c>
      <c r="M135" s="459">
        <f>M101*Group_1_rates!O97</f>
        <v>1.7415892667413044</v>
      </c>
      <c r="N135" s="459">
        <f>N101*Group_1_rates!P97</f>
        <v>1.7436853841026665</v>
      </c>
      <c r="O135" s="327"/>
    </row>
    <row r="136" spans="1:15">
      <c r="B136" s="338" t="str">
        <f t="shared" si="52"/>
        <v>65 plus</v>
      </c>
      <c r="C136" s="459">
        <f>C102*Group_1_rates!E98</f>
        <v>0.56336457969865805</v>
      </c>
      <c r="D136" s="459">
        <f>D102*Group_1_rates!F98</f>
        <v>0.74095104496136366</v>
      </c>
      <c r="E136" s="459">
        <f>E102*Group_1_rates!G98</f>
        <v>0.80047598629474026</v>
      </c>
      <c r="F136" s="459">
        <f>F102*Group_1_rates!H98</f>
        <v>0.83101112606974681</v>
      </c>
      <c r="G136" s="459">
        <f>G102*Group_1_rates!I98</f>
        <v>0.8443644207490304</v>
      </c>
      <c r="H136" s="459">
        <f>H102*Group_1_rates!J98</f>
        <v>0.84721314357133959</v>
      </c>
      <c r="I136" s="459">
        <f>I102*Group_1_rates!K98</f>
        <v>0.84824477281148569</v>
      </c>
      <c r="J136" s="459">
        <f>J102*Group_1_rates!L98</f>
        <v>0.85035996510008294</v>
      </c>
      <c r="K136" s="459">
        <f>K102*Group_1_rates!M98</f>
        <v>0.84813627724303986</v>
      </c>
      <c r="L136" s="459">
        <f>L102*Group_1_rates!N98</f>
        <v>0.84268077445921308</v>
      </c>
      <c r="M136" s="459">
        <f>M102*Group_1_rates!O98</f>
        <v>0.84075214419355193</v>
      </c>
      <c r="N136" s="459">
        <f>N102*Group_1_rates!P98</f>
        <v>0.83919309434746914</v>
      </c>
      <c r="O136" s="327"/>
    </row>
    <row r="137" spans="1:15">
      <c r="B137" s="338" t="str">
        <f t="shared" si="52"/>
        <v>Total</v>
      </c>
      <c r="C137" s="459">
        <f>SUM(C127:C136)</f>
        <v>318.04220555765579</v>
      </c>
      <c r="D137" s="459">
        <f t="shared" ref="D137:N137" si="54">SUM(D127:D136)</f>
        <v>336.33563623824631</v>
      </c>
      <c r="E137" s="459">
        <f t="shared" si="54"/>
        <v>340.17405112335001</v>
      </c>
      <c r="F137" s="459">
        <f t="shared" si="54"/>
        <v>346.02751028328896</v>
      </c>
      <c r="G137" s="459">
        <f t="shared" si="54"/>
        <v>351.02086507633493</v>
      </c>
      <c r="H137" s="459">
        <f t="shared" si="54"/>
        <v>354.52662741419408</v>
      </c>
      <c r="I137" s="459">
        <f t="shared" si="54"/>
        <v>358.34877126496417</v>
      </c>
      <c r="J137" s="459">
        <f t="shared" si="54"/>
        <v>362.78468910283351</v>
      </c>
      <c r="K137" s="459">
        <f t="shared" si="54"/>
        <v>365.19731436695463</v>
      </c>
      <c r="L137" s="459">
        <f t="shared" si="54"/>
        <v>365.72364380657842</v>
      </c>
      <c r="M137" s="459">
        <f t="shared" si="54"/>
        <v>366.94032472142095</v>
      </c>
      <c r="N137" s="459">
        <f t="shared" si="54"/>
        <v>367.6336007693634</v>
      </c>
      <c r="O137" s="327"/>
    </row>
    <row r="138" spans="1:15">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5" ht="15.75">
      <c r="B140" s="340" t="s">
        <v>152</v>
      </c>
      <c r="H140" s="325"/>
    </row>
    <row r="141" spans="1:15">
      <c r="H141" s="325"/>
    </row>
    <row r="142" spans="1:15">
      <c r="B142" s="341" t="s">
        <v>49</v>
      </c>
      <c r="H142" s="325"/>
    </row>
    <row r="143" spans="1:15">
      <c r="H143" s="325"/>
    </row>
    <row r="144" spans="1:15">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4">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row>
    <row r="146" spans="1:14">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row>
    <row r="147" spans="1:14">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row>
    <row r="148" spans="1:14">
      <c r="B148" s="338" t="str">
        <f t="shared" si="56"/>
        <v>35-39</v>
      </c>
      <c r="C148" s="459">
        <f>C80*Calc_SEC_retirement_rates!$G127</f>
        <v>0.37768803595142442</v>
      </c>
      <c r="D148" s="459">
        <f>D80*Calc_SEC_retirement_rates!$G127</f>
        <v>0.39814332668108848</v>
      </c>
      <c r="E148" s="459">
        <f>E80*Calc_SEC_retirement_rates!$G127</f>
        <v>0.40787008827696219</v>
      </c>
      <c r="F148" s="459">
        <f>F80*Calc_SEC_retirement_rates!$G127</f>
        <v>0.41785127677250505</v>
      </c>
      <c r="G148" s="459">
        <f>G80*Calc_SEC_retirement_rates!$G127</f>
        <v>0.42661768100598124</v>
      </c>
      <c r="H148" s="459">
        <f>H80*Calc_SEC_retirement_rates!$G127</f>
        <v>0.4339866290441925</v>
      </c>
      <c r="I148" s="459">
        <f>I80*Calc_SEC_retirement_rates!$G127</f>
        <v>0.44135925236196388</v>
      </c>
      <c r="J148" s="459">
        <f>J80*Calc_SEC_retirement_rates!$G127</f>
        <v>0.44911631774672811</v>
      </c>
      <c r="K148" s="459">
        <f>K80*Calc_SEC_retirement_rates!$G127</f>
        <v>0.45543987601113289</v>
      </c>
      <c r="L148" s="459">
        <f>L80*Calc_SEC_retirement_rates!$G127</f>
        <v>0.46020205656216362</v>
      </c>
      <c r="M148" s="459">
        <f>M80*Calc_SEC_retirement_rates!$G127</f>
        <v>0.46504831624727633</v>
      </c>
      <c r="N148" s="459">
        <f>N80*Calc_SEC_retirement_rates!$G127</f>
        <v>0.46913030657825189</v>
      </c>
    </row>
    <row r="149" spans="1:14">
      <c r="B149" s="338" t="str">
        <f t="shared" si="56"/>
        <v>40-44</v>
      </c>
      <c r="C149" s="459">
        <f>C81*Calc_SEC_retirement_rates!$G128</f>
        <v>0.45748863440147547</v>
      </c>
      <c r="D149" s="459">
        <f>D81*Calc_SEC_retirement_rates!$G128</f>
        <v>0.47332687291879483</v>
      </c>
      <c r="E149" s="459">
        <f>E81*Calc_SEC_retirement_rates!$G128</f>
        <v>0.4804809898288383</v>
      </c>
      <c r="F149" s="459">
        <f>F81*Calc_SEC_retirement_rates!$G128</f>
        <v>0.49001054461146887</v>
      </c>
      <c r="G149" s="459">
        <f>G81*Calc_SEC_retirement_rates!$G128</f>
        <v>0.49932381343538523</v>
      </c>
      <c r="H149" s="459">
        <f>H81*Calc_SEC_retirement_rates!$G128</f>
        <v>0.50761769132025081</v>
      </c>
      <c r="I149" s="459">
        <f>I81*Calc_SEC_retirement_rates!$G128</f>
        <v>0.51609126239776182</v>
      </c>
      <c r="J149" s="459">
        <f>J81*Calc_SEC_retirement_rates!$G128</f>
        <v>0.52497180833435242</v>
      </c>
      <c r="K149" s="459">
        <f>K81*Calc_SEC_retirement_rates!$G128</f>
        <v>0.53225244555433537</v>
      </c>
      <c r="L149" s="459">
        <f>L81*Calc_SEC_retirement_rates!$G128</f>
        <v>0.53791083813594065</v>
      </c>
      <c r="M149" s="459">
        <f>M81*Calc_SEC_retirement_rates!$G128</f>
        <v>0.54382124242038965</v>
      </c>
      <c r="N149" s="459">
        <f>N81*Calc_SEC_retirement_rates!$G128</f>
        <v>0.54906445712676555</v>
      </c>
    </row>
    <row r="150" spans="1:14">
      <c r="B150" s="338" t="str">
        <f t="shared" si="56"/>
        <v>45-49</v>
      </c>
      <c r="C150" s="459">
        <f>C82*Calc_SEC_retirement_rates!$G129</f>
        <v>1.1530403470555135</v>
      </c>
      <c r="D150" s="459">
        <f>D82*Calc_SEC_retirement_rates!$G129</f>
        <v>1.1390854038346161</v>
      </c>
      <c r="E150" s="459">
        <f>E82*Calc_SEC_retirement_rates!$G129</f>
        <v>1.1172874047139554</v>
      </c>
      <c r="F150" s="459">
        <f>F82*Calc_SEC_retirement_rates!$G129</f>
        <v>1.1084667412372688</v>
      </c>
      <c r="G150" s="459">
        <f>G82*Calc_SEC_retirement_rates!$G129</f>
        <v>1.1061338573994195</v>
      </c>
      <c r="H150" s="459">
        <f>H82*Calc_SEC_retirement_rates!$G129</f>
        <v>1.1072981725824498</v>
      </c>
      <c r="I150" s="459">
        <f>I82*Calc_SEC_retirement_rates!$G129</f>
        <v>1.1130782631081664</v>
      </c>
      <c r="J150" s="459">
        <f>J82*Calc_SEC_retirement_rates!$G129</f>
        <v>1.1228540827074658</v>
      </c>
      <c r="K150" s="459">
        <f>K82*Calc_SEC_retirement_rates!$G129</f>
        <v>1.1317559916057918</v>
      </c>
      <c r="L150" s="459">
        <f>L82*Calc_SEC_retirement_rates!$G129</f>
        <v>1.1390991753417248</v>
      </c>
      <c r="M150" s="459">
        <f>M82*Calc_SEC_retirement_rates!$G129</f>
        <v>1.148206692646947</v>
      </c>
      <c r="N150" s="459">
        <f>N82*Calc_SEC_retirement_rates!$G129</f>
        <v>1.1569730081806837</v>
      </c>
    </row>
    <row r="151" spans="1:14">
      <c r="B151" s="338" t="str">
        <f t="shared" si="56"/>
        <v>50-54</v>
      </c>
      <c r="C151" s="459">
        <f>C83*Calc_SEC_retirement_rates!$G130</f>
        <v>23.933549660624806</v>
      </c>
      <c r="D151" s="459">
        <f>D83*Calc_SEC_retirement_rates!$G130</f>
        <v>23.241135800100604</v>
      </c>
      <c r="E151" s="459">
        <f>E83*Calc_SEC_retirement_rates!$G130</f>
        <v>22.375822575003909</v>
      </c>
      <c r="F151" s="459">
        <f>F83*Calc_SEC_retirement_rates!$G130</f>
        <v>21.734944262123506</v>
      </c>
      <c r="G151" s="459">
        <f>G83*Calc_SEC_retirement_rates!$G130</f>
        <v>21.238762339761763</v>
      </c>
      <c r="H151" s="459">
        <f>H83*Calc_SEC_retirement_rates!$G130</f>
        <v>20.8530129093139</v>
      </c>
      <c r="I151" s="459">
        <f>I83*Calc_SEC_retirement_rates!$G130</f>
        <v>20.602508065243875</v>
      </c>
      <c r="J151" s="459">
        <f>J83*Calc_SEC_retirement_rates!$G130</f>
        <v>20.476265783192982</v>
      </c>
      <c r="K151" s="459">
        <f>K83*Calc_SEC_retirement_rates!$G130</f>
        <v>20.388208334185041</v>
      </c>
      <c r="L151" s="459">
        <f>L83*Calc_SEC_retirement_rates!$G130</f>
        <v>20.320540635540237</v>
      </c>
      <c r="M151" s="459">
        <f>M83*Calc_SEC_retirement_rates!$G130</f>
        <v>20.322003955975593</v>
      </c>
      <c r="N151" s="459">
        <f>N83*Calc_SEC_retirement_rates!$G130</f>
        <v>20.350674675011319</v>
      </c>
    </row>
    <row r="152" spans="1:14">
      <c r="B152" s="338" t="str">
        <f t="shared" si="56"/>
        <v>55-59</v>
      </c>
      <c r="C152" s="459">
        <f>C84*Calc_SEC_retirement_rates!$G131</f>
        <v>104.48205952002407</v>
      </c>
      <c r="D152" s="459">
        <f>D84*Calc_SEC_retirement_rates!$G131</f>
        <v>101.47707300099422</v>
      </c>
      <c r="E152" s="459">
        <f>E84*Calc_SEC_retirement_rates!$G131</f>
        <v>97.146384280179703</v>
      </c>
      <c r="F152" s="459">
        <f>F84*Calc_SEC_retirement_rates!$G131</f>
        <v>93.757482418444624</v>
      </c>
      <c r="G152" s="459">
        <f>G84*Calc_SEC_retirement_rates!$G131</f>
        <v>90.873887892779109</v>
      </c>
      <c r="H152" s="459">
        <f>H84*Calc_SEC_retirement_rates!$G131</f>
        <v>88.383660047865149</v>
      </c>
      <c r="I152" s="459">
        <f>I84*Calc_SEC_retirement_rates!$G131</f>
        <v>86.491941289209336</v>
      </c>
      <c r="J152" s="459">
        <f>J84*Calc_SEC_retirement_rates!$G131</f>
        <v>85.182116389604133</v>
      </c>
      <c r="K152" s="459">
        <f>K84*Calc_SEC_retirement_rates!$G131</f>
        <v>84.039005658634565</v>
      </c>
      <c r="L152" s="459">
        <f>L84*Calc_SEC_retirement_rates!$G131</f>
        <v>83.028993876847579</v>
      </c>
      <c r="M152" s="459">
        <f>M84*Calc_SEC_retirement_rates!$G131</f>
        <v>82.439886998364742</v>
      </c>
      <c r="N152" s="459">
        <f>N84*Calc_SEC_retirement_rates!$G131</f>
        <v>82.041771282402706</v>
      </c>
    </row>
    <row r="153" spans="1:14">
      <c r="B153" s="338" t="str">
        <f t="shared" si="56"/>
        <v>60-64</v>
      </c>
      <c r="C153" s="459">
        <f>C85*Calc_SEC_retirement_rates!$G132</f>
        <v>78.615736867481033</v>
      </c>
      <c r="D153" s="459">
        <f>D85*Calc_SEC_retirement_rates!$G132</f>
        <v>73.304827387208206</v>
      </c>
      <c r="E153" s="459">
        <f>E85*Calc_SEC_retirement_rates!$G132</f>
        <v>68.357587688673632</v>
      </c>
      <c r="F153" s="459">
        <f>F85*Calc_SEC_retirement_rates!$G132</f>
        <v>65.132524445216703</v>
      </c>
      <c r="G153" s="459">
        <f>G85*Calc_SEC_retirement_rates!$G132</f>
        <v>62.650120753953594</v>
      </c>
      <c r="H153" s="459">
        <f>H85*Calc_SEC_retirement_rates!$G132</f>
        <v>60.565883863445478</v>
      </c>
      <c r="I153" s="459">
        <f>I85*Calc_SEC_retirement_rates!$G132</f>
        <v>58.990870093624316</v>
      </c>
      <c r="J153" s="459">
        <f>J85*Calc_SEC_retirement_rates!$G132</f>
        <v>57.86720573205082</v>
      </c>
      <c r="K153" s="459">
        <f>K85*Calc_SEC_retirement_rates!$G132</f>
        <v>56.783525572806873</v>
      </c>
      <c r="L153" s="459">
        <f>L85*Calc_SEC_retirement_rates!$G132</f>
        <v>55.747547088617907</v>
      </c>
      <c r="M153" s="459">
        <f>M85*Calc_SEC_retirement_rates!$G132</f>
        <v>55.075371219605117</v>
      </c>
      <c r="N153" s="459">
        <f>N85*Calc_SEC_retirement_rates!$G132</f>
        <v>54.54507352049481</v>
      </c>
    </row>
    <row r="154" spans="1:14">
      <c r="B154" s="338" t="str">
        <f t="shared" si="56"/>
        <v>65 plus</v>
      </c>
      <c r="C154" s="459">
        <f>C86*Calc_SEC_retirement_rates!$G133</f>
        <v>36.181806330993936</v>
      </c>
      <c r="D154" s="459">
        <f>D86*Calc_SEC_retirement_rates!$G133</f>
        <v>33.688793020028847</v>
      </c>
      <c r="E154" s="459">
        <f>E86*Calc_SEC_retirement_rates!$G133</f>
        <v>30.92650093787724</v>
      </c>
      <c r="F154" s="459">
        <f>F86*Calc_SEC_retirement_rates!$G133</f>
        <v>28.881438108668789</v>
      </c>
      <c r="G154" s="459">
        <f>G86*Calc_SEC_retirement_rates!$G133</f>
        <v>27.31782037906774</v>
      </c>
      <c r="H154" s="459">
        <f>H86*Calc_SEC_retirement_rates!$G133</f>
        <v>26.077109908365451</v>
      </c>
      <c r="I154" s="459">
        <f>I86*Calc_SEC_retirement_rates!$G133</f>
        <v>25.157190509327108</v>
      </c>
      <c r="J154" s="459">
        <f>J86*Calc_SEC_retirement_rates!$G133</f>
        <v>24.501191187201854</v>
      </c>
      <c r="K154" s="459">
        <f>K86*Calc_SEC_retirement_rates!$G133</f>
        <v>23.908151415438859</v>
      </c>
      <c r="L154" s="459">
        <f>L86*Calc_SEC_retirement_rates!$G133</f>
        <v>23.34789494502656</v>
      </c>
      <c r="M154" s="459">
        <f>M86*Calc_SEC_retirement_rates!$G133</f>
        <v>22.942613993224349</v>
      </c>
      <c r="N154" s="459">
        <f>N86*Calc_SEC_retirement_rates!$G133</f>
        <v>22.60918794895354</v>
      </c>
    </row>
    <row r="155" spans="1:14">
      <c r="B155" s="338" t="str">
        <f t="shared" si="56"/>
        <v>Total</v>
      </c>
      <c r="C155" s="459">
        <f>SUM(C145:C154)</f>
        <v>245.20136939653224</v>
      </c>
      <c r="D155" s="459">
        <f t="shared" ref="D155:N155" si="58">SUM(D145:D154)</f>
        <v>233.72238481176637</v>
      </c>
      <c r="E155" s="459">
        <f t="shared" si="58"/>
        <v>220.81193396455424</v>
      </c>
      <c r="F155" s="459">
        <f t="shared" si="58"/>
        <v>211.52271779707488</v>
      </c>
      <c r="G155" s="459">
        <f t="shared" si="58"/>
        <v>204.11266671740299</v>
      </c>
      <c r="H155" s="459">
        <f t="shared" si="58"/>
        <v>197.92856922193687</v>
      </c>
      <c r="I155" s="459">
        <f t="shared" si="58"/>
        <v>193.31303873527253</v>
      </c>
      <c r="J155" s="459">
        <f t="shared" si="58"/>
        <v>190.12372130083833</v>
      </c>
      <c r="K155" s="459">
        <f t="shared" si="58"/>
        <v>187.2383392942366</v>
      </c>
      <c r="L155" s="459">
        <f t="shared" si="58"/>
        <v>184.5821886160721</v>
      </c>
      <c r="M155" s="459">
        <f t="shared" si="58"/>
        <v>182.93695241848442</v>
      </c>
      <c r="N155" s="459">
        <f t="shared" si="58"/>
        <v>181.72187519874808</v>
      </c>
    </row>
    <row r="156" spans="1:14">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4">
      <c r="B158" s="341" t="s">
        <v>50</v>
      </c>
      <c r="C158" s="329"/>
      <c r="D158" s="329"/>
      <c r="E158" s="329"/>
      <c r="F158" s="329"/>
      <c r="G158" s="329"/>
      <c r="H158" s="339"/>
      <c r="I158" s="329"/>
      <c r="J158" s="329"/>
      <c r="K158" s="329"/>
      <c r="L158" s="329"/>
    </row>
    <row r="159" spans="1:14">
      <c r="C159" s="329"/>
      <c r="D159" s="329"/>
      <c r="E159" s="329"/>
      <c r="F159" s="329"/>
      <c r="G159" s="329"/>
      <c r="H159" s="339"/>
      <c r="I159" s="329"/>
      <c r="J159" s="329"/>
      <c r="K159" s="329"/>
      <c r="L159" s="329"/>
    </row>
    <row r="160" spans="1:14">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4">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row>
    <row r="162" spans="1:14">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row>
    <row r="163" spans="1:14">
      <c r="B163" s="338" t="str">
        <f t="shared" si="60"/>
        <v>30-34</v>
      </c>
      <c r="C163" s="459">
        <f>C95*Calc_SEC_retirement_rates!$G142</f>
        <v>8.4334341037034036E-2</v>
      </c>
      <c r="D163" s="459">
        <f>D95*Calc_SEC_retirement_rates!$G142</f>
        <v>8.3438030862154705E-2</v>
      </c>
      <c r="E163" s="459">
        <f>E95*Calc_SEC_retirement_rates!$G142</f>
        <v>8.1464828530654163E-2</v>
      </c>
      <c r="F163" s="459">
        <f>F95*Calc_SEC_retirement_rates!$G142</f>
        <v>8.0868767431194449E-2</v>
      </c>
      <c r="G163" s="459">
        <f>G95*Calc_SEC_retirement_rates!$G142</f>
        <v>8.0876365580152543E-2</v>
      </c>
      <c r="H163" s="459">
        <f>H95*Calc_SEC_retirement_rates!$G142</f>
        <v>8.1107873132894137E-2</v>
      </c>
      <c r="I163" s="459">
        <f>I95*Calc_SEC_retirement_rates!$G142</f>
        <v>8.1715428983805877E-2</v>
      </c>
      <c r="J163" s="459">
        <f>J95*Calc_SEC_retirement_rates!$G142</f>
        <v>8.2658869595503462E-2</v>
      </c>
      <c r="K163" s="459">
        <f>K95*Calc_SEC_retirement_rates!$G142</f>
        <v>8.3340887103619268E-2</v>
      </c>
      <c r="L163" s="459">
        <f>L95*Calc_SEC_retirement_rates!$G142</f>
        <v>8.3664054716927491E-2</v>
      </c>
      <c r="M163" s="459">
        <f>M95*Calc_SEC_retirement_rates!$G142</f>
        <v>8.4069911739145159E-2</v>
      </c>
      <c r="N163" s="459">
        <f>N95*Calc_SEC_retirement_rates!$G142</f>
        <v>8.4340594703015512E-2</v>
      </c>
    </row>
    <row r="164" spans="1:14">
      <c r="B164" s="338" t="str">
        <f t="shared" si="60"/>
        <v>35-39</v>
      </c>
      <c r="C164" s="459">
        <f>C96*Calc_SEC_retirement_rates!$G143</f>
        <v>0.21327987255231087</v>
      </c>
      <c r="D164" s="459">
        <f>D96*Calc_SEC_retirement_rates!$G143</f>
        <v>0.22145521611828134</v>
      </c>
      <c r="E164" s="459">
        <f>E96*Calc_SEC_retirement_rates!$G143</f>
        <v>0.22257214311692225</v>
      </c>
      <c r="F164" s="459">
        <f>F96*Calc_SEC_retirement_rates!$G143</f>
        <v>0.22328863057783427</v>
      </c>
      <c r="G164" s="459">
        <f>G96*Calc_SEC_retirement_rates!$G143</f>
        <v>0.22345500433329654</v>
      </c>
      <c r="H164" s="459">
        <f>H96*Calc_SEC_retirement_rates!$G143</f>
        <v>0.22325607894465085</v>
      </c>
      <c r="I164" s="459">
        <f>I96*Calc_SEC_retirement_rates!$G143</f>
        <v>0.22349994917437072</v>
      </c>
      <c r="J164" s="459">
        <f>J96*Calc_SEC_retirement_rates!$G143</f>
        <v>0.22439168713585619</v>
      </c>
      <c r="K164" s="459">
        <f>K96*Calc_SEC_retirement_rates!$G143</f>
        <v>0.2249936728913397</v>
      </c>
      <c r="L164" s="459">
        <f>L96*Calc_SEC_retirement_rates!$G143</f>
        <v>0.22520272979639966</v>
      </c>
      <c r="M164" s="459">
        <f>M96*Calc_SEC_retirement_rates!$G143</f>
        <v>0.22579857563821187</v>
      </c>
      <c r="N164" s="459">
        <f>N96*Calc_SEC_retirement_rates!$G143</f>
        <v>0.22630982854394091</v>
      </c>
    </row>
    <row r="165" spans="1:14">
      <c r="B165" s="338" t="str">
        <f t="shared" si="60"/>
        <v>40-44</v>
      </c>
      <c r="C165" s="459">
        <f>C97*Calc_SEC_retirement_rates!$G144</f>
        <v>0.30924840655503338</v>
      </c>
      <c r="D165" s="459">
        <f>D97*Calc_SEC_retirement_rates!$G144</f>
        <v>0.31928481757526289</v>
      </c>
      <c r="E165" s="459">
        <f>E97*Calc_SEC_retirement_rates!$G144</f>
        <v>0.32317660529993919</v>
      </c>
      <c r="F165" s="459">
        <f>F97*Calc_SEC_retirement_rates!$G144</f>
        <v>0.32758506928605735</v>
      </c>
      <c r="G165" s="459">
        <f>G97*Calc_SEC_retirement_rates!$G144</f>
        <v>0.33097381337155291</v>
      </c>
      <c r="H165" s="459">
        <f>H97*Calc_SEC_retirement_rates!$G144</f>
        <v>0.33308812953815747</v>
      </c>
      <c r="I165" s="459">
        <f>I97*Calc_SEC_retirement_rates!$G144</f>
        <v>0.33495073705710654</v>
      </c>
      <c r="J165" s="459">
        <f>J97*Calc_SEC_retirement_rates!$G144</f>
        <v>0.33693051489746867</v>
      </c>
      <c r="K165" s="459">
        <f>K97*Calc_SEC_retirement_rates!$G144</f>
        <v>0.33793579456649553</v>
      </c>
      <c r="L165" s="459">
        <f>L97*Calc_SEC_retirement_rates!$G144</f>
        <v>0.33807616106016841</v>
      </c>
      <c r="M165" s="459">
        <f>M97*Calc_SEC_retirement_rates!$G144</f>
        <v>0.33860971543639556</v>
      </c>
      <c r="N165" s="459">
        <f>N97*Calc_SEC_retirement_rates!$G144</f>
        <v>0.33899833150302749</v>
      </c>
    </row>
    <row r="166" spans="1:14">
      <c r="B166" s="338" t="str">
        <f t="shared" si="60"/>
        <v>45-49</v>
      </c>
      <c r="C166" s="459">
        <f>C98*Calc_SEC_retirement_rates!$G145</f>
        <v>0.50655039670975133</v>
      </c>
      <c r="D166" s="459">
        <f>D98*Calc_SEC_retirement_rates!$G145</f>
        <v>0.53180370161508139</v>
      </c>
      <c r="E166" s="459">
        <f>E98*Calc_SEC_retirement_rates!$G145</f>
        <v>0.54423855416275657</v>
      </c>
      <c r="F166" s="459">
        <f>F98*Calc_SEC_retirement_rates!$G145</f>
        <v>0.55676673122699005</v>
      </c>
      <c r="G166" s="459">
        <f>G98*Calc_SEC_retirement_rates!$G145</f>
        <v>0.56744556489322084</v>
      </c>
      <c r="H166" s="459">
        <f>H98*Calc_SEC_retirement_rates!$G145</f>
        <v>0.5758003895641276</v>
      </c>
      <c r="I166" s="459">
        <f>I98*Calc_SEC_retirement_rates!$G145</f>
        <v>0.58329195998474648</v>
      </c>
      <c r="J166" s="459">
        <f>J98*Calc_SEC_retirement_rates!$G145</f>
        <v>0.5903410542866625</v>
      </c>
      <c r="K166" s="459">
        <f>K98*Calc_SEC_retirement_rates!$G145</f>
        <v>0.59504777637945727</v>
      </c>
      <c r="L166" s="459">
        <f>L98*Calc_SEC_retirement_rates!$G145</f>
        <v>0.59757936072904916</v>
      </c>
      <c r="M166" s="459">
        <f>M98*Calc_SEC_retirement_rates!$G145</f>
        <v>0.60008755322307283</v>
      </c>
      <c r="N166" s="459">
        <f>N98*Calc_SEC_retirement_rates!$G145</f>
        <v>0.60182082793696023</v>
      </c>
    </row>
    <row r="167" spans="1:14">
      <c r="B167" s="338" t="str">
        <f t="shared" si="60"/>
        <v>50-54</v>
      </c>
      <c r="C167" s="459">
        <f>C99*Calc_SEC_retirement_rates!$G146</f>
        <v>10.236316599391268</v>
      </c>
      <c r="D167" s="459">
        <f>D99*Calc_SEC_retirement_rates!$G146</f>
        <v>10.061695329953613</v>
      </c>
      <c r="E167" s="459">
        <f>E99*Calc_SEC_retirement_rates!$G146</f>
        <v>9.8789397449571705</v>
      </c>
      <c r="F167" s="459">
        <f>F99*Calc_SEC_retirement_rates!$G146</f>
        <v>9.8287415261522693</v>
      </c>
      <c r="G167" s="459">
        <f>G99*Calc_SEC_retirement_rates!$G146</f>
        <v>9.83999151498214</v>
      </c>
      <c r="H167" s="459">
        <f>H99*Calc_SEC_retirement_rates!$G146</f>
        <v>9.8785052083743228</v>
      </c>
      <c r="I167" s="459">
        <f>I99*Calc_SEC_retirement_rates!$G146</f>
        <v>9.9484733332787361</v>
      </c>
      <c r="J167" s="459">
        <f>J99*Calc_SEC_retirement_rates!$G146</f>
        <v>10.042118322761413</v>
      </c>
      <c r="K167" s="459">
        <f>K99*Calc_SEC_retirement_rates!$G146</f>
        <v>10.117874923855934</v>
      </c>
      <c r="L167" s="459">
        <f>L99*Calc_SEC_retirement_rates!$G146</f>
        <v>10.170025231913881</v>
      </c>
      <c r="M167" s="459">
        <f>M99*Calc_SEC_retirement_rates!$G146</f>
        <v>10.227050448371552</v>
      </c>
      <c r="N167" s="459">
        <f>N99*Calc_SEC_retirement_rates!$G146</f>
        <v>10.272952548355093</v>
      </c>
    </row>
    <row r="168" spans="1:14">
      <c r="B168" s="338" t="str">
        <f t="shared" si="60"/>
        <v>55-59</v>
      </c>
      <c r="C168" s="459">
        <f>C100*Calc_SEC_retirement_rates!$G147</f>
        <v>45.039166057092672</v>
      </c>
      <c r="D168" s="459">
        <f>D100*Calc_SEC_retirement_rates!$G147</f>
        <v>46.351783491370625</v>
      </c>
      <c r="E168" s="459">
        <f>E100*Calc_SEC_retirement_rates!$G147</f>
        <v>46.009436199066926</v>
      </c>
      <c r="F168" s="459">
        <f>F100*Calc_SEC_retirement_rates!$G147</f>
        <v>45.715928396030726</v>
      </c>
      <c r="G168" s="459">
        <f>G100*Calc_SEC_retirement_rates!$G147</f>
        <v>45.453934957742426</v>
      </c>
      <c r="H168" s="459">
        <f>H100*Calc_SEC_retirement_rates!$G147</f>
        <v>45.246917757248283</v>
      </c>
      <c r="I168" s="459">
        <f>I100*Calc_SEC_retirement_rates!$G147</f>
        <v>45.231484117226074</v>
      </c>
      <c r="J168" s="459">
        <f>J100*Calc_SEC_retirement_rates!$G147</f>
        <v>45.40343793630263</v>
      </c>
      <c r="K168" s="459">
        <f>K100*Calc_SEC_retirement_rates!$G147</f>
        <v>45.536774816218141</v>
      </c>
      <c r="L168" s="459">
        <f>L100*Calc_SEC_retirement_rates!$G147</f>
        <v>45.611697782636142</v>
      </c>
      <c r="M168" s="459">
        <f>M100*Calc_SEC_retirement_rates!$G147</f>
        <v>45.787779302975906</v>
      </c>
      <c r="N168" s="459">
        <f>N100*Calc_SEC_retirement_rates!$G147</f>
        <v>45.950400848927835</v>
      </c>
    </row>
    <row r="169" spans="1:14">
      <c r="B169" s="338" t="str">
        <f t="shared" si="60"/>
        <v>60-64</v>
      </c>
      <c r="C169" s="459">
        <f>C101*Calc_SEC_retirement_rates!$G148</f>
        <v>34.622353721063547</v>
      </c>
      <c r="D169" s="459">
        <f>D101*Calc_SEC_retirement_rates!$G148</f>
        <v>34.646729658718463</v>
      </c>
      <c r="E169" s="459">
        <f>E101*Calc_SEC_retirement_rates!$G148</f>
        <v>34.083388684868908</v>
      </c>
      <c r="F169" s="459">
        <f>F101*Calc_SEC_retirement_rates!$G148</f>
        <v>33.917143334855794</v>
      </c>
      <c r="G169" s="459">
        <f>G101*Calc_SEC_retirement_rates!$G148</f>
        <v>33.736604442541896</v>
      </c>
      <c r="H169" s="459">
        <f>H101*Calc_SEC_retirement_rates!$G148</f>
        <v>33.499717271142046</v>
      </c>
      <c r="I169" s="459">
        <f>I101*Calc_SEC_retirement_rates!$G148</f>
        <v>33.386056005854059</v>
      </c>
      <c r="J169" s="459">
        <f>J101*Calc_SEC_retirement_rates!$G148</f>
        <v>33.417377698505739</v>
      </c>
      <c r="K169" s="459">
        <f>K101*Calc_SEC_retirement_rates!$G148</f>
        <v>33.366196278710341</v>
      </c>
      <c r="L169" s="459">
        <f>L101*Calc_SEC_retirement_rates!$G148</f>
        <v>33.254930020325311</v>
      </c>
      <c r="M169" s="459">
        <f>M101*Calc_SEC_retirement_rates!$G148</f>
        <v>33.288029210840534</v>
      </c>
      <c r="N169" s="459">
        <f>N101*Calc_SEC_retirement_rates!$G148</f>
        <v>33.328093545920488</v>
      </c>
    </row>
    <row r="170" spans="1:14">
      <c r="B170" s="338" t="str">
        <f t="shared" si="60"/>
        <v>65 plus</v>
      </c>
      <c r="C170" s="459">
        <f>C102*Calc_SEC_retirement_rates!$G149</f>
        <v>7.9462663448907973</v>
      </c>
      <c r="D170" s="459">
        <f>D102*Calc_SEC_retirement_rates!$G149</f>
        <v>10.451126258128465</v>
      </c>
      <c r="E170" s="459">
        <f>E102*Calc_SEC_retirement_rates!$G149</f>
        <v>11.290726501104364</v>
      </c>
      <c r="F170" s="459">
        <f>F102*Calc_SEC_retirement_rates!$G149</f>
        <v>11.72142513263789</v>
      </c>
      <c r="G170" s="459">
        <f>G102*Calc_SEC_retirement_rates!$G149</f>
        <v>11.909773566187187</v>
      </c>
      <c r="H170" s="459">
        <f>H102*Calc_SEC_retirement_rates!$G149</f>
        <v>11.949954846843749</v>
      </c>
      <c r="I170" s="459">
        <f>I102*Calc_SEC_retirement_rates!$G149</f>
        <v>11.964505993661966</v>
      </c>
      <c r="J170" s="459">
        <f>J102*Calc_SEC_retirement_rates!$G149</f>
        <v>11.994340814489435</v>
      </c>
      <c r="K170" s="459">
        <f>K102*Calc_SEC_retirement_rates!$G149</f>
        <v>11.962975661945739</v>
      </c>
      <c r="L170" s="459">
        <f>L102*Calc_SEC_retirement_rates!$G149</f>
        <v>11.886025708526999</v>
      </c>
      <c r="M170" s="459">
        <f>M102*Calc_SEC_retirement_rates!$G149</f>
        <v>11.858822347996313</v>
      </c>
      <c r="N170" s="459">
        <f>N102*Calc_SEC_retirement_rates!$G149</f>
        <v>11.836831925154035</v>
      </c>
    </row>
    <row r="171" spans="1:14">
      <c r="B171" s="338" t="str">
        <f t="shared" si="60"/>
        <v>Total</v>
      </c>
      <c r="C171" s="459">
        <f>SUM(C161:C170)</f>
        <v>98.957515739292418</v>
      </c>
      <c r="D171" s="459">
        <f t="shared" ref="D171:N171" si="62">SUM(D161:D170)</f>
        <v>102.66731650434194</v>
      </c>
      <c r="E171" s="459">
        <f t="shared" si="62"/>
        <v>102.43394326110763</v>
      </c>
      <c r="F171" s="459">
        <f t="shared" si="62"/>
        <v>102.37174758819876</v>
      </c>
      <c r="G171" s="459">
        <f t="shared" si="62"/>
        <v>102.14305522963187</v>
      </c>
      <c r="H171" s="459">
        <f t="shared" si="62"/>
        <v>101.78834755478823</v>
      </c>
      <c r="I171" s="459">
        <f t="shared" si="62"/>
        <v>101.75397752522088</v>
      </c>
      <c r="J171" s="459">
        <f t="shared" si="62"/>
        <v>102.0915968979747</v>
      </c>
      <c r="K171" s="459">
        <f t="shared" si="62"/>
        <v>102.22513981167106</v>
      </c>
      <c r="L171" s="459">
        <f t="shared" si="62"/>
        <v>102.16720104970489</v>
      </c>
      <c r="M171" s="459">
        <f t="shared" si="62"/>
        <v>102.41024706622112</v>
      </c>
      <c r="N171" s="459">
        <f t="shared" si="62"/>
        <v>102.6397484510444</v>
      </c>
    </row>
    <row r="172" spans="1:14">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4" ht="15.75">
      <c r="B174" s="340" t="s">
        <v>516</v>
      </c>
      <c r="H174" s="325"/>
    </row>
    <row r="175" spans="1:14">
      <c r="H175" s="325"/>
    </row>
    <row r="176" spans="1:14">
      <c r="B176" s="341" t="s">
        <v>49</v>
      </c>
      <c r="H176" s="325"/>
    </row>
    <row r="177" spans="1:16">
      <c r="H177" s="325"/>
    </row>
    <row r="178" spans="1:16">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6">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c r="O179" s="327"/>
      <c r="P179" s="327"/>
    </row>
    <row r="180" spans="1:16">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c r="O180" s="327"/>
      <c r="P180" s="327"/>
    </row>
    <row r="181" spans="1:16">
      <c r="B181" s="338" t="str">
        <f t="shared" si="64"/>
        <v>30-34</v>
      </c>
      <c r="C181" s="459">
        <f>C79*Calc_SEC_death_rates!$G126</f>
        <v>0.23938771658540833</v>
      </c>
      <c r="D181" s="459">
        <f>D79*Calc_SEC_death_rates!$G126</f>
        <v>0.25032960038888785</v>
      </c>
      <c r="E181" s="459">
        <f>E79*Calc_SEC_death_rates!$G126</f>
        <v>0.25334611505670862</v>
      </c>
      <c r="F181" s="459">
        <f>F79*Calc_SEC_death_rates!$G126</f>
        <v>0.25800357939412677</v>
      </c>
      <c r="G181" s="459">
        <f>G79*Calc_SEC_death_rates!$G126</f>
        <v>0.26279419226083589</v>
      </c>
      <c r="H181" s="459">
        <f>H79*Calc_SEC_death_rates!$G126</f>
        <v>0.26709054939214272</v>
      </c>
      <c r="I181" s="459">
        <f>I79*Calc_SEC_death_rates!$G126</f>
        <v>0.27177634442178228</v>
      </c>
      <c r="J181" s="459">
        <f>J79*Calc_SEC_death_rates!$G126</f>
        <v>0.27697718426871393</v>
      </c>
      <c r="K181" s="459">
        <f>K79*Calc_SEC_death_rates!$G126</f>
        <v>0.2808952962490911</v>
      </c>
      <c r="L181" s="459">
        <f>L79*Calc_SEC_death_rates!$G126</f>
        <v>0.28329699634174199</v>
      </c>
      <c r="M181" s="459">
        <f>M79*Calc_SEC_death_rates!$G126</f>
        <v>0.28569578672189955</v>
      </c>
      <c r="N181" s="459">
        <f>N79*Calc_SEC_death_rates!$G126</f>
        <v>0.28743999544272025</v>
      </c>
      <c r="O181" s="327"/>
      <c r="P181" s="327"/>
    </row>
    <row r="182" spans="1:16">
      <c r="B182" s="338" t="str">
        <f t="shared" si="64"/>
        <v>35-39</v>
      </c>
      <c r="C182" s="459">
        <f>C80*Calc_SEC_death_rates!$G127</f>
        <v>0.39911336973657047</v>
      </c>
      <c r="D182" s="459">
        <f>D80*Calc_SEC_death_rates!$G127</f>
        <v>0.42072903990597837</v>
      </c>
      <c r="E182" s="459">
        <f>E80*Calc_SEC_death_rates!$G127</f>
        <v>0.4310075772903415</v>
      </c>
      <c r="F182" s="459">
        <f>F80*Calc_SEC_death_rates!$G127</f>
        <v>0.44155497460039117</v>
      </c>
      <c r="G182" s="459">
        <f>G80*Calc_SEC_death_rates!$G127</f>
        <v>0.45081867585924074</v>
      </c>
      <c r="H182" s="459">
        <f>H80*Calc_SEC_death_rates!$G127</f>
        <v>0.45860564659432229</v>
      </c>
      <c r="I182" s="459">
        <f>I80*Calc_SEC_death_rates!$G127</f>
        <v>0.46639650109873293</v>
      </c>
      <c r="J182" s="459">
        <f>J80*Calc_SEC_death_rates!$G127</f>
        <v>0.47459360614385626</v>
      </c>
      <c r="K182" s="459">
        <f>K80*Calc_SEC_death_rates!$G127</f>
        <v>0.48127588465785381</v>
      </c>
      <c r="L182" s="459">
        <f>L80*Calc_SEC_death_rates!$G127</f>
        <v>0.4863082122565503</v>
      </c>
      <c r="M182" s="459">
        <f>M80*Calc_SEC_death_rates!$G127</f>
        <v>0.49142938859636059</v>
      </c>
      <c r="N182" s="459">
        <f>N80*Calc_SEC_death_rates!$G127</f>
        <v>0.49574294041995415</v>
      </c>
      <c r="O182" s="327"/>
      <c r="P182" s="327"/>
    </row>
    <row r="183" spans="1:16">
      <c r="B183" s="338" t="str">
        <f t="shared" si="64"/>
        <v>40-44</v>
      </c>
      <c r="C183" s="459">
        <f>C81*Calc_SEC_death_rates!$G128</f>
        <v>0.68055093730867455</v>
      </c>
      <c r="D183" s="459">
        <f>D81*Calc_SEC_death_rates!$G128</f>
        <v>0.70411158397344176</v>
      </c>
      <c r="E183" s="459">
        <f>E81*Calc_SEC_death_rates!$G128</f>
        <v>0.71475390512119141</v>
      </c>
      <c r="F183" s="459">
        <f>F81*Calc_SEC_death_rates!$G128</f>
        <v>0.7289298801111237</v>
      </c>
      <c r="G183" s="459">
        <f>G81*Calc_SEC_death_rates!$G128</f>
        <v>0.74278411243717057</v>
      </c>
      <c r="H183" s="459">
        <f>H81*Calc_SEC_death_rates!$G128</f>
        <v>0.75512191920225757</v>
      </c>
      <c r="I183" s="459">
        <f>I81*Calc_SEC_death_rates!$G128</f>
        <v>0.76772703396471775</v>
      </c>
      <c r="J183" s="459">
        <f>J81*Calc_SEC_death_rates!$G128</f>
        <v>0.78093755638319551</v>
      </c>
      <c r="K183" s="459">
        <f>K81*Calc_SEC_death_rates!$G128</f>
        <v>0.79176808661209663</v>
      </c>
      <c r="L183" s="459">
        <f>L81*Calc_SEC_death_rates!$G128</f>
        <v>0.8001853981811804</v>
      </c>
      <c r="M183" s="459">
        <f>M81*Calc_SEC_death_rates!$G128</f>
        <v>0.80897759731617602</v>
      </c>
      <c r="N183" s="459">
        <f>N81*Calc_SEC_death_rates!$G128</f>
        <v>0.81677729858657599</v>
      </c>
      <c r="O183" s="327"/>
      <c r="P183" s="327"/>
    </row>
    <row r="184" spans="1:16">
      <c r="B184" s="338" t="str">
        <f t="shared" si="64"/>
        <v>45-49</v>
      </c>
      <c r="C184" s="459">
        <f>C82*Calc_SEC_death_rates!$G129</f>
        <v>0.74471476450677165</v>
      </c>
      <c r="D184" s="459">
        <f>D82*Calc_SEC_death_rates!$G129</f>
        <v>0.73570167812085741</v>
      </c>
      <c r="E184" s="459">
        <f>E82*Calc_SEC_death_rates!$G129</f>
        <v>0.72162299316996537</v>
      </c>
      <c r="F184" s="459">
        <f>F82*Calc_SEC_death_rates!$G129</f>
        <v>0.71592598669433871</v>
      </c>
      <c r="G184" s="459">
        <f>G82*Calc_SEC_death_rates!$G129</f>
        <v>0.71441924580503491</v>
      </c>
      <c r="H184" s="459">
        <f>H82*Calc_SEC_death_rates!$G129</f>
        <v>0.71517124265367626</v>
      </c>
      <c r="I184" s="459">
        <f>I82*Calc_SEC_death_rates!$G129</f>
        <v>0.71890443270698101</v>
      </c>
      <c r="J184" s="459">
        <f>J82*Calc_SEC_death_rates!$G129</f>
        <v>0.72521834636086513</v>
      </c>
      <c r="K184" s="459">
        <f>K82*Calc_SEC_death_rates!$G129</f>
        <v>0.73096782685892991</v>
      </c>
      <c r="L184" s="459">
        <f>L82*Calc_SEC_death_rates!$G129</f>
        <v>0.73571057273126661</v>
      </c>
      <c r="M184" s="459">
        <f>M82*Calc_SEC_death_rates!$G129</f>
        <v>0.74159284963729188</v>
      </c>
      <c r="N184" s="459">
        <f>N82*Calc_SEC_death_rates!$G129</f>
        <v>0.74725475437893452</v>
      </c>
      <c r="O184" s="327"/>
      <c r="P184" s="327"/>
    </row>
    <row r="185" spans="1:16">
      <c r="B185" s="338" t="str">
        <f t="shared" si="64"/>
        <v>50-54</v>
      </c>
      <c r="C185" s="459">
        <f>C83*Calc_SEC_death_rates!$G130</f>
        <v>1.3559098669057603</v>
      </c>
      <c r="D185" s="459">
        <f>D83*Calc_SEC_death_rates!$G130</f>
        <v>1.316682472775768</v>
      </c>
      <c r="E185" s="459">
        <f>E83*Calc_SEC_death_rates!$G130</f>
        <v>1.2676597930433533</v>
      </c>
      <c r="F185" s="459">
        <f>F83*Calc_SEC_death_rates!$G130</f>
        <v>1.2313520476298059</v>
      </c>
      <c r="G185" s="459">
        <f>G83*Calc_SEC_death_rates!$G130</f>
        <v>1.2032418018095881</v>
      </c>
      <c r="H185" s="459">
        <f>H83*Calc_SEC_death_rates!$G130</f>
        <v>1.1813878993874982</v>
      </c>
      <c r="I185" s="459">
        <f>I83*Calc_SEC_death_rates!$G130</f>
        <v>1.1671960225201465</v>
      </c>
      <c r="J185" s="459">
        <f>J83*Calc_SEC_death_rates!$G130</f>
        <v>1.1600440054445047</v>
      </c>
      <c r="K185" s="459">
        <f>K83*Calc_SEC_death_rates!$G130</f>
        <v>1.1550552776687479</v>
      </c>
      <c r="L185" s="459">
        <f>L83*Calc_SEC_death_rates!$G130</f>
        <v>1.1512216925313856</v>
      </c>
      <c r="M185" s="459">
        <f>M83*Calc_SEC_death_rates!$G130</f>
        <v>1.1513045941755158</v>
      </c>
      <c r="N185" s="459">
        <f>N83*Calc_SEC_death_rates!$G130</f>
        <v>1.1529288793894965</v>
      </c>
      <c r="O185" s="327"/>
      <c r="P185" s="327"/>
    </row>
    <row r="186" spans="1:16">
      <c r="B186" s="338" t="str">
        <f t="shared" si="64"/>
        <v>55-59</v>
      </c>
      <c r="C186" s="459">
        <f>C84*Calc_SEC_death_rates!$G131</f>
        <v>0.71688724435625251</v>
      </c>
      <c r="D186" s="459">
        <f>D84*Calc_SEC_death_rates!$G131</f>
        <v>0.69626900123536406</v>
      </c>
      <c r="E186" s="459">
        <f>E84*Calc_SEC_death_rates!$G131</f>
        <v>0.66655466063477109</v>
      </c>
      <c r="F186" s="459">
        <f>F84*Calc_SEC_death_rates!$G131</f>
        <v>0.64330224267695479</v>
      </c>
      <c r="G186" s="459">
        <f>G84*Calc_SEC_death_rates!$G131</f>
        <v>0.62351691165609247</v>
      </c>
      <c r="H186" s="459">
        <f>H84*Calc_SEC_death_rates!$G131</f>
        <v>0.60643060434399887</v>
      </c>
      <c r="I186" s="459">
        <f>I84*Calc_SEC_death_rates!$G131</f>
        <v>0.59345087314210876</v>
      </c>
      <c r="J186" s="459">
        <f>J84*Calc_SEC_death_rates!$G131</f>
        <v>0.58446371527806207</v>
      </c>
      <c r="K186" s="459">
        <f>K84*Calc_SEC_death_rates!$G131</f>
        <v>0.57662044050262773</v>
      </c>
      <c r="L186" s="459">
        <f>L84*Calc_SEC_death_rates!$G131</f>
        <v>0.56969040326619824</v>
      </c>
      <c r="M186" s="459">
        <f>M84*Calc_SEC_death_rates!$G131</f>
        <v>0.56564833892819633</v>
      </c>
      <c r="N186" s="459">
        <f>N84*Calc_SEC_death_rates!$G131</f>
        <v>0.56291673046008184</v>
      </c>
      <c r="O186" s="327"/>
      <c r="P186" s="327"/>
    </row>
    <row r="187" spans="1:16">
      <c r="B187" s="338" t="str">
        <f t="shared" si="64"/>
        <v>60-64</v>
      </c>
      <c r="C187" s="459">
        <f>C85*Calc_SEC_death_rates!$G132</f>
        <v>0.60799926132969562</v>
      </c>
      <c r="D187" s="459">
        <f>D85*Calc_SEC_death_rates!$G132</f>
        <v>0.56692569044352825</v>
      </c>
      <c r="E187" s="459">
        <f>E85*Calc_SEC_death_rates!$G132</f>
        <v>0.52866467296556108</v>
      </c>
      <c r="F187" s="459">
        <f>F85*Calc_SEC_death_rates!$G132</f>
        <v>0.50372264293576363</v>
      </c>
      <c r="G187" s="459">
        <f>G85*Calc_SEC_death_rates!$G132</f>
        <v>0.48452420162172694</v>
      </c>
      <c r="H187" s="459">
        <f>H85*Calc_SEC_death_rates!$G132</f>
        <v>0.46840510714575556</v>
      </c>
      <c r="I187" s="459">
        <f>I85*Calc_SEC_death_rates!$G132</f>
        <v>0.45622424811177409</v>
      </c>
      <c r="J187" s="459">
        <f>J85*Calc_SEC_death_rates!$G132</f>
        <v>0.44753404015797971</v>
      </c>
      <c r="K187" s="459">
        <f>K85*Calc_SEC_death_rates!$G132</f>
        <v>0.43915306247346592</v>
      </c>
      <c r="L187" s="459">
        <f>L85*Calc_SEC_death_rates!$G132</f>
        <v>0.43114100053474619</v>
      </c>
      <c r="M187" s="459">
        <f>M85*Calc_SEC_death_rates!$G132</f>
        <v>0.42594251931294813</v>
      </c>
      <c r="N187" s="459">
        <f>N85*Calc_SEC_death_rates!$G132</f>
        <v>0.42184129706163992</v>
      </c>
      <c r="O187" s="327"/>
      <c r="P187" s="327"/>
    </row>
    <row r="188" spans="1:16">
      <c r="B188" s="338" t="str">
        <f t="shared" si="64"/>
        <v>65 plus</v>
      </c>
      <c r="C188" s="459">
        <f>C86*Calc_SEC_death_rates!$G133</f>
        <v>0.79500789815414463</v>
      </c>
      <c r="D188" s="459">
        <f>D86*Calc_SEC_death_rates!$G133</f>
        <v>0.74022994554753652</v>
      </c>
      <c r="E188" s="459">
        <f>E86*Calc_SEC_death_rates!$G133</f>
        <v>0.67953524163392853</v>
      </c>
      <c r="F188" s="459">
        <f>F86*Calc_SEC_death_rates!$G133</f>
        <v>0.63459992009224364</v>
      </c>
      <c r="G188" s="459">
        <f>G86*Calc_SEC_death_rates!$G133</f>
        <v>0.60024319303017226</v>
      </c>
      <c r="H188" s="459">
        <f>H86*Calc_SEC_death_rates!$G133</f>
        <v>0.57298157390293925</v>
      </c>
      <c r="I188" s="459">
        <f>I86*Calc_SEC_death_rates!$G133</f>
        <v>0.5527685646017918</v>
      </c>
      <c r="J188" s="459">
        <f>J86*Calc_SEC_death_rates!$G133</f>
        <v>0.53835456222992584</v>
      </c>
      <c r="K188" s="459">
        <f>K86*Calc_SEC_death_rates!$G133</f>
        <v>0.5253239440745453</v>
      </c>
      <c r="L188" s="459">
        <f>L86*Calc_SEC_death_rates!$G133</f>
        <v>0.51301365986996161</v>
      </c>
      <c r="M188" s="459">
        <f>M86*Calc_SEC_death_rates!$G133</f>
        <v>0.50410858877686404</v>
      </c>
      <c r="N188" s="459">
        <f>N86*Calc_SEC_death_rates!$G133</f>
        <v>0.49678235591218484</v>
      </c>
      <c r="O188" s="327"/>
      <c r="P188" s="327"/>
    </row>
    <row r="189" spans="1:16">
      <c r="B189" s="338" t="str">
        <f t="shared" si="64"/>
        <v>Total</v>
      </c>
      <c r="C189" s="459">
        <f>SUM(C179:C188)</f>
        <v>5.5395710588832774</v>
      </c>
      <c r="D189" s="459">
        <f t="shared" ref="D189:N189" si="66">SUM(D179:D188)</f>
        <v>5.4309790123913624</v>
      </c>
      <c r="E189" s="459">
        <f t="shared" si="66"/>
        <v>5.2631449589158201</v>
      </c>
      <c r="F189" s="459">
        <f t="shared" si="66"/>
        <v>5.1573912741347483</v>
      </c>
      <c r="G189" s="459">
        <f t="shared" si="66"/>
        <v>5.0823423344798613</v>
      </c>
      <c r="H189" s="459">
        <f t="shared" si="66"/>
        <v>5.0251945426225904</v>
      </c>
      <c r="I189" s="459">
        <f t="shared" si="66"/>
        <v>4.9944440205680349</v>
      </c>
      <c r="J189" s="459">
        <f t="shared" si="66"/>
        <v>4.9881230162671022</v>
      </c>
      <c r="K189" s="459">
        <f t="shared" si="66"/>
        <v>4.9810598190973581</v>
      </c>
      <c r="L189" s="459">
        <f t="shared" si="66"/>
        <v>4.9705679357130306</v>
      </c>
      <c r="M189" s="459">
        <f t="shared" si="66"/>
        <v>4.9746996634652527</v>
      </c>
      <c r="N189" s="459">
        <f t="shared" si="66"/>
        <v>4.981684251651588</v>
      </c>
      <c r="O189" s="327"/>
      <c r="P189" s="327"/>
    </row>
    <row r="190" spans="1:16">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6">
      <c r="B192" s="341" t="s">
        <v>50</v>
      </c>
      <c r="C192" s="329"/>
      <c r="D192" s="329"/>
      <c r="E192" s="329"/>
      <c r="F192" s="329"/>
      <c r="G192" s="329"/>
      <c r="H192" s="339"/>
      <c r="I192" s="329"/>
      <c r="J192" s="329"/>
      <c r="K192" s="329"/>
      <c r="L192" s="329"/>
    </row>
    <row r="193" spans="1:15">
      <c r="C193" s="329"/>
      <c r="D193" s="329"/>
      <c r="E193" s="329"/>
      <c r="F193" s="329"/>
      <c r="G193" s="329"/>
      <c r="H193" s="339"/>
      <c r="I193" s="329"/>
      <c r="J193" s="329"/>
      <c r="K193" s="329"/>
      <c r="L193" s="329"/>
    </row>
    <row r="194" spans="1:15">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5">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c r="O195" s="327"/>
    </row>
    <row r="196" spans="1:15">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c r="O196" s="327"/>
    </row>
    <row r="197" spans="1:15">
      <c r="B197" s="338" t="str">
        <f t="shared" si="68"/>
        <v>30-34</v>
      </c>
      <c r="C197" s="459">
        <f>C95*Calc_SEC_death_rates!$G142</f>
        <v>4.7261497185534809E-2</v>
      </c>
      <c r="D197" s="459">
        <f>D95*Calc_SEC_death_rates!$G142</f>
        <v>4.6759199304428178E-2</v>
      </c>
      <c r="E197" s="459">
        <f>E95*Calc_SEC_death_rates!$G142</f>
        <v>4.5653404259492075E-2</v>
      </c>
      <c r="F197" s="459">
        <f>F95*Calc_SEC_death_rates!$G142</f>
        <v>4.5319367855956874E-2</v>
      </c>
      <c r="G197" s="459">
        <f>G95*Calc_SEC_death_rates!$G142</f>
        <v>4.5323625906606026E-2</v>
      </c>
      <c r="H197" s="459">
        <f>H95*Calc_SEC_death_rates!$G142</f>
        <v>4.5453364200849916E-2</v>
      </c>
      <c r="I197" s="459">
        <f>I95*Calc_SEC_death_rates!$G142</f>
        <v>4.5793842335674149E-2</v>
      </c>
      <c r="J197" s="459">
        <f>J95*Calc_SEC_death_rates!$G142</f>
        <v>4.6322552411144878E-2</v>
      </c>
      <c r="K197" s="459">
        <f>K95*Calc_SEC_death_rates!$G142</f>
        <v>4.6704759328800714E-2</v>
      </c>
      <c r="L197" s="459">
        <f>L95*Calc_SEC_death_rates!$G142</f>
        <v>4.6885864499707497E-2</v>
      </c>
      <c r="M197" s="459">
        <f>M95*Calc_SEC_death_rates!$G142</f>
        <v>4.7113309337449762E-2</v>
      </c>
      <c r="N197" s="459">
        <f>N95*Calc_SEC_death_rates!$G142</f>
        <v>4.7265001779435087E-2</v>
      </c>
      <c r="O197" s="327"/>
    </row>
    <row r="198" spans="1:15">
      <c r="B198" s="338" t="str">
        <f t="shared" si="68"/>
        <v>35-39</v>
      </c>
      <c r="C198" s="459">
        <f>C96*Calc_SEC_death_rates!$G143</f>
        <v>0.16167483957017886</v>
      </c>
      <c r="D198" s="459">
        <f>D96*Calc_SEC_death_rates!$G143</f>
        <v>0.16787208333088668</v>
      </c>
      <c r="E198" s="459">
        <f>E96*Calc_SEC_death_rates!$G143</f>
        <v>0.16871875953692472</v>
      </c>
      <c r="F198" s="459">
        <f>F96*Calc_SEC_death_rates!$G143</f>
        <v>0.16926188624602656</v>
      </c>
      <c r="G198" s="459">
        <f>G96*Calc_SEC_death_rates!$G143</f>
        <v>0.16938800433631401</v>
      </c>
      <c r="H198" s="459">
        <f>H96*Calc_SEC_death_rates!$G143</f>
        <v>0.16923721078082821</v>
      </c>
      <c r="I198" s="459">
        <f>I96*Calc_SEC_death_rates!$G143</f>
        <v>0.16942207435840856</v>
      </c>
      <c r="J198" s="459">
        <f>J96*Calc_SEC_death_rates!$G143</f>
        <v>0.17009804809252846</v>
      </c>
      <c r="K198" s="459">
        <f>K96*Calc_SEC_death_rates!$G143</f>
        <v>0.17055437784027555</v>
      </c>
      <c r="L198" s="459">
        <f>L96*Calc_SEC_death_rates!$G143</f>
        <v>0.17071285149830118</v>
      </c>
      <c r="M198" s="459">
        <f>M96*Calc_SEC_death_rates!$G143</f>
        <v>0.17116452694113943</v>
      </c>
      <c r="N198" s="459">
        <f>N96*Calc_SEC_death_rates!$G143</f>
        <v>0.17155207748927312</v>
      </c>
      <c r="O198" s="327"/>
    </row>
    <row r="199" spans="1:15">
      <c r="B199" s="338" t="str">
        <f t="shared" si="68"/>
        <v>40-44</v>
      </c>
      <c r="C199" s="459">
        <f>C97*Calc_SEC_death_rates!$G144</f>
        <v>0.16367151259447696</v>
      </c>
      <c r="D199" s="459">
        <f>D97*Calc_SEC_death_rates!$G144</f>
        <v>0.16898334133112242</v>
      </c>
      <c r="E199" s="459">
        <f>E97*Calc_SEC_death_rates!$G144</f>
        <v>0.17104309255406375</v>
      </c>
      <c r="F199" s="459">
        <f>F97*Calc_SEC_death_rates!$G144</f>
        <v>0.17337629768473539</v>
      </c>
      <c r="G199" s="459">
        <f>G97*Calc_SEC_death_rates!$G144</f>
        <v>0.1751698101443378</v>
      </c>
      <c r="H199" s="459">
        <f>H97*Calc_SEC_death_rates!$G144</f>
        <v>0.17628882423707345</v>
      </c>
      <c r="I199" s="459">
        <f>I97*Calc_SEC_death_rates!$G144</f>
        <v>0.17727462006830269</v>
      </c>
      <c r="J199" s="459">
        <f>J97*Calc_SEC_death_rates!$G144</f>
        <v>0.17832242897164602</v>
      </c>
      <c r="K199" s="459">
        <f>K97*Calc_SEC_death_rates!$G144</f>
        <v>0.17885447906639992</v>
      </c>
      <c r="L199" s="459">
        <f>L97*Calc_SEC_death_rates!$G144</f>
        <v>0.17892876884720416</v>
      </c>
      <c r="M199" s="459">
        <f>M97*Calc_SEC_death_rates!$G144</f>
        <v>0.17921115559506587</v>
      </c>
      <c r="N199" s="459">
        <f>N97*Calc_SEC_death_rates!$G144</f>
        <v>0.17941683290203314</v>
      </c>
      <c r="O199" s="327"/>
    </row>
    <row r="200" spans="1:15">
      <c r="B200" s="338" t="str">
        <f t="shared" si="68"/>
        <v>45-49</v>
      </c>
      <c r="C200" s="459">
        <f>C98*Calc_SEC_death_rates!$G145</f>
        <v>0.194621470968872</v>
      </c>
      <c r="D200" s="459">
        <f>D98*Calc_SEC_death_rates!$G145</f>
        <v>0.20432403043664579</v>
      </c>
      <c r="E200" s="459">
        <f>E98*Calc_SEC_death_rates!$G145</f>
        <v>0.2091016188263283</v>
      </c>
      <c r="F200" s="459">
        <f>F98*Calc_SEC_death_rates!$G145</f>
        <v>0.21391506338117819</v>
      </c>
      <c r="G200" s="459">
        <f>G98*Calc_SEC_death_rates!$G145</f>
        <v>0.2180179726471729</v>
      </c>
      <c r="H200" s="459">
        <f>H98*Calc_SEC_death_rates!$G145</f>
        <v>0.22122797559594287</v>
      </c>
      <c r="I200" s="459">
        <f>I98*Calc_SEC_death_rates!$G145</f>
        <v>0.22410630806710105</v>
      </c>
      <c r="J200" s="459">
        <f>J98*Calc_SEC_death_rates!$G145</f>
        <v>0.22681463701314131</v>
      </c>
      <c r="K200" s="459">
        <f>K98*Calc_SEC_death_rates!$G145</f>
        <v>0.2286230043208986</v>
      </c>
      <c r="L200" s="459">
        <f>L98*Calc_SEC_death_rates!$G145</f>
        <v>0.2295956630596927</v>
      </c>
      <c r="M200" s="459">
        <f>M98*Calc_SEC_death_rates!$G145</f>
        <v>0.23055933442552456</v>
      </c>
      <c r="N200" s="459">
        <f>N98*Calc_SEC_death_rates!$G145</f>
        <v>0.2312252750241324</v>
      </c>
      <c r="O200" s="327"/>
    </row>
    <row r="201" spans="1:15">
      <c r="B201" s="338" t="str">
        <f t="shared" si="68"/>
        <v>50-54</v>
      </c>
      <c r="C201" s="459">
        <f>C99*Calc_SEC_death_rates!$G146</f>
        <v>0.24495260178833916</v>
      </c>
      <c r="D201" s="459">
        <f>D99*Calc_SEC_death_rates!$G146</f>
        <v>0.24077395668089105</v>
      </c>
      <c r="E201" s="459">
        <f>E99*Calc_SEC_death_rates!$G146</f>
        <v>0.2364006593525444</v>
      </c>
      <c r="F201" s="459">
        <f>F99*Calc_SEC_death_rates!$G146</f>
        <v>0.23519942801293028</v>
      </c>
      <c r="G201" s="459">
        <f>G99*Calc_SEC_death_rates!$G146</f>
        <v>0.23546863754813852</v>
      </c>
      <c r="H201" s="459">
        <f>H99*Calc_SEC_death_rates!$G146</f>
        <v>0.23639026099630878</v>
      </c>
      <c r="I201" s="459">
        <f>I99*Calc_SEC_death_rates!$G146</f>
        <v>0.23806458144851197</v>
      </c>
      <c r="J201" s="459">
        <f>J99*Calc_SEC_death_rates!$G146</f>
        <v>0.24030548359290121</v>
      </c>
      <c r="K201" s="459">
        <f>K99*Calc_SEC_death_rates!$G146</f>
        <v>0.24211832089238919</v>
      </c>
      <c r="L201" s="459">
        <f>L99*Calc_SEC_death_rates!$G146</f>
        <v>0.24336626525976224</v>
      </c>
      <c r="M201" s="459">
        <f>M99*Calc_SEC_death_rates!$G146</f>
        <v>0.24473086501624888</v>
      </c>
      <c r="N201" s="459">
        <f>N99*Calc_SEC_death_rates!$G146</f>
        <v>0.2458292912625791</v>
      </c>
      <c r="O201" s="327"/>
    </row>
    <row r="202" spans="1:15">
      <c r="B202" s="338" t="str">
        <f t="shared" si="68"/>
        <v>55-59</v>
      </c>
      <c r="C202" s="459">
        <f>C100*Calc_SEC_death_rates!$G147</f>
        <v>0.36532383124711032</v>
      </c>
      <c r="D202" s="459">
        <f>D100*Calc_SEC_death_rates!$G147</f>
        <v>0.37597079636729724</v>
      </c>
      <c r="E202" s="459">
        <f>E100*Calc_SEC_death_rates!$G147</f>
        <v>0.37319393268640838</v>
      </c>
      <c r="F202" s="459">
        <f>F100*Calc_SEC_death_rates!$G147</f>
        <v>0.37081321819959517</v>
      </c>
      <c r="G202" s="459">
        <f>G100*Calc_SEC_death_rates!$G147</f>
        <v>0.36868812453077021</v>
      </c>
      <c r="H202" s="459">
        <f>H100*Calc_SEC_death_rates!$G147</f>
        <v>0.36700895674327827</v>
      </c>
      <c r="I202" s="459">
        <f>I100*Calc_SEC_death_rates!$G147</f>
        <v>0.36688377066643452</v>
      </c>
      <c r="J202" s="459">
        <f>J100*Calc_SEC_death_rates!$G147</f>
        <v>0.36827853068270544</v>
      </c>
      <c r="K202" s="459">
        <f>K100*Calc_SEC_death_rates!$G147</f>
        <v>0.36936005914074843</v>
      </c>
      <c r="L202" s="459">
        <f>L100*Calc_SEC_death_rates!$G147</f>
        <v>0.36996777787838064</v>
      </c>
      <c r="M202" s="459">
        <f>M100*Calc_SEC_death_rates!$G147</f>
        <v>0.37139601870195171</v>
      </c>
      <c r="N202" s="459">
        <f>N100*Calc_SEC_death_rates!$G147</f>
        <v>0.37271508233947953</v>
      </c>
      <c r="O202" s="327"/>
    </row>
    <row r="203" spans="1:15">
      <c r="B203" s="338" t="str">
        <f t="shared" si="68"/>
        <v>60-64</v>
      </c>
      <c r="C203" s="459">
        <f>C101*Calc_SEC_death_rates!$G148</f>
        <v>0.20636541873152106</v>
      </c>
      <c r="D203" s="459">
        <f>D101*Calc_SEC_death_rates!$G148</f>
        <v>0.20651071071893642</v>
      </c>
      <c r="E203" s="459">
        <f>E101*Calc_SEC_death_rates!$G148</f>
        <v>0.20315293507798221</v>
      </c>
      <c r="F203" s="459">
        <f>F101*Calc_SEC_death_rates!$G148</f>
        <v>0.20216203505009783</v>
      </c>
      <c r="G203" s="459">
        <f>G101*Calc_SEC_death_rates!$G148</f>
        <v>0.20108593882596923</v>
      </c>
      <c r="H203" s="459">
        <f>H101*Calc_SEC_death_rates!$G148</f>
        <v>0.19967398050817539</v>
      </c>
      <c r="I203" s="459">
        <f>I101*Calc_SEC_death_rates!$G148</f>
        <v>0.19899650621530429</v>
      </c>
      <c r="J203" s="459">
        <f>J101*Calc_SEC_death_rates!$G148</f>
        <v>0.1991831981505644</v>
      </c>
      <c r="K203" s="459">
        <f>K101*Calc_SEC_death_rates!$G148</f>
        <v>0.19887813295446463</v>
      </c>
      <c r="L203" s="459">
        <f>L101*Calc_SEC_death_rates!$G148</f>
        <v>0.19821493402271936</v>
      </c>
      <c r="M203" s="459">
        <f>M101*Calc_SEC_death_rates!$G148</f>
        <v>0.19841222067646275</v>
      </c>
      <c r="N203" s="459">
        <f>N101*Calc_SEC_death_rates!$G148</f>
        <v>0.19865102284894312</v>
      </c>
      <c r="O203" s="327"/>
    </row>
    <row r="204" spans="1:15">
      <c r="B204" s="338" t="str">
        <f t="shared" si="68"/>
        <v>65 plus</v>
      </c>
      <c r="C204" s="459">
        <f>C102*Calc_SEC_death_rates!$G149</f>
        <v>0.25586277666947693</v>
      </c>
      <c r="D204" s="459">
        <f>D102*Calc_SEC_death_rates!$G149</f>
        <v>0.33651705941713916</v>
      </c>
      <c r="E204" s="459">
        <f>E102*Calc_SEC_death_rates!$G149</f>
        <v>0.36355144766141262</v>
      </c>
      <c r="F204" s="459">
        <f>F102*Calc_SEC_death_rates!$G149</f>
        <v>0.37741956420683481</v>
      </c>
      <c r="G204" s="459">
        <f>G102*Calc_SEC_death_rates!$G149</f>
        <v>0.38348421785643905</v>
      </c>
      <c r="H204" s="459">
        <f>H102*Calc_SEC_death_rates!$G149</f>
        <v>0.38477801969905334</v>
      </c>
      <c r="I204" s="459">
        <f>I102*Calc_SEC_death_rates!$G149</f>
        <v>0.38524655380891593</v>
      </c>
      <c r="J204" s="459">
        <f>J102*Calc_SEC_death_rates!$G149</f>
        <v>0.38620720875893039</v>
      </c>
      <c r="K204" s="459">
        <f>K102*Calc_SEC_death_rates!$G149</f>
        <v>0.38519727847567831</v>
      </c>
      <c r="L204" s="459">
        <f>L102*Calc_SEC_death_rates!$G149</f>
        <v>0.38271955775858141</v>
      </c>
      <c r="M204" s="459">
        <f>M102*Calc_SEC_death_rates!$G149</f>
        <v>0.38184363351214617</v>
      </c>
      <c r="N204" s="459">
        <f>N102*Calc_SEC_death_rates!$G149</f>
        <v>0.38113556126735176</v>
      </c>
      <c r="O204" s="327"/>
    </row>
    <row r="205" spans="1:15">
      <c r="B205" s="338" t="str">
        <f t="shared" si="68"/>
        <v>Total</v>
      </c>
      <c r="C205" s="459">
        <f>SUM(C195:C204)</f>
        <v>1.6397339487555103</v>
      </c>
      <c r="D205" s="459">
        <f t="shared" ref="D205:N205" si="70">SUM(D195:D204)</f>
        <v>1.7477111775873471</v>
      </c>
      <c r="E205" s="459">
        <f t="shared" si="70"/>
        <v>1.7708158499551563</v>
      </c>
      <c r="F205" s="459">
        <f t="shared" si="70"/>
        <v>1.7874668606373552</v>
      </c>
      <c r="G205" s="459">
        <f t="shared" si="70"/>
        <v>1.7966263317957476</v>
      </c>
      <c r="H205" s="459">
        <f t="shared" si="70"/>
        <v>1.80005859276151</v>
      </c>
      <c r="I205" s="459">
        <f t="shared" si="70"/>
        <v>1.8057882569686532</v>
      </c>
      <c r="J205" s="459">
        <f t="shared" si="70"/>
        <v>1.8155320876735619</v>
      </c>
      <c r="K205" s="459">
        <f t="shared" si="70"/>
        <v>1.8202904120196555</v>
      </c>
      <c r="L205" s="459">
        <f t="shared" si="70"/>
        <v>1.8203916828243489</v>
      </c>
      <c r="M205" s="459">
        <f t="shared" si="70"/>
        <v>1.8244310642059891</v>
      </c>
      <c r="N205" s="459">
        <f t="shared" si="70"/>
        <v>1.8277901449132272</v>
      </c>
      <c r="O205" s="327"/>
    </row>
    <row r="206" spans="1:15">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5" ht="15.75">
      <c r="B208" s="340" t="s">
        <v>153</v>
      </c>
      <c r="C208" s="329"/>
      <c r="D208" s="329"/>
      <c r="E208" s="329"/>
      <c r="F208" s="329"/>
      <c r="G208" s="329"/>
      <c r="H208" s="339"/>
      <c r="I208" s="329"/>
      <c r="J208" s="329"/>
      <c r="K208" s="329"/>
      <c r="L208" s="329"/>
    </row>
    <row r="209" spans="1:14">
      <c r="C209" s="329"/>
      <c r="D209" s="329"/>
      <c r="E209" s="329"/>
      <c r="F209" s="329"/>
      <c r="G209" s="329"/>
      <c r="H209" s="339"/>
      <c r="I209" s="329"/>
      <c r="J209" s="329"/>
      <c r="K209" s="329"/>
      <c r="L209" s="329"/>
    </row>
    <row r="210" spans="1:14">
      <c r="B210" s="341" t="s">
        <v>49</v>
      </c>
      <c r="C210" s="329"/>
      <c r="D210" s="329"/>
      <c r="E210" s="329"/>
      <c r="F210" s="329"/>
      <c r="G210" s="329"/>
      <c r="H210" s="339"/>
      <c r="I210" s="329"/>
      <c r="J210" s="329"/>
      <c r="K210" s="329"/>
      <c r="L210" s="329"/>
    </row>
    <row r="211" spans="1:14">
      <c r="C211" s="329"/>
      <c r="D211" s="329"/>
      <c r="E211" s="329"/>
      <c r="F211" s="329"/>
      <c r="G211" s="329"/>
      <c r="H211" s="339"/>
      <c r="I211" s="329"/>
      <c r="J211" s="329"/>
      <c r="K211" s="329"/>
      <c r="L211" s="329"/>
    </row>
    <row r="212" spans="1:14">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4">
      <c r="B213" s="338" t="str">
        <f t="shared" si="72"/>
        <v>20-24</v>
      </c>
      <c r="C213" s="459">
        <f t="shared" ref="C213:C222" si="74">C111+C145+C179</f>
        <v>30.070657980557197</v>
      </c>
      <c r="D213" s="459">
        <f t="shared" ref="D213:N213" si="75">D111+D145+D179</f>
        <v>50.814802365866882</v>
      </c>
      <c r="E213" s="459">
        <f t="shared" si="75"/>
        <v>58.659915173955845</v>
      </c>
      <c r="F213" s="459">
        <f t="shared" si="75"/>
        <v>65.346279844593766</v>
      </c>
      <c r="G213" s="459">
        <f t="shared" si="75"/>
        <v>69.855584757871995</v>
      </c>
      <c r="H213" s="459">
        <f t="shared" si="75"/>
        <v>72.483201244419917</v>
      </c>
      <c r="I213" s="459">
        <f t="shared" si="75"/>
        <v>74.677462897304267</v>
      </c>
      <c r="J213" s="459">
        <f t="shared" si="75"/>
        <v>76.759090600938194</v>
      </c>
      <c r="K213" s="459">
        <f t="shared" si="75"/>
        <v>77.413035784805388</v>
      </c>
      <c r="L213" s="459">
        <f t="shared" si="75"/>
        <v>77.021902905825627</v>
      </c>
      <c r="M213" s="459">
        <f t="shared" si="75"/>
        <v>77.150077962440292</v>
      </c>
      <c r="N213" s="459">
        <f t="shared" si="75"/>
        <v>77.042446402596724</v>
      </c>
    </row>
    <row r="214" spans="1:14">
      <c r="B214" s="338" t="str">
        <f t="shared" si="72"/>
        <v>25-29</v>
      </c>
      <c r="C214" s="459">
        <f t="shared" si="74"/>
        <v>87.991131581326826</v>
      </c>
      <c r="D214" s="459">
        <f t="shared" ref="D214:N214" si="76">D112+D146+D180</f>
        <v>95.562312086174984</v>
      </c>
      <c r="E214" s="459">
        <f t="shared" si="76"/>
        <v>97.529272919758426</v>
      </c>
      <c r="F214" s="459">
        <f t="shared" si="76"/>
        <v>101.17638514620012</v>
      </c>
      <c r="G214" s="459">
        <f t="shared" si="76"/>
        <v>104.56164875201711</v>
      </c>
      <c r="H214" s="459">
        <f t="shared" si="76"/>
        <v>107.11311924812459</v>
      </c>
      <c r="I214" s="459">
        <f t="shared" si="76"/>
        <v>109.64614699775541</v>
      </c>
      <c r="J214" s="459">
        <f t="shared" si="76"/>
        <v>112.28693166610397</v>
      </c>
      <c r="K214" s="459">
        <f t="shared" si="76"/>
        <v>113.70355358655793</v>
      </c>
      <c r="L214" s="459">
        <f t="shared" si="76"/>
        <v>114.00017165873696</v>
      </c>
      <c r="M214" s="459">
        <f t="shared" si="76"/>
        <v>114.54067545903868</v>
      </c>
      <c r="N214" s="459">
        <f t="shared" si="76"/>
        <v>114.75741826800869</v>
      </c>
    </row>
    <row r="215" spans="1:14">
      <c r="B215" s="338" t="str">
        <f t="shared" si="72"/>
        <v>30-34</v>
      </c>
      <c r="C215" s="459">
        <f t="shared" si="74"/>
        <v>75.624524555814133</v>
      </c>
      <c r="D215" s="459">
        <f t="shared" ref="D215:N215" si="77">D113+D147+D181</f>
        <v>79.081154545798938</v>
      </c>
      <c r="E215" s="459">
        <f t="shared" si="77"/>
        <v>80.03409603679728</v>
      </c>
      <c r="F215" s="459">
        <f t="shared" si="77"/>
        <v>81.505426860186631</v>
      </c>
      <c r="G215" s="459">
        <f t="shared" si="77"/>
        <v>83.018820385733662</v>
      </c>
      <c r="H215" s="459">
        <f t="shared" si="77"/>
        <v>84.376074508925626</v>
      </c>
      <c r="I215" s="459">
        <f t="shared" si="77"/>
        <v>85.856355228158193</v>
      </c>
      <c r="J215" s="459">
        <f t="shared" si="77"/>
        <v>87.499342789614033</v>
      </c>
      <c r="K215" s="459">
        <f t="shared" si="77"/>
        <v>88.737106196604657</v>
      </c>
      <c r="L215" s="459">
        <f t="shared" si="77"/>
        <v>89.495822768294673</v>
      </c>
      <c r="M215" s="459">
        <f t="shared" si="77"/>
        <v>90.253620138168287</v>
      </c>
      <c r="N215" s="459">
        <f t="shared" si="77"/>
        <v>90.804629843760722</v>
      </c>
    </row>
    <row r="216" spans="1:14">
      <c r="B216" s="338" t="str">
        <f t="shared" si="72"/>
        <v>35-39</v>
      </c>
      <c r="C216" s="459">
        <f t="shared" si="74"/>
        <v>69.821767561007377</v>
      </c>
      <c r="D216" s="459">
        <f t="shared" ref="D216:N216" si="78">D114+D148+D182</f>
        <v>73.603260271311626</v>
      </c>
      <c r="E216" s="459">
        <f t="shared" si="78"/>
        <v>75.401410126807107</v>
      </c>
      <c r="F216" s="459">
        <f t="shared" si="78"/>
        <v>77.246594926910291</v>
      </c>
      <c r="G216" s="459">
        <f t="shared" si="78"/>
        <v>78.867207126589093</v>
      </c>
      <c r="H216" s="459">
        <f t="shared" si="78"/>
        <v>80.229476852176333</v>
      </c>
      <c r="I216" s="459">
        <f t="shared" si="78"/>
        <v>81.592426012881276</v>
      </c>
      <c r="J216" s="459">
        <f t="shared" si="78"/>
        <v>83.026445533478963</v>
      </c>
      <c r="K216" s="459">
        <f t="shared" si="78"/>
        <v>84.195457980970261</v>
      </c>
      <c r="L216" s="459">
        <f t="shared" si="78"/>
        <v>85.075824399461695</v>
      </c>
      <c r="M216" s="459">
        <f t="shared" si="78"/>
        <v>85.9717342114361</v>
      </c>
      <c r="N216" s="459">
        <f t="shared" si="78"/>
        <v>86.726356420629699</v>
      </c>
    </row>
    <row r="217" spans="1:14">
      <c r="B217" s="338" t="str">
        <f t="shared" si="72"/>
        <v>40-44</v>
      </c>
      <c r="C217" s="459">
        <f t="shared" si="74"/>
        <v>64.999075744420509</v>
      </c>
      <c r="D217" s="459">
        <f t="shared" ref="D217:N217" si="79">D115+D149+D183</f>
        <v>67.249341188483996</v>
      </c>
      <c r="E217" s="459">
        <f t="shared" si="79"/>
        <v>68.265783897555266</v>
      </c>
      <c r="F217" s="459">
        <f t="shared" si="79"/>
        <v>69.619724097484337</v>
      </c>
      <c r="G217" s="459">
        <f t="shared" si="79"/>
        <v>70.942934818349272</v>
      </c>
      <c r="H217" s="459">
        <f t="shared" si="79"/>
        <v>72.121312501018139</v>
      </c>
      <c r="I217" s="459">
        <f t="shared" si="79"/>
        <v>73.325220635290023</v>
      </c>
      <c r="J217" s="459">
        <f t="shared" si="79"/>
        <v>74.586950948523778</v>
      </c>
      <c r="K217" s="459">
        <f t="shared" si="79"/>
        <v>75.621369411724388</v>
      </c>
      <c r="L217" s="459">
        <f t="shared" si="79"/>
        <v>76.425302581527845</v>
      </c>
      <c r="M217" s="459">
        <f t="shared" si="79"/>
        <v>77.265041073102935</v>
      </c>
      <c r="N217" s="459">
        <f t="shared" si="79"/>
        <v>78.009986595716512</v>
      </c>
    </row>
    <row r="218" spans="1:14">
      <c r="B218" s="338" t="str">
        <f t="shared" si="72"/>
        <v>45-49</v>
      </c>
      <c r="C218" s="459">
        <f t="shared" si="74"/>
        <v>80.423221716035684</v>
      </c>
      <c r="D218" s="459">
        <f t="shared" ref="D218:N218" si="80">D116+D150+D184</f>
        <v>79.449880674193665</v>
      </c>
      <c r="E218" s="459">
        <f t="shared" si="80"/>
        <v>77.92949561505533</v>
      </c>
      <c r="F218" s="459">
        <f t="shared" si="80"/>
        <v>77.314264607502466</v>
      </c>
      <c r="G218" s="459">
        <f t="shared" si="80"/>
        <v>77.151548676001681</v>
      </c>
      <c r="H218" s="459">
        <f t="shared" si="80"/>
        <v>77.23275830439961</v>
      </c>
      <c r="I218" s="459">
        <f t="shared" si="80"/>
        <v>77.635912888777796</v>
      </c>
      <c r="J218" s="459">
        <f t="shared" si="80"/>
        <v>78.317764923789525</v>
      </c>
      <c r="K218" s="459">
        <f t="shared" si="80"/>
        <v>78.938662704907287</v>
      </c>
      <c r="L218" s="459">
        <f t="shared" si="80"/>
        <v>79.450841220780234</v>
      </c>
      <c r="M218" s="459">
        <f t="shared" si="80"/>
        <v>80.086079948888042</v>
      </c>
      <c r="N218" s="459">
        <f t="shared" si="80"/>
        <v>80.697520250697792</v>
      </c>
    </row>
    <row r="219" spans="1:14">
      <c r="B219" s="338" t="str">
        <f t="shared" si="72"/>
        <v>50-54</v>
      </c>
      <c r="C219" s="459">
        <f t="shared" si="74"/>
        <v>93.909373554561043</v>
      </c>
      <c r="D219" s="459">
        <f t="shared" ref="D219:N219" si="81">D117+D151+D185</f>
        <v>91.192511542684059</v>
      </c>
      <c r="E219" s="459">
        <f t="shared" si="81"/>
        <v>87.797234868326086</v>
      </c>
      <c r="F219" s="459">
        <f t="shared" si="81"/>
        <v>85.28258569422897</v>
      </c>
      <c r="G219" s="459">
        <f t="shared" si="81"/>
        <v>83.335689635816507</v>
      </c>
      <c r="H219" s="459">
        <f t="shared" si="81"/>
        <v>81.822103566217095</v>
      </c>
      <c r="I219" s="459">
        <f t="shared" si="81"/>
        <v>80.839184053124484</v>
      </c>
      <c r="J219" s="459">
        <f t="shared" si="81"/>
        <v>80.343840328871082</v>
      </c>
      <c r="K219" s="459">
        <f t="shared" si="81"/>
        <v>79.998324515696368</v>
      </c>
      <c r="L219" s="459">
        <f t="shared" si="81"/>
        <v>79.732813077580388</v>
      </c>
      <c r="M219" s="459">
        <f t="shared" si="81"/>
        <v>79.738554787746352</v>
      </c>
      <c r="N219" s="459">
        <f t="shared" si="81"/>
        <v>79.85105165102749</v>
      </c>
    </row>
    <row r="220" spans="1:14">
      <c r="B220" s="338" t="str">
        <f t="shared" si="72"/>
        <v>55-59</v>
      </c>
      <c r="C220" s="459">
        <f t="shared" si="74"/>
        <v>128.21468988491878</v>
      </c>
      <c r="D220" s="459">
        <f t="shared" ref="D220:N220" si="82">D118+D152+D186</f>
        <v>124.52713417999</v>
      </c>
      <c r="E220" s="459">
        <f t="shared" si="82"/>
        <v>119.21274897473921</v>
      </c>
      <c r="F220" s="459">
        <f t="shared" si="82"/>
        <v>115.05407328200448</v>
      </c>
      <c r="G220" s="459">
        <f t="shared" si="82"/>
        <v>111.51548321629855</v>
      </c>
      <c r="H220" s="459">
        <f t="shared" si="82"/>
        <v>108.45961130541568</v>
      </c>
      <c r="I220" s="459">
        <f t="shared" si="82"/>
        <v>106.13819713053473</v>
      </c>
      <c r="J220" s="459">
        <f t="shared" si="82"/>
        <v>104.53085139024293</v>
      </c>
      <c r="K220" s="459">
        <f t="shared" si="82"/>
        <v>103.12808819291816</v>
      </c>
      <c r="L220" s="459">
        <f t="shared" si="82"/>
        <v>101.88865677304732</v>
      </c>
      <c r="M220" s="459">
        <f t="shared" si="82"/>
        <v>101.16573691407122</v>
      </c>
      <c r="N220" s="459">
        <f t="shared" si="82"/>
        <v>100.6771910020278</v>
      </c>
    </row>
    <row r="221" spans="1:14">
      <c r="B221" s="338" t="str">
        <f t="shared" si="72"/>
        <v>60-64</v>
      </c>
      <c r="C221" s="459">
        <f t="shared" si="74"/>
        <v>82.8913374491528</v>
      </c>
      <c r="D221" s="459">
        <f t="shared" ref="D221:N221" si="83">D119+D153+D187</f>
        <v>77.291588500246135</v>
      </c>
      <c r="E221" s="459">
        <f t="shared" si="83"/>
        <v>72.075287901495372</v>
      </c>
      <c r="F221" s="459">
        <f t="shared" si="83"/>
        <v>68.674826158589198</v>
      </c>
      <c r="G221" s="459">
        <f t="shared" si="83"/>
        <v>66.057414298615541</v>
      </c>
      <c r="H221" s="459">
        <f t="shared" si="83"/>
        <v>63.859823964935863</v>
      </c>
      <c r="I221" s="459">
        <f t="shared" si="83"/>
        <v>62.199151393725614</v>
      </c>
      <c r="J221" s="459">
        <f t="shared" si="83"/>
        <v>61.014375349054298</v>
      </c>
      <c r="K221" s="459">
        <f t="shared" si="83"/>
        <v>59.871758090142635</v>
      </c>
      <c r="L221" s="459">
        <f t="shared" si="83"/>
        <v>58.779436812689966</v>
      </c>
      <c r="M221" s="459">
        <f t="shared" si="83"/>
        <v>58.070703943119113</v>
      </c>
      <c r="N221" s="459">
        <f t="shared" si="83"/>
        <v>57.511565438832655</v>
      </c>
    </row>
    <row r="222" spans="1:14">
      <c r="B222" s="338" t="str">
        <f t="shared" si="72"/>
        <v>65 plus</v>
      </c>
      <c r="C222" s="459">
        <f t="shared" si="74"/>
        <v>38.529127825527176</v>
      </c>
      <c r="D222" s="459">
        <f t="shared" ref="D222:N222" si="84">D120+D154+D188</f>
        <v>35.874378428821856</v>
      </c>
      <c r="E222" s="459">
        <f t="shared" si="84"/>
        <v>32.932880601127934</v>
      </c>
      <c r="F222" s="459">
        <f t="shared" si="84"/>
        <v>30.7551428055909</v>
      </c>
      <c r="G222" s="459">
        <f t="shared" si="84"/>
        <v>29.090084217223726</v>
      </c>
      <c r="H222" s="459">
        <f t="shared" si="84"/>
        <v>27.768881735433609</v>
      </c>
      <c r="I222" s="459">
        <f t="shared" si="84"/>
        <v>26.789281883770901</v>
      </c>
      <c r="J222" s="459">
        <f t="shared" si="84"/>
        <v>26.090724119561877</v>
      </c>
      <c r="K222" s="459">
        <f t="shared" si="84"/>
        <v>25.459210453194569</v>
      </c>
      <c r="L222" s="459">
        <f t="shared" si="84"/>
        <v>24.86260692914378</v>
      </c>
      <c r="M222" s="459">
        <f t="shared" si="84"/>
        <v>24.431033075301588</v>
      </c>
      <c r="N222" s="459">
        <f t="shared" si="84"/>
        <v>24.075975769357601</v>
      </c>
    </row>
    <row r="223" spans="1:14">
      <c r="B223" s="338" t="str">
        <f t="shared" si="72"/>
        <v>Total</v>
      </c>
      <c r="C223" s="459">
        <f>SUM(C213:C222)</f>
        <v>752.47490785332161</v>
      </c>
      <c r="D223" s="459">
        <f t="shared" ref="D223:N223" si="85">SUM(D213:D222)</f>
        <v>774.64636378357204</v>
      </c>
      <c r="E223" s="459">
        <f t="shared" si="85"/>
        <v>769.83812611561791</v>
      </c>
      <c r="F223" s="459">
        <f t="shared" si="85"/>
        <v>771.97530342329117</v>
      </c>
      <c r="G223" s="459">
        <f t="shared" si="85"/>
        <v>774.39641588451718</v>
      </c>
      <c r="H223" s="459">
        <f t="shared" si="85"/>
        <v>775.46636323106657</v>
      </c>
      <c r="I223" s="459">
        <f t="shared" si="85"/>
        <v>778.69933912132262</v>
      </c>
      <c r="J223" s="459">
        <f t="shared" si="85"/>
        <v>784.45631765017856</v>
      </c>
      <c r="K223" s="459">
        <f t="shared" si="85"/>
        <v>787.06656691752175</v>
      </c>
      <c r="L223" s="459">
        <f t="shared" si="85"/>
        <v>786.73337912708848</v>
      </c>
      <c r="M223" s="459">
        <f t="shared" si="85"/>
        <v>788.67325751331259</v>
      </c>
      <c r="N223" s="459">
        <f t="shared" si="85"/>
        <v>790.15414164265565</v>
      </c>
    </row>
    <row r="224" spans="1:14">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4">
      <c r="B226" s="341" t="s">
        <v>50</v>
      </c>
      <c r="C226" s="329"/>
      <c r="D226" s="329"/>
      <c r="E226" s="329"/>
      <c r="F226" s="329"/>
      <c r="G226" s="329"/>
      <c r="H226" s="339"/>
      <c r="I226" s="329"/>
      <c r="J226" s="329"/>
      <c r="K226" s="329"/>
      <c r="L226" s="329"/>
    </row>
    <row r="227" spans="1:14">
      <c r="C227" s="329"/>
      <c r="D227" s="329"/>
      <c r="E227" s="329"/>
      <c r="F227" s="329"/>
      <c r="G227" s="329"/>
      <c r="H227" s="339"/>
      <c r="I227" s="329"/>
      <c r="J227" s="329"/>
      <c r="K227" s="329"/>
      <c r="L227" s="329"/>
    </row>
    <row r="228" spans="1:14">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4">
      <c r="B229" s="338" t="str">
        <f t="shared" si="87"/>
        <v>20-24</v>
      </c>
      <c r="C229" s="459">
        <f t="shared" ref="C229:C238" si="89">C195+C161+C127</f>
        <v>23.219601738441597</v>
      </c>
      <c r="D229" s="459">
        <f t="shared" ref="D229:N229" si="90">D195+D161+D127</f>
        <v>31.646646191048266</v>
      </c>
      <c r="E229" s="459">
        <f t="shared" si="90"/>
        <v>34.296008561832934</v>
      </c>
      <c r="F229" s="459">
        <f t="shared" si="90"/>
        <v>36.815914356708042</v>
      </c>
      <c r="G229" s="459">
        <f t="shared" si="90"/>
        <v>38.541228840065635</v>
      </c>
      <c r="H229" s="459">
        <f t="shared" si="90"/>
        <v>39.512294112453972</v>
      </c>
      <c r="I229" s="459">
        <f t="shared" si="90"/>
        <v>40.391919399148613</v>
      </c>
      <c r="J229" s="459">
        <f t="shared" si="90"/>
        <v>41.30161181892386</v>
      </c>
      <c r="K229" s="459">
        <f t="shared" si="90"/>
        <v>41.544466574894678</v>
      </c>
      <c r="L229" s="459">
        <f t="shared" si="90"/>
        <v>41.286761856725555</v>
      </c>
      <c r="M229" s="459">
        <f t="shared" si="90"/>
        <v>41.30819667232506</v>
      </c>
      <c r="N229" s="459">
        <f t="shared" si="90"/>
        <v>41.223569200759563</v>
      </c>
    </row>
    <row r="230" spans="1:14">
      <c r="B230" s="338" t="str">
        <f t="shared" si="87"/>
        <v>25-29</v>
      </c>
      <c r="C230" s="459">
        <f t="shared" si="89"/>
        <v>51.516125300931485</v>
      </c>
      <c r="D230" s="459">
        <f t="shared" ref="D230:N230" si="91">D196+D162+D128</f>
        <v>56.954731950149856</v>
      </c>
      <c r="E230" s="459">
        <f t="shared" si="91"/>
        <v>58.574574913568753</v>
      </c>
      <c r="F230" s="459">
        <f t="shared" si="91"/>
        <v>60.842547652539096</v>
      </c>
      <c r="G230" s="459">
        <f t="shared" si="91"/>
        <v>62.795204345495392</v>
      </c>
      <c r="H230" s="459">
        <f t="shared" si="91"/>
        <v>64.191480461267659</v>
      </c>
      <c r="I230" s="459">
        <f t="shared" si="91"/>
        <v>65.550344635617819</v>
      </c>
      <c r="J230" s="459">
        <f t="shared" si="91"/>
        <v>66.970676251630863</v>
      </c>
      <c r="K230" s="459">
        <f t="shared" si="91"/>
        <v>67.696029246180586</v>
      </c>
      <c r="L230" s="459">
        <f t="shared" si="91"/>
        <v>67.789166544054524</v>
      </c>
      <c r="M230" s="459">
        <f t="shared" si="91"/>
        <v>68.036288328479941</v>
      </c>
      <c r="N230" s="459">
        <f t="shared" si="91"/>
        <v>68.108843999922783</v>
      </c>
    </row>
    <row r="231" spans="1:14">
      <c r="B231" s="338" t="str">
        <f t="shared" si="87"/>
        <v>30-34</v>
      </c>
      <c r="C231" s="459">
        <f t="shared" si="89"/>
        <v>65.150571018183456</v>
      </c>
      <c r="D231" s="459">
        <f t="shared" ref="D231:N231" si="92">D197+D163+D129</f>
        <v>64.458147042555879</v>
      </c>
      <c r="E231" s="459">
        <f t="shared" si="92"/>
        <v>62.933794601416636</v>
      </c>
      <c r="F231" s="459">
        <f t="shared" si="92"/>
        <v>62.473321198601127</v>
      </c>
      <c r="G231" s="459">
        <f t="shared" si="92"/>
        <v>62.47919097522135</v>
      </c>
      <c r="H231" s="459">
        <f t="shared" si="92"/>
        <v>62.658036853076901</v>
      </c>
      <c r="I231" s="459">
        <f t="shared" si="92"/>
        <v>63.127390263865472</v>
      </c>
      <c r="J231" s="459">
        <f t="shared" si="92"/>
        <v>63.856223783141438</v>
      </c>
      <c r="K231" s="459">
        <f t="shared" si="92"/>
        <v>64.383100848305574</v>
      </c>
      <c r="L231" s="459">
        <f t="shared" si="92"/>
        <v>64.632756614660209</v>
      </c>
      <c r="M231" s="459">
        <f t="shared" si="92"/>
        <v>64.946292197248198</v>
      </c>
      <c r="N231" s="459">
        <f t="shared" si="92"/>
        <v>65.155402145155449</v>
      </c>
    </row>
    <row r="232" spans="1:14">
      <c r="B232" s="338" t="str">
        <f t="shared" si="87"/>
        <v>35-39</v>
      </c>
      <c r="C232" s="459">
        <f t="shared" si="89"/>
        <v>49.108887427891617</v>
      </c>
      <c r="D232" s="459">
        <f t="shared" ref="D232:N232" si="93">D198+D164+D130</f>
        <v>50.991306158084321</v>
      </c>
      <c r="E232" s="459">
        <f t="shared" si="93"/>
        <v>51.248484866909628</v>
      </c>
      <c r="F232" s="459">
        <f t="shared" si="93"/>
        <v>51.413460125195165</v>
      </c>
      <c r="G232" s="459">
        <f t="shared" si="93"/>
        <v>51.451768615959793</v>
      </c>
      <c r="H232" s="459">
        <f t="shared" si="93"/>
        <v>51.405964928998408</v>
      </c>
      <c r="I232" s="459">
        <f t="shared" si="93"/>
        <v>51.462117417815136</v>
      </c>
      <c r="J232" s="459">
        <f t="shared" si="93"/>
        <v>51.667445087237041</v>
      </c>
      <c r="K232" s="459">
        <f t="shared" si="93"/>
        <v>51.806055685346735</v>
      </c>
      <c r="L232" s="459">
        <f t="shared" si="93"/>
        <v>51.854192210813267</v>
      </c>
      <c r="M232" s="459">
        <f t="shared" si="93"/>
        <v>51.99138905934737</v>
      </c>
      <c r="N232" s="459">
        <f t="shared" si="93"/>
        <v>52.109107909673824</v>
      </c>
    </row>
    <row r="233" spans="1:14">
      <c r="B233" s="338" t="str">
        <f t="shared" si="87"/>
        <v>40-44</v>
      </c>
      <c r="C233" s="459">
        <f t="shared" si="89"/>
        <v>43.998255330927776</v>
      </c>
      <c r="D233" s="459">
        <f t="shared" ref="D233:N233" si="94">D199+D165+D131</f>
        <v>45.426183706027139</v>
      </c>
      <c r="E233" s="459">
        <f t="shared" si="94"/>
        <v>45.979887027934495</v>
      </c>
      <c r="F233" s="459">
        <f t="shared" si="94"/>
        <v>46.607100361833787</v>
      </c>
      <c r="G233" s="459">
        <f t="shared" si="94"/>
        <v>47.089233250360962</v>
      </c>
      <c r="H233" s="459">
        <f t="shared" si="94"/>
        <v>47.390047161044841</v>
      </c>
      <c r="I233" s="459">
        <f t="shared" si="94"/>
        <v>47.65504927411294</v>
      </c>
      <c r="J233" s="459">
        <f t="shared" si="94"/>
        <v>47.9367217712783</v>
      </c>
      <c r="K233" s="459">
        <f t="shared" si="94"/>
        <v>48.079747735581734</v>
      </c>
      <c r="L233" s="459">
        <f t="shared" si="94"/>
        <v>48.099718350458382</v>
      </c>
      <c r="M233" s="459">
        <f t="shared" si="94"/>
        <v>48.175629692863303</v>
      </c>
      <c r="N233" s="459">
        <f t="shared" si="94"/>
        <v>48.230919966193554</v>
      </c>
    </row>
    <row r="234" spans="1:14">
      <c r="B234" s="338" t="str">
        <f t="shared" si="87"/>
        <v>45-49</v>
      </c>
      <c r="C234" s="459">
        <f t="shared" si="89"/>
        <v>39.393346304295576</v>
      </c>
      <c r="D234" s="459">
        <f t="shared" ref="D234:N234" si="95">D200+D166+D132</f>
        <v>41.357242082337287</v>
      </c>
      <c r="E234" s="459">
        <f t="shared" si="95"/>
        <v>42.324274100938389</v>
      </c>
      <c r="F234" s="459">
        <f t="shared" si="95"/>
        <v>43.298563768577658</v>
      </c>
      <c r="G234" s="459">
        <f t="shared" si="95"/>
        <v>44.129033935953402</v>
      </c>
      <c r="H234" s="459">
        <f t="shared" si="95"/>
        <v>44.778770869752094</v>
      </c>
      <c r="I234" s="459">
        <f t="shared" si="95"/>
        <v>45.361374357695972</v>
      </c>
      <c r="J234" s="459">
        <f t="shared" si="95"/>
        <v>45.909567419572355</v>
      </c>
      <c r="K234" s="459">
        <f t="shared" si="95"/>
        <v>46.275599179815515</v>
      </c>
      <c r="L234" s="459">
        <f t="shared" si="95"/>
        <v>46.472475106929146</v>
      </c>
      <c r="M234" s="459">
        <f t="shared" si="95"/>
        <v>46.667531899218112</v>
      </c>
      <c r="N234" s="459">
        <f t="shared" si="95"/>
        <v>46.802324984937023</v>
      </c>
    </row>
    <row r="235" spans="1:14">
      <c r="B235" s="338" t="str">
        <f t="shared" si="87"/>
        <v>50-54</v>
      </c>
      <c r="C235" s="459">
        <f t="shared" si="89"/>
        <v>44.677626256396302</v>
      </c>
      <c r="D235" s="459">
        <f t="shared" ref="D235:N235" si="96">D201+D167+D133</f>
        <v>43.915470872025232</v>
      </c>
      <c r="E235" s="459">
        <f t="shared" si="96"/>
        <v>43.117812295968129</v>
      </c>
      <c r="F235" s="459">
        <f t="shared" si="96"/>
        <v>42.89871617513932</v>
      </c>
      <c r="G235" s="459">
        <f t="shared" si="96"/>
        <v>42.947818094902082</v>
      </c>
      <c r="H235" s="459">
        <f t="shared" si="96"/>
        <v>43.115915709158344</v>
      </c>
      <c r="I235" s="459">
        <f t="shared" si="96"/>
        <v>43.421299946152942</v>
      </c>
      <c r="J235" s="459">
        <f t="shared" si="96"/>
        <v>43.830024686177104</v>
      </c>
      <c r="K235" s="459">
        <f t="shared" si="96"/>
        <v>44.160673418784413</v>
      </c>
      <c r="L235" s="459">
        <f t="shared" si="96"/>
        <v>44.388289666283775</v>
      </c>
      <c r="M235" s="459">
        <f t="shared" si="96"/>
        <v>44.637183033673125</v>
      </c>
      <c r="N235" s="459">
        <f t="shared" si="96"/>
        <v>44.837528230847894</v>
      </c>
    </row>
    <row r="236" spans="1:14">
      <c r="B236" s="338" t="str">
        <f t="shared" si="87"/>
        <v>55-59</v>
      </c>
      <c r="C236" s="459">
        <f t="shared" si="89"/>
        <v>56.169429522732578</v>
      </c>
      <c r="D236" s="459">
        <f t="shared" ref="D236:N236" si="97">D202+D168+D134</f>
        <v>57.806426361695472</v>
      </c>
      <c r="E236" s="459">
        <f t="shared" si="97"/>
        <v>57.379476802217056</v>
      </c>
      <c r="F236" s="459">
        <f t="shared" si="97"/>
        <v>57.013436146932371</v>
      </c>
      <c r="G236" s="459">
        <f t="shared" si="97"/>
        <v>56.686697815483285</v>
      </c>
      <c r="H236" s="459">
        <f t="shared" si="97"/>
        <v>56.428521675223287</v>
      </c>
      <c r="I236" s="459">
        <f t="shared" si="97"/>
        <v>56.409274010770353</v>
      </c>
      <c r="J236" s="459">
        <f t="shared" si="97"/>
        <v>56.623721762967676</v>
      </c>
      <c r="K236" s="459">
        <f t="shared" si="97"/>
        <v>56.790009399592684</v>
      </c>
      <c r="L236" s="459">
        <f t="shared" si="97"/>
        <v>56.883447636804171</v>
      </c>
      <c r="M236" s="459">
        <f t="shared" si="97"/>
        <v>57.103043144732595</v>
      </c>
      <c r="N236" s="459">
        <f t="shared" si="97"/>
        <v>57.305852394189962</v>
      </c>
    </row>
    <row r="237" spans="1:14">
      <c r="B237" s="338" t="str">
        <f t="shared" si="87"/>
        <v>60-64</v>
      </c>
      <c r="C237" s="459">
        <f t="shared" si="89"/>
        <v>36.640118644644353</v>
      </c>
      <c r="D237" s="459">
        <f t="shared" ref="D237:N237" si="98">D203+D169+D135</f>
        <v>36.665915193745157</v>
      </c>
      <c r="E237" s="459">
        <f t="shared" si="98"/>
        <v>36.069743128566358</v>
      </c>
      <c r="F237" s="459">
        <f t="shared" si="98"/>
        <v>35.893809123683987</v>
      </c>
      <c r="G237" s="459">
        <f t="shared" si="98"/>
        <v>35.702748559528011</v>
      </c>
      <c r="H237" s="459">
        <f t="shared" si="98"/>
        <v>35.45205578065422</v>
      </c>
      <c r="I237" s="459">
        <f t="shared" si="98"/>
        <v>35.331770421692084</v>
      </c>
      <c r="J237" s="459">
        <f t="shared" si="98"/>
        <v>35.36491751920471</v>
      </c>
      <c r="K237" s="459">
        <f t="shared" si="98"/>
        <v>35.310753284478984</v>
      </c>
      <c r="L237" s="459">
        <f t="shared" si="98"/>
        <v>35.193002511633843</v>
      </c>
      <c r="M237" s="459">
        <f t="shared" si="98"/>
        <v>35.228030698258301</v>
      </c>
      <c r="N237" s="459">
        <f t="shared" si="98"/>
        <v>35.270429952872099</v>
      </c>
    </row>
    <row r="238" spans="1:14">
      <c r="B238" s="338" t="str">
        <f t="shared" si="87"/>
        <v>65 plus</v>
      </c>
      <c r="C238" s="459">
        <f t="shared" si="89"/>
        <v>8.7654937012589329</v>
      </c>
      <c r="D238" s="459">
        <f t="shared" ref="D238:N238" si="99">D204+D170+D136</f>
        <v>11.528594362506967</v>
      </c>
      <c r="E238" s="459">
        <f t="shared" si="99"/>
        <v>12.454753935060518</v>
      </c>
      <c r="F238" s="459">
        <f t="shared" si="99"/>
        <v>12.929855822914472</v>
      </c>
      <c r="G238" s="459">
        <f t="shared" si="99"/>
        <v>13.137622204792658</v>
      </c>
      <c r="H238" s="459">
        <f t="shared" si="99"/>
        <v>13.181946010114142</v>
      </c>
      <c r="I238" s="459">
        <f t="shared" si="99"/>
        <v>13.197997320282367</v>
      </c>
      <c r="J238" s="459">
        <f t="shared" si="99"/>
        <v>13.230907988348449</v>
      </c>
      <c r="K238" s="459">
        <f t="shared" si="99"/>
        <v>13.196309217664457</v>
      </c>
      <c r="L238" s="459">
        <f t="shared" si="99"/>
        <v>13.111426040744794</v>
      </c>
      <c r="M238" s="459">
        <f t="shared" si="99"/>
        <v>13.08141812570201</v>
      </c>
      <c r="N238" s="459">
        <f t="shared" si="99"/>
        <v>13.057160580768855</v>
      </c>
    </row>
    <row r="239" spans="1:14">
      <c r="B239" s="338" t="str">
        <f t="shared" si="87"/>
        <v>Total</v>
      </c>
      <c r="C239" s="459">
        <f>SUM(C229:C238)</f>
        <v>418.63945524570369</v>
      </c>
      <c r="D239" s="459">
        <f t="shared" ref="D239:N239" si="100">SUM(D229:D238)</f>
        <v>440.75066392017555</v>
      </c>
      <c r="E239" s="459">
        <f t="shared" si="100"/>
        <v>444.37881023441287</v>
      </c>
      <c r="F239" s="459">
        <f t="shared" si="100"/>
        <v>450.18672473212501</v>
      </c>
      <c r="G239" s="459">
        <f t="shared" si="100"/>
        <v>454.96054663776249</v>
      </c>
      <c r="H239" s="459">
        <f t="shared" si="100"/>
        <v>458.11503356174393</v>
      </c>
      <c r="I239" s="459">
        <f t="shared" si="100"/>
        <v>461.90853704715363</v>
      </c>
      <c r="J239" s="459">
        <f t="shared" si="100"/>
        <v>466.6918180884818</v>
      </c>
      <c r="K239" s="459">
        <f t="shared" si="100"/>
        <v>469.24274459064543</v>
      </c>
      <c r="L239" s="459">
        <f t="shared" si="100"/>
        <v>469.71123653910763</v>
      </c>
      <c r="M239" s="459">
        <f t="shared" si="100"/>
        <v>471.17500285184798</v>
      </c>
      <c r="N239" s="459">
        <f t="shared" si="100"/>
        <v>472.10113936532105</v>
      </c>
    </row>
    <row r="240" spans="1:14">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181.76839465013768</v>
      </c>
      <c r="D247" s="459">
        <f t="shared" ref="D247:N247" si="105">D77-D213</f>
        <v>307.16072313681025</v>
      </c>
      <c r="E247" s="459">
        <f t="shared" si="105"/>
        <v>354.5821517566153</v>
      </c>
      <c r="F247" s="459">
        <f t="shared" si="105"/>
        <v>394.99928439844416</v>
      </c>
      <c r="G247" s="459">
        <f t="shared" si="105"/>
        <v>422.25672304859017</v>
      </c>
      <c r="H247" s="459">
        <f t="shared" si="105"/>
        <v>438.13990162169841</v>
      </c>
      <c r="I247" s="459">
        <f t="shared" si="105"/>
        <v>451.40357607621252</v>
      </c>
      <c r="J247" s="459">
        <f t="shared" si="105"/>
        <v>463.98641101761746</v>
      </c>
      <c r="K247" s="459">
        <f t="shared" si="105"/>
        <v>467.93931974138343</v>
      </c>
      <c r="L247" s="459">
        <f t="shared" si="105"/>
        <v>465.57503507714341</v>
      </c>
      <c r="M247" s="459">
        <f t="shared" si="105"/>
        <v>466.34981607096483</v>
      </c>
      <c r="N247" s="459">
        <f t="shared" si="105"/>
        <v>465.69921454907239</v>
      </c>
    </row>
    <row r="248" spans="2:14">
      <c r="B248" s="338" t="str">
        <f t="shared" si="102"/>
        <v>25-29</v>
      </c>
      <c r="C248" s="459">
        <f t="shared" si="104"/>
        <v>747.13758604264945</v>
      </c>
      <c r="D248" s="459">
        <f t="shared" ref="D248:N248" si="106">D78-D214</f>
        <v>811.42490027791575</v>
      </c>
      <c r="E248" s="459">
        <f t="shared" si="106"/>
        <v>828.1264739778253</v>
      </c>
      <c r="F248" s="459">
        <f t="shared" si="106"/>
        <v>859.09430648457931</v>
      </c>
      <c r="G248" s="459">
        <f t="shared" si="106"/>
        <v>887.83876780828041</v>
      </c>
      <c r="H248" s="459">
        <f t="shared" si="106"/>
        <v>909.50344552138449</v>
      </c>
      <c r="I248" s="459">
        <f t="shared" si="106"/>
        <v>931.01152484968623</v>
      </c>
      <c r="J248" s="459">
        <f t="shared" si="106"/>
        <v>953.43457416056799</v>
      </c>
      <c r="K248" s="459">
        <f t="shared" si="106"/>
        <v>965.46318957853009</v>
      </c>
      <c r="L248" s="459">
        <f t="shared" si="106"/>
        <v>967.9817901061258</v>
      </c>
      <c r="M248" s="459">
        <f t="shared" si="106"/>
        <v>972.57123789872583</v>
      </c>
      <c r="N248" s="459">
        <f t="shared" si="106"/>
        <v>974.41161312945337</v>
      </c>
    </row>
    <row r="249" spans="2:14">
      <c r="B249" s="338" t="str">
        <f t="shared" si="102"/>
        <v>30-34</v>
      </c>
      <c r="C249" s="459">
        <f t="shared" si="104"/>
        <v>953.96194365782571</v>
      </c>
      <c r="D249" s="459">
        <f t="shared" ref="D249:N249" si="107">D79-D215</f>
        <v>997.56543714251052</v>
      </c>
      <c r="E249" s="459">
        <f t="shared" si="107"/>
        <v>1009.5862719482093</v>
      </c>
      <c r="F249" s="459">
        <f t="shared" si="107"/>
        <v>1028.146304163794</v>
      </c>
      <c r="G249" s="459">
        <f t="shared" si="107"/>
        <v>1047.2369343215344</v>
      </c>
      <c r="H249" s="459">
        <f t="shared" si="107"/>
        <v>1064.3579514651492</v>
      </c>
      <c r="I249" s="459">
        <f t="shared" si="107"/>
        <v>1083.0308817132739</v>
      </c>
      <c r="J249" s="459">
        <f t="shared" si="107"/>
        <v>1103.7562696312536</v>
      </c>
      <c r="K249" s="459">
        <f t="shared" si="107"/>
        <v>1119.3699768572721</v>
      </c>
      <c r="L249" s="459">
        <f t="shared" si="107"/>
        <v>1128.9407707189989</v>
      </c>
      <c r="M249" s="459">
        <f t="shared" si="107"/>
        <v>1138.4999693534298</v>
      </c>
      <c r="N249" s="459">
        <f t="shared" si="107"/>
        <v>1145.4506548990075</v>
      </c>
    </row>
    <row r="250" spans="2:14">
      <c r="B250" s="338" t="str">
        <f t="shared" si="102"/>
        <v>35-39</v>
      </c>
      <c r="C250" s="459">
        <f t="shared" si="104"/>
        <v>875.13836538388205</v>
      </c>
      <c r="D250" s="459">
        <f t="shared" ref="D250:N250" si="108">D80-D216</f>
        <v>922.53517965552237</v>
      </c>
      <c r="E250" s="459">
        <f t="shared" si="108"/>
        <v>945.07299243544958</v>
      </c>
      <c r="F250" s="459">
        <f t="shared" si="108"/>
        <v>968.20033604476953</v>
      </c>
      <c r="G250" s="459">
        <f t="shared" si="108"/>
        <v>988.51291134743394</v>
      </c>
      <c r="H250" s="459">
        <f t="shared" si="108"/>
        <v>1005.5874504561823</v>
      </c>
      <c r="I250" s="459">
        <f t="shared" si="108"/>
        <v>1022.670505530067</v>
      </c>
      <c r="J250" s="459">
        <f t="shared" si="108"/>
        <v>1040.6443486884762</v>
      </c>
      <c r="K250" s="459">
        <f t="shared" si="108"/>
        <v>1055.2966223009573</v>
      </c>
      <c r="L250" s="459">
        <f t="shared" si="108"/>
        <v>1066.3310382908458</v>
      </c>
      <c r="M250" s="459">
        <f t="shared" si="108"/>
        <v>1077.5602734673628</v>
      </c>
      <c r="N250" s="459">
        <f t="shared" si="108"/>
        <v>1087.0186253496613</v>
      </c>
    </row>
    <row r="251" spans="2:14">
      <c r="B251" s="338" t="str">
        <f t="shared" si="102"/>
        <v>40-44</v>
      </c>
      <c r="C251" s="459">
        <f t="shared" si="104"/>
        <v>831.13757362504293</v>
      </c>
      <c r="D251" s="459">
        <f t="shared" ref="D251:N251" si="109">D81-D217</f>
        <v>859.9115237123525</v>
      </c>
      <c r="E251" s="459">
        <f t="shared" si="109"/>
        <v>872.90868893771938</v>
      </c>
      <c r="F251" s="459">
        <f t="shared" si="109"/>
        <v>890.22140546044693</v>
      </c>
      <c r="G251" s="459">
        <f t="shared" si="109"/>
        <v>907.14118678562568</v>
      </c>
      <c r="H251" s="459">
        <f t="shared" si="109"/>
        <v>922.20900054713707</v>
      </c>
      <c r="I251" s="459">
        <f t="shared" si="109"/>
        <v>937.60326999060783</v>
      </c>
      <c r="J251" s="459">
        <f t="shared" si="109"/>
        <v>953.73690664774585</v>
      </c>
      <c r="K251" s="459">
        <f t="shared" si="109"/>
        <v>966.96392629027218</v>
      </c>
      <c r="L251" s="459">
        <f t="shared" si="109"/>
        <v>977.24375037168579</v>
      </c>
      <c r="M251" s="459">
        <f t="shared" si="109"/>
        <v>987.98141401342139</v>
      </c>
      <c r="N251" s="459">
        <f t="shared" si="109"/>
        <v>997.5069681394898</v>
      </c>
    </row>
    <row r="252" spans="2:14">
      <c r="B252" s="338" t="str">
        <f t="shared" si="102"/>
        <v>45-49</v>
      </c>
      <c r="C252" s="459">
        <f t="shared" si="104"/>
        <v>838.80672534227062</v>
      </c>
      <c r="D252" s="459">
        <f t="shared" ref="D252:N252" si="110">D82-D218</f>
        <v>828.65486876990497</v>
      </c>
      <c r="E252" s="459">
        <f t="shared" si="110"/>
        <v>812.79739395724357</v>
      </c>
      <c r="F252" s="459">
        <f t="shared" si="110"/>
        <v>806.38059174809302</v>
      </c>
      <c r="G252" s="459">
        <f t="shared" si="110"/>
        <v>804.68347971066305</v>
      </c>
      <c r="H252" s="459">
        <f t="shared" si="110"/>
        <v>805.53048858458317</v>
      </c>
      <c r="I252" s="459">
        <f t="shared" si="110"/>
        <v>809.73535341731804</v>
      </c>
      <c r="J252" s="459">
        <f t="shared" si="110"/>
        <v>816.84700674893406</v>
      </c>
      <c r="K252" s="459">
        <f t="shared" si="110"/>
        <v>823.3229128795117</v>
      </c>
      <c r="L252" s="459">
        <f t="shared" si="110"/>
        <v>828.66488718149844</v>
      </c>
      <c r="M252" s="459">
        <f t="shared" si="110"/>
        <v>835.29036805586702</v>
      </c>
      <c r="N252" s="459">
        <f t="shared" si="110"/>
        <v>841.66763355654837</v>
      </c>
    </row>
    <row r="253" spans="2:14">
      <c r="B253" s="338" t="str">
        <f t="shared" si="102"/>
        <v>50-54</v>
      </c>
      <c r="C253" s="459">
        <f t="shared" si="104"/>
        <v>756.83939929276005</v>
      </c>
      <c r="D253" s="459">
        <f t="shared" ref="D253:N253" si="111">D83-D219</f>
        <v>734.94352100926108</v>
      </c>
      <c r="E253" s="459">
        <f t="shared" si="111"/>
        <v>707.5801273309844</v>
      </c>
      <c r="F253" s="459">
        <f t="shared" si="111"/>
        <v>687.31393346429911</v>
      </c>
      <c r="G253" s="459">
        <f t="shared" si="111"/>
        <v>671.62340559086772</v>
      </c>
      <c r="H253" s="459">
        <f t="shared" si="111"/>
        <v>659.42503253891709</v>
      </c>
      <c r="I253" s="459">
        <f t="shared" si="111"/>
        <v>651.50343551740229</v>
      </c>
      <c r="J253" s="459">
        <f t="shared" si="111"/>
        <v>647.51133512830131</v>
      </c>
      <c r="K253" s="459">
        <f t="shared" si="111"/>
        <v>644.72673577904288</v>
      </c>
      <c r="L253" s="459">
        <f t="shared" si="111"/>
        <v>642.58691192842059</v>
      </c>
      <c r="M253" s="459">
        <f t="shared" si="111"/>
        <v>642.63318582322393</v>
      </c>
      <c r="N253" s="459">
        <f t="shared" si="111"/>
        <v>643.53982650460989</v>
      </c>
    </row>
    <row r="254" spans="2:14">
      <c r="B254" s="338" t="str">
        <f t="shared" si="102"/>
        <v>55-59</v>
      </c>
      <c r="C254" s="459">
        <f t="shared" si="104"/>
        <v>371.06988716229091</v>
      </c>
      <c r="D254" s="459">
        <f t="shared" ref="D254:N254" si="112">D84-D220</f>
        <v>360.39762425262927</v>
      </c>
      <c r="E254" s="459">
        <f t="shared" si="112"/>
        <v>345.01710646469587</v>
      </c>
      <c r="F254" s="459">
        <f t="shared" si="112"/>
        <v>332.98136140745845</v>
      </c>
      <c r="G254" s="459">
        <f t="shared" si="112"/>
        <v>322.74022431487049</v>
      </c>
      <c r="H254" s="459">
        <f t="shared" si="112"/>
        <v>313.89613596453012</v>
      </c>
      <c r="I254" s="459">
        <f t="shared" si="112"/>
        <v>307.17766324737738</v>
      </c>
      <c r="J254" s="459">
        <f t="shared" si="112"/>
        <v>302.5257968893477</v>
      </c>
      <c r="K254" s="459">
        <f t="shared" si="112"/>
        <v>298.46601885756428</v>
      </c>
      <c r="L254" s="459">
        <f t="shared" si="112"/>
        <v>294.87894410404209</v>
      </c>
      <c r="M254" s="459">
        <f t="shared" si="112"/>
        <v>292.78672057849741</v>
      </c>
      <c r="N254" s="459">
        <f t="shared" si="112"/>
        <v>291.37280555348525</v>
      </c>
    </row>
    <row r="255" spans="2:14">
      <c r="B255" s="338" t="str">
        <f t="shared" si="102"/>
        <v>60-64</v>
      </c>
      <c r="C255" s="459">
        <f t="shared" si="104"/>
        <v>126.65199631531088</v>
      </c>
      <c r="D255" s="459">
        <f t="shared" ref="D255:N255" si="113">D85-D221</f>
        <v>118.09598304457988</v>
      </c>
      <c r="E255" s="459">
        <f t="shared" si="113"/>
        <v>110.1258512486272</v>
      </c>
      <c r="F255" s="459">
        <f t="shared" si="113"/>
        <v>104.93019050305058</v>
      </c>
      <c r="G255" s="459">
        <f t="shared" si="113"/>
        <v>100.93097360721531</v>
      </c>
      <c r="H255" s="459">
        <f t="shared" si="113"/>
        <v>97.573213780810136</v>
      </c>
      <c r="I255" s="459">
        <f t="shared" si="113"/>
        <v>95.035825643010114</v>
      </c>
      <c r="J255" s="459">
        <f t="shared" si="113"/>
        <v>93.22557313820252</v>
      </c>
      <c r="K255" s="459">
        <f t="shared" si="113"/>
        <v>91.479736223045222</v>
      </c>
      <c r="L255" s="459">
        <f t="shared" si="113"/>
        <v>89.810747946774086</v>
      </c>
      <c r="M255" s="459">
        <f t="shared" si="113"/>
        <v>88.727855143403801</v>
      </c>
      <c r="N255" s="459">
        <f t="shared" si="113"/>
        <v>87.87353176096255</v>
      </c>
    </row>
    <row r="256" spans="2:14">
      <c r="B256" s="338" t="str">
        <f t="shared" si="102"/>
        <v>65 plus</v>
      </c>
      <c r="C256" s="459">
        <f t="shared" si="104"/>
        <v>45.555561273221478</v>
      </c>
      <c r="D256" s="459">
        <f t="shared" ref="D256:N256" si="114">D86-D222</f>
        <v>42.41667374495178</v>
      </c>
      <c r="E256" s="459">
        <f t="shared" si="114"/>
        <v>38.938744394166505</v>
      </c>
      <c r="F256" s="459">
        <f t="shared" si="114"/>
        <v>36.363859542610946</v>
      </c>
      <c r="G256" s="459">
        <f t="shared" si="114"/>
        <v>34.395149560662972</v>
      </c>
      <c r="H256" s="459">
        <f t="shared" si="114"/>
        <v>32.83300362042592</v>
      </c>
      <c r="I256" s="459">
        <f t="shared" si="114"/>
        <v>31.674757286178714</v>
      </c>
      <c r="J256" s="459">
        <f t="shared" si="114"/>
        <v>30.848805783346492</v>
      </c>
      <c r="K256" s="459">
        <f t="shared" si="114"/>
        <v>30.102124995415128</v>
      </c>
      <c r="L256" s="459">
        <f t="shared" si="114"/>
        <v>29.396720800469694</v>
      </c>
      <c r="M256" s="459">
        <f t="shared" si="114"/>
        <v>28.886442207306164</v>
      </c>
      <c r="N256" s="459">
        <f t="shared" si="114"/>
        <v>28.466634239431013</v>
      </c>
    </row>
    <row r="257" spans="1:14">
      <c r="B257" s="338" t="str">
        <f t="shared" si="102"/>
        <v>Total</v>
      </c>
      <c r="C257" s="459">
        <f>SUM(C247:C256)</f>
        <v>5728.0674327453917</v>
      </c>
      <c r="D257" s="459">
        <f t="shared" ref="D257:N257" si="115">SUM(D247:D256)</f>
        <v>5983.106434746438</v>
      </c>
      <c r="E257" s="459">
        <f t="shared" si="115"/>
        <v>6024.735802451537</v>
      </c>
      <c r="F257" s="459">
        <f t="shared" si="115"/>
        <v>6108.6315732175453</v>
      </c>
      <c r="G257" s="459">
        <f t="shared" si="115"/>
        <v>6187.359756095746</v>
      </c>
      <c r="H257" s="459">
        <f t="shared" si="115"/>
        <v>6249.0556241008189</v>
      </c>
      <c r="I257" s="459">
        <f t="shared" si="115"/>
        <v>6320.8467932711337</v>
      </c>
      <c r="J257" s="459">
        <f t="shared" si="115"/>
        <v>6406.5170278337937</v>
      </c>
      <c r="K257" s="459">
        <f t="shared" si="115"/>
        <v>6463.1305635029958</v>
      </c>
      <c r="L257" s="459">
        <f t="shared" si="115"/>
        <v>6491.4105965260051</v>
      </c>
      <c r="M257" s="459">
        <f t="shared" si="115"/>
        <v>6531.2872826122048</v>
      </c>
      <c r="N257" s="459">
        <f t="shared" si="115"/>
        <v>6563.0075076817202</v>
      </c>
    </row>
    <row r="258" spans="1:14">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4">
      <c r="B263" s="338" t="str">
        <f t="shared" si="117"/>
        <v>20-24</v>
      </c>
      <c r="C263" s="459">
        <f t="shared" ref="C263:C272" si="119">C93-C229</f>
        <v>164.30794752378631</v>
      </c>
      <c r="D263" s="459">
        <f t="shared" ref="D263:N263" si="120">D93-D229</f>
        <v>223.93990819635735</v>
      </c>
      <c r="E263" s="459">
        <f t="shared" si="120"/>
        <v>242.68748613907866</v>
      </c>
      <c r="F263" s="459">
        <f t="shared" si="120"/>
        <v>260.5189956444184</v>
      </c>
      <c r="G263" s="459">
        <f t="shared" si="120"/>
        <v>272.72777014394927</v>
      </c>
      <c r="H263" s="459">
        <f t="shared" si="120"/>
        <v>279.59928084491025</v>
      </c>
      <c r="I263" s="459">
        <f t="shared" si="120"/>
        <v>285.82373839913009</v>
      </c>
      <c r="J263" s="459">
        <f t="shared" si="120"/>
        <v>292.2609588155234</v>
      </c>
      <c r="K263" s="459">
        <f t="shared" si="120"/>
        <v>293.97946230018448</v>
      </c>
      <c r="L263" s="459">
        <f t="shared" si="120"/>
        <v>292.15587661656514</v>
      </c>
      <c r="M263" s="459">
        <f t="shared" si="120"/>
        <v>292.3075549526701</v>
      </c>
      <c r="N263" s="459">
        <f t="shared" si="120"/>
        <v>291.70870892965519</v>
      </c>
    </row>
    <row r="264" spans="1:14">
      <c r="B264" s="338" t="str">
        <f t="shared" si="117"/>
        <v>25-29</v>
      </c>
      <c r="C264" s="459">
        <f t="shared" si="119"/>
        <v>442.77825242949916</v>
      </c>
      <c r="D264" s="459">
        <f t="shared" ref="D264:N264" si="121">D94-D230</f>
        <v>489.52277627956482</v>
      </c>
      <c r="E264" s="459">
        <f t="shared" si="121"/>
        <v>503.44523710834676</v>
      </c>
      <c r="F264" s="459">
        <f t="shared" si="121"/>
        <v>522.93833757063783</v>
      </c>
      <c r="G264" s="459">
        <f t="shared" si="121"/>
        <v>539.72131402803689</v>
      </c>
      <c r="H264" s="459">
        <f t="shared" si="121"/>
        <v>551.7222301458396</v>
      </c>
      <c r="I264" s="459">
        <f t="shared" si="121"/>
        <v>563.40159269286983</v>
      </c>
      <c r="J264" s="459">
        <f t="shared" si="121"/>
        <v>575.60926450698537</v>
      </c>
      <c r="K264" s="459">
        <f t="shared" si="121"/>
        <v>581.84363344380108</v>
      </c>
      <c r="L264" s="459">
        <f t="shared" si="121"/>
        <v>582.64414337632661</v>
      </c>
      <c r="M264" s="459">
        <f t="shared" si="121"/>
        <v>584.76814146830202</v>
      </c>
      <c r="N264" s="459">
        <f t="shared" si="121"/>
        <v>585.39175345809451</v>
      </c>
    </row>
    <row r="265" spans="1:14">
      <c r="B265" s="338" t="str">
        <f t="shared" si="117"/>
        <v>30-34</v>
      </c>
      <c r="C265" s="459">
        <f t="shared" si="119"/>
        <v>633.17741519775609</v>
      </c>
      <c r="D265" s="459">
        <f t="shared" ref="D265:N265" si="122">D95-D231</f>
        <v>626.44796960338863</v>
      </c>
      <c r="E265" s="459">
        <f t="shared" si="122"/>
        <v>611.63327921085863</v>
      </c>
      <c r="F265" s="459">
        <f t="shared" si="122"/>
        <v>607.15808652404917</v>
      </c>
      <c r="G265" s="459">
        <f t="shared" si="122"/>
        <v>607.21513299240837</v>
      </c>
      <c r="H265" s="459">
        <f t="shared" si="122"/>
        <v>608.95327847432213</v>
      </c>
      <c r="I265" s="459">
        <f t="shared" si="122"/>
        <v>613.5147730984354</v>
      </c>
      <c r="J265" s="459">
        <f t="shared" si="122"/>
        <v>620.59807132027049</v>
      </c>
      <c r="K265" s="459">
        <f t="shared" si="122"/>
        <v>625.71861981330665</v>
      </c>
      <c r="L265" s="459">
        <f t="shared" si="122"/>
        <v>628.14494379418977</v>
      </c>
      <c r="M265" s="459">
        <f t="shared" si="122"/>
        <v>631.1920951338177</v>
      </c>
      <c r="N265" s="459">
        <f t="shared" si="122"/>
        <v>633.22436736472582</v>
      </c>
    </row>
    <row r="266" spans="1:14">
      <c r="B266" s="338" t="str">
        <f t="shared" si="117"/>
        <v>35-39</v>
      </c>
      <c r="C266" s="459">
        <f t="shared" si="119"/>
        <v>575.26566415460536</v>
      </c>
      <c r="D266" s="459">
        <f t="shared" ref="D266:N266" si="123">D96-D232</f>
        <v>597.31647649751221</v>
      </c>
      <c r="E266" s="459">
        <f t="shared" si="123"/>
        <v>600.32908966159675</v>
      </c>
      <c r="F266" s="459">
        <f t="shared" si="123"/>
        <v>602.26162380149276</v>
      </c>
      <c r="G266" s="459">
        <f t="shared" si="123"/>
        <v>602.71037270493366</v>
      </c>
      <c r="H266" s="459">
        <f t="shared" si="123"/>
        <v>602.17382443881263</v>
      </c>
      <c r="I266" s="459">
        <f t="shared" si="123"/>
        <v>602.83159944584213</v>
      </c>
      <c r="J266" s="459">
        <f t="shared" si="123"/>
        <v>605.23682514542134</v>
      </c>
      <c r="K266" s="459">
        <f t="shared" si="123"/>
        <v>606.86052142437939</v>
      </c>
      <c r="L266" s="459">
        <f t="shared" si="123"/>
        <v>607.42439675821299</v>
      </c>
      <c r="M266" s="459">
        <f t="shared" si="123"/>
        <v>609.03153225497579</v>
      </c>
      <c r="N266" s="459">
        <f t="shared" si="123"/>
        <v>610.41050083201787</v>
      </c>
    </row>
    <row r="267" spans="1:14">
      <c r="B267" s="338" t="str">
        <f t="shared" si="117"/>
        <v>40-44</v>
      </c>
      <c r="C267" s="459">
        <f t="shared" si="119"/>
        <v>518.67068119439114</v>
      </c>
      <c r="D267" s="459">
        <f t="shared" ref="D267:N267" si="124">D97-D233</f>
        <v>535.50372553760576</v>
      </c>
      <c r="E267" s="459">
        <f t="shared" si="124"/>
        <v>542.03102251775238</v>
      </c>
      <c r="F267" s="459">
        <f t="shared" si="124"/>
        <v>549.42488767674377</v>
      </c>
      <c r="G267" s="459">
        <f t="shared" si="124"/>
        <v>555.10848107920367</v>
      </c>
      <c r="H267" s="459">
        <f t="shared" si="124"/>
        <v>558.6546070515551</v>
      </c>
      <c r="I267" s="459">
        <f t="shared" si="124"/>
        <v>561.77856788748329</v>
      </c>
      <c r="J267" s="459">
        <f t="shared" si="124"/>
        <v>565.09904650372948</v>
      </c>
      <c r="K267" s="459">
        <f t="shared" si="124"/>
        <v>566.78509913867572</v>
      </c>
      <c r="L267" s="459">
        <f t="shared" si="124"/>
        <v>567.02052148313078</v>
      </c>
      <c r="M267" s="459">
        <f t="shared" si="124"/>
        <v>567.91539759536306</v>
      </c>
      <c r="N267" s="459">
        <f t="shared" si="124"/>
        <v>568.56718352450787</v>
      </c>
    </row>
    <row r="268" spans="1:14">
      <c r="B268" s="338" t="str">
        <f t="shared" si="117"/>
        <v>45-49</v>
      </c>
      <c r="C268" s="459">
        <f t="shared" si="119"/>
        <v>415.22036780416562</v>
      </c>
      <c r="D268" s="459">
        <f t="shared" ref="D268:N268" si="125">D98-D234</f>
        <v>435.92055206849676</v>
      </c>
      <c r="E268" s="459">
        <f t="shared" si="125"/>
        <v>446.11342543701716</v>
      </c>
      <c r="F268" s="459">
        <f t="shared" si="125"/>
        <v>456.38279709739987</v>
      </c>
      <c r="G268" s="459">
        <f t="shared" si="125"/>
        <v>465.13625829575824</v>
      </c>
      <c r="H268" s="459">
        <f t="shared" si="125"/>
        <v>471.98472469777153</v>
      </c>
      <c r="I268" s="459">
        <f t="shared" si="125"/>
        <v>478.12557987365352</v>
      </c>
      <c r="J268" s="459">
        <f t="shared" si="125"/>
        <v>483.90373649486912</v>
      </c>
      <c r="K268" s="459">
        <f t="shared" si="125"/>
        <v>487.76184595686215</v>
      </c>
      <c r="L268" s="459">
        <f t="shared" si="125"/>
        <v>489.83699068400591</v>
      </c>
      <c r="M268" s="459">
        <f t="shared" si="125"/>
        <v>491.89296106060971</v>
      </c>
      <c r="N268" s="459">
        <f t="shared" si="125"/>
        <v>493.31372979138297</v>
      </c>
    </row>
    <row r="269" spans="1:14">
      <c r="B269" s="338" t="str">
        <f t="shared" si="117"/>
        <v>50-54</v>
      </c>
      <c r="C269" s="459">
        <f t="shared" si="119"/>
        <v>382.77486401596724</v>
      </c>
      <c r="D269" s="459">
        <f t="shared" ref="D269:N269" si="126">D99-D235</f>
        <v>376.24510968350853</v>
      </c>
      <c r="E269" s="459">
        <f t="shared" si="126"/>
        <v>369.41118231169088</v>
      </c>
      <c r="F269" s="459">
        <f t="shared" si="126"/>
        <v>367.53407972402448</v>
      </c>
      <c r="G269" s="459">
        <f t="shared" si="126"/>
        <v>367.95475965344275</v>
      </c>
      <c r="H269" s="459">
        <f t="shared" si="126"/>
        <v>369.39493333386815</v>
      </c>
      <c r="I269" s="459">
        <f t="shared" si="126"/>
        <v>372.01130800689577</v>
      </c>
      <c r="J269" s="459">
        <f t="shared" si="126"/>
        <v>375.51305082297273</v>
      </c>
      <c r="K269" s="459">
        <f t="shared" si="126"/>
        <v>378.3458786669251</v>
      </c>
      <c r="L269" s="459">
        <f t="shared" si="126"/>
        <v>380.29597730655286</v>
      </c>
      <c r="M269" s="459">
        <f t="shared" si="126"/>
        <v>382.42836733797918</v>
      </c>
      <c r="N269" s="459">
        <f t="shared" si="126"/>
        <v>384.14482168057856</v>
      </c>
    </row>
    <row r="270" spans="1:14">
      <c r="B270" s="338" t="str">
        <f t="shared" si="117"/>
        <v>55-59</v>
      </c>
      <c r="C270" s="459">
        <f t="shared" si="119"/>
        <v>175.36019513353264</v>
      </c>
      <c r="D270" s="459">
        <f t="shared" ref="D270:N270" si="127">D100-D236</f>
        <v>180.47087700359378</v>
      </c>
      <c r="E270" s="459">
        <f t="shared" si="127"/>
        <v>179.13794628490081</v>
      </c>
      <c r="F270" s="459">
        <f t="shared" si="127"/>
        <v>177.99517233681308</v>
      </c>
      <c r="G270" s="459">
        <f t="shared" si="127"/>
        <v>176.97509970927592</v>
      </c>
      <c r="H270" s="459">
        <f t="shared" si="127"/>
        <v>176.16907731026808</v>
      </c>
      <c r="I270" s="459">
        <f t="shared" si="127"/>
        <v>176.10898636359104</v>
      </c>
      <c r="J270" s="459">
        <f t="shared" si="127"/>
        <v>176.77848932972051</v>
      </c>
      <c r="K270" s="459">
        <f t="shared" si="127"/>
        <v>177.29763706995266</v>
      </c>
      <c r="L270" s="459">
        <f t="shared" si="127"/>
        <v>177.58934997587968</v>
      </c>
      <c r="M270" s="459">
        <f t="shared" si="127"/>
        <v>178.27492416539837</v>
      </c>
      <c r="N270" s="459">
        <f t="shared" si="127"/>
        <v>178.90809188424331</v>
      </c>
    </row>
    <row r="271" spans="1:14">
      <c r="B271" s="338" t="str">
        <f t="shared" si="117"/>
        <v>60-64</v>
      </c>
      <c r="C271" s="459">
        <f t="shared" si="119"/>
        <v>49.825239823022535</v>
      </c>
      <c r="D271" s="459">
        <f t="shared" ref="D271:N271" si="128">D101-D237</f>
        <v>49.860319383163137</v>
      </c>
      <c r="E271" s="459">
        <f t="shared" si="128"/>
        <v>49.049611961295597</v>
      </c>
      <c r="F271" s="459">
        <f t="shared" si="128"/>
        <v>48.810367266940041</v>
      </c>
      <c r="G271" s="459">
        <f t="shared" si="128"/>
        <v>48.550552648922043</v>
      </c>
      <c r="H271" s="459">
        <f t="shared" si="128"/>
        <v>48.209646879745108</v>
      </c>
      <c r="I271" s="459">
        <f t="shared" si="128"/>
        <v>48.04607626154889</v>
      </c>
      <c r="J271" s="459">
        <f t="shared" si="128"/>
        <v>48.091151499951408</v>
      </c>
      <c r="K271" s="459">
        <f t="shared" si="128"/>
        <v>48.017496007423837</v>
      </c>
      <c r="L271" s="459">
        <f t="shared" si="128"/>
        <v>47.857372058228798</v>
      </c>
      <c r="M271" s="459">
        <f t="shared" si="128"/>
        <v>47.90500530461798</v>
      </c>
      <c r="N271" s="459">
        <f t="shared" si="128"/>
        <v>47.962662132914254</v>
      </c>
    </row>
    <row r="272" spans="1:14">
      <c r="B272" s="338" t="str">
        <f t="shared" si="117"/>
        <v>65 plus</v>
      </c>
      <c r="C272" s="459">
        <f t="shared" si="119"/>
        <v>8.7594333179507871</v>
      </c>
      <c r="D272" s="459">
        <f t="shared" ref="D272:N272" si="129">D102-D238</f>
        <v>11.520623596316026</v>
      </c>
      <c r="E272" s="459">
        <f t="shared" si="129"/>
        <v>12.44614283049213</v>
      </c>
      <c r="F272" s="459">
        <f t="shared" si="129"/>
        <v>12.920916237184731</v>
      </c>
      <c r="G272" s="459">
        <f t="shared" si="129"/>
        <v>13.128538971259877</v>
      </c>
      <c r="H272" s="459">
        <f t="shared" si="129"/>
        <v>13.172832131502023</v>
      </c>
      <c r="I272" s="459">
        <f t="shared" si="129"/>
        <v>13.188872343939133</v>
      </c>
      <c r="J272" s="459">
        <f t="shared" si="129"/>
        <v>13.221760257866062</v>
      </c>
      <c r="K272" s="459">
        <f t="shared" si="129"/>
        <v>13.187185408460152</v>
      </c>
      <c r="L272" s="459">
        <f t="shared" si="129"/>
        <v>13.102360919003631</v>
      </c>
      <c r="M272" s="459">
        <f t="shared" si="129"/>
        <v>13.072373751162734</v>
      </c>
      <c r="N272" s="459">
        <f t="shared" si="129"/>
        <v>13.048132977677422</v>
      </c>
    </row>
    <row r="273" spans="1:15">
      <c r="B273" s="338" t="str">
        <f t="shared" si="117"/>
        <v>Total</v>
      </c>
      <c r="C273" s="459">
        <f>SUM(C263:C272)</f>
        <v>3366.1400605946769</v>
      </c>
      <c r="D273" s="459">
        <f t="shared" ref="D273:N273" si="130">SUM(D263:D272)</f>
        <v>3526.7483378495072</v>
      </c>
      <c r="E273" s="459">
        <f t="shared" si="130"/>
        <v>3556.2844234630302</v>
      </c>
      <c r="F273" s="459">
        <f t="shared" si="130"/>
        <v>3605.9452638797043</v>
      </c>
      <c r="G273" s="459">
        <f t="shared" si="130"/>
        <v>3649.2282802271902</v>
      </c>
      <c r="H273" s="459">
        <f t="shared" si="130"/>
        <v>3680.0344353085948</v>
      </c>
      <c r="I273" s="459">
        <f t="shared" si="130"/>
        <v>3714.8310943733895</v>
      </c>
      <c r="J273" s="459">
        <f t="shared" si="130"/>
        <v>3756.3123546973097</v>
      </c>
      <c r="K273" s="459">
        <f t="shared" si="130"/>
        <v>3779.7973792299713</v>
      </c>
      <c r="L273" s="459">
        <f t="shared" si="130"/>
        <v>3786.071932972096</v>
      </c>
      <c r="M273" s="459">
        <f t="shared" si="130"/>
        <v>3798.7883530248964</v>
      </c>
      <c r="N273" s="459">
        <f t="shared" si="130"/>
        <v>3806.6799525757983</v>
      </c>
    </row>
    <row r="274" spans="1:15">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5" ht="15.75">
      <c r="B275" s="340"/>
      <c r="H275" s="327"/>
    </row>
    <row r="276" spans="1:15" ht="15.75">
      <c r="B276" s="340" t="s">
        <v>1621</v>
      </c>
      <c r="H276" s="327"/>
    </row>
    <row r="277" spans="1:15" ht="15.75">
      <c r="B277" s="340"/>
      <c r="H277" s="327"/>
    </row>
    <row r="278" spans="1:15"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5">
      <c r="B279" s="326" t="s">
        <v>215</v>
      </c>
      <c r="C279" s="459">
        <f>C223+C239</f>
        <v>1171.1143630990252</v>
      </c>
      <c r="D279" s="459">
        <f t="shared" ref="D279:N279" si="133">D223+D239</f>
        <v>1215.3970277037477</v>
      </c>
      <c r="E279" s="459">
        <f t="shared" si="133"/>
        <v>1214.2169363500307</v>
      </c>
      <c r="F279" s="459">
        <f t="shared" si="133"/>
        <v>1222.1620281554162</v>
      </c>
      <c r="G279" s="459">
        <f t="shared" si="133"/>
        <v>1229.3569625222797</v>
      </c>
      <c r="H279" s="459">
        <f t="shared" si="133"/>
        <v>1233.5813967928104</v>
      </c>
      <c r="I279" s="459">
        <f t="shared" si="133"/>
        <v>1240.6078761684762</v>
      </c>
      <c r="J279" s="459">
        <f t="shared" si="133"/>
        <v>1251.1481357386604</v>
      </c>
      <c r="K279" s="459">
        <f t="shared" si="133"/>
        <v>1256.3093115081672</v>
      </c>
      <c r="L279" s="459">
        <f t="shared" si="133"/>
        <v>1256.4446156661961</v>
      </c>
      <c r="M279" s="459">
        <f t="shared" si="133"/>
        <v>1259.8482603651605</v>
      </c>
      <c r="N279" s="459">
        <f t="shared" si="133"/>
        <v>1262.2552810079767</v>
      </c>
      <c r="O279" s="327"/>
    </row>
    <row r="280" spans="1:15">
      <c r="B280" s="326" t="s">
        <v>216</v>
      </c>
      <c r="C280" s="459">
        <f>C155+C171</f>
        <v>344.15888513582468</v>
      </c>
      <c r="D280" s="459">
        <f t="shared" ref="D280:N280" si="134">D155+D171</f>
        <v>336.3897013161083</v>
      </c>
      <c r="E280" s="459">
        <f t="shared" si="134"/>
        <v>323.24587722566184</v>
      </c>
      <c r="F280" s="459">
        <f t="shared" si="134"/>
        <v>313.89446538527363</v>
      </c>
      <c r="G280" s="459">
        <f t="shared" si="134"/>
        <v>306.25572194703489</v>
      </c>
      <c r="H280" s="459">
        <f t="shared" si="134"/>
        <v>299.7169167767251</v>
      </c>
      <c r="I280" s="459">
        <f t="shared" si="134"/>
        <v>295.0670162604934</v>
      </c>
      <c r="J280" s="459">
        <f t="shared" si="134"/>
        <v>292.21531819881301</v>
      </c>
      <c r="K280" s="459">
        <f t="shared" si="134"/>
        <v>289.46347910590765</v>
      </c>
      <c r="L280" s="459">
        <f t="shared" si="134"/>
        <v>286.74938966577702</v>
      </c>
      <c r="M280" s="459">
        <f t="shared" si="134"/>
        <v>285.34719948470553</v>
      </c>
      <c r="N280" s="459">
        <f t="shared" si="134"/>
        <v>284.36162364979248</v>
      </c>
      <c r="O280" s="327"/>
    </row>
    <row r="281" spans="1:15">
      <c r="B281" s="326" t="s">
        <v>541</v>
      </c>
      <c r="C281" s="459">
        <f>C189+C205</f>
        <v>7.1793050076387877</v>
      </c>
      <c r="D281" s="459">
        <f t="shared" ref="D281:N281" si="135">D189+D205</f>
        <v>7.1786901899787097</v>
      </c>
      <c r="E281" s="459">
        <f t="shared" si="135"/>
        <v>7.033960808870976</v>
      </c>
      <c r="F281" s="459">
        <f t="shared" si="135"/>
        <v>6.9448581347721037</v>
      </c>
      <c r="G281" s="459">
        <f t="shared" si="135"/>
        <v>6.8789686662756093</v>
      </c>
      <c r="H281" s="459">
        <f t="shared" si="135"/>
        <v>6.8252531353841004</v>
      </c>
      <c r="I281" s="459">
        <f t="shared" si="135"/>
        <v>6.8002322775366881</v>
      </c>
      <c r="J281" s="459">
        <f t="shared" si="135"/>
        <v>6.8036551039406641</v>
      </c>
      <c r="K281" s="459">
        <f t="shared" si="135"/>
        <v>6.8013502311170138</v>
      </c>
      <c r="L281" s="459">
        <f t="shared" si="135"/>
        <v>6.7909596185373795</v>
      </c>
      <c r="M281" s="459">
        <f t="shared" si="135"/>
        <v>6.7991307276712423</v>
      </c>
      <c r="N281" s="459">
        <f t="shared" si="135"/>
        <v>6.8094743965648155</v>
      </c>
      <c r="O281" s="327"/>
    </row>
    <row r="282" spans="1:15">
      <c r="B282" s="326" t="s">
        <v>217</v>
      </c>
      <c r="C282" s="459">
        <f>C121+C137</f>
        <v>819.77617295556172</v>
      </c>
      <c r="D282" s="459">
        <f t="shared" ref="D282:N282" si="136">D121+D137</f>
        <v>871.82863619766067</v>
      </c>
      <c r="E282" s="459">
        <f t="shared" si="136"/>
        <v>883.93709831549791</v>
      </c>
      <c r="F282" s="459">
        <f t="shared" si="136"/>
        <v>901.32270463537054</v>
      </c>
      <c r="G282" s="459">
        <f t="shared" si="136"/>
        <v>916.22227190896933</v>
      </c>
      <c r="H282" s="459">
        <f t="shared" si="136"/>
        <v>927.03922688070111</v>
      </c>
      <c r="I282" s="459">
        <f t="shared" si="136"/>
        <v>938.74062763044628</v>
      </c>
      <c r="J282" s="459">
        <f t="shared" si="136"/>
        <v>952.12916243590666</v>
      </c>
      <c r="K282" s="459">
        <f t="shared" si="136"/>
        <v>960.04448217114236</v>
      </c>
      <c r="L282" s="459">
        <f t="shared" si="136"/>
        <v>962.90426638188183</v>
      </c>
      <c r="M282" s="459">
        <f t="shared" si="136"/>
        <v>967.70193015278369</v>
      </c>
      <c r="N282" s="459">
        <f t="shared" si="136"/>
        <v>971.08418296161938</v>
      </c>
      <c r="O282" s="327"/>
    </row>
    <row r="283" spans="1:15"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5" ht="15.75">
      <c r="B284" s="340"/>
      <c r="H284" s="327"/>
    </row>
    <row r="285" spans="1:15" ht="15.75">
      <c r="B285" s="340" t="s">
        <v>1622</v>
      </c>
      <c r="F285" s="364"/>
      <c r="G285" s="364" t="s">
        <v>265</v>
      </c>
      <c r="H285" s="327"/>
    </row>
    <row r="286" spans="1:15" ht="15.75">
      <c r="B286" s="340"/>
      <c r="H286" s="327"/>
    </row>
    <row r="287" spans="1:15" ht="15.75">
      <c r="B287" s="340" t="s">
        <v>199</v>
      </c>
      <c r="H287" s="327"/>
    </row>
    <row r="288" spans="1:15" ht="15.75">
      <c r="B288" s="340"/>
      <c r="H288" s="327"/>
    </row>
    <row r="289" spans="2:14"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4"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4" ht="15.75">
      <c r="B291" s="340"/>
      <c r="H291" s="327"/>
    </row>
    <row r="292" spans="2:14" ht="15.75">
      <c r="B292" s="340" t="s">
        <v>263</v>
      </c>
      <c r="H292" s="327"/>
    </row>
    <row r="293" spans="2:14"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4">
      <c r="B294" s="363" t="s">
        <v>266</v>
      </c>
      <c r="C294" s="459">
        <f>C36-C15+C279-C290</f>
        <v>1631.0443069596247</v>
      </c>
      <c r="D294" s="459">
        <f>D36-D15+D279-D290</f>
        <v>1285.3823896686515</v>
      </c>
      <c r="E294" s="459">
        <f>E36-E15+E279-E290</f>
        <v>1355.7186393380998</v>
      </c>
      <c r="F294" s="459">
        <f t="shared" ref="F294:N294" si="141">F36-F15+F279-F290</f>
        <v>1351.3681617479645</v>
      </c>
      <c r="G294" s="459">
        <f t="shared" si="141"/>
        <v>1326.0834198792879</v>
      </c>
      <c r="H294" s="459">
        <f t="shared" si="141"/>
        <v>1347.1957044035869</v>
      </c>
      <c r="I294" s="459">
        <f t="shared" si="141"/>
        <v>1378.2996306252403</v>
      </c>
      <c r="J294" s="459">
        <f t="shared" si="141"/>
        <v>1336.4078717100294</v>
      </c>
      <c r="K294" s="459">
        <f t="shared" si="141"/>
        <v>1290.9992024313312</v>
      </c>
      <c r="L294" s="459">
        <f t="shared" si="141"/>
        <v>1312.4413665041593</v>
      </c>
      <c r="M294" s="459">
        <f t="shared" si="141"/>
        <v>1301.8671056283961</v>
      </c>
      <c r="N294" s="459">
        <f t="shared" si="141"/>
        <v>1234.9691066198673</v>
      </c>
    </row>
    <row r="295" spans="2:14" ht="12.75" customHeight="1">
      <c r="B295" s="1243" t="s">
        <v>264</v>
      </c>
      <c r="C295" s="1243"/>
      <c r="D295" s="1243"/>
      <c r="E295" s="1243"/>
      <c r="F295" s="1243"/>
      <c r="G295" s="1243"/>
      <c r="H295" s="1243"/>
      <c r="I295" s="1243"/>
      <c r="J295" s="1243"/>
      <c r="K295" s="1243"/>
      <c r="L295" s="1243"/>
      <c r="M295" s="1243"/>
      <c r="N295" s="1243"/>
    </row>
    <row r="296" spans="2:14">
      <c r="B296" s="326" t="s">
        <v>2</v>
      </c>
      <c r="C296" s="282">
        <f>IF(C294&lt;0,0,C294)</f>
        <v>1631.0443069596247</v>
      </c>
      <c r="D296" s="282">
        <f t="shared" ref="D296:N296" si="142">IF(D294&lt;0,0,D294)</f>
        <v>1285.3823896686515</v>
      </c>
      <c r="E296" s="282">
        <f t="shared" si="142"/>
        <v>1355.7186393380998</v>
      </c>
      <c r="F296" s="282">
        <f t="shared" si="142"/>
        <v>1351.3681617479645</v>
      </c>
      <c r="G296" s="282">
        <f t="shared" si="142"/>
        <v>1326.0834198792879</v>
      </c>
      <c r="H296" s="282">
        <f t="shared" si="142"/>
        <v>1347.1957044035869</v>
      </c>
      <c r="I296" s="282">
        <f t="shared" si="142"/>
        <v>1378.2996306252403</v>
      </c>
      <c r="J296" s="282">
        <f t="shared" si="142"/>
        <v>1336.4078717100294</v>
      </c>
      <c r="K296" s="282">
        <f t="shared" si="142"/>
        <v>1290.9992024313312</v>
      </c>
      <c r="L296" s="282">
        <f t="shared" si="142"/>
        <v>1312.4413665041593</v>
      </c>
      <c r="M296" s="282">
        <f t="shared" si="142"/>
        <v>1301.8671056283961</v>
      </c>
      <c r="N296" s="282">
        <f t="shared" si="142"/>
        <v>1234.9691066198673</v>
      </c>
    </row>
    <row r="297" spans="2:14" ht="15.75">
      <c r="B297" s="340"/>
      <c r="H297" s="327"/>
    </row>
    <row r="298" spans="2:14" ht="15.75">
      <c r="B298" s="340" t="s">
        <v>162</v>
      </c>
      <c r="H298" s="327"/>
    </row>
    <row r="299" spans="2:14" ht="15.75">
      <c r="B299" s="340"/>
      <c r="H299" s="327"/>
    </row>
    <row r="300" spans="2:14">
      <c r="B300" s="341" t="s">
        <v>49</v>
      </c>
      <c r="H300" s="325"/>
    </row>
    <row r="301" spans="2:14">
      <c r="H301" s="325"/>
    </row>
    <row r="302" spans="2:14">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4">
      <c r="B303" s="338" t="str">
        <f t="shared" si="143"/>
        <v>20-24</v>
      </c>
      <c r="C303" s="459">
        <f>C$296*Entrant_age_breakdowns!$K76*$G$31</f>
        <v>265.7010122282087</v>
      </c>
      <c r="D303" s="459">
        <f>D$296*Entrant_age_breakdowns!$K76*$G$31</f>
        <v>209.39186052640372</v>
      </c>
      <c r="E303" s="459">
        <f>E$296*Entrant_age_breakdowns!$K76*$G$31</f>
        <v>220.84980354718212</v>
      </c>
      <c r="F303" s="459">
        <f>F$296*Entrant_age_breakdowns!$K76*$G$31</f>
        <v>220.14110035963364</v>
      </c>
      <c r="G303" s="459">
        <f>G$296*Entrant_age_breakdowns!$K76*$G$31</f>
        <v>216.02215553405779</v>
      </c>
      <c r="H303" s="459">
        <f>H$296*Entrant_age_breakdowns!$K76*$G$31</f>
        <v>219.4613970951977</v>
      </c>
      <c r="I303" s="459">
        <f>I$296*Entrant_age_breakdowns!$K76*$G$31</f>
        <v>224.52830094698214</v>
      </c>
      <c r="J303" s="459">
        <f>J$296*Entrant_age_breakdowns!$K76*$G$31</f>
        <v>217.70403339011855</v>
      </c>
      <c r="K303" s="459">
        <f>K$296*Entrant_age_breakdowns!$K76*$G$31</f>
        <v>210.30685273732789</v>
      </c>
      <c r="L303" s="459">
        <f>L$296*Entrant_age_breakdowns!$K76*$G$31</f>
        <v>213.79983246461302</v>
      </c>
      <c r="M303" s="459">
        <f>M$296*Entrant_age_breakdowns!$K76*$G$31</f>
        <v>212.07726011862158</v>
      </c>
      <c r="N303" s="459">
        <f>N$296*Entrant_age_breakdowns!$K76*$G$31</f>
        <v>201.17941634039744</v>
      </c>
    </row>
    <row r="304" spans="2:14">
      <c r="B304" s="338" t="str">
        <f t="shared" si="143"/>
        <v>25-29</v>
      </c>
      <c r="C304" s="459">
        <f>C$296*Entrant_age_breakdowns!$K77*$G$31</f>
        <v>274.72907769287764</v>
      </c>
      <c r="D304" s="459">
        <f>D$296*Entrant_age_breakdowns!$K77*$G$31</f>
        <v>216.50663742826035</v>
      </c>
      <c r="E304" s="459">
        <f>E$296*Entrant_age_breakdowns!$K77*$G$31</f>
        <v>228.35390173469949</v>
      </c>
      <c r="F304" s="459">
        <f>F$296*Entrant_age_breakdowns!$K77*$G$31</f>
        <v>227.62111802627322</v>
      </c>
      <c r="G304" s="459">
        <f>G$296*Entrant_age_breakdowns!$K77*$G$31</f>
        <v>223.36221850794399</v>
      </c>
      <c r="H304" s="459">
        <f>H$296*Entrant_age_breakdowns!$K77*$G$31</f>
        <v>226.91831960869345</v>
      </c>
      <c r="I304" s="459">
        <f>I$296*Entrant_age_breakdowns!$K77*$G$31</f>
        <v>232.15738817785507</v>
      </c>
      <c r="J304" s="459">
        <f>J$296*Entrant_age_breakdowns!$K77*$G$31</f>
        <v>225.10124369385781</v>
      </c>
      <c r="K304" s="459">
        <f>K$296*Entrant_age_breakdowns!$K77*$G$31</f>
        <v>217.45271950787046</v>
      </c>
      <c r="L304" s="459">
        <f>L$296*Entrant_age_breakdowns!$K77*$G$31</f>
        <v>221.06438470564072</v>
      </c>
      <c r="M304" s="459">
        <f>M$296*Entrant_age_breakdowns!$K77*$G$31</f>
        <v>219.28328230070514</v>
      </c>
      <c r="N304" s="459">
        <f>N$296*Entrant_age_breakdowns!$K77*$G$31</f>
        <v>208.01514845008552</v>
      </c>
    </row>
    <row r="305" spans="1:14">
      <c r="B305" s="338" t="str">
        <f t="shared" si="143"/>
        <v>30-34</v>
      </c>
      <c r="C305" s="459">
        <f>C$296*Entrant_age_breakdowns!$K78*$G$31</f>
        <v>136.37963001867919</v>
      </c>
      <c r="D305" s="459">
        <f>D$296*Entrant_age_breakdowns!$K78*$G$31</f>
        <v>107.47713841220369</v>
      </c>
      <c r="E305" s="459">
        <f>E$296*Entrant_age_breakdowns!$K78*$G$31</f>
        <v>113.35829790363512</v>
      </c>
      <c r="F305" s="459">
        <f>F$296*Entrant_age_breakdowns!$K78*$G$31</f>
        <v>112.99453309257785</v>
      </c>
      <c r="G305" s="459">
        <f>G$296*Entrant_age_breakdowns!$K78*$G$31</f>
        <v>110.88035156700309</v>
      </c>
      <c r="H305" s="459">
        <f>H$296*Entrant_age_breakdowns!$K78*$G$31</f>
        <v>112.64565342912121</v>
      </c>
      <c r="I305" s="459">
        <f>I$296*Entrant_age_breakdowns!$K78*$G$31</f>
        <v>115.24640555592558</v>
      </c>
      <c r="J305" s="459">
        <f>J$296*Entrant_age_breakdowns!$K78*$G$31</f>
        <v>111.74362972248551</v>
      </c>
      <c r="K305" s="459">
        <f>K$296*Entrant_age_breakdowns!$K78*$G$31</f>
        <v>107.94678773024482</v>
      </c>
      <c r="L305" s="459">
        <f>L$296*Entrant_age_breakdowns!$K78*$G$31</f>
        <v>109.73967244255724</v>
      </c>
      <c r="M305" s="459">
        <f>M$296*Entrant_age_breakdowns!$K78*$G$31</f>
        <v>108.85550652517281</v>
      </c>
      <c r="N305" s="459">
        <f>N$296*Entrant_age_breakdowns!$K78*$G$31</f>
        <v>103.26183606824944</v>
      </c>
    </row>
    <row r="306" spans="1:14">
      <c r="B306" s="338" t="str">
        <f t="shared" si="143"/>
        <v>35-39</v>
      </c>
      <c r="C306" s="459">
        <f>C$296*Entrant_age_breakdowns!$K79*$G$31</f>
        <v>97.4492911055344</v>
      </c>
      <c r="D306" s="459">
        <f>D$296*Entrant_age_breakdowns!$K79*$G$31</f>
        <v>76.797179658620152</v>
      </c>
      <c r="E306" s="459">
        <f>E$296*Entrant_age_breakdowns!$K79*$G$31</f>
        <v>80.999528816189212</v>
      </c>
      <c r="F306" s="459">
        <f>F$296*Entrant_age_breakdowns!$K79*$G$31</f>
        <v>80.739602733666374</v>
      </c>
      <c r="G306" s="459">
        <f>G$296*Entrant_age_breakdowns!$K79*$G$31</f>
        <v>79.228926315879804</v>
      </c>
      <c r="H306" s="459">
        <f>H$296*Entrant_age_breakdowns!$K79*$G$31</f>
        <v>80.490312748935295</v>
      </c>
      <c r="I306" s="459">
        <f>I$296*Entrant_age_breakdowns!$K79*$G$31</f>
        <v>82.348665430076792</v>
      </c>
      <c r="J306" s="459">
        <f>J$296*Entrant_age_breakdowns!$K79*$G$31</f>
        <v>79.845776825498675</v>
      </c>
      <c r="K306" s="459">
        <f>K$296*Entrant_age_breakdowns!$K79*$G$31</f>
        <v>77.132764915047645</v>
      </c>
      <c r="L306" s="459">
        <f>L$296*Entrant_age_breakdowns!$K79*$G$31</f>
        <v>78.413860517263785</v>
      </c>
      <c r="M306" s="459">
        <f>M$296*Entrant_age_breakdowns!$K79*$G$31</f>
        <v>77.782084775850024</v>
      </c>
      <c r="N306" s="459">
        <f>N$296*Entrant_age_breakdowns!$K79*$G$31</f>
        <v>73.785159277295037</v>
      </c>
    </row>
    <row r="307" spans="1:14">
      <c r="B307" s="338" t="str">
        <f t="shared" si="143"/>
        <v>40-44</v>
      </c>
      <c r="C307" s="459">
        <f>C$296*Entrant_age_breakdowns!$K80*$G$31</f>
        <v>84.666593378648642</v>
      </c>
      <c r="D307" s="459">
        <f>D$296*Entrant_age_breakdowns!$K80*$G$31</f>
        <v>66.723477503205189</v>
      </c>
      <c r="E307" s="459">
        <f>E$296*Entrant_age_breakdowns!$K80*$G$31</f>
        <v>70.374592696785086</v>
      </c>
      <c r="F307" s="459">
        <f>F$296*Entrant_age_breakdowns!$K80*$G$31</f>
        <v>70.148761849912802</v>
      </c>
      <c r="G307" s="459">
        <f>G$296*Entrant_age_breakdowns!$K80*$G$31</f>
        <v>68.83624510873986</v>
      </c>
      <c r="H307" s="459">
        <f>H$296*Entrant_age_breakdowns!$K80*$G$31</f>
        <v>69.932171933956013</v>
      </c>
      <c r="I307" s="459">
        <f>I$296*Entrant_age_breakdowns!$K80*$G$31</f>
        <v>71.546759264693321</v>
      </c>
      <c r="J307" s="459">
        <f>J$296*Entrant_age_breakdowns!$K80*$G$31</f>
        <v>69.372181601256287</v>
      </c>
      <c r="K307" s="459">
        <f>K$296*Entrant_age_breakdowns!$K80*$G$31</f>
        <v>67.015043097243691</v>
      </c>
      <c r="L307" s="459">
        <f>L$296*Entrant_age_breakdowns!$K80*$G$31</f>
        <v>68.128093784442058</v>
      </c>
      <c r="M307" s="459">
        <f>M$296*Entrant_age_breakdowns!$K80*$G$31</f>
        <v>67.579189844783386</v>
      </c>
      <c r="N307" s="459">
        <f>N$296*Entrant_age_breakdowns!$K80*$G$31</f>
        <v>64.106552310823034</v>
      </c>
    </row>
    <row r="308" spans="1:14">
      <c r="B308" s="338" t="str">
        <f t="shared" si="143"/>
        <v>45-49</v>
      </c>
      <c r="C308" s="459">
        <f>C$296*Entrant_age_breakdowns!$K81*$G$31</f>
        <v>67.373169711929791</v>
      </c>
      <c r="D308" s="459">
        <f>D$296*Entrant_age_breakdowns!$K81*$G$31</f>
        <v>53.09499289157916</v>
      </c>
      <c r="E308" s="459">
        <f>E$296*Entrant_age_breakdowns!$K81*$G$31</f>
        <v>56.00035607862452</v>
      </c>
      <c r="F308" s="459">
        <f>F$296*Entrant_age_breakdowns!$K81*$G$31</f>
        <v>55.820651907648013</v>
      </c>
      <c r="G308" s="459">
        <f>G$296*Entrant_age_breakdowns!$K81*$G$31</f>
        <v>54.776220926973956</v>
      </c>
      <c r="H308" s="459">
        <f>H$296*Entrant_age_breakdowns!$K81*$G$31</f>
        <v>55.648301177763457</v>
      </c>
      <c r="I308" s="459">
        <f>I$296*Entrant_age_breakdowns!$K81*$G$31</f>
        <v>56.933103859761154</v>
      </c>
      <c r="J308" s="459">
        <f>J$296*Entrant_age_breakdowns!$K81*$G$31</f>
        <v>55.202690669339084</v>
      </c>
      <c r="K308" s="459">
        <f>K$296*Entrant_age_breakdowns!$K81*$G$31</f>
        <v>53.327005276457626</v>
      </c>
      <c r="L308" s="459">
        <f>L$296*Entrant_age_breakdowns!$K81*$G$31</f>
        <v>54.212711785413575</v>
      </c>
      <c r="M308" s="459">
        <f>M$296*Entrant_age_breakdowns!$K81*$G$31</f>
        <v>53.775923238639514</v>
      </c>
      <c r="N308" s="459">
        <f>N$296*Entrant_age_breakdowns!$K81*$G$31</f>
        <v>51.012583075923928</v>
      </c>
    </row>
    <row r="309" spans="1:14">
      <c r="B309" s="338" t="str">
        <f t="shared" si="143"/>
        <v>50-54</v>
      </c>
      <c r="C309" s="459">
        <f>C$296*Entrant_age_breakdowns!$K82*$G$31</f>
        <v>49.28566763362133</v>
      </c>
      <c r="D309" s="459">
        <f>D$296*Entrant_age_breakdowns!$K82*$G$31</f>
        <v>38.840716324505898</v>
      </c>
      <c r="E309" s="459">
        <f>E$296*Entrant_age_breakdowns!$K82*$G$31</f>
        <v>40.966084108208683</v>
      </c>
      <c r="F309" s="459">
        <f>F$296*Entrant_age_breakdowns!$K82*$G$31</f>
        <v>40.834624655120862</v>
      </c>
      <c r="G309" s="459">
        <f>G$296*Entrant_age_breakdowns!$K82*$G$31</f>
        <v>40.070589381140806</v>
      </c>
      <c r="H309" s="459">
        <f>H$296*Entrant_age_breakdowns!$K82*$G$31</f>
        <v>40.708544483654649</v>
      </c>
      <c r="I309" s="459">
        <f>I$296*Entrant_age_breakdowns!$K82*$G$31</f>
        <v>41.648419484793436</v>
      </c>
      <c r="J309" s="459">
        <f>J$296*Entrant_age_breakdowns!$K82*$G$31</f>
        <v>40.382565885554584</v>
      </c>
      <c r="K309" s="459">
        <f>K$296*Entrant_age_breakdowns!$K82*$G$31</f>
        <v>39.010440939466072</v>
      </c>
      <c r="L309" s="459">
        <f>L$296*Entrant_age_breakdowns!$K82*$G$31</f>
        <v>39.658364093564145</v>
      </c>
      <c r="M309" s="459">
        <f>M$296*Entrant_age_breakdowns!$K82*$G$31</f>
        <v>39.338839047696112</v>
      </c>
      <c r="N309" s="459">
        <f>N$296*Entrant_age_breakdowns!$K82*$G$31</f>
        <v>37.317365731232549</v>
      </c>
    </row>
    <row r="310" spans="1:14">
      <c r="B310" s="338" t="str">
        <f t="shared" si="143"/>
        <v>55-59</v>
      </c>
      <c r="C310" s="459">
        <f>C$296*Entrant_age_breakdowns!$K83*$G$31</f>
        <v>33.554794146887829</v>
      </c>
      <c r="D310" s="459">
        <f>D$296*Entrant_age_breakdowns!$K83*$G$31</f>
        <v>26.443635713222861</v>
      </c>
      <c r="E310" s="459">
        <f>E$296*Entrant_age_breakdowns!$K83*$G$31</f>
        <v>27.890634037334525</v>
      </c>
      <c r="F310" s="459">
        <f>F$296*Entrant_age_breakdowns!$K83*$G$31</f>
        <v>27.80113347664788</v>
      </c>
      <c r="G310" s="459">
        <f>G$296*Entrant_age_breakdowns!$K83*$G$31</f>
        <v>27.280961029559577</v>
      </c>
      <c r="H310" s="459">
        <f>H$296*Entrant_age_breakdowns!$K83*$G$31</f>
        <v>27.715295252217157</v>
      </c>
      <c r="I310" s="459">
        <f>I$296*Entrant_age_breakdowns!$K83*$G$31</f>
        <v>28.355183351561966</v>
      </c>
      <c r="J310" s="459">
        <f>J$296*Entrant_age_breakdowns!$K83*$G$31</f>
        <v>27.493361670291261</v>
      </c>
      <c r="K310" s="459">
        <f>K$296*Entrant_age_breakdowns!$K83*$G$31</f>
        <v>26.559188059170257</v>
      </c>
      <c r="L310" s="459">
        <f>L$296*Entrant_age_breakdowns!$K83*$G$31</f>
        <v>27.000308756172483</v>
      </c>
      <c r="M310" s="459">
        <f>M$296*Entrant_age_breakdowns!$K83*$G$31</f>
        <v>26.782768898163887</v>
      </c>
      <c r="N310" s="459">
        <f>N$296*Entrant_age_breakdowns!$K83*$G$31</f>
        <v>25.406504270654011</v>
      </c>
    </row>
    <row r="311" spans="1:14">
      <c r="B311" s="338" t="str">
        <f t="shared" si="143"/>
        <v>60-64</v>
      </c>
      <c r="C311" s="459">
        <f>C$296*Entrant_age_breakdowns!$K84*$G$31</f>
        <v>16.426297788426943</v>
      </c>
      <c r="D311" s="459">
        <f>D$296*Entrant_age_breakdowns!$K84*$G$31</f>
        <v>12.945125901610332</v>
      </c>
      <c r="E311" s="459">
        <f>E$296*Entrant_age_breakdowns!$K84*$G$31</f>
        <v>13.653484452914912</v>
      </c>
      <c r="F311" s="459">
        <f>F$296*Entrant_age_breakdowns!$K84*$G$31</f>
        <v>13.609670658211412</v>
      </c>
      <c r="G311" s="459">
        <f>G$296*Entrant_age_breakdowns!$K84*$G$31</f>
        <v>13.355027238859671</v>
      </c>
      <c r="H311" s="459">
        <f>H$296*Entrant_age_breakdowns!$K84*$G$31</f>
        <v>13.56764971092273</v>
      </c>
      <c r="I311" s="459">
        <f>I$296*Entrant_age_breakdowns!$K84*$G$31</f>
        <v>13.880898316326059</v>
      </c>
      <c r="J311" s="459">
        <f>J$296*Entrant_age_breakdowns!$K84*$G$31</f>
        <v>13.459005113372573</v>
      </c>
      <c r="K311" s="459">
        <f>K$296*Entrant_age_breakdowns!$K84*$G$31</f>
        <v>13.001692997101195</v>
      </c>
      <c r="L311" s="459">
        <f>L$296*Entrant_age_breakdowns!$K84*$G$31</f>
        <v>13.217637696325911</v>
      </c>
      <c r="M311" s="459">
        <f>M$296*Entrant_age_breakdowns!$K84*$G$31</f>
        <v>13.111143987174884</v>
      </c>
      <c r="N311" s="459">
        <f>N$296*Entrant_age_breakdowns!$K84*$G$31</f>
        <v>12.43741216488467</v>
      </c>
    </row>
    <row r="312" spans="1:14">
      <c r="B312" s="338" t="str">
        <f t="shared" si="143"/>
        <v>65 plus</v>
      </c>
      <c r="C312" s="459">
        <f>C$296*Entrant_age_breakdowns!$K85*$G$31</f>
        <v>4.1198320798045858</v>
      </c>
      <c r="D312" s="459">
        <f>D$296*Entrant_age_breakdowns!$K85*$G$31</f>
        <v>3.2467294611046249</v>
      </c>
      <c r="E312" s="459">
        <f>E$296*Entrant_age_breakdowns!$K85*$G$31</f>
        <v>3.4243908137269186</v>
      </c>
      <c r="F312" s="459">
        <f>F$296*Entrant_age_breakdowns!$K85*$G$31</f>
        <v>3.4134020030233505</v>
      </c>
      <c r="G312" s="459">
        <f>G$296*Entrant_age_breakdowns!$K85*$G$31</f>
        <v>3.349535625981559</v>
      </c>
      <c r="H312" s="459">
        <f>H$296*Entrant_age_breakdowns!$K85*$G$31</f>
        <v>3.4028628511771171</v>
      </c>
      <c r="I312" s="459">
        <f>I$296*Entrant_age_breakdowns!$K85*$G$31</f>
        <v>3.4814278248624175</v>
      </c>
      <c r="J312" s="459">
        <f>J$296*Entrant_age_breakdowns!$K85*$G$31</f>
        <v>3.3756140149481801</v>
      </c>
      <c r="K312" s="459">
        <f>K$296*Entrant_age_breakdowns!$K85*$G$31</f>
        <v>3.2609168901690619</v>
      </c>
      <c r="L312" s="459">
        <f>L$296*Entrant_age_breakdowns!$K85*$G$31</f>
        <v>3.3150773535180549</v>
      </c>
      <c r="M312" s="459">
        <f>M$296*Entrant_age_breakdowns!$K85*$G$31</f>
        <v>3.2883679753667048</v>
      </c>
      <c r="N312" s="459">
        <f>N$296*Entrant_age_breakdowns!$K85*$G$31</f>
        <v>3.1193912521630138</v>
      </c>
    </row>
    <row r="313" spans="1:14">
      <c r="B313" s="338" t="str">
        <f t="shared" si="143"/>
        <v>Total</v>
      </c>
      <c r="C313" s="459">
        <f>C$296*Entrant_age_breakdowns!$K86*$G$31</f>
        <v>1029.6853657846191</v>
      </c>
      <c r="D313" s="459">
        <f>D$296*Entrant_age_breakdowns!$K86*$G$31</f>
        <v>811.46749382071584</v>
      </c>
      <c r="E313" s="459">
        <f>E$296*Entrant_age_breakdowns!$K86*$G$31</f>
        <v>855.87107418930054</v>
      </c>
      <c r="F313" s="459">
        <f>F$296*Entrant_age_breakdowns!$K86*$G$31</f>
        <v>853.12459876271532</v>
      </c>
      <c r="G313" s="459">
        <f>G$296*Entrant_age_breakdowns!$K86*$G$31</f>
        <v>837.16223123613997</v>
      </c>
      <c r="H313" s="459">
        <f>H$296*Entrant_age_breakdowns!$K86*$G$31</f>
        <v>850.49050829163866</v>
      </c>
      <c r="I313" s="459">
        <f>I$296*Entrant_age_breakdowns!$K86*$G$31</f>
        <v>870.12655221283785</v>
      </c>
      <c r="J313" s="459">
        <f>J$296*Entrant_age_breakdowns!$K86*$G$31</f>
        <v>843.68010258672246</v>
      </c>
      <c r="K313" s="459">
        <f>K$296*Entrant_age_breakdowns!$K86*$G$31</f>
        <v>815.0134121500987</v>
      </c>
      <c r="L313" s="459">
        <f>L$296*Entrant_age_breakdowns!$K86*$G$31</f>
        <v>828.54994359951093</v>
      </c>
      <c r="M313" s="459">
        <f>M$296*Entrant_age_breakdowns!$K86*$G$31</f>
        <v>821.87436671217392</v>
      </c>
      <c r="N313" s="459">
        <f>N$296*Entrant_age_breakdowns!$K86*$G$31</f>
        <v>779.64136894170861</v>
      </c>
    </row>
    <row r="314" spans="1:14">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4">
      <c r="B316" s="341" t="s">
        <v>50</v>
      </c>
      <c r="H316" s="325"/>
    </row>
    <row r="317" spans="1:14">
      <c r="H317" s="325"/>
    </row>
    <row r="318" spans="1:14">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4">
      <c r="B319" s="338" t="str">
        <f t="shared" si="146"/>
        <v>20-24</v>
      </c>
      <c r="C319" s="459">
        <f>C$296*Entrant_age_breakdowns!$K76*$H$31</f>
        <v>155.17524546047073</v>
      </c>
      <c r="D319" s="459">
        <f>D$296*Entrant_age_breakdowns!$K76*$H$31</f>
        <v>122.28946017978218</v>
      </c>
      <c r="E319" s="459">
        <f>E$296*Entrant_age_breakdowns!$K76*$H$31</f>
        <v>128.98115136232943</v>
      </c>
      <c r="F319" s="459">
        <f>F$296*Entrant_age_breakdowns!$K76*$H$31</f>
        <v>128.56725308560021</v>
      </c>
      <c r="G319" s="459">
        <f>G$296*Entrant_age_breakdowns!$K76*$H$31</f>
        <v>126.16169855275599</v>
      </c>
      <c r="H319" s="459">
        <f>H$296*Entrant_age_breakdowns!$K76*$H$31</f>
        <v>128.17029140293812</v>
      </c>
      <c r="I319" s="459">
        <f>I$296*Entrant_age_breakdowns!$K76*$H$31</f>
        <v>131.12947489392894</v>
      </c>
      <c r="J319" s="459">
        <f>J$296*Entrant_age_breakdowns!$K76*$H$31</f>
        <v>127.14395227832554</v>
      </c>
      <c r="K319" s="459">
        <f>K$296*Entrant_age_breakdowns!$K76*$H$31</f>
        <v>122.82383579142882</v>
      </c>
      <c r="L319" s="459">
        <f>L$296*Entrant_age_breakdowns!$K76*$H$31</f>
        <v>124.86381291467882</v>
      </c>
      <c r="M319" s="459">
        <f>M$296*Entrant_age_breakdowns!$K76*$H$31</f>
        <v>123.85779271034833</v>
      </c>
      <c r="N319" s="459">
        <f>N$296*Entrant_age_breakdowns!$K76*$H$31</f>
        <v>117.4932118263909</v>
      </c>
    </row>
    <row r="320" spans="1:14">
      <c r="B320" s="338" t="str">
        <f t="shared" si="146"/>
        <v>25-29</v>
      </c>
      <c r="C320" s="459">
        <f>C$296*Entrant_age_breakdowns!$K77*$H$31</f>
        <v>160.44783461157996</v>
      </c>
      <c r="D320" s="459">
        <f>D$296*Entrant_age_breakdowns!$K77*$H$31</f>
        <v>126.44464665379471</v>
      </c>
      <c r="E320" s="459">
        <f>E$296*Entrant_age_breakdowns!$K77*$H$31</f>
        <v>133.3637100452724</v>
      </c>
      <c r="F320" s="459">
        <f>F$296*Entrant_age_breakdowns!$K77*$H$31</f>
        <v>132.9357482137728</v>
      </c>
      <c r="G320" s="459">
        <f>G$296*Entrant_age_breakdowns!$K77*$H$31</f>
        <v>130.448457056671</v>
      </c>
      <c r="H320" s="459">
        <f>H$296*Entrant_age_breakdowns!$K77*$H$31</f>
        <v>132.52529845280802</v>
      </c>
      <c r="I320" s="459">
        <f>I$296*Entrant_age_breakdowns!$K77*$H$31</f>
        <v>135.58502993213574</v>
      </c>
      <c r="J320" s="459">
        <f>J$296*Entrant_age_breakdowns!$K77*$H$31</f>
        <v>131.46408608202958</v>
      </c>
      <c r="K320" s="459">
        <f>K$296*Entrant_age_breakdowns!$K77*$H$31</f>
        <v>126.99717943377208</v>
      </c>
      <c r="L320" s="459">
        <f>L$296*Entrant_age_breakdowns!$K77*$H$31</f>
        <v>129.10647148683992</v>
      </c>
      <c r="M320" s="459">
        <f>M$296*Entrant_age_breakdowns!$K77*$H$31</f>
        <v>128.06626843846487</v>
      </c>
      <c r="N320" s="459">
        <f>N$296*Entrant_age_breakdowns!$K77*$H$31</f>
        <v>121.48542999344784</v>
      </c>
    </row>
    <row r="321" spans="1:14">
      <c r="B321" s="338" t="str">
        <f t="shared" si="146"/>
        <v>30-34</v>
      </c>
      <c r="C321" s="459">
        <f>C$296*Entrant_age_breakdowns!$K78*$H$31</f>
        <v>79.648708849404755</v>
      </c>
      <c r="D321" s="459">
        <f>D$296*Entrant_age_breakdowns!$K78*$H$31</f>
        <v>62.769016928615457</v>
      </c>
      <c r="E321" s="459">
        <f>E$296*Entrant_age_breakdowns!$K78*$H$31</f>
        <v>66.203743654049291</v>
      </c>
      <c r="F321" s="459">
        <f>F$296*Entrant_age_breakdowns!$K78*$H$31</f>
        <v>65.991296989385432</v>
      </c>
      <c r="G321" s="459">
        <f>G$296*Entrant_age_breakdowns!$K78*$H$31</f>
        <v>64.756568395663408</v>
      </c>
      <c r="H321" s="459">
        <f>H$296*Entrant_age_breakdowns!$K78*$H$31</f>
        <v>65.787543578892013</v>
      </c>
      <c r="I321" s="459">
        <f>I$296*Entrant_age_breakdowns!$K78*$H$31</f>
        <v>67.306440124578046</v>
      </c>
      <c r="J321" s="459">
        <f>J$296*Entrant_age_breakdowns!$K78*$H$31</f>
        <v>65.260741859491191</v>
      </c>
      <c r="K321" s="459">
        <f>K$296*Entrant_age_breakdowns!$K78*$H$31</f>
        <v>63.043302478362556</v>
      </c>
      <c r="L321" s="459">
        <f>L$296*Entrant_age_breakdowns!$K78*$H$31</f>
        <v>64.090386653850942</v>
      </c>
      <c r="M321" s="459">
        <f>M$296*Entrant_age_breakdowns!$K78*$H$31</f>
        <v>63.574014276842199</v>
      </c>
      <c r="N321" s="459">
        <f>N$296*Entrant_age_breakdowns!$K78*$H$31</f>
        <v>60.307187481946329</v>
      </c>
    </row>
    <row r="322" spans="1:14">
      <c r="B322" s="338" t="str">
        <f t="shared" si="146"/>
        <v>35-39</v>
      </c>
      <c r="C322" s="459">
        <f>C$296*Entrant_age_breakdowns!$K79*$H$31</f>
        <v>56.912533153100043</v>
      </c>
      <c r="D322" s="459">
        <f>D$296*Entrant_age_breakdowns!$K79*$H$31</f>
        <v>44.85124503011982</v>
      </c>
      <c r="E322" s="459">
        <f>E$296*Entrant_age_breakdowns!$K79*$H$31</f>
        <v>47.305509530536163</v>
      </c>
      <c r="F322" s="459">
        <f>F$296*Entrant_age_breakdowns!$K79*$H$31</f>
        <v>47.153706971265457</v>
      </c>
      <c r="G322" s="459">
        <f>G$296*Entrant_age_breakdowns!$K79*$H$31</f>
        <v>46.271438657812311</v>
      </c>
      <c r="H322" s="459">
        <f>H$296*Entrant_age_breakdowns!$K79*$H$31</f>
        <v>47.00811612745543</v>
      </c>
      <c r="I322" s="459">
        <f>I$296*Entrant_age_breakdowns!$K79*$H$31</f>
        <v>48.093435039227494</v>
      </c>
      <c r="J322" s="459">
        <f>J$296*Entrant_age_breakdowns!$K79*$H$31</f>
        <v>46.631692946796015</v>
      </c>
      <c r="K322" s="459">
        <f>K$296*Entrant_age_breakdowns!$K79*$H$31</f>
        <v>45.047234213986101</v>
      </c>
      <c r="L322" s="459">
        <f>L$296*Entrant_age_breakdowns!$K79*$H$31</f>
        <v>45.795422272680725</v>
      </c>
      <c r="M322" s="459">
        <f>M$296*Entrant_age_breakdowns!$K79*$H$31</f>
        <v>45.426451319473934</v>
      </c>
      <c r="N322" s="459">
        <f>N$296*Entrant_age_breakdowns!$K79*$H$31</f>
        <v>43.09215876212086</v>
      </c>
    </row>
    <row r="323" spans="1:14">
      <c r="B323" s="338" t="str">
        <f t="shared" si="146"/>
        <v>40-44</v>
      </c>
      <c r="C323" s="459">
        <f>C$296*Entrant_age_breakdowns!$K80*$H$31</f>
        <v>49.447156033223528</v>
      </c>
      <c r="D323" s="459">
        <f>D$296*Entrant_age_breakdowns!$K80*$H$31</f>
        <v>38.967981012594819</v>
      </c>
      <c r="E323" s="459">
        <f>E$296*Entrant_age_breakdowns!$K80*$H$31</f>
        <v>41.100312732436365</v>
      </c>
      <c r="F323" s="459">
        <f>F$296*Entrant_age_breakdowns!$K80*$H$31</f>
        <v>40.968422542022431</v>
      </c>
      <c r="G323" s="459">
        <f>G$296*Entrant_age_breakdowns!$K80*$H$31</f>
        <v>40.201883845859854</v>
      </c>
      <c r="H323" s="459">
        <f>H$296*Entrant_age_breakdowns!$K80*$H$31</f>
        <v>40.841929258873066</v>
      </c>
      <c r="I323" s="459">
        <f>I$296*Entrant_age_breakdowns!$K80*$H$31</f>
        <v>41.784883835008955</v>
      </c>
      <c r="J323" s="459">
        <f>J$296*Entrant_age_breakdowns!$K80*$H$31</f>
        <v>40.514882566037976</v>
      </c>
      <c r="K323" s="459">
        <f>K$296*Entrant_age_breakdowns!$K80*$H$31</f>
        <v>39.138261743719369</v>
      </c>
      <c r="L323" s="459">
        <f>L$296*Entrant_age_breakdowns!$K80*$H$31</f>
        <v>39.788307869428543</v>
      </c>
      <c r="M323" s="459">
        <f>M$296*Entrant_age_breakdowns!$K80*$H$31</f>
        <v>39.467735874401299</v>
      </c>
      <c r="N323" s="459">
        <f>N$296*Entrant_age_breakdowns!$K80*$H$31</f>
        <v>37.439639040262364</v>
      </c>
    </row>
    <row r="324" spans="1:14">
      <c r="B324" s="338" t="str">
        <f t="shared" si="146"/>
        <v>45-49</v>
      </c>
      <c r="C324" s="459">
        <f>C$296*Entrant_age_breakdowns!$K81*$H$31</f>
        <v>39.347415577473356</v>
      </c>
      <c r="D324" s="459">
        <f>D$296*Entrant_age_breakdowns!$K81*$H$31</f>
        <v>31.008645716397577</v>
      </c>
      <c r="E324" s="459">
        <f>E$296*Entrant_age_breakdowns!$K81*$H$31</f>
        <v>32.705441832907496</v>
      </c>
      <c r="F324" s="459">
        <f>F$296*Entrant_age_breakdowns!$K81*$H$31</f>
        <v>32.600490637548106</v>
      </c>
      <c r="G324" s="459">
        <f>G$296*Entrant_age_breakdowns!$K81*$H$31</f>
        <v>31.990519932380391</v>
      </c>
      <c r="H324" s="459">
        <f>H$296*Entrant_age_breakdowns!$K81*$H$31</f>
        <v>32.499834013808353</v>
      </c>
      <c r="I324" s="459">
        <f>I$296*Entrant_age_breakdowns!$K81*$H$31</f>
        <v>33.250187088775284</v>
      </c>
      <c r="J324" s="459">
        <f>J$296*Entrant_age_breakdowns!$K81*$H$31</f>
        <v>32.239587658536188</v>
      </c>
      <c r="K324" s="459">
        <f>K$296*Entrant_age_breakdowns!$K81*$H$31</f>
        <v>31.144146061207945</v>
      </c>
      <c r="L324" s="459">
        <f>L$296*Entrant_age_breakdowns!$K81*$H$31</f>
        <v>31.661418177639064</v>
      </c>
      <c r="M324" s="459">
        <f>M$296*Entrant_age_breakdowns!$K81*$H$31</f>
        <v>31.406324042349233</v>
      </c>
      <c r="N324" s="459">
        <f>N$296*Entrant_age_breakdowns!$K81*$H$31</f>
        <v>29.792472501310041</v>
      </c>
    </row>
    <row r="325" spans="1:14">
      <c r="B325" s="338" t="str">
        <f t="shared" si="146"/>
        <v>50-54</v>
      </c>
      <c r="C325" s="459">
        <f>C$296*Entrant_age_breakdowns!$K82*$H$31</f>
        <v>28.783915833040286</v>
      </c>
      <c r="D325" s="459">
        <f>D$296*Entrant_age_breakdowns!$K82*$H$31</f>
        <v>22.683834129841653</v>
      </c>
      <c r="E325" s="459">
        <f>E$296*Entrant_age_breakdowns!$K82*$H$31</f>
        <v>23.925095744782698</v>
      </c>
      <c r="F325" s="459">
        <f>F$296*Entrant_age_breakdowns!$K82*$H$31</f>
        <v>23.848320527669557</v>
      </c>
      <c r="G325" s="459">
        <f>G$296*Entrant_age_breakdowns!$K82*$H$31</f>
        <v>23.402107093305659</v>
      </c>
      <c r="H325" s="459">
        <f>H$296*Entrant_age_breakdowns!$K82*$H$31</f>
        <v>23.774686929547755</v>
      </c>
      <c r="I325" s="459">
        <f>I$296*Entrant_age_breakdowns!$K82*$H$31</f>
        <v>24.323594638934296</v>
      </c>
      <c r="J325" s="459">
        <f>J$296*Entrant_age_breakdowns!$K82*$H$31</f>
        <v>23.584308245812853</v>
      </c>
      <c r="K325" s="459">
        <f>K$296*Entrant_age_breakdowns!$K82*$H$31</f>
        <v>22.782957044603108</v>
      </c>
      <c r="L325" s="459">
        <f>L$296*Entrant_age_breakdowns!$K82*$H$31</f>
        <v>23.161358442601305</v>
      </c>
      <c r="M325" s="459">
        <f>M$296*Entrant_age_breakdowns!$K82*$H$31</f>
        <v>22.974748775564155</v>
      </c>
      <c r="N325" s="459">
        <f>N$296*Entrant_age_breakdowns!$K82*$H$31</f>
        <v>21.794163818647974</v>
      </c>
    </row>
    <row r="326" spans="1:14">
      <c r="B326" s="338" t="str">
        <f t="shared" si="146"/>
        <v>55-59</v>
      </c>
      <c r="C326" s="459">
        <f>C$296*Entrant_age_breakdowns!$K83*$H$31</f>
        <v>19.596739110827095</v>
      </c>
      <c r="D326" s="459">
        <f>D$296*Entrant_age_breakdowns!$K83*$H$31</f>
        <v>15.443665901965959</v>
      </c>
      <c r="E326" s="459">
        <f>E$296*Entrant_age_breakdowns!$K83*$H$31</f>
        <v>16.288744805662656</v>
      </c>
      <c r="F326" s="459">
        <f>F$296*Entrant_age_breakdowns!$K83*$H$31</f>
        <v>16.236474506212421</v>
      </c>
      <c r="G326" s="459">
        <f>G$296*Entrant_age_breakdowns!$K83*$H$31</f>
        <v>15.932682335901177</v>
      </c>
      <c r="H326" s="459">
        <f>H$296*Entrant_age_breakdowns!$K83*$H$31</f>
        <v>16.186343091829666</v>
      </c>
      <c r="I326" s="459">
        <f>I$296*Entrant_age_breakdowns!$K83*$H$31</f>
        <v>16.560051840811706</v>
      </c>
      <c r="J326" s="459">
        <f>J$296*Entrant_age_breakdowns!$K83*$H$31</f>
        <v>16.056728990014758</v>
      </c>
      <c r="K326" s="459">
        <f>K$296*Entrant_age_breakdowns!$K83*$H$31</f>
        <v>15.51115101802009</v>
      </c>
      <c r="L326" s="459">
        <f>L$296*Entrant_age_breakdowns!$K83*$H$31</f>
        <v>15.768775224495533</v>
      </c>
      <c r="M326" s="459">
        <f>M$296*Entrant_age_breakdowns!$K83*$H$31</f>
        <v>15.641727154257373</v>
      </c>
      <c r="N326" s="459">
        <f>N$296*Entrant_age_breakdowns!$K83*$H$31</f>
        <v>14.837958287885945</v>
      </c>
    </row>
    <row r="327" spans="1:14">
      <c r="B327" s="338" t="str">
        <f t="shared" si="146"/>
        <v>60-64</v>
      </c>
      <c r="C327" s="459">
        <f>C$296*Entrant_age_breakdowns!$K84*$H$31</f>
        <v>9.5933198370228983</v>
      </c>
      <c r="D327" s="459">
        <f>D$296*Entrant_age_breakdowns!$K84*$H$31</f>
        <v>7.5602387527743717</v>
      </c>
      <c r="E327" s="459">
        <f>E$296*Entrant_age_breakdowns!$K84*$H$31</f>
        <v>7.9739357543435734</v>
      </c>
      <c r="F327" s="459">
        <f>F$296*Entrant_age_breakdowns!$K84*$H$31</f>
        <v>7.9483475328661521</v>
      </c>
      <c r="G327" s="459">
        <f>G$296*Entrant_age_breakdowns!$K84*$H$31</f>
        <v>7.799630165282843</v>
      </c>
      <c r="H327" s="459">
        <f>H$296*Entrant_age_breakdowns!$K84*$H$31</f>
        <v>7.9238063737816615</v>
      </c>
      <c r="I327" s="459">
        <f>I$296*Entrant_age_breakdowns!$K84*$H$31</f>
        <v>8.1067504612955705</v>
      </c>
      <c r="J327" s="459">
        <f>J$296*Entrant_age_breakdowns!$K84*$H$31</f>
        <v>7.8603555349932881</v>
      </c>
      <c r="K327" s="459">
        <f>K$296*Entrant_age_breakdowns!$K84*$H$31</f>
        <v>7.5932751829112703</v>
      </c>
      <c r="L327" s="459">
        <f>L$296*Entrant_age_breakdowns!$K84*$H$31</f>
        <v>7.7193916452727382</v>
      </c>
      <c r="M327" s="459">
        <f>M$296*Entrant_age_breakdowns!$K84*$H$31</f>
        <v>7.6571969727010236</v>
      </c>
      <c r="N327" s="459">
        <f>N$296*Entrant_age_breakdowns!$K84*$H$31</f>
        <v>7.2637227438237169</v>
      </c>
    </row>
    <row r="328" spans="1:14">
      <c r="B328" s="338" t="str">
        <f t="shared" si="146"/>
        <v>65 plus</v>
      </c>
      <c r="C328" s="459">
        <f>C$296*Entrant_age_breakdowns!$K85*$H$31</f>
        <v>2.4060727088631166</v>
      </c>
      <c r="D328" s="459">
        <f>D$296*Entrant_age_breakdowns!$K85*$H$31</f>
        <v>1.8961615420491187</v>
      </c>
      <c r="E328" s="459">
        <f>E$296*Entrant_age_breakdowns!$K85*$H$31</f>
        <v>1.9999196864792392</v>
      </c>
      <c r="F328" s="459">
        <f>F$296*Entrant_age_breakdowns!$K85*$H$31</f>
        <v>1.9935019789065627</v>
      </c>
      <c r="G328" s="459">
        <f>G$296*Entrant_age_breakdowns!$K85*$H$31</f>
        <v>1.9562026075153127</v>
      </c>
      <c r="H328" s="459">
        <f>H$296*Entrant_age_breakdowns!$K85*$H$31</f>
        <v>1.9873468820141209</v>
      </c>
      <c r="I328" s="459">
        <f>I$296*Entrant_age_breakdowns!$K85*$H$31</f>
        <v>2.0332305577064851</v>
      </c>
      <c r="J328" s="459">
        <f>J$296*Entrant_age_breakdowns!$K85*$H$31</f>
        <v>1.9714329612696047</v>
      </c>
      <c r="K328" s="459">
        <f>K$296*Entrant_age_breakdowns!$K85*$H$31</f>
        <v>1.9044473132212518</v>
      </c>
      <c r="L328" s="459">
        <f>L$296*Entrant_age_breakdowns!$K85*$H$31</f>
        <v>1.9360782171608062</v>
      </c>
      <c r="M328" s="459">
        <f>M$296*Entrant_age_breakdowns!$K85*$H$31</f>
        <v>1.9204793518197418</v>
      </c>
      <c r="N328" s="459">
        <f>N$296*Entrant_age_breakdowns!$K85*$H$31</f>
        <v>1.8217932223227353</v>
      </c>
    </row>
    <row r="329" spans="1:14">
      <c r="B329" s="338" t="str">
        <f t="shared" si="146"/>
        <v>Total</v>
      </c>
      <c r="C329" s="459">
        <f>C$296*Entrant_age_breakdowns!$K86*$H$31</f>
        <v>601.35894117500573</v>
      </c>
      <c r="D329" s="459">
        <f>D$296*Entrant_age_breakdowns!$K86*$H$31</f>
        <v>473.91489584793561</v>
      </c>
      <c r="E329" s="459">
        <f>E$296*Entrant_age_breakdowns!$K86*$H$31</f>
        <v>499.84756514879928</v>
      </c>
      <c r="F329" s="459">
        <f>F$296*Entrant_age_breakdowns!$K86*$H$31</f>
        <v>498.24356298524913</v>
      </c>
      <c r="G329" s="459">
        <f>G$296*Entrant_age_breakdowns!$K86*$H$31</f>
        <v>488.9211886431479</v>
      </c>
      <c r="H329" s="459">
        <f>H$296*Entrant_age_breakdowns!$K86*$H$31</f>
        <v>496.70519611194817</v>
      </c>
      <c r="I329" s="459">
        <f>I$296*Entrant_age_breakdowns!$K86*$H$31</f>
        <v>508.17307841240245</v>
      </c>
      <c r="J329" s="459">
        <f>J$296*Entrant_age_breakdowns!$K86*$H$31</f>
        <v>492.72776912330698</v>
      </c>
      <c r="K329" s="459">
        <f>K$296*Entrant_age_breakdowns!$K86*$H$31</f>
        <v>475.98579028123254</v>
      </c>
      <c r="L329" s="459">
        <f>L$296*Entrant_age_breakdowns!$K86*$H$31</f>
        <v>483.89142290464838</v>
      </c>
      <c r="M329" s="459">
        <f>M$296*Entrant_age_breakdowns!$K86*$H$31</f>
        <v>479.99273891622209</v>
      </c>
      <c r="N329" s="459">
        <f>N$296*Entrant_age_breakdowns!$K86*$H$31</f>
        <v>455.32773767815866</v>
      </c>
    </row>
    <row r="330" spans="1:14">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4">
      <c r="C331" s="329">
        <f>C296</f>
        <v>1631.0443069596247</v>
      </c>
      <c r="D331" s="329">
        <f t="shared" ref="D331:N331" si="149">D296</f>
        <v>1285.3823896686515</v>
      </c>
      <c r="E331" s="329">
        <f t="shared" si="149"/>
        <v>1355.7186393380998</v>
      </c>
      <c r="F331" s="329">
        <f t="shared" si="149"/>
        <v>1351.3681617479645</v>
      </c>
      <c r="G331" s="329">
        <f t="shared" si="149"/>
        <v>1326.0834198792879</v>
      </c>
      <c r="H331" s="329">
        <f t="shared" si="149"/>
        <v>1347.1957044035869</v>
      </c>
      <c r="I331" s="329">
        <f t="shared" si="149"/>
        <v>1378.2996306252403</v>
      </c>
      <c r="J331" s="329">
        <f t="shared" si="149"/>
        <v>1336.4078717100294</v>
      </c>
      <c r="K331" s="329">
        <f t="shared" si="149"/>
        <v>1290.9992024313312</v>
      </c>
      <c r="L331" s="329">
        <f t="shared" si="149"/>
        <v>1312.4413665041593</v>
      </c>
      <c r="M331" s="329">
        <f t="shared" si="149"/>
        <v>1301.8671056283961</v>
      </c>
      <c r="N331" s="329">
        <f t="shared" si="149"/>
        <v>1234.9691066198673</v>
      </c>
    </row>
    <row r="332" spans="1:14">
      <c r="C332" s="329">
        <f>C313+C329</f>
        <v>1631.0443069596249</v>
      </c>
      <c r="D332" s="329">
        <f t="shared" ref="D332:N332" si="150">D313+D329</f>
        <v>1285.3823896686515</v>
      </c>
      <c r="E332" s="329">
        <f t="shared" si="150"/>
        <v>1355.7186393380998</v>
      </c>
      <c r="F332" s="329">
        <f t="shared" si="150"/>
        <v>1351.3681617479645</v>
      </c>
      <c r="G332" s="329">
        <f t="shared" si="150"/>
        <v>1326.0834198792879</v>
      </c>
      <c r="H332" s="329">
        <f t="shared" si="150"/>
        <v>1347.1957044035869</v>
      </c>
      <c r="I332" s="329">
        <f t="shared" si="150"/>
        <v>1378.2996306252403</v>
      </c>
      <c r="J332" s="329">
        <f t="shared" si="150"/>
        <v>1336.4078717100294</v>
      </c>
      <c r="K332" s="329">
        <f t="shared" si="150"/>
        <v>1290.9992024313312</v>
      </c>
      <c r="L332" s="329">
        <f t="shared" si="150"/>
        <v>1312.4413665041593</v>
      </c>
      <c r="M332" s="329">
        <f t="shared" si="150"/>
        <v>1301.8671056283961</v>
      </c>
      <c r="N332" s="329">
        <f t="shared" si="150"/>
        <v>1234.9691066198673</v>
      </c>
    </row>
    <row r="333" spans="1:14">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4">
      <c r="B337" s="341" t="s">
        <v>49</v>
      </c>
      <c r="C337" s="329"/>
      <c r="D337" s="329"/>
      <c r="E337" s="329"/>
      <c r="F337" s="329"/>
      <c r="G337" s="329"/>
      <c r="H337" s="339"/>
      <c r="I337" s="329"/>
      <c r="J337" s="329"/>
      <c r="K337" s="329"/>
      <c r="L337" s="329"/>
    </row>
    <row r="338" spans="1:14">
      <c r="C338" s="329"/>
      <c r="D338" s="329"/>
      <c r="E338" s="329"/>
      <c r="F338" s="329"/>
      <c r="G338" s="329"/>
      <c r="H338" s="339"/>
      <c r="I338" s="329"/>
      <c r="J338" s="329"/>
      <c r="K338" s="329"/>
      <c r="L338" s="329"/>
    </row>
    <row r="339" spans="1:14">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4">
      <c r="B340" s="338" t="str">
        <f t="shared" ref="B340:B350" si="153">B319</f>
        <v>20-24</v>
      </c>
      <c r="C340" s="459">
        <f t="shared" ref="C340:N340" si="154">C303+C247</f>
        <v>447.46940687834638</v>
      </c>
      <c r="D340" s="459">
        <f t="shared" si="154"/>
        <v>516.55258366321391</v>
      </c>
      <c r="E340" s="459">
        <f t="shared" si="154"/>
        <v>575.43195530379739</v>
      </c>
      <c r="F340" s="459">
        <f t="shared" si="154"/>
        <v>615.14038475807774</v>
      </c>
      <c r="G340" s="459">
        <f t="shared" si="154"/>
        <v>638.27887858264796</v>
      </c>
      <c r="H340" s="459">
        <f t="shared" si="154"/>
        <v>657.60129871689605</v>
      </c>
      <c r="I340" s="459">
        <f t="shared" si="154"/>
        <v>675.9318770231946</v>
      </c>
      <c r="J340" s="459">
        <f t="shared" si="154"/>
        <v>681.69044440773598</v>
      </c>
      <c r="K340" s="459">
        <f t="shared" si="154"/>
        <v>678.24617247871129</v>
      </c>
      <c r="L340" s="459">
        <f t="shared" si="154"/>
        <v>679.37486754175643</v>
      </c>
      <c r="M340" s="459">
        <f t="shared" si="154"/>
        <v>678.42707618958639</v>
      </c>
      <c r="N340" s="459">
        <f t="shared" si="154"/>
        <v>666.87863088946983</v>
      </c>
    </row>
    <row r="341" spans="1:14">
      <c r="B341" s="338" t="str">
        <f t="shared" si="153"/>
        <v>25-29</v>
      </c>
      <c r="C341" s="459">
        <f t="shared" ref="C341:N341" si="155">C304+C248</f>
        <v>1021.866663735527</v>
      </c>
      <c r="D341" s="459">
        <f t="shared" si="155"/>
        <v>1027.9315377061762</v>
      </c>
      <c r="E341" s="459">
        <f t="shared" si="155"/>
        <v>1056.4803757125248</v>
      </c>
      <c r="F341" s="459">
        <f t="shared" si="155"/>
        <v>1086.7154245108525</v>
      </c>
      <c r="G341" s="459">
        <f t="shared" si="155"/>
        <v>1111.2009863162243</v>
      </c>
      <c r="H341" s="459">
        <f t="shared" si="155"/>
        <v>1136.421765130078</v>
      </c>
      <c r="I341" s="459">
        <f t="shared" si="155"/>
        <v>1163.1689130275413</v>
      </c>
      <c r="J341" s="459">
        <f t="shared" si="155"/>
        <v>1178.5358178544259</v>
      </c>
      <c r="K341" s="459">
        <f t="shared" si="155"/>
        <v>1182.9159090864005</v>
      </c>
      <c r="L341" s="459">
        <f t="shared" si="155"/>
        <v>1189.0461748117666</v>
      </c>
      <c r="M341" s="459">
        <f t="shared" si="155"/>
        <v>1191.8545201994309</v>
      </c>
      <c r="N341" s="459">
        <f t="shared" si="155"/>
        <v>1182.4267615795388</v>
      </c>
    </row>
    <row r="342" spans="1:14">
      <c r="B342" s="338" t="str">
        <f t="shared" si="153"/>
        <v>30-34</v>
      </c>
      <c r="C342" s="459">
        <f t="shared" ref="C342:N342" si="156">C305+C249</f>
        <v>1090.3415736765048</v>
      </c>
      <c r="D342" s="459">
        <f t="shared" si="156"/>
        <v>1105.0425755547142</v>
      </c>
      <c r="E342" s="459">
        <f t="shared" si="156"/>
        <v>1122.9445698518443</v>
      </c>
      <c r="F342" s="459">
        <f t="shared" si="156"/>
        <v>1141.1408372563719</v>
      </c>
      <c r="G342" s="459">
        <f t="shared" si="156"/>
        <v>1158.1172858885375</v>
      </c>
      <c r="H342" s="459">
        <f t="shared" si="156"/>
        <v>1177.0036048942704</v>
      </c>
      <c r="I342" s="459">
        <f t="shared" si="156"/>
        <v>1198.2772872691994</v>
      </c>
      <c r="J342" s="459">
        <f t="shared" si="156"/>
        <v>1215.4998993537392</v>
      </c>
      <c r="K342" s="459">
        <f t="shared" si="156"/>
        <v>1227.3167645875169</v>
      </c>
      <c r="L342" s="459">
        <f t="shared" si="156"/>
        <v>1238.6804431615562</v>
      </c>
      <c r="M342" s="459">
        <f t="shared" si="156"/>
        <v>1247.3554758786026</v>
      </c>
      <c r="N342" s="459">
        <f t="shared" si="156"/>
        <v>1248.7124909672571</v>
      </c>
    </row>
    <row r="343" spans="1:14">
      <c r="B343" s="338" t="str">
        <f t="shared" si="153"/>
        <v>35-39</v>
      </c>
      <c r="C343" s="459">
        <f t="shared" ref="C343:N343" si="157">C306+C250</f>
        <v>972.58765648941642</v>
      </c>
      <c r="D343" s="459">
        <f t="shared" si="157"/>
        <v>999.33235931414254</v>
      </c>
      <c r="E343" s="459">
        <f t="shared" si="157"/>
        <v>1026.0725212516388</v>
      </c>
      <c r="F343" s="459">
        <f t="shared" si="157"/>
        <v>1048.9399387784358</v>
      </c>
      <c r="G343" s="459">
        <f t="shared" si="157"/>
        <v>1067.7418376633138</v>
      </c>
      <c r="H343" s="459">
        <f t="shared" si="157"/>
        <v>1086.0777632051177</v>
      </c>
      <c r="I343" s="459">
        <f t="shared" si="157"/>
        <v>1105.0191709601438</v>
      </c>
      <c r="J343" s="459">
        <f t="shared" si="157"/>
        <v>1120.4901255139748</v>
      </c>
      <c r="K343" s="459">
        <f t="shared" si="157"/>
        <v>1132.4293872160049</v>
      </c>
      <c r="L343" s="459">
        <f t="shared" si="157"/>
        <v>1144.7448988081096</v>
      </c>
      <c r="M343" s="459">
        <f t="shared" si="157"/>
        <v>1155.3423582432129</v>
      </c>
      <c r="N343" s="459">
        <f t="shared" si="157"/>
        <v>1160.8037846269563</v>
      </c>
    </row>
    <row r="344" spans="1:14">
      <c r="B344" s="338" t="str">
        <f t="shared" si="153"/>
        <v>40-44</v>
      </c>
      <c r="C344" s="459">
        <f t="shared" ref="C344:N344" si="158">C307+C251</f>
        <v>915.80416700369153</v>
      </c>
      <c r="D344" s="459">
        <f t="shared" si="158"/>
        <v>926.63500121555774</v>
      </c>
      <c r="E344" s="459">
        <f t="shared" si="158"/>
        <v>943.28328163450442</v>
      </c>
      <c r="F344" s="459">
        <f t="shared" si="158"/>
        <v>960.37016731035976</v>
      </c>
      <c r="G344" s="459">
        <f t="shared" si="158"/>
        <v>975.97743189436551</v>
      </c>
      <c r="H344" s="459">
        <f t="shared" si="158"/>
        <v>992.14117248109312</v>
      </c>
      <c r="I344" s="459">
        <f t="shared" si="158"/>
        <v>1009.1500292553012</v>
      </c>
      <c r="J344" s="459">
        <f t="shared" si="158"/>
        <v>1023.1090882490022</v>
      </c>
      <c r="K344" s="459">
        <f t="shared" si="158"/>
        <v>1033.9789693875159</v>
      </c>
      <c r="L344" s="459">
        <f t="shared" si="158"/>
        <v>1045.3718441561277</v>
      </c>
      <c r="M344" s="459">
        <f t="shared" si="158"/>
        <v>1055.5606038582048</v>
      </c>
      <c r="N344" s="459">
        <f t="shared" si="158"/>
        <v>1061.6135204503128</v>
      </c>
    </row>
    <row r="345" spans="1:14">
      <c r="B345" s="338" t="str">
        <f t="shared" si="153"/>
        <v>45-49</v>
      </c>
      <c r="C345" s="459">
        <f t="shared" ref="C345:N345" si="159">C308+C252</f>
        <v>906.17989505420041</v>
      </c>
      <c r="D345" s="459">
        <f t="shared" si="159"/>
        <v>881.74986166148415</v>
      </c>
      <c r="E345" s="459">
        <f t="shared" si="159"/>
        <v>868.79775003586815</v>
      </c>
      <c r="F345" s="459">
        <f t="shared" si="159"/>
        <v>862.201243655741</v>
      </c>
      <c r="G345" s="459">
        <f t="shared" si="159"/>
        <v>859.45970063763696</v>
      </c>
      <c r="H345" s="459">
        <f t="shared" si="159"/>
        <v>861.17878976234658</v>
      </c>
      <c r="I345" s="459">
        <f t="shared" si="159"/>
        <v>866.66845727707914</v>
      </c>
      <c r="J345" s="459">
        <f t="shared" si="159"/>
        <v>872.04969741827313</v>
      </c>
      <c r="K345" s="459">
        <f t="shared" si="159"/>
        <v>876.64991815596932</v>
      </c>
      <c r="L345" s="459">
        <f t="shared" si="159"/>
        <v>882.87759896691205</v>
      </c>
      <c r="M345" s="459">
        <f t="shared" si="159"/>
        <v>889.06629129450653</v>
      </c>
      <c r="N345" s="459">
        <f t="shared" si="159"/>
        <v>892.68021663247225</v>
      </c>
    </row>
    <row r="346" spans="1:14">
      <c r="B346" s="338" t="str">
        <f t="shared" si="153"/>
        <v>50-54</v>
      </c>
      <c r="C346" s="459">
        <f t="shared" ref="C346:N346" si="160">C309+C253</f>
        <v>806.12506692638135</v>
      </c>
      <c r="D346" s="459">
        <f t="shared" si="160"/>
        <v>773.78423733376701</v>
      </c>
      <c r="E346" s="459">
        <f t="shared" si="160"/>
        <v>748.54621143919303</v>
      </c>
      <c r="F346" s="459">
        <f t="shared" si="160"/>
        <v>728.14855811941993</v>
      </c>
      <c r="G346" s="459">
        <f t="shared" si="160"/>
        <v>711.69399497200857</v>
      </c>
      <c r="H346" s="459">
        <f t="shared" si="160"/>
        <v>700.13357702257179</v>
      </c>
      <c r="I346" s="459">
        <f t="shared" si="160"/>
        <v>693.1518550021957</v>
      </c>
      <c r="J346" s="459">
        <f t="shared" si="160"/>
        <v>687.89390101385584</v>
      </c>
      <c r="K346" s="459">
        <f t="shared" si="160"/>
        <v>683.73717671850898</v>
      </c>
      <c r="L346" s="459">
        <f t="shared" si="160"/>
        <v>682.24527602198475</v>
      </c>
      <c r="M346" s="459">
        <f t="shared" si="160"/>
        <v>681.97202487092</v>
      </c>
      <c r="N346" s="459">
        <f t="shared" si="160"/>
        <v>680.85719223584249</v>
      </c>
    </row>
    <row r="347" spans="1:14">
      <c r="B347" s="338" t="str">
        <f t="shared" si="153"/>
        <v>55-59</v>
      </c>
      <c r="C347" s="459">
        <f t="shared" ref="C347:N347" si="161">C310+C254</f>
        <v>404.62468130917875</v>
      </c>
      <c r="D347" s="459">
        <f t="shared" si="161"/>
        <v>386.84125996585215</v>
      </c>
      <c r="E347" s="459">
        <f t="shared" si="161"/>
        <v>372.90774050203038</v>
      </c>
      <c r="F347" s="459">
        <f t="shared" si="161"/>
        <v>360.78249488410631</v>
      </c>
      <c r="G347" s="459">
        <f t="shared" si="161"/>
        <v>350.02118534443008</v>
      </c>
      <c r="H347" s="459">
        <f t="shared" si="161"/>
        <v>341.61143121674729</v>
      </c>
      <c r="I347" s="459">
        <f t="shared" si="161"/>
        <v>335.53284659893933</v>
      </c>
      <c r="J347" s="459">
        <f t="shared" si="161"/>
        <v>330.01915855963898</v>
      </c>
      <c r="K347" s="459">
        <f t="shared" si="161"/>
        <v>325.02520691673453</v>
      </c>
      <c r="L347" s="459">
        <f t="shared" si="161"/>
        <v>321.87925286021459</v>
      </c>
      <c r="M347" s="459">
        <f t="shared" si="161"/>
        <v>319.56948947666132</v>
      </c>
      <c r="N347" s="459">
        <f t="shared" si="161"/>
        <v>316.77930982413926</v>
      </c>
    </row>
    <row r="348" spans="1:14">
      <c r="B348" s="338" t="str">
        <f t="shared" si="153"/>
        <v>60-64</v>
      </c>
      <c r="C348" s="459">
        <f t="shared" ref="C348:N348" si="162">C311+C255</f>
        <v>143.07829410373782</v>
      </c>
      <c r="D348" s="459">
        <f t="shared" si="162"/>
        <v>131.04110894619021</v>
      </c>
      <c r="E348" s="459">
        <f t="shared" si="162"/>
        <v>123.77933570154211</v>
      </c>
      <c r="F348" s="459">
        <f t="shared" si="162"/>
        <v>118.539861161262</v>
      </c>
      <c r="G348" s="459">
        <f t="shared" si="162"/>
        <v>114.28600084607498</v>
      </c>
      <c r="H348" s="459">
        <f t="shared" si="162"/>
        <v>111.14086349173286</v>
      </c>
      <c r="I348" s="459">
        <f t="shared" si="162"/>
        <v>108.91672395933617</v>
      </c>
      <c r="J348" s="459">
        <f t="shared" si="162"/>
        <v>106.68457825157509</v>
      </c>
      <c r="K348" s="459">
        <f t="shared" si="162"/>
        <v>104.48142922014642</v>
      </c>
      <c r="L348" s="459">
        <f t="shared" si="162"/>
        <v>103.02838564309999</v>
      </c>
      <c r="M348" s="459">
        <f t="shared" si="162"/>
        <v>101.83899913057869</v>
      </c>
      <c r="N348" s="459">
        <f t="shared" si="162"/>
        <v>100.31094392584723</v>
      </c>
    </row>
    <row r="349" spans="1:14">
      <c r="B349" s="338" t="str">
        <f t="shared" si="153"/>
        <v>65 plus</v>
      </c>
      <c r="C349" s="459">
        <f t="shared" ref="C349:N349" si="163">C312+C256</f>
        <v>49.675393353026067</v>
      </c>
      <c r="D349" s="459">
        <f t="shared" si="163"/>
        <v>45.663403206056401</v>
      </c>
      <c r="E349" s="459">
        <f t="shared" si="163"/>
        <v>42.363135207893421</v>
      </c>
      <c r="F349" s="459">
        <f t="shared" si="163"/>
        <v>39.777261545634296</v>
      </c>
      <c r="G349" s="459">
        <f t="shared" si="163"/>
        <v>37.744685186644531</v>
      </c>
      <c r="H349" s="459">
        <f t="shared" si="163"/>
        <v>36.235866471603039</v>
      </c>
      <c r="I349" s="459">
        <f t="shared" si="163"/>
        <v>35.156185111041133</v>
      </c>
      <c r="J349" s="459">
        <f t="shared" si="163"/>
        <v>34.224419798294676</v>
      </c>
      <c r="K349" s="459">
        <f t="shared" si="163"/>
        <v>33.363041885584188</v>
      </c>
      <c r="L349" s="459">
        <f t="shared" si="163"/>
        <v>32.71179815398775</v>
      </c>
      <c r="M349" s="459">
        <f t="shared" si="163"/>
        <v>32.174810182672871</v>
      </c>
      <c r="N349" s="459">
        <f t="shared" si="163"/>
        <v>31.586025491594025</v>
      </c>
    </row>
    <row r="350" spans="1:14">
      <c r="B350" s="338" t="str">
        <f t="shared" si="153"/>
        <v>Total</v>
      </c>
      <c r="C350" s="459">
        <f t="shared" ref="C350:N350" si="164">SUM(C340:C349)</f>
        <v>6757.7527985300103</v>
      </c>
      <c r="D350" s="459">
        <f t="shared" si="164"/>
        <v>6794.5739285671552</v>
      </c>
      <c r="E350" s="459">
        <f t="shared" si="164"/>
        <v>6880.606876640838</v>
      </c>
      <c r="F350" s="459">
        <f t="shared" si="164"/>
        <v>6961.7561719802607</v>
      </c>
      <c r="G350" s="459">
        <f t="shared" si="164"/>
        <v>7024.5219873318838</v>
      </c>
      <c r="H350" s="459">
        <f t="shared" si="164"/>
        <v>7099.5461323924555</v>
      </c>
      <c r="I350" s="459">
        <f t="shared" si="164"/>
        <v>7190.9733454839716</v>
      </c>
      <c r="J350" s="459">
        <f t="shared" si="164"/>
        <v>7250.1971304205154</v>
      </c>
      <c r="K350" s="459">
        <f t="shared" si="164"/>
        <v>7278.1439756530935</v>
      </c>
      <c r="L350" s="459">
        <f t="shared" si="164"/>
        <v>7319.9605401255158</v>
      </c>
      <c r="M350" s="459">
        <f t="shared" si="164"/>
        <v>7353.1616493243764</v>
      </c>
      <c r="N350" s="459">
        <f t="shared" si="164"/>
        <v>7342.6488766234297</v>
      </c>
    </row>
    <row r="351" spans="1:14">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4">
      <c r="B353" s="341" t="s">
        <v>50</v>
      </c>
      <c r="C353" s="329"/>
      <c r="D353" s="329"/>
      <c r="E353" s="329"/>
      <c r="F353" s="329"/>
      <c r="G353" s="329"/>
      <c r="H353" s="339"/>
      <c r="I353" s="329"/>
      <c r="J353" s="329"/>
      <c r="K353" s="329"/>
      <c r="L353" s="329"/>
    </row>
    <row r="354" spans="1:14">
      <c r="C354" s="329"/>
      <c r="D354" s="329"/>
      <c r="E354" s="329"/>
      <c r="F354" s="329"/>
      <c r="G354" s="329"/>
      <c r="H354" s="339"/>
      <c r="I354" s="329"/>
      <c r="J354" s="329"/>
      <c r="K354" s="329"/>
      <c r="L354" s="329"/>
    </row>
    <row r="355" spans="1:14">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4">
      <c r="B356" s="338" t="str">
        <f t="shared" si="166"/>
        <v>20-24</v>
      </c>
      <c r="C356" s="459">
        <f t="shared" ref="C356:N356" si="168">C319+C263</f>
        <v>319.48319298425702</v>
      </c>
      <c r="D356" s="459">
        <f t="shared" si="168"/>
        <v>346.22936837613952</v>
      </c>
      <c r="E356" s="459">
        <f t="shared" si="168"/>
        <v>371.66863750140806</v>
      </c>
      <c r="F356" s="459">
        <f t="shared" si="168"/>
        <v>389.08624873001861</v>
      </c>
      <c r="G356" s="459">
        <f t="shared" si="168"/>
        <v>398.88946869670525</v>
      </c>
      <c r="H356" s="459">
        <f t="shared" si="168"/>
        <v>407.76957224784837</v>
      </c>
      <c r="I356" s="459">
        <f t="shared" si="168"/>
        <v>416.95321329305904</v>
      </c>
      <c r="J356" s="459">
        <f t="shared" si="168"/>
        <v>419.40491109384891</v>
      </c>
      <c r="K356" s="459">
        <f t="shared" si="168"/>
        <v>416.80329809161333</v>
      </c>
      <c r="L356" s="459">
        <f t="shared" si="168"/>
        <v>417.01968953124396</v>
      </c>
      <c r="M356" s="459">
        <f t="shared" si="168"/>
        <v>416.16534766301845</v>
      </c>
      <c r="N356" s="459">
        <f t="shared" si="168"/>
        <v>409.20192075604609</v>
      </c>
    </row>
    <row r="357" spans="1:14">
      <c r="B357" s="338" t="str">
        <f t="shared" si="166"/>
        <v>25-29</v>
      </c>
      <c r="C357" s="459">
        <f t="shared" ref="C357:N357" si="169">C320+C264</f>
        <v>603.22608704107915</v>
      </c>
      <c r="D357" s="459">
        <f t="shared" si="169"/>
        <v>615.96742293335956</v>
      </c>
      <c r="E357" s="459">
        <f t="shared" si="169"/>
        <v>636.8089471536191</v>
      </c>
      <c r="F357" s="459">
        <f t="shared" si="169"/>
        <v>655.87408578441068</v>
      </c>
      <c r="G357" s="459">
        <f t="shared" si="169"/>
        <v>670.16977108470792</v>
      </c>
      <c r="H357" s="459">
        <f t="shared" si="169"/>
        <v>684.24752859864759</v>
      </c>
      <c r="I357" s="459">
        <f t="shared" si="169"/>
        <v>698.98662262500557</v>
      </c>
      <c r="J357" s="459">
        <f t="shared" si="169"/>
        <v>707.07335058901492</v>
      </c>
      <c r="K357" s="459">
        <f t="shared" si="169"/>
        <v>708.84081287757317</v>
      </c>
      <c r="L357" s="459">
        <f t="shared" si="169"/>
        <v>711.75061486316656</v>
      </c>
      <c r="M357" s="459">
        <f t="shared" si="169"/>
        <v>712.83440990676695</v>
      </c>
      <c r="N357" s="459">
        <f t="shared" si="169"/>
        <v>706.87718345154235</v>
      </c>
    </row>
    <row r="358" spans="1:14">
      <c r="B358" s="338" t="str">
        <f t="shared" si="166"/>
        <v>30-34</v>
      </c>
      <c r="C358" s="459">
        <f t="shared" ref="C358:N358" si="170">C321+C265</f>
        <v>712.82612404716087</v>
      </c>
      <c r="D358" s="459">
        <f t="shared" si="170"/>
        <v>689.21698653200406</v>
      </c>
      <c r="E358" s="459">
        <f t="shared" si="170"/>
        <v>677.83702286490791</v>
      </c>
      <c r="F358" s="459">
        <f t="shared" si="170"/>
        <v>673.1493835134346</v>
      </c>
      <c r="G358" s="459">
        <f t="shared" si="170"/>
        <v>671.97170138807178</v>
      </c>
      <c r="H358" s="459">
        <f t="shared" si="170"/>
        <v>674.74082205321417</v>
      </c>
      <c r="I358" s="459">
        <f t="shared" si="170"/>
        <v>680.8212132230135</v>
      </c>
      <c r="J358" s="459">
        <f t="shared" si="170"/>
        <v>685.85881317976168</v>
      </c>
      <c r="K358" s="459">
        <f t="shared" si="170"/>
        <v>688.76192229166918</v>
      </c>
      <c r="L358" s="459">
        <f t="shared" si="170"/>
        <v>692.23533044804071</v>
      </c>
      <c r="M358" s="459">
        <f t="shared" si="170"/>
        <v>694.76610941065985</v>
      </c>
      <c r="N358" s="459">
        <f t="shared" si="170"/>
        <v>693.53155484667218</v>
      </c>
    </row>
    <row r="359" spans="1:14">
      <c r="B359" s="338" t="str">
        <f t="shared" si="166"/>
        <v>35-39</v>
      </c>
      <c r="C359" s="459">
        <f t="shared" ref="C359:N359" si="171">C322+C266</f>
        <v>632.17819730770543</v>
      </c>
      <c r="D359" s="459">
        <f t="shared" si="171"/>
        <v>642.16772152763201</v>
      </c>
      <c r="E359" s="459">
        <f t="shared" si="171"/>
        <v>647.6345991921329</v>
      </c>
      <c r="F359" s="459">
        <f t="shared" si="171"/>
        <v>649.41533077275824</v>
      </c>
      <c r="G359" s="459">
        <f t="shared" si="171"/>
        <v>648.98181136274593</v>
      </c>
      <c r="H359" s="459">
        <f t="shared" si="171"/>
        <v>649.18194056626805</v>
      </c>
      <c r="I359" s="459">
        <f t="shared" si="171"/>
        <v>650.92503448506966</v>
      </c>
      <c r="J359" s="459">
        <f t="shared" si="171"/>
        <v>651.8685180922173</v>
      </c>
      <c r="K359" s="459">
        <f t="shared" si="171"/>
        <v>651.90775563836553</v>
      </c>
      <c r="L359" s="459">
        <f t="shared" si="171"/>
        <v>653.21981903089375</v>
      </c>
      <c r="M359" s="459">
        <f t="shared" si="171"/>
        <v>654.45798357444971</v>
      </c>
      <c r="N359" s="459">
        <f t="shared" si="171"/>
        <v>653.50265959413878</v>
      </c>
    </row>
    <row r="360" spans="1:14">
      <c r="B360" s="338" t="str">
        <f t="shared" si="166"/>
        <v>40-44</v>
      </c>
      <c r="C360" s="459">
        <f t="shared" ref="C360:N360" si="172">C323+C267</f>
        <v>568.1178372276147</v>
      </c>
      <c r="D360" s="459">
        <f t="shared" si="172"/>
        <v>574.47170655020057</v>
      </c>
      <c r="E360" s="459">
        <f t="shared" si="172"/>
        <v>583.13133525018873</v>
      </c>
      <c r="F360" s="459">
        <f t="shared" si="172"/>
        <v>590.39331021876615</v>
      </c>
      <c r="G360" s="459">
        <f t="shared" si="172"/>
        <v>595.31036492506348</v>
      </c>
      <c r="H360" s="459">
        <f t="shared" si="172"/>
        <v>599.49653631042816</v>
      </c>
      <c r="I360" s="459">
        <f t="shared" si="172"/>
        <v>603.56345172249223</v>
      </c>
      <c r="J360" s="459">
        <f t="shared" si="172"/>
        <v>605.61392906976744</v>
      </c>
      <c r="K360" s="459">
        <f t="shared" si="172"/>
        <v>605.92336088239506</v>
      </c>
      <c r="L360" s="459">
        <f t="shared" si="172"/>
        <v>606.80882935255931</v>
      </c>
      <c r="M360" s="459">
        <f t="shared" si="172"/>
        <v>607.3831334697644</v>
      </c>
      <c r="N360" s="459">
        <f t="shared" si="172"/>
        <v>606.00682256477023</v>
      </c>
    </row>
    <row r="361" spans="1:14">
      <c r="B361" s="338" t="str">
        <f t="shared" si="166"/>
        <v>45-49</v>
      </c>
      <c r="C361" s="459">
        <f t="shared" ref="C361:N361" si="173">C324+C268</f>
        <v>454.56778338163895</v>
      </c>
      <c r="D361" s="459">
        <f t="shared" si="173"/>
        <v>466.92919778489431</v>
      </c>
      <c r="E361" s="459">
        <f t="shared" si="173"/>
        <v>478.81886726992468</v>
      </c>
      <c r="F361" s="459">
        <f t="shared" si="173"/>
        <v>488.98328773494796</v>
      </c>
      <c r="G361" s="459">
        <f t="shared" si="173"/>
        <v>497.12677822813862</v>
      </c>
      <c r="H361" s="459">
        <f t="shared" si="173"/>
        <v>504.48455871157989</v>
      </c>
      <c r="I361" s="459">
        <f t="shared" si="173"/>
        <v>511.37576696242883</v>
      </c>
      <c r="J361" s="459">
        <f t="shared" si="173"/>
        <v>516.14332415340527</v>
      </c>
      <c r="K361" s="459">
        <f t="shared" si="173"/>
        <v>518.90599201807004</v>
      </c>
      <c r="L361" s="459">
        <f t="shared" si="173"/>
        <v>521.49840886164498</v>
      </c>
      <c r="M361" s="459">
        <f t="shared" si="173"/>
        <v>523.29928510295895</v>
      </c>
      <c r="N361" s="459">
        <f t="shared" si="173"/>
        <v>523.10620229269296</v>
      </c>
    </row>
    <row r="362" spans="1:14">
      <c r="B362" s="338" t="str">
        <f t="shared" si="166"/>
        <v>50-54</v>
      </c>
      <c r="C362" s="459">
        <f t="shared" ref="C362:N362" si="174">C325+C269</f>
        <v>411.55877984900752</v>
      </c>
      <c r="D362" s="459">
        <f t="shared" si="174"/>
        <v>398.9289438133502</v>
      </c>
      <c r="E362" s="459">
        <f t="shared" si="174"/>
        <v>393.33627805647359</v>
      </c>
      <c r="F362" s="459">
        <f t="shared" si="174"/>
        <v>391.38240025169404</v>
      </c>
      <c r="G362" s="459">
        <f t="shared" si="174"/>
        <v>391.35686674674844</v>
      </c>
      <c r="H362" s="459">
        <f t="shared" si="174"/>
        <v>393.16962026341594</v>
      </c>
      <c r="I362" s="459">
        <f t="shared" si="174"/>
        <v>396.33490264583008</v>
      </c>
      <c r="J362" s="459">
        <f t="shared" si="174"/>
        <v>399.09735906878558</v>
      </c>
      <c r="K362" s="459">
        <f t="shared" si="174"/>
        <v>401.12883571152821</v>
      </c>
      <c r="L362" s="459">
        <f t="shared" si="174"/>
        <v>403.45733574915414</v>
      </c>
      <c r="M362" s="459">
        <f t="shared" si="174"/>
        <v>405.40311611354332</v>
      </c>
      <c r="N362" s="459">
        <f t="shared" si="174"/>
        <v>405.93898549922653</v>
      </c>
    </row>
    <row r="363" spans="1:14">
      <c r="B363" s="338" t="str">
        <f t="shared" si="166"/>
        <v>55-59</v>
      </c>
      <c r="C363" s="459">
        <f t="shared" ref="C363:N363" si="175">C326+C270</f>
        <v>194.95693424435973</v>
      </c>
      <c r="D363" s="459">
        <f t="shared" si="175"/>
        <v>195.91454290555976</v>
      </c>
      <c r="E363" s="459">
        <f t="shared" si="175"/>
        <v>195.42669109056345</v>
      </c>
      <c r="F363" s="459">
        <f t="shared" si="175"/>
        <v>194.23164684302552</v>
      </c>
      <c r="G363" s="459">
        <f t="shared" si="175"/>
        <v>192.9077820451771</v>
      </c>
      <c r="H363" s="459">
        <f t="shared" si="175"/>
        <v>192.35542040209774</v>
      </c>
      <c r="I363" s="459">
        <f t="shared" si="175"/>
        <v>192.66903820440274</v>
      </c>
      <c r="J363" s="459">
        <f t="shared" si="175"/>
        <v>192.83521831973528</v>
      </c>
      <c r="K363" s="459">
        <f t="shared" si="175"/>
        <v>192.80878808797274</v>
      </c>
      <c r="L363" s="459">
        <f t="shared" si="175"/>
        <v>193.35812520037521</v>
      </c>
      <c r="M363" s="459">
        <f t="shared" si="175"/>
        <v>193.91665131965576</v>
      </c>
      <c r="N363" s="459">
        <f t="shared" si="175"/>
        <v>193.74605017212926</v>
      </c>
    </row>
    <row r="364" spans="1:14">
      <c r="B364" s="338" t="str">
        <f t="shared" si="166"/>
        <v>60-64</v>
      </c>
      <c r="C364" s="459">
        <f t="shared" ref="C364:N364" si="176">C327+C271</f>
        <v>59.418559660045432</v>
      </c>
      <c r="D364" s="459">
        <f t="shared" si="176"/>
        <v>57.420558135937512</v>
      </c>
      <c r="E364" s="459">
        <f t="shared" si="176"/>
        <v>57.023547715639168</v>
      </c>
      <c r="F364" s="459">
        <f t="shared" si="176"/>
        <v>56.758714799806192</v>
      </c>
      <c r="G364" s="459">
        <f t="shared" si="176"/>
        <v>56.350182814204885</v>
      </c>
      <c r="H364" s="459">
        <f t="shared" si="176"/>
        <v>56.133453253526767</v>
      </c>
      <c r="I364" s="459">
        <f t="shared" si="176"/>
        <v>56.152826722844459</v>
      </c>
      <c r="J364" s="459">
        <f t="shared" si="176"/>
        <v>55.951507034944697</v>
      </c>
      <c r="K364" s="459">
        <f t="shared" si="176"/>
        <v>55.610771190335107</v>
      </c>
      <c r="L364" s="459">
        <f t="shared" si="176"/>
        <v>55.576763703501534</v>
      </c>
      <c r="M364" s="459">
        <f t="shared" si="176"/>
        <v>55.562202277319003</v>
      </c>
      <c r="N364" s="459">
        <f t="shared" si="176"/>
        <v>55.226384876737967</v>
      </c>
    </row>
    <row r="365" spans="1:14">
      <c r="B365" s="338" t="str">
        <f t="shared" si="166"/>
        <v>65 plus</v>
      </c>
      <c r="C365" s="459">
        <f t="shared" ref="C365:N365" si="177">C328+C272</f>
        <v>11.165506026813905</v>
      </c>
      <c r="D365" s="459">
        <f t="shared" si="177"/>
        <v>13.416785138365146</v>
      </c>
      <c r="E365" s="459">
        <f t="shared" si="177"/>
        <v>14.44606251697137</v>
      </c>
      <c r="F365" s="459">
        <f t="shared" si="177"/>
        <v>14.914418216091294</v>
      </c>
      <c r="G365" s="459">
        <f t="shared" si="177"/>
        <v>15.084741578775189</v>
      </c>
      <c r="H365" s="459">
        <f t="shared" si="177"/>
        <v>15.160179013516144</v>
      </c>
      <c r="I365" s="459">
        <f t="shared" si="177"/>
        <v>15.222102901645618</v>
      </c>
      <c r="J365" s="459">
        <f t="shared" si="177"/>
        <v>15.193193219135667</v>
      </c>
      <c r="K365" s="459">
        <f t="shared" si="177"/>
        <v>15.091632721681403</v>
      </c>
      <c r="L365" s="459">
        <f t="shared" si="177"/>
        <v>15.038439136164438</v>
      </c>
      <c r="M365" s="459">
        <f t="shared" si="177"/>
        <v>14.992853102982476</v>
      </c>
      <c r="N365" s="459">
        <f t="shared" si="177"/>
        <v>14.869926200000158</v>
      </c>
    </row>
    <row r="366" spans="1:14">
      <c r="B366" s="338" t="str">
        <f t="shared" si="166"/>
        <v>Total</v>
      </c>
      <c r="C366" s="459">
        <f t="shared" ref="C366:N366" si="178">SUM(C356:C365)</f>
        <v>3967.4990017696828</v>
      </c>
      <c r="D366" s="459">
        <f t="shared" si="178"/>
        <v>4000.6632336974421</v>
      </c>
      <c r="E366" s="459">
        <f t="shared" si="178"/>
        <v>4056.1319886118295</v>
      </c>
      <c r="F366" s="459">
        <f t="shared" si="178"/>
        <v>4104.1888268649536</v>
      </c>
      <c r="G366" s="459">
        <f t="shared" si="178"/>
        <v>4138.1494688703388</v>
      </c>
      <c r="H366" s="459">
        <f t="shared" si="178"/>
        <v>4176.7396314205425</v>
      </c>
      <c r="I366" s="459">
        <f t="shared" si="178"/>
        <v>4223.0041727857906</v>
      </c>
      <c r="J366" s="459">
        <f t="shared" si="178"/>
        <v>4249.0401238206159</v>
      </c>
      <c r="K366" s="459">
        <f t="shared" si="178"/>
        <v>4255.7831695112036</v>
      </c>
      <c r="L366" s="459">
        <f t="shared" si="178"/>
        <v>4269.9633558767446</v>
      </c>
      <c r="M366" s="459">
        <f t="shared" si="178"/>
        <v>4278.7810919411186</v>
      </c>
      <c r="N366" s="459">
        <f t="shared" si="178"/>
        <v>4262.0076902539558</v>
      </c>
    </row>
    <row r="367" spans="1:14">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4">
      <c r="C368" s="329">
        <f>C350+C366</f>
        <v>10725.251800299693</v>
      </c>
      <c r="D368" s="329">
        <f t="shared" ref="D368:N368" si="180">D350+D366</f>
        <v>10795.237162264597</v>
      </c>
      <c r="E368" s="329">
        <f t="shared" si="180"/>
        <v>10936.738865252668</v>
      </c>
      <c r="F368" s="329">
        <f t="shared" si="180"/>
        <v>11065.944998845214</v>
      </c>
      <c r="G368" s="329">
        <f t="shared" si="180"/>
        <v>11162.671456202223</v>
      </c>
      <c r="H368" s="329">
        <f t="shared" si="180"/>
        <v>11276.285763812997</v>
      </c>
      <c r="I368" s="329">
        <f t="shared" si="180"/>
        <v>11413.977518269763</v>
      </c>
      <c r="J368" s="329">
        <f t="shared" si="180"/>
        <v>11499.237254241132</v>
      </c>
      <c r="K368" s="329">
        <f t="shared" si="180"/>
        <v>11533.927145164296</v>
      </c>
      <c r="L368" s="329">
        <f t="shared" si="180"/>
        <v>11589.923896002259</v>
      </c>
      <c r="M368" s="329">
        <f t="shared" si="180"/>
        <v>11631.942741265495</v>
      </c>
      <c r="N368" s="329">
        <f t="shared" si="180"/>
        <v>11604.656566877386</v>
      </c>
    </row>
    <row r="369" spans="1:14">
      <c r="C369" s="329">
        <f t="shared" ref="C369:N369" si="181">C36</f>
        <v>10725.251800299693</v>
      </c>
      <c r="D369" s="329">
        <f t="shared" si="181"/>
        <v>10795.237162264597</v>
      </c>
      <c r="E369" s="329">
        <f t="shared" si="181"/>
        <v>10936.738865252666</v>
      </c>
      <c r="F369" s="329">
        <f t="shared" si="181"/>
        <v>11065.944998845214</v>
      </c>
      <c r="G369" s="329">
        <f t="shared" si="181"/>
        <v>11162.671456202223</v>
      </c>
      <c r="H369" s="329">
        <f t="shared" si="181"/>
        <v>11276.285763812999</v>
      </c>
      <c r="I369" s="329">
        <f t="shared" si="181"/>
        <v>11413.977518269763</v>
      </c>
      <c r="J369" s="329">
        <f t="shared" si="181"/>
        <v>11499.237254241132</v>
      </c>
      <c r="K369" s="329">
        <f t="shared" si="181"/>
        <v>11533.927145164296</v>
      </c>
      <c r="L369" s="329">
        <f t="shared" si="181"/>
        <v>11589.923896002259</v>
      </c>
      <c r="M369" s="329">
        <f t="shared" si="181"/>
        <v>11631.942741265495</v>
      </c>
      <c r="N369" s="329">
        <f t="shared" si="181"/>
        <v>11604.656566877386</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Q371"/>
  <sheetViews>
    <sheetView showGridLines="0" workbookViewId="0"/>
  </sheetViews>
  <sheetFormatPr defaultColWidth="9.140625" defaultRowHeight="12.75"/>
  <cols>
    <col min="1" max="1" width="9.140625" style="309"/>
    <col min="2" max="2" width="28.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row>
    <row r="5" spans="1:17" s="350" customFormat="1">
      <c r="A5" s="706" t="s">
        <v>1705</v>
      </c>
      <c r="B5" s="706"/>
      <c r="C5" s="706"/>
      <c r="D5" s="706"/>
      <c r="E5" s="706"/>
      <c r="F5" s="706"/>
      <c r="G5" s="706"/>
      <c r="H5" s="706"/>
      <c r="I5" s="706"/>
      <c r="J5" s="706"/>
      <c r="K5" s="706"/>
      <c r="L5" s="706"/>
      <c r="M5" s="706"/>
      <c r="N5" s="706"/>
      <c r="O5" s="349"/>
      <c r="P5" s="349"/>
      <c r="Q5" s="349"/>
    </row>
    <row r="6" spans="1:17" s="354" customFormat="1">
      <c r="A6" s="351" t="s">
        <v>1420</v>
      </c>
      <c r="B6" s="352"/>
      <c r="C6" s="352"/>
      <c r="D6" s="352"/>
      <c r="E6" s="347"/>
      <c r="F6" s="352"/>
      <c r="G6" s="352"/>
      <c r="H6" s="352"/>
      <c r="I6" s="352"/>
      <c r="J6" s="352"/>
      <c r="K6" s="352"/>
      <c r="L6" s="353"/>
      <c r="M6" s="353"/>
      <c r="N6" s="353"/>
      <c r="O6" s="353"/>
      <c r="P6" s="353"/>
      <c r="Q6" s="353"/>
    </row>
    <row r="7" spans="1:17" s="354" customFormat="1">
      <c r="A7" s="355" t="s">
        <v>1503</v>
      </c>
      <c r="B7" s="351"/>
      <c r="C7" s="352"/>
      <c r="D7" s="352"/>
      <c r="E7" s="347"/>
      <c r="F7" s="352"/>
      <c r="G7" s="352"/>
      <c r="H7" s="352"/>
      <c r="I7" s="352"/>
      <c r="J7" s="352"/>
      <c r="K7" s="352"/>
      <c r="L7" s="353"/>
      <c r="M7" s="353"/>
      <c r="N7" s="353"/>
      <c r="O7" s="353"/>
      <c r="P7" s="353"/>
      <c r="Q7" s="353"/>
    </row>
    <row r="8" spans="1:17" s="354" customFormat="1">
      <c r="A8" s="351" t="s">
        <v>24</v>
      </c>
      <c r="B8" s="352"/>
      <c r="C8" s="352"/>
      <c r="D8" s="352"/>
      <c r="E8" s="347"/>
      <c r="F8" s="352"/>
      <c r="G8" s="352"/>
      <c r="H8" s="352"/>
      <c r="I8" s="352"/>
      <c r="J8" s="352"/>
      <c r="K8" s="352"/>
      <c r="L8" s="353"/>
      <c r="M8" s="353"/>
      <c r="N8" s="353"/>
      <c r="O8" s="353"/>
      <c r="P8" s="353"/>
      <c r="Q8" s="353"/>
    </row>
    <row r="9" spans="1:17" s="354" customFormat="1">
      <c r="A9" s="355" t="s">
        <v>351</v>
      </c>
      <c r="B9" s="352"/>
      <c r="C9" s="352"/>
      <c r="D9" s="352"/>
      <c r="E9" s="347"/>
      <c r="F9" s="352"/>
      <c r="G9" s="352"/>
      <c r="H9" s="352"/>
      <c r="I9" s="352"/>
      <c r="J9" s="352"/>
      <c r="K9" s="352"/>
      <c r="L9" s="353"/>
      <c r="M9" s="353"/>
      <c r="N9" s="353"/>
      <c r="O9" s="353"/>
      <c r="P9" s="353"/>
      <c r="Q9" s="353"/>
    </row>
    <row r="10" spans="1:17" s="362" customFormat="1" ht="13.5" customHeight="1">
      <c r="A10" s="356">
        <f>SUM(A13:A2249)</f>
        <v>0</v>
      </c>
      <c r="B10" s="357"/>
      <c r="C10" s="358"/>
      <c r="D10" s="359"/>
      <c r="E10" s="359"/>
      <c r="F10" s="359"/>
      <c r="G10" s="360"/>
      <c r="H10" s="359"/>
      <c r="I10" s="359"/>
      <c r="J10" s="360"/>
      <c r="K10" s="361"/>
      <c r="L10" s="361"/>
      <c r="M10" s="361"/>
      <c r="N10" s="361"/>
      <c r="O10" s="361"/>
      <c r="P10" s="361"/>
      <c r="Q10" s="361"/>
    </row>
    <row r="12" spans="1:17" ht="15.75">
      <c r="B12" s="340" t="s">
        <v>177</v>
      </c>
    </row>
    <row r="14" spans="1:17">
      <c r="B14" s="326" t="str">
        <f>Forecast_stock_figures!B14</f>
        <v>Phase/subject</v>
      </c>
      <c r="C14" s="326" t="str">
        <f>Forecast_stock_figures!C38</f>
        <v>2016/17</v>
      </c>
      <c r="D14" s="326" t="str">
        <f>Forecast_stock_figures!D38</f>
        <v>2017/18</v>
      </c>
      <c r="E14" s="326" t="str">
        <f>Forecast_stock_figures!E38</f>
        <v>2018/19</v>
      </c>
      <c r="F14" s="326" t="str">
        <f>Forecast_stock_figures!F38</f>
        <v>2019/20</v>
      </c>
      <c r="G14" s="326" t="str">
        <f>Forecast_stock_figures!G38</f>
        <v>2020/21</v>
      </c>
      <c r="H14" s="326" t="str">
        <f>Forecast_stock_figures!H38</f>
        <v>2021/22</v>
      </c>
      <c r="I14" s="326" t="str">
        <f>Forecast_stock_figures!I38</f>
        <v>2022/23</v>
      </c>
      <c r="J14" s="326" t="str">
        <f>Forecast_stock_figures!J38</f>
        <v>2023/24</v>
      </c>
      <c r="K14" s="326" t="str">
        <f>Forecast_stock_figures!K38</f>
        <v>2024/25</v>
      </c>
      <c r="L14" s="326" t="str">
        <f>Forecast_stock_figures!L38</f>
        <v>2025/26</v>
      </c>
      <c r="M14" s="326" t="str">
        <f>Forecast_stock_figures!M38</f>
        <v>2026/27</v>
      </c>
      <c r="N14" s="326" t="str">
        <f>Forecast_stock_figures!N38</f>
        <v>2027/28</v>
      </c>
    </row>
    <row r="15" spans="1:17">
      <c r="B15" s="322" t="str">
        <f>Forecast_stock_figures!B34</f>
        <v>Religious Education</v>
      </c>
      <c r="C15" s="307">
        <f>Forecast_stock_figures!C58</f>
        <v>7422.3926080902065</v>
      </c>
      <c r="D15" s="307">
        <f>Forecast_stock_figures!D58</f>
        <v>7377.2618621307392</v>
      </c>
      <c r="E15" s="307">
        <f>Forecast_stock_figures!E58</f>
        <v>7422.7824256240674</v>
      </c>
      <c r="F15" s="307">
        <f>Forecast_stock_figures!F58</f>
        <v>7500.1802969344735</v>
      </c>
      <c r="G15" s="307">
        <f>Forecast_stock_figures!G58</f>
        <v>7582.9020625192106</v>
      </c>
      <c r="H15" s="307">
        <f>Forecast_stock_figures!H58</f>
        <v>7654.767656974067</v>
      </c>
      <c r="I15" s="307">
        <f>Forecast_stock_figures!I58</f>
        <v>7720.9539954092179</v>
      </c>
      <c r="J15" s="307">
        <f>Forecast_stock_figures!J58</f>
        <v>7788.0683359980958</v>
      </c>
      <c r="K15" s="307">
        <f>Forecast_stock_figures!K58</f>
        <v>7848.1363830283999</v>
      </c>
      <c r="L15" s="307">
        <f>Forecast_stock_figures!L58</f>
        <v>7863.9567848257848</v>
      </c>
      <c r="M15" s="307">
        <f>Forecast_stock_figures!M58</f>
        <v>7862.2904175380427</v>
      </c>
      <c r="N15" s="307">
        <f>Forecast_stock_figures!N58</f>
        <v>7847.2755854418974</v>
      </c>
    </row>
    <row r="17" spans="1:9" ht="15.75">
      <c r="B17" s="340" t="s">
        <v>149</v>
      </c>
    </row>
    <row r="19" spans="1:9">
      <c r="B19" s="1243" t="str">
        <f>Stock_ages_breakdowns!B73</f>
        <v>Age group</v>
      </c>
      <c r="C19" s="1241" t="str">
        <f>Stock_ages_breakdowns!AM73</f>
        <v>Religious Education</v>
      </c>
      <c r="D19" s="1248"/>
      <c r="H19" s="325" t="s">
        <v>120</v>
      </c>
    </row>
    <row r="20" spans="1:9">
      <c r="B20" s="1243"/>
      <c r="C20" s="363" t="str">
        <f>Stock_ages_breakdowns!AM74</f>
        <v>Male</v>
      </c>
      <c r="D20" s="363" t="str">
        <f>Stock_ages_breakdowns!AN74</f>
        <v>Female</v>
      </c>
    </row>
    <row r="21" spans="1:9">
      <c r="B21" s="363" t="str">
        <f>Stock_ages_breakdowns!B75</f>
        <v>20-24</v>
      </c>
      <c r="C21" s="331">
        <f>Stock_ages_breakdowns!AM20</f>
        <v>85.483383341991811</v>
      </c>
      <c r="D21" s="331">
        <f>Stock_ages_breakdowns!AN20</f>
        <v>303.08226254803066</v>
      </c>
    </row>
    <row r="22" spans="1:9">
      <c r="B22" s="363" t="str">
        <f>Stock_ages_breakdowns!B76</f>
        <v>25-29</v>
      </c>
      <c r="C22" s="331">
        <f>Stock_ages_breakdowns!AM21</f>
        <v>296.18238392438042</v>
      </c>
      <c r="D22" s="331">
        <f>Stock_ages_breakdowns!AN21</f>
        <v>1012.0368005332734</v>
      </c>
    </row>
    <row r="23" spans="1:9">
      <c r="B23" s="363" t="str">
        <f>Stock_ages_breakdowns!B77</f>
        <v>30-34</v>
      </c>
      <c r="C23" s="331">
        <f>Stock_ages_breakdowns!AM22</f>
        <v>393.01041425644451</v>
      </c>
      <c r="D23" s="331">
        <f>Stock_ages_breakdowns!AN22</f>
        <v>914.49560961387795</v>
      </c>
    </row>
    <row r="24" spans="1:9">
      <c r="B24" s="363" t="str">
        <f>Stock_ages_breakdowns!B78</f>
        <v>35-39</v>
      </c>
      <c r="C24" s="331">
        <f>Stock_ages_breakdowns!AM23</f>
        <v>409.66381267742304</v>
      </c>
      <c r="D24" s="331">
        <f>Stock_ages_breakdowns!AN23</f>
        <v>831.40341177058588</v>
      </c>
    </row>
    <row r="25" spans="1:9">
      <c r="B25" s="363" t="str">
        <f>Stock_ages_breakdowns!B79</f>
        <v>40-44</v>
      </c>
      <c r="C25" s="331">
        <f>Stock_ages_breakdowns!AM24</f>
        <v>363.08363902167213</v>
      </c>
      <c r="D25" s="331">
        <f>Stock_ages_breakdowns!AN24</f>
        <v>710.91822666128462</v>
      </c>
    </row>
    <row r="26" spans="1:9">
      <c r="B26" s="363" t="str">
        <f>Stock_ages_breakdowns!B80</f>
        <v>45-49</v>
      </c>
      <c r="C26" s="331">
        <f>Stock_ages_breakdowns!AM25</f>
        <v>266.5882171988257</v>
      </c>
      <c r="D26" s="331">
        <f>Stock_ages_breakdowns!AN25</f>
        <v>437.30627661916014</v>
      </c>
    </row>
    <row r="27" spans="1:9">
      <c r="B27" s="363" t="str">
        <f>Stock_ages_breakdowns!B81</f>
        <v>50-54</v>
      </c>
      <c r="C27" s="331">
        <f>Stock_ages_breakdowns!AM26</f>
        <v>255.68005645057963</v>
      </c>
      <c r="D27" s="331">
        <f>Stock_ages_breakdowns!AN26</f>
        <v>445.19099605388715</v>
      </c>
    </row>
    <row r="28" spans="1:9">
      <c r="B28" s="363" t="str">
        <f>Stock_ages_breakdowns!B82</f>
        <v>55-59</v>
      </c>
      <c r="C28" s="331">
        <f>Stock_ages_breakdowns!AM27</f>
        <v>158.20578676276835</v>
      </c>
      <c r="D28" s="331">
        <f>Stock_ages_breakdowns!AN27</f>
        <v>352.1914594630581</v>
      </c>
    </row>
    <row r="29" spans="1:9">
      <c r="B29" s="363" t="str">
        <f>Stock_ages_breakdowns!B83</f>
        <v>60-64</v>
      </c>
      <c r="C29" s="331">
        <f>Stock_ages_breakdowns!AM28</f>
        <v>66.33691933840889</v>
      </c>
      <c r="D29" s="331">
        <f>Stock_ages_breakdowns!AN28</f>
        <v>93.528913497391699</v>
      </c>
      <c r="F29" s="325"/>
    </row>
    <row r="30" spans="1:9">
      <c r="B30" s="363" t="str">
        <f>Stock_ages_breakdowns!B84</f>
        <v>65 plus</v>
      </c>
      <c r="C30" s="331">
        <f>Stock_ages_breakdowns!AM29</f>
        <v>12.629135106750613</v>
      </c>
      <c r="D30" s="331">
        <f>Stock_ages_breakdowns!AN29</f>
        <v>15.374903250412228</v>
      </c>
      <c r="G30" s="326" t="s">
        <v>49</v>
      </c>
      <c r="H30" s="326" t="s">
        <v>50</v>
      </c>
    </row>
    <row r="31" spans="1:9">
      <c r="A31" s="309">
        <f>I31</f>
        <v>0</v>
      </c>
      <c r="B31" s="363" t="str">
        <f>Stock_ages_breakdowns!B85</f>
        <v>Total</v>
      </c>
      <c r="C31" s="331">
        <f>Stock_ages_breakdowns!AM30</f>
        <v>2306.8637480792449</v>
      </c>
      <c r="D31" s="331">
        <f>Stock_ages_breakdowns!AN30</f>
        <v>5115.5288600109616</v>
      </c>
      <c r="E31" s="327">
        <f>SUM(C31:D31)</f>
        <v>7422.3926080902065</v>
      </c>
      <c r="G31" s="366">
        <f>C31/$E$31</f>
        <v>0.31079786126711029</v>
      </c>
      <c r="H31" s="366">
        <f>D31/$E$31</f>
        <v>0.68920213873288971</v>
      </c>
      <c r="I31" s="309">
        <f>(G31+H31)-1</f>
        <v>0</v>
      </c>
    </row>
    <row r="33" spans="2:14" ht="15.75">
      <c r="B33" s="340" t="s">
        <v>262</v>
      </c>
      <c r="H33" s="325"/>
    </row>
    <row r="34" spans="2:14">
      <c r="H34" s="325"/>
    </row>
    <row r="35" spans="2:14">
      <c r="B35" s="326" t="str">
        <f>B14</f>
        <v>Phase/subject</v>
      </c>
      <c r="C35" s="326" t="str">
        <f>C14</f>
        <v>2016/17</v>
      </c>
      <c r="D35" s="326" t="str">
        <f t="shared" ref="D35:N35" si="0">D14</f>
        <v>2017/18</v>
      </c>
      <c r="E35" s="326" t="str">
        <f t="shared" si="0"/>
        <v>2018/19</v>
      </c>
      <c r="F35" s="326" t="str">
        <f t="shared" si="0"/>
        <v>2019/20</v>
      </c>
      <c r="G35" s="326" t="str">
        <f t="shared" si="0"/>
        <v>2020/21</v>
      </c>
      <c r="H35" s="326" t="str">
        <f t="shared" si="0"/>
        <v>2021/22</v>
      </c>
      <c r="I35" s="326" t="str">
        <f t="shared" si="0"/>
        <v>2022/23</v>
      </c>
      <c r="J35" s="326" t="str">
        <f t="shared" si="0"/>
        <v>2023/24</v>
      </c>
      <c r="K35" s="326" t="str">
        <f t="shared" si="0"/>
        <v>2024/25</v>
      </c>
      <c r="L35" s="326" t="str">
        <f t="shared" si="0"/>
        <v>2025/26</v>
      </c>
      <c r="M35" s="326" t="str">
        <f t="shared" si="0"/>
        <v>2026/27</v>
      </c>
      <c r="N35" s="326" t="str">
        <f t="shared" si="0"/>
        <v>2027/28</v>
      </c>
    </row>
    <row r="36" spans="2:14">
      <c r="B36" s="322" t="str">
        <f>B15</f>
        <v>Religious Education</v>
      </c>
      <c r="C36" s="307">
        <f>Teacher_need_by_subject!C638</f>
        <v>7377.2618621307392</v>
      </c>
      <c r="D36" s="307">
        <f>Teacher_need_by_subject!D638</f>
        <v>7422.7824256240674</v>
      </c>
      <c r="E36" s="307">
        <f>Teacher_need_by_subject!E638</f>
        <v>7500.1802969344735</v>
      </c>
      <c r="F36" s="307">
        <f>Teacher_need_by_subject!F638</f>
        <v>7582.9020625192106</v>
      </c>
      <c r="G36" s="307">
        <f>Teacher_need_by_subject!G638</f>
        <v>7654.767656974067</v>
      </c>
      <c r="H36" s="307">
        <f>Teacher_need_by_subject!H638</f>
        <v>7720.9539954092179</v>
      </c>
      <c r="I36" s="307">
        <f>Teacher_need_by_subject!I638</f>
        <v>7788.0683359980958</v>
      </c>
      <c r="J36" s="307">
        <f>Teacher_need_by_subject!J638</f>
        <v>7848.1363830283999</v>
      </c>
      <c r="K36" s="307">
        <f>Teacher_need_by_subject!K638</f>
        <v>7863.9567848257848</v>
      </c>
      <c r="L36" s="307">
        <f>Teacher_need_by_subject!L638</f>
        <v>7862.2904175380427</v>
      </c>
      <c r="M36" s="307">
        <f>Teacher_need_by_subject!M638</f>
        <v>7847.2755854418974</v>
      </c>
      <c r="N36" s="307">
        <f>Teacher_need_by_subject!N638</f>
        <v>7831.5078431053325</v>
      </c>
    </row>
    <row r="37" spans="2:14">
      <c r="H37" s="325"/>
    </row>
    <row r="38" spans="2:14" ht="15.75">
      <c r="B38" s="340" t="s">
        <v>157</v>
      </c>
      <c r="H38" s="325"/>
    </row>
    <row r="39" spans="2:14">
      <c r="H39" s="325"/>
    </row>
    <row r="40" spans="2:14">
      <c r="B40" s="341" t="s">
        <v>49</v>
      </c>
      <c r="H40" s="325"/>
    </row>
    <row r="41" spans="2:14">
      <c r="H41" s="325"/>
    </row>
    <row r="42" spans="2:14">
      <c r="B42" s="338" t="str">
        <f>B19</f>
        <v>Age group</v>
      </c>
      <c r="C42" s="326" t="str">
        <f>C35</f>
        <v>2016/17</v>
      </c>
      <c r="D42" s="326" t="str">
        <f t="shared" ref="D42:N42" si="1">D35</f>
        <v>2017/18</v>
      </c>
      <c r="E42" s="326" t="str">
        <f t="shared" si="1"/>
        <v>2018/19</v>
      </c>
      <c r="F42" s="326" t="str">
        <f t="shared" si="1"/>
        <v>2019/20</v>
      </c>
      <c r="G42" s="326" t="str">
        <f t="shared" si="1"/>
        <v>2020/21</v>
      </c>
      <c r="H42" s="326" t="str">
        <f t="shared" si="1"/>
        <v>2021/22</v>
      </c>
      <c r="I42" s="326" t="str">
        <f t="shared" si="1"/>
        <v>2022/23</v>
      </c>
      <c r="J42" s="326" t="str">
        <f t="shared" si="1"/>
        <v>2023/24</v>
      </c>
      <c r="K42" s="326" t="str">
        <f t="shared" si="1"/>
        <v>2024/25</v>
      </c>
      <c r="L42" s="326" t="str">
        <f t="shared" si="1"/>
        <v>2025/26</v>
      </c>
      <c r="M42" s="326" t="str">
        <f t="shared" si="1"/>
        <v>2026/27</v>
      </c>
      <c r="N42" s="326" t="str">
        <f t="shared" si="1"/>
        <v>2027/28</v>
      </c>
    </row>
    <row r="43" spans="2:14">
      <c r="B43" s="363" t="str">
        <f>B21</f>
        <v>20-24</v>
      </c>
      <c r="C43" s="307">
        <f>C21</f>
        <v>85.483383341991811</v>
      </c>
      <c r="D43" s="307">
        <f>C340</f>
        <v>123.15472570127473</v>
      </c>
      <c r="E43" s="307">
        <f t="shared" ref="E43:L43" si="2">D340</f>
        <v>155.54161223031718</v>
      </c>
      <c r="F43" s="307">
        <f t="shared" si="2"/>
        <v>180.4381460002823</v>
      </c>
      <c r="G43" s="307">
        <f t="shared" si="2"/>
        <v>198.39429591951267</v>
      </c>
      <c r="H43" s="307">
        <f t="shared" si="2"/>
        <v>210.39183767540368</v>
      </c>
      <c r="I43" s="307">
        <f t="shared" si="2"/>
        <v>218.66656034139612</v>
      </c>
      <c r="J43" s="307">
        <f t="shared" si="2"/>
        <v>224.92581242346111</v>
      </c>
      <c r="K43" s="307">
        <f t="shared" si="2"/>
        <v>229.22954815951522</v>
      </c>
      <c r="L43" s="307">
        <f t="shared" si="2"/>
        <v>229.17223839265759</v>
      </c>
      <c r="M43" s="307">
        <f>L340</f>
        <v>227.82933500279256</v>
      </c>
      <c r="N43" s="307">
        <f>M340</f>
        <v>225.79226000813691</v>
      </c>
    </row>
    <row r="44" spans="2:14">
      <c r="B44" s="363" t="str">
        <f t="shared" ref="B44:C53" si="3">B22</f>
        <v>25-29</v>
      </c>
      <c r="C44" s="307">
        <f t="shared" si="3"/>
        <v>296.18238392438042</v>
      </c>
      <c r="D44" s="307">
        <f t="shared" ref="D44:K53" si="4">C341</f>
        <v>296.93940905057485</v>
      </c>
      <c r="E44" s="307">
        <f t="shared" si="4"/>
        <v>310.10848191673864</v>
      </c>
      <c r="F44" s="307">
        <f t="shared" si="4"/>
        <v>327.55296627096232</v>
      </c>
      <c r="G44" s="307">
        <f t="shared" si="4"/>
        <v>345.10336995372921</v>
      </c>
      <c r="H44" s="307">
        <f t="shared" si="4"/>
        <v>360.41579697603521</v>
      </c>
      <c r="I44" s="307">
        <f t="shared" si="4"/>
        <v>373.54103596801525</v>
      </c>
      <c r="J44" s="307">
        <f t="shared" si="4"/>
        <v>385.04285410357386</v>
      </c>
      <c r="K44" s="307">
        <f t="shared" si="4"/>
        <v>394.4502208388144</v>
      </c>
      <c r="L44" s="307">
        <f t="shared" ref="L44:L53" si="5">K341</f>
        <v>398.89760487674323</v>
      </c>
      <c r="M44" s="307">
        <f t="shared" ref="M44:M53" si="6">L341</f>
        <v>400.79869769094705</v>
      </c>
      <c r="N44" s="307">
        <f t="shared" ref="N44:N53" si="7">M341</f>
        <v>400.82909800193721</v>
      </c>
    </row>
    <row r="45" spans="2:14">
      <c r="B45" s="363" t="str">
        <f t="shared" si="3"/>
        <v>30-34</v>
      </c>
      <c r="C45" s="307">
        <f t="shared" si="3"/>
        <v>393.01041425644451</v>
      </c>
      <c r="D45" s="307">
        <f t="shared" si="4"/>
        <v>382.21277788111445</v>
      </c>
      <c r="E45" s="307">
        <f t="shared" si="4"/>
        <v>377.09400617641836</v>
      </c>
      <c r="F45" s="307">
        <f t="shared" si="4"/>
        <v>376.65072630758328</v>
      </c>
      <c r="G45" s="307">
        <f t="shared" si="4"/>
        <v>379.69441056668171</v>
      </c>
      <c r="H45" s="307">
        <f t="shared" si="4"/>
        <v>384.85458483680816</v>
      </c>
      <c r="I45" s="307">
        <f t="shared" si="4"/>
        <v>391.45224718338181</v>
      </c>
      <c r="J45" s="307">
        <f t="shared" si="4"/>
        <v>399.04581816597033</v>
      </c>
      <c r="K45" s="307">
        <f t="shared" si="4"/>
        <v>406.8157730141304</v>
      </c>
      <c r="L45" s="307">
        <f t="shared" si="5"/>
        <v>412.80251072527079</v>
      </c>
      <c r="M45" s="307">
        <f t="shared" si="6"/>
        <v>417.45800159541068</v>
      </c>
      <c r="N45" s="307">
        <f t="shared" si="7"/>
        <v>420.75183728123181</v>
      </c>
    </row>
    <row r="46" spans="2:14">
      <c r="B46" s="363" t="str">
        <f t="shared" si="3"/>
        <v>35-39</v>
      </c>
      <c r="C46" s="307">
        <f t="shared" si="3"/>
        <v>409.66381267742304</v>
      </c>
      <c r="D46" s="307">
        <f t="shared" si="4"/>
        <v>403.57680674839003</v>
      </c>
      <c r="E46" s="307">
        <f t="shared" si="4"/>
        <v>399.01741996264167</v>
      </c>
      <c r="F46" s="307">
        <f t="shared" si="4"/>
        <v>395.30219869160726</v>
      </c>
      <c r="G46" s="307">
        <f t="shared" si="4"/>
        <v>392.50928555397661</v>
      </c>
      <c r="H46" s="307">
        <f t="shared" si="4"/>
        <v>390.69077828440373</v>
      </c>
      <c r="I46" s="307">
        <f t="shared" si="4"/>
        <v>390.1921604504297</v>
      </c>
      <c r="J46" s="307">
        <f t="shared" si="4"/>
        <v>391.18671245911122</v>
      </c>
      <c r="K46" s="307">
        <f t="shared" si="4"/>
        <v>393.2971001776088</v>
      </c>
      <c r="L46" s="307">
        <f t="shared" si="5"/>
        <v>395.1889264547824</v>
      </c>
      <c r="M46" s="307">
        <f t="shared" si="6"/>
        <v>397.25159774289</v>
      </c>
      <c r="N46" s="307">
        <f t="shared" si="7"/>
        <v>399.27443169133289</v>
      </c>
    </row>
    <row r="47" spans="2:14">
      <c r="B47" s="363" t="str">
        <f t="shared" si="3"/>
        <v>40-44</v>
      </c>
      <c r="C47" s="307">
        <f t="shared" si="3"/>
        <v>363.08363902167213</v>
      </c>
      <c r="D47" s="307">
        <f t="shared" si="4"/>
        <v>365.95660441169576</v>
      </c>
      <c r="E47" s="307">
        <f t="shared" si="4"/>
        <v>368.72278493045712</v>
      </c>
      <c r="F47" s="307">
        <f t="shared" si="4"/>
        <v>370.50731296849085</v>
      </c>
      <c r="G47" s="307">
        <f t="shared" si="4"/>
        <v>371.20902687590859</v>
      </c>
      <c r="H47" s="307">
        <f t="shared" si="4"/>
        <v>370.95512760852739</v>
      </c>
      <c r="I47" s="307">
        <f t="shared" si="4"/>
        <v>370.33927097356207</v>
      </c>
      <c r="J47" s="307">
        <f t="shared" si="4"/>
        <v>369.90320071883298</v>
      </c>
      <c r="K47" s="307">
        <f t="shared" si="4"/>
        <v>369.71315949526252</v>
      </c>
      <c r="L47" s="307">
        <f t="shared" si="5"/>
        <v>368.96810767115028</v>
      </c>
      <c r="M47" s="307">
        <f t="shared" si="6"/>
        <v>368.350883631432</v>
      </c>
      <c r="N47" s="307">
        <f t="shared" si="7"/>
        <v>367.93134874225871</v>
      </c>
    </row>
    <row r="48" spans="2:14">
      <c r="B48" s="363" t="str">
        <f t="shared" si="3"/>
        <v>45-49</v>
      </c>
      <c r="C48" s="307">
        <f t="shared" si="3"/>
        <v>266.5882171988257</v>
      </c>
      <c r="D48" s="307">
        <f t="shared" si="4"/>
        <v>279.09080546082356</v>
      </c>
      <c r="E48" s="307">
        <f t="shared" si="4"/>
        <v>290.23413907168595</v>
      </c>
      <c r="F48" s="307">
        <f t="shared" si="4"/>
        <v>299.41231082592935</v>
      </c>
      <c r="G48" s="307">
        <f t="shared" si="4"/>
        <v>306.55596098726352</v>
      </c>
      <c r="H48" s="307">
        <f t="shared" si="4"/>
        <v>311.74486503849522</v>
      </c>
      <c r="I48" s="307">
        <f t="shared" si="4"/>
        <v>315.45066527055815</v>
      </c>
      <c r="J48" s="307">
        <f t="shared" si="4"/>
        <v>318.1589655607757</v>
      </c>
      <c r="K48" s="307">
        <f t="shared" si="4"/>
        <v>320.0339054005662</v>
      </c>
      <c r="L48" s="307">
        <f t="shared" si="5"/>
        <v>320.58782890007336</v>
      </c>
      <c r="M48" s="307">
        <f t="shared" si="6"/>
        <v>320.52858093089668</v>
      </c>
      <c r="N48" s="307">
        <f t="shared" si="7"/>
        <v>320.09747243806015</v>
      </c>
    </row>
    <row r="49" spans="1:14">
      <c r="B49" s="363" t="str">
        <f t="shared" si="3"/>
        <v>50-54</v>
      </c>
      <c r="C49" s="307">
        <f t="shared" si="3"/>
        <v>255.68005645057963</v>
      </c>
      <c r="D49" s="307">
        <f t="shared" si="4"/>
        <v>241.12032782728545</v>
      </c>
      <c r="E49" s="307">
        <f t="shared" si="4"/>
        <v>234.00162744294397</v>
      </c>
      <c r="F49" s="307">
        <f t="shared" si="4"/>
        <v>231.25033623998493</v>
      </c>
      <c r="G49" s="307">
        <f t="shared" si="4"/>
        <v>230.96309300489119</v>
      </c>
      <c r="H49" s="307">
        <f t="shared" si="4"/>
        <v>231.88123158227208</v>
      </c>
      <c r="I49" s="307">
        <f t="shared" si="4"/>
        <v>233.40733634880002</v>
      </c>
      <c r="J49" s="307">
        <f t="shared" si="4"/>
        <v>235.22088369505485</v>
      </c>
      <c r="K49" s="307">
        <f t="shared" si="4"/>
        <v>236.96536402742058</v>
      </c>
      <c r="L49" s="307">
        <f t="shared" si="5"/>
        <v>237.96193866572517</v>
      </c>
      <c r="M49" s="307">
        <f t="shared" si="6"/>
        <v>238.52887634058766</v>
      </c>
      <c r="N49" s="307">
        <f t="shared" si="7"/>
        <v>238.72187554200539</v>
      </c>
    </row>
    <row r="50" spans="1:14">
      <c r="B50" s="363" t="str">
        <f t="shared" si="3"/>
        <v>55-59</v>
      </c>
      <c r="C50" s="307">
        <f t="shared" si="3"/>
        <v>158.20578676276835</v>
      </c>
      <c r="D50" s="307">
        <f t="shared" si="4"/>
        <v>139.44071664738146</v>
      </c>
      <c r="E50" s="307">
        <f t="shared" si="4"/>
        <v>126.86633910175036</v>
      </c>
      <c r="F50" s="307">
        <f t="shared" si="4"/>
        <v>118.59113212331476</v>
      </c>
      <c r="G50" s="307">
        <f t="shared" si="4"/>
        <v>113.30746133351987</v>
      </c>
      <c r="H50" s="307">
        <f t="shared" si="4"/>
        <v>110.03328288197183</v>
      </c>
      <c r="I50" s="307">
        <f t="shared" si="4"/>
        <v>108.19439272407466</v>
      </c>
      <c r="J50" s="307">
        <f t="shared" si="4"/>
        <v>107.37646726927012</v>
      </c>
      <c r="K50" s="307">
        <f t="shared" si="4"/>
        <v>107.1404369061996</v>
      </c>
      <c r="L50" s="307">
        <f t="shared" si="5"/>
        <v>106.86421637884688</v>
      </c>
      <c r="M50" s="307">
        <f t="shared" si="6"/>
        <v>106.68374428975677</v>
      </c>
      <c r="N50" s="307">
        <f t="shared" si="7"/>
        <v>106.52445557401549</v>
      </c>
    </row>
    <row r="51" spans="1:14">
      <c r="B51" s="363" t="str">
        <f t="shared" si="3"/>
        <v>60-64</v>
      </c>
      <c r="C51" s="307">
        <f t="shared" si="3"/>
        <v>66.33691933840889</v>
      </c>
      <c r="D51" s="307">
        <f t="shared" si="4"/>
        <v>54.851135114245537</v>
      </c>
      <c r="E51" s="307">
        <f t="shared" si="4"/>
        <v>47.400550386365261</v>
      </c>
      <c r="F51" s="307">
        <f t="shared" si="4"/>
        <v>42.409039034005616</v>
      </c>
      <c r="G51" s="307">
        <f t="shared" si="4"/>
        <v>39.02084782588804</v>
      </c>
      <c r="H51" s="307">
        <f t="shared" si="4"/>
        <v>36.70275422505118</v>
      </c>
      <c r="I51" s="307">
        <f t="shared" si="4"/>
        <v>35.174596823502043</v>
      </c>
      <c r="J51" s="307">
        <f t="shared" si="4"/>
        <v>34.239279831972816</v>
      </c>
      <c r="K51" s="307">
        <f t="shared" si="4"/>
        <v>33.680419414620218</v>
      </c>
      <c r="L51" s="307">
        <f t="shared" si="5"/>
        <v>33.189553241572149</v>
      </c>
      <c r="M51" s="307">
        <f t="shared" si="6"/>
        <v>32.839349164562826</v>
      </c>
      <c r="N51" s="307">
        <f t="shared" si="7"/>
        <v>32.582182523512678</v>
      </c>
    </row>
    <row r="52" spans="1:14">
      <c r="B52" s="363" t="str">
        <f t="shared" si="3"/>
        <v>65 plus</v>
      </c>
      <c r="C52" s="307">
        <f t="shared" si="3"/>
        <v>12.629135106750613</v>
      </c>
      <c r="D52" s="307">
        <f t="shared" si="4"/>
        <v>14.880238081576667</v>
      </c>
      <c r="E52" s="307">
        <f t="shared" si="4"/>
        <v>14.941201924941167</v>
      </c>
      <c r="F52" s="307">
        <f t="shared" si="4"/>
        <v>14.201225539548108</v>
      </c>
      <c r="G52" s="307">
        <f t="shared" si="4"/>
        <v>13.270331227874957</v>
      </c>
      <c r="H52" s="307">
        <f t="shared" si="4"/>
        <v>12.393493016029556</v>
      </c>
      <c r="I52" s="307">
        <f t="shared" si="4"/>
        <v>11.66885669077168</v>
      </c>
      <c r="J52" s="307">
        <f t="shared" si="4"/>
        <v>11.120808500611279</v>
      </c>
      <c r="K52" s="307">
        <f t="shared" si="4"/>
        <v>10.723324936609723</v>
      </c>
      <c r="L52" s="307">
        <f t="shared" si="5"/>
        <v>10.401205171880827</v>
      </c>
      <c r="M52" s="307">
        <f t="shared" si="6"/>
        <v>10.155168613777995</v>
      </c>
      <c r="N52" s="307">
        <f t="shared" si="7"/>
        <v>9.9685821374986752</v>
      </c>
    </row>
    <row r="53" spans="1:14">
      <c r="B53" s="363" t="str">
        <f t="shared" si="3"/>
        <v>Total</v>
      </c>
      <c r="C53" s="307">
        <f t="shared" si="3"/>
        <v>2306.8637480792449</v>
      </c>
      <c r="D53" s="307">
        <f t="shared" si="4"/>
        <v>2301.2235469243628</v>
      </c>
      <c r="E53" s="307">
        <f t="shared" si="4"/>
        <v>2323.92816314426</v>
      </c>
      <c r="F53" s="307">
        <f t="shared" si="4"/>
        <v>2356.3153940017087</v>
      </c>
      <c r="G53" s="307">
        <f t="shared" si="4"/>
        <v>2390.0280832492467</v>
      </c>
      <c r="H53" s="307">
        <f t="shared" si="4"/>
        <v>2420.0637521249978</v>
      </c>
      <c r="I53" s="307">
        <f t="shared" si="4"/>
        <v>2448.087122774491</v>
      </c>
      <c r="J53" s="307">
        <f t="shared" si="4"/>
        <v>2476.2208027286347</v>
      </c>
      <c r="K53" s="307">
        <f t="shared" si="4"/>
        <v>2502.0492523707476</v>
      </c>
      <c r="L53" s="307">
        <f t="shared" si="5"/>
        <v>2514.0341304787025</v>
      </c>
      <c r="M53" s="307">
        <f t="shared" si="6"/>
        <v>2520.4242350030545</v>
      </c>
      <c r="N53" s="307">
        <f t="shared" si="7"/>
        <v>2522.4735439399897</v>
      </c>
    </row>
    <row r="54" spans="1:14">
      <c r="A54" s="309">
        <f>SUM(C54:N54)</f>
        <v>0</v>
      </c>
      <c r="C54" s="309">
        <f>SUM(C43:C52)-C53</f>
        <v>0</v>
      </c>
      <c r="D54" s="309">
        <f t="shared" ref="D54:N54" si="8">SUM(D43:D52)-D53</f>
        <v>0</v>
      </c>
      <c r="E54" s="309">
        <f t="shared" si="8"/>
        <v>0</v>
      </c>
      <c r="F54" s="309">
        <f t="shared" si="8"/>
        <v>0</v>
      </c>
      <c r="G54" s="309">
        <f t="shared" si="8"/>
        <v>0</v>
      </c>
      <c r="H54" s="309">
        <f t="shared" si="8"/>
        <v>0</v>
      </c>
      <c r="I54" s="309">
        <f t="shared" si="8"/>
        <v>0</v>
      </c>
      <c r="J54" s="309">
        <f t="shared" si="8"/>
        <v>0</v>
      </c>
      <c r="K54" s="309">
        <f t="shared" si="8"/>
        <v>0</v>
      </c>
      <c r="L54" s="309">
        <f t="shared" si="8"/>
        <v>0</v>
      </c>
      <c r="M54" s="309">
        <f t="shared" si="8"/>
        <v>0</v>
      </c>
      <c r="N54" s="309">
        <f t="shared" si="8"/>
        <v>0</v>
      </c>
    </row>
    <row r="56" spans="1:14">
      <c r="B56" s="341" t="s">
        <v>50</v>
      </c>
      <c r="H56" s="325"/>
    </row>
    <row r="57" spans="1:14">
      <c r="H57" s="325"/>
    </row>
    <row r="58" spans="1:14">
      <c r="B58" s="338" t="str">
        <f t="shared" ref="B58:B69" si="9">B42</f>
        <v>Age group</v>
      </c>
      <c r="C58" s="338" t="str">
        <f t="shared" ref="C58:N58" si="10">C42</f>
        <v>2016/17</v>
      </c>
      <c r="D58" s="338" t="str">
        <f t="shared" si="10"/>
        <v>2017/18</v>
      </c>
      <c r="E58" s="338" t="str">
        <f t="shared" si="10"/>
        <v>2018/19</v>
      </c>
      <c r="F58" s="338" t="str">
        <f t="shared" si="10"/>
        <v>2019/20</v>
      </c>
      <c r="G58" s="338" t="str">
        <f t="shared" si="10"/>
        <v>2020/21</v>
      </c>
      <c r="H58" s="338" t="str">
        <f t="shared" si="10"/>
        <v>2021/22</v>
      </c>
      <c r="I58" s="338" t="str">
        <f t="shared" si="10"/>
        <v>2022/23</v>
      </c>
      <c r="J58" s="338" t="str">
        <f t="shared" si="10"/>
        <v>2023/24</v>
      </c>
      <c r="K58" s="338" t="str">
        <f t="shared" si="10"/>
        <v>2024/25</v>
      </c>
      <c r="L58" s="338" t="str">
        <f t="shared" si="10"/>
        <v>2025/26</v>
      </c>
      <c r="M58" s="338" t="str">
        <f t="shared" si="10"/>
        <v>2026/27</v>
      </c>
      <c r="N58" s="338" t="str">
        <f t="shared" si="10"/>
        <v>2027/28</v>
      </c>
    </row>
    <row r="59" spans="1:14">
      <c r="B59" s="338" t="str">
        <f t="shared" si="9"/>
        <v>20-24</v>
      </c>
      <c r="C59" s="307">
        <f t="shared" ref="C59:C69" si="11">D21</f>
        <v>303.08226254803066</v>
      </c>
      <c r="D59" s="307">
        <f>C356</f>
        <v>354.16122965940622</v>
      </c>
      <c r="E59" s="307">
        <f t="shared" ref="E59:L59" si="12">D356</f>
        <v>402.85866631492502</v>
      </c>
      <c r="F59" s="307">
        <f t="shared" si="12"/>
        <v>441.60213886855462</v>
      </c>
      <c r="G59" s="307">
        <f t="shared" si="12"/>
        <v>469.69674930703138</v>
      </c>
      <c r="H59" s="307">
        <f t="shared" si="12"/>
        <v>487.95433917530806</v>
      </c>
      <c r="I59" s="307">
        <f t="shared" si="12"/>
        <v>500.35974199259198</v>
      </c>
      <c r="J59" s="307">
        <f t="shared" si="12"/>
        <v>510.00688106204552</v>
      </c>
      <c r="K59" s="307">
        <f t="shared" si="12"/>
        <v>516.53646852824386</v>
      </c>
      <c r="L59" s="307">
        <f t="shared" si="12"/>
        <v>514.26307735911189</v>
      </c>
      <c r="M59" s="307">
        <f>L356</f>
        <v>509.75394197982848</v>
      </c>
      <c r="N59" s="307">
        <f>M356</f>
        <v>504.14310045540191</v>
      </c>
    </row>
    <row r="60" spans="1:14">
      <c r="B60" s="338" t="str">
        <f t="shared" si="9"/>
        <v>25-29</v>
      </c>
      <c r="C60" s="307">
        <f t="shared" si="11"/>
        <v>1012.0368005332734</v>
      </c>
      <c r="D60" s="307">
        <f t="shared" ref="D60:L69" si="13">C357</f>
        <v>932.99449857808054</v>
      </c>
      <c r="E60" s="307">
        <f t="shared" si="13"/>
        <v>897.51766973601309</v>
      </c>
      <c r="F60" s="307">
        <f t="shared" si="13"/>
        <v>884.72593642162269</v>
      </c>
      <c r="G60" s="307">
        <f t="shared" si="13"/>
        <v>882.94004512575623</v>
      </c>
      <c r="H60" s="307">
        <f t="shared" si="13"/>
        <v>884.9000389286017</v>
      </c>
      <c r="I60" s="307">
        <f t="shared" si="13"/>
        <v>888.99993791330348</v>
      </c>
      <c r="J60" s="307">
        <f t="shared" si="13"/>
        <v>895.05640486594211</v>
      </c>
      <c r="K60" s="307">
        <f t="shared" si="13"/>
        <v>900.84453951587216</v>
      </c>
      <c r="L60" s="307">
        <f t="shared" ref="L60:L68" si="14">K357</f>
        <v>899.06895953130561</v>
      </c>
      <c r="M60" s="307">
        <f t="shared" ref="M60:N69" si="15">L357</f>
        <v>894.3805247651668</v>
      </c>
      <c r="N60" s="307">
        <f t="shared" ref="N60:N67" si="16">M357</f>
        <v>887.67962713682232</v>
      </c>
    </row>
    <row r="61" spans="1:14">
      <c r="B61" s="338" t="str">
        <f t="shared" si="9"/>
        <v>30-34</v>
      </c>
      <c r="C61" s="307">
        <f t="shared" si="11"/>
        <v>914.49560961387795</v>
      </c>
      <c r="D61" s="307">
        <f t="shared" si="13"/>
        <v>923.57449727897676</v>
      </c>
      <c r="E61" s="307">
        <f t="shared" si="13"/>
        <v>922.06418856858147</v>
      </c>
      <c r="F61" s="307">
        <f t="shared" si="13"/>
        <v>916.53744975681809</v>
      </c>
      <c r="G61" s="307">
        <f t="shared" si="13"/>
        <v>910.39843877492933</v>
      </c>
      <c r="H61" s="307">
        <f t="shared" si="13"/>
        <v>904.67208754053956</v>
      </c>
      <c r="I61" s="307">
        <f t="shared" si="13"/>
        <v>900.52939204693951</v>
      </c>
      <c r="J61" s="307">
        <f t="shared" si="13"/>
        <v>898.66133190096696</v>
      </c>
      <c r="K61" s="307">
        <f t="shared" si="13"/>
        <v>898.22180924870986</v>
      </c>
      <c r="L61" s="307">
        <f t="shared" si="14"/>
        <v>895.39986998281199</v>
      </c>
      <c r="M61" s="307">
        <f t="shared" si="15"/>
        <v>891.53242944205999</v>
      </c>
      <c r="N61" s="307">
        <f t="shared" si="16"/>
        <v>886.62261169505268</v>
      </c>
    </row>
    <row r="62" spans="1:14">
      <c r="B62" s="338" t="str">
        <f t="shared" si="9"/>
        <v>35-39</v>
      </c>
      <c r="C62" s="307">
        <f t="shared" si="11"/>
        <v>831.40341177058588</v>
      </c>
      <c r="D62" s="307">
        <f t="shared" si="13"/>
        <v>830.63068254745281</v>
      </c>
      <c r="E62" s="307">
        <f t="shared" si="13"/>
        <v>836.22805384464027</v>
      </c>
      <c r="F62" s="307">
        <f t="shared" si="13"/>
        <v>841.53728104759284</v>
      </c>
      <c r="G62" s="307">
        <f t="shared" si="13"/>
        <v>844.59439564713261</v>
      </c>
      <c r="H62" s="307">
        <f t="shared" si="13"/>
        <v>845.06000223692263</v>
      </c>
      <c r="I62" s="307">
        <f t="shared" si="13"/>
        <v>844.12197832466256</v>
      </c>
      <c r="J62" s="307">
        <f t="shared" si="13"/>
        <v>842.96198525300895</v>
      </c>
      <c r="K62" s="307">
        <f t="shared" si="13"/>
        <v>841.63539672580919</v>
      </c>
      <c r="L62" s="307">
        <f t="shared" si="14"/>
        <v>838.03610905482481</v>
      </c>
      <c r="M62" s="307">
        <f t="shared" si="15"/>
        <v>833.80941503544511</v>
      </c>
      <c r="N62" s="307">
        <f t="shared" si="16"/>
        <v>829.1096065095951</v>
      </c>
    </row>
    <row r="63" spans="1:14">
      <c r="B63" s="338" t="str">
        <f t="shared" si="9"/>
        <v>40-44</v>
      </c>
      <c r="C63" s="307">
        <f t="shared" si="11"/>
        <v>710.91822666128462</v>
      </c>
      <c r="D63" s="307">
        <f t="shared" si="13"/>
        <v>722.39120639372595</v>
      </c>
      <c r="E63" s="307">
        <f t="shared" si="13"/>
        <v>734.62646225199569</v>
      </c>
      <c r="F63" s="307">
        <f t="shared" si="13"/>
        <v>745.9700594777006</v>
      </c>
      <c r="G63" s="307">
        <f t="shared" si="13"/>
        <v>755.47153988534171</v>
      </c>
      <c r="H63" s="307">
        <f t="shared" si="13"/>
        <v>762.48317627061465</v>
      </c>
      <c r="I63" s="307">
        <f t="shared" si="13"/>
        <v>767.5492513140689</v>
      </c>
      <c r="J63" s="307">
        <f t="shared" si="13"/>
        <v>771.37099532837669</v>
      </c>
      <c r="K63" s="307">
        <f t="shared" si="13"/>
        <v>773.86653227891952</v>
      </c>
      <c r="L63" s="307">
        <f t="shared" si="14"/>
        <v>773.25561904534254</v>
      </c>
      <c r="M63" s="307">
        <f t="shared" si="15"/>
        <v>771.22001392472112</v>
      </c>
      <c r="N63" s="307">
        <f t="shared" si="16"/>
        <v>768.17374920385544</v>
      </c>
    </row>
    <row r="64" spans="1:14">
      <c r="B64" s="338" t="str">
        <f t="shared" si="9"/>
        <v>45-49</v>
      </c>
      <c r="C64" s="307">
        <f t="shared" si="11"/>
        <v>437.30627661916014</v>
      </c>
      <c r="D64" s="307">
        <f t="shared" si="13"/>
        <v>487.1631775429272</v>
      </c>
      <c r="E64" s="307">
        <f t="shared" si="13"/>
        <v>529.03585328277813</v>
      </c>
      <c r="F64" s="307">
        <f t="shared" si="13"/>
        <v>563.08529874318185</v>
      </c>
      <c r="G64" s="307">
        <f t="shared" si="13"/>
        <v>590.31948079660492</v>
      </c>
      <c r="H64" s="307">
        <f t="shared" si="13"/>
        <v>611.63633512259742</v>
      </c>
      <c r="I64" s="307">
        <f t="shared" si="13"/>
        <v>628.44055229556864</v>
      </c>
      <c r="J64" s="307">
        <f t="shared" si="13"/>
        <v>641.92861459796666</v>
      </c>
      <c r="K64" s="307">
        <f t="shared" si="13"/>
        <v>652.45831107373249</v>
      </c>
      <c r="L64" s="307">
        <f t="shared" si="14"/>
        <v>658.90099799725886</v>
      </c>
      <c r="M64" s="307">
        <f t="shared" si="15"/>
        <v>662.79335571852016</v>
      </c>
      <c r="N64" s="307">
        <f t="shared" si="16"/>
        <v>664.67387748092665</v>
      </c>
    </row>
    <row r="65" spans="1:14">
      <c r="B65" s="338" t="str">
        <f t="shared" si="9"/>
        <v>50-54</v>
      </c>
      <c r="C65" s="307">
        <f t="shared" si="11"/>
        <v>445.19099605388715</v>
      </c>
      <c r="D65" s="307">
        <f t="shared" si="13"/>
        <v>419.326579849231</v>
      </c>
      <c r="E65" s="307">
        <f t="shared" si="13"/>
        <v>412.08546003166992</v>
      </c>
      <c r="F65" s="307">
        <f t="shared" si="13"/>
        <v>415.11937969305694</v>
      </c>
      <c r="G65" s="307">
        <f t="shared" si="13"/>
        <v>423.40234011602246</v>
      </c>
      <c r="H65" s="307">
        <f t="shared" si="13"/>
        <v>433.78707216349284</v>
      </c>
      <c r="I65" s="307">
        <f t="shared" si="13"/>
        <v>444.82996061288031</v>
      </c>
      <c r="J65" s="307">
        <f t="shared" si="13"/>
        <v>455.80189910545528</v>
      </c>
      <c r="K65" s="307">
        <f t="shared" si="13"/>
        <v>465.92151053112411</v>
      </c>
      <c r="L65" s="307">
        <f t="shared" si="14"/>
        <v>473.69042317795777</v>
      </c>
      <c r="M65" s="307">
        <f t="shared" si="15"/>
        <v>479.81488367541658</v>
      </c>
      <c r="N65" s="307">
        <f t="shared" si="16"/>
        <v>484.41046664090567</v>
      </c>
    </row>
    <row r="66" spans="1:14">
      <c r="B66" s="338" t="str">
        <f t="shared" si="9"/>
        <v>55-59</v>
      </c>
      <c r="C66" s="307">
        <f t="shared" si="11"/>
        <v>352.1914594630581</v>
      </c>
      <c r="D66" s="307">
        <f t="shared" si="13"/>
        <v>294.89315490988463</v>
      </c>
      <c r="E66" s="307">
        <f t="shared" si="13"/>
        <v>258.26798644990521</v>
      </c>
      <c r="F66" s="307">
        <f t="shared" si="13"/>
        <v>235.7637502614285</v>
      </c>
      <c r="G66" s="307">
        <f t="shared" si="13"/>
        <v>222.80292710124266</v>
      </c>
      <c r="H66" s="307">
        <f t="shared" si="13"/>
        <v>216.05805381228276</v>
      </c>
      <c r="I66" s="307">
        <f t="shared" si="13"/>
        <v>213.49616957111581</v>
      </c>
      <c r="J66" s="307">
        <f t="shared" si="13"/>
        <v>213.71588256877615</v>
      </c>
      <c r="K66" s="307">
        <f t="shared" si="13"/>
        <v>215.44499944350144</v>
      </c>
      <c r="L66" s="307">
        <f t="shared" si="14"/>
        <v>217.11933326676328</v>
      </c>
      <c r="M66" s="307">
        <f t="shared" si="15"/>
        <v>218.91979229491949</v>
      </c>
      <c r="N66" s="307">
        <f t="shared" si="16"/>
        <v>220.61193321300865</v>
      </c>
    </row>
    <row r="67" spans="1:14">
      <c r="B67" s="338" t="str">
        <f t="shared" si="9"/>
        <v>60-64</v>
      </c>
      <c r="C67" s="307">
        <f t="shared" si="11"/>
        <v>93.528913497391699</v>
      </c>
      <c r="D67" s="307">
        <f t="shared" si="13"/>
        <v>91.822213052257851</v>
      </c>
      <c r="E67" s="307">
        <f t="shared" si="13"/>
        <v>85.226055568414225</v>
      </c>
      <c r="F67" s="307">
        <f t="shared" si="13"/>
        <v>78.247459209098849</v>
      </c>
      <c r="G67" s="307">
        <f t="shared" si="13"/>
        <v>72.493509177766214</v>
      </c>
      <c r="H67" s="307">
        <f t="shared" si="13"/>
        <v>68.257298599501027</v>
      </c>
      <c r="I67" s="307">
        <f t="shared" si="13"/>
        <v>65.502224979573924</v>
      </c>
      <c r="J67" s="307">
        <f t="shared" si="13"/>
        <v>63.993882091068734</v>
      </c>
      <c r="K67" s="307">
        <f t="shared" si="13"/>
        <v>63.305361642151411</v>
      </c>
      <c r="L67" s="307">
        <f t="shared" si="14"/>
        <v>62.759290665005921</v>
      </c>
      <c r="M67" s="307">
        <f t="shared" si="15"/>
        <v>62.522307890072284</v>
      </c>
      <c r="N67" s="307">
        <f t="shared" si="16"/>
        <v>62.472071023590772</v>
      </c>
    </row>
    <row r="68" spans="1:14">
      <c r="B68" s="338" t="str">
        <f t="shared" si="9"/>
        <v>65 plus</v>
      </c>
      <c r="C68" s="307">
        <f t="shared" si="11"/>
        <v>15.374903250412228</v>
      </c>
      <c r="D68" s="307">
        <f t="shared" si="13"/>
        <v>19.081075394434187</v>
      </c>
      <c r="E68" s="307">
        <f t="shared" si="13"/>
        <v>20.943866430885201</v>
      </c>
      <c r="F68" s="307">
        <f t="shared" si="13"/>
        <v>21.27614945371068</v>
      </c>
      <c r="G68" s="307">
        <f t="shared" si="13"/>
        <v>20.754553338137637</v>
      </c>
      <c r="H68" s="307">
        <f t="shared" si="13"/>
        <v>19.895500999209368</v>
      </c>
      <c r="I68" s="307">
        <f t="shared" si="13"/>
        <v>19.037663584022223</v>
      </c>
      <c r="J68" s="307">
        <f t="shared" si="13"/>
        <v>18.349656495855534</v>
      </c>
      <c r="K68" s="307">
        <f t="shared" si="13"/>
        <v>17.852201669589341</v>
      </c>
      <c r="L68" s="307">
        <f t="shared" si="14"/>
        <v>17.428974266700745</v>
      </c>
      <c r="M68" s="307">
        <f t="shared" si="15"/>
        <v>17.11951780883987</v>
      </c>
      <c r="N68" s="307">
        <f t="shared" si="15"/>
        <v>16.904998142749712</v>
      </c>
    </row>
    <row r="69" spans="1:14">
      <c r="B69" s="338" t="str">
        <f t="shared" si="9"/>
        <v>Total</v>
      </c>
      <c r="C69" s="307">
        <f t="shared" si="11"/>
        <v>5115.5288600109616</v>
      </c>
      <c r="D69" s="307">
        <f t="shared" si="13"/>
        <v>5076.0383152063769</v>
      </c>
      <c r="E69" s="307">
        <f t="shared" si="13"/>
        <v>5098.8542624798083</v>
      </c>
      <c r="F69" s="307">
        <f t="shared" si="13"/>
        <v>5143.8649029327653</v>
      </c>
      <c r="G69" s="307">
        <f t="shared" si="13"/>
        <v>5192.8739792699653</v>
      </c>
      <c r="H69" s="307">
        <f t="shared" si="13"/>
        <v>5234.7039048490706</v>
      </c>
      <c r="I69" s="307">
        <f t="shared" si="13"/>
        <v>5272.8668726347269</v>
      </c>
      <c r="J69" s="307">
        <f t="shared" si="13"/>
        <v>5311.8475332694634</v>
      </c>
      <c r="K69" s="307">
        <f t="shared" si="13"/>
        <v>5346.0871306576537</v>
      </c>
      <c r="L69" s="307">
        <f t="shared" si="13"/>
        <v>5349.9226543470841</v>
      </c>
      <c r="M69" s="307">
        <f t="shared" si="15"/>
        <v>5341.8661825349891</v>
      </c>
      <c r="N69" s="307">
        <f t="shared" si="15"/>
        <v>5324.8020415019082</v>
      </c>
    </row>
    <row r="70" spans="1:14">
      <c r="A70" s="309">
        <f>SUM(C70:N70)</f>
        <v>0</v>
      </c>
      <c r="C70" s="309">
        <f>SUM(C59:C68)-C69</f>
        <v>0</v>
      </c>
      <c r="D70" s="309">
        <f t="shared" ref="D70:N70" si="17">SUM(D59:D68)-D69</f>
        <v>0</v>
      </c>
      <c r="E70" s="309">
        <f t="shared" si="17"/>
        <v>0</v>
      </c>
      <c r="F70" s="309">
        <f t="shared" si="17"/>
        <v>0</v>
      </c>
      <c r="G70" s="309">
        <f t="shared" si="17"/>
        <v>0</v>
      </c>
      <c r="H70" s="309">
        <f t="shared" si="17"/>
        <v>0</v>
      </c>
      <c r="I70" s="309">
        <f t="shared" si="17"/>
        <v>0</v>
      </c>
      <c r="J70" s="309">
        <f t="shared" si="17"/>
        <v>0</v>
      </c>
      <c r="K70" s="309">
        <f t="shared" si="17"/>
        <v>0</v>
      </c>
      <c r="L70" s="309">
        <f t="shared" si="17"/>
        <v>0</v>
      </c>
      <c r="M70" s="309">
        <f t="shared" si="17"/>
        <v>0</v>
      </c>
      <c r="N70" s="309">
        <f t="shared" si="17"/>
        <v>0</v>
      </c>
    </row>
    <row r="72" spans="1:14" ht="15.75">
      <c r="B72" s="340" t="s">
        <v>150</v>
      </c>
      <c r="H72" s="325"/>
    </row>
    <row r="73" spans="1:14">
      <c r="H73" s="325"/>
    </row>
    <row r="74" spans="1:14">
      <c r="B74" s="341" t="s">
        <v>49</v>
      </c>
      <c r="C74" s="262" t="s">
        <v>453</v>
      </c>
      <c r="H74" s="325"/>
    </row>
    <row r="75" spans="1:14">
      <c r="H75" s="325"/>
    </row>
    <row r="76" spans="1:14">
      <c r="B76" s="338" t="str">
        <f t="shared" ref="B76:B87" si="18">B42</f>
        <v>Age group</v>
      </c>
      <c r="C76" s="338" t="str">
        <f t="shared" ref="C76:N76" si="19">C42</f>
        <v>2016/17</v>
      </c>
      <c r="D76" s="338" t="str">
        <f t="shared" si="19"/>
        <v>2017/18</v>
      </c>
      <c r="E76" s="338" t="str">
        <f t="shared" si="19"/>
        <v>2018/19</v>
      </c>
      <c r="F76" s="338" t="str">
        <f t="shared" si="19"/>
        <v>2019/20</v>
      </c>
      <c r="G76" s="338" t="str">
        <f t="shared" si="19"/>
        <v>2020/21</v>
      </c>
      <c r="H76" s="338" t="str">
        <f t="shared" si="19"/>
        <v>2021/22</v>
      </c>
      <c r="I76" s="338" t="str">
        <f t="shared" si="19"/>
        <v>2022/23</v>
      </c>
      <c r="J76" s="338" t="str">
        <f t="shared" si="19"/>
        <v>2023/24</v>
      </c>
      <c r="K76" s="338" t="str">
        <f t="shared" si="19"/>
        <v>2024/25</v>
      </c>
      <c r="L76" s="338" t="str">
        <f t="shared" si="19"/>
        <v>2025/26</v>
      </c>
      <c r="M76" s="338" t="str">
        <f t="shared" si="19"/>
        <v>2026/27</v>
      </c>
      <c r="N76" s="338" t="str">
        <f t="shared" si="19"/>
        <v>2027/28</v>
      </c>
    </row>
    <row r="77" spans="1:14">
      <c r="B77" s="338" t="str">
        <f t="shared" si="18"/>
        <v>20-24</v>
      </c>
      <c r="C77" s="459">
        <f>C43-(0.2*C43)</f>
        <v>68.386706673593451</v>
      </c>
      <c r="D77" s="459">
        <f>D43-(0.2*D43)</f>
        <v>98.523780561019777</v>
      </c>
      <c r="E77" s="459">
        <f t="shared" ref="E77:N77" si="20">E43-(0.2*E43)</f>
        <v>124.43328978425374</v>
      </c>
      <c r="F77" s="459">
        <f t="shared" si="20"/>
        <v>144.35051680022585</v>
      </c>
      <c r="G77" s="459">
        <f t="shared" si="20"/>
        <v>158.71543673561013</v>
      </c>
      <c r="H77" s="459">
        <f t="shared" si="20"/>
        <v>168.31347014032295</v>
      </c>
      <c r="I77" s="459">
        <f t="shared" si="20"/>
        <v>174.9332482731169</v>
      </c>
      <c r="J77" s="459">
        <f t="shared" si="20"/>
        <v>179.9406499387689</v>
      </c>
      <c r="K77" s="459">
        <f t="shared" si="20"/>
        <v>183.38363852761216</v>
      </c>
      <c r="L77" s="459">
        <f t="shared" si="20"/>
        <v>183.33779071412607</v>
      </c>
      <c r="M77" s="459">
        <f t="shared" si="20"/>
        <v>182.26346800223405</v>
      </c>
      <c r="N77" s="459">
        <f t="shared" si="20"/>
        <v>180.63380800650953</v>
      </c>
    </row>
    <row r="78" spans="1:14">
      <c r="B78" s="338" t="str">
        <f t="shared" si="18"/>
        <v>25-29</v>
      </c>
      <c r="C78" s="459">
        <f t="shared" ref="C78:C85" si="21">C44+(0.2*C43)-(0.2*C44)</f>
        <v>254.04258380790267</v>
      </c>
      <c r="D78" s="459">
        <f t="shared" ref="D78:N78" si="22">D44+(0.2*D43)-(0.2*D44)</f>
        <v>262.18247238071478</v>
      </c>
      <c r="E78" s="459">
        <f t="shared" si="22"/>
        <v>279.19510797945435</v>
      </c>
      <c r="F78" s="459">
        <f t="shared" si="22"/>
        <v>298.13000221682631</v>
      </c>
      <c r="G78" s="459">
        <f t="shared" si="22"/>
        <v>315.76155514688594</v>
      </c>
      <c r="H78" s="459">
        <f t="shared" si="22"/>
        <v>330.41100511590889</v>
      </c>
      <c r="I78" s="459">
        <f t="shared" si="22"/>
        <v>342.56614084269142</v>
      </c>
      <c r="J78" s="459">
        <f t="shared" si="22"/>
        <v>353.0194457675513</v>
      </c>
      <c r="K78" s="459">
        <f t="shared" si="22"/>
        <v>361.40608630295458</v>
      </c>
      <c r="L78" s="459">
        <f t="shared" si="22"/>
        <v>364.95253157992613</v>
      </c>
      <c r="M78" s="459">
        <f t="shared" si="22"/>
        <v>366.20482515331616</v>
      </c>
      <c r="N78" s="459">
        <f t="shared" si="22"/>
        <v>365.82173040317713</v>
      </c>
    </row>
    <row r="79" spans="1:14">
      <c r="B79" s="338" t="str">
        <f t="shared" si="18"/>
        <v>30-34</v>
      </c>
      <c r="C79" s="459">
        <f t="shared" si="21"/>
        <v>373.64480819003171</v>
      </c>
      <c r="D79" s="459">
        <f t="shared" ref="D79:N79" si="23">D45+(0.2*D44)-(0.2*D45)</f>
        <v>365.15810411500655</v>
      </c>
      <c r="E79" s="459">
        <f t="shared" si="23"/>
        <v>363.69690132448238</v>
      </c>
      <c r="F79" s="459">
        <f t="shared" si="23"/>
        <v>366.83117430025914</v>
      </c>
      <c r="G79" s="459">
        <f t="shared" si="23"/>
        <v>372.77620244409115</v>
      </c>
      <c r="H79" s="459">
        <f t="shared" si="23"/>
        <v>379.9668272646536</v>
      </c>
      <c r="I79" s="459">
        <f t="shared" si="23"/>
        <v>387.87000494030849</v>
      </c>
      <c r="J79" s="459">
        <f t="shared" si="23"/>
        <v>396.24522535349104</v>
      </c>
      <c r="K79" s="459">
        <f t="shared" si="23"/>
        <v>404.34266257906722</v>
      </c>
      <c r="L79" s="459">
        <f t="shared" si="23"/>
        <v>410.02152955556528</v>
      </c>
      <c r="M79" s="459">
        <f t="shared" si="23"/>
        <v>414.12614081451795</v>
      </c>
      <c r="N79" s="459">
        <f t="shared" si="23"/>
        <v>416.76728942537289</v>
      </c>
    </row>
    <row r="80" spans="1:14">
      <c r="B80" s="338" t="str">
        <f t="shared" si="18"/>
        <v>35-39</v>
      </c>
      <c r="C80" s="459">
        <f t="shared" si="21"/>
        <v>406.33313299322731</v>
      </c>
      <c r="D80" s="459">
        <f t="shared" ref="D80:N80" si="24">D46+(0.2*D45)-(0.2*D46)</f>
        <v>399.30400097493492</v>
      </c>
      <c r="E80" s="459">
        <f t="shared" si="24"/>
        <v>394.63273720539701</v>
      </c>
      <c r="F80" s="459">
        <f t="shared" si="24"/>
        <v>391.57190421480249</v>
      </c>
      <c r="G80" s="459">
        <f t="shared" si="24"/>
        <v>389.94631055651769</v>
      </c>
      <c r="H80" s="459">
        <f t="shared" si="24"/>
        <v>389.5235395948846</v>
      </c>
      <c r="I80" s="459">
        <f t="shared" si="24"/>
        <v>390.44417779702007</v>
      </c>
      <c r="J80" s="459">
        <f t="shared" si="24"/>
        <v>392.75853360048308</v>
      </c>
      <c r="K80" s="459">
        <f t="shared" si="24"/>
        <v>396.00083474491316</v>
      </c>
      <c r="L80" s="459">
        <f t="shared" si="24"/>
        <v>398.71164330888007</v>
      </c>
      <c r="M80" s="459">
        <f t="shared" si="24"/>
        <v>401.2928785133941</v>
      </c>
      <c r="N80" s="459">
        <f t="shared" si="24"/>
        <v>403.56991280931271</v>
      </c>
    </row>
    <row r="81" spans="1:14">
      <c r="B81" s="338" t="str">
        <f t="shared" si="18"/>
        <v>40-44</v>
      </c>
      <c r="C81" s="459">
        <f t="shared" si="21"/>
        <v>372.39967375282231</v>
      </c>
      <c r="D81" s="459">
        <f t="shared" ref="D81:N81" si="25">D47+(0.2*D46)-(0.2*D47)</f>
        <v>373.48064487903463</v>
      </c>
      <c r="E81" s="459">
        <f t="shared" si="25"/>
        <v>374.78171193689406</v>
      </c>
      <c r="F81" s="459">
        <f t="shared" si="25"/>
        <v>375.46629011311416</v>
      </c>
      <c r="G81" s="459">
        <f t="shared" si="25"/>
        <v>375.46907861152221</v>
      </c>
      <c r="H81" s="459">
        <f t="shared" si="25"/>
        <v>374.90225774370265</v>
      </c>
      <c r="I81" s="459">
        <f t="shared" si="25"/>
        <v>374.3098488689356</v>
      </c>
      <c r="J81" s="459">
        <f t="shared" si="25"/>
        <v>374.1599030668886</v>
      </c>
      <c r="K81" s="459">
        <f t="shared" si="25"/>
        <v>374.42994763173175</v>
      </c>
      <c r="L81" s="459">
        <f t="shared" si="25"/>
        <v>374.21227142787671</v>
      </c>
      <c r="M81" s="459">
        <f t="shared" si="25"/>
        <v>374.13102645372362</v>
      </c>
      <c r="N81" s="459">
        <f t="shared" si="25"/>
        <v>374.19996533207353</v>
      </c>
    </row>
    <row r="82" spans="1:14">
      <c r="B82" s="338" t="str">
        <f t="shared" si="18"/>
        <v>45-49</v>
      </c>
      <c r="C82" s="459">
        <f t="shared" si="21"/>
        <v>285.88730156339494</v>
      </c>
      <c r="D82" s="459">
        <f t="shared" ref="D82:N82" si="26">D48+(0.2*D47)-(0.2*D48)</f>
        <v>296.463965250998</v>
      </c>
      <c r="E82" s="459">
        <f t="shared" si="26"/>
        <v>305.93186824344019</v>
      </c>
      <c r="F82" s="459">
        <f t="shared" si="26"/>
        <v>313.63131125444164</v>
      </c>
      <c r="G82" s="459">
        <f t="shared" si="26"/>
        <v>319.48657416499253</v>
      </c>
      <c r="H82" s="459">
        <f t="shared" si="26"/>
        <v>323.58691755250169</v>
      </c>
      <c r="I82" s="459">
        <f t="shared" si="26"/>
        <v>326.42838641115895</v>
      </c>
      <c r="J82" s="459">
        <f t="shared" si="26"/>
        <v>328.50781259238715</v>
      </c>
      <c r="K82" s="459">
        <f t="shared" si="26"/>
        <v>329.96975621950548</v>
      </c>
      <c r="L82" s="459">
        <f t="shared" si="26"/>
        <v>330.26388465428874</v>
      </c>
      <c r="M82" s="459">
        <f t="shared" si="26"/>
        <v>330.09304147100374</v>
      </c>
      <c r="N82" s="459">
        <f t="shared" si="26"/>
        <v>329.66424769889989</v>
      </c>
    </row>
    <row r="83" spans="1:14">
      <c r="B83" s="338" t="str">
        <f t="shared" si="18"/>
        <v>50-54</v>
      </c>
      <c r="C83" s="459">
        <f t="shared" si="21"/>
        <v>257.86168860022883</v>
      </c>
      <c r="D83" s="459">
        <f t="shared" ref="D83:N83" si="27">D49+(0.2*D48)-(0.2*D49)</f>
        <v>248.71442335399306</v>
      </c>
      <c r="E83" s="459">
        <f t="shared" si="27"/>
        <v>245.24812976869237</v>
      </c>
      <c r="F83" s="459">
        <f t="shared" si="27"/>
        <v>244.88273115717379</v>
      </c>
      <c r="G83" s="459">
        <f t="shared" si="27"/>
        <v>246.08166660136564</v>
      </c>
      <c r="H83" s="459">
        <f t="shared" si="27"/>
        <v>247.85395827351667</v>
      </c>
      <c r="I83" s="459">
        <f t="shared" si="27"/>
        <v>249.81600213315164</v>
      </c>
      <c r="J83" s="459">
        <f t="shared" si="27"/>
        <v>251.80850006819904</v>
      </c>
      <c r="K83" s="459">
        <f t="shared" si="27"/>
        <v>253.57907230204972</v>
      </c>
      <c r="L83" s="459">
        <f t="shared" si="27"/>
        <v>254.48711671259483</v>
      </c>
      <c r="M83" s="459">
        <f t="shared" si="27"/>
        <v>254.92881725864947</v>
      </c>
      <c r="N83" s="459">
        <f t="shared" si="27"/>
        <v>254.99699492121636</v>
      </c>
    </row>
    <row r="84" spans="1:14">
      <c r="B84" s="338" t="str">
        <f t="shared" si="18"/>
        <v>55-59</v>
      </c>
      <c r="C84" s="459">
        <f t="shared" si="21"/>
        <v>177.70064070033061</v>
      </c>
      <c r="D84" s="459">
        <f t="shared" ref="D84:N84" si="28">D50+(0.2*D49)-(0.2*D50)</f>
        <v>159.77663888336227</v>
      </c>
      <c r="E84" s="459">
        <f t="shared" si="28"/>
        <v>148.2933967699891</v>
      </c>
      <c r="F84" s="459">
        <f t="shared" si="28"/>
        <v>141.12297294664879</v>
      </c>
      <c r="G84" s="459">
        <f t="shared" si="28"/>
        <v>136.83858766779412</v>
      </c>
      <c r="H84" s="459">
        <f t="shared" si="28"/>
        <v>134.40287262203188</v>
      </c>
      <c r="I84" s="459">
        <f t="shared" si="28"/>
        <v>133.23698144901974</v>
      </c>
      <c r="J84" s="459">
        <f t="shared" si="28"/>
        <v>132.94535055442708</v>
      </c>
      <c r="K84" s="459">
        <f t="shared" si="28"/>
        <v>133.10542233044379</v>
      </c>
      <c r="L84" s="459">
        <f t="shared" si="28"/>
        <v>133.08376083622252</v>
      </c>
      <c r="M84" s="459">
        <f t="shared" si="28"/>
        <v>133.05277069992295</v>
      </c>
      <c r="N84" s="459">
        <f t="shared" si="28"/>
        <v>132.96393956761347</v>
      </c>
    </row>
    <row r="85" spans="1:14">
      <c r="B85" s="338" t="str">
        <f t="shared" si="18"/>
        <v>60-64</v>
      </c>
      <c r="C85" s="459">
        <f t="shared" si="21"/>
        <v>84.710692823280795</v>
      </c>
      <c r="D85" s="459">
        <f t="shared" ref="D85:N85" si="29">D51+(0.2*D50)-(0.2*D51)</f>
        <v>71.769051420872728</v>
      </c>
      <c r="E85" s="459">
        <f t="shared" si="29"/>
        <v>63.29370812944228</v>
      </c>
      <c r="F85" s="459">
        <f t="shared" si="29"/>
        <v>57.645457651867453</v>
      </c>
      <c r="G85" s="459">
        <f t="shared" si="29"/>
        <v>53.878170527414404</v>
      </c>
      <c r="H85" s="459">
        <f t="shared" si="29"/>
        <v>51.368859956435308</v>
      </c>
      <c r="I85" s="459">
        <f t="shared" si="29"/>
        <v>49.778556003616565</v>
      </c>
      <c r="J85" s="459">
        <f t="shared" si="29"/>
        <v>48.866717319432283</v>
      </c>
      <c r="K85" s="459">
        <f t="shared" si="29"/>
        <v>48.372422912936095</v>
      </c>
      <c r="L85" s="459">
        <f t="shared" si="29"/>
        <v>47.924485869027095</v>
      </c>
      <c r="M85" s="459">
        <f t="shared" si="29"/>
        <v>47.608228189601618</v>
      </c>
      <c r="N85" s="459">
        <f t="shared" si="29"/>
        <v>47.370637133613243</v>
      </c>
    </row>
    <row r="86" spans="1:14">
      <c r="B86" s="338" t="str">
        <f t="shared" si="18"/>
        <v>65 plus</v>
      </c>
      <c r="C86" s="459">
        <f>C52+(0.2*C51)</f>
        <v>25.896518974432393</v>
      </c>
      <c r="D86" s="459">
        <f t="shared" ref="D86:N86" si="30">D52+(0.2*D51)</f>
        <v>25.850465104425776</v>
      </c>
      <c r="E86" s="459">
        <f t="shared" si="30"/>
        <v>24.421312002214218</v>
      </c>
      <c r="F86" s="459">
        <f t="shared" si="30"/>
        <v>22.683033346349234</v>
      </c>
      <c r="G86" s="459">
        <f t="shared" si="30"/>
        <v>21.074500793052565</v>
      </c>
      <c r="H86" s="459">
        <f t="shared" si="30"/>
        <v>19.734043861039794</v>
      </c>
      <c r="I86" s="459">
        <f t="shared" si="30"/>
        <v>18.70377605547209</v>
      </c>
      <c r="J86" s="459">
        <f t="shared" si="30"/>
        <v>17.968664467005844</v>
      </c>
      <c r="K86" s="459">
        <f t="shared" si="30"/>
        <v>17.459408819533767</v>
      </c>
      <c r="L86" s="459">
        <f t="shared" si="30"/>
        <v>17.039115820195256</v>
      </c>
      <c r="M86" s="459">
        <f t="shared" si="30"/>
        <v>16.723038446690559</v>
      </c>
      <c r="N86" s="459">
        <f t="shared" si="30"/>
        <v>16.485018642201211</v>
      </c>
    </row>
    <row r="87" spans="1:14">
      <c r="B87" s="338" t="str">
        <f t="shared" si="18"/>
        <v>Total</v>
      </c>
      <c r="C87" s="459">
        <f>SUM(C77:C86)</f>
        <v>2306.8637480792445</v>
      </c>
      <c r="D87" s="459">
        <f t="shared" ref="D87:N87" si="31">SUM(D77:D86)</f>
        <v>2301.2235469243624</v>
      </c>
      <c r="E87" s="459">
        <f t="shared" si="31"/>
        <v>2323.9281631442595</v>
      </c>
      <c r="F87" s="459">
        <f t="shared" si="31"/>
        <v>2356.3153940017087</v>
      </c>
      <c r="G87" s="459">
        <f t="shared" si="31"/>
        <v>2390.0280832492467</v>
      </c>
      <c r="H87" s="459">
        <f t="shared" si="31"/>
        <v>2420.0637521249978</v>
      </c>
      <c r="I87" s="459">
        <f t="shared" si="31"/>
        <v>2448.0871227744915</v>
      </c>
      <c r="J87" s="459">
        <f t="shared" si="31"/>
        <v>2476.2208027286342</v>
      </c>
      <c r="K87" s="459">
        <f t="shared" si="31"/>
        <v>2502.0492523707471</v>
      </c>
      <c r="L87" s="459">
        <f t="shared" si="31"/>
        <v>2514.0341304787025</v>
      </c>
      <c r="M87" s="459">
        <f t="shared" si="31"/>
        <v>2520.424235003054</v>
      </c>
      <c r="N87" s="459">
        <f t="shared" si="31"/>
        <v>2522.4735439399901</v>
      </c>
    </row>
    <row r="88" spans="1:14">
      <c r="A88" s="309">
        <f>SUM(C88:N88)</f>
        <v>0</v>
      </c>
      <c r="C88" s="309">
        <f>SUM(C77:C86)-C87</f>
        <v>0</v>
      </c>
      <c r="D88" s="309">
        <f t="shared" ref="D88:N88" si="32">SUM(D77:D86)-D87</f>
        <v>0</v>
      </c>
      <c r="E88" s="309">
        <f t="shared" si="32"/>
        <v>0</v>
      </c>
      <c r="F88" s="309">
        <f t="shared" si="32"/>
        <v>0</v>
      </c>
      <c r="G88" s="309">
        <f t="shared" si="32"/>
        <v>0</v>
      </c>
      <c r="H88" s="309">
        <f t="shared" si="32"/>
        <v>0</v>
      </c>
      <c r="I88" s="309">
        <f t="shared" si="32"/>
        <v>0</v>
      </c>
      <c r="J88" s="309">
        <f t="shared" si="32"/>
        <v>0</v>
      </c>
      <c r="K88" s="309">
        <f t="shared" si="32"/>
        <v>0</v>
      </c>
      <c r="L88" s="309">
        <f t="shared" si="32"/>
        <v>0</v>
      </c>
      <c r="M88" s="309">
        <f t="shared" si="32"/>
        <v>0</v>
      </c>
      <c r="N88" s="309">
        <f t="shared" si="32"/>
        <v>0</v>
      </c>
    </row>
    <row r="90" spans="1:14">
      <c r="B90" s="341" t="s">
        <v>50</v>
      </c>
      <c r="H90" s="325"/>
    </row>
    <row r="91" spans="1:14">
      <c r="H91" s="325"/>
    </row>
    <row r="92" spans="1:14">
      <c r="B92" s="338" t="str">
        <f t="shared" ref="B92:B103" si="33">B76</f>
        <v>Age group</v>
      </c>
      <c r="C92" s="338" t="str">
        <f t="shared" ref="C92:N92" si="34">C76</f>
        <v>2016/17</v>
      </c>
      <c r="D92" s="338" t="str">
        <f t="shared" si="34"/>
        <v>2017/18</v>
      </c>
      <c r="E92" s="338" t="str">
        <f t="shared" si="34"/>
        <v>2018/19</v>
      </c>
      <c r="F92" s="338" t="str">
        <f t="shared" si="34"/>
        <v>2019/20</v>
      </c>
      <c r="G92" s="338" t="str">
        <f t="shared" si="34"/>
        <v>2020/21</v>
      </c>
      <c r="H92" s="338" t="str">
        <f t="shared" si="34"/>
        <v>2021/22</v>
      </c>
      <c r="I92" s="338" t="str">
        <f t="shared" si="34"/>
        <v>2022/23</v>
      </c>
      <c r="J92" s="338" t="str">
        <f t="shared" si="34"/>
        <v>2023/24</v>
      </c>
      <c r="K92" s="338" t="str">
        <f t="shared" si="34"/>
        <v>2024/25</v>
      </c>
      <c r="L92" s="338" t="str">
        <f t="shared" si="34"/>
        <v>2025/26</v>
      </c>
      <c r="M92" s="338" t="str">
        <f t="shared" si="34"/>
        <v>2026/27</v>
      </c>
      <c r="N92" s="338" t="str">
        <f t="shared" si="34"/>
        <v>2027/28</v>
      </c>
    </row>
    <row r="93" spans="1:14">
      <c r="B93" s="338" t="str">
        <f t="shared" si="33"/>
        <v>20-24</v>
      </c>
      <c r="C93" s="459">
        <f>C59-(0.2*C59)</f>
        <v>242.46581003842454</v>
      </c>
      <c r="D93" s="459">
        <f t="shared" ref="D93:N93" si="35">D59-(0.2*D59)</f>
        <v>283.32898372752499</v>
      </c>
      <c r="E93" s="459">
        <f t="shared" si="35"/>
        <v>322.28693305194003</v>
      </c>
      <c r="F93" s="459">
        <f t="shared" si="35"/>
        <v>353.28171109484367</v>
      </c>
      <c r="G93" s="459">
        <f t="shared" si="35"/>
        <v>375.75739944562508</v>
      </c>
      <c r="H93" s="459">
        <f t="shared" si="35"/>
        <v>390.36347134024646</v>
      </c>
      <c r="I93" s="459">
        <f t="shared" si="35"/>
        <v>400.28779359407361</v>
      </c>
      <c r="J93" s="459">
        <f t="shared" si="35"/>
        <v>408.0055048496364</v>
      </c>
      <c r="K93" s="459">
        <f t="shared" si="35"/>
        <v>413.2291748225951</v>
      </c>
      <c r="L93" s="459">
        <f t="shared" si="35"/>
        <v>411.4104618872895</v>
      </c>
      <c r="M93" s="459">
        <f t="shared" si="35"/>
        <v>407.80315358386281</v>
      </c>
      <c r="N93" s="459">
        <f t="shared" si="35"/>
        <v>403.31448036432153</v>
      </c>
    </row>
    <row r="94" spans="1:14">
      <c r="B94" s="338" t="str">
        <f t="shared" si="33"/>
        <v>25-29</v>
      </c>
      <c r="C94" s="459">
        <f t="shared" ref="C94:C101" si="36">C60+(0.2*C59)-(0.2*C60)</f>
        <v>870.245892936225</v>
      </c>
      <c r="D94" s="459">
        <f t="shared" ref="D94:N94" si="37">D60+(0.2*D59)-(0.2*D60)</f>
        <v>817.22784479434574</v>
      </c>
      <c r="E94" s="459">
        <f t="shared" si="37"/>
        <v>798.5858690517955</v>
      </c>
      <c r="F94" s="459">
        <f t="shared" si="37"/>
        <v>796.10117691100902</v>
      </c>
      <c r="G94" s="459">
        <f t="shared" si="37"/>
        <v>800.2913859620113</v>
      </c>
      <c r="H94" s="459">
        <f t="shared" si="37"/>
        <v>805.51089897794304</v>
      </c>
      <c r="I94" s="459">
        <f t="shared" si="37"/>
        <v>811.27189872916119</v>
      </c>
      <c r="J94" s="459">
        <f t="shared" si="37"/>
        <v>818.04650010516275</v>
      </c>
      <c r="K94" s="459">
        <f t="shared" si="37"/>
        <v>823.98292531834659</v>
      </c>
      <c r="L94" s="459">
        <f t="shared" si="37"/>
        <v>822.10778309686691</v>
      </c>
      <c r="M94" s="459">
        <f t="shared" si="37"/>
        <v>817.45520820809907</v>
      </c>
      <c r="N94" s="459">
        <f t="shared" si="37"/>
        <v>810.97232180053834</v>
      </c>
    </row>
    <row r="95" spans="1:14">
      <c r="B95" s="338" t="str">
        <f t="shared" si="33"/>
        <v>30-34</v>
      </c>
      <c r="C95" s="459">
        <f t="shared" si="36"/>
        <v>934.00384779775698</v>
      </c>
      <c r="D95" s="459">
        <f t="shared" ref="D95:N95" si="38">D61+(0.2*D60)-(0.2*D61)</f>
        <v>925.45849753879747</v>
      </c>
      <c r="E95" s="459">
        <f t="shared" si="38"/>
        <v>917.15488480206795</v>
      </c>
      <c r="F95" s="459">
        <f t="shared" si="38"/>
        <v>910.17514708977899</v>
      </c>
      <c r="G95" s="459">
        <f t="shared" si="38"/>
        <v>904.90676004509476</v>
      </c>
      <c r="H95" s="459">
        <f t="shared" si="38"/>
        <v>900.71767781815208</v>
      </c>
      <c r="I95" s="459">
        <f t="shared" si="38"/>
        <v>898.22350122021226</v>
      </c>
      <c r="J95" s="459">
        <f t="shared" si="38"/>
        <v>897.94034649396201</v>
      </c>
      <c r="K95" s="459">
        <f t="shared" si="38"/>
        <v>898.74635530214232</v>
      </c>
      <c r="L95" s="459">
        <f t="shared" si="38"/>
        <v>896.13368789251069</v>
      </c>
      <c r="M95" s="459">
        <f t="shared" si="38"/>
        <v>892.10204850668129</v>
      </c>
      <c r="N95" s="459">
        <f t="shared" si="38"/>
        <v>886.83401478340659</v>
      </c>
    </row>
    <row r="96" spans="1:14">
      <c r="B96" s="338" t="str">
        <f t="shared" si="33"/>
        <v>35-39</v>
      </c>
      <c r="C96" s="459">
        <f t="shared" si="36"/>
        <v>848.02185133924434</v>
      </c>
      <c r="D96" s="459">
        <f t="shared" ref="D96:N96" si="39">D62+(0.2*D61)-(0.2*D62)</f>
        <v>849.21944549375758</v>
      </c>
      <c r="E96" s="459">
        <f t="shared" si="39"/>
        <v>853.39528078942851</v>
      </c>
      <c r="F96" s="459">
        <f t="shared" si="39"/>
        <v>856.5373147894378</v>
      </c>
      <c r="G96" s="459">
        <f t="shared" si="39"/>
        <v>857.75520427269191</v>
      </c>
      <c r="H96" s="459">
        <f t="shared" si="39"/>
        <v>856.98241929764595</v>
      </c>
      <c r="I96" s="459">
        <f t="shared" si="39"/>
        <v>855.40346106911784</v>
      </c>
      <c r="J96" s="459">
        <f t="shared" si="39"/>
        <v>854.10185458260059</v>
      </c>
      <c r="K96" s="459">
        <f t="shared" si="39"/>
        <v>852.95267923038932</v>
      </c>
      <c r="L96" s="459">
        <f t="shared" si="39"/>
        <v>849.50886124042222</v>
      </c>
      <c r="M96" s="459">
        <f t="shared" si="39"/>
        <v>845.35401791676804</v>
      </c>
      <c r="N96" s="459">
        <f t="shared" si="39"/>
        <v>840.61220754668659</v>
      </c>
    </row>
    <row r="97" spans="1:16">
      <c r="B97" s="338" t="str">
        <f t="shared" si="33"/>
        <v>40-44</v>
      </c>
      <c r="C97" s="459">
        <f t="shared" si="36"/>
        <v>735.01526368314489</v>
      </c>
      <c r="D97" s="459">
        <f t="shared" ref="D97:N97" si="40">D63+(0.2*D62)-(0.2*D63)</f>
        <v>744.03910162447141</v>
      </c>
      <c r="E97" s="459">
        <f t="shared" si="40"/>
        <v>754.94678057052454</v>
      </c>
      <c r="F97" s="459">
        <f t="shared" si="40"/>
        <v>765.08350379167905</v>
      </c>
      <c r="G97" s="459">
        <f t="shared" si="40"/>
        <v>773.2961110376998</v>
      </c>
      <c r="H97" s="459">
        <f t="shared" si="40"/>
        <v>778.99854146387622</v>
      </c>
      <c r="I97" s="459">
        <f t="shared" si="40"/>
        <v>782.86379671618772</v>
      </c>
      <c r="J97" s="459">
        <f t="shared" si="40"/>
        <v>785.68919331330312</v>
      </c>
      <c r="K97" s="459">
        <f t="shared" si="40"/>
        <v>787.42030516829743</v>
      </c>
      <c r="L97" s="459">
        <f t="shared" si="40"/>
        <v>786.21171704723895</v>
      </c>
      <c r="M97" s="459">
        <f t="shared" si="40"/>
        <v>783.73789414686598</v>
      </c>
      <c r="N97" s="459">
        <f t="shared" si="40"/>
        <v>780.36092066500339</v>
      </c>
    </row>
    <row r="98" spans="1:16">
      <c r="B98" s="338" t="str">
        <f t="shared" si="33"/>
        <v>45-49</v>
      </c>
      <c r="C98" s="459">
        <f t="shared" si="36"/>
        <v>492.02866662758504</v>
      </c>
      <c r="D98" s="459">
        <f t="shared" ref="D98:N98" si="41">D64+(0.2*D63)-(0.2*D64)</f>
        <v>534.208783313087</v>
      </c>
      <c r="E98" s="459">
        <f t="shared" si="41"/>
        <v>570.15397507662169</v>
      </c>
      <c r="F98" s="459">
        <f t="shared" si="41"/>
        <v>599.6622508900856</v>
      </c>
      <c r="G98" s="459">
        <f t="shared" si="41"/>
        <v>623.34989261435237</v>
      </c>
      <c r="H98" s="459">
        <f t="shared" si="41"/>
        <v>641.80570335220079</v>
      </c>
      <c r="I98" s="459">
        <f t="shared" si="41"/>
        <v>656.26229209926862</v>
      </c>
      <c r="J98" s="459">
        <f t="shared" si="41"/>
        <v>667.81709074404864</v>
      </c>
      <c r="K98" s="459">
        <f t="shared" si="41"/>
        <v>676.73995531476987</v>
      </c>
      <c r="L98" s="459">
        <f t="shared" si="41"/>
        <v>681.77192220687562</v>
      </c>
      <c r="M98" s="459">
        <f t="shared" si="41"/>
        <v>684.47868735976033</v>
      </c>
      <c r="N98" s="459">
        <f t="shared" si="41"/>
        <v>685.37385182551236</v>
      </c>
    </row>
    <row r="99" spans="1:16">
      <c r="B99" s="338" t="str">
        <f t="shared" si="33"/>
        <v>50-54</v>
      </c>
      <c r="C99" s="459">
        <f t="shared" si="36"/>
        <v>443.61405216694175</v>
      </c>
      <c r="D99" s="459">
        <f t="shared" ref="D99:N99" si="42">D65+(0.2*D64)-(0.2*D65)</f>
        <v>432.89389938797018</v>
      </c>
      <c r="E99" s="459">
        <f t="shared" si="42"/>
        <v>435.47553868189163</v>
      </c>
      <c r="F99" s="459">
        <f t="shared" si="42"/>
        <v>444.71256350308187</v>
      </c>
      <c r="G99" s="459">
        <f t="shared" si="42"/>
        <v>456.78576825213895</v>
      </c>
      <c r="H99" s="459">
        <f t="shared" si="42"/>
        <v>469.35692475531374</v>
      </c>
      <c r="I99" s="459">
        <f t="shared" si="42"/>
        <v>481.55207894941805</v>
      </c>
      <c r="J99" s="459">
        <f t="shared" si="42"/>
        <v>493.0272422039576</v>
      </c>
      <c r="K99" s="459">
        <f t="shared" si="42"/>
        <v>503.22887063964578</v>
      </c>
      <c r="L99" s="459">
        <f t="shared" si="42"/>
        <v>510.73253814181794</v>
      </c>
      <c r="M99" s="459">
        <f t="shared" si="42"/>
        <v>516.4105780840373</v>
      </c>
      <c r="N99" s="459">
        <f t="shared" si="42"/>
        <v>520.46314880890986</v>
      </c>
    </row>
    <row r="100" spans="1:16">
      <c r="B100" s="338" t="str">
        <f t="shared" si="33"/>
        <v>55-59</v>
      </c>
      <c r="C100" s="459">
        <f t="shared" si="36"/>
        <v>370.79136678122387</v>
      </c>
      <c r="D100" s="459">
        <f t="shared" ref="D100:N100" si="43">D66+(0.2*D65)-(0.2*D66)</f>
        <v>319.7798398977539</v>
      </c>
      <c r="E100" s="459">
        <f t="shared" si="43"/>
        <v>289.03148116625812</v>
      </c>
      <c r="F100" s="459">
        <f t="shared" si="43"/>
        <v>271.6348761477542</v>
      </c>
      <c r="G100" s="459">
        <f t="shared" si="43"/>
        <v>262.92280970419864</v>
      </c>
      <c r="H100" s="459">
        <f t="shared" si="43"/>
        <v>259.60385748252475</v>
      </c>
      <c r="I100" s="459">
        <f t="shared" si="43"/>
        <v>259.76292777946873</v>
      </c>
      <c r="J100" s="459">
        <f t="shared" si="43"/>
        <v>262.13308587611198</v>
      </c>
      <c r="K100" s="459">
        <f t="shared" si="43"/>
        <v>265.54030166102598</v>
      </c>
      <c r="L100" s="459">
        <f t="shared" si="43"/>
        <v>268.43355124900216</v>
      </c>
      <c r="M100" s="459">
        <f t="shared" si="43"/>
        <v>271.09881057101893</v>
      </c>
      <c r="N100" s="459">
        <f t="shared" si="43"/>
        <v>273.37163989858806</v>
      </c>
    </row>
    <row r="101" spans="1:16">
      <c r="B101" s="338" t="str">
        <f t="shared" si="33"/>
        <v>60-64</v>
      </c>
      <c r="C101" s="459">
        <f t="shared" si="36"/>
        <v>145.26142269052497</v>
      </c>
      <c r="D101" s="459">
        <f t="shared" ref="D101:N101" si="44">D67+(0.2*D66)-(0.2*D67)</f>
        <v>132.43640142378322</v>
      </c>
      <c r="E101" s="459">
        <f t="shared" si="44"/>
        <v>119.83444174471242</v>
      </c>
      <c r="F101" s="459">
        <f t="shared" si="44"/>
        <v>109.75071741956479</v>
      </c>
      <c r="G101" s="459">
        <f t="shared" si="44"/>
        <v>102.55539276246151</v>
      </c>
      <c r="H101" s="459">
        <f t="shared" si="44"/>
        <v>97.817449642057383</v>
      </c>
      <c r="I101" s="459">
        <f t="shared" si="44"/>
        <v>95.101013897882297</v>
      </c>
      <c r="J101" s="459">
        <f t="shared" si="44"/>
        <v>93.938282186610223</v>
      </c>
      <c r="K101" s="459">
        <f t="shared" si="44"/>
        <v>93.733289202421432</v>
      </c>
      <c r="L101" s="459">
        <f t="shared" si="44"/>
        <v>93.631299185357392</v>
      </c>
      <c r="M101" s="459">
        <f t="shared" si="44"/>
        <v>93.801804771041731</v>
      </c>
      <c r="N101" s="459">
        <f t="shared" si="44"/>
        <v>94.100043461474357</v>
      </c>
    </row>
    <row r="102" spans="1:16">
      <c r="B102" s="338" t="str">
        <f t="shared" si="33"/>
        <v>65 plus</v>
      </c>
      <c r="C102" s="459">
        <f>C68+(0.2*C67)</f>
        <v>34.080685949890565</v>
      </c>
      <c r="D102" s="459">
        <f t="shared" ref="D102:N102" si="45">D68+(0.2*D67)</f>
        <v>37.445518004885756</v>
      </c>
      <c r="E102" s="459">
        <f t="shared" si="45"/>
        <v>37.989077544568048</v>
      </c>
      <c r="F102" s="459">
        <f t="shared" si="45"/>
        <v>36.925641295530454</v>
      </c>
      <c r="G102" s="459">
        <f t="shared" si="45"/>
        <v>35.253255173690881</v>
      </c>
      <c r="H102" s="459">
        <f t="shared" si="45"/>
        <v>33.546960719109578</v>
      </c>
      <c r="I102" s="459">
        <f t="shared" si="45"/>
        <v>32.138108579937011</v>
      </c>
      <c r="J102" s="459">
        <f t="shared" si="45"/>
        <v>31.148432914069282</v>
      </c>
      <c r="K102" s="459">
        <f t="shared" si="45"/>
        <v>30.513273998019624</v>
      </c>
      <c r="L102" s="459">
        <f t="shared" si="45"/>
        <v>29.980832399701931</v>
      </c>
      <c r="M102" s="459">
        <f t="shared" si="45"/>
        <v>29.623979386854327</v>
      </c>
      <c r="N102" s="459">
        <f t="shared" si="45"/>
        <v>29.399412347467866</v>
      </c>
    </row>
    <row r="103" spans="1:16">
      <c r="B103" s="338" t="str">
        <f t="shared" si="33"/>
        <v>Total</v>
      </c>
      <c r="C103" s="459">
        <f>SUM(C93:C102)</f>
        <v>5115.5288600109625</v>
      </c>
      <c r="D103" s="459">
        <f t="shared" ref="D103:N103" si="46">SUM(D93:D102)</f>
        <v>5076.0383152063769</v>
      </c>
      <c r="E103" s="459">
        <f t="shared" si="46"/>
        <v>5098.8542624798083</v>
      </c>
      <c r="F103" s="459">
        <f t="shared" si="46"/>
        <v>5143.8649029327644</v>
      </c>
      <c r="G103" s="459">
        <f t="shared" si="46"/>
        <v>5192.8739792699653</v>
      </c>
      <c r="H103" s="459">
        <f t="shared" si="46"/>
        <v>5234.7039048490706</v>
      </c>
      <c r="I103" s="459">
        <f t="shared" si="46"/>
        <v>5272.8668726347278</v>
      </c>
      <c r="J103" s="459">
        <f t="shared" si="46"/>
        <v>5311.8475332694634</v>
      </c>
      <c r="K103" s="459">
        <f t="shared" si="46"/>
        <v>5346.0871306576546</v>
      </c>
      <c r="L103" s="459">
        <f t="shared" si="46"/>
        <v>5349.9226543470841</v>
      </c>
      <c r="M103" s="459">
        <f t="shared" si="46"/>
        <v>5341.86618253499</v>
      </c>
      <c r="N103" s="459">
        <f t="shared" si="46"/>
        <v>5324.8020415019091</v>
      </c>
    </row>
    <row r="104" spans="1:16">
      <c r="A104" s="309">
        <f>SUM(C104:N104)</f>
        <v>0</v>
      </c>
      <c r="C104" s="309">
        <f>SUM(C93:C102)-C103</f>
        <v>0</v>
      </c>
      <c r="D104" s="309">
        <f t="shared" ref="D104:N104" si="47">SUM(D93:D102)-D103</f>
        <v>0</v>
      </c>
      <c r="E104" s="309">
        <f t="shared" si="47"/>
        <v>0</v>
      </c>
      <c r="F104" s="309">
        <f t="shared" si="47"/>
        <v>0</v>
      </c>
      <c r="G104" s="309">
        <f t="shared" si="47"/>
        <v>0</v>
      </c>
      <c r="H104" s="309">
        <f t="shared" si="47"/>
        <v>0</v>
      </c>
      <c r="I104" s="309">
        <f t="shared" si="47"/>
        <v>0</v>
      </c>
      <c r="J104" s="309">
        <f t="shared" si="47"/>
        <v>0</v>
      </c>
      <c r="K104" s="309">
        <f t="shared" si="47"/>
        <v>0</v>
      </c>
      <c r="L104" s="309">
        <f t="shared" si="47"/>
        <v>0</v>
      </c>
      <c r="M104" s="309">
        <f t="shared" si="47"/>
        <v>0</v>
      </c>
      <c r="N104" s="309">
        <f t="shared" si="47"/>
        <v>0</v>
      </c>
    </row>
    <row r="106" spans="1:16" ht="15.75">
      <c r="B106" s="340" t="s">
        <v>151</v>
      </c>
      <c r="H106" s="325"/>
    </row>
    <row r="107" spans="1:16">
      <c r="H107" s="325"/>
    </row>
    <row r="108" spans="1:16">
      <c r="B108" s="341" t="s">
        <v>49</v>
      </c>
      <c r="H108" s="325"/>
    </row>
    <row r="109" spans="1:16">
      <c r="H109" s="325"/>
    </row>
    <row r="110" spans="1:16">
      <c r="B110" s="338" t="str">
        <f t="shared" ref="B110:B121" si="48">B76</f>
        <v>Age group</v>
      </c>
      <c r="C110" s="338" t="str">
        <f t="shared" ref="C110:N110" si="49">C76</f>
        <v>2016/17</v>
      </c>
      <c r="D110" s="338" t="str">
        <f t="shared" si="49"/>
        <v>2017/18</v>
      </c>
      <c r="E110" s="338" t="str">
        <f t="shared" si="49"/>
        <v>2018/19</v>
      </c>
      <c r="F110" s="338" t="str">
        <f t="shared" si="49"/>
        <v>2019/20</v>
      </c>
      <c r="G110" s="338" t="str">
        <f t="shared" si="49"/>
        <v>2020/21</v>
      </c>
      <c r="H110" s="338" t="str">
        <f t="shared" si="49"/>
        <v>2021/22</v>
      </c>
      <c r="I110" s="338" t="str">
        <f t="shared" si="49"/>
        <v>2022/23</v>
      </c>
      <c r="J110" s="338" t="str">
        <f t="shared" si="49"/>
        <v>2023/24</v>
      </c>
      <c r="K110" s="338" t="str">
        <f t="shared" si="49"/>
        <v>2024/25</v>
      </c>
      <c r="L110" s="338" t="str">
        <f t="shared" si="49"/>
        <v>2025/26</v>
      </c>
      <c r="M110" s="338" t="str">
        <f t="shared" si="49"/>
        <v>2026/27</v>
      </c>
      <c r="N110" s="338" t="str">
        <f t="shared" si="49"/>
        <v>2027/28</v>
      </c>
    </row>
    <row r="111" spans="1:16">
      <c r="B111" s="338" t="str">
        <f t="shared" si="48"/>
        <v>20-24</v>
      </c>
      <c r="C111" s="459">
        <f>C77*Group_3_rates!E74</f>
        <v>7.4383485536905036</v>
      </c>
      <c r="D111" s="459">
        <f>D77*Group_3_rates!F74</f>
        <v>10.716325676246713</v>
      </c>
      <c r="E111" s="459">
        <f>E77*Group_3_rates!G74</f>
        <v>13.534475135868092</v>
      </c>
      <c r="F111" s="459">
        <f>F77*Group_3_rates!H74</f>
        <v>15.70085050286596</v>
      </c>
      <c r="G111" s="459">
        <f>G77*Group_3_rates!I74</f>
        <v>17.263307398695755</v>
      </c>
      <c r="H111" s="459">
        <f>H77*Group_3_rates!J74</f>
        <v>18.307275172066927</v>
      </c>
      <c r="I111" s="459">
        <f>I77*Group_3_rates!K74</f>
        <v>19.027301321810342</v>
      </c>
      <c r="J111" s="459">
        <f>J77*Group_3_rates!L74</f>
        <v>19.571951016892562</v>
      </c>
      <c r="K111" s="459">
        <f>K77*Group_3_rates!M74</f>
        <v>19.946441183708625</v>
      </c>
      <c r="L111" s="459">
        <f>L77*Group_3_rates!N74</f>
        <v>19.941454366332525</v>
      </c>
      <c r="M111" s="459">
        <f>M77*Group_3_rates!O74</f>
        <v>19.824601440100235</v>
      </c>
      <c r="N111" s="459">
        <f>N77*Group_3_rates!P74</f>
        <v>19.647345074618819</v>
      </c>
      <c r="O111" s="327"/>
      <c r="P111" s="327"/>
    </row>
    <row r="112" spans="1:16">
      <c r="B112" s="338" t="str">
        <f t="shared" si="48"/>
        <v>25-29</v>
      </c>
      <c r="C112" s="459">
        <f>C78*Group_3_rates!E75</f>
        <v>21.423208199940376</v>
      </c>
      <c r="D112" s="459">
        <f>D78*Group_3_rates!F75</f>
        <v>22.109638502316496</v>
      </c>
      <c r="E112" s="459">
        <f>E78*Group_3_rates!G75</f>
        <v>23.544300475118309</v>
      </c>
      <c r="F112" s="459">
        <f>F78*Group_3_rates!H75</f>
        <v>25.141064983692999</v>
      </c>
      <c r="G112" s="459">
        <f>G78*Group_3_rates!I75</f>
        <v>26.627919760743122</v>
      </c>
      <c r="H112" s="459">
        <f>H78*Group_3_rates!J75</f>
        <v>27.863296176762812</v>
      </c>
      <c r="I112" s="459">
        <f>I78*Group_3_rates!K75</f>
        <v>28.888329064832877</v>
      </c>
      <c r="J112" s="459">
        <f>J78*Group_3_rates!L75</f>
        <v>29.769847920553826</v>
      </c>
      <c r="K112" s="459">
        <f>K78*Group_3_rates!M75</f>
        <v>30.477086618865375</v>
      </c>
      <c r="L112" s="459">
        <f>L78*Group_3_rates!N75</f>
        <v>30.776155516683335</v>
      </c>
      <c r="M112" s="459">
        <f>M78*Group_3_rates!O75</f>
        <v>30.881760433575806</v>
      </c>
      <c r="N112" s="459">
        <f>N78*Group_3_rates!P75</f>
        <v>30.849454359257422</v>
      </c>
      <c r="O112" s="327"/>
      <c r="P112" s="327"/>
    </row>
    <row r="113" spans="1:17">
      <c r="B113" s="338" t="str">
        <f t="shared" si="48"/>
        <v>30-34</v>
      </c>
      <c r="C113" s="459">
        <f>C79*Group_3_rates!E76</f>
        <v>23.274582885748014</v>
      </c>
      <c r="D113" s="459">
        <f>D79*Group_3_rates!F76</f>
        <v>22.745940460933351</v>
      </c>
      <c r="E113" s="459">
        <f>E79*Group_3_rates!G76</f>
        <v>22.654921170110917</v>
      </c>
      <c r="F113" s="459">
        <f>F79*Group_3_rates!H76</f>
        <v>22.85015711227387</v>
      </c>
      <c r="G113" s="459">
        <f>G79*Group_3_rates!I76</f>
        <v>23.220476857815068</v>
      </c>
      <c r="H113" s="459">
        <f>H79*Group_3_rates!J76</f>
        <v>23.668385646370698</v>
      </c>
      <c r="I113" s="459">
        <f>I79*Group_3_rates!K76</f>
        <v>24.160679824801438</v>
      </c>
      <c r="J113" s="459">
        <f>J79*Group_3_rates!L76</f>
        <v>24.682377858389227</v>
      </c>
      <c r="K113" s="459">
        <f>K79*Group_3_rates!M76</f>
        <v>25.186772593008325</v>
      </c>
      <c r="L113" s="459">
        <f>L79*Group_3_rates!N76</f>
        <v>25.540512982930775</v>
      </c>
      <c r="M113" s="459">
        <f>M79*Group_3_rates!O76</f>
        <v>25.796191940235278</v>
      </c>
      <c r="N113" s="459">
        <f>N79*Group_3_rates!P76</f>
        <v>25.96071083869046</v>
      </c>
      <c r="O113" s="327"/>
      <c r="P113" s="327"/>
    </row>
    <row r="114" spans="1:17">
      <c r="B114" s="338" t="str">
        <f t="shared" si="48"/>
        <v>35-39</v>
      </c>
      <c r="C114" s="459">
        <f>C80*Group_3_rates!E77</f>
        <v>25.237293243067906</v>
      </c>
      <c r="D114" s="459">
        <f>D80*Group_3_rates!F77</f>
        <v>24.800714850646141</v>
      </c>
      <c r="E114" s="459">
        <f>E80*Group_3_rates!G77</f>
        <v>24.510583320639917</v>
      </c>
      <c r="F114" s="459">
        <f>F80*Group_3_rates!H77</f>
        <v>24.32047541783944</v>
      </c>
      <c r="G114" s="459">
        <f>G80*Group_3_rates!I77</f>
        <v>24.219510026348981</v>
      </c>
      <c r="H114" s="459">
        <f>H80*Group_3_rates!J77</f>
        <v>24.193251781901154</v>
      </c>
      <c r="I114" s="459">
        <f>I80*Group_3_rates!K77</f>
        <v>24.25043249002335</v>
      </c>
      <c r="J114" s="459">
        <f>J80*Group_3_rates!L77</f>
        <v>24.394176800635023</v>
      </c>
      <c r="K114" s="459">
        <f>K80*Group_3_rates!M77</f>
        <v>24.595555664725044</v>
      </c>
      <c r="L114" s="459">
        <f>L80*Group_3_rates!N77</f>
        <v>24.763923600046216</v>
      </c>
      <c r="M114" s="459">
        <f>M80*Group_3_rates!O77</f>
        <v>24.924243752394553</v>
      </c>
      <c r="N114" s="459">
        <f>N80*Group_3_rates!P77</f>
        <v>25.065670029467505</v>
      </c>
      <c r="O114" s="327"/>
      <c r="P114" s="327"/>
    </row>
    <row r="115" spans="1:17">
      <c r="B115" s="338" t="str">
        <f t="shared" si="48"/>
        <v>40-44</v>
      </c>
      <c r="C115" s="459">
        <f>C81*Group_3_rates!E78</f>
        <v>25.792429336589478</v>
      </c>
      <c r="D115" s="459">
        <f>D81*Group_3_rates!F78</f>
        <v>25.867297477871016</v>
      </c>
      <c r="E115" s="459">
        <f>E81*Group_3_rates!G78</f>
        <v>25.957409479887101</v>
      </c>
      <c r="F115" s="459">
        <f>F81*Group_3_rates!H78</f>
        <v>26.00482341572005</v>
      </c>
      <c r="G115" s="459">
        <f>G81*Group_3_rates!I78</f>
        <v>26.00501654732895</v>
      </c>
      <c r="H115" s="459">
        <f>H81*Group_3_rates!J78</f>
        <v>25.965758491508407</v>
      </c>
      <c r="I115" s="459">
        <f>I81*Group_3_rates!K78</f>
        <v>25.924728208407409</v>
      </c>
      <c r="J115" s="459">
        <f>J81*Group_3_rates!L78</f>
        <v>25.914342950910694</v>
      </c>
      <c r="K115" s="459">
        <f>K81*Group_3_rates!M78</f>
        <v>25.933046257726879</v>
      </c>
      <c r="L115" s="459">
        <f>L81*Group_3_rates!N78</f>
        <v>25.917969987520706</v>
      </c>
      <c r="M115" s="459">
        <f>M81*Group_3_rates!O78</f>
        <v>25.912342954516948</v>
      </c>
      <c r="N115" s="459">
        <f>N81*Group_3_rates!P78</f>
        <v>25.917117666402341</v>
      </c>
      <c r="O115" s="327"/>
      <c r="P115" s="327"/>
    </row>
    <row r="116" spans="1:17">
      <c r="B116" s="338" t="str">
        <f t="shared" si="48"/>
        <v>45-49</v>
      </c>
      <c r="C116" s="459">
        <f>C82*Group_3_rates!E79</f>
        <v>21.979799984825657</v>
      </c>
      <c r="D116" s="459">
        <f>D82*Group_3_rates!F79</f>
        <v>22.792962902832119</v>
      </c>
      <c r="E116" s="459">
        <f>E82*Group_3_rates!G79</f>
        <v>23.520881257063269</v>
      </c>
      <c r="F116" s="459">
        <f>F82*Group_3_rates!H79</f>
        <v>24.112835556715329</v>
      </c>
      <c r="G116" s="459">
        <f>G82*Group_3_rates!I79</f>
        <v>24.563004231324815</v>
      </c>
      <c r="H116" s="459">
        <f>H82*Group_3_rates!J79</f>
        <v>24.878249878940853</v>
      </c>
      <c r="I116" s="459">
        <f>I82*Group_3_rates!K79</f>
        <v>25.09670979945799</v>
      </c>
      <c r="J116" s="459">
        <f>J82*Group_3_rates!L79</f>
        <v>25.256581788513333</v>
      </c>
      <c r="K116" s="459">
        <f>K82*Group_3_rates!M79</f>
        <v>25.368980024942264</v>
      </c>
      <c r="L116" s="459">
        <f>L82*Group_3_rates!N79</f>
        <v>25.391593425855955</v>
      </c>
      <c r="M116" s="459">
        <f>M82*Group_3_rates!O79</f>
        <v>25.378458533271218</v>
      </c>
      <c r="N116" s="459">
        <f>N82*Group_3_rates!P79</f>
        <v>25.345491691812917</v>
      </c>
      <c r="O116" s="327"/>
      <c r="P116" s="327"/>
    </row>
    <row r="117" spans="1:17">
      <c r="B117" s="338" t="str">
        <f t="shared" si="48"/>
        <v>50-54</v>
      </c>
      <c r="C117" s="459">
        <f>C83*Group_3_rates!E80</f>
        <v>20.614976798477468</v>
      </c>
      <c r="D117" s="459">
        <f>D83*Group_3_rates!F80</f>
        <v>19.883690728630089</v>
      </c>
      <c r="E117" s="459">
        <f>E83*Group_3_rates!G80</f>
        <v>19.606574875454754</v>
      </c>
      <c r="F117" s="459">
        <f>F83*Group_3_rates!H80</f>
        <v>19.577362765895007</v>
      </c>
      <c r="G117" s="459">
        <f>G83*Group_3_rates!I80</f>
        <v>19.673212701955908</v>
      </c>
      <c r="H117" s="459">
        <f>H83*Group_3_rates!J80</f>
        <v>19.814900099955423</v>
      </c>
      <c r="I117" s="459">
        <f>I83*Group_3_rates!K80</f>
        <v>19.971757401493836</v>
      </c>
      <c r="J117" s="459">
        <f>J83*Group_3_rates!L80</f>
        <v>20.131049380558228</v>
      </c>
      <c r="K117" s="459">
        <f>K83*Group_3_rates!M80</f>
        <v>20.272599316568488</v>
      </c>
      <c r="L117" s="459">
        <f>L83*Group_3_rates!N80</f>
        <v>20.34519371613591</v>
      </c>
      <c r="M117" s="459">
        <f>M83*Group_3_rates!O80</f>
        <v>20.380505850164891</v>
      </c>
      <c r="N117" s="459">
        <f>N83*Group_3_rates!P80</f>
        <v>20.385956372650881</v>
      </c>
      <c r="O117" s="327"/>
      <c r="P117" s="327"/>
    </row>
    <row r="118" spans="1:17">
      <c r="B118" s="338" t="str">
        <f t="shared" si="48"/>
        <v>55-59</v>
      </c>
      <c r="C118" s="459">
        <f>C84*Group_3_rates!E81</f>
        <v>8.6744154834698186</v>
      </c>
      <c r="D118" s="459">
        <f>D84*Group_3_rates!F81</f>
        <v>7.7994594997767219</v>
      </c>
      <c r="E118" s="459">
        <f>E84*Group_3_rates!G81</f>
        <v>7.2389077043746051</v>
      </c>
      <c r="F118" s="459">
        <f>F84*Group_3_rates!H81</f>
        <v>6.8888851316303956</v>
      </c>
      <c r="G118" s="459">
        <f>G84*Group_3_rates!I81</f>
        <v>6.6797438598061687</v>
      </c>
      <c r="H118" s="459">
        <f>H84*Group_3_rates!J81</f>
        <v>6.5608449958346498</v>
      </c>
      <c r="I118" s="459">
        <f>I84*Group_3_rates!K81</f>
        <v>6.5039322891423188</v>
      </c>
      <c r="J118" s="459">
        <f>J84*Group_3_rates!L81</f>
        <v>6.48969639478908</v>
      </c>
      <c r="K118" s="459">
        <f>K84*Group_3_rates!M81</f>
        <v>6.49751026133944</v>
      </c>
      <c r="L118" s="459">
        <f>L84*Group_3_rates!N81</f>
        <v>6.4964528605325125</v>
      </c>
      <c r="M118" s="459">
        <f>M84*Group_3_rates!O81</f>
        <v>6.4949400842302296</v>
      </c>
      <c r="N118" s="459">
        <f>N84*Group_3_rates!P81</f>
        <v>6.4906038131482422</v>
      </c>
      <c r="O118" s="327"/>
      <c r="P118" s="327"/>
    </row>
    <row r="119" spans="1:17">
      <c r="B119" s="338" t="str">
        <f t="shared" si="48"/>
        <v>60-64</v>
      </c>
      <c r="C119" s="459">
        <f>C85*Group_3_rates!E82</f>
        <v>1.678056152133844</v>
      </c>
      <c r="D119" s="459">
        <f>D85*Group_3_rates!F82</f>
        <v>1.4216918107475041</v>
      </c>
      <c r="E119" s="459">
        <f>E85*Group_3_rates!G82</f>
        <v>1.2538015305759016</v>
      </c>
      <c r="F119" s="459">
        <f>F85*Group_3_rates!H82</f>
        <v>1.1419138674392058</v>
      </c>
      <c r="G119" s="459">
        <f>G85*Group_3_rates!I82</f>
        <v>1.0672866967084562</v>
      </c>
      <c r="H119" s="459">
        <f>H85*Group_3_rates!J82</f>
        <v>1.0175791107956573</v>
      </c>
      <c r="I119" s="459">
        <f>I85*Group_3_rates!K82</f>
        <v>0.98607636606710913</v>
      </c>
      <c r="J119" s="459">
        <f>J85*Group_3_rates!L82</f>
        <v>0.96801351635177135</v>
      </c>
      <c r="K119" s="459">
        <f>K85*Group_3_rates!M82</f>
        <v>0.95822190985981837</v>
      </c>
      <c r="L119" s="459">
        <f>L85*Group_3_rates!N82</f>
        <v>0.94934860842350233</v>
      </c>
      <c r="M119" s="459">
        <f>M85*Group_3_rates!O82</f>
        <v>0.94308377777542096</v>
      </c>
      <c r="N119" s="459">
        <f>N85*Group_3_rates!P82</f>
        <v>0.93837727473660149</v>
      </c>
      <c r="O119" s="327"/>
      <c r="P119" s="327"/>
    </row>
    <row r="120" spans="1:17">
      <c r="B120" s="338" t="str">
        <f t="shared" si="48"/>
        <v>65 plus</v>
      </c>
      <c r="C120" s="459">
        <f>C86*Group_3_rates!E83</f>
        <v>0.59265245879037498</v>
      </c>
      <c r="D120" s="459">
        <f>D86*Group_3_rates!F83</f>
        <v>0.59159849708520607</v>
      </c>
      <c r="E120" s="459">
        <f>E86*Group_3_rates!G83</f>
        <v>0.55889174214065906</v>
      </c>
      <c r="F120" s="459">
        <f>F86*Group_3_rates!H83</f>
        <v>0.51911052210570674</v>
      </c>
      <c r="G120" s="459">
        <f>G86*Group_3_rates!I83</f>
        <v>0.48229859484641668</v>
      </c>
      <c r="H120" s="459">
        <f>H86*Group_3_rates!J83</f>
        <v>0.45162168813766917</v>
      </c>
      <c r="I120" s="459">
        <f>I86*Group_3_rates!K83</f>
        <v>0.42804358681891286</v>
      </c>
      <c r="J120" s="459">
        <f>J86*Group_3_rates!L83</f>
        <v>0.41122025659372113</v>
      </c>
      <c r="K120" s="459">
        <f>K86*Group_3_rates!M83</f>
        <v>0.39956573221825625</v>
      </c>
      <c r="L120" s="459">
        <f>L86*Group_3_rates!N83</f>
        <v>0.3899471545354305</v>
      </c>
      <c r="M120" s="459">
        <f>M86*Group_3_rates!O83</f>
        <v>0.38271359419627804</v>
      </c>
      <c r="N120" s="459">
        <f>N86*Group_3_rates!P83</f>
        <v>0.37726641334117211</v>
      </c>
      <c r="O120" s="327"/>
      <c r="P120" s="327"/>
    </row>
    <row r="121" spans="1:17">
      <c r="B121" s="338" t="str">
        <f t="shared" si="48"/>
        <v>Total</v>
      </c>
      <c r="C121" s="459">
        <f>SUM(C111:C120)</f>
        <v>156.70576309673348</v>
      </c>
      <c r="D121" s="459">
        <f t="shared" ref="D121:N121" si="50">SUM(D111:D120)</f>
        <v>158.7293204070854</v>
      </c>
      <c r="E121" s="459">
        <f t="shared" si="50"/>
        <v>162.38074669123353</v>
      </c>
      <c r="F121" s="459">
        <f t="shared" si="50"/>
        <v>166.25747927617795</v>
      </c>
      <c r="G121" s="459">
        <f t="shared" si="50"/>
        <v>169.80177667557365</v>
      </c>
      <c r="H121" s="459">
        <f t="shared" si="50"/>
        <v>172.72116304227424</v>
      </c>
      <c r="I121" s="459">
        <f t="shared" si="50"/>
        <v>175.23799035285555</v>
      </c>
      <c r="J121" s="459">
        <f t="shared" si="50"/>
        <v>177.58925788418748</v>
      </c>
      <c r="K121" s="459">
        <f t="shared" si="50"/>
        <v>179.63577956296251</v>
      </c>
      <c r="L121" s="459">
        <f t="shared" si="50"/>
        <v>180.51255221899686</v>
      </c>
      <c r="M121" s="459">
        <f t="shared" si="50"/>
        <v>180.91884236046087</v>
      </c>
      <c r="N121" s="459">
        <f t="shared" si="50"/>
        <v>180.97799353412637</v>
      </c>
      <c r="O121" s="327"/>
      <c r="P121" s="327"/>
    </row>
    <row r="122" spans="1:17">
      <c r="A122" s="309">
        <f>SUM(C122:N122)</f>
        <v>0</v>
      </c>
      <c r="C122" s="309">
        <f>SUM(C111:C120)-C121</f>
        <v>0</v>
      </c>
      <c r="D122" s="309">
        <f t="shared" ref="D122:N122" si="51">SUM(D111:D120)-D121</f>
        <v>0</v>
      </c>
      <c r="E122" s="309">
        <f t="shared" si="51"/>
        <v>0</v>
      </c>
      <c r="F122" s="309">
        <f t="shared" si="51"/>
        <v>0</v>
      </c>
      <c r="G122" s="309">
        <f t="shared" si="51"/>
        <v>0</v>
      </c>
      <c r="H122" s="309">
        <f t="shared" si="51"/>
        <v>0</v>
      </c>
      <c r="I122" s="309">
        <f t="shared" si="51"/>
        <v>0</v>
      </c>
      <c r="J122" s="309">
        <f t="shared" si="51"/>
        <v>0</v>
      </c>
      <c r="K122" s="309">
        <f t="shared" si="51"/>
        <v>0</v>
      </c>
      <c r="L122" s="309">
        <f t="shared" si="51"/>
        <v>0</v>
      </c>
      <c r="M122" s="309">
        <f t="shared" si="51"/>
        <v>0</v>
      </c>
      <c r="N122" s="309">
        <f t="shared" si="51"/>
        <v>0</v>
      </c>
    </row>
    <row r="124" spans="1:17">
      <c r="B124" s="341" t="s">
        <v>50</v>
      </c>
      <c r="C124" s="329"/>
      <c r="D124" s="329"/>
      <c r="E124" s="329"/>
      <c r="F124" s="329"/>
      <c r="G124" s="329"/>
      <c r="H124" s="339"/>
      <c r="I124" s="329"/>
      <c r="J124" s="329"/>
      <c r="K124" s="329"/>
      <c r="L124" s="329"/>
    </row>
    <row r="125" spans="1:17">
      <c r="C125" s="329"/>
      <c r="D125" s="329"/>
      <c r="E125" s="329"/>
      <c r="F125" s="329"/>
      <c r="G125" s="329"/>
      <c r="H125" s="339"/>
      <c r="I125" s="329"/>
      <c r="J125" s="329"/>
      <c r="K125" s="329"/>
      <c r="L125" s="329"/>
    </row>
    <row r="126" spans="1:17">
      <c r="B126" s="338" t="str">
        <f t="shared" ref="B126:B137" si="52">B110</f>
        <v>Age group</v>
      </c>
      <c r="C126" s="338" t="str">
        <f t="shared" ref="C126:N126" si="53">C110</f>
        <v>2016/17</v>
      </c>
      <c r="D126" s="338" t="str">
        <f t="shared" si="53"/>
        <v>2017/18</v>
      </c>
      <c r="E126" s="338" t="str">
        <f t="shared" si="53"/>
        <v>2018/19</v>
      </c>
      <c r="F126" s="338" t="str">
        <f t="shared" si="53"/>
        <v>2019/20</v>
      </c>
      <c r="G126" s="338" t="str">
        <f t="shared" si="53"/>
        <v>2020/21</v>
      </c>
      <c r="H126" s="338" t="str">
        <f t="shared" si="53"/>
        <v>2021/22</v>
      </c>
      <c r="I126" s="338" t="str">
        <f t="shared" si="53"/>
        <v>2022/23</v>
      </c>
      <c r="J126" s="338" t="str">
        <f t="shared" si="53"/>
        <v>2023/24</v>
      </c>
      <c r="K126" s="338" t="str">
        <f t="shared" si="53"/>
        <v>2024/25</v>
      </c>
      <c r="L126" s="338" t="str">
        <f t="shared" si="53"/>
        <v>2025/26</v>
      </c>
      <c r="M126" s="338" t="str">
        <f t="shared" si="53"/>
        <v>2026/27</v>
      </c>
      <c r="N126" s="338" t="str">
        <f t="shared" si="53"/>
        <v>2027/28</v>
      </c>
    </row>
    <row r="127" spans="1:17">
      <c r="B127" s="338" t="str">
        <f t="shared" si="52"/>
        <v>20-24</v>
      </c>
      <c r="C127" s="459">
        <f>C93*Group_3_rates!E89</f>
        <v>26.248777951984916</v>
      </c>
      <c r="D127" s="459">
        <f>D93*Group_3_rates!F89</f>
        <v>30.672528964173434</v>
      </c>
      <c r="E127" s="459">
        <f>E93*Group_3_rates!G89</f>
        <v>34.890024870582657</v>
      </c>
      <c r="F127" s="459">
        <f>F93*Group_3_rates!H89</f>
        <v>38.245446595362345</v>
      </c>
      <c r="G127" s="459">
        <f>G93*Group_3_rates!I89</f>
        <v>40.678611719732594</v>
      </c>
      <c r="H127" s="459">
        <f>H93*Group_3_rates!J89</f>
        <v>42.259830687684762</v>
      </c>
      <c r="I127" s="459">
        <f>I93*Group_3_rates!K89</f>
        <v>43.334214458012497</v>
      </c>
      <c r="J127" s="459">
        <f>J93*Group_3_rates!L89</f>
        <v>44.169715714922482</v>
      </c>
      <c r="K127" s="459">
        <f>K93*Group_3_rates!M89</f>
        <v>44.735217932298674</v>
      </c>
      <c r="L127" s="459">
        <f>L93*Group_3_rates!N89</f>
        <v>44.538328350259569</v>
      </c>
      <c r="M127" s="459">
        <f>M93*Group_3_rates!O89</f>
        <v>44.147809643123118</v>
      </c>
      <c r="N127" s="459">
        <f>N93*Group_3_rates!P89</f>
        <v>43.661876444458578</v>
      </c>
      <c r="O127" s="327"/>
      <c r="P127" s="327"/>
      <c r="Q127" s="327"/>
    </row>
    <row r="128" spans="1:17">
      <c r="B128" s="338" t="str">
        <f t="shared" si="52"/>
        <v>25-29</v>
      </c>
      <c r="C128" s="459">
        <f>C94*Group_3_rates!E90</f>
        <v>79.882699577845614</v>
      </c>
      <c r="D128" s="459">
        <f>D94*Group_3_rates!F90</f>
        <v>75.016000583574268</v>
      </c>
      <c r="E128" s="459">
        <f>E94*Group_3_rates!G90</f>
        <v>73.304793027333886</v>
      </c>
      <c r="F128" s="459">
        <f>F94*Group_3_rates!H90</f>
        <v>73.076715058294354</v>
      </c>
      <c r="G128" s="459">
        <f>G94*Group_3_rates!I90</f>
        <v>73.461347968953916</v>
      </c>
      <c r="H128" s="459">
        <f>H94*Group_3_rates!J90</f>
        <v>73.94046403669833</v>
      </c>
      <c r="I128" s="459">
        <f>I94*Group_3_rates!K90</f>
        <v>74.469284932183243</v>
      </c>
      <c r="J128" s="459">
        <f>J94*Group_3_rates!L90</f>
        <v>75.091147615904575</v>
      </c>
      <c r="K128" s="459">
        <f>K94*Group_3_rates!M90</f>
        <v>75.636071384830501</v>
      </c>
      <c r="L128" s="459">
        <f>L94*Group_3_rates!N90</f>
        <v>75.463945984457979</v>
      </c>
      <c r="M128" s="459">
        <f>M94*Group_3_rates!O90</f>
        <v>75.036871010453922</v>
      </c>
      <c r="N128" s="459">
        <f>N94*Group_3_rates!P90</f>
        <v>74.441785792016219</v>
      </c>
      <c r="O128" s="327"/>
      <c r="P128" s="327"/>
      <c r="Q128" s="327"/>
    </row>
    <row r="129" spans="1:17">
      <c r="B129" s="338" t="str">
        <f t="shared" si="52"/>
        <v>30-34</v>
      </c>
      <c r="C129" s="459">
        <f>C95*Group_3_rates!E91</f>
        <v>81.057659679327557</v>
      </c>
      <c r="D129" s="459">
        <f>D95*Group_3_rates!F91</f>
        <v>80.31605021512182</v>
      </c>
      <c r="E129" s="459">
        <f>E95*Group_3_rates!G91</f>
        <v>79.595419976916958</v>
      </c>
      <c r="F129" s="459">
        <f>F95*Group_3_rates!H91</f>
        <v>78.989682425120293</v>
      </c>
      <c r="G129" s="459">
        <f>G95*Group_3_rates!I91</f>
        <v>78.532464689739541</v>
      </c>
      <c r="H129" s="459">
        <f>H95*Group_3_rates!J91</f>
        <v>78.168914579832759</v>
      </c>
      <c r="I129" s="459">
        <f>I95*Group_3_rates!K91</f>
        <v>77.952457101276707</v>
      </c>
      <c r="J129" s="459">
        <f>J95*Group_3_rates!L91</f>
        <v>77.927883477205341</v>
      </c>
      <c r="K129" s="459">
        <f>K95*Group_3_rates!M91</f>
        <v>77.997833068768671</v>
      </c>
      <c r="L129" s="459">
        <f>L95*Group_3_rates!N91</f>
        <v>77.771092347898474</v>
      </c>
      <c r="M129" s="459">
        <f>M95*Group_3_rates!O91</f>
        <v>77.421205937840455</v>
      </c>
      <c r="N129" s="459">
        <f>N95*Group_3_rates!P91</f>
        <v>76.964018865509587</v>
      </c>
      <c r="O129" s="327"/>
      <c r="P129" s="327"/>
      <c r="Q129" s="327"/>
    </row>
    <row r="130" spans="1:17">
      <c r="B130" s="338" t="str">
        <f t="shared" si="52"/>
        <v>35-39</v>
      </c>
      <c r="C130" s="459">
        <f>C96*Group_3_rates!E92</f>
        <v>67.474730438607196</v>
      </c>
      <c r="D130" s="459">
        <f>D96*Group_3_rates!F92</f>
        <v>67.570019660958025</v>
      </c>
      <c r="E130" s="459">
        <f>E96*Group_3_rates!G92</f>
        <v>67.90227921357031</v>
      </c>
      <c r="F130" s="459">
        <f>F96*Group_3_rates!H92</f>
        <v>68.152282084185913</v>
      </c>
      <c r="G130" s="459">
        <f>G96*Group_3_rates!I92</f>
        <v>68.249186149165851</v>
      </c>
      <c r="H130" s="459">
        <f>H96*Group_3_rates!J92</f>
        <v>68.187697806859717</v>
      </c>
      <c r="I130" s="459">
        <f>I96*Group_3_rates!K92</f>
        <v>68.062064510175787</v>
      </c>
      <c r="J130" s="459">
        <f>J96*Group_3_rates!L92</f>
        <v>67.958499317042865</v>
      </c>
      <c r="K130" s="459">
        <f>K96*Group_3_rates!M92</f>
        <v>67.867062643571899</v>
      </c>
      <c r="L130" s="459">
        <f>L96*Group_3_rates!N92</f>
        <v>67.593047663668159</v>
      </c>
      <c r="M130" s="459">
        <f>M96*Group_3_rates!O92</f>
        <v>67.262458383644926</v>
      </c>
      <c r="N130" s="459">
        <f>N96*Group_3_rates!P92</f>
        <v>66.885165774961607</v>
      </c>
      <c r="O130" s="327"/>
      <c r="P130" s="327"/>
      <c r="Q130" s="327"/>
    </row>
    <row r="131" spans="1:17">
      <c r="B131" s="338" t="str">
        <f t="shared" si="52"/>
        <v>40-44</v>
      </c>
      <c r="C131" s="459">
        <f>C97*Group_3_rates!E93</f>
        <v>55.962701288257591</v>
      </c>
      <c r="D131" s="459">
        <f>D97*Group_3_rates!F93</f>
        <v>56.649759601378285</v>
      </c>
      <c r="E131" s="459">
        <f>E97*Group_3_rates!G93</f>
        <v>57.480250080647203</v>
      </c>
      <c r="F131" s="459">
        <f>F97*Group_3_rates!H93</f>
        <v>58.252041418455072</v>
      </c>
      <c r="G131" s="459">
        <f>G97*Group_3_rates!I93</f>
        <v>58.87733412843744</v>
      </c>
      <c r="H131" s="459">
        <f>H97*Group_3_rates!J93</f>
        <v>59.311506622975934</v>
      </c>
      <c r="I131" s="459">
        <f>I97*Group_3_rates!K93</f>
        <v>59.605800001325726</v>
      </c>
      <c r="J131" s="459">
        <f>J97*Group_3_rates!L93</f>
        <v>59.820920466978251</v>
      </c>
      <c r="K131" s="459">
        <f>K97*Group_3_rates!M93</f>
        <v>59.952724118445509</v>
      </c>
      <c r="L131" s="459">
        <f>L97*Group_3_rates!N93</f>
        <v>59.860704456621875</v>
      </c>
      <c r="M131" s="459">
        <f>M97*Group_3_rates!O93</f>
        <v>59.672352161296885</v>
      </c>
      <c r="N131" s="459">
        <f>N97*Group_3_rates!P93</f>
        <v>59.415235652890182</v>
      </c>
      <c r="O131" s="327"/>
      <c r="P131" s="327"/>
      <c r="Q131" s="327"/>
    </row>
    <row r="132" spans="1:17">
      <c r="B132" s="338" t="str">
        <f t="shared" si="52"/>
        <v>45-49</v>
      </c>
      <c r="C132" s="459">
        <f>C98*Group_3_rates!E94</f>
        <v>39.08479040354397</v>
      </c>
      <c r="D132" s="459">
        <f>D98*Group_3_rates!F94</f>
        <v>42.435410258987666</v>
      </c>
      <c r="E132" s="459">
        <f>E98*Group_3_rates!G94</f>
        <v>45.290752602600179</v>
      </c>
      <c r="F132" s="459">
        <f>F98*Group_3_rates!H94</f>
        <v>47.634772074563486</v>
      </c>
      <c r="G132" s="459">
        <f>G98*Group_3_rates!I94</f>
        <v>49.516423642332732</v>
      </c>
      <c r="H132" s="459">
        <f>H98*Group_3_rates!J94</f>
        <v>50.98247947066573</v>
      </c>
      <c r="I132" s="459">
        <f>I98*Group_3_rates!K94</f>
        <v>52.130853090849634</v>
      </c>
      <c r="J132" s="459">
        <f>J98*Group_3_rates!L94</f>
        <v>53.048720105147417</v>
      </c>
      <c r="K132" s="459">
        <f>K98*Group_3_rates!M94</f>
        <v>53.757516797698287</v>
      </c>
      <c r="L132" s="459">
        <f>L98*Group_3_rates!N94</f>
        <v>54.157236132434498</v>
      </c>
      <c r="M132" s="459">
        <f>M98*Group_3_rates!O94</f>
        <v>54.372250735947816</v>
      </c>
      <c r="N132" s="459">
        <f>N98*Group_3_rates!P94</f>
        <v>54.443359022707661</v>
      </c>
      <c r="O132" s="327"/>
      <c r="P132" s="327"/>
      <c r="Q132" s="327"/>
    </row>
    <row r="133" spans="1:17">
      <c r="B133" s="338" t="str">
        <f t="shared" si="52"/>
        <v>50-54</v>
      </c>
      <c r="C133" s="459">
        <f>C99*Group_3_rates!E95</f>
        <v>38.997594277702795</v>
      </c>
      <c r="D133" s="459">
        <f>D99*Group_3_rates!F95</f>
        <v>38.055198141630896</v>
      </c>
      <c r="E133" s="459">
        <f>E99*Group_3_rates!G95</f>
        <v>38.28214704296515</v>
      </c>
      <c r="F133" s="459">
        <f>F99*Group_3_rates!H95</f>
        <v>39.094163128908001</v>
      </c>
      <c r="G133" s="459">
        <f>G99*Group_3_rates!I95</f>
        <v>40.15550448663889</v>
      </c>
      <c r="H133" s="459">
        <f>H99*Group_3_rates!J95</f>
        <v>41.260620202693403</v>
      </c>
      <c r="I133" s="459">
        <f>I99*Group_3_rates!K95</f>
        <v>42.332681994001888</v>
      </c>
      <c r="J133" s="459">
        <f>J99*Group_3_rates!L95</f>
        <v>43.341450220988825</v>
      </c>
      <c r="K133" s="459">
        <f>K99*Group_3_rates!M95</f>
        <v>44.238263486401635</v>
      </c>
      <c r="L133" s="459">
        <f>L99*Group_3_rates!N95</f>
        <v>44.897902150720526</v>
      </c>
      <c r="M133" s="459">
        <f>M99*Group_3_rates!O95</f>
        <v>45.397052024079208</v>
      </c>
      <c r="N133" s="459">
        <f>N99*Group_3_rates!P95</f>
        <v>45.753308793084358</v>
      </c>
      <c r="O133" s="327"/>
      <c r="P133" s="327"/>
      <c r="Q133" s="327"/>
    </row>
    <row r="134" spans="1:17">
      <c r="B134" s="338" t="str">
        <f t="shared" si="52"/>
        <v>55-59</v>
      </c>
      <c r="C134" s="459">
        <f>C100*Group_3_rates!E96</f>
        <v>20.604241903138416</v>
      </c>
      <c r="D134" s="459">
        <f>D100*Group_3_rates!F96</f>
        <v>17.769618624609897</v>
      </c>
      <c r="E134" s="459">
        <f>E100*Group_3_rates!G96</f>
        <v>16.06098493411185</v>
      </c>
      <c r="F134" s="459">
        <f>F100*Group_3_rates!H96</f>
        <v>15.094285355299657</v>
      </c>
      <c r="G134" s="459">
        <f>G100*Group_3_rates!I96</f>
        <v>14.610170727611612</v>
      </c>
      <c r="H134" s="459">
        <f>H100*Group_3_rates!J96</f>
        <v>14.425742230707918</v>
      </c>
      <c r="I134" s="459">
        <f>I100*Group_3_rates!K96</f>
        <v>14.434581494972049</v>
      </c>
      <c r="J134" s="459">
        <f>J100*Group_3_rates!L96</f>
        <v>14.566287125542281</v>
      </c>
      <c r="K134" s="459">
        <f>K100*Group_3_rates!M96</f>
        <v>14.755620277654158</v>
      </c>
      <c r="L134" s="459">
        <f>L100*Group_3_rates!N96</f>
        <v>14.916393207494215</v>
      </c>
      <c r="M134" s="459">
        <f>M100*Group_3_rates!O96</f>
        <v>15.064497108300056</v>
      </c>
      <c r="N134" s="459">
        <f>N100*Group_3_rates!P96</f>
        <v>15.190794345682642</v>
      </c>
      <c r="O134" s="327"/>
      <c r="P134" s="327"/>
      <c r="Q134" s="327"/>
    </row>
    <row r="135" spans="1:17">
      <c r="B135" s="338" t="str">
        <f t="shared" si="52"/>
        <v>60-64</v>
      </c>
      <c r="C135" s="459">
        <f>C101*Group_3_rates!E97</f>
        <v>3.4551679383959839</v>
      </c>
      <c r="D135" s="459">
        <f>D101*Group_3_rates!F97</f>
        <v>3.1501137714372907</v>
      </c>
      <c r="E135" s="459">
        <f>E101*Group_3_rates!G97</f>
        <v>2.8503653162892983</v>
      </c>
      <c r="F135" s="459">
        <f>F101*Group_3_rates!H97</f>
        <v>2.6105152560148555</v>
      </c>
      <c r="G135" s="459">
        <f>G101*Group_3_rates!I97</f>
        <v>2.4393682673574535</v>
      </c>
      <c r="H135" s="459">
        <f>H101*Group_3_rates!J97</f>
        <v>2.3266722131652759</v>
      </c>
      <c r="I135" s="459">
        <f>I101*Group_3_rates!K97</f>
        <v>2.2620594514550825</v>
      </c>
      <c r="J135" s="459">
        <f>J101*Group_3_rates!L97</f>
        <v>2.234402877153848</v>
      </c>
      <c r="K135" s="459">
        <f>K101*Group_3_rates!M97</f>
        <v>2.2295269426252826</v>
      </c>
      <c r="L135" s="459">
        <f>L101*Group_3_rates!N97</f>
        <v>2.2271010223054266</v>
      </c>
      <c r="M135" s="459">
        <f>M101*Group_3_rates!O97</f>
        <v>2.2311566443836237</v>
      </c>
      <c r="N135" s="459">
        <f>N101*Group_3_rates!P97</f>
        <v>2.2382505082745712</v>
      </c>
      <c r="O135" s="327"/>
      <c r="P135" s="327"/>
      <c r="Q135" s="327"/>
    </row>
    <row r="136" spans="1:17">
      <c r="B136" s="338" t="str">
        <f t="shared" si="52"/>
        <v>65 plus</v>
      </c>
      <c r="C136" s="459">
        <f>C102*Group_3_rates!E98</f>
        <v>1.1878449673458842</v>
      </c>
      <c r="D136" s="459">
        <f>D102*Group_3_rates!F98</f>
        <v>1.3051225018522863</v>
      </c>
      <c r="E136" s="459">
        <f>E102*Group_3_rates!G98</f>
        <v>1.3240676740420065</v>
      </c>
      <c r="F136" s="459">
        <f>F102*Group_3_rates!H98</f>
        <v>1.2870027687648713</v>
      </c>
      <c r="G136" s="459">
        <f>G102*Group_3_rates!I98</f>
        <v>1.2287135828838396</v>
      </c>
      <c r="H136" s="459">
        <f>H102*Group_3_rates!J98</f>
        <v>1.1692425592176887</v>
      </c>
      <c r="I136" s="459">
        <f>I102*Group_3_rates!K98</f>
        <v>1.1201385615542854</v>
      </c>
      <c r="J136" s="459">
        <f>J102*Group_3_rates!L98</f>
        <v>1.0856445005857311</v>
      </c>
      <c r="K136" s="459">
        <f>K102*Group_3_rates!M98</f>
        <v>1.0635067324960934</v>
      </c>
      <c r="L136" s="459">
        <f>L102*Group_3_rates!N98</f>
        <v>1.0449490639709591</v>
      </c>
      <c r="M136" s="459">
        <f>M102*Group_3_rates!O98</f>
        <v>1.032511343203939</v>
      </c>
      <c r="N136" s="459">
        <f>N102*Group_3_rates!P98</f>
        <v>1.024684305099155</v>
      </c>
      <c r="O136" s="327"/>
      <c r="P136" s="327"/>
      <c r="Q136" s="327"/>
    </row>
    <row r="137" spans="1:17">
      <c r="B137" s="338" t="str">
        <f t="shared" si="52"/>
        <v>Total</v>
      </c>
      <c r="C137" s="459">
        <f>SUM(C127:C136)</f>
        <v>413.95620842614989</v>
      </c>
      <c r="D137" s="459">
        <f t="shared" ref="D137:N137" si="54">SUM(D127:D136)</f>
        <v>412.93982232372389</v>
      </c>
      <c r="E137" s="459">
        <f t="shared" si="54"/>
        <v>416.98108473905944</v>
      </c>
      <c r="F137" s="459">
        <f t="shared" si="54"/>
        <v>422.43690616496883</v>
      </c>
      <c r="G137" s="459">
        <f t="shared" si="54"/>
        <v>427.74912536285382</v>
      </c>
      <c r="H137" s="459">
        <f t="shared" si="54"/>
        <v>432.03317041050155</v>
      </c>
      <c r="I137" s="459">
        <f t="shared" si="54"/>
        <v>435.70413559580697</v>
      </c>
      <c r="J137" s="459">
        <f t="shared" si="54"/>
        <v>439.24467142147154</v>
      </c>
      <c r="K137" s="459">
        <f t="shared" si="54"/>
        <v>442.23334338479071</v>
      </c>
      <c r="L137" s="459">
        <f t="shared" si="54"/>
        <v>442.47070037983161</v>
      </c>
      <c r="M137" s="459">
        <f t="shared" si="54"/>
        <v>441.63816499227397</v>
      </c>
      <c r="N137" s="459">
        <f t="shared" si="54"/>
        <v>440.01847950468459</v>
      </c>
      <c r="O137" s="327"/>
      <c r="P137" s="327"/>
      <c r="Q137" s="327"/>
    </row>
    <row r="138" spans="1:17">
      <c r="A138" s="309">
        <f>SUM(C138:N138)</f>
        <v>0</v>
      </c>
      <c r="C138" s="309">
        <f>SUM(C127:C136)-C137</f>
        <v>0</v>
      </c>
      <c r="D138" s="309">
        <f t="shared" ref="D138:N138" si="55">SUM(D127:D136)-D137</f>
        <v>0</v>
      </c>
      <c r="E138" s="309">
        <f t="shared" si="55"/>
        <v>0</v>
      </c>
      <c r="F138" s="309">
        <f t="shared" si="55"/>
        <v>0</v>
      </c>
      <c r="G138" s="309">
        <f t="shared" si="55"/>
        <v>0</v>
      </c>
      <c r="H138" s="309">
        <f t="shared" si="55"/>
        <v>0</v>
      </c>
      <c r="I138" s="309">
        <f t="shared" si="55"/>
        <v>0</v>
      </c>
      <c r="J138" s="309">
        <f t="shared" si="55"/>
        <v>0</v>
      </c>
      <c r="K138" s="309">
        <f t="shared" si="55"/>
        <v>0</v>
      </c>
      <c r="L138" s="309">
        <f t="shared" si="55"/>
        <v>0</v>
      </c>
      <c r="M138" s="309">
        <f t="shared" si="55"/>
        <v>0</v>
      </c>
      <c r="N138" s="309">
        <f t="shared" si="55"/>
        <v>0</v>
      </c>
    </row>
    <row r="140" spans="1:17" ht="15.75">
      <c r="B140" s="340" t="s">
        <v>152</v>
      </c>
      <c r="H140" s="325"/>
    </row>
    <row r="141" spans="1:17">
      <c r="H141" s="325"/>
    </row>
    <row r="142" spans="1:17">
      <c r="B142" s="341" t="s">
        <v>49</v>
      </c>
      <c r="H142" s="325"/>
    </row>
    <row r="143" spans="1:17">
      <c r="H143" s="325"/>
    </row>
    <row r="144" spans="1:17">
      <c r="B144" s="338" t="str">
        <f t="shared" ref="B144:B155" si="56">B110</f>
        <v>Age group</v>
      </c>
      <c r="C144" s="338" t="str">
        <f t="shared" ref="C144:N144" si="57">C110</f>
        <v>2016/17</v>
      </c>
      <c r="D144" s="338" t="str">
        <f t="shared" si="57"/>
        <v>2017/18</v>
      </c>
      <c r="E144" s="338" t="str">
        <f t="shared" si="57"/>
        <v>2018/19</v>
      </c>
      <c r="F144" s="338" t="str">
        <f t="shared" si="57"/>
        <v>2019/20</v>
      </c>
      <c r="G144" s="338" t="str">
        <f t="shared" si="57"/>
        <v>2020/21</v>
      </c>
      <c r="H144" s="338" t="str">
        <f t="shared" si="57"/>
        <v>2021/22</v>
      </c>
      <c r="I144" s="338" t="str">
        <f t="shared" si="57"/>
        <v>2022/23</v>
      </c>
      <c r="J144" s="338" t="str">
        <f t="shared" si="57"/>
        <v>2023/24</v>
      </c>
      <c r="K144" s="338" t="str">
        <f t="shared" si="57"/>
        <v>2024/25</v>
      </c>
      <c r="L144" s="338" t="str">
        <f t="shared" si="57"/>
        <v>2025/26</v>
      </c>
      <c r="M144" s="338" t="str">
        <f t="shared" si="57"/>
        <v>2026/27</v>
      </c>
      <c r="N144" s="338" t="str">
        <f t="shared" si="57"/>
        <v>2027/28</v>
      </c>
    </row>
    <row r="145" spans="1:15">
      <c r="B145" s="338" t="str">
        <f t="shared" si="56"/>
        <v>20-24</v>
      </c>
      <c r="C145" s="459">
        <f>C77*Calc_SEC_retirement_rates!$G124</f>
        <v>0</v>
      </c>
      <c r="D145" s="459">
        <f>D77*Calc_SEC_retirement_rates!$G124</f>
        <v>0</v>
      </c>
      <c r="E145" s="459">
        <f>E77*Calc_SEC_retirement_rates!$G124</f>
        <v>0</v>
      </c>
      <c r="F145" s="459">
        <f>F77*Calc_SEC_retirement_rates!$G124</f>
        <v>0</v>
      </c>
      <c r="G145" s="459">
        <f>G77*Calc_SEC_retirement_rates!$G124</f>
        <v>0</v>
      </c>
      <c r="H145" s="459">
        <f>H77*Calc_SEC_retirement_rates!$G124</f>
        <v>0</v>
      </c>
      <c r="I145" s="459">
        <f>I77*Calc_SEC_retirement_rates!$G124</f>
        <v>0</v>
      </c>
      <c r="J145" s="459">
        <f>J77*Calc_SEC_retirement_rates!$G124</f>
        <v>0</v>
      </c>
      <c r="K145" s="459">
        <f>K77*Calc_SEC_retirement_rates!$G124</f>
        <v>0</v>
      </c>
      <c r="L145" s="459">
        <f>L77*Calc_SEC_retirement_rates!$G124</f>
        <v>0</v>
      </c>
      <c r="M145" s="459">
        <f>M77*Calc_SEC_retirement_rates!$G124</f>
        <v>0</v>
      </c>
      <c r="N145" s="459">
        <f>N77*Calc_SEC_retirement_rates!$G124</f>
        <v>0</v>
      </c>
      <c r="O145" s="327"/>
    </row>
    <row r="146" spans="1:15">
      <c r="B146" s="338" t="str">
        <f t="shared" si="56"/>
        <v>25-29</v>
      </c>
      <c r="C146" s="459">
        <f>C78*Calc_SEC_retirement_rates!$G125</f>
        <v>0</v>
      </c>
      <c r="D146" s="459">
        <f>D78*Calc_SEC_retirement_rates!$G125</f>
        <v>0</v>
      </c>
      <c r="E146" s="459">
        <f>E78*Calc_SEC_retirement_rates!$G125</f>
        <v>0</v>
      </c>
      <c r="F146" s="459">
        <f>F78*Calc_SEC_retirement_rates!$G125</f>
        <v>0</v>
      </c>
      <c r="G146" s="459">
        <f>G78*Calc_SEC_retirement_rates!$G125</f>
        <v>0</v>
      </c>
      <c r="H146" s="459">
        <f>H78*Calc_SEC_retirement_rates!$G125</f>
        <v>0</v>
      </c>
      <c r="I146" s="459">
        <f>I78*Calc_SEC_retirement_rates!$G125</f>
        <v>0</v>
      </c>
      <c r="J146" s="459">
        <f>J78*Calc_SEC_retirement_rates!$G125</f>
        <v>0</v>
      </c>
      <c r="K146" s="459">
        <f>K78*Calc_SEC_retirement_rates!$G125</f>
        <v>0</v>
      </c>
      <c r="L146" s="459">
        <f>L78*Calc_SEC_retirement_rates!$G125</f>
        <v>0</v>
      </c>
      <c r="M146" s="459">
        <f>M78*Calc_SEC_retirement_rates!$G125</f>
        <v>0</v>
      </c>
      <c r="N146" s="459">
        <f>N78*Calc_SEC_retirement_rates!$G125</f>
        <v>0</v>
      </c>
      <c r="O146" s="327"/>
    </row>
    <row r="147" spans="1:15">
      <c r="B147" s="338" t="str">
        <f t="shared" si="56"/>
        <v>30-34</v>
      </c>
      <c r="C147" s="459">
        <f>C79*Calc_SEC_retirement_rates!$G126</f>
        <v>0</v>
      </c>
      <c r="D147" s="459">
        <f>D79*Calc_SEC_retirement_rates!$G126</f>
        <v>0</v>
      </c>
      <c r="E147" s="459">
        <f>E79*Calc_SEC_retirement_rates!$G126</f>
        <v>0</v>
      </c>
      <c r="F147" s="459">
        <f>F79*Calc_SEC_retirement_rates!$G126</f>
        <v>0</v>
      </c>
      <c r="G147" s="459">
        <f>G79*Calc_SEC_retirement_rates!$G126</f>
        <v>0</v>
      </c>
      <c r="H147" s="459">
        <f>H79*Calc_SEC_retirement_rates!$G126</f>
        <v>0</v>
      </c>
      <c r="I147" s="459">
        <f>I79*Calc_SEC_retirement_rates!$G126</f>
        <v>0</v>
      </c>
      <c r="J147" s="459">
        <f>J79*Calc_SEC_retirement_rates!$G126</f>
        <v>0</v>
      </c>
      <c r="K147" s="459">
        <f>K79*Calc_SEC_retirement_rates!$G126</f>
        <v>0</v>
      </c>
      <c r="L147" s="459">
        <f>L79*Calc_SEC_retirement_rates!$G126</f>
        <v>0</v>
      </c>
      <c r="M147" s="459">
        <f>M79*Calc_SEC_retirement_rates!$G126</f>
        <v>0</v>
      </c>
      <c r="N147" s="459">
        <f>N79*Calc_SEC_retirement_rates!$G126</f>
        <v>0</v>
      </c>
      <c r="O147" s="327"/>
    </row>
    <row r="148" spans="1:15">
      <c r="B148" s="338" t="str">
        <f t="shared" si="56"/>
        <v>35-39</v>
      </c>
      <c r="C148" s="459">
        <f>C80*Calc_SEC_retirement_rates!$G127</f>
        <v>0.16240596570347718</v>
      </c>
      <c r="D148" s="459">
        <f>D80*Calc_SEC_retirement_rates!$G127</f>
        <v>0.15959651483473145</v>
      </c>
      <c r="E148" s="459">
        <f>E80*Calc_SEC_retirement_rates!$G127</f>
        <v>0.15772947264213694</v>
      </c>
      <c r="F148" s="459">
        <f>F80*Calc_SEC_retirement_rates!$G127</f>
        <v>0.15650609827925216</v>
      </c>
      <c r="G148" s="459">
        <f>G80*Calc_SEC_retirement_rates!$G127</f>
        <v>0.15585637004771363</v>
      </c>
      <c r="H148" s="459">
        <f>H80*Calc_SEC_retirement_rates!$G127</f>
        <v>0.1556873940998513</v>
      </c>
      <c r="I148" s="459">
        <f>I80*Calc_SEC_retirement_rates!$G127</f>
        <v>0.15605536098254164</v>
      </c>
      <c r="J148" s="459">
        <f>J80*Calc_SEC_retirement_rates!$G127</f>
        <v>0.15698037831123957</v>
      </c>
      <c r="K148" s="459">
        <f>K80*Calc_SEC_retirement_rates!$G127</f>
        <v>0.1582762830891338</v>
      </c>
      <c r="L148" s="459">
        <f>L80*Calc_SEC_retirement_rates!$G127</f>
        <v>0.15935975732965468</v>
      </c>
      <c r="M148" s="459">
        <f>M80*Calc_SEC_retirement_rates!$G127</f>
        <v>0.16039144281640996</v>
      </c>
      <c r="N148" s="459">
        <f>N80*Calc_SEC_retirement_rates!$G127</f>
        <v>0.16130154323338669</v>
      </c>
      <c r="O148" s="327"/>
    </row>
    <row r="149" spans="1:15">
      <c r="B149" s="338" t="str">
        <f t="shared" si="56"/>
        <v>40-44</v>
      </c>
      <c r="C149" s="459">
        <f>C81*Calc_SEC_retirement_rates!$G128</f>
        <v>0.19011455263726559</v>
      </c>
      <c r="D149" s="459">
        <f>D81*Calc_SEC_retirement_rates!$G128</f>
        <v>0.19066640151511949</v>
      </c>
      <c r="E149" s="459">
        <f>E81*Calc_SEC_retirement_rates!$G128</f>
        <v>0.19133061203701218</v>
      </c>
      <c r="F149" s="459">
        <f>F81*Calc_SEC_retirement_rates!$G128</f>
        <v>0.1916800975035427</v>
      </c>
      <c r="G149" s="459">
        <f>G81*Calc_SEC_retirement_rates!$G128</f>
        <v>0.19168152106581932</v>
      </c>
      <c r="H149" s="459">
        <f>H81*Calc_SEC_retirement_rates!$G128</f>
        <v>0.19139215213424901</v>
      </c>
      <c r="I149" s="459">
        <f>I81*Calc_SEC_retirement_rates!$G128</f>
        <v>0.19108972021461357</v>
      </c>
      <c r="J149" s="459">
        <f>J81*Calc_SEC_retirement_rates!$G128</f>
        <v>0.1910131710630294</v>
      </c>
      <c r="K149" s="459">
        <f>K81*Calc_SEC_retirement_rates!$G128</f>
        <v>0.19115103209045703</v>
      </c>
      <c r="L149" s="459">
        <f>L81*Calc_SEC_retirement_rates!$G128</f>
        <v>0.19103990574682025</v>
      </c>
      <c r="M149" s="459">
        <f>M81*Calc_SEC_retirement_rates!$G128</f>
        <v>0.19099842920158194</v>
      </c>
      <c r="N149" s="459">
        <f>N81*Calc_SEC_retirement_rates!$G128</f>
        <v>0.19103362333557442</v>
      </c>
      <c r="O149" s="327"/>
    </row>
    <row r="150" spans="1:15">
      <c r="B150" s="338" t="str">
        <f t="shared" si="56"/>
        <v>45-49</v>
      </c>
      <c r="C150" s="459">
        <f>C82*Calc_SEC_retirement_rates!$G129</f>
        <v>0.35860406252899452</v>
      </c>
      <c r="D150" s="459">
        <f>D82*Calc_SEC_retirement_rates!$G129</f>
        <v>0.37187094967520901</v>
      </c>
      <c r="E150" s="459">
        <f>E82*Calc_SEC_retirement_rates!$G129</f>
        <v>0.38374705770152967</v>
      </c>
      <c r="F150" s="459">
        <f>F82*Calc_SEC_retirement_rates!$G129</f>
        <v>0.39340488974883148</v>
      </c>
      <c r="G150" s="459">
        <f>G82*Calc_SEC_retirement_rates!$G129</f>
        <v>0.40074946593467964</v>
      </c>
      <c r="H150" s="459">
        <f>H82*Calc_SEC_retirement_rates!$G129</f>
        <v>0.40589275067829605</v>
      </c>
      <c r="I150" s="459">
        <f>I82*Calc_SEC_retirement_rates!$G129</f>
        <v>0.40945696031856987</v>
      </c>
      <c r="J150" s="459">
        <f>J82*Calc_SEC_retirement_rates!$G129</f>
        <v>0.41206529819240939</v>
      </c>
      <c r="K150" s="459">
        <f>K82*Calc_SEC_retirement_rates!$G129</f>
        <v>0.41389909396090302</v>
      </c>
      <c r="L150" s="459">
        <f>L82*Calc_SEC_retirement_rates!$G129</f>
        <v>0.41426803532710493</v>
      </c>
      <c r="M150" s="459">
        <f>M82*Calc_SEC_retirement_rates!$G129</f>
        <v>0.41405373738785978</v>
      </c>
      <c r="N150" s="459">
        <f>N82*Calc_SEC_retirement_rates!$G129</f>
        <v>0.41351587793127431</v>
      </c>
      <c r="O150" s="327"/>
    </row>
    <row r="151" spans="1:15">
      <c r="B151" s="338" t="str">
        <f t="shared" si="56"/>
        <v>50-54</v>
      </c>
      <c r="C151" s="459">
        <f>C83*Calc_SEC_retirement_rates!$G130</f>
        <v>7.2542514625451213</v>
      </c>
      <c r="D151" s="459">
        <f>D83*Calc_SEC_retirement_rates!$G130</f>
        <v>6.9969175303468072</v>
      </c>
      <c r="E151" s="459">
        <f>E83*Calc_SEC_retirement_rates!$G130</f>
        <v>6.8994025972550519</v>
      </c>
      <c r="F151" s="459">
        <f>F83*Calc_SEC_retirement_rates!$G130</f>
        <v>6.889123081029088</v>
      </c>
      <c r="G151" s="459">
        <f>G83*Calc_SEC_retirement_rates!$G130</f>
        <v>6.9228519348450179</v>
      </c>
      <c r="H151" s="459">
        <f>H83*Calc_SEC_retirement_rates!$G130</f>
        <v>6.9727106382629191</v>
      </c>
      <c r="I151" s="459">
        <f>I83*Calc_SEC_retirement_rates!$G130</f>
        <v>7.0279075138267064</v>
      </c>
      <c r="J151" s="459">
        <f>J83*Calc_SEC_retirement_rates!$G130</f>
        <v>7.0839611336486268</v>
      </c>
      <c r="K151" s="459">
        <f>K83*Calc_SEC_retirement_rates!$G130</f>
        <v>7.1337714652518835</v>
      </c>
      <c r="L151" s="459">
        <f>L83*Calc_SEC_retirement_rates!$G130</f>
        <v>7.1593168749985212</v>
      </c>
      <c r="M151" s="459">
        <f>M83*Calc_SEC_retirement_rates!$G130</f>
        <v>7.1717429428243289</v>
      </c>
      <c r="N151" s="459">
        <f>N83*Calc_SEC_retirement_rates!$G130</f>
        <v>7.173660939681767</v>
      </c>
      <c r="O151" s="327"/>
    </row>
    <row r="152" spans="1:15">
      <c r="B152" s="338" t="str">
        <f t="shared" si="56"/>
        <v>55-59</v>
      </c>
      <c r="C152" s="459">
        <f>C84*Calc_SEC_retirement_rates!$G131</f>
        <v>37.186265652749775</v>
      </c>
      <c r="D152" s="459">
        <f>D84*Calc_SEC_retirement_rates!$G131</f>
        <v>33.435425529161442</v>
      </c>
      <c r="E152" s="459">
        <f>E84*Calc_SEC_retirement_rates!$G131</f>
        <v>31.032401600267168</v>
      </c>
      <c r="F152" s="459">
        <f>F84*Calc_SEC_retirement_rates!$G131</f>
        <v>29.531893306730989</v>
      </c>
      <c r="G152" s="459">
        <f>G84*Calc_SEC_retirement_rates!$G131</f>
        <v>28.635327664028026</v>
      </c>
      <c r="H152" s="459">
        <f>H84*Calc_SEC_retirement_rates!$G131</f>
        <v>28.125621303999434</v>
      </c>
      <c r="I152" s="459">
        <f>I84*Calc_SEC_retirement_rates!$G131</f>
        <v>27.881642786471531</v>
      </c>
      <c r="J152" s="459">
        <f>J84*Calc_SEC_retirement_rates!$G131</f>
        <v>27.820615072243083</v>
      </c>
      <c r="K152" s="459">
        <f>K84*Calc_SEC_retirement_rates!$G131</f>
        <v>27.854112259214418</v>
      </c>
      <c r="L152" s="459">
        <f>L84*Calc_SEC_retirement_rates!$G131</f>
        <v>27.849579298188655</v>
      </c>
      <c r="M152" s="459">
        <f>M84*Calc_SEC_retirement_rates!$G131</f>
        <v>27.843094192470918</v>
      </c>
      <c r="N152" s="459">
        <f>N84*Calc_SEC_retirement_rates!$G131</f>
        <v>27.82450507500192</v>
      </c>
      <c r="O152" s="327"/>
    </row>
    <row r="153" spans="1:15">
      <c r="B153" s="338" t="str">
        <f t="shared" si="56"/>
        <v>60-64</v>
      </c>
      <c r="C153" s="459">
        <f>C85*Calc_SEC_retirement_rates!$G132</f>
        <v>31.781462178809974</v>
      </c>
      <c r="D153" s="459">
        <f>D85*Calc_SEC_retirement_rates!$G132</f>
        <v>26.92606231069184</v>
      </c>
      <c r="E153" s="459">
        <f>E85*Calc_SEC_retirement_rates!$G132</f>
        <v>23.746312584987784</v>
      </c>
      <c r="F153" s="459">
        <f>F85*Calc_SEC_retirement_rates!$G132</f>
        <v>21.627221677491917</v>
      </c>
      <c r="G153" s="459">
        <f>G85*Calc_SEC_retirement_rates!$G132</f>
        <v>20.213824038160872</v>
      </c>
      <c r="H153" s="459">
        <f>H85*Calc_SEC_retirement_rates!$G132</f>
        <v>19.272389653096525</v>
      </c>
      <c r="I153" s="459">
        <f>I85*Calc_SEC_retirement_rates!$G132</f>
        <v>18.675744964630105</v>
      </c>
      <c r="J153" s="459">
        <f>J85*Calc_SEC_retirement_rates!$G132</f>
        <v>18.33364450849248</v>
      </c>
      <c r="K153" s="459">
        <f>K85*Calc_SEC_retirement_rates!$G132</f>
        <v>18.148196857650714</v>
      </c>
      <c r="L153" s="459">
        <f>L85*Calc_SEC_retirement_rates!$G132</f>
        <v>17.980141400364108</v>
      </c>
      <c r="M153" s="459">
        <f>M85*Calc_SEC_retirement_rates!$G132</f>
        <v>17.861488947616646</v>
      </c>
      <c r="N153" s="459">
        <f>N85*Calc_SEC_retirement_rates!$G132</f>
        <v>17.772350364183378</v>
      </c>
      <c r="O153" s="327"/>
    </row>
    <row r="154" spans="1:15">
      <c r="B154" s="338" t="str">
        <f t="shared" si="56"/>
        <v>65 plus</v>
      </c>
      <c r="C154" s="459">
        <f>C86*Calc_SEC_retirement_rates!$G133</f>
        <v>11.143322812069083</v>
      </c>
      <c r="D154" s="459">
        <f>D86*Calc_SEC_retirement_rates!$G133</f>
        <v>11.12350574164601</v>
      </c>
      <c r="E154" s="459">
        <f>E86*Calc_SEC_retirement_rates!$G133</f>
        <v>10.508538363924835</v>
      </c>
      <c r="F154" s="459">
        <f>F86*Calc_SEC_retirement_rates!$G133</f>
        <v>9.7605536552944105</v>
      </c>
      <c r="G154" s="459">
        <f>G86*Calc_SEC_retirement_rates!$G133</f>
        <v>9.0683989486018532</v>
      </c>
      <c r="H154" s="459">
        <f>H86*Calc_SEC_retirement_rates!$G133</f>
        <v>8.4915977065568704</v>
      </c>
      <c r="I154" s="459">
        <f>I86*Calc_SEC_retirement_rates!$G133</f>
        <v>8.048271452875527</v>
      </c>
      <c r="J154" s="459">
        <f>J86*Calc_SEC_retirement_rates!$G133</f>
        <v>7.7319514972374819</v>
      </c>
      <c r="K154" s="459">
        <f>K86*Calc_SEC_retirement_rates!$G133</f>
        <v>7.5128177951652715</v>
      </c>
      <c r="L154" s="459">
        <f>L86*Calc_SEC_retirement_rates!$G133</f>
        <v>7.3319648947462719</v>
      </c>
      <c r="M154" s="459">
        <f>M86*Calc_SEC_retirement_rates!$G133</f>
        <v>7.1959561821455091</v>
      </c>
      <c r="N154" s="459">
        <f>N86*Calc_SEC_retirement_rates!$G133</f>
        <v>7.0935357943046169</v>
      </c>
      <c r="O154" s="327"/>
    </row>
    <row r="155" spans="1:15">
      <c r="B155" s="338" t="str">
        <f t="shared" si="56"/>
        <v>Total</v>
      </c>
      <c r="C155" s="459">
        <f>SUM(C145:C154)</f>
        <v>88.076426687043693</v>
      </c>
      <c r="D155" s="459">
        <f t="shared" ref="D155:N155" si="58">SUM(D145:D154)</f>
        <v>79.204044977871163</v>
      </c>
      <c r="E155" s="459">
        <f t="shared" si="58"/>
        <v>72.91946228881551</v>
      </c>
      <c r="F155" s="459">
        <f t="shared" si="58"/>
        <v>68.550382806078034</v>
      </c>
      <c r="G155" s="459">
        <f t="shared" si="58"/>
        <v>65.588689942683985</v>
      </c>
      <c r="H155" s="459">
        <f t="shared" si="58"/>
        <v>63.615291598828151</v>
      </c>
      <c r="I155" s="459">
        <f t="shared" si="58"/>
        <v>62.390168759319593</v>
      </c>
      <c r="J155" s="459">
        <f t="shared" si="58"/>
        <v>61.730231059188348</v>
      </c>
      <c r="K155" s="459">
        <f t="shared" si="58"/>
        <v>61.412224786422776</v>
      </c>
      <c r="L155" s="459">
        <f t="shared" si="58"/>
        <v>61.085670166701128</v>
      </c>
      <c r="M155" s="459">
        <f t="shared" si="58"/>
        <v>60.83772587446326</v>
      </c>
      <c r="N155" s="459">
        <f t="shared" si="58"/>
        <v>60.629903217671909</v>
      </c>
      <c r="O155" s="327"/>
    </row>
    <row r="156" spans="1:15">
      <c r="A156" s="309">
        <f>SUM(C156:N156)</f>
        <v>0</v>
      </c>
      <c r="C156" s="309">
        <f>SUM(C145:C154)-C155</f>
        <v>0</v>
      </c>
      <c r="D156" s="309">
        <f t="shared" ref="D156:N156" si="59">SUM(D145:D154)-D155</f>
        <v>0</v>
      </c>
      <c r="E156" s="309">
        <f t="shared" si="59"/>
        <v>0</v>
      </c>
      <c r="F156" s="309">
        <f t="shared" si="59"/>
        <v>0</v>
      </c>
      <c r="G156" s="309">
        <f t="shared" si="59"/>
        <v>0</v>
      </c>
      <c r="H156" s="309">
        <f t="shared" si="59"/>
        <v>0</v>
      </c>
      <c r="I156" s="309">
        <f t="shared" si="59"/>
        <v>0</v>
      </c>
      <c r="J156" s="309">
        <f t="shared" si="59"/>
        <v>0</v>
      </c>
      <c r="K156" s="309">
        <f t="shared" si="59"/>
        <v>0</v>
      </c>
      <c r="L156" s="309">
        <f t="shared" si="59"/>
        <v>0</v>
      </c>
      <c r="M156" s="309">
        <f t="shared" si="59"/>
        <v>0</v>
      </c>
      <c r="N156" s="309">
        <f t="shared" si="59"/>
        <v>0</v>
      </c>
    </row>
    <row r="158" spans="1:15">
      <c r="B158" s="341" t="s">
        <v>50</v>
      </c>
      <c r="C158" s="329"/>
      <c r="D158" s="329"/>
      <c r="E158" s="329"/>
      <c r="F158" s="329"/>
      <c r="G158" s="329"/>
      <c r="H158" s="339"/>
      <c r="I158" s="329"/>
      <c r="J158" s="329"/>
      <c r="K158" s="329"/>
      <c r="L158" s="329"/>
    </row>
    <row r="159" spans="1:15">
      <c r="C159" s="329"/>
      <c r="D159" s="329"/>
      <c r="E159" s="329"/>
      <c r="F159" s="329"/>
      <c r="G159" s="329"/>
      <c r="H159" s="339"/>
      <c r="I159" s="329"/>
      <c r="J159" s="329"/>
      <c r="K159" s="329"/>
      <c r="L159" s="329"/>
    </row>
    <row r="160" spans="1:15">
      <c r="B160" s="338" t="str">
        <f t="shared" ref="B160:B171" si="60">B144</f>
        <v>Age group</v>
      </c>
      <c r="C160" s="338" t="str">
        <f t="shared" ref="C160:N160" si="61">C144</f>
        <v>2016/17</v>
      </c>
      <c r="D160" s="338" t="str">
        <f t="shared" si="61"/>
        <v>2017/18</v>
      </c>
      <c r="E160" s="338" t="str">
        <f t="shared" si="61"/>
        <v>2018/19</v>
      </c>
      <c r="F160" s="338" t="str">
        <f t="shared" si="61"/>
        <v>2019/20</v>
      </c>
      <c r="G160" s="338" t="str">
        <f t="shared" si="61"/>
        <v>2020/21</v>
      </c>
      <c r="H160" s="338" t="str">
        <f t="shared" si="61"/>
        <v>2021/22</v>
      </c>
      <c r="I160" s="338" t="str">
        <f t="shared" si="61"/>
        <v>2022/23</v>
      </c>
      <c r="J160" s="338" t="str">
        <f t="shared" si="61"/>
        <v>2023/24</v>
      </c>
      <c r="K160" s="338" t="str">
        <f t="shared" si="61"/>
        <v>2024/25</v>
      </c>
      <c r="L160" s="338" t="str">
        <f t="shared" si="61"/>
        <v>2025/26</v>
      </c>
      <c r="M160" s="338" t="str">
        <f t="shared" si="61"/>
        <v>2026/27</v>
      </c>
      <c r="N160" s="338" t="str">
        <f t="shared" si="61"/>
        <v>2027/28</v>
      </c>
    </row>
    <row r="161" spans="1:17">
      <c r="B161" s="338" t="str">
        <f t="shared" si="60"/>
        <v>20-24</v>
      </c>
      <c r="C161" s="459">
        <f>C93*Calc_SEC_retirement_rates!$G140</f>
        <v>0</v>
      </c>
      <c r="D161" s="459">
        <f>D93*Calc_SEC_retirement_rates!$G140</f>
        <v>0</v>
      </c>
      <c r="E161" s="459">
        <f>E93*Calc_SEC_retirement_rates!$G140</f>
        <v>0</v>
      </c>
      <c r="F161" s="459">
        <f>F93*Calc_SEC_retirement_rates!$G140</f>
        <v>0</v>
      </c>
      <c r="G161" s="459">
        <f>G93*Calc_SEC_retirement_rates!$G140</f>
        <v>0</v>
      </c>
      <c r="H161" s="459">
        <f>H93*Calc_SEC_retirement_rates!$G140</f>
        <v>0</v>
      </c>
      <c r="I161" s="459">
        <f>I93*Calc_SEC_retirement_rates!$G140</f>
        <v>0</v>
      </c>
      <c r="J161" s="459">
        <f>J93*Calc_SEC_retirement_rates!$G140</f>
        <v>0</v>
      </c>
      <c r="K161" s="459">
        <f>K93*Calc_SEC_retirement_rates!$G140</f>
        <v>0</v>
      </c>
      <c r="L161" s="459">
        <f>L93*Calc_SEC_retirement_rates!$G140</f>
        <v>0</v>
      </c>
      <c r="M161" s="459">
        <f>M93*Calc_SEC_retirement_rates!$G140</f>
        <v>0</v>
      </c>
      <c r="N161" s="459">
        <f>N93*Calc_SEC_retirement_rates!$G140</f>
        <v>0</v>
      </c>
      <c r="O161" s="327"/>
      <c r="P161" s="327"/>
      <c r="Q161" s="327"/>
    </row>
    <row r="162" spans="1:17">
      <c r="B162" s="338" t="str">
        <f t="shared" si="60"/>
        <v>25-29</v>
      </c>
      <c r="C162" s="459">
        <f>C94*Calc_SEC_retirement_rates!$G141</f>
        <v>0</v>
      </c>
      <c r="D162" s="459">
        <f>D94*Calc_SEC_retirement_rates!$G141</f>
        <v>0</v>
      </c>
      <c r="E162" s="459">
        <f>E94*Calc_SEC_retirement_rates!$G141</f>
        <v>0</v>
      </c>
      <c r="F162" s="459">
        <f>F94*Calc_SEC_retirement_rates!$G141</f>
        <v>0</v>
      </c>
      <c r="G162" s="459">
        <f>G94*Calc_SEC_retirement_rates!$G141</f>
        <v>0</v>
      </c>
      <c r="H162" s="459">
        <f>H94*Calc_SEC_retirement_rates!$G141</f>
        <v>0</v>
      </c>
      <c r="I162" s="459">
        <f>I94*Calc_SEC_retirement_rates!$G141</f>
        <v>0</v>
      </c>
      <c r="J162" s="459">
        <f>J94*Calc_SEC_retirement_rates!$G141</f>
        <v>0</v>
      </c>
      <c r="K162" s="459">
        <f>K94*Calc_SEC_retirement_rates!$G141</f>
        <v>0</v>
      </c>
      <c r="L162" s="459">
        <f>L94*Calc_SEC_retirement_rates!$G141</f>
        <v>0</v>
      </c>
      <c r="M162" s="459">
        <f>M94*Calc_SEC_retirement_rates!$G141</f>
        <v>0</v>
      </c>
      <c r="N162" s="459">
        <f>N94*Calc_SEC_retirement_rates!$G141</f>
        <v>0</v>
      </c>
      <c r="O162" s="327"/>
      <c r="P162" s="327"/>
      <c r="Q162" s="327"/>
    </row>
    <row r="163" spans="1:17">
      <c r="B163" s="338" t="str">
        <f t="shared" si="60"/>
        <v>30-34</v>
      </c>
      <c r="C163" s="459">
        <f>C95*Calc_SEC_retirement_rates!$G142</f>
        <v>0.11279599355154722</v>
      </c>
      <c r="D163" s="459">
        <f>D95*Calc_SEC_retirement_rates!$G142</f>
        <v>0.11176400500569915</v>
      </c>
      <c r="E163" s="459">
        <f>E95*Calc_SEC_retirement_rates!$G142</f>
        <v>0.11076121015542623</v>
      </c>
      <c r="F163" s="459">
        <f>F95*Calc_SEC_retirement_rates!$G142</f>
        <v>0.109918294516649</v>
      </c>
      <c r="G163" s="459">
        <f>G95*Calc_SEC_retirement_rates!$G142</f>
        <v>0.10928205200809786</v>
      </c>
      <c r="H163" s="459">
        <f>H95*Calc_SEC_retirement_rates!$G142</f>
        <v>0.10877615292323731</v>
      </c>
      <c r="I163" s="459">
        <f>I95*Calc_SEC_retirement_rates!$G142</f>
        <v>0.10847494096557676</v>
      </c>
      <c r="J163" s="459">
        <f>J95*Calc_SEC_retirement_rates!$G142</f>
        <v>0.10844074547617752</v>
      </c>
      <c r="K163" s="459">
        <f>K95*Calc_SEC_retirement_rates!$G142</f>
        <v>0.10853808400914434</v>
      </c>
      <c r="L163" s="459">
        <f>L95*Calc_SEC_retirement_rates!$G142</f>
        <v>0.10822256237935235</v>
      </c>
      <c r="M163" s="459">
        <f>M95*Calc_SEC_retirement_rates!$G142</f>
        <v>0.10773567705094773</v>
      </c>
      <c r="N163" s="459">
        <f>N95*Calc_SEC_retirement_rates!$G142</f>
        <v>0.10709947721164205</v>
      </c>
      <c r="O163" s="327"/>
      <c r="P163" s="327"/>
      <c r="Q163" s="327"/>
    </row>
    <row r="164" spans="1:17">
      <c r="B164" s="338" t="str">
        <f t="shared" si="60"/>
        <v>35-39</v>
      </c>
      <c r="C164" s="459">
        <f>C96*Calc_SEC_retirement_rates!$G143</f>
        <v>0.28967547110432063</v>
      </c>
      <c r="D164" s="459">
        <f>D96*Calc_SEC_retirement_rates!$G143</f>
        <v>0.29008455684940199</v>
      </c>
      <c r="E164" s="459">
        <f>E96*Calc_SEC_retirement_rates!$G143</f>
        <v>0.29151097888630728</v>
      </c>
      <c r="F164" s="459">
        <f>F96*Calc_SEC_retirement_rates!$G143</f>
        <v>0.29258426512031305</v>
      </c>
      <c r="G164" s="459">
        <f>G96*Calc_SEC_retirement_rates!$G143</f>
        <v>0.29300028353924584</v>
      </c>
      <c r="H164" s="459">
        <f>H96*Calc_SEC_retirement_rates!$G143</f>
        <v>0.29273630820493668</v>
      </c>
      <c r="I164" s="459">
        <f>I96*Calc_SEC_retirement_rates!$G143</f>
        <v>0.29219695244661442</v>
      </c>
      <c r="J164" s="459">
        <f>J96*Calc_SEC_retirement_rates!$G143</f>
        <v>0.29175233716744575</v>
      </c>
      <c r="K164" s="459">
        <f>K96*Calc_SEC_retirement_rates!$G143</f>
        <v>0.29135979078316621</v>
      </c>
      <c r="L164" s="459">
        <f>L96*Calc_SEC_retirement_rates!$G143</f>
        <v>0.2901834182674512</v>
      </c>
      <c r="M164" s="459">
        <f>M96*Calc_SEC_retirement_rates!$G143</f>
        <v>0.2887641668705167</v>
      </c>
      <c r="N164" s="459">
        <f>N96*Calc_SEC_retirement_rates!$G143</f>
        <v>0.28714441361690485</v>
      </c>
      <c r="O164" s="327"/>
      <c r="P164" s="327"/>
      <c r="Q164" s="327"/>
    </row>
    <row r="165" spans="1:17">
      <c r="B165" s="338" t="str">
        <f t="shared" si="60"/>
        <v>40-44</v>
      </c>
      <c r="C165" s="459">
        <f>C97*Calc_SEC_retirement_rates!$G144</f>
        <v>0.40397165070336544</v>
      </c>
      <c r="D165" s="459">
        <f>D97*Calc_SEC_retirement_rates!$G144</f>
        <v>0.40893124118937857</v>
      </c>
      <c r="E165" s="459">
        <f>E97*Calc_SEC_retirement_rates!$G144</f>
        <v>0.41492620930350871</v>
      </c>
      <c r="F165" s="459">
        <f>F97*Calc_SEC_retirement_rates!$G144</f>
        <v>0.42049745253436793</v>
      </c>
      <c r="G165" s="459">
        <f>G97*Calc_SEC_retirement_rates!$G144</f>
        <v>0.42501118261546678</v>
      </c>
      <c r="H165" s="459">
        <f>H97*Calc_SEC_retirement_rates!$G144</f>
        <v>0.42814529471640494</v>
      </c>
      <c r="I165" s="459">
        <f>I97*Calc_SEC_retirement_rates!$G144</f>
        <v>0.43026967719091536</v>
      </c>
      <c r="J165" s="459">
        <f>J97*Calc_SEC_retirement_rates!$G144</f>
        <v>0.43182254307496376</v>
      </c>
      <c r="K165" s="459">
        <f>K97*Calc_SEC_retirement_rates!$G144</f>
        <v>0.43277397925345878</v>
      </c>
      <c r="L165" s="459">
        <f>L97*Calc_SEC_retirement_rates!$G144</f>
        <v>0.43210972728155012</v>
      </c>
      <c r="M165" s="459">
        <f>M97*Calc_SEC_retirement_rates!$G144</f>
        <v>0.43075008977469931</v>
      </c>
      <c r="N165" s="459">
        <f>N97*Calc_SEC_retirement_rates!$G144</f>
        <v>0.42889407178534011</v>
      </c>
      <c r="O165" s="327"/>
      <c r="P165" s="327"/>
      <c r="Q165" s="327"/>
    </row>
    <row r="166" spans="1:17">
      <c r="B166" s="338" t="str">
        <f t="shared" si="60"/>
        <v>45-49</v>
      </c>
      <c r="C166" s="459">
        <f>C98*Calc_SEC_retirement_rates!$G145</f>
        <v>0.54823976606502123</v>
      </c>
      <c r="D166" s="459">
        <f>D98*Calc_SEC_retirement_rates!$G145</f>
        <v>0.59523868883664499</v>
      </c>
      <c r="E166" s="459">
        <f>E98*Calc_SEC_retirement_rates!$G145</f>
        <v>0.63529038675634852</v>
      </c>
      <c r="F166" s="459">
        <f>F98*Calc_SEC_retirement_rates!$G145</f>
        <v>0.66816979262478826</v>
      </c>
      <c r="G166" s="459">
        <f>G98*Calc_SEC_retirement_rates!$G145</f>
        <v>0.69456359452774419</v>
      </c>
      <c r="H166" s="459">
        <f>H98*Calc_SEC_retirement_rates!$G145</f>
        <v>0.715127862522147</v>
      </c>
      <c r="I166" s="459">
        <f>I98*Calc_SEC_retirement_rates!$G145</f>
        <v>0.73123602322569725</v>
      </c>
      <c r="J166" s="459">
        <f>J98*Calc_SEC_retirement_rates!$G145</f>
        <v>0.74411088303693951</v>
      </c>
      <c r="K166" s="459">
        <f>K98*Calc_SEC_retirement_rates!$G145</f>
        <v>0.75405312729358309</v>
      </c>
      <c r="L166" s="459">
        <f>L98*Calc_SEC_retirement_rates!$G145</f>
        <v>0.75965996392504109</v>
      </c>
      <c r="M166" s="459">
        <f>M98*Calc_SEC_retirement_rates!$G145</f>
        <v>0.76267595952623568</v>
      </c>
      <c r="N166" s="459">
        <f>N98*Calc_SEC_retirement_rates!$G145</f>
        <v>0.76367339075449603</v>
      </c>
      <c r="O166" s="327"/>
      <c r="P166" s="327"/>
      <c r="Q166" s="327"/>
    </row>
    <row r="167" spans="1:17">
      <c r="B167" s="338" t="str">
        <f t="shared" si="60"/>
        <v>50-54</v>
      </c>
      <c r="C167" s="459">
        <f>C99*Calc_SEC_retirement_rates!$G146</f>
        <v>10.623341749690775</v>
      </c>
      <c r="D167" s="459">
        <f>D99*Calc_SEC_retirement_rates!$G146</f>
        <v>10.366623446869621</v>
      </c>
      <c r="E167" s="459">
        <f>E99*Calc_SEC_retirement_rates!$G146</f>
        <v>10.428446638357336</v>
      </c>
      <c r="F167" s="459">
        <f>F99*Calc_SEC_retirement_rates!$G146</f>
        <v>10.649648088010586</v>
      </c>
      <c r="G167" s="459">
        <f>G99*Calc_SEC_retirement_rates!$G146</f>
        <v>10.938768280296463</v>
      </c>
      <c r="H167" s="459">
        <f>H99*Calc_SEC_retirement_rates!$G146</f>
        <v>11.239813053494531</v>
      </c>
      <c r="I167" s="459">
        <f>I99*Calc_SEC_retirement_rates!$G146</f>
        <v>11.531853601041009</v>
      </c>
      <c r="J167" s="459">
        <f>J99*Calc_SEC_retirement_rates!$G146</f>
        <v>11.806652337219438</v>
      </c>
      <c r="K167" s="459">
        <f>K99*Calc_SEC_retirement_rates!$G146</f>
        <v>12.050953401954184</v>
      </c>
      <c r="L167" s="459">
        <f>L99*Calc_SEC_retirement_rates!$G146</f>
        <v>12.230645690469935</v>
      </c>
      <c r="M167" s="459">
        <f>M99*Calc_SEC_retirement_rates!$G146</f>
        <v>12.36661919825208</v>
      </c>
      <c r="N167" s="459">
        <f>N99*Calc_SEC_retirement_rates!$G146</f>
        <v>12.463667169489275</v>
      </c>
      <c r="O167" s="327"/>
      <c r="P167" s="327"/>
      <c r="Q167" s="327"/>
    </row>
    <row r="168" spans="1:17">
      <c r="B168" s="338" t="str">
        <f t="shared" si="60"/>
        <v>55-59</v>
      </c>
      <c r="C168" s="459">
        <f>C100*Calc_SEC_retirement_rates!$G147</f>
        <v>72.129577222739172</v>
      </c>
      <c r="D168" s="459">
        <f>D100*Calc_SEC_retirement_rates!$G147</f>
        <v>62.206369194646001</v>
      </c>
      <c r="E168" s="459">
        <f>E100*Calc_SEC_retirement_rates!$G147</f>
        <v>56.224929726815816</v>
      </c>
      <c r="F168" s="459">
        <f>F100*Calc_SEC_retirement_rates!$G147</f>
        <v>52.840790079799596</v>
      </c>
      <c r="G168" s="459">
        <f>G100*Calc_SEC_retirement_rates!$G147</f>
        <v>51.146042775499915</v>
      </c>
      <c r="H168" s="459">
        <f>H100*Calc_SEC_retirement_rates!$G147</f>
        <v>50.500411183130453</v>
      </c>
      <c r="I168" s="459">
        <f>I100*Calc_SEC_retirement_rates!$G147</f>
        <v>50.531354927497716</v>
      </c>
      <c r="J168" s="459">
        <f>J100*Calc_SEC_retirement_rates!$G147</f>
        <v>50.992418794615205</v>
      </c>
      <c r="K168" s="459">
        <f>K100*Calc_SEC_retirement_rates!$G147</f>
        <v>51.655220186691558</v>
      </c>
      <c r="L168" s="459">
        <f>L100*Calc_SEC_retirement_rates!$G147</f>
        <v>52.21804038229692</v>
      </c>
      <c r="M168" s="459">
        <f>M100*Calc_SEC_retirement_rates!$G147</f>
        <v>52.736509918831359</v>
      </c>
      <c r="N168" s="459">
        <f>N100*Calc_SEC_retirement_rates!$G147</f>
        <v>53.178640543177131</v>
      </c>
      <c r="O168" s="327"/>
      <c r="P168" s="327"/>
      <c r="Q168" s="327"/>
    </row>
    <row r="169" spans="1:17">
      <c r="B169" s="338" t="str">
        <f t="shared" si="60"/>
        <v>60-64</v>
      </c>
      <c r="C169" s="459">
        <f>C101*Calc_SEC_retirement_rates!$G148</f>
        <v>58.165402278381237</v>
      </c>
      <c r="D169" s="459">
        <f>D101*Calc_SEC_retirement_rates!$G148</f>
        <v>53.030022854223319</v>
      </c>
      <c r="E169" s="459">
        <f>E101*Calc_SEC_retirement_rates!$G148</f>
        <v>47.983961479823016</v>
      </c>
      <c r="F169" s="459">
        <f>F101*Calc_SEC_retirement_rates!$G148</f>
        <v>43.946248844403762</v>
      </c>
      <c r="G169" s="459">
        <f>G101*Calc_SEC_retirement_rates!$G148</f>
        <v>41.065105692614523</v>
      </c>
      <c r="H169" s="459">
        <f>H101*Calc_SEC_retirement_rates!$G148</f>
        <v>39.167944268293908</v>
      </c>
      <c r="I169" s="459">
        <f>I101*Calc_SEC_retirement_rates!$G148</f>
        <v>38.080232370001838</v>
      </c>
      <c r="J169" s="459">
        <f>J101*Calc_SEC_retirement_rates!$G148</f>
        <v>37.614652751715596</v>
      </c>
      <c r="K169" s="459">
        <f>K101*Calc_SEC_retirement_rates!$G148</f>
        <v>37.532569710198175</v>
      </c>
      <c r="L169" s="459">
        <f>L101*Calc_SEC_retirement_rates!$G148</f>
        <v>37.491730991555386</v>
      </c>
      <c r="M169" s="459">
        <f>M101*Calc_SEC_retirement_rates!$G148</f>
        <v>37.560004630890241</v>
      </c>
      <c r="N169" s="459">
        <f>N101*Calc_SEC_retirement_rates!$G148</f>
        <v>37.679425004742349</v>
      </c>
      <c r="O169" s="327"/>
      <c r="P169" s="327"/>
      <c r="Q169" s="327"/>
    </row>
    <row r="170" spans="1:17">
      <c r="B170" s="338" t="str">
        <f t="shared" si="60"/>
        <v>65 plus</v>
      </c>
      <c r="C170" s="459">
        <f>C102*Calc_SEC_retirement_rates!$G149</f>
        <v>15.453086194171227</v>
      </c>
      <c r="D170" s="459">
        <f>D102*Calc_SEC_retirement_rates!$G149</f>
        <v>16.978790220528065</v>
      </c>
      <c r="E170" s="459">
        <f>E102*Calc_SEC_retirement_rates!$G149</f>
        <v>17.225254520886477</v>
      </c>
      <c r="F170" s="459">
        <f>F102*Calc_SEC_retirement_rates!$G149</f>
        <v>16.7430643430671</v>
      </c>
      <c r="G170" s="459">
        <f>G102*Calc_SEC_retirement_rates!$G149</f>
        <v>15.984760154920158</v>
      </c>
      <c r="H170" s="459">
        <f>H102*Calc_SEC_retirement_rates!$G149</f>
        <v>15.211081030091218</v>
      </c>
      <c r="I170" s="459">
        <f>I102*Calc_SEC_retirement_rates!$G149</f>
        <v>14.572270133694161</v>
      </c>
      <c r="J170" s="459">
        <f>J102*Calc_SEC_retirement_rates!$G149</f>
        <v>14.12352495903969</v>
      </c>
      <c r="K170" s="459">
        <f>K102*Calc_SEC_retirement_rates!$G149</f>
        <v>13.835527073928365</v>
      </c>
      <c r="L170" s="459">
        <f>L102*Calc_SEC_retirement_rates!$G149</f>
        <v>13.594103942825218</v>
      </c>
      <c r="M170" s="459">
        <f>M102*Calc_SEC_retirement_rates!$G149</f>
        <v>13.432297329710336</v>
      </c>
      <c r="N170" s="459">
        <f>N102*Calc_SEC_retirement_rates!$G149</f>
        <v>13.330472682720801</v>
      </c>
      <c r="O170" s="327"/>
      <c r="P170" s="327"/>
      <c r="Q170" s="327"/>
    </row>
    <row r="171" spans="1:17">
      <c r="B171" s="338" t="str">
        <f t="shared" si="60"/>
        <v>Total</v>
      </c>
      <c r="C171" s="459">
        <f>SUM(C161:C170)</f>
        <v>157.72609032640665</v>
      </c>
      <c r="D171" s="459">
        <f t="shared" ref="D171:N171" si="62">SUM(D161:D170)</f>
        <v>143.98782420814811</v>
      </c>
      <c r="E171" s="459">
        <f t="shared" si="62"/>
        <v>133.31508115098421</v>
      </c>
      <c r="F171" s="459">
        <f t="shared" si="62"/>
        <v>125.67092116007716</v>
      </c>
      <c r="G171" s="459">
        <f t="shared" si="62"/>
        <v>120.65653401602161</v>
      </c>
      <c r="H171" s="459">
        <f t="shared" si="62"/>
        <v>117.66403515337684</v>
      </c>
      <c r="I171" s="459">
        <f t="shared" si="62"/>
        <v>116.27788862606353</v>
      </c>
      <c r="J171" s="459">
        <f t="shared" si="62"/>
        <v>116.11337535134545</v>
      </c>
      <c r="K171" s="459">
        <f t="shared" si="62"/>
        <v>116.66099535411163</v>
      </c>
      <c r="L171" s="459">
        <f t="shared" si="62"/>
        <v>117.12469667900085</v>
      </c>
      <c r="M171" s="459">
        <f t="shared" si="62"/>
        <v>117.68535697090641</v>
      </c>
      <c r="N171" s="459">
        <f t="shared" si="62"/>
        <v>118.23901675349794</v>
      </c>
      <c r="O171" s="327"/>
      <c r="P171" s="327"/>
      <c r="Q171" s="327"/>
    </row>
    <row r="172" spans="1:17">
      <c r="A172" s="309">
        <f>SUM(C172:N172)</f>
        <v>0</v>
      </c>
      <c r="C172" s="309">
        <f>SUM(C161:C170)-C171</f>
        <v>0</v>
      </c>
      <c r="D172" s="309">
        <f t="shared" ref="D172:N172" si="63">SUM(D161:D170)-D171</f>
        <v>0</v>
      </c>
      <c r="E172" s="309">
        <f t="shared" si="63"/>
        <v>0</v>
      </c>
      <c r="F172" s="309">
        <f t="shared" si="63"/>
        <v>0</v>
      </c>
      <c r="G172" s="309">
        <f t="shared" si="63"/>
        <v>0</v>
      </c>
      <c r="H172" s="309">
        <f t="shared" si="63"/>
        <v>0</v>
      </c>
      <c r="I172" s="309">
        <f t="shared" si="63"/>
        <v>0</v>
      </c>
      <c r="J172" s="309">
        <f t="shared" si="63"/>
        <v>0</v>
      </c>
      <c r="K172" s="309">
        <f t="shared" si="63"/>
        <v>0</v>
      </c>
      <c r="L172" s="309">
        <f t="shared" si="63"/>
        <v>0</v>
      </c>
      <c r="M172" s="309">
        <f t="shared" si="63"/>
        <v>0</v>
      </c>
      <c r="N172" s="309">
        <f t="shared" si="63"/>
        <v>0</v>
      </c>
    </row>
    <row r="174" spans="1:17" ht="15.75">
      <c r="B174" s="340" t="s">
        <v>516</v>
      </c>
      <c r="H174" s="325"/>
    </row>
    <row r="175" spans="1:17">
      <c r="H175" s="325"/>
    </row>
    <row r="176" spans="1:17">
      <c r="B176" s="341" t="s">
        <v>49</v>
      </c>
      <c r="H176" s="325"/>
    </row>
    <row r="177" spans="1:14">
      <c r="H177" s="325"/>
    </row>
    <row r="178" spans="1:14">
      <c r="B178" s="338" t="str">
        <f t="shared" ref="B178:B189" si="64">B144</f>
        <v>Age group</v>
      </c>
      <c r="C178" s="338" t="str">
        <f t="shared" ref="C178:N178" si="65">C144</f>
        <v>2016/17</v>
      </c>
      <c r="D178" s="338" t="str">
        <f t="shared" si="65"/>
        <v>2017/18</v>
      </c>
      <c r="E178" s="338" t="str">
        <f t="shared" si="65"/>
        <v>2018/19</v>
      </c>
      <c r="F178" s="338" t="str">
        <f t="shared" si="65"/>
        <v>2019/20</v>
      </c>
      <c r="G178" s="338" t="str">
        <f t="shared" si="65"/>
        <v>2020/21</v>
      </c>
      <c r="H178" s="338" t="str">
        <f t="shared" si="65"/>
        <v>2021/22</v>
      </c>
      <c r="I178" s="338" t="str">
        <f t="shared" si="65"/>
        <v>2022/23</v>
      </c>
      <c r="J178" s="338" t="str">
        <f t="shared" si="65"/>
        <v>2023/24</v>
      </c>
      <c r="K178" s="338" t="str">
        <f t="shared" si="65"/>
        <v>2024/25</v>
      </c>
      <c r="L178" s="338" t="str">
        <f t="shared" si="65"/>
        <v>2025/26</v>
      </c>
      <c r="M178" s="338" t="str">
        <f t="shared" si="65"/>
        <v>2026/27</v>
      </c>
      <c r="N178" s="338" t="str">
        <f t="shared" si="65"/>
        <v>2027/28</v>
      </c>
    </row>
    <row r="179" spans="1:14">
      <c r="B179" s="338" t="str">
        <f t="shared" si="64"/>
        <v>20-24</v>
      </c>
      <c r="C179" s="459">
        <f>C77*Calc_SEC_death_rates!$G124</f>
        <v>0</v>
      </c>
      <c r="D179" s="459">
        <f>D77*Calc_SEC_death_rates!$G124</f>
        <v>0</v>
      </c>
      <c r="E179" s="459">
        <f>E77*Calc_SEC_death_rates!$G124</f>
        <v>0</v>
      </c>
      <c r="F179" s="459">
        <f>F77*Calc_SEC_death_rates!$G124</f>
        <v>0</v>
      </c>
      <c r="G179" s="459">
        <f>G77*Calc_SEC_death_rates!$G124</f>
        <v>0</v>
      </c>
      <c r="H179" s="459">
        <f>H77*Calc_SEC_death_rates!$G124</f>
        <v>0</v>
      </c>
      <c r="I179" s="459">
        <f>I77*Calc_SEC_death_rates!$G124</f>
        <v>0</v>
      </c>
      <c r="J179" s="459">
        <f>J77*Calc_SEC_death_rates!$G124</f>
        <v>0</v>
      </c>
      <c r="K179" s="459">
        <f>K77*Calc_SEC_death_rates!$G124</f>
        <v>0</v>
      </c>
      <c r="L179" s="459">
        <f>L77*Calc_SEC_death_rates!$G124</f>
        <v>0</v>
      </c>
      <c r="M179" s="459">
        <f>M77*Calc_SEC_death_rates!$G124</f>
        <v>0</v>
      </c>
      <c r="N179" s="459">
        <f>N77*Calc_SEC_death_rates!$G124</f>
        <v>0</v>
      </c>
    </row>
    <row r="180" spans="1:14">
      <c r="B180" s="338" t="str">
        <f t="shared" si="64"/>
        <v>25-29</v>
      </c>
      <c r="C180" s="459">
        <f>C78*Calc_SEC_death_rates!$G125</f>
        <v>0</v>
      </c>
      <c r="D180" s="459">
        <f>D78*Calc_SEC_death_rates!$G125</f>
        <v>0</v>
      </c>
      <c r="E180" s="459">
        <f>E78*Calc_SEC_death_rates!$G125</f>
        <v>0</v>
      </c>
      <c r="F180" s="459">
        <f>F78*Calc_SEC_death_rates!$G125</f>
        <v>0</v>
      </c>
      <c r="G180" s="459">
        <f>G78*Calc_SEC_death_rates!$G125</f>
        <v>0</v>
      </c>
      <c r="H180" s="459">
        <f>H78*Calc_SEC_death_rates!$G125</f>
        <v>0</v>
      </c>
      <c r="I180" s="459">
        <f>I78*Calc_SEC_death_rates!$G125</f>
        <v>0</v>
      </c>
      <c r="J180" s="459">
        <f>J78*Calc_SEC_death_rates!$G125</f>
        <v>0</v>
      </c>
      <c r="K180" s="459">
        <f>K78*Calc_SEC_death_rates!$G125</f>
        <v>0</v>
      </c>
      <c r="L180" s="459">
        <f>L78*Calc_SEC_death_rates!$G125</f>
        <v>0</v>
      </c>
      <c r="M180" s="459">
        <f>M78*Calc_SEC_death_rates!$G125</f>
        <v>0</v>
      </c>
      <c r="N180" s="459">
        <f>N78*Calc_SEC_death_rates!$G125</f>
        <v>0</v>
      </c>
    </row>
    <row r="181" spans="1:14">
      <c r="B181" s="338" t="str">
        <f t="shared" si="64"/>
        <v>30-34</v>
      </c>
      <c r="C181" s="459">
        <f>C79*Calc_SEC_death_rates!$G126</f>
        <v>8.6875634255174056E-2</v>
      </c>
      <c r="D181" s="459">
        <f>D79*Calc_SEC_death_rates!$G126</f>
        <v>8.490240250380765E-2</v>
      </c>
      <c r="E181" s="459">
        <f>E79*Calc_SEC_death_rates!$G126</f>
        <v>8.4562660276912699E-2</v>
      </c>
      <c r="F181" s="459">
        <f>F79*Calc_SEC_death_rates!$G126</f>
        <v>8.5291405723740846E-2</v>
      </c>
      <c r="G181" s="459">
        <f>G79*Calc_SEC_death_rates!$G126</f>
        <v>8.66736759422463E-2</v>
      </c>
      <c r="H181" s="459">
        <f>H79*Calc_SEC_death_rates!$G126</f>
        <v>8.8345558110242736E-2</v>
      </c>
      <c r="I181" s="459">
        <f>I79*Calc_SEC_death_rates!$G126</f>
        <v>9.0183114950734555E-2</v>
      </c>
      <c r="J181" s="459">
        <f>J79*Calc_SEC_death_rates!$G126</f>
        <v>9.2130425791066284E-2</v>
      </c>
      <c r="K181" s="459">
        <f>K79*Calc_SEC_death_rates!$G126</f>
        <v>9.401314964910959E-2</v>
      </c>
      <c r="L181" s="459">
        <f>L79*Calc_SEC_death_rates!$G126</f>
        <v>9.5333535105082828E-2</v>
      </c>
      <c r="M181" s="459">
        <f>M79*Calc_SEC_death_rates!$G126</f>
        <v>9.6287892555464119E-2</v>
      </c>
      <c r="N181" s="459">
        <f>N79*Calc_SEC_death_rates!$G126</f>
        <v>9.6901982342611645E-2</v>
      </c>
    </row>
    <row r="182" spans="1:14">
      <c r="B182" s="338" t="str">
        <f t="shared" si="64"/>
        <v>35-39</v>
      </c>
      <c r="C182" s="459">
        <f>C80*Calc_SEC_death_rates!$G127</f>
        <v>0.17161886548498761</v>
      </c>
      <c r="D182" s="459">
        <f>D80*Calc_SEC_death_rates!$G127</f>
        <v>0.16865004122633764</v>
      </c>
      <c r="E182" s="459">
        <f>E80*Calc_SEC_death_rates!$G127</f>
        <v>0.1666770862211582</v>
      </c>
      <c r="F182" s="459">
        <f>F80*Calc_SEC_death_rates!$G127</f>
        <v>0.16538431277338325</v>
      </c>
      <c r="G182" s="459">
        <f>G80*Calc_SEC_death_rates!$G127</f>
        <v>0.16469772702213201</v>
      </c>
      <c r="H182" s="459">
        <f>H80*Calc_SEC_death_rates!$G127</f>
        <v>0.16451916547520379</v>
      </c>
      <c r="I182" s="459">
        <f>I80*Calc_SEC_death_rates!$G127</f>
        <v>0.16490800623403815</v>
      </c>
      <c r="J182" s="459">
        <f>J80*Calc_SEC_death_rates!$G127</f>
        <v>0.16588549757074766</v>
      </c>
      <c r="K182" s="459">
        <f>K80*Calc_SEC_death_rates!$G127</f>
        <v>0.16725491590951022</v>
      </c>
      <c r="L182" s="459">
        <f>L80*Calc_SEC_death_rates!$G127</f>
        <v>0.16839985303749663</v>
      </c>
      <c r="M182" s="459">
        <f>M80*Calc_SEC_death_rates!$G127</f>
        <v>0.16949006356028948</v>
      </c>
      <c r="N182" s="459">
        <f>N80*Calc_SEC_death_rates!$G127</f>
        <v>0.17045179178475714</v>
      </c>
    </row>
    <row r="183" spans="1:14">
      <c r="B183" s="338" t="str">
        <f t="shared" si="64"/>
        <v>40-44</v>
      </c>
      <c r="C183" s="459">
        <f>C81*Calc_SEC_death_rates!$G128</f>
        <v>0.28281060394555929</v>
      </c>
      <c r="D183" s="459">
        <f>D81*Calc_SEC_death_rates!$G128</f>
        <v>0.28363152329269792</v>
      </c>
      <c r="E183" s="459">
        <f>E81*Calc_SEC_death_rates!$G128</f>
        <v>0.2846195895729362</v>
      </c>
      <c r="F183" s="459">
        <f>F81*Calc_SEC_death_rates!$G128</f>
        <v>0.28513947715907101</v>
      </c>
      <c r="G183" s="459">
        <f>G81*Calc_SEC_death_rates!$G128</f>
        <v>0.28514159482182549</v>
      </c>
      <c r="H183" s="459">
        <f>H81*Calc_SEC_death_rates!$G128</f>
        <v>0.28471113539005005</v>
      </c>
      <c r="I183" s="459">
        <f>I81*Calc_SEC_death_rates!$G128</f>
        <v>0.28426124371864442</v>
      </c>
      <c r="J183" s="459">
        <f>J81*Calc_SEC_death_rates!$G128</f>
        <v>0.28414737073264346</v>
      </c>
      <c r="K183" s="459">
        <f>K81*Calc_SEC_death_rates!$G128</f>
        <v>0.28435245003818066</v>
      </c>
      <c r="L183" s="459">
        <f>L81*Calc_SEC_death_rates!$G128</f>
        <v>0.28418714071323836</v>
      </c>
      <c r="M183" s="459">
        <f>M81*Calc_SEC_death_rates!$G128</f>
        <v>0.28412544103456722</v>
      </c>
      <c r="N183" s="459">
        <f>N81*Calc_SEC_death_rates!$G128</f>
        <v>0.28417779512399216</v>
      </c>
    </row>
    <row r="184" spans="1:14">
      <c r="B184" s="338" t="str">
        <f t="shared" si="64"/>
        <v>45-49</v>
      </c>
      <c r="C184" s="459">
        <f>C82*Calc_SEC_death_rates!$G129</f>
        <v>0.23161179108730198</v>
      </c>
      <c r="D184" s="459">
        <f>D82*Calc_SEC_death_rates!$G129</f>
        <v>0.24018048234087472</v>
      </c>
      <c r="E184" s="459">
        <f>E82*Calc_SEC_death_rates!$G129</f>
        <v>0.24785091036593371</v>
      </c>
      <c r="F184" s="459">
        <f>F82*Calc_SEC_death_rates!$G129</f>
        <v>0.25408861933866755</v>
      </c>
      <c r="G184" s="459">
        <f>G82*Calc_SEC_death_rates!$G129</f>
        <v>0.25883226455335023</v>
      </c>
      <c r="H184" s="459">
        <f>H82*Calc_SEC_death_rates!$G129</f>
        <v>0.2621541605272551</v>
      </c>
      <c r="I184" s="459">
        <f>I82*Calc_SEC_death_rates!$G129</f>
        <v>0.2644561784485599</v>
      </c>
      <c r="J184" s="459">
        <f>J82*Calc_SEC_death_rates!$G129</f>
        <v>0.26614082697836278</v>
      </c>
      <c r="K184" s="459">
        <f>K82*Calc_SEC_death_rates!$G129</f>
        <v>0.26732522159852912</v>
      </c>
      <c r="L184" s="459">
        <f>L82*Calc_SEC_death_rates!$G129</f>
        <v>0.26756350994927891</v>
      </c>
      <c r="M184" s="459">
        <f>M82*Calc_SEC_death_rates!$G129</f>
        <v>0.26742510122857216</v>
      </c>
      <c r="N184" s="459">
        <f>N82*Calc_SEC_death_rates!$G129</f>
        <v>0.26707771366353883</v>
      </c>
    </row>
    <row r="185" spans="1:14">
      <c r="B185" s="338" t="str">
        <f t="shared" si="64"/>
        <v>50-54</v>
      </c>
      <c r="C185" s="459">
        <f>C83*Calc_SEC_death_rates!$G130</f>
        <v>0.41097585918325885</v>
      </c>
      <c r="D185" s="459">
        <f>D83*Calc_SEC_death_rates!$G130</f>
        <v>0.39639709327911909</v>
      </c>
      <c r="E185" s="459">
        <f>E83*Calc_SEC_death_rates!$G130</f>
        <v>0.39087256967837236</v>
      </c>
      <c r="F185" s="459">
        <f>F83*Calc_SEC_death_rates!$G130</f>
        <v>0.39029020318132351</v>
      </c>
      <c r="G185" s="459">
        <f>G83*Calc_SEC_death_rates!$G130</f>
        <v>0.39220104742870571</v>
      </c>
      <c r="H185" s="459">
        <f>H83*Calc_SEC_death_rates!$G130</f>
        <v>0.39502569771560747</v>
      </c>
      <c r="I185" s="459">
        <f>I83*Calc_SEC_death_rates!$G130</f>
        <v>0.39815277202178267</v>
      </c>
      <c r="J185" s="459">
        <f>J83*Calc_SEC_death_rates!$G130</f>
        <v>0.40132838354911771</v>
      </c>
      <c r="K185" s="459">
        <f>K83*Calc_SEC_death_rates!$G130</f>
        <v>0.40415029342259617</v>
      </c>
      <c r="L185" s="459">
        <f>L83*Calc_SEC_death_rates!$G130</f>
        <v>0.40559752016584022</v>
      </c>
      <c r="M185" s="459">
        <f>M83*Calc_SEC_death_rates!$G130</f>
        <v>0.40630149547292027</v>
      </c>
      <c r="N185" s="459">
        <f>N83*Calc_SEC_death_rates!$G130</f>
        <v>0.40641015594746627</v>
      </c>
    </row>
    <row r="186" spans="1:14">
      <c r="B186" s="338" t="str">
        <f t="shared" si="64"/>
        <v>55-59</v>
      </c>
      <c r="C186" s="459">
        <f>C84*Calc_SEC_death_rates!$G131</f>
        <v>0.2551477223378264</v>
      </c>
      <c r="D186" s="459">
        <f>D84*Calc_SEC_death_rates!$G131</f>
        <v>0.22941192183224035</v>
      </c>
      <c r="E186" s="459">
        <f>E84*Calc_SEC_death_rates!$G131</f>
        <v>0.21292395049609916</v>
      </c>
      <c r="F186" s="459">
        <f>F84*Calc_SEC_death_rates!$G131</f>
        <v>0.20262844846801467</v>
      </c>
      <c r="G186" s="459">
        <f>G84*Calc_SEC_death_rates!$G131</f>
        <v>0.19647680410022117</v>
      </c>
      <c r="H186" s="459">
        <f>H84*Calc_SEC_death_rates!$G131</f>
        <v>0.19297953395116058</v>
      </c>
      <c r="I186" s="459">
        <f>I84*Calc_SEC_death_rates!$G131</f>
        <v>0.19130551366560924</v>
      </c>
      <c r="J186" s="459">
        <f>J84*Calc_SEC_death_rates!$G131</f>
        <v>0.19088678158774272</v>
      </c>
      <c r="K186" s="459">
        <f>K84*Calc_SEC_death_rates!$G131</f>
        <v>0.1911166172760119</v>
      </c>
      <c r="L186" s="459">
        <f>L84*Calc_SEC_death_rates!$G131</f>
        <v>0.19108551507575416</v>
      </c>
      <c r="M186" s="459">
        <f>M84*Calc_SEC_death_rates!$G131</f>
        <v>0.19104101854124189</v>
      </c>
      <c r="N186" s="459">
        <f>N84*Calc_SEC_death_rates!$G131</f>
        <v>0.19091347223081706</v>
      </c>
    </row>
    <row r="187" spans="1:14">
      <c r="B187" s="338" t="str">
        <f t="shared" si="64"/>
        <v>60-64</v>
      </c>
      <c r="C187" s="459">
        <f>C85*Calc_SEC_death_rates!$G132</f>
        <v>0.24579182614883072</v>
      </c>
      <c r="D187" s="459">
        <f>D85*Calc_SEC_death_rates!$G132</f>
        <v>0.20824108057415891</v>
      </c>
      <c r="E187" s="459">
        <f>E85*Calc_SEC_death_rates!$G132</f>
        <v>0.1836494967326156</v>
      </c>
      <c r="F187" s="459">
        <f>F85*Calc_SEC_death_rates!$G132</f>
        <v>0.16726084787189491</v>
      </c>
      <c r="G187" s="459">
        <f>G85*Calc_SEC_death_rates!$G132</f>
        <v>0.15632989746781781</v>
      </c>
      <c r="H187" s="459">
        <f>H85*Calc_SEC_death_rates!$G132</f>
        <v>0.1490490217358463</v>
      </c>
      <c r="I187" s="459">
        <f>I85*Calc_SEC_death_rates!$G132</f>
        <v>0.14443468439934895</v>
      </c>
      <c r="J187" s="459">
        <f>J85*Calc_SEC_death_rates!$G132</f>
        <v>0.14178894408169679</v>
      </c>
      <c r="K187" s="459">
        <f>K85*Calc_SEC_death_rates!$G132</f>
        <v>0.14035472697428505</v>
      </c>
      <c r="L187" s="459">
        <f>L85*Calc_SEC_death_rates!$G132</f>
        <v>0.13905501780708718</v>
      </c>
      <c r="M187" s="459">
        <f>M85*Calc_SEC_death_rates!$G132</f>
        <v>0.13813738214659571</v>
      </c>
      <c r="N187" s="459">
        <f>N85*Calc_SEC_death_rates!$G132</f>
        <v>0.13744800117730252</v>
      </c>
    </row>
    <row r="188" spans="1:14">
      <c r="B188" s="338" t="str">
        <f t="shared" si="64"/>
        <v>65 plus</v>
      </c>
      <c r="C188" s="459">
        <f>C86*Calc_SEC_death_rates!$G133</f>
        <v>0.24484763326167561</v>
      </c>
      <c r="D188" s="459">
        <f>D86*Calc_SEC_death_rates!$G133</f>
        <v>0.24441220095184299</v>
      </c>
      <c r="E188" s="459">
        <f>E86*Calc_SEC_death_rates!$G133</f>
        <v>0.23089977656034227</v>
      </c>
      <c r="F188" s="459">
        <f>F86*Calc_SEC_death_rates!$G133</f>
        <v>0.21446461725348578</v>
      </c>
      <c r="G188" s="459">
        <f>G86*Calc_SEC_death_rates!$G133</f>
        <v>0.19925618753797489</v>
      </c>
      <c r="H188" s="459">
        <f>H86*Calc_SEC_death_rates!$G133</f>
        <v>0.18658237189439078</v>
      </c>
      <c r="I188" s="459">
        <f>I86*Calc_SEC_death_rates!$G133</f>
        <v>0.17684134708453095</v>
      </c>
      <c r="J188" s="459">
        <f>J86*Calc_SEC_death_rates!$G133</f>
        <v>0.1698909792456374</v>
      </c>
      <c r="K188" s="459">
        <f>K86*Calc_SEC_death_rates!$G133</f>
        <v>0.1650760448472425</v>
      </c>
      <c r="L188" s="459">
        <f>L86*Calc_SEC_death_rates!$G133</f>
        <v>0.16110223870495419</v>
      </c>
      <c r="M188" s="459">
        <f>M86*Calc_SEC_death_rates!$G133</f>
        <v>0.15811377539424437</v>
      </c>
      <c r="N188" s="459">
        <f>N86*Calc_SEC_death_rates!$G133</f>
        <v>0.15586333448146525</v>
      </c>
    </row>
    <row r="189" spans="1:14">
      <c r="B189" s="338" t="str">
        <f t="shared" si="64"/>
        <v>Total</v>
      </c>
      <c r="C189" s="459">
        <f>SUM(C179:C188)</f>
        <v>1.9296799357046148</v>
      </c>
      <c r="D189" s="459">
        <f t="shared" ref="D189:N189" si="66">SUM(D179:D188)</f>
        <v>1.8558267460010793</v>
      </c>
      <c r="E189" s="459">
        <f t="shared" si="66"/>
        <v>1.8020560399043701</v>
      </c>
      <c r="F189" s="459">
        <f t="shared" si="66"/>
        <v>1.7645479317695818</v>
      </c>
      <c r="G189" s="459">
        <f t="shared" si="66"/>
        <v>1.7396091988742735</v>
      </c>
      <c r="H189" s="459">
        <f t="shared" si="66"/>
        <v>1.7233666447997569</v>
      </c>
      <c r="I189" s="459">
        <f t="shared" si="66"/>
        <v>1.7145428605232489</v>
      </c>
      <c r="J189" s="459">
        <f t="shared" si="66"/>
        <v>1.7121992095370147</v>
      </c>
      <c r="K189" s="459">
        <f t="shared" si="66"/>
        <v>1.7136434197154653</v>
      </c>
      <c r="L189" s="459">
        <f t="shared" si="66"/>
        <v>1.7123243305587326</v>
      </c>
      <c r="M189" s="459">
        <f t="shared" si="66"/>
        <v>1.7109221699338952</v>
      </c>
      <c r="N189" s="459">
        <f t="shared" si="66"/>
        <v>1.7092442467519509</v>
      </c>
    </row>
    <row r="190" spans="1:14">
      <c r="A190" s="309">
        <f>SUM(C190:N190)</f>
        <v>0</v>
      </c>
      <c r="C190" s="309">
        <f>SUM(C179:C188)-C189</f>
        <v>0</v>
      </c>
      <c r="D190" s="309">
        <f t="shared" ref="D190:N190" si="67">SUM(D179:D188)-D189</f>
        <v>0</v>
      </c>
      <c r="E190" s="309">
        <f t="shared" si="67"/>
        <v>0</v>
      </c>
      <c r="F190" s="309">
        <f t="shared" si="67"/>
        <v>0</v>
      </c>
      <c r="G190" s="309">
        <f t="shared" si="67"/>
        <v>0</v>
      </c>
      <c r="H190" s="309">
        <f t="shared" si="67"/>
        <v>0</v>
      </c>
      <c r="I190" s="309">
        <f t="shared" si="67"/>
        <v>0</v>
      </c>
      <c r="J190" s="309">
        <f t="shared" si="67"/>
        <v>0</v>
      </c>
      <c r="K190" s="309">
        <f t="shared" si="67"/>
        <v>0</v>
      </c>
      <c r="L190" s="309">
        <f t="shared" si="67"/>
        <v>0</v>
      </c>
      <c r="M190" s="309">
        <f t="shared" si="67"/>
        <v>0</v>
      </c>
      <c r="N190" s="309">
        <f t="shared" si="67"/>
        <v>0</v>
      </c>
    </row>
    <row r="192" spans="1:14">
      <c r="B192" s="341" t="s">
        <v>50</v>
      </c>
      <c r="C192" s="329"/>
      <c r="D192" s="329"/>
      <c r="E192" s="329"/>
      <c r="F192" s="329"/>
      <c r="G192" s="329"/>
      <c r="H192" s="339"/>
      <c r="I192" s="329"/>
      <c r="J192" s="329"/>
      <c r="K192" s="329"/>
      <c r="L192" s="329"/>
    </row>
    <row r="193" spans="1:15">
      <c r="C193" s="329"/>
      <c r="D193" s="329"/>
      <c r="E193" s="329"/>
      <c r="F193" s="329"/>
      <c r="G193" s="329"/>
      <c r="H193" s="339"/>
      <c r="I193" s="329"/>
      <c r="J193" s="329"/>
      <c r="K193" s="329"/>
      <c r="L193" s="329"/>
    </row>
    <row r="194" spans="1:15">
      <c r="B194" s="338" t="str">
        <f t="shared" ref="B194:B205" si="68">B178</f>
        <v>Age group</v>
      </c>
      <c r="C194" s="338" t="str">
        <f t="shared" ref="C194:N194" si="69">C178</f>
        <v>2016/17</v>
      </c>
      <c r="D194" s="338" t="str">
        <f t="shared" si="69"/>
        <v>2017/18</v>
      </c>
      <c r="E194" s="338" t="str">
        <f t="shared" si="69"/>
        <v>2018/19</v>
      </c>
      <c r="F194" s="338" t="str">
        <f t="shared" si="69"/>
        <v>2019/20</v>
      </c>
      <c r="G194" s="338" t="str">
        <f t="shared" si="69"/>
        <v>2020/21</v>
      </c>
      <c r="H194" s="338" t="str">
        <f t="shared" si="69"/>
        <v>2021/22</v>
      </c>
      <c r="I194" s="338" t="str">
        <f t="shared" si="69"/>
        <v>2022/23</v>
      </c>
      <c r="J194" s="338" t="str">
        <f t="shared" si="69"/>
        <v>2023/24</v>
      </c>
      <c r="K194" s="338" t="str">
        <f t="shared" si="69"/>
        <v>2024/25</v>
      </c>
      <c r="L194" s="338" t="str">
        <f t="shared" si="69"/>
        <v>2025/26</v>
      </c>
      <c r="M194" s="338" t="str">
        <f t="shared" si="69"/>
        <v>2026/27</v>
      </c>
      <c r="N194" s="338" t="str">
        <f t="shared" si="69"/>
        <v>2027/28</v>
      </c>
    </row>
    <row r="195" spans="1:15">
      <c r="B195" s="338" t="str">
        <f t="shared" si="68"/>
        <v>20-24</v>
      </c>
      <c r="C195" s="459">
        <f>C93*Calc_SEC_death_rates!$G140</f>
        <v>0</v>
      </c>
      <c r="D195" s="459">
        <f>D93*Calc_SEC_death_rates!$G140</f>
        <v>0</v>
      </c>
      <c r="E195" s="459">
        <f>E93*Calc_SEC_death_rates!$G140</f>
        <v>0</v>
      </c>
      <c r="F195" s="459">
        <f>F93*Calc_SEC_death_rates!$G140</f>
        <v>0</v>
      </c>
      <c r="G195" s="459">
        <f>G93*Calc_SEC_death_rates!$G140</f>
        <v>0</v>
      </c>
      <c r="H195" s="459">
        <f>H93*Calc_SEC_death_rates!$G140</f>
        <v>0</v>
      </c>
      <c r="I195" s="459">
        <f>I93*Calc_SEC_death_rates!$G140</f>
        <v>0</v>
      </c>
      <c r="J195" s="459">
        <f>J93*Calc_SEC_death_rates!$G140</f>
        <v>0</v>
      </c>
      <c r="K195" s="459">
        <f>K93*Calc_SEC_death_rates!$G140</f>
        <v>0</v>
      </c>
      <c r="L195" s="459">
        <f>L93*Calc_SEC_death_rates!$G140</f>
        <v>0</v>
      </c>
      <c r="M195" s="459">
        <f>M93*Calc_SEC_death_rates!$G140</f>
        <v>0</v>
      </c>
      <c r="N195" s="459">
        <f>N93*Calc_SEC_death_rates!$G140</f>
        <v>0</v>
      </c>
      <c r="O195" s="327"/>
    </row>
    <row r="196" spans="1:15">
      <c r="B196" s="338" t="str">
        <f t="shared" si="68"/>
        <v>25-29</v>
      </c>
      <c r="C196" s="459">
        <f>C94*Calc_SEC_death_rates!$G141</f>
        <v>0</v>
      </c>
      <c r="D196" s="459">
        <f>D94*Calc_SEC_death_rates!$G141</f>
        <v>0</v>
      </c>
      <c r="E196" s="459">
        <f>E94*Calc_SEC_death_rates!$G141</f>
        <v>0</v>
      </c>
      <c r="F196" s="459">
        <f>F94*Calc_SEC_death_rates!$G141</f>
        <v>0</v>
      </c>
      <c r="G196" s="459">
        <f>G94*Calc_SEC_death_rates!$G141</f>
        <v>0</v>
      </c>
      <c r="H196" s="459">
        <f>H94*Calc_SEC_death_rates!$G141</f>
        <v>0</v>
      </c>
      <c r="I196" s="459">
        <f>I94*Calc_SEC_death_rates!$G141</f>
        <v>0</v>
      </c>
      <c r="J196" s="459">
        <f>J94*Calc_SEC_death_rates!$G141</f>
        <v>0</v>
      </c>
      <c r="K196" s="459">
        <f>K94*Calc_SEC_death_rates!$G141</f>
        <v>0</v>
      </c>
      <c r="L196" s="459">
        <f>L94*Calc_SEC_death_rates!$G141</f>
        <v>0</v>
      </c>
      <c r="M196" s="459">
        <f>M94*Calc_SEC_death_rates!$G141</f>
        <v>0</v>
      </c>
      <c r="N196" s="459">
        <f>N94*Calc_SEC_death_rates!$G141</f>
        <v>0</v>
      </c>
      <c r="O196" s="327"/>
    </row>
    <row r="197" spans="1:15">
      <c r="B197" s="338" t="str">
        <f t="shared" si="68"/>
        <v>30-34</v>
      </c>
      <c r="C197" s="459">
        <f>C95*Calc_SEC_death_rates!$G142</f>
        <v>6.3211586955248408E-2</v>
      </c>
      <c r="D197" s="459">
        <f>D95*Calc_SEC_death_rates!$G142</f>
        <v>6.2633254058407667E-2</v>
      </c>
      <c r="E197" s="459">
        <f>E95*Calc_SEC_death_rates!$G142</f>
        <v>6.2071281492889784E-2</v>
      </c>
      <c r="F197" s="459">
        <f>F95*Calc_SEC_death_rates!$G142</f>
        <v>6.1598906246936071E-2</v>
      </c>
      <c r="G197" s="459">
        <f>G95*Calc_SEC_death_rates!$G142</f>
        <v>6.1242351928049499E-2</v>
      </c>
      <c r="H197" s="459">
        <f>H95*Calc_SEC_death_rates!$G142</f>
        <v>6.0958842886758687E-2</v>
      </c>
      <c r="I197" s="459">
        <f>I95*Calc_SEC_death_rates!$G142</f>
        <v>6.0790041803900026E-2</v>
      </c>
      <c r="J197" s="459">
        <f>J95*Calc_SEC_death_rates!$G142</f>
        <v>6.0770878435737939E-2</v>
      </c>
      <c r="K197" s="459">
        <f>K95*Calc_SEC_death_rates!$G142</f>
        <v>6.0825427564186511E-2</v>
      </c>
      <c r="L197" s="459">
        <f>L95*Calc_SEC_death_rates!$G142</f>
        <v>6.0648607250717274E-2</v>
      </c>
      <c r="M197" s="459">
        <f>M95*Calc_SEC_death_rates!$G142</f>
        <v>6.037575363859303E-2</v>
      </c>
      <c r="N197" s="459">
        <f>N95*Calc_SEC_death_rates!$G142</f>
        <v>6.0019223231821017E-2</v>
      </c>
      <c r="O197" s="327"/>
    </row>
    <row r="198" spans="1:15">
      <c r="B198" s="338" t="str">
        <f t="shared" si="68"/>
        <v>35-39</v>
      </c>
      <c r="C198" s="459">
        <f>C96*Calc_SEC_death_rates!$G143</f>
        <v>0.21958581819163592</v>
      </c>
      <c r="D198" s="459">
        <f>D96*Calc_SEC_death_rates!$G143</f>
        <v>0.21989592186628182</v>
      </c>
      <c r="E198" s="459">
        <f>E96*Calc_SEC_death_rates!$G143</f>
        <v>0.22097720793053274</v>
      </c>
      <c r="F198" s="459">
        <f>F96*Calc_SEC_death_rates!$G143</f>
        <v>0.22179080265758888</v>
      </c>
      <c r="G198" s="459">
        <f>G96*Calc_SEC_death_rates!$G143</f>
        <v>0.22210616158168381</v>
      </c>
      <c r="H198" s="459">
        <f>H96*Calc_SEC_death_rates!$G143</f>
        <v>0.22190605751506845</v>
      </c>
      <c r="I198" s="459">
        <f>I96*Calc_SEC_death_rates!$G143</f>
        <v>0.2214972038588163</v>
      </c>
      <c r="J198" s="459">
        <f>J96*Calc_SEC_death_rates!$G143</f>
        <v>0.22116016734866736</v>
      </c>
      <c r="K198" s="459">
        <f>K96*Calc_SEC_death_rates!$G143</f>
        <v>0.22086260118387754</v>
      </c>
      <c r="L198" s="459">
        <f>L96*Calc_SEC_death_rates!$G143</f>
        <v>0.21997086285209311</v>
      </c>
      <c r="M198" s="459">
        <f>M96*Calc_SEC_death_rates!$G143</f>
        <v>0.21889501242531245</v>
      </c>
      <c r="N198" s="459">
        <f>N96*Calc_SEC_death_rates!$G143</f>
        <v>0.21766717341599973</v>
      </c>
      <c r="O198" s="327"/>
    </row>
    <row r="199" spans="1:15">
      <c r="B199" s="338" t="str">
        <f t="shared" si="68"/>
        <v>40-44</v>
      </c>
      <c r="C199" s="459">
        <f>C97*Calc_SEC_death_rates!$G144</f>
        <v>0.21380433888877987</v>
      </c>
      <c r="D199" s="459">
        <f>D97*Calc_SEC_death_rates!$G144</f>
        <v>0.21642923091567048</v>
      </c>
      <c r="E199" s="459">
        <f>E97*Calc_SEC_death_rates!$G144</f>
        <v>0.2196021025567107</v>
      </c>
      <c r="F199" s="459">
        <f>F97*Calc_SEC_death_rates!$G144</f>
        <v>0.22255071534597079</v>
      </c>
      <c r="G199" s="459">
        <f>G97*Calc_SEC_death_rates!$G144</f>
        <v>0.22493963316788096</v>
      </c>
      <c r="H199" s="459">
        <f>H97*Calc_SEC_death_rates!$G144</f>
        <v>0.22659838017296832</v>
      </c>
      <c r="I199" s="459">
        <f>I97*Calc_SEC_death_rates!$G144</f>
        <v>0.2277227219175407</v>
      </c>
      <c r="J199" s="459">
        <f>J97*Calc_SEC_death_rates!$G144</f>
        <v>0.22854458519221316</v>
      </c>
      <c r="K199" s="459">
        <f>K97*Calc_SEC_death_rates!$G144</f>
        <v>0.22904813830734838</v>
      </c>
      <c r="L199" s="459">
        <f>L97*Calc_SEC_death_rates!$G144</f>
        <v>0.22869657909901725</v>
      </c>
      <c r="M199" s="459">
        <f>M97*Calc_SEC_death_rates!$G144</f>
        <v>0.22797698306356654</v>
      </c>
      <c r="N199" s="459">
        <f>N97*Calc_SEC_death_rates!$G144</f>
        <v>0.22699467477908739</v>
      </c>
      <c r="O199" s="327"/>
    </row>
    <row r="200" spans="1:15">
      <c r="B200" s="338" t="str">
        <f t="shared" si="68"/>
        <v>45-49</v>
      </c>
      <c r="C200" s="459">
        <f>C98*Calc_SEC_death_rates!$G145</f>
        <v>0.21063892242165663</v>
      </c>
      <c r="D200" s="459">
        <f>D98*Calc_SEC_death_rates!$G145</f>
        <v>0.22869635469923311</v>
      </c>
      <c r="E200" s="459">
        <f>E98*Calc_SEC_death_rates!$G145</f>
        <v>0.24408459724047829</v>
      </c>
      <c r="F200" s="459">
        <f>F98*Calc_SEC_death_rates!$G145</f>
        <v>0.25671717709089914</v>
      </c>
      <c r="G200" s="459">
        <f>G98*Calc_SEC_death_rates!$G145</f>
        <v>0.26685792633160627</v>
      </c>
      <c r="H200" s="459">
        <f>H98*Calc_SEC_death_rates!$G145</f>
        <v>0.27475891330637714</v>
      </c>
      <c r="I200" s="459">
        <f>I98*Calc_SEC_death_rates!$G145</f>
        <v>0.28094782155931897</v>
      </c>
      <c r="J200" s="459">
        <f>J98*Calc_SEC_death_rates!$G145</f>
        <v>0.28589446491654003</v>
      </c>
      <c r="K200" s="459">
        <f>K98*Calc_SEC_death_rates!$G145</f>
        <v>0.289714369539117</v>
      </c>
      <c r="L200" s="459">
        <f>L98*Calc_SEC_death_rates!$G145</f>
        <v>0.29186856939718514</v>
      </c>
      <c r="M200" s="459">
        <f>M98*Calc_SEC_death_rates!$G145</f>
        <v>0.29302734353723681</v>
      </c>
      <c r="N200" s="459">
        <f>N98*Calc_SEC_death_rates!$G145</f>
        <v>0.2934105660834932</v>
      </c>
      <c r="O200" s="327"/>
    </row>
    <row r="201" spans="1:15">
      <c r="B201" s="338" t="str">
        <f t="shared" si="68"/>
        <v>50-54</v>
      </c>
      <c r="C201" s="459">
        <f>C99*Calc_SEC_death_rates!$G146</f>
        <v>0.2542140208352085</v>
      </c>
      <c r="D201" s="459">
        <f>D99*Calc_SEC_death_rates!$G146</f>
        <v>0.24807081340388815</v>
      </c>
      <c r="E201" s="459">
        <f>E99*Calc_SEC_death_rates!$G146</f>
        <v>0.24955022755239886</v>
      </c>
      <c r="F201" s="459">
        <f>F99*Calc_SEC_death_rates!$G146</f>
        <v>0.25484352520354209</v>
      </c>
      <c r="G201" s="459">
        <f>G99*Calc_SEC_death_rates!$G146</f>
        <v>0.26176210208051964</v>
      </c>
      <c r="H201" s="459">
        <f>H99*Calc_SEC_death_rates!$G146</f>
        <v>0.26896603131948371</v>
      </c>
      <c r="I201" s="459">
        <f>I99*Calc_SEC_death_rates!$G146</f>
        <v>0.27595449159761293</v>
      </c>
      <c r="J201" s="459">
        <f>J99*Calc_SEC_death_rates!$G146</f>
        <v>0.2825303594638976</v>
      </c>
      <c r="K201" s="459">
        <f>K99*Calc_SEC_death_rates!$G146</f>
        <v>0.28837642536518049</v>
      </c>
      <c r="L201" s="459">
        <f>L99*Calc_SEC_death_rates!$G146</f>
        <v>0.29267641874325279</v>
      </c>
      <c r="M201" s="459">
        <f>M99*Calc_SEC_death_rates!$G146</f>
        <v>0.29593023218113573</v>
      </c>
      <c r="N201" s="459">
        <f>N99*Calc_SEC_death_rates!$G146</f>
        <v>0.29825256686295332</v>
      </c>
      <c r="O201" s="327"/>
    </row>
    <row r="202" spans="1:15">
      <c r="B202" s="338" t="str">
        <f t="shared" si="68"/>
        <v>55-59</v>
      </c>
      <c r="C202" s="459">
        <f>C100*Calc_SEC_death_rates!$G147</f>
        <v>0.58506086599922147</v>
      </c>
      <c r="D202" s="459">
        <f>D100*Calc_SEC_death_rates!$G147</f>
        <v>0.50457126789055051</v>
      </c>
      <c r="E202" s="459">
        <f>E100*Calc_SEC_death_rates!$G147</f>
        <v>0.45605433087643177</v>
      </c>
      <c r="F202" s="459">
        <f>F100*Calc_SEC_death_rates!$G147</f>
        <v>0.42860473601146387</v>
      </c>
      <c r="G202" s="459">
        <f>G100*Calc_SEC_death_rates!$G147</f>
        <v>0.41485822086911756</v>
      </c>
      <c r="H202" s="459">
        <f>H100*Calc_SEC_death_rates!$G147</f>
        <v>0.40962134311255355</v>
      </c>
      <c r="I202" s="459">
        <f>I100*Calc_SEC_death_rates!$G147</f>
        <v>0.4098723354873024</v>
      </c>
      <c r="J202" s="459">
        <f>J100*Calc_SEC_death_rates!$G147</f>
        <v>0.41361213871037839</v>
      </c>
      <c r="K202" s="459">
        <f>K100*Calc_SEC_death_rates!$G147</f>
        <v>0.41898828496500296</v>
      </c>
      <c r="L202" s="459">
        <f>L100*Calc_SEC_death_rates!$G147</f>
        <v>0.42355345897158114</v>
      </c>
      <c r="M202" s="459">
        <f>M100*Calc_SEC_death_rates!$G147</f>
        <v>0.4277588937976074</v>
      </c>
      <c r="N202" s="459">
        <f>N100*Calc_SEC_death_rates!$G147</f>
        <v>0.43134512479915227</v>
      </c>
      <c r="O202" s="327"/>
    </row>
    <row r="203" spans="1:15">
      <c r="B203" s="338" t="str">
        <f t="shared" si="68"/>
        <v>60-64</v>
      </c>
      <c r="C203" s="459">
        <f>C101*Calc_SEC_death_rates!$G148</f>
        <v>0.34669299763877487</v>
      </c>
      <c r="D203" s="459">
        <f>D101*Calc_SEC_death_rates!$G148</f>
        <v>0.31608373479807877</v>
      </c>
      <c r="E203" s="459">
        <f>E101*Calc_SEC_death_rates!$G148</f>
        <v>0.28600684930200271</v>
      </c>
      <c r="F203" s="459">
        <f>F101*Calc_SEC_death_rates!$G148</f>
        <v>0.26194019382736583</v>
      </c>
      <c r="G203" s="459">
        <f>G101*Calc_SEC_death_rates!$G148</f>
        <v>0.2447672333251826</v>
      </c>
      <c r="H203" s="459">
        <f>H101*Calc_SEC_death_rates!$G148</f>
        <v>0.2334592640610067</v>
      </c>
      <c r="I203" s="459">
        <f>I101*Calc_SEC_death_rates!$G148</f>
        <v>0.22697599249724412</v>
      </c>
      <c r="J203" s="459">
        <f>J101*Calc_SEC_death_rates!$G148</f>
        <v>0.22420092025188004</v>
      </c>
      <c r="K203" s="459">
        <f>K101*Calc_SEC_death_rates!$G148</f>
        <v>0.22371166693969996</v>
      </c>
      <c r="L203" s="459">
        <f>L101*Calc_SEC_death_rates!$G148</f>
        <v>0.22346824907905782</v>
      </c>
      <c r="M203" s="459">
        <f>M101*Calc_SEC_death_rates!$G148</f>
        <v>0.22387519189649804</v>
      </c>
      <c r="N203" s="459">
        <f>N101*Calc_SEC_death_rates!$G148</f>
        <v>0.2245869931695603</v>
      </c>
      <c r="O203" s="327"/>
    </row>
    <row r="204" spans="1:15">
      <c r="B204" s="338" t="str">
        <f t="shared" si="68"/>
        <v>65 plus</v>
      </c>
      <c r="C204" s="459">
        <f>C102*Calc_SEC_death_rates!$G149</f>
        <v>0.49757576327599762</v>
      </c>
      <c r="D204" s="459">
        <f>D102*Calc_SEC_death_rates!$G149</f>
        <v>0.54670208897617478</v>
      </c>
      <c r="E204" s="459">
        <f>E102*Calc_SEC_death_rates!$G149</f>
        <v>0.5546380223444477</v>
      </c>
      <c r="F204" s="459">
        <f>F102*Calc_SEC_death_rates!$G149</f>
        <v>0.53911192336603364</v>
      </c>
      <c r="G204" s="459">
        <f>G102*Calc_SEC_death_rates!$G149</f>
        <v>0.51469519647591122</v>
      </c>
      <c r="H204" s="459">
        <f>H102*Calc_SEC_death_rates!$G149</f>
        <v>0.48978341016796517</v>
      </c>
      <c r="I204" s="459">
        <f>I102*Calc_SEC_death_rates!$G149</f>
        <v>0.46921426201400723</v>
      </c>
      <c r="J204" s="459">
        <f>J102*Calc_SEC_death_rates!$G149</f>
        <v>0.45476506267676803</v>
      </c>
      <c r="K204" s="459">
        <f>K102*Calc_SEC_death_rates!$G149</f>
        <v>0.44549178446518384</v>
      </c>
      <c r="L204" s="459">
        <f>L102*Calc_SEC_death_rates!$G149</f>
        <v>0.43771817230631033</v>
      </c>
      <c r="M204" s="459">
        <f>M102*Calc_SEC_death_rates!$G149</f>
        <v>0.43250814189477288</v>
      </c>
      <c r="N204" s="459">
        <f>N102*Calc_SEC_death_rates!$G149</f>
        <v>0.42922947795609395</v>
      </c>
      <c r="O204" s="327"/>
    </row>
    <row r="205" spans="1:15">
      <c r="B205" s="338" t="str">
        <f t="shared" si="68"/>
        <v>Total</v>
      </c>
      <c r="C205" s="459">
        <f>SUM(C195:C204)</f>
        <v>2.3907843142065235</v>
      </c>
      <c r="D205" s="459">
        <f t="shared" ref="D205:N205" si="70">SUM(D195:D204)</f>
        <v>2.3430826666082853</v>
      </c>
      <c r="E205" s="459">
        <f t="shared" si="70"/>
        <v>2.2929846192958925</v>
      </c>
      <c r="F205" s="459">
        <f t="shared" si="70"/>
        <v>2.2471579797498</v>
      </c>
      <c r="G205" s="459">
        <f t="shared" si="70"/>
        <v>2.2112288257599517</v>
      </c>
      <c r="H205" s="459">
        <f t="shared" si="70"/>
        <v>2.1860522425421816</v>
      </c>
      <c r="I205" s="459">
        <f t="shared" si="70"/>
        <v>2.1729748707357426</v>
      </c>
      <c r="J205" s="459">
        <f t="shared" si="70"/>
        <v>2.1714785769960825</v>
      </c>
      <c r="K205" s="459">
        <f t="shared" si="70"/>
        <v>2.1770186983295967</v>
      </c>
      <c r="L205" s="459">
        <f t="shared" si="70"/>
        <v>2.1786009176992152</v>
      </c>
      <c r="M205" s="459">
        <f t="shared" si="70"/>
        <v>2.1803475524347227</v>
      </c>
      <c r="N205" s="459">
        <f t="shared" si="70"/>
        <v>2.1815058002981611</v>
      </c>
      <c r="O205" s="327"/>
    </row>
    <row r="206" spans="1:15">
      <c r="A206" s="309">
        <f>SUM(C206:N206)</f>
        <v>0</v>
      </c>
      <c r="C206" s="309">
        <f>SUM(C195:C204)-C205</f>
        <v>0</v>
      </c>
      <c r="D206" s="309">
        <f t="shared" ref="D206:N206" si="71">SUM(D195:D204)-D205</f>
        <v>0</v>
      </c>
      <c r="E206" s="309">
        <f t="shared" si="71"/>
        <v>0</v>
      </c>
      <c r="F206" s="309">
        <f t="shared" si="71"/>
        <v>0</v>
      </c>
      <c r="G206" s="309">
        <f t="shared" si="71"/>
        <v>0</v>
      </c>
      <c r="H206" s="309">
        <f t="shared" si="71"/>
        <v>0</v>
      </c>
      <c r="I206" s="309">
        <f t="shared" si="71"/>
        <v>0</v>
      </c>
      <c r="J206" s="309">
        <f t="shared" si="71"/>
        <v>0</v>
      </c>
      <c r="K206" s="309">
        <f t="shared" si="71"/>
        <v>0</v>
      </c>
      <c r="L206" s="309">
        <f t="shared" si="71"/>
        <v>0</v>
      </c>
      <c r="M206" s="309">
        <f t="shared" si="71"/>
        <v>0</v>
      </c>
      <c r="N206" s="309">
        <f t="shared" si="71"/>
        <v>0</v>
      </c>
    </row>
    <row r="208" spans="1:15" ht="15.75">
      <c r="B208" s="340" t="s">
        <v>153</v>
      </c>
      <c r="C208" s="329"/>
      <c r="D208" s="329"/>
      <c r="E208" s="329"/>
      <c r="F208" s="329"/>
      <c r="G208" s="329"/>
      <c r="H208" s="339"/>
      <c r="I208" s="329"/>
      <c r="J208" s="329"/>
      <c r="K208" s="329"/>
      <c r="L208" s="329"/>
    </row>
    <row r="209" spans="1:16">
      <c r="C209" s="329"/>
      <c r="D209" s="329"/>
      <c r="E209" s="329"/>
      <c r="F209" s="329"/>
      <c r="G209" s="329"/>
      <c r="H209" s="339"/>
      <c r="I209" s="329"/>
      <c r="J209" s="329"/>
      <c r="K209" s="329"/>
      <c r="L209" s="329"/>
    </row>
    <row r="210" spans="1:16">
      <c r="B210" s="341" t="s">
        <v>49</v>
      </c>
      <c r="C210" s="329"/>
      <c r="D210" s="329"/>
      <c r="E210" s="329"/>
      <c r="F210" s="329"/>
      <c r="G210" s="329"/>
      <c r="H210" s="339"/>
      <c r="I210" s="329"/>
      <c r="J210" s="329"/>
      <c r="K210" s="329"/>
      <c r="L210" s="329"/>
    </row>
    <row r="211" spans="1:16">
      <c r="C211" s="329"/>
      <c r="D211" s="329"/>
      <c r="E211" s="329"/>
      <c r="F211" s="329"/>
      <c r="G211" s="329"/>
      <c r="H211" s="339"/>
      <c r="I211" s="329"/>
      <c r="J211" s="329"/>
      <c r="K211" s="329"/>
      <c r="L211" s="329"/>
    </row>
    <row r="212" spans="1:16">
      <c r="B212" s="338" t="str">
        <f t="shared" ref="B212:B223" si="72">B178</f>
        <v>Age group</v>
      </c>
      <c r="C212" s="338" t="str">
        <f t="shared" ref="C212:N212" si="73">C178</f>
        <v>2016/17</v>
      </c>
      <c r="D212" s="338" t="str">
        <f t="shared" si="73"/>
        <v>2017/18</v>
      </c>
      <c r="E212" s="338" t="str">
        <f t="shared" si="73"/>
        <v>2018/19</v>
      </c>
      <c r="F212" s="338" t="str">
        <f t="shared" si="73"/>
        <v>2019/20</v>
      </c>
      <c r="G212" s="338" t="str">
        <f t="shared" si="73"/>
        <v>2020/21</v>
      </c>
      <c r="H212" s="338" t="str">
        <f t="shared" si="73"/>
        <v>2021/22</v>
      </c>
      <c r="I212" s="338" t="str">
        <f t="shared" si="73"/>
        <v>2022/23</v>
      </c>
      <c r="J212" s="338" t="str">
        <f t="shared" si="73"/>
        <v>2023/24</v>
      </c>
      <c r="K212" s="338" t="str">
        <f t="shared" si="73"/>
        <v>2024/25</v>
      </c>
      <c r="L212" s="338" t="str">
        <f t="shared" si="73"/>
        <v>2025/26</v>
      </c>
      <c r="M212" s="338" t="str">
        <f t="shared" si="73"/>
        <v>2026/27</v>
      </c>
      <c r="N212" s="338" t="str">
        <f t="shared" si="73"/>
        <v>2027/28</v>
      </c>
    </row>
    <row r="213" spans="1:16">
      <c r="B213" s="338" t="str">
        <f t="shared" si="72"/>
        <v>20-24</v>
      </c>
      <c r="C213" s="459">
        <f t="shared" ref="C213:C222" si="74">C111+C145+C179</f>
        <v>7.4383485536905036</v>
      </c>
      <c r="D213" s="459">
        <f t="shared" ref="D213:N213" si="75">D111+D145+D179</f>
        <v>10.716325676246713</v>
      </c>
      <c r="E213" s="459">
        <f t="shared" si="75"/>
        <v>13.534475135868092</v>
      </c>
      <c r="F213" s="459">
        <f t="shared" si="75"/>
        <v>15.70085050286596</v>
      </c>
      <c r="G213" s="459">
        <f t="shared" si="75"/>
        <v>17.263307398695755</v>
      </c>
      <c r="H213" s="459">
        <f t="shared" si="75"/>
        <v>18.307275172066927</v>
      </c>
      <c r="I213" s="459">
        <f t="shared" si="75"/>
        <v>19.027301321810342</v>
      </c>
      <c r="J213" s="459">
        <f t="shared" si="75"/>
        <v>19.571951016892562</v>
      </c>
      <c r="K213" s="459">
        <f t="shared" si="75"/>
        <v>19.946441183708625</v>
      </c>
      <c r="L213" s="459">
        <f t="shared" si="75"/>
        <v>19.941454366332525</v>
      </c>
      <c r="M213" s="459">
        <f t="shared" si="75"/>
        <v>19.824601440100235</v>
      </c>
      <c r="N213" s="459">
        <f t="shared" si="75"/>
        <v>19.647345074618819</v>
      </c>
      <c r="O213" s="327"/>
      <c r="P213" s="327"/>
    </row>
    <row r="214" spans="1:16">
      <c r="B214" s="338" t="str">
        <f t="shared" si="72"/>
        <v>25-29</v>
      </c>
      <c r="C214" s="459">
        <f t="shared" si="74"/>
        <v>21.423208199940376</v>
      </c>
      <c r="D214" s="459">
        <f t="shared" ref="D214:N214" si="76">D112+D146+D180</f>
        <v>22.109638502316496</v>
      </c>
      <c r="E214" s="459">
        <f t="shared" si="76"/>
        <v>23.544300475118309</v>
      </c>
      <c r="F214" s="459">
        <f t="shared" si="76"/>
        <v>25.141064983692999</v>
      </c>
      <c r="G214" s="459">
        <f t="shared" si="76"/>
        <v>26.627919760743122</v>
      </c>
      <c r="H214" s="459">
        <f t="shared" si="76"/>
        <v>27.863296176762812</v>
      </c>
      <c r="I214" s="459">
        <f t="shared" si="76"/>
        <v>28.888329064832877</v>
      </c>
      <c r="J214" s="459">
        <f t="shared" si="76"/>
        <v>29.769847920553826</v>
      </c>
      <c r="K214" s="459">
        <f t="shared" si="76"/>
        <v>30.477086618865375</v>
      </c>
      <c r="L214" s="459">
        <f t="shared" si="76"/>
        <v>30.776155516683335</v>
      </c>
      <c r="M214" s="459">
        <f t="shared" si="76"/>
        <v>30.881760433575806</v>
      </c>
      <c r="N214" s="459">
        <f t="shared" si="76"/>
        <v>30.849454359257422</v>
      </c>
      <c r="O214" s="327"/>
      <c r="P214" s="327"/>
    </row>
    <row r="215" spans="1:16">
      <c r="B215" s="338" t="str">
        <f t="shared" si="72"/>
        <v>30-34</v>
      </c>
      <c r="C215" s="459">
        <f t="shared" si="74"/>
        <v>23.36145852000319</v>
      </c>
      <c r="D215" s="459">
        <f t="shared" ref="D215:N215" si="77">D113+D147+D181</f>
        <v>22.830842863437159</v>
      </c>
      <c r="E215" s="459">
        <f t="shared" si="77"/>
        <v>22.739483830387829</v>
      </c>
      <c r="F215" s="459">
        <f t="shared" si="77"/>
        <v>22.93544851799761</v>
      </c>
      <c r="G215" s="459">
        <f t="shared" si="77"/>
        <v>23.307150533757316</v>
      </c>
      <c r="H215" s="459">
        <f t="shared" si="77"/>
        <v>23.756731204480939</v>
      </c>
      <c r="I215" s="459">
        <f t="shared" si="77"/>
        <v>24.250862939752171</v>
      </c>
      <c r="J215" s="459">
        <f t="shared" si="77"/>
        <v>24.774508284180293</v>
      </c>
      <c r="K215" s="459">
        <f t="shared" si="77"/>
        <v>25.280785742657436</v>
      </c>
      <c r="L215" s="459">
        <f t="shared" si="77"/>
        <v>25.635846518035859</v>
      </c>
      <c r="M215" s="459">
        <f t="shared" si="77"/>
        <v>25.892479832790741</v>
      </c>
      <c r="N215" s="459">
        <f t="shared" si="77"/>
        <v>26.057612821033072</v>
      </c>
      <c r="O215" s="327"/>
      <c r="P215" s="327"/>
    </row>
    <row r="216" spans="1:16">
      <c r="B216" s="338" t="str">
        <f t="shared" si="72"/>
        <v>35-39</v>
      </c>
      <c r="C216" s="459">
        <f t="shared" si="74"/>
        <v>25.571318074256371</v>
      </c>
      <c r="D216" s="459">
        <f t="shared" ref="D216:N216" si="78">D114+D148+D182</f>
        <v>25.128961406707212</v>
      </c>
      <c r="E216" s="459">
        <f t="shared" si="78"/>
        <v>24.834989879503215</v>
      </c>
      <c r="F216" s="459">
        <f t="shared" si="78"/>
        <v>24.642365828892075</v>
      </c>
      <c r="G216" s="459">
        <f t="shared" si="78"/>
        <v>24.54006412341883</v>
      </c>
      <c r="H216" s="459">
        <f t="shared" si="78"/>
        <v>24.513458341476209</v>
      </c>
      <c r="I216" s="459">
        <f t="shared" si="78"/>
        <v>24.571395857239931</v>
      </c>
      <c r="J216" s="459">
        <f t="shared" si="78"/>
        <v>24.717042676517011</v>
      </c>
      <c r="K216" s="459">
        <f t="shared" si="78"/>
        <v>24.921086863723687</v>
      </c>
      <c r="L216" s="459">
        <f t="shared" si="78"/>
        <v>25.091683210413365</v>
      </c>
      <c r="M216" s="459">
        <f t="shared" si="78"/>
        <v>25.254125258771253</v>
      </c>
      <c r="N216" s="459">
        <f t="shared" si="78"/>
        <v>25.397423364485647</v>
      </c>
      <c r="O216" s="327"/>
      <c r="P216" s="327"/>
    </row>
    <row r="217" spans="1:16">
      <c r="B217" s="338" t="str">
        <f t="shared" si="72"/>
        <v>40-44</v>
      </c>
      <c r="C217" s="459">
        <f t="shared" si="74"/>
        <v>26.265354493172303</v>
      </c>
      <c r="D217" s="459">
        <f t="shared" ref="D217:N217" si="79">D115+D149+D183</f>
        <v>26.341595402678834</v>
      </c>
      <c r="E217" s="459">
        <f t="shared" si="79"/>
        <v>26.433359681497052</v>
      </c>
      <c r="F217" s="459">
        <f t="shared" si="79"/>
        <v>26.481642990382664</v>
      </c>
      <c r="G217" s="459">
        <f t="shared" si="79"/>
        <v>26.481839663216597</v>
      </c>
      <c r="H217" s="459">
        <f t="shared" si="79"/>
        <v>26.441861779032706</v>
      </c>
      <c r="I217" s="459">
        <f t="shared" si="79"/>
        <v>26.400079172340668</v>
      </c>
      <c r="J217" s="459">
        <f t="shared" si="79"/>
        <v>26.389503492706368</v>
      </c>
      <c r="K217" s="459">
        <f t="shared" si="79"/>
        <v>26.408549739855516</v>
      </c>
      <c r="L217" s="459">
        <f t="shared" si="79"/>
        <v>26.393197033980766</v>
      </c>
      <c r="M217" s="459">
        <f t="shared" si="79"/>
        <v>26.387466824753098</v>
      </c>
      <c r="N217" s="459">
        <f t="shared" si="79"/>
        <v>26.392329084861906</v>
      </c>
      <c r="O217" s="327"/>
      <c r="P217" s="327"/>
    </row>
    <row r="218" spans="1:16">
      <c r="B218" s="338" t="str">
        <f t="shared" si="72"/>
        <v>45-49</v>
      </c>
      <c r="C218" s="459">
        <f t="shared" si="74"/>
        <v>22.570015838441954</v>
      </c>
      <c r="D218" s="459">
        <f t="shared" ref="D218:N218" si="80">D116+D150+D184</f>
        <v>23.405014334848204</v>
      </c>
      <c r="E218" s="459">
        <f t="shared" si="80"/>
        <v>24.152479225130733</v>
      </c>
      <c r="F218" s="459">
        <f t="shared" si="80"/>
        <v>24.760329065802829</v>
      </c>
      <c r="G218" s="459">
        <f t="shared" si="80"/>
        <v>25.222585961812847</v>
      </c>
      <c r="H218" s="459">
        <f t="shared" si="80"/>
        <v>25.546296790146403</v>
      </c>
      <c r="I218" s="459">
        <f t="shared" si="80"/>
        <v>25.770622938225117</v>
      </c>
      <c r="J218" s="459">
        <f t="shared" si="80"/>
        <v>25.934787913684104</v>
      </c>
      <c r="K218" s="459">
        <f t="shared" si="80"/>
        <v>26.050204340501697</v>
      </c>
      <c r="L218" s="459">
        <f t="shared" si="80"/>
        <v>26.07342497113234</v>
      </c>
      <c r="M218" s="459">
        <f t="shared" si="80"/>
        <v>26.059937371887649</v>
      </c>
      <c r="N218" s="459">
        <f t="shared" si="80"/>
        <v>26.026085283407731</v>
      </c>
      <c r="O218" s="327"/>
      <c r="P218" s="327"/>
    </row>
    <row r="219" spans="1:16">
      <c r="B219" s="338" t="str">
        <f t="shared" si="72"/>
        <v>50-54</v>
      </c>
      <c r="C219" s="459">
        <f t="shared" si="74"/>
        <v>28.280204120205848</v>
      </c>
      <c r="D219" s="459">
        <f t="shared" ref="D219:N219" si="81">D117+D151+D185</f>
        <v>27.277005352256015</v>
      </c>
      <c r="E219" s="459">
        <f t="shared" si="81"/>
        <v>26.896850042388177</v>
      </c>
      <c r="F219" s="459">
        <f t="shared" si="81"/>
        <v>26.856776050105417</v>
      </c>
      <c r="G219" s="459">
        <f t="shared" si="81"/>
        <v>26.988265684229631</v>
      </c>
      <c r="H219" s="459">
        <f t="shared" si="81"/>
        <v>27.182636435933947</v>
      </c>
      <c r="I219" s="459">
        <f t="shared" si="81"/>
        <v>27.397817687342325</v>
      </c>
      <c r="J219" s="459">
        <f t="shared" si="81"/>
        <v>27.61633889775597</v>
      </c>
      <c r="K219" s="459">
        <f t="shared" si="81"/>
        <v>27.810521075242967</v>
      </c>
      <c r="L219" s="459">
        <f t="shared" si="81"/>
        <v>27.910108111300271</v>
      </c>
      <c r="M219" s="459">
        <f t="shared" si="81"/>
        <v>27.958550288462138</v>
      </c>
      <c r="N219" s="459">
        <f t="shared" si="81"/>
        <v>27.966027468280114</v>
      </c>
      <c r="O219" s="327"/>
      <c r="P219" s="327"/>
    </row>
    <row r="220" spans="1:16">
      <c r="B220" s="338" t="str">
        <f t="shared" si="72"/>
        <v>55-59</v>
      </c>
      <c r="C220" s="459">
        <f t="shared" si="74"/>
        <v>46.115828858557421</v>
      </c>
      <c r="D220" s="459">
        <f t="shared" ref="D220:N220" si="82">D118+D152+D186</f>
        <v>41.464296950770404</v>
      </c>
      <c r="E220" s="459">
        <f t="shared" si="82"/>
        <v>38.484233255137873</v>
      </c>
      <c r="F220" s="459">
        <f t="shared" si="82"/>
        <v>36.623406886829393</v>
      </c>
      <c r="G220" s="459">
        <f t="shared" si="82"/>
        <v>35.511548327934413</v>
      </c>
      <c r="H220" s="459">
        <f t="shared" si="82"/>
        <v>34.87944583378524</v>
      </c>
      <c r="I220" s="459">
        <f t="shared" si="82"/>
        <v>34.576880589279462</v>
      </c>
      <c r="J220" s="459">
        <f t="shared" si="82"/>
        <v>34.501198248619907</v>
      </c>
      <c r="K220" s="459">
        <f t="shared" si="82"/>
        <v>34.542739137829869</v>
      </c>
      <c r="L220" s="459">
        <f t="shared" si="82"/>
        <v>34.537117673796921</v>
      </c>
      <c r="M220" s="459">
        <f t="shared" si="82"/>
        <v>34.529075295242393</v>
      </c>
      <c r="N220" s="459">
        <f t="shared" si="82"/>
        <v>34.506022360380982</v>
      </c>
      <c r="O220" s="327"/>
      <c r="P220" s="327"/>
    </row>
    <row r="221" spans="1:16">
      <c r="B221" s="338" t="str">
        <f t="shared" si="72"/>
        <v>60-64</v>
      </c>
      <c r="C221" s="459">
        <f t="shared" si="74"/>
        <v>33.705310157092647</v>
      </c>
      <c r="D221" s="459">
        <f t="shared" ref="D221:N221" si="83">D119+D153+D187</f>
        <v>28.555995202013502</v>
      </c>
      <c r="E221" s="459">
        <f t="shared" si="83"/>
        <v>25.183763612296303</v>
      </c>
      <c r="F221" s="459">
        <f t="shared" si="83"/>
        <v>22.936396392803019</v>
      </c>
      <c r="G221" s="459">
        <f t="shared" si="83"/>
        <v>21.437440632337147</v>
      </c>
      <c r="H221" s="459">
        <f t="shared" si="83"/>
        <v>20.439017785628028</v>
      </c>
      <c r="I221" s="459">
        <f t="shared" si="83"/>
        <v>19.806256015096565</v>
      </c>
      <c r="J221" s="459">
        <f t="shared" si="83"/>
        <v>19.443446968925947</v>
      </c>
      <c r="K221" s="459">
        <f t="shared" si="83"/>
        <v>19.246773494484817</v>
      </c>
      <c r="L221" s="459">
        <f t="shared" si="83"/>
        <v>19.068545026594698</v>
      </c>
      <c r="M221" s="459">
        <f t="shared" si="83"/>
        <v>18.942710107538662</v>
      </c>
      <c r="N221" s="459">
        <f t="shared" si="83"/>
        <v>18.848175640097281</v>
      </c>
      <c r="O221" s="327"/>
      <c r="P221" s="327"/>
    </row>
    <row r="222" spans="1:16">
      <c r="B222" s="338" t="str">
        <f t="shared" si="72"/>
        <v>65 plus</v>
      </c>
      <c r="C222" s="459">
        <f t="shared" si="74"/>
        <v>11.980822904121135</v>
      </c>
      <c r="D222" s="459">
        <f t="shared" ref="D222:N222" si="84">D120+D154+D188</f>
        <v>11.959516439683059</v>
      </c>
      <c r="E222" s="459">
        <f t="shared" si="84"/>
        <v>11.298329882625836</v>
      </c>
      <c r="F222" s="459">
        <f t="shared" si="84"/>
        <v>10.494128794653603</v>
      </c>
      <c r="G222" s="459">
        <f t="shared" si="84"/>
        <v>9.7499537309862436</v>
      </c>
      <c r="H222" s="459">
        <f t="shared" si="84"/>
        <v>9.1298017665889297</v>
      </c>
      <c r="I222" s="459">
        <f t="shared" si="84"/>
        <v>8.6531563867789707</v>
      </c>
      <c r="J222" s="459">
        <f t="shared" si="84"/>
        <v>8.3130627330768405</v>
      </c>
      <c r="K222" s="459">
        <f t="shared" si="84"/>
        <v>8.0774595722307705</v>
      </c>
      <c r="L222" s="459">
        <f t="shared" si="84"/>
        <v>7.883014287986656</v>
      </c>
      <c r="M222" s="459">
        <f t="shared" si="84"/>
        <v>7.7367835517360311</v>
      </c>
      <c r="N222" s="459">
        <f t="shared" si="84"/>
        <v>7.6266655421272542</v>
      </c>
      <c r="O222" s="327"/>
      <c r="P222" s="327"/>
    </row>
    <row r="223" spans="1:16">
      <c r="B223" s="338" t="str">
        <f t="shared" si="72"/>
        <v>Total</v>
      </c>
      <c r="C223" s="459">
        <f>SUM(C213:C222)</f>
        <v>246.71186971948174</v>
      </c>
      <c r="D223" s="459">
        <f t="shared" ref="D223:N223" si="85">SUM(D213:D222)</f>
        <v>239.78919213095759</v>
      </c>
      <c r="E223" s="459">
        <f t="shared" si="85"/>
        <v>237.10226501995339</v>
      </c>
      <c r="F223" s="459">
        <f t="shared" si="85"/>
        <v>236.57241001402559</v>
      </c>
      <c r="G223" s="459">
        <f t="shared" si="85"/>
        <v>237.13007581713191</v>
      </c>
      <c r="H223" s="459">
        <f t="shared" si="85"/>
        <v>238.05982128590216</v>
      </c>
      <c r="I223" s="459">
        <f t="shared" si="85"/>
        <v>239.34270197269842</v>
      </c>
      <c r="J223" s="459">
        <f t="shared" si="85"/>
        <v>241.03168815291281</v>
      </c>
      <c r="K223" s="459">
        <f t="shared" si="85"/>
        <v>242.76164776910076</v>
      </c>
      <c r="L223" s="459">
        <f t="shared" si="85"/>
        <v>243.31054671625677</v>
      </c>
      <c r="M223" s="459">
        <f t="shared" si="85"/>
        <v>243.46749040485801</v>
      </c>
      <c r="N223" s="459">
        <f t="shared" si="85"/>
        <v>243.31714099855023</v>
      </c>
      <c r="O223" s="327"/>
      <c r="P223" s="327"/>
    </row>
    <row r="224" spans="1:16">
      <c r="A224" s="309">
        <f>SUM(C224:N224)</f>
        <v>0</v>
      </c>
      <c r="C224" s="309">
        <f>SUM(C213:C222)-C223</f>
        <v>0</v>
      </c>
      <c r="D224" s="309">
        <f t="shared" ref="D224:N224" si="86">SUM(D213:D222)-D223</f>
        <v>0</v>
      </c>
      <c r="E224" s="309">
        <f t="shared" si="86"/>
        <v>0</v>
      </c>
      <c r="F224" s="309">
        <f t="shared" si="86"/>
        <v>0</v>
      </c>
      <c r="G224" s="309">
        <f t="shared" si="86"/>
        <v>0</v>
      </c>
      <c r="H224" s="309">
        <f t="shared" si="86"/>
        <v>0</v>
      </c>
      <c r="I224" s="309">
        <f t="shared" si="86"/>
        <v>0</v>
      </c>
      <c r="J224" s="309">
        <f t="shared" si="86"/>
        <v>0</v>
      </c>
      <c r="K224" s="309">
        <f t="shared" si="86"/>
        <v>0</v>
      </c>
      <c r="L224" s="309">
        <f t="shared" si="86"/>
        <v>0</v>
      </c>
      <c r="M224" s="309">
        <f t="shared" si="86"/>
        <v>0</v>
      </c>
      <c r="N224" s="309">
        <f t="shared" si="86"/>
        <v>0</v>
      </c>
    </row>
    <row r="226" spans="1:16">
      <c r="B226" s="341" t="s">
        <v>50</v>
      </c>
      <c r="C226" s="329"/>
      <c r="D226" s="329"/>
      <c r="E226" s="329"/>
      <c r="F226" s="329"/>
      <c r="G226" s="329"/>
      <c r="H226" s="339"/>
      <c r="I226" s="329"/>
      <c r="J226" s="329"/>
      <c r="K226" s="329"/>
      <c r="L226" s="329"/>
    </row>
    <row r="227" spans="1:16">
      <c r="C227" s="329"/>
      <c r="D227" s="329"/>
      <c r="E227" s="329"/>
      <c r="F227" s="329"/>
      <c r="G227" s="329"/>
      <c r="H227" s="339"/>
      <c r="I227" s="329"/>
      <c r="J227" s="329"/>
      <c r="K227" s="329"/>
      <c r="L227" s="329"/>
    </row>
    <row r="228" spans="1:16">
      <c r="B228" s="338" t="str">
        <f t="shared" ref="B228:B239" si="87">B212</f>
        <v>Age group</v>
      </c>
      <c r="C228" s="338" t="str">
        <f t="shared" ref="C228:N228" si="88">C212</f>
        <v>2016/17</v>
      </c>
      <c r="D228" s="338" t="str">
        <f t="shared" si="88"/>
        <v>2017/18</v>
      </c>
      <c r="E228" s="338" t="str">
        <f t="shared" si="88"/>
        <v>2018/19</v>
      </c>
      <c r="F228" s="338" t="str">
        <f t="shared" si="88"/>
        <v>2019/20</v>
      </c>
      <c r="G228" s="338" t="str">
        <f t="shared" si="88"/>
        <v>2020/21</v>
      </c>
      <c r="H228" s="338" t="str">
        <f t="shared" si="88"/>
        <v>2021/22</v>
      </c>
      <c r="I228" s="338" t="str">
        <f t="shared" si="88"/>
        <v>2022/23</v>
      </c>
      <c r="J228" s="338" t="str">
        <f t="shared" si="88"/>
        <v>2023/24</v>
      </c>
      <c r="K228" s="338" t="str">
        <f t="shared" si="88"/>
        <v>2024/25</v>
      </c>
      <c r="L228" s="338" t="str">
        <f t="shared" si="88"/>
        <v>2025/26</v>
      </c>
      <c r="M228" s="338" t="str">
        <f t="shared" si="88"/>
        <v>2026/27</v>
      </c>
      <c r="N228" s="338" t="str">
        <f t="shared" si="88"/>
        <v>2027/28</v>
      </c>
    </row>
    <row r="229" spans="1:16">
      <c r="B229" s="338" t="str">
        <f t="shared" si="87"/>
        <v>20-24</v>
      </c>
      <c r="C229" s="459">
        <f t="shared" ref="C229:C238" si="89">C195+C161+C127</f>
        <v>26.248777951984916</v>
      </c>
      <c r="D229" s="459">
        <f t="shared" ref="D229:N229" si="90">D195+D161+D127</f>
        <v>30.672528964173434</v>
      </c>
      <c r="E229" s="459">
        <f t="shared" si="90"/>
        <v>34.890024870582657</v>
      </c>
      <c r="F229" s="459">
        <f t="shared" si="90"/>
        <v>38.245446595362345</v>
      </c>
      <c r="G229" s="459">
        <f t="shared" si="90"/>
        <v>40.678611719732594</v>
      </c>
      <c r="H229" s="459">
        <f t="shared" si="90"/>
        <v>42.259830687684762</v>
      </c>
      <c r="I229" s="459">
        <f t="shared" si="90"/>
        <v>43.334214458012497</v>
      </c>
      <c r="J229" s="459">
        <f t="shared" si="90"/>
        <v>44.169715714922482</v>
      </c>
      <c r="K229" s="459">
        <f t="shared" si="90"/>
        <v>44.735217932298674</v>
      </c>
      <c r="L229" s="459">
        <f t="shared" si="90"/>
        <v>44.538328350259569</v>
      </c>
      <c r="M229" s="459">
        <f t="shared" si="90"/>
        <v>44.147809643123118</v>
      </c>
      <c r="N229" s="459">
        <f t="shared" si="90"/>
        <v>43.661876444458578</v>
      </c>
      <c r="O229" s="327"/>
      <c r="P229" s="327"/>
    </row>
    <row r="230" spans="1:16">
      <c r="B230" s="338" t="str">
        <f t="shared" si="87"/>
        <v>25-29</v>
      </c>
      <c r="C230" s="459">
        <f t="shared" si="89"/>
        <v>79.882699577845614</v>
      </c>
      <c r="D230" s="459">
        <f t="shared" ref="D230:N230" si="91">D196+D162+D128</f>
        <v>75.016000583574268</v>
      </c>
      <c r="E230" s="459">
        <f t="shared" si="91"/>
        <v>73.304793027333886</v>
      </c>
      <c r="F230" s="459">
        <f t="shared" si="91"/>
        <v>73.076715058294354</v>
      </c>
      <c r="G230" s="459">
        <f t="shared" si="91"/>
        <v>73.461347968953916</v>
      </c>
      <c r="H230" s="459">
        <f t="shared" si="91"/>
        <v>73.94046403669833</v>
      </c>
      <c r="I230" s="459">
        <f t="shared" si="91"/>
        <v>74.469284932183243</v>
      </c>
      <c r="J230" s="459">
        <f t="shared" si="91"/>
        <v>75.091147615904575</v>
      </c>
      <c r="K230" s="459">
        <f t="shared" si="91"/>
        <v>75.636071384830501</v>
      </c>
      <c r="L230" s="459">
        <f t="shared" si="91"/>
        <v>75.463945984457979</v>
      </c>
      <c r="M230" s="459">
        <f t="shared" si="91"/>
        <v>75.036871010453922</v>
      </c>
      <c r="N230" s="459">
        <f t="shared" si="91"/>
        <v>74.441785792016219</v>
      </c>
      <c r="O230" s="327"/>
      <c r="P230" s="327"/>
    </row>
    <row r="231" spans="1:16">
      <c r="B231" s="338" t="str">
        <f t="shared" si="87"/>
        <v>30-34</v>
      </c>
      <c r="C231" s="459">
        <f t="shared" si="89"/>
        <v>81.233667259834348</v>
      </c>
      <c r="D231" s="459">
        <f t="shared" ref="D231:N231" si="92">D197+D163+D129</f>
        <v>80.490447474185927</v>
      </c>
      <c r="E231" s="459">
        <f t="shared" si="92"/>
        <v>79.768252468565279</v>
      </c>
      <c r="F231" s="459">
        <f t="shared" si="92"/>
        <v>79.161199625883881</v>
      </c>
      <c r="G231" s="459">
        <f t="shared" si="92"/>
        <v>78.702989093675683</v>
      </c>
      <c r="H231" s="459">
        <f t="shared" si="92"/>
        <v>78.338649575642748</v>
      </c>
      <c r="I231" s="459">
        <f t="shared" si="92"/>
        <v>78.121722084046183</v>
      </c>
      <c r="J231" s="459">
        <f t="shared" si="92"/>
        <v>78.097095101117262</v>
      </c>
      <c r="K231" s="459">
        <f t="shared" si="92"/>
        <v>78.167196580342008</v>
      </c>
      <c r="L231" s="459">
        <f t="shared" si="92"/>
        <v>77.93996351752854</v>
      </c>
      <c r="M231" s="459">
        <f t="shared" si="92"/>
        <v>77.58931736852999</v>
      </c>
      <c r="N231" s="459">
        <f t="shared" si="92"/>
        <v>77.131137565953054</v>
      </c>
      <c r="O231" s="327"/>
      <c r="P231" s="327"/>
    </row>
    <row r="232" spans="1:16">
      <c r="B232" s="338" t="str">
        <f t="shared" si="87"/>
        <v>35-39</v>
      </c>
      <c r="C232" s="459">
        <f t="shared" si="89"/>
        <v>67.983991727903145</v>
      </c>
      <c r="D232" s="459">
        <f t="shared" ref="D232:N232" si="93">D198+D164+D130</f>
        <v>68.080000139673714</v>
      </c>
      <c r="E232" s="459">
        <f t="shared" si="93"/>
        <v>68.414767400387149</v>
      </c>
      <c r="F232" s="459">
        <f t="shared" si="93"/>
        <v>68.666657151963818</v>
      </c>
      <c r="G232" s="459">
        <f t="shared" si="93"/>
        <v>68.764292594286786</v>
      </c>
      <c r="H232" s="459">
        <f t="shared" si="93"/>
        <v>68.702340172579724</v>
      </c>
      <c r="I232" s="459">
        <f t="shared" si="93"/>
        <v>68.575758666481221</v>
      </c>
      <c r="J232" s="459">
        <f t="shared" si="93"/>
        <v>68.471411821558974</v>
      </c>
      <c r="K232" s="459">
        <f t="shared" si="93"/>
        <v>68.379285035538942</v>
      </c>
      <c r="L232" s="459">
        <f t="shared" si="93"/>
        <v>68.103201944787699</v>
      </c>
      <c r="M232" s="459">
        <f t="shared" si="93"/>
        <v>67.770117562940754</v>
      </c>
      <c r="N232" s="459">
        <f t="shared" si="93"/>
        <v>67.389977361994511</v>
      </c>
      <c r="O232" s="327"/>
      <c r="P232" s="327"/>
    </row>
    <row r="233" spans="1:16">
      <c r="B233" s="338" t="str">
        <f t="shared" si="87"/>
        <v>40-44</v>
      </c>
      <c r="C233" s="459">
        <f t="shared" si="89"/>
        <v>56.580477277849738</v>
      </c>
      <c r="D233" s="459">
        <f t="shared" ref="D233:N233" si="94">D199+D165+D131</f>
        <v>57.275120073483336</v>
      </c>
      <c r="E233" s="459">
        <f t="shared" si="94"/>
        <v>58.114778392507425</v>
      </c>
      <c r="F233" s="459">
        <f t="shared" si="94"/>
        <v>58.895089586335409</v>
      </c>
      <c r="G233" s="459">
        <f t="shared" si="94"/>
        <v>59.527284944220789</v>
      </c>
      <c r="H233" s="459">
        <f t="shared" si="94"/>
        <v>59.966250297865308</v>
      </c>
      <c r="I233" s="459">
        <f t="shared" si="94"/>
        <v>60.263792400434184</v>
      </c>
      <c r="J233" s="459">
        <f t="shared" si="94"/>
        <v>60.481287595245426</v>
      </c>
      <c r="K233" s="459">
        <f t="shared" si="94"/>
        <v>60.614546236006319</v>
      </c>
      <c r="L233" s="459">
        <f t="shared" si="94"/>
        <v>60.521510763002439</v>
      </c>
      <c r="M233" s="459">
        <f t="shared" si="94"/>
        <v>60.331079234135153</v>
      </c>
      <c r="N233" s="459">
        <f t="shared" si="94"/>
        <v>60.071124399454611</v>
      </c>
      <c r="O233" s="327"/>
      <c r="P233" s="327"/>
    </row>
    <row r="234" spans="1:16">
      <c r="B234" s="338" t="str">
        <f t="shared" si="87"/>
        <v>45-49</v>
      </c>
      <c r="C234" s="459">
        <f t="shared" si="89"/>
        <v>39.843669092030645</v>
      </c>
      <c r="D234" s="459">
        <f t="shared" ref="D234:N234" si="95">D200+D166+D132</f>
        <v>43.259345302523542</v>
      </c>
      <c r="E234" s="459">
        <f t="shared" si="95"/>
        <v>46.170127586597005</v>
      </c>
      <c r="F234" s="459">
        <f t="shared" si="95"/>
        <v>48.559659044279172</v>
      </c>
      <c r="G234" s="459">
        <f t="shared" si="95"/>
        <v>50.477845163192086</v>
      </c>
      <c r="H234" s="459">
        <f t="shared" si="95"/>
        <v>51.972366246494254</v>
      </c>
      <c r="I234" s="459">
        <f t="shared" si="95"/>
        <v>53.143036935634647</v>
      </c>
      <c r="J234" s="459">
        <f t="shared" si="95"/>
        <v>54.078725453100894</v>
      </c>
      <c r="K234" s="459">
        <f t="shared" si="95"/>
        <v>54.801284294530987</v>
      </c>
      <c r="L234" s="459">
        <f t="shared" si="95"/>
        <v>55.208764665756725</v>
      </c>
      <c r="M234" s="459">
        <f t="shared" si="95"/>
        <v>55.42795403901129</v>
      </c>
      <c r="N234" s="459">
        <f t="shared" si="95"/>
        <v>55.500442979545653</v>
      </c>
      <c r="O234" s="327"/>
      <c r="P234" s="327"/>
    </row>
    <row r="235" spans="1:16">
      <c r="B235" s="338" t="str">
        <f t="shared" si="87"/>
        <v>50-54</v>
      </c>
      <c r="C235" s="459">
        <f t="shared" si="89"/>
        <v>49.875150048228775</v>
      </c>
      <c r="D235" s="459">
        <f t="shared" ref="D235:N235" si="96">D201+D167+D133</f>
        <v>48.669892401904406</v>
      </c>
      <c r="E235" s="459">
        <f t="shared" si="96"/>
        <v>48.960143908874883</v>
      </c>
      <c r="F235" s="459">
        <f t="shared" si="96"/>
        <v>49.998654742122127</v>
      </c>
      <c r="G235" s="459">
        <f t="shared" si="96"/>
        <v>51.356034869015872</v>
      </c>
      <c r="H235" s="459">
        <f t="shared" si="96"/>
        <v>52.769399287507419</v>
      </c>
      <c r="I235" s="459">
        <f t="shared" si="96"/>
        <v>54.140490086640511</v>
      </c>
      <c r="J235" s="459">
        <f t="shared" si="96"/>
        <v>55.430632917672163</v>
      </c>
      <c r="K235" s="459">
        <f t="shared" si="96"/>
        <v>56.577593313720996</v>
      </c>
      <c r="L235" s="459">
        <f t="shared" si="96"/>
        <v>57.421224259933716</v>
      </c>
      <c r="M235" s="459">
        <f t="shared" si="96"/>
        <v>58.059601454512425</v>
      </c>
      <c r="N235" s="459">
        <f t="shared" si="96"/>
        <v>58.515228529436584</v>
      </c>
      <c r="O235" s="327"/>
      <c r="P235" s="327"/>
    </row>
    <row r="236" spans="1:16">
      <c r="B236" s="338" t="str">
        <f t="shared" si="87"/>
        <v>55-59</v>
      </c>
      <c r="C236" s="459">
        <f t="shared" si="89"/>
        <v>93.318879991876813</v>
      </c>
      <c r="D236" s="459">
        <f t="shared" ref="D236:N236" si="97">D202+D168+D134</f>
        <v>80.480559087146446</v>
      </c>
      <c r="E236" s="459">
        <f t="shared" si="97"/>
        <v>72.7419689918041</v>
      </c>
      <c r="F236" s="459">
        <f t="shared" si="97"/>
        <v>68.363680171110715</v>
      </c>
      <c r="G236" s="459">
        <f t="shared" si="97"/>
        <v>66.171071723980646</v>
      </c>
      <c r="H236" s="459">
        <f t="shared" si="97"/>
        <v>65.335774756950926</v>
      </c>
      <c r="I236" s="459">
        <f t="shared" si="97"/>
        <v>65.37580875795706</v>
      </c>
      <c r="J236" s="459">
        <f t="shared" si="97"/>
        <v>65.97231805886787</v>
      </c>
      <c r="K236" s="459">
        <f t="shared" si="97"/>
        <v>66.829828749310721</v>
      </c>
      <c r="L236" s="459">
        <f t="shared" si="97"/>
        <v>67.557987048762712</v>
      </c>
      <c r="M236" s="459">
        <f t="shared" si="97"/>
        <v>68.228765920929021</v>
      </c>
      <c r="N236" s="459">
        <f t="shared" si="97"/>
        <v>68.800780013658922</v>
      </c>
      <c r="O236" s="327"/>
      <c r="P236" s="327"/>
    </row>
    <row r="237" spans="1:16">
      <c r="B237" s="338" t="str">
        <f t="shared" si="87"/>
        <v>60-64</v>
      </c>
      <c r="C237" s="459">
        <f t="shared" si="89"/>
        <v>61.967263214415993</v>
      </c>
      <c r="D237" s="459">
        <f t="shared" ref="D237:N237" si="98">D203+D169+D135</f>
        <v>56.496220360458686</v>
      </c>
      <c r="E237" s="459">
        <f t="shared" si="98"/>
        <v>51.12033364541432</v>
      </c>
      <c r="F237" s="459">
        <f t="shared" si="98"/>
        <v>46.818704294245983</v>
      </c>
      <c r="G237" s="459">
        <f t="shared" si="98"/>
        <v>43.749241193297159</v>
      </c>
      <c r="H237" s="459">
        <f t="shared" si="98"/>
        <v>41.728075745520187</v>
      </c>
      <c r="I237" s="459">
        <f t="shared" si="98"/>
        <v>40.569267813954163</v>
      </c>
      <c r="J237" s="459">
        <f t="shared" si="98"/>
        <v>40.073256549121325</v>
      </c>
      <c r="K237" s="459">
        <f t="shared" si="98"/>
        <v>39.985808319763159</v>
      </c>
      <c r="L237" s="459">
        <f t="shared" si="98"/>
        <v>39.942300262939867</v>
      </c>
      <c r="M237" s="459">
        <f t="shared" si="98"/>
        <v>40.015036467170361</v>
      </c>
      <c r="N237" s="459">
        <f t="shared" si="98"/>
        <v>40.142262506186476</v>
      </c>
      <c r="O237" s="327"/>
      <c r="P237" s="327"/>
    </row>
    <row r="238" spans="1:16">
      <c r="B238" s="338" t="str">
        <f t="shared" si="87"/>
        <v>65 plus</v>
      </c>
      <c r="C238" s="459">
        <f t="shared" si="89"/>
        <v>17.138506924793109</v>
      </c>
      <c r="D238" s="459">
        <f t="shared" ref="D238:N238" si="99">D204+D170+D136</f>
        <v>18.830614811356526</v>
      </c>
      <c r="E238" s="459">
        <f t="shared" si="99"/>
        <v>19.103960217272931</v>
      </c>
      <c r="F238" s="459">
        <f t="shared" si="99"/>
        <v>18.569179035198005</v>
      </c>
      <c r="G238" s="459">
        <f t="shared" si="99"/>
        <v>17.728168934279907</v>
      </c>
      <c r="H238" s="459">
        <f t="shared" si="99"/>
        <v>16.870106999476871</v>
      </c>
      <c r="I238" s="459">
        <f t="shared" si="99"/>
        <v>16.161622957262455</v>
      </c>
      <c r="J238" s="459">
        <f t="shared" si="99"/>
        <v>15.66393452230219</v>
      </c>
      <c r="K238" s="459">
        <f t="shared" si="99"/>
        <v>15.344525590889642</v>
      </c>
      <c r="L238" s="459">
        <f t="shared" si="99"/>
        <v>15.076771179102487</v>
      </c>
      <c r="M238" s="459">
        <f t="shared" si="99"/>
        <v>14.897316814809049</v>
      </c>
      <c r="N238" s="459">
        <f t="shared" si="99"/>
        <v>14.78438646577605</v>
      </c>
      <c r="O238" s="327"/>
      <c r="P238" s="327"/>
    </row>
    <row r="239" spans="1:16">
      <c r="B239" s="338" t="str">
        <f t="shared" si="87"/>
        <v>Total</v>
      </c>
      <c r="C239" s="459">
        <f>SUM(C229:C238)</f>
        <v>574.07308306676305</v>
      </c>
      <c r="D239" s="459">
        <f t="shared" ref="D239:N239" si="100">SUM(D229:D238)</f>
        <v>559.27072919848024</v>
      </c>
      <c r="E239" s="459">
        <f t="shared" si="100"/>
        <v>552.58915050933979</v>
      </c>
      <c r="F239" s="459">
        <f t="shared" si="100"/>
        <v>550.35498530479583</v>
      </c>
      <c r="G239" s="459">
        <f t="shared" si="100"/>
        <v>550.61688820463542</v>
      </c>
      <c r="H239" s="459">
        <f t="shared" si="100"/>
        <v>551.8832578064206</v>
      </c>
      <c r="I239" s="459">
        <f t="shared" si="100"/>
        <v>554.1549990926062</v>
      </c>
      <c r="J239" s="459">
        <f t="shared" si="100"/>
        <v>557.52952534981307</v>
      </c>
      <c r="K239" s="459">
        <f t="shared" si="100"/>
        <v>561.07135743723188</v>
      </c>
      <c r="L239" s="459">
        <f t="shared" si="100"/>
        <v>561.77399797653175</v>
      </c>
      <c r="M239" s="459">
        <f t="shared" si="100"/>
        <v>561.50386951561507</v>
      </c>
      <c r="N239" s="459">
        <f t="shared" si="100"/>
        <v>560.4390020584807</v>
      </c>
      <c r="O239" s="327"/>
      <c r="P239" s="327"/>
    </row>
    <row r="240" spans="1:16">
      <c r="A240" s="309">
        <f>SUM(C240:N240)</f>
        <v>0</v>
      </c>
      <c r="C240" s="309">
        <f>SUM(C229:C238)-C239</f>
        <v>0</v>
      </c>
      <c r="D240" s="309">
        <f t="shared" ref="D240:N240" si="101">SUM(D229:D238)-D239</f>
        <v>0</v>
      </c>
      <c r="E240" s="309">
        <f t="shared" si="101"/>
        <v>0</v>
      </c>
      <c r="F240" s="309">
        <f t="shared" si="101"/>
        <v>0</v>
      </c>
      <c r="G240" s="309">
        <f t="shared" si="101"/>
        <v>0</v>
      </c>
      <c r="H240" s="309">
        <f t="shared" si="101"/>
        <v>0</v>
      </c>
      <c r="I240" s="309">
        <f t="shared" si="101"/>
        <v>0</v>
      </c>
      <c r="J240" s="309">
        <f t="shared" si="101"/>
        <v>0</v>
      </c>
      <c r="K240" s="309">
        <f t="shared" si="101"/>
        <v>0</v>
      </c>
      <c r="L240" s="309">
        <f t="shared" si="101"/>
        <v>0</v>
      </c>
      <c r="M240" s="309">
        <f t="shared" si="101"/>
        <v>0</v>
      </c>
      <c r="N240" s="309">
        <f t="shared" si="101"/>
        <v>0</v>
      </c>
    </row>
    <row r="242" spans="2:14" ht="15.75">
      <c r="B242" s="340" t="s">
        <v>154</v>
      </c>
      <c r="C242" s="329"/>
      <c r="D242" s="329"/>
      <c r="E242" s="329"/>
      <c r="F242" s="329"/>
      <c r="G242" s="329"/>
      <c r="H242" s="339"/>
      <c r="I242" s="329"/>
      <c r="J242" s="329"/>
      <c r="K242" s="329"/>
      <c r="L242" s="329"/>
    </row>
    <row r="243" spans="2:14">
      <c r="C243" s="329"/>
      <c r="D243" s="329"/>
      <c r="E243" s="329"/>
      <c r="F243" s="329"/>
      <c r="G243" s="329"/>
      <c r="H243" s="339"/>
      <c r="I243" s="329"/>
      <c r="J243" s="329"/>
      <c r="K243" s="329"/>
      <c r="L243" s="329"/>
    </row>
    <row r="244" spans="2:14">
      <c r="B244" s="341" t="s">
        <v>49</v>
      </c>
      <c r="C244" s="329"/>
      <c r="D244" s="329"/>
      <c r="E244" s="329"/>
      <c r="F244" s="329"/>
      <c r="G244" s="329"/>
      <c r="H244" s="339"/>
      <c r="I244" s="329"/>
      <c r="J244" s="329"/>
      <c r="K244" s="329"/>
      <c r="L244" s="329"/>
    </row>
    <row r="245" spans="2:14">
      <c r="C245" s="329"/>
      <c r="D245" s="329"/>
      <c r="E245" s="329"/>
      <c r="F245" s="329"/>
      <c r="G245" s="329"/>
      <c r="H245" s="339"/>
      <c r="I245" s="329"/>
      <c r="J245" s="329"/>
      <c r="K245" s="329"/>
      <c r="L245" s="329"/>
    </row>
    <row r="246" spans="2:14">
      <c r="B246" s="338" t="str">
        <f t="shared" ref="B246:B257" si="102">B212</f>
        <v>Age group</v>
      </c>
      <c r="C246" s="338" t="str">
        <f t="shared" ref="C246:N246" si="103">C212</f>
        <v>2016/17</v>
      </c>
      <c r="D246" s="338" t="str">
        <f t="shared" si="103"/>
        <v>2017/18</v>
      </c>
      <c r="E246" s="338" t="str">
        <f t="shared" si="103"/>
        <v>2018/19</v>
      </c>
      <c r="F246" s="338" t="str">
        <f t="shared" si="103"/>
        <v>2019/20</v>
      </c>
      <c r="G246" s="338" t="str">
        <f t="shared" si="103"/>
        <v>2020/21</v>
      </c>
      <c r="H246" s="338" t="str">
        <f t="shared" si="103"/>
        <v>2021/22</v>
      </c>
      <c r="I246" s="338" t="str">
        <f t="shared" si="103"/>
        <v>2022/23</v>
      </c>
      <c r="J246" s="338" t="str">
        <f t="shared" si="103"/>
        <v>2023/24</v>
      </c>
      <c r="K246" s="338" t="str">
        <f t="shared" si="103"/>
        <v>2024/25</v>
      </c>
      <c r="L246" s="338" t="str">
        <f t="shared" si="103"/>
        <v>2025/26</v>
      </c>
      <c r="M246" s="338" t="str">
        <f t="shared" si="103"/>
        <v>2026/27</v>
      </c>
      <c r="N246" s="338" t="str">
        <f t="shared" si="103"/>
        <v>2027/28</v>
      </c>
    </row>
    <row r="247" spans="2:14">
      <c r="B247" s="338" t="str">
        <f t="shared" si="102"/>
        <v>20-24</v>
      </c>
      <c r="C247" s="459">
        <f t="shared" ref="C247:C256" si="104">C77-C213</f>
        <v>60.948358119902949</v>
      </c>
      <c r="D247" s="459">
        <f t="shared" ref="D247:N247" si="105">D77-D213</f>
        <v>87.807454884773065</v>
      </c>
      <c r="E247" s="459">
        <f t="shared" si="105"/>
        <v>110.89881464838565</v>
      </c>
      <c r="F247" s="459">
        <f t="shared" si="105"/>
        <v>128.64966629735989</v>
      </c>
      <c r="G247" s="459">
        <f t="shared" si="105"/>
        <v>141.45212933691437</v>
      </c>
      <c r="H247" s="459">
        <f t="shared" si="105"/>
        <v>150.00619496825601</v>
      </c>
      <c r="I247" s="459">
        <f t="shared" si="105"/>
        <v>155.90594695130656</v>
      </c>
      <c r="J247" s="459">
        <f t="shared" si="105"/>
        <v>160.36869892187633</v>
      </c>
      <c r="K247" s="459">
        <f t="shared" si="105"/>
        <v>163.43719734390353</v>
      </c>
      <c r="L247" s="459">
        <f t="shared" si="105"/>
        <v>163.39633634779355</v>
      </c>
      <c r="M247" s="459">
        <f t="shared" si="105"/>
        <v>162.43886656213382</v>
      </c>
      <c r="N247" s="459">
        <f t="shared" si="105"/>
        <v>160.98646293189071</v>
      </c>
    </row>
    <row r="248" spans="2:14">
      <c r="B248" s="338" t="str">
        <f t="shared" si="102"/>
        <v>25-29</v>
      </c>
      <c r="C248" s="459">
        <f t="shared" si="104"/>
        <v>232.6193756079623</v>
      </c>
      <c r="D248" s="459">
        <f t="shared" ref="D248:N248" si="106">D78-D214</f>
        <v>240.07283387839828</v>
      </c>
      <c r="E248" s="459">
        <f t="shared" si="106"/>
        <v>255.65080750433603</v>
      </c>
      <c r="F248" s="459">
        <f t="shared" si="106"/>
        <v>272.9889372331333</v>
      </c>
      <c r="G248" s="459">
        <f t="shared" si="106"/>
        <v>289.13363538614283</v>
      </c>
      <c r="H248" s="459">
        <f t="shared" si="106"/>
        <v>302.5477089391461</v>
      </c>
      <c r="I248" s="459">
        <f t="shared" si="106"/>
        <v>313.67781177785855</v>
      </c>
      <c r="J248" s="459">
        <f t="shared" si="106"/>
        <v>323.24959784699746</v>
      </c>
      <c r="K248" s="459">
        <f t="shared" si="106"/>
        <v>330.92899968408921</v>
      </c>
      <c r="L248" s="459">
        <f t="shared" si="106"/>
        <v>334.1763760632428</v>
      </c>
      <c r="M248" s="459">
        <f t="shared" si="106"/>
        <v>335.32306471974039</v>
      </c>
      <c r="N248" s="459">
        <f t="shared" si="106"/>
        <v>334.97227604391969</v>
      </c>
    </row>
    <row r="249" spans="2:14">
      <c r="B249" s="338" t="str">
        <f t="shared" si="102"/>
        <v>30-34</v>
      </c>
      <c r="C249" s="459">
        <f t="shared" si="104"/>
        <v>350.28334967002854</v>
      </c>
      <c r="D249" s="459">
        <f t="shared" ref="D249:N249" si="107">D79-D215</f>
        <v>342.32726125156938</v>
      </c>
      <c r="E249" s="459">
        <f t="shared" si="107"/>
        <v>340.95741749409456</v>
      </c>
      <c r="F249" s="459">
        <f t="shared" si="107"/>
        <v>343.89572578226154</v>
      </c>
      <c r="G249" s="459">
        <f t="shared" si="107"/>
        <v>349.46905191033386</v>
      </c>
      <c r="H249" s="459">
        <f t="shared" si="107"/>
        <v>356.21009606017265</v>
      </c>
      <c r="I249" s="459">
        <f t="shared" si="107"/>
        <v>363.61914200055634</v>
      </c>
      <c r="J249" s="459">
        <f t="shared" si="107"/>
        <v>371.47071706931075</v>
      </c>
      <c r="K249" s="459">
        <f t="shared" si="107"/>
        <v>379.06187683640979</v>
      </c>
      <c r="L249" s="459">
        <f t="shared" si="107"/>
        <v>384.38568303752942</v>
      </c>
      <c r="M249" s="459">
        <f t="shared" si="107"/>
        <v>388.23366098172721</v>
      </c>
      <c r="N249" s="459">
        <f t="shared" si="107"/>
        <v>390.70967660433985</v>
      </c>
    </row>
    <row r="250" spans="2:14">
      <c r="B250" s="338" t="str">
        <f t="shared" si="102"/>
        <v>35-39</v>
      </c>
      <c r="C250" s="459">
        <f t="shared" si="104"/>
        <v>380.76181491897091</v>
      </c>
      <c r="D250" s="459">
        <f t="shared" ref="D250:N250" si="108">D80-D216</f>
        <v>374.1750395682277</v>
      </c>
      <c r="E250" s="459">
        <f t="shared" si="108"/>
        <v>369.79774732589379</v>
      </c>
      <c r="F250" s="459">
        <f t="shared" si="108"/>
        <v>366.9295383859104</v>
      </c>
      <c r="G250" s="459">
        <f t="shared" si="108"/>
        <v>365.40624643309889</v>
      </c>
      <c r="H250" s="459">
        <f t="shared" si="108"/>
        <v>365.01008125340837</v>
      </c>
      <c r="I250" s="459">
        <f t="shared" si="108"/>
        <v>365.87278193978017</v>
      </c>
      <c r="J250" s="459">
        <f t="shared" si="108"/>
        <v>368.04149092396608</v>
      </c>
      <c r="K250" s="459">
        <f t="shared" si="108"/>
        <v>371.07974788118946</v>
      </c>
      <c r="L250" s="459">
        <f t="shared" si="108"/>
        <v>373.61996009846672</v>
      </c>
      <c r="M250" s="459">
        <f t="shared" si="108"/>
        <v>376.03875325462286</v>
      </c>
      <c r="N250" s="459">
        <f t="shared" si="108"/>
        <v>378.17248944482708</v>
      </c>
    </row>
    <row r="251" spans="2:14">
      <c r="B251" s="338" t="str">
        <f t="shared" si="102"/>
        <v>40-44</v>
      </c>
      <c r="C251" s="459">
        <f t="shared" si="104"/>
        <v>346.13431925965</v>
      </c>
      <c r="D251" s="459">
        <f t="shared" ref="D251:N251" si="109">D81-D217</f>
        <v>347.13904947635581</v>
      </c>
      <c r="E251" s="459">
        <f t="shared" si="109"/>
        <v>348.348352255397</v>
      </c>
      <c r="F251" s="459">
        <f t="shared" si="109"/>
        <v>348.98464712273147</v>
      </c>
      <c r="G251" s="459">
        <f t="shared" si="109"/>
        <v>348.98723894830562</v>
      </c>
      <c r="H251" s="459">
        <f t="shared" si="109"/>
        <v>348.46039596466994</v>
      </c>
      <c r="I251" s="459">
        <f t="shared" si="109"/>
        <v>347.90976969659494</v>
      </c>
      <c r="J251" s="459">
        <f t="shared" si="109"/>
        <v>347.77039957418225</v>
      </c>
      <c r="K251" s="459">
        <f t="shared" si="109"/>
        <v>348.02139789187623</v>
      </c>
      <c r="L251" s="459">
        <f t="shared" si="109"/>
        <v>347.81907439389596</v>
      </c>
      <c r="M251" s="459">
        <f t="shared" si="109"/>
        <v>347.7435596289705</v>
      </c>
      <c r="N251" s="459">
        <f t="shared" si="109"/>
        <v>347.80763624721163</v>
      </c>
    </row>
    <row r="252" spans="2:14">
      <c r="B252" s="338" t="str">
        <f t="shared" si="102"/>
        <v>45-49</v>
      </c>
      <c r="C252" s="459">
        <f t="shared" si="104"/>
        <v>263.31728572495297</v>
      </c>
      <c r="D252" s="459">
        <f t="shared" ref="D252:N252" si="110">D82-D218</f>
        <v>273.0589509161498</v>
      </c>
      <c r="E252" s="459">
        <f t="shared" si="110"/>
        <v>281.77938901830947</v>
      </c>
      <c r="F252" s="459">
        <f t="shared" si="110"/>
        <v>288.87098218863883</v>
      </c>
      <c r="G252" s="459">
        <f t="shared" si="110"/>
        <v>294.26398820317968</v>
      </c>
      <c r="H252" s="459">
        <f t="shared" si="110"/>
        <v>298.04062076235527</v>
      </c>
      <c r="I252" s="459">
        <f t="shared" si="110"/>
        <v>300.65776347293382</v>
      </c>
      <c r="J252" s="459">
        <f t="shared" si="110"/>
        <v>302.57302467870306</v>
      </c>
      <c r="K252" s="459">
        <f t="shared" si="110"/>
        <v>303.91955187900379</v>
      </c>
      <c r="L252" s="459">
        <f t="shared" si="110"/>
        <v>304.1904596831564</v>
      </c>
      <c r="M252" s="459">
        <f t="shared" si="110"/>
        <v>304.03310409911609</v>
      </c>
      <c r="N252" s="459">
        <f t="shared" si="110"/>
        <v>303.63816241549216</v>
      </c>
    </row>
    <row r="253" spans="2:14">
      <c r="B253" s="338" t="str">
        <f t="shared" si="102"/>
        <v>50-54</v>
      </c>
      <c r="C253" s="459">
        <f t="shared" si="104"/>
        <v>229.58148448002299</v>
      </c>
      <c r="D253" s="459">
        <f t="shared" ref="D253:N253" si="111">D83-D219</f>
        <v>221.43741800173703</v>
      </c>
      <c r="E253" s="459">
        <f t="shared" si="111"/>
        <v>218.3512797263042</v>
      </c>
      <c r="F253" s="459">
        <f t="shared" si="111"/>
        <v>218.02595510706837</v>
      </c>
      <c r="G253" s="459">
        <f t="shared" si="111"/>
        <v>219.09340091713602</v>
      </c>
      <c r="H253" s="459">
        <f t="shared" si="111"/>
        <v>220.67132183758272</v>
      </c>
      <c r="I253" s="459">
        <f t="shared" si="111"/>
        <v>222.41818444580932</v>
      </c>
      <c r="J253" s="459">
        <f t="shared" si="111"/>
        <v>224.19216117044306</v>
      </c>
      <c r="K253" s="459">
        <f t="shared" si="111"/>
        <v>225.76855122680675</v>
      </c>
      <c r="L253" s="459">
        <f t="shared" si="111"/>
        <v>226.57700860129455</v>
      </c>
      <c r="M253" s="459">
        <f t="shared" si="111"/>
        <v>226.97026697018734</v>
      </c>
      <c r="N253" s="459">
        <f t="shared" si="111"/>
        <v>227.03096745293624</v>
      </c>
    </row>
    <row r="254" spans="2:14">
      <c r="B254" s="338" t="str">
        <f t="shared" si="102"/>
        <v>55-59</v>
      </c>
      <c r="C254" s="459">
        <f t="shared" si="104"/>
        <v>131.58481184177319</v>
      </c>
      <c r="D254" s="459">
        <f t="shared" ref="D254:N254" si="112">D84-D220</f>
        <v>118.31234193259186</v>
      </c>
      <c r="E254" s="459">
        <f t="shared" si="112"/>
        <v>109.80916351485124</v>
      </c>
      <c r="F254" s="459">
        <f t="shared" si="112"/>
        <v>104.49956605981939</v>
      </c>
      <c r="G254" s="459">
        <f t="shared" si="112"/>
        <v>101.32703933985971</v>
      </c>
      <c r="H254" s="459">
        <f t="shared" si="112"/>
        <v>99.523426788246638</v>
      </c>
      <c r="I254" s="459">
        <f t="shared" si="112"/>
        <v>98.660100859740282</v>
      </c>
      <c r="J254" s="459">
        <f t="shared" si="112"/>
        <v>98.444152305807165</v>
      </c>
      <c r="K254" s="459">
        <f t="shared" si="112"/>
        <v>98.562683192613918</v>
      </c>
      <c r="L254" s="459">
        <f t="shared" si="112"/>
        <v>98.546643162425596</v>
      </c>
      <c r="M254" s="459">
        <f t="shared" si="112"/>
        <v>98.523695404680552</v>
      </c>
      <c r="N254" s="459">
        <f t="shared" si="112"/>
        <v>98.457917207232484</v>
      </c>
    </row>
    <row r="255" spans="2:14">
      <c r="B255" s="338" t="str">
        <f t="shared" si="102"/>
        <v>60-64</v>
      </c>
      <c r="C255" s="459">
        <f t="shared" si="104"/>
        <v>51.005382666188147</v>
      </c>
      <c r="D255" s="459">
        <f t="shared" ref="D255:N255" si="113">D85-D221</f>
        <v>43.213056218859222</v>
      </c>
      <c r="E255" s="459">
        <f t="shared" si="113"/>
        <v>38.109944517145976</v>
      </c>
      <c r="F255" s="459">
        <f t="shared" si="113"/>
        <v>34.709061259064434</v>
      </c>
      <c r="G255" s="459">
        <f t="shared" si="113"/>
        <v>32.440729895077254</v>
      </c>
      <c r="H255" s="459">
        <f t="shared" si="113"/>
        <v>30.92984217080728</v>
      </c>
      <c r="I255" s="459">
        <f t="shared" si="113"/>
        <v>29.97229998852</v>
      </c>
      <c r="J255" s="459">
        <f t="shared" si="113"/>
        <v>29.423270350506336</v>
      </c>
      <c r="K255" s="459">
        <f t="shared" si="113"/>
        <v>29.125649418451278</v>
      </c>
      <c r="L255" s="459">
        <f t="shared" si="113"/>
        <v>28.855940842432396</v>
      </c>
      <c r="M255" s="459">
        <f t="shared" si="113"/>
        <v>28.665518082062956</v>
      </c>
      <c r="N255" s="459">
        <f t="shared" si="113"/>
        <v>28.522461493515962</v>
      </c>
    </row>
    <row r="256" spans="2:14">
      <c r="B256" s="338" t="str">
        <f t="shared" si="102"/>
        <v>65 plus</v>
      </c>
      <c r="C256" s="459">
        <f t="shared" si="104"/>
        <v>13.915696070311258</v>
      </c>
      <c r="D256" s="459">
        <f t="shared" ref="D256:N256" si="114">D86-D222</f>
        <v>13.890948664742718</v>
      </c>
      <c r="E256" s="459">
        <f t="shared" si="114"/>
        <v>13.122982119588382</v>
      </c>
      <c r="F256" s="459">
        <f t="shared" si="114"/>
        <v>12.18890455169563</v>
      </c>
      <c r="G256" s="459">
        <f t="shared" si="114"/>
        <v>11.324547062066321</v>
      </c>
      <c r="H256" s="459">
        <f t="shared" si="114"/>
        <v>10.604242094450864</v>
      </c>
      <c r="I256" s="459">
        <f t="shared" si="114"/>
        <v>10.05061966869312</v>
      </c>
      <c r="J256" s="459">
        <f t="shared" si="114"/>
        <v>9.6556017339290037</v>
      </c>
      <c r="K256" s="459">
        <f t="shared" si="114"/>
        <v>9.3819492473029964</v>
      </c>
      <c r="L256" s="459">
        <f t="shared" si="114"/>
        <v>9.1561015322086003</v>
      </c>
      <c r="M256" s="459">
        <f t="shared" si="114"/>
        <v>8.9862548949545271</v>
      </c>
      <c r="N256" s="459">
        <f t="shared" si="114"/>
        <v>8.8583531000739573</v>
      </c>
    </row>
    <row r="257" spans="1:14">
      <c r="B257" s="338" t="str">
        <f t="shared" si="102"/>
        <v>Total</v>
      </c>
      <c r="C257" s="459">
        <f>SUM(C247:C256)</f>
        <v>2060.151878359763</v>
      </c>
      <c r="D257" s="459">
        <f t="shared" ref="D257:N257" si="115">SUM(D247:D256)</f>
        <v>2061.434354793405</v>
      </c>
      <c r="E257" s="459">
        <f t="shared" si="115"/>
        <v>2086.8258981243061</v>
      </c>
      <c r="F257" s="459">
        <f t="shared" si="115"/>
        <v>2119.7429839876831</v>
      </c>
      <c r="G257" s="459">
        <f t="shared" si="115"/>
        <v>2152.8980074321144</v>
      </c>
      <c r="H257" s="459">
        <f t="shared" si="115"/>
        <v>2182.003930839096</v>
      </c>
      <c r="I257" s="459">
        <f t="shared" si="115"/>
        <v>2208.7444208017932</v>
      </c>
      <c r="J257" s="459">
        <f t="shared" si="115"/>
        <v>2235.1891145757213</v>
      </c>
      <c r="K257" s="459">
        <f t="shared" si="115"/>
        <v>2259.2876046016468</v>
      </c>
      <c r="L257" s="459">
        <f t="shared" si="115"/>
        <v>2270.7235837624462</v>
      </c>
      <c r="M257" s="459">
        <f t="shared" si="115"/>
        <v>2276.9567445981961</v>
      </c>
      <c r="N257" s="459">
        <f t="shared" si="115"/>
        <v>2279.1564029414403</v>
      </c>
    </row>
    <row r="258" spans="1:14">
      <c r="A258" s="309">
        <f>SUM(C258:N258)</f>
        <v>0</v>
      </c>
      <c r="C258" s="309">
        <f>SUM(C247:C256)-C257</f>
        <v>0</v>
      </c>
      <c r="D258" s="309">
        <f t="shared" ref="D258:N258" si="116">SUM(D247:D256)-D257</f>
        <v>0</v>
      </c>
      <c r="E258" s="309">
        <f t="shared" si="116"/>
        <v>0</v>
      </c>
      <c r="F258" s="309">
        <f t="shared" si="116"/>
        <v>0</v>
      </c>
      <c r="G258" s="309">
        <f t="shared" si="116"/>
        <v>0</v>
      </c>
      <c r="H258" s="309">
        <f t="shared" si="116"/>
        <v>0</v>
      </c>
      <c r="I258" s="309">
        <f t="shared" si="116"/>
        <v>0</v>
      </c>
      <c r="J258" s="309">
        <f t="shared" si="116"/>
        <v>0</v>
      </c>
      <c r="K258" s="309">
        <f t="shared" si="116"/>
        <v>0</v>
      </c>
      <c r="L258" s="309">
        <f t="shared" si="116"/>
        <v>0</v>
      </c>
      <c r="M258" s="309">
        <f t="shared" si="116"/>
        <v>0</v>
      </c>
      <c r="N258" s="309">
        <f t="shared" si="116"/>
        <v>0</v>
      </c>
    </row>
    <row r="260" spans="1:14">
      <c r="B260" s="341" t="s">
        <v>50</v>
      </c>
      <c r="C260" s="329"/>
      <c r="D260" s="329"/>
      <c r="E260" s="329"/>
      <c r="F260" s="329"/>
      <c r="G260" s="329"/>
      <c r="H260" s="339"/>
      <c r="I260" s="329"/>
      <c r="J260" s="329"/>
      <c r="K260" s="329"/>
      <c r="L260" s="329"/>
    </row>
    <row r="261" spans="1:14">
      <c r="C261" s="329"/>
      <c r="D261" s="329"/>
      <c r="E261" s="329"/>
      <c r="F261" s="329"/>
      <c r="G261" s="329"/>
      <c r="H261" s="339"/>
      <c r="I261" s="329"/>
      <c r="J261" s="329"/>
      <c r="K261" s="329"/>
      <c r="L261" s="329"/>
    </row>
    <row r="262" spans="1:14">
      <c r="B262" s="338" t="str">
        <f t="shared" ref="B262:B273" si="117">B246</f>
        <v>Age group</v>
      </c>
      <c r="C262" s="338" t="str">
        <f t="shared" ref="C262:N262" si="118">C246</f>
        <v>2016/17</v>
      </c>
      <c r="D262" s="338" t="str">
        <f t="shared" si="118"/>
        <v>2017/18</v>
      </c>
      <c r="E262" s="338" t="str">
        <f t="shared" si="118"/>
        <v>2018/19</v>
      </c>
      <c r="F262" s="338" t="str">
        <f t="shared" si="118"/>
        <v>2019/20</v>
      </c>
      <c r="G262" s="338" t="str">
        <f t="shared" si="118"/>
        <v>2020/21</v>
      </c>
      <c r="H262" s="338" t="str">
        <f t="shared" si="118"/>
        <v>2021/22</v>
      </c>
      <c r="I262" s="338" t="str">
        <f t="shared" si="118"/>
        <v>2022/23</v>
      </c>
      <c r="J262" s="338" t="str">
        <f t="shared" si="118"/>
        <v>2023/24</v>
      </c>
      <c r="K262" s="338" t="str">
        <f t="shared" si="118"/>
        <v>2024/25</v>
      </c>
      <c r="L262" s="338" t="str">
        <f t="shared" si="118"/>
        <v>2025/26</v>
      </c>
      <c r="M262" s="338" t="str">
        <f t="shared" si="118"/>
        <v>2026/27</v>
      </c>
      <c r="N262" s="338" t="str">
        <f t="shared" si="118"/>
        <v>2027/28</v>
      </c>
    </row>
    <row r="263" spans="1:14">
      <c r="B263" s="338" t="str">
        <f t="shared" si="117"/>
        <v>20-24</v>
      </c>
      <c r="C263" s="459">
        <f t="shared" ref="C263:C272" si="119">C93-C229</f>
        <v>216.21703208643962</v>
      </c>
      <c r="D263" s="459">
        <f t="shared" ref="D263:N263" si="120">D93-D229</f>
        <v>252.65645476335155</v>
      </c>
      <c r="E263" s="459">
        <f t="shared" si="120"/>
        <v>287.39690818135739</v>
      </c>
      <c r="F263" s="459">
        <f t="shared" si="120"/>
        <v>315.03626449948132</v>
      </c>
      <c r="G263" s="459">
        <f t="shared" si="120"/>
        <v>335.07878772589248</v>
      </c>
      <c r="H263" s="459">
        <f t="shared" si="120"/>
        <v>348.10364065256169</v>
      </c>
      <c r="I263" s="459">
        <f t="shared" si="120"/>
        <v>356.95357913606108</v>
      </c>
      <c r="J263" s="459">
        <f t="shared" si="120"/>
        <v>363.83578913471393</v>
      </c>
      <c r="K263" s="459">
        <f t="shared" si="120"/>
        <v>368.49395689029643</v>
      </c>
      <c r="L263" s="459">
        <f t="shared" si="120"/>
        <v>366.87213353702992</v>
      </c>
      <c r="M263" s="459">
        <f t="shared" si="120"/>
        <v>363.65534394073967</v>
      </c>
      <c r="N263" s="459">
        <f t="shared" si="120"/>
        <v>359.65260391986294</v>
      </c>
    </row>
    <row r="264" spans="1:14">
      <c r="B264" s="338" t="str">
        <f t="shared" si="117"/>
        <v>25-29</v>
      </c>
      <c r="C264" s="459">
        <f t="shared" si="119"/>
        <v>790.36319335837936</v>
      </c>
      <c r="D264" s="459">
        <f t="shared" ref="D264:N264" si="121">D94-D230</f>
        <v>742.21184421077146</v>
      </c>
      <c r="E264" s="459">
        <f t="shared" si="121"/>
        <v>725.28107602446164</v>
      </c>
      <c r="F264" s="459">
        <f t="shared" si="121"/>
        <v>723.02446185271469</v>
      </c>
      <c r="G264" s="459">
        <f t="shared" si="121"/>
        <v>726.83003799305743</v>
      </c>
      <c r="H264" s="459">
        <f t="shared" si="121"/>
        <v>731.57043494124468</v>
      </c>
      <c r="I264" s="459">
        <f t="shared" si="121"/>
        <v>736.80261379697799</v>
      </c>
      <c r="J264" s="459">
        <f t="shared" si="121"/>
        <v>742.95535248925819</v>
      </c>
      <c r="K264" s="459">
        <f t="shared" si="121"/>
        <v>748.34685393351606</v>
      </c>
      <c r="L264" s="459">
        <f t="shared" si="121"/>
        <v>746.64383711240896</v>
      </c>
      <c r="M264" s="459">
        <f t="shared" si="121"/>
        <v>742.41833719764509</v>
      </c>
      <c r="N264" s="459">
        <f t="shared" si="121"/>
        <v>736.53053600852218</v>
      </c>
    </row>
    <row r="265" spans="1:14">
      <c r="B265" s="338" t="str">
        <f t="shared" si="117"/>
        <v>30-34</v>
      </c>
      <c r="C265" s="459">
        <f t="shared" si="119"/>
        <v>852.77018053792267</v>
      </c>
      <c r="D265" s="459">
        <f t="shared" ref="D265:N265" si="122">D95-D231</f>
        <v>844.96805006461159</v>
      </c>
      <c r="E265" s="459">
        <f t="shared" si="122"/>
        <v>837.38663233350269</v>
      </c>
      <c r="F265" s="459">
        <f t="shared" si="122"/>
        <v>831.01394746389508</v>
      </c>
      <c r="G265" s="459">
        <f t="shared" si="122"/>
        <v>826.20377095141907</v>
      </c>
      <c r="H265" s="459">
        <f t="shared" si="122"/>
        <v>822.37902824250932</v>
      </c>
      <c r="I265" s="459">
        <f t="shared" si="122"/>
        <v>820.1017791361661</v>
      </c>
      <c r="J265" s="459">
        <f t="shared" si="122"/>
        <v>819.84325139284476</v>
      </c>
      <c r="K265" s="459">
        <f t="shared" si="122"/>
        <v>820.57915872180035</v>
      </c>
      <c r="L265" s="459">
        <f t="shared" si="122"/>
        <v>818.19372437498214</v>
      </c>
      <c r="M265" s="459">
        <f t="shared" si="122"/>
        <v>814.51273113815125</v>
      </c>
      <c r="N265" s="459">
        <f t="shared" si="122"/>
        <v>809.70287721745353</v>
      </c>
    </row>
    <row r="266" spans="1:14">
      <c r="B266" s="338" t="str">
        <f t="shared" si="117"/>
        <v>35-39</v>
      </c>
      <c r="C266" s="459">
        <f t="shared" si="119"/>
        <v>780.03785961134122</v>
      </c>
      <c r="D266" s="459">
        <f t="shared" ref="D266:N266" si="123">D96-D232</f>
        <v>781.13944535408382</v>
      </c>
      <c r="E266" s="459">
        <f t="shared" si="123"/>
        <v>784.98051338904133</v>
      </c>
      <c r="F266" s="459">
        <f t="shared" si="123"/>
        <v>787.87065763747398</v>
      </c>
      <c r="G266" s="459">
        <f t="shared" si="123"/>
        <v>788.99091167840515</v>
      </c>
      <c r="H266" s="459">
        <f t="shared" si="123"/>
        <v>788.28007912506621</v>
      </c>
      <c r="I266" s="459">
        <f t="shared" si="123"/>
        <v>786.82770240263665</v>
      </c>
      <c r="J266" s="459">
        <f t="shared" si="123"/>
        <v>785.63044276104165</v>
      </c>
      <c r="K266" s="459">
        <f t="shared" si="123"/>
        <v>784.57339419485038</v>
      </c>
      <c r="L266" s="459">
        <f t="shared" si="123"/>
        <v>781.40565929563456</v>
      </c>
      <c r="M266" s="459">
        <f t="shared" si="123"/>
        <v>777.58390035382729</v>
      </c>
      <c r="N266" s="459">
        <f t="shared" si="123"/>
        <v>773.22223018469208</v>
      </c>
    </row>
    <row r="267" spans="1:14">
      <c r="B267" s="338" t="str">
        <f t="shared" si="117"/>
        <v>40-44</v>
      </c>
      <c r="C267" s="459">
        <f t="shared" si="119"/>
        <v>678.4347864052952</v>
      </c>
      <c r="D267" s="459">
        <f t="shared" ref="D267:N267" si="124">D97-D233</f>
        <v>686.76398155098809</v>
      </c>
      <c r="E267" s="459">
        <f t="shared" si="124"/>
        <v>696.83200217801709</v>
      </c>
      <c r="F267" s="459">
        <f t="shared" si="124"/>
        <v>706.18841420534363</v>
      </c>
      <c r="G267" s="459">
        <f t="shared" si="124"/>
        <v>713.76882609347899</v>
      </c>
      <c r="H267" s="459">
        <f t="shared" si="124"/>
        <v>719.03229116601096</v>
      </c>
      <c r="I267" s="459">
        <f t="shared" si="124"/>
        <v>722.60000431575349</v>
      </c>
      <c r="J267" s="459">
        <f t="shared" si="124"/>
        <v>725.20790571805765</v>
      </c>
      <c r="K267" s="459">
        <f t="shared" si="124"/>
        <v>726.80575893229116</v>
      </c>
      <c r="L267" s="459">
        <f t="shared" si="124"/>
        <v>725.69020628423652</v>
      </c>
      <c r="M267" s="459">
        <f t="shared" si="124"/>
        <v>723.40681491273085</v>
      </c>
      <c r="N267" s="459">
        <f t="shared" si="124"/>
        <v>720.28979626554883</v>
      </c>
    </row>
    <row r="268" spans="1:14">
      <c r="B268" s="338" t="str">
        <f t="shared" si="117"/>
        <v>45-49</v>
      </c>
      <c r="C268" s="459">
        <f t="shared" si="119"/>
        <v>452.18499753555437</v>
      </c>
      <c r="D268" s="459">
        <f t="shared" ref="D268:N268" si="125">D98-D234</f>
        <v>490.94943801056343</v>
      </c>
      <c r="E268" s="459">
        <f t="shared" si="125"/>
        <v>523.98384749002469</v>
      </c>
      <c r="F268" s="459">
        <f t="shared" si="125"/>
        <v>551.10259184580639</v>
      </c>
      <c r="G268" s="459">
        <f t="shared" si="125"/>
        <v>572.87204745116026</v>
      </c>
      <c r="H268" s="459">
        <f t="shared" si="125"/>
        <v>589.83333710570651</v>
      </c>
      <c r="I268" s="459">
        <f t="shared" si="125"/>
        <v>603.11925516363397</v>
      </c>
      <c r="J268" s="459">
        <f t="shared" si="125"/>
        <v>613.73836529094774</v>
      </c>
      <c r="K268" s="459">
        <f t="shared" si="125"/>
        <v>621.93867102023887</v>
      </c>
      <c r="L268" s="459">
        <f t="shared" si="125"/>
        <v>626.56315754111893</v>
      </c>
      <c r="M268" s="459">
        <f t="shared" si="125"/>
        <v>629.05073332074903</v>
      </c>
      <c r="N268" s="459">
        <f t="shared" si="125"/>
        <v>629.87340884596665</v>
      </c>
    </row>
    <row r="269" spans="1:14">
      <c r="B269" s="338" t="str">
        <f t="shared" si="117"/>
        <v>50-54</v>
      </c>
      <c r="C269" s="459">
        <f t="shared" si="119"/>
        <v>393.73890211871299</v>
      </c>
      <c r="D269" s="459">
        <f t="shared" ref="D269:N269" si="126">D99-D235</f>
        <v>384.22400698606577</v>
      </c>
      <c r="E269" s="459">
        <f t="shared" si="126"/>
        <v>386.51539477301674</v>
      </c>
      <c r="F269" s="459">
        <f t="shared" si="126"/>
        <v>394.71390876095973</v>
      </c>
      <c r="G269" s="459">
        <f t="shared" si="126"/>
        <v>405.42973338312311</v>
      </c>
      <c r="H269" s="459">
        <f t="shared" si="126"/>
        <v>416.5875254678063</v>
      </c>
      <c r="I269" s="459">
        <f t="shared" si="126"/>
        <v>427.41158886277753</v>
      </c>
      <c r="J269" s="459">
        <f t="shared" si="126"/>
        <v>437.59660928628546</v>
      </c>
      <c r="K269" s="459">
        <f t="shared" si="126"/>
        <v>446.65127732592475</v>
      </c>
      <c r="L269" s="459">
        <f t="shared" si="126"/>
        <v>453.31131388188425</v>
      </c>
      <c r="M269" s="459">
        <f t="shared" si="126"/>
        <v>458.35097662952489</v>
      </c>
      <c r="N269" s="459">
        <f t="shared" si="126"/>
        <v>461.94792027947329</v>
      </c>
    </row>
    <row r="270" spans="1:14">
      <c r="B270" s="338" t="str">
        <f t="shared" si="117"/>
        <v>55-59</v>
      </c>
      <c r="C270" s="459">
        <f t="shared" si="119"/>
        <v>277.47248678934704</v>
      </c>
      <c r="D270" s="459">
        <f t="shared" ref="D270:N270" si="127">D100-D236</f>
        <v>239.29928081060746</v>
      </c>
      <c r="E270" s="459">
        <f t="shared" si="127"/>
        <v>216.28951217445402</v>
      </c>
      <c r="F270" s="459">
        <f t="shared" si="127"/>
        <v>203.27119597664347</v>
      </c>
      <c r="G270" s="459">
        <f t="shared" si="127"/>
        <v>196.751737980218</v>
      </c>
      <c r="H270" s="459">
        <f t="shared" si="127"/>
        <v>194.26808272557383</v>
      </c>
      <c r="I270" s="459">
        <f t="shared" si="127"/>
        <v>194.38711902151167</v>
      </c>
      <c r="J270" s="459">
        <f t="shared" si="127"/>
        <v>196.16076781724411</v>
      </c>
      <c r="K270" s="459">
        <f t="shared" si="127"/>
        <v>198.71047291171527</v>
      </c>
      <c r="L270" s="459">
        <f t="shared" si="127"/>
        <v>200.87556420023947</v>
      </c>
      <c r="M270" s="459">
        <f t="shared" si="127"/>
        <v>202.87004465008991</v>
      </c>
      <c r="N270" s="459">
        <f t="shared" si="127"/>
        <v>204.57085988492912</v>
      </c>
    </row>
    <row r="271" spans="1:14">
      <c r="B271" s="338" t="str">
        <f t="shared" si="117"/>
        <v>60-64</v>
      </c>
      <c r="C271" s="459">
        <f t="shared" si="119"/>
        <v>83.294159476108973</v>
      </c>
      <c r="D271" s="459">
        <f t="shared" ref="D271:N271" si="128">D101-D237</f>
        <v>75.94018106332453</v>
      </c>
      <c r="E271" s="459">
        <f t="shared" si="128"/>
        <v>68.714108099298102</v>
      </c>
      <c r="F271" s="459">
        <f t="shared" si="128"/>
        <v>62.932013125318811</v>
      </c>
      <c r="G271" s="459">
        <f t="shared" si="128"/>
        <v>58.806151569164349</v>
      </c>
      <c r="H271" s="459">
        <f t="shared" si="128"/>
        <v>56.089373896537197</v>
      </c>
      <c r="I271" s="459">
        <f t="shared" si="128"/>
        <v>54.531746083928134</v>
      </c>
      <c r="J271" s="459">
        <f t="shared" si="128"/>
        <v>53.865025637488898</v>
      </c>
      <c r="K271" s="459">
        <f t="shared" si="128"/>
        <v>53.747480882658273</v>
      </c>
      <c r="L271" s="459">
        <f t="shared" si="128"/>
        <v>53.688998922417525</v>
      </c>
      <c r="M271" s="459">
        <f t="shared" si="128"/>
        <v>53.786768303871369</v>
      </c>
      <c r="N271" s="459">
        <f t="shared" si="128"/>
        <v>53.95778095528788</v>
      </c>
    </row>
    <row r="272" spans="1:14">
      <c r="B272" s="338" t="str">
        <f t="shared" si="117"/>
        <v>65 plus</v>
      </c>
      <c r="C272" s="459">
        <f t="shared" si="119"/>
        <v>16.942179025097456</v>
      </c>
      <c r="D272" s="459">
        <f t="shared" ref="D272:N272" si="129">D102-D238</f>
        <v>18.61490319352923</v>
      </c>
      <c r="E272" s="459">
        <f t="shared" si="129"/>
        <v>18.885117327295116</v>
      </c>
      <c r="F272" s="459">
        <f t="shared" si="129"/>
        <v>18.356462260332449</v>
      </c>
      <c r="G272" s="459">
        <f t="shared" si="129"/>
        <v>17.525086239410975</v>
      </c>
      <c r="H272" s="459">
        <f t="shared" si="129"/>
        <v>16.676853719632707</v>
      </c>
      <c r="I272" s="459">
        <f t="shared" si="129"/>
        <v>15.976485622674556</v>
      </c>
      <c r="J272" s="459">
        <f t="shared" si="129"/>
        <v>15.484498391767092</v>
      </c>
      <c r="K272" s="459">
        <f t="shared" si="129"/>
        <v>15.168748407129982</v>
      </c>
      <c r="L272" s="459">
        <f t="shared" si="129"/>
        <v>14.904061220599445</v>
      </c>
      <c r="M272" s="459">
        <f t="shared" si="129"/>
        <v>14.726662572045278</v>
      </c>
      <c r="N272" s="459">
        <f t="shared" si="129"/>
        <v>14.615025881691816</v>
      </c>
    </row>
    <row r="273" spans="1:16">
      <c r="B273" s="338" t="str">
        <f t="shared" si="117"/>
        <v>Total</v>
      </c>
      <c r="C273" s="459">
        <f>SUM(C263:C272)</f>
        <v>4541.455776944199</v>
      </c>
      <c r="D273" s="459">
        <f t="shared" ref="D273:N273" si="130">SUM(D263:D272)</f>
        <v>4516.7675860078962</v>
      </c>
      <c r="E273" s="459">
        <f t="shared" si="130"/>
        <v>4546.2651119704688</v>
      </c>
      <c r="F273" s="459">
        <f t="shared" si="130"/>
        <v>4593.50991762797</v>
      </c>
      <c r="G273" s="459">
        <f t="shared" si="130"/>
        <v>4642.2570910653303</v>
      </c>
      <c r="H273" s="459">
        <f t="shared" si="130"/>
        <v>4682.8206470426494</v>
      </c>
      <c r="I273" s="459">
        <f t="shared" si="130"/>
        <v>4718.7118735421209</v>
      </c>
      <c r="J273" s="459">
        <f t="shared" si="130"/>
        <v>4754.3180079196491</v>
      </c>
      <c r="K273" s="459">
        <f t="shared" si="130"/>
        <v>4785.0157732204216</v>
      </c>
      <c r="L273" s="459">
        <f t="shared" si="130"/>
        <v>4788.1486563705512</v>
      </c>
      <c r="M273" s="459">
        <f t="shared" si="130"/>
        <v>4780.3623130193737</v>
      </c>
      <c r="N273" s="459">
        <f t="shared" si="130"/>
        <v>4764.3630394434276</v>
      </c>
    </row>
    <row r="274" spans="1:16">
      <c r="A274" s="309">
        <f>SUM(C274:N274)</f>
        <v>0</v>
      </c>
      <c r="C274" s="309">
        <f>SUM(C263:C272)-C273</f>
        <v>0</v>
      </c>
      <c r="D274" s="309">
        <f t="shared" ref="D274:N274" si="131">SUM(D263:D272)-D273</f>
        <v>0</v>
      </c>
      <c r="E274" s="309">
        <f t="shared" si="131"/>
        <v>0</v>
      </c>
      <c r="F274" s="309">
        <f t="shared" si="131"/>
        <v>0</v>
      </c>
      <c r="G274" s="309">
        <f t="shared" si="131"/>
        <v>0</v>
      </c>
      <c r="H274" s="309">
        <f t="shared" si="131"/>
        <v>0</v>
      </c>
      <c r="I274" s="309">
        <f t="shared" si="131"/>
        <v>0</v>
      </c>
      <c r="J274" s="309">
        <f t="shared" si="131"/>
        <v>0</v>
      </c>
      <c r="K274" s="309">
        <f t="shared" si="131"/>
        <v>0</v>
      </c>
      <c r="L274" s="309">
        <f t="shared" si="131"/>
        <v>0</v>
      </c>
      <c r="M274" s="309">
        <f t="shared" si="131"/>
        <v>0</v>
      </c>
      <c r="N274" s="309">
        <f t="shared" si="131"/>
        <v>0</v>
      </c>
    </row>
    <row r="275" spans="1:16" ht="15.75">
      <c r="B275" s="340"/>
      <c r="H275" s="327"/>
    </row>
    <row r="276" spans="1:16" ht="15.75">
      <c r="B276" s="340" t="s">
        <v>1621</v>
      </c>
      <c r="H276" s="327"/>
    </row>
    <row r="277" spans="1:16" ht="15.75">
      <c r="B277" s="340"/>
      <c r="H277" s="327"/>
    </row>
    <row r="278" spans="1:16" ht="15.75">
      <c r="B278" s="340"/>
      <c r="C278" s="326" t="str">
        <f>C262</f>
        <v>2016/17</v>
      </c>
      <c r="D278" s="326" t="str">
        <f t="shared" ref="D278:N278" si="132">D262</f>
        <v>2017/18</v>
      </c>
      <c r="E278" s="326" t="str">
        <f t="shared" si="132"/>
        <v>2018/19</v>
      </c>
      <c r="F278" s="326" t="str">
        <f t="shared" si="132"/>
        <v>2019/20</v>
      </c>
      <c r="G278" s="326" t="str">
        <f t="shared" si="132"/>
        <v>2020/21</v>
      </c>
      <c r="H278" s="326" t="str">
        <f t="shared" si="132"/>
        <v>2021/22</v>
      </c>
      <c r="I278" s="326" t="str">
        <f t="shared" si="132"/>
        <v>2022/23</v>
      </c>
      <c r="J278" s="326" t="str">
        <f t="shared" si="132"/>
        <v>2023/24</v>
      </c>
      <c r="K278" s="326" t="str">
        <f t="shared" si="132"/>
        <v>2024/25</v>
      </c>
      <c r="L278" s="326" t="str">
        <f t="shared" si="132"/>
        <v>2025/26</v>
      </c>
      <c r="M278" s="326" t="str">
        <f t="shared" si="132"/>
        <v>2026/27</v>
      </c>
      <c r="N278" s="326" t="str">
        <f t="shared" si="132"/>
        <v>2027/28</v>
      </c>
    </row>
    <row r="279" spans="1:16">
      <c r="B279" s="363" t="s">
        <v>597</v>
      </c>
      <c r="C279" s="462">
        <f>C223+C239</f>
        <v>820.78495278624473</v>
      </c>
      <c r="D279" s="462">
        <f t="shared" ref="D279:N279" si="133">D223+D239</f>
        <v>799.05992132943788</v>
      </c>
      <c r="E279" s="462">
        <f t="shared" si="133"/>
        <v>789.69141552929318</v>
      </c>
      <c r="F279" s="462">
        <f t="shared" si="133"/>
        <v>786.92739531882148</v>
      </c>
      <c r="G279" s="462">
        <f t="shared" si="133"/>
        <v>787.74696402176733</v>
      </c>
      <c r="H279" s="462">
        <f t="shared" si="133"/>
        <v>789.94307909232271</v>
      </c>
      <c r="I279" s="462">
        <f t="shared" si="133"/>
        <v>793.49770106530468</v>
      </c>
      <c r="J279" s="462">
        <f t="shared" si="133"/>
        <v>798.56121350272588</v>
      </c>
      <c r="K279" s="462">
        <f t="shared" si="133"/>
        <v>803.8330052063327</v>
      </c>
      <c r="L279" s="462">
        <f t="shared" si="133"/>
        <v>805.08454469278854</v>
      </c>
      <c r="M279" s="462">
        <f t="shared" si="133"/>
        <v>804.97135992047311</v>
      </c>
      <c r="N279" s="462">
        <f t="shared" si="133"/>
        <v>803.75614305703095</v>
      </c>
      <c r="O279" s="327"/>
      <c r="P279" s="327"/>
    </row>
    <row r="280" spans="1:16" ht="25.5">
      <c r="B280" s="338" t="s">
        <v>598</v>
      </c>
      <c r="C280" s="462">
        <f>C155+C171</f>
        <v>245.80251701345034</v>
      </c>
      <c r="D280" s="462">
        <f t="shared" ref="D280:N280" si="134">D155+D171</f>
        <v>223.19186918601929</v>
      </c>
      <c r="E280" s="462">
        <f t="shared" si="134"/>
        <v>206.23454343979972</v>
      </c>
      <c r="F280" s="462">
        <f t="shared" si="134"/>
        <v>194.22130396615518</v>
      </c>
      <c r="G280" s="462">
        <f t="shared" si="134"/>
        <v>186.24522395870559</v>
      </c>
      <c r="H280" s="462">
        <f t="shared" si="134"/>
        <v>181.27932675220501</v>
      </c>
      <c r="I280" s="462">
        <f t="shared" si="134"/>
        <v>178.66805738538312</v>
      </c>
      <c r="J280" s="462">
        <f t="shared" si="134"/>
        <v>177.84360641053379</v>
      </c>
      <c r="K280" s="462">
        <f t="shared" si="134"/>
        <v>178.0732201405344</v>
      </c>
      <c r="L280" s="462">
        <f t="shared" si="134"/>
        <v>178.21036684570197</v>
      </c>
      <c r="M280" s="462">
        <f t="shared" si="134"/>
        <v>178.52308284536969</v>
      </c>
      <c r="N280" s="462">
        <f t="shared" si="134"/>
        <v>178.86891997116984</v>
      </c>
      <c r="O280" s="327"/>
      <c r="P280" s="327"/>
    </row>
    <row r="281" spans="1:16">
      <c r="B281" s="363" t="s">
        <v>599</v>
      </c>
      <c r="C281" s="462">
        <f>C189+C205</f>
        <v>4.3204642499111383</v>
      </c>
      <c r="D281" s="462">
        <f t="shared" ref="D281:N281" si="135">D189+D205</f>
        <v>4.1989094126093649</v>
      </c>
      <c r="E281" s="462">
        <f t="shared" si="135"/>
        <v>4.0950406592002624</v>
      </c>
      <c r="F281" s="462">
        <f t="shared" si="135"/>
        <v>4.0117059115193818</v>
      </c>
      <c r="G281" s="462">
        <f t="shared" si="135"/>
        <v>3.9508380246342254</v>
      </c>
      <c r="H281" s="462">
        <f t="shared" si="135"/>
        <v>3.9094188873419382</v>
      </c>
      <c r="I281" s="462">
        <f t="shared" si="135"/>
        <v>3.8875177312589915</v>
      </c>
      <c r="J281" s="462">
        <f t="shared" si="135"/>
        <v>3.8836777865330969</v>
      </c>
      <c r="K281" s="462">
        <f t="shared" si="135"/>
        <v>3.890662118045062</v>
      </c>
      <c r="L281" s="462">
        <f t="shared" si="135"/>
        <v>3.8909252482579477</v>
      </c>
      <c r="M281" s="462">
        <f t="shared" si="135"/>
        <v>3.8912697223686177</v>
      </c>
      <c r="N281" s="462">
        <f t="shared" si="135"/>
        <v>3.890750047050112</v>
      </c>
      <c r="O281" s="327"/>
      <c r="P281" s="327"/>
    </row>
    <row r="282" spans="1:16">
      <c r="B282" s="363" t="s">
        <v>600</v>
      </c>
      <c r="C282" s="462">
        <f>C121+C137</f>
        <v>570.66197152288339</v>
      </c>
      <c r="D282" s="462">
        <f t="shared" ref="D282:N282" si="136">D121+D137</f>
        <v>571.66914273080931</v>
      </c>
      <c r="E282" s="462">
        <f t="shared" si="136"/>
        <v>579.36183143029302</v>
      </c>
      <c r="F282" s="462">
        <f t="shared" si="136"/>
        <v>588.69438544114678</v>
      </c>
      <c r="G282" s="462">
        <f t="shared" si="136"/>
        <v>597.55090203842747</v>
      </c>
      <c r="H282" s="462">
        <f t="shared" si="136"/>
        <v>604.75433345277577</v>
      </c>
      <c r="I282" s="462">
        <f t="shared" si="136"/>
        <v>610.94212594866258</v>
      </c>
      <c r="J282" s="462">
        <f t="shared" si="136"/>
        <v>616.83392930565901</v>
      </c>
      <c r="K282" s="462">
        <f t="shared" si="136"/>
        <v>621.86912294775323</v>
      </c>
      <c r="L282" s="462">
        <f t="shared" si="136"/>
        <v>622.98325259882847</v>
      </c>
      <c r="M282" s="462">
        <f t="shared" si="136"/>
        <v>622.5570073527349</v>
      </c>
      <c r="N282" s="462">
        <f t="shared" si="136"/>
        <v>620.99647303881102</v>
      </c>
      <c r="O282" s="327"/>
      <c r="P282" s="327"/>
    </row>
    <row r="283" spans="1:16" ht="15.75">
      <c r="A283" s="309">
        <f>SUM(C283:N283)</f>
        <v>0</v>
      </c>
      <c r="B283" s="340"/>
      <c r="C283" s="309">
        <f>C279-C280-C281-C282</f>
        <v>0</v>
      </c>
      <c r="D283" s="309">
        <f t="shared" ref="D283:N283" si="137">D279-D280-D281-D282</f>
        <v>0</v>
      </c>
      <c r="E283" s="309">
        <f t="shared" si="137"/>
        <v>0</v>
      </c>
      <c r="F283" s="309">
        <f t="shared" si="137"/>
        <v>0</v>
      </c>
      <c r="G283" s="309">
        <f t="shared" si="137"/>
        <v>0</v>
      </c>
      <c r="H283" s="309">
        <f t="shared" si="137"/>
        <v>0</v>
      </c>
      <c r="I283" s="309">
        <f t="shared" si="137"/>
        <v>0</v>
      </c>
      <c r="J283" s="309">
        <f t="shared" si="137"/>
        <v>0</v>
      </c>
      <c r="K283" s="309">
        <f t="shared" si="137"/>
        <v>0</v>
      </c>
      <c r="L283" s="309">
        <f t="shared" si="137"/>
        <v>0</v>
      </c>
      <c r="M283" s="309">
        <f t="shared" si="137"/>
        <v>0</v>
      </c>
      <c r="N283" s="309">
        <f t="shared" si="137"/>
        <v>0</v>
      </c>
    </row>
    <row r="284" spans="1:16" ht="15.75">
      <c r="B284" s="340"/>
      <c r="H284" s="327"/>
    </row>
    <row r="285" spans="1:16" ht="15.75">
      <c r="B285" s="340" t="s">
        <v>1622</v>
      </c>
      <c r="F285" s="364"/>
      <c r="G285" s="364" t="s">
        <v>265</v>
      </c>
      <c r="H285" s="327"/>
    </row>
    <row r="286" spans="1:16" ht="15.75">
      <c r="B286" s="340"/>
      <c r="H286" s="327"/>
    </row>
    <row r="287" spans="1:16" ht="15.75">
      <c r="B287" s="340" t="s">
        <v>199</v>
      </c>
      <c r="H287" s="327"/>
    </row>
    <row r="288" spans="1:16" ht="15.75">
      <c r="B288" s="340"/>
      <c r="H288" s="327"/>
    </row>
    <row r="289" spans="2:15" ht="15.75">
      <c r="B289" s="340"/>
      <c r="C289" s="326" t="str">
        <f>C278</f>
        <v>2016/17</v>
      </c>
      <c r="D289" s="326" t="str">
        <f t="shared" ref="D289:N289" si="138">D278</f>
        <v>2017/18</v>
      </c>
      <c r="E289" s="326" t="str">
        <f t="shared" si="138"/>
        <v>2018/19</v>
      </c>
      <c r="F289" s="326" t="str">
        <f t="shared" si="138"/>
        <v>2019/20</v>
      </c>
      <c r="G289" s="326" t="str">
        <f t="shared" si="138"/>
        <v>2020/21</v>
      </c>
      <c r="H289" s="326" t="str">
        <f t="shared" si="138"/>
        <v>2021/22</v>
      </c>
      <c r="I289" s="326" t="str">
        <f t="shared" si="138"/>
        <v>2022/23</v>
      </c>
      <c r="J289" s="326" t="str">
        <f t="shared" si="138"/>
        <v>2023/24</v>
      </c>
      <c r="K289" s="326" t="str">
        <f t="shared" si="138"/>
        <v>2024/25</v>
      </c>
      <c r="L289" s="326" t="str">
        <f t="shared" si="138"/>
        <v>2025/26</v>
      </c>
      <c r="M289" s="326" t="str">
        <f t="shared" si="138"/>
        <v>2026/27</v>
      </c>
      <c r="N289" s="326" t="str">
        <f t="shared" si="138"/>
        <v>2027/28</v>
      </c>
    </row>
    <row r="290" spans="2:15" ht="15.75">
      <c r="B290" s="340"/>
      <c r="C290" s="459">
        <f>C53+C69-C15</f>
        <v>0</v>
      </c>
      <c r="D290" s="459">
        <f>D53+D69-D15</f>
        <v>0</v>
      </c>
      <c r="E290" s="459">
        <f>E53+E69-E15</f>
        <v>0</v>
      </c>
      <c r="F290" s="459">
        <f t="shared" ref="F290:N290" si="139">F53+F69-F15</f>
        <v>0</v>
      </c>
      <c r="G290" s="459">
        <f t="shared" si="139"/>
        <v>0</v>
      </c>
      <c r="H290" s="459">
        <f t="shared" si="139"/>
        <v>0</v>
      </c>
      <c r="I290" s="459">
        <f t="shared" si="139"/>
        <v>0</v>
      </c>
      <c r="J290" s="459">
        <f t="shared" si="139"/>
        <v>0</v>
      </c>
      <c r="K290" s="459">
        <f t="shared" si="139"/>
        <v>0</v>
      </c>
      <c r="L290" s="459">
        <f t="shared" si="139"/>
        <v>0</v>
      </c>
      <c r="M290" s="459">
        <f t="shared" si="139"/>
        <v>0</v>
      </c>
      <c r="N290" s="459">
        <f t="shared" si="139"/>
        <v>0</v>
      </c>
    </row>
    <row r="291" spans="2:15" ht="15.75">
      <c r="B291" s="340"/>
      <c r="H291" s="327"/>
    </row>
    <row r="292" spans="2:15" ht="15.75">
      <c r="B292" s="340" t="s">
        <v>263</v>
      </c>
      <c r="H292" s="327"/>
    </row>
    <row r="293" spans="2:15" ht="15.75">
      <c r="B293" s="340"/>
      <c r="C293" s="365" t="str">
        <f t="shared" ref="C293:N293" si="140">C262</f>
        <v>2016/17</v>
      </c>
      <c r="D293" s="365" t="str">
        <f t="shared" si="140"/>
        <v>2017/18</v>
      </c>
      <c r="E293" s="365" t="str">
        <f t="shared" si="140"/>
        <v>2018/19</v>
      </c>
      <c r="F293" s="365" t="str">
        <f t="shared" si="140"/>
        <v>2019/20</v>
      </c>
      <c r="G293" s="365" t="str">
        <f t="shared" si="140"/>
        <v>2020/21</v>
      </c>
      <c r="H293" s="365" t="str">
        <f t="shared" si="140"/>
        <v>2021/22</v>
      </c>
      <c r="I293" s="365" t="str">
        <f t="shared" si="140"/>
        <v>2022/23</v>
      </c>
      <c r="J293" s="365" t="str">
        <f t="shared" si="140"/>
        <v>2023/24</v>
      </c>
      <c r="K293" s="365" t="str">
        <f t="shared" si="140"/>
        <v>2024/25</v>
      </c>
      <c r="L293" s="365" t="str">
        <f t="shared" si="140"/>
        <v>2025/26</v>
      </c>
      <c r="M293" s="365" t="str">
        <f t="shared" si="140"/>
        <v>2026/27</v>
      </c>
      <c r="N293" s="365" t="str">
        <f t="shared" si="140"/>
        <v>2027/28</v>
      </c>
    </row>
    <row r="294" spans="2:15">
      <c r="B294" s="363" t="s">
        <v>266</v>
      </c>
      <c r="C294" s="459">
        <f>C36-C15+C279-C290</f>
        <v>775.65420682677745</v>
      </c>
      <c r="D294" s="459">
        <f>D36-D15+D279-D290</f>
        <v>844.58048482276604</v>
      </c>
      <c r="E294" s="459">
        <f>E36-E15+E279-E290</f>
        <v>867.0892868396993</v>
      </c>
      <c r="F294" s="459">
        <f t="shared" ref="F294:K294" si="141">F36-F15+F279-F290</f>
        <v>869.6491609035586</v>
      </c>
      <c r="G294" s="459">
        <f t="shared" si="141"/>
        <v>859.61255847662369</v>
      </c>
      <c r="H294" s="459">
        <f t="shared" si="141"/>
        <v>856.12941752747361</v>
      </c>
      <c r="I294" s="459">
        <f t="shared" si="141"/>
        <v>860.61204165418258</v>
      </c>
      <c r="J294" s="459">
        <f t="shared" si="141"/>
        <v>858.62926053302999</v>
      </c>
      <c r="K294" s="459">
        <f t="shared" si="141"/>
        <v>819.65340700371758</v>
      </c>
      <c r="L294" s="459">
        <f>L36-L15+L279-L290</f>
        <v>803.41817740504644</v>
      </c>
      <c r="M294" s="459">
        <f>M36-M15+M279-M290</f>
        <v>789.95652782432785</v>
      </c>
      <c r="N294" s="459">
        <f>N36-N15+N279-N290</f>
        <v>787.98840072046607</v>
      </c>
    </row>
    <row r="295" spans="2:15" ht="12.75" customHeight="1">
      <c r="B295" s="1243" t="s">
        <v>264</v>
      </c>
      <c r="C295" s="1243"/>
      <c r="D295" s="1243"/>
      <c r="E295" s="1243"/>
      <c r="F295" s="1243"/>
      <c r="G295" s="1243"/>
      <c r="H295" s="1243"/>
      <c r="I295" s="1243"/>
      <c r="J295" s="1243"/>
      <c r="K295" s="1243"/>
      <c r="L295" s="1243"/>
      <c r="M295" s="1243"/>
      <c r="N295" s="1243"/>
    </row>
    <row r="296" spans="2:15">
      <c r="B296" s="545" t="s">
        <v>563</v>
      </c>
      <c r="C296" s="546">
        <f>IF(C294&lt;0,0,C294)</f>
        <v>775.65420682677745</v>
      </c>
      <c r="D296" s="546">
        <f t="shared" ref="D296:K296" si="142">IF(D294&lt;0,0,D294)</f>
        <v>844.58048482276604</v>
      </c>
      <c r="E296" s="546">
        <f t="shared" si="142"/>
        <v>867.0892868396993</v>
      </c>
      <c r="F296" s="546">
        <f t="shared" si="142"/>
        <v>869.6491609035586</v>
      </c>
      <c r="G296" s="546">
        <f t="shared" si="142"/>
        <v>859.61255847662369</v>
      </c>
      <c r="H296" s="546">
        <f t="shared" si="142"/>
        <v>856.12941752747361</v>
      </c>
      <c r="I296" s="546">
        <f t="shared" si="142"/>
        <v>860.61204165418258</v>
      </c>
      <c r="J296" s="546">
        <f t="shared" si="142"/>
        <v>858.62926053302999</v>
      </c>
      <c r="K296" s="546">
        <f t="shared" si="142"/>
        <v>819.65340700371758</v>
      </c>
      <c r="L296" s="546">
        <f>IF(L294&lt;0,0,L294)</f>
        <v>803.41817740504644</v>
      </c>
      <c r="M296" s="546">
        <f>IF(M294&lt;0,0,M294)</f>
        <v>789.95652782432785</v>
      </c>
      <c r="N296" s="546">
        <f>IF(N294&lt;0,0,N294)</f>
        <v>787.98840072046607</v>
      </c>
    </row>
    <row r="297" spans="2:15" ht="15.75">
      <c r="B297" s="340"/>
      <c r="H297" s="327"/>
    </row>
    <row r="298" spans="2:15" ht="15.75">
      <c r="B298" s="340" t="s">
        <v>162</v>
      </c>
      <c r="H298" s="327"/>
    </row>
    <row r="299" spans="2:15" ht="15.75">
      <c r="B299" s="340"/>
      <c r="H299" s="327"/>
    </row>
    <row r="300" spans="2:15">
      <c r="B300" s="341" t="s">
        <v>49</v>
      </c>
      <c r="H300" s="325"/>
    </row>
    <row r="301" spans="2:15">
      <c r="H301" s="325"/>
    </row>
    <row r="302" spans="2:15">
      <c r="B302" s="338" t="str">
        <f t="shared" ref="B302:B313" si="143">B262</f>
        <v>Age group</v>
      </c>
      <c r="C302" s="338" t="str">
        <f>C293</f>
        <v>2016/17</v>
      </c>
      <c r="D302" s="338" t="str">
        <f t="shared" ref="D302:N302" si="144">D293</f>
        <v>2017/18</v>
      </c>
      <c r="E302" s="338" t="str">
        <f t="shared" si="144"/>
        <v>2018/19</v>
      </c>
      <c r="F302" s="338" t="str">
        <f t="shared" si="144"/>
        <v>2019/20</v>
      </c>
      <c r="G302" s="338" t="str">
        <f t="shared" si="144"/>
        <v>2020/21</v>
      </c>
      <c r="H302" s="338" t="str">
        <f t="shared" si="144"/>
        <v>2021/22</v>
      </c>
      <c r="I302" s="338" t="str">
        <f t="shared" si="144"/>
        <v>2022/23</v>
      </c>
      <c r="J302" s="338" t="str">
        <f t="shared" si="144"/>
        <v>2023/24</v>
      </c>
      <c r="K302" s="338" t="str">
        <f t="shared" si="144"/>
        <v>2024/25</v>
      </c>
      <c r="L302" s="338" t="str">
        <f t="shared" si="144"/>
        <v>2025/26</v>
      </c>
      <c r="M302" s="338" t="str">
        <f t="shared" si="144"/>
        <v>2026/27</v>
      </c>
      <c r="N302" s="338" t="str">
        <f t="shared" si="144"/>
        <v>2027/28</v>
      </c>
    </row>
    <row r="303" spans="2:15">
      <c r="B303" s="338" t="str">
        <f t="shared" si="143"/>
        <v>20-24</v>
      </c>
      <c r="C303" s="459">
        <f>C$296*Entrant_age_breakdowns!$K76*$G$31</f>
        <v>62.206367581371779</v>
      </c>
      <c r="D303" s="459">
        <f>D$296*Entrant_age_breakdowns!$K76*$G$31</f>
        <v>67.734157345544119</v>
      </c>
      <c r="E303" s="459">
        <f>E$296*Entrant_age_breakdowns!$K76*$G$31</f>
        <v>69.539331351896649</v>
      </c>
      <c r="F303" s="459">
        <f>F$296*Entrant_age_breakdowns!$K76*$G$31</f>
        <v>69.7446296221528</v>
      </c>
      <c r="G303" s="459">
        <f>G$296*Entrant_age_breakdowns!$K76*$G$31</f>
        <v>68.939708338489297</v>
      </c>
      <c r="H303" s="459">
        <f>H$296*Entrant_age_breakdowns!$K76*$G$31</f>
        <v>68.660365373140124</v>
      </c>
      <c r="I303" s="459">
        <f>I$296*Entrant_age_breakdowns!$K76*$G$31</f>
        <v>69.019865472154549</v>
      </c>
      <c r="J303" s="459">
        <f>J$296*Entrant_age_breakdowns!$K76*$G$31</f>
        <v>68.860849237638902</v>
      </c>
      <c r="K303" s="459">
        <f>K$296*Entrant_age_breakdowns!$K76*$G$31</f>
        <v>65.735041048754056</v>
      </c>
      <c r="L303" s="459">
        <f>L$296*Entrant_age_breakdowns!$K76*$G$31</f>
        <v>64.432998654999025</v>
      </c>
      <c r="M303" s="459">
        <f>M$296*Entrant_age_breakdowns!$K76*$G$31</f>
        <v>63.353393446003082</v>
      </c>
      <c r="N303" s="459">
        <f>N$296*Entrant_age_breakdowns!$K76*$G$31</f>
        <v>63.195552442896101</v>
      </c>
      <c r="O303" s="327"/>
    </row>
    <row r="304" spans="2:15">
      <c r="B304" s="338" t="str">
        <f t="shared" si="143"/>
        <v>25-29</v>
      </c>
      <c r="C304" s="459">
        <f>C$296*Entrant_age_breakdowns!$K77*$G$31</f>
        <v>64.320033442612555</v>
      </c>
      <c r="D304" s="459">
        <f>D$296*Entrant_age_breakdowns!$K77*$G$31</f>
        <v>70.035648038340341</v>
      </c>
      <c r="E304" s="459">
        <f>E$296*Entrant_age_breakdowns!$K77*$G$31</f>
        <v>71.902158766626272</v>
      </c>
      <c r="F304" s="459">
        <f>F$296*Entrant_age_breakdowns!$K77*$G$31</f>
        <v>72.114432720595914</v>
      </c>
      <c r="G304" s="459">
        <f>G$296*Entrant_age_breakdowns!$K77*$G$31</f>
        <v>71.282161589892397</v>
      </c>
      <c r="H304" s="459">
        <f>H$296*Entrant_age_breakdowns!$K77*$G$31</f>
        <v>70.993327028869132</v>
      </c>
      <c r="I304" s="459">
        <f>I$296*Entrant_age_breakdowns!$K77*$G$31</f>
        <v>71.36504232571528</v>
      </c>
      <c r="J304" s="459">
        <f>J$296*Entrant_age_breakdowns!$K77*$G$31</f>
        <v>71.200622991816928</v>
      </c>
      <c r="K304" s="459">
        <f>K$296*Entrant_age_breakdowns!$K77*$G$31</f>
        <v>67.968605192653996</v>
      </c>
      <c r="L304" s="459">
        <f>L$296*Entrant_age_breakdowns!$K77*$G$31</f>
        <v>66.622321627704252</v>
      </c>
      <c r="M304" s="459">
        <f>M$296*Entrant_age_breakdowns!$K77*$G$31</f>
        <v>65.50603328219681</v>
      </c>
      <c r="N304" s="459">
        <f>N$296*Entrant_age_breakdowns!$K77*$G$31</f>
        <v>65.342829112058183</v>
      </c>
      <c r="O304" s="327"/>
    </row>
    <row r="305" spans="1:15">
      <c r="B305" s="338" t="str">
        <f t="shared" si="143"/>
        <v>30-34</v>
      </c>
      <c r="C305" s="459">
        <f>C$296*Entrant_age_breakdowns!$K78*$G$31</f>
        <v>31.929428211085881</v>
      </c>
      <c r="D305" s="459">
        <f>D$296*Entrant_age_breakdowns!$K78*$G$31</f>
        <v>34.766744924848972</v>
      </c>
      <c r="E305" s="459">
        <f>E$296*Entrant_age_breakdowns!$K78*$G$31</f>
        <v>35.693308813488741</v>
      </c>
      <c r="F305" s="459">
        <f>F$296*Entrant_age_breakdowns!$K78*$G$31</f>
        <v>35.798684784420168</v>
      </c>
      <c r="G305" s="459">
        <f>G$296*Entrant_age_breakdowns!$K78*$G$31</f>
        <v>35.385532926474276</v>
      </c>
      <c r="H305" s="459">
        <f>H$296*Entrant_age_breakdowns!$K78*$G$31</f>
        <v>35.242151123209176</v>
      </c>
      <c r="I305" s="459">
        <f>I$296*Entrant_age_breakdowns!$K78*$G$31</f>
        <v>35.426676165413973</v>
      </c>
      <c r="J305" s="459">
        <f>J$296*Entrant_age_breakdowns!$K78*$G$31</f>
        <v>35.34505594481962</v>
      </c>
      <c r="K305" s="459">
        <f>K$296*Entrant_age_breakdowns!$K78*$G$31</f>
        <v>33.740633888860991</v>
      </c>
      <c r="L305" s="459">
        <f>L$296*Entrant_age_breakdowns!$K78*$G$31</f>
        <v>33.072318557881253</v>
      </c>
      <c r="M305" s="459">
        <f>M$296*Entrant_age_breakdowns!$K78*$G$31</f>
        <v>32.518176299504589</v>
      </c>
      <c r="N305" s="459">
        <f>N$296*Entrant_age_breakdowns!$K78*$G$31</f>
        <v>32.437159304405533</v>
      </c>
      <c r="O305" s="327"/>
    </row>
    <row r="306" spans="1:15">
      <c r="B306" s="338" t="str">
        <f t="shared" si="143"/>
        <v>35-39</v>
      </c>
      <c r="C306" s="459">
        <f>C$296*Entrant_age_breakdowns!$K79*$G$31</f>
        <v>22.814991829419142</v>
      </c>
      <c r="D306" s="459">
        <f>D$296*Entrant_age_breakdowns!$K79*$G$31</f>
        <v>24.842380394413979</v>
      </c>
      <c r="E306" s="459">
        <f>E$296*Entrant_age_breakdowns!$K79*$G$31</f>
        <v>25.504451365713479</v>
      </c>
      <c r="F306" s="459">
        <f>F$296*Entrant_age_breakdowns!$K79*$G$31</f>
        <v>25.579747168066206</v>
      </c>
      <c r="G306" s="459">
        <f>G$296*Entrant_age_breakdowns!$K79*$G$31</f>
        <v>25.284531851304845</v>
      </c>
      <c r="H306" s="459">
        <f>H$296*Entrant_age_breakdowns!$K79*$G$31</f>
        <v>25.182079197021334</v>
      </c>
      <c r="I306" s="459">
        <f>I$296*Entrant_age_breakdowns!$K79*$G$31</f>
        <v>25.313930519331077</v>
      </c>
      <c r="J306" s="459">
        <f>J$296*Entrant_age_breakdowns!$K79*$G$31</f>
        <v>25.255609253642739</v>
      </c>
      <c r="K306" s="459">
        <f>K$296*Entrant_age_breakdowns!$K79*$G$31</f>
        <v>24.109178573592953</v>
      </c>
      <c r="L306" s="459">
        <f>L$296*Entrant_age_breakdowns!$K79*$G$31</f>
        <v>23.631637644423275</v>
      </c>
      <c r="M306" s="459">
        <f>M$296*Entrant_age_breakdowns!$K79*$G$31</f>
        <v>23.235678436710003</v>
      </c>
      <c r="N306" s="459">
        <f>N$296*Entrant_age_breakdowns!$K79*$G$31</f>
        <v>23.177788202377922</v>
      </c>
      <c r="O306" s="327"/>
    </row>
    <row r="307" spans="1:15">
      <c r="B307" s="338" t="str">
        <f t="shared" si="143"/>
        <v>40-44</v>
      </c>
      <c r="C307" s="459">
        <f>C$296*Entrant_age_breakdowns!$K80*$G$31</f>
        <v>19.822285152045776</v>
      </c>
      <c r="D307" s="459">
        <f>D$296*Entrant_age_breakdowns!$K80*$G$31</f>
        <v>21.583735454101298</v>
      </c>
      <c r="E307" s="459">
        <f>E$296*Entrant_age_breakdowns!$K80*$G$31</f>
        <v>22.158960713093848</v>
      </c>
      <c r="F307" s="459">
        <f>F$296*Entrant_age_breakdowns!$K80*$G$31</f>
        <v>22.224379753177104</v>
      </c>
      <c r="G307" s="459">
        <f>G$296*Entrant_age_breakdowns!$K80*$G$31</f>
        <v>21.967888660221746</v>
      </c>
      <c r="H307" s="459">
        <f>H$296*Entrant_age_breakdowns!$K80*$G$31</f>
        <v>21.878875008892141</v>
      </c>
      <c r="I307" s="459">
        <f>I$296*Entrant_age_breakdowns!$K80*$G$31</f>
        <v>21.99343102223806</v>
      </c>
      <c r="J307" s="459">
        <f>J$296*Entrant_age_breakdowns!$K80*$G$31</f>
        <v>21.942759921080278</v>
      </c>
      <c r="K307" s="459">
        <f>K$296*Entrant_age_breakdowns!$K80*$G$31</f>
        <v>20.946709779274062</v>
      </c>
      <c r="L307" s="459">
        <f>L$296*Entrant_age_breakdowns!$K80*$G$31</f>
        <v>20.531809237536056</v>
      </c>
      <c r="M307" s="459">
        <f>M$296*Entrant_age_breakdowns!$K80*$G$31</f>
        <v>20.187789113288197</v>
      </c>
      <c r="N307" s="459">
        <f>N$296*Entrant_age_breakdowns!$K80*$G$31</f>
        <v>20.137492503890794</v>
      </c>
      <c r="O307" s="327"/>
    </row>
    <row r="308" spans="1:15">
      <c r="B308" s="338" t="str">
        <f t="shared" si="143"/>
        <v>45-49</v>
      </c>
      <c r="C308" s="459">
        <f>C$296*Entrant_age_breakdowns!$K81*$G$31</f>
        <v>15.773519735870609</v>
      </c>
      <c r="D308" s="459">
        <f>D$296*Entrant_age_breakdowns!$K81*$G$31</f>
        <v>17.175188155536166</v>
      </c>
      <c r="E308" s="459">
        <f>E$296*Entrant_age_breakdowns!$K81*$G$31</f>
        <v>17.632921807619859</v>
      </c>
      <c r="F308" s="459">
        <f>F$296*Entrant_age_breakdowns!$K81*$G$31</f>
        <v>17.684978798624673</v>
      </c>
      <c r="G308" s="459">
        <f>G$296*Entrant_age_breakdowns!$K81*$G$31</f>
        <v>17.480876835315527</v>
      </c>
      <c r="H308" s="459">
        <f>H$296*Entrant_age_breakdowns!$K81*$G$31</f>
        <v>17.410044508202901</v>
      </c>
      <c r="I308" s="459">
        <f>I$296*Entrant_age_breakdowns!$K81*$G$31</f>
        <v>17.501202087841897</v>
      </c>
      <c r="J308" s="459">
        <f>J$296*Entrant_age_breakdowns!$K81*$G$31</f>
        <v>17.460880721863155</v>
      </c>
      <c r="K308" s="459">
        <f>K$296*Entrant_age_breakdowns!$K81*$G$31</f>
        <v>16.668277021069578</v>
      </c>
      <c r="L308" s="459">
        <f>L$296*Entrant_age_breakdowns!$K81*$G$31</f>
        <v>16.338121247740265</v>
      </c>
      <c r="M308" s="459">
        <f>M$296*Entrant_age_breakdowns!$K81*$G$31</f>
        <v>16.064368338944067</v>
      </c>
      <c r="N308" s="459">
        <f>N$296*Entrant_age_breakdowns!$K81*$G$31</f>
        <v>16.024344973580693</v>
      </c>
      <c r="O308" s="327"/>
    </row>
    <row r="309" spans="1:15">
      <c r="B309" s="338" t="str">
        <f t="shared" si="143"/>
        <v>50-54</v>
      </c>
      <c r="C309" s="459">
        <f>C$296*Entrant_age_breakdowns!$K82*$G$31</f>
        <v>11.538843347262455</v>
      </c>
      <c r="D309" s="459">
        <f>D$296*Entrant_age_breakdowns!$K82*$G$31</f>
        <v>12.564209441206932</v>
      </c>
      <c r="E309" s="459">
        <f>E$296*Entrant_age_breakdowns!$K82*$G$31</f>
        <v>12.899056513680739</v>
      </c>
      <c r="F309" s="459">
        <f>F$296*Entrant_age_breakdowns!$K82*$G$31</f>
        <v>12.93713789782282</v>
      </c>
      <c r="G309" s="459">
        <f>G$296*Entrant_age_breakdowns!$K82*$G$31</f>
        <v>12.787830665136052</v>
      </c>
      <c r="H309" s="459">
        <f>H$296*Entrant_age_breakdowns!$K82*$G$31</f>
        <v>12.736014511217283</v>
      </c>
      <c r="I309" s="459">
        <f>I$296*Entrant_age_breakdowns!$K82*$G$31</f>
        <v>12.802699249245533</v>
      </c>
      <c r="J309" s="459">
        <f>J$296*Entrant_age_breakdowns!$K82*$G$31</f>
        <v>12.773202856977532</v>
      </c>
      <c r="K309" s="459">
        <f>K$296*Entrant_age_breakdowns!$K82*$G$31</f>
        <v>12.19338743891841</v>
      </c>
      <c r="L309" s="459">
        <f>L$296*Entrant_age_breakdowns!$K82*$G$31</f>
        <v>11.95186773929311</v>
      </c>
      <c r="M309" s="459">
        <f>M$296*Entrant_age_breakdowns!$K82*$G$31</f>
        <v>11.751608571818055</v>
      </c>
      <c r="N309" s="459">
        <f>N$296*Entrant_age_breakdowns!$K82*$G$31</f>
        <v>11.722330176704505</v>
      </c>
      <c r="O309" s="327"/>
    </row>
    <row r="310" spans="1:15">
      <c r="B310" s="338" t="str">
        <f t="shared" si="143"/>
        <v>55-59</v>
      </c>
      <c r="C310" s="459">
        <f>C$296*Entrant_age_breakdowns!$K83*$G$31</f>
        <v>7.8559048056082705</v>
      </c>
      <c r="D310" s="459">
        <f>D$296*Entrant_age_breakdowns!$K83*$G$31</f>
        <v>8.5539971691584924</v>
      </c>
      <c r="E310" s="459">
        <f>E$296*Entrant_age_breakdowns!$K83*$G$31</f>
        <v>8.7819686084635347</v>
      </c>
      <c r="F310" s="459">
        <f>F$296*Entrant_age_breakdowns!$K83*$G$31</f>
        <v>8.8078952737004776</v>
      </c>
      <c r="G310" s="459">
        <f>G$296*Entrant_age_breakdowns!$K83*$G$31</f>
        <v>8.7062435421121176</v>
      </c>
      <c r="H310" s="459">
        <f>H$296*Entrant_age_breakdowns!$K83*$G$31</f>
        <v>8.6709659358280202</v>
      </c>
      <c r="I310" s="459">
        <f>I$296*Entrant_age_breakdowns!$K83*$G$31</f>
        <v>8.7163664095298454</v>
      </c>
      <c r="J310" s="459">
        <f>J$296*Entrant_age_breakdowns!$K83*$G$31</f>
        <v>8.6962846003924259</v>
      </c>
      <c r="K310" s="459">
        <f>K$296*Entrant_age_breakdowns!$K83*$G$31</f>
        <v>8.3015331862329607</v>
      </c>
      <c r="L310" s="459">
        <f>L$296*Entrant_age_breakdowns!$K83*$G$31</f>
        <v>8.1371011273311797</v>
      </c>
      <c r="M310" s="459">
        <f>M$296*Entrant_age_breakdowns!$K83*$G$31</f>
        <v>8.0007601693349333</v>
      </c>
      <c r="N310" s="459">
        <f>N$296*Entrant_age_breakdowns!$K83*$G$31</f>
        <v>7.9808267775771169</v>
      </c>
      <c r="O310" s="327"/>
    </row>
    <row r="311" spans="1:15">
      <c r="B311" s="338" t="str">
        <f t="shared" si="143"/>
        <v>60-64</v>
      </c>
      <c r="C311" s="459">
        <f>C$296*Entrant_age_breakdowns!$K84*$G$31</f>
        <v>3.8457524480573917</v>
      </c>
      <c r="D311" s="459">
        <f>D$296*Entrant_age_breakdowns!$K84*$G$31</f>
        <v>4.1874941675060358</v>
      </c>
      <c r="E311" s="459">
        <f>E$296*Entrant_age_breakdowns!$K84*$G$31</f>
        <v>4.2990945168596397</v>
      </c>
      <c r="F311" s="459">
        <f>F$296*Entrant_age_breakdowns!$K84*$G$31</f>
        <v>4.3117865668236046</v>
      </c>
      <c r="G311" s="459">
        <f>G$296*Entrant_age_breakdowns!$K84*$G$31</f>
        <v>4.2620243299739258</v>
      </c>
      <c r="H311" s="459">
        <f>H$296*Entrant_age_breakdowns!$K84*$G$31</f>
        <v>4.2447546526947644</v>
      </c>
      <c r="I311" s="459">
        <f>I$296*Entrant_age_breakdowns!$K84*$G$31</f>
        <v>4.2669798434528179</v>
      </c>
      <c r="J311" s="459">
        <f>J$296*Entrant_age_breakdowns!$K84*$G$31</f>
        <v>4.2571490641138787</v>
      </c>
      <c r="K311" s="459">
        <f>K$296*Entrant_age_breakdowns!$K84*$G$31</f>
        <v>4.0639038231208717</v>
      </c>
      <c r="L311" s="459">
        <f>L$296*Entrant_age_breakdowns!$K84*$G$31</f>
        <v>3.9834083221304328</v>
      </c>
      <c r="M311" s="459">
        <f>M$296*Entrant_age_breakdowns!$K84*$G$31</f>
        <v>3.9166644414497203</v>
      </c>
      <c r="N311" s="459">
        <f>N$296*Entrant_age_breakdowns!$K84*$G$31</f>
        <v>3.9069063178410968</v>
      </c>
      <c r="O311" s="327"/>
    </row>
    <row r="312" spans="1:15">
      <c r="B312" s="338" t="str">
        <f t="shared" si="143"/>
        <v>65 plus</v>
      </c>
      <c r="C312" s="459">
        <f>C$296*Entrant_age_breakdowns!$K85*$G$31</f>
        <v>0.96454201126540895</v>
      </c>
      <c r="D312" s="459">
        <f>D$296*Entrant_age_breakdowns!$K85*$G$31</f>
        <v>1.0502532601984489</v>
      </c>
      <c r="E312" s="459">
        <f>E$296*Entrant_age_breakdowns!$K85*$G$31</f>
        <v>1.0782434199597253</v>
      </c>
      <c r="F312" s="459">
        <f>F$296*Entrant_age_breakdowns!$K85*$G$31</f>
        <v>1.0814266761793263</v>
      </c>
      <c r="G312" s="459">
        <f>G$296*Entrant_age_breakdowns!$K85*$G$31</f>
        <v>1.0689459539632358</v>
      </c>
      <c r="H312" s="459">
        <f>H$296*Entrant_age_breakdowns!$K85*$G$31</f>
        <v>1.064614596320816</v>
      </c>
      <c r="I312" s="459">
        <f>I$296*Entrant_age_breakdowns!$K85*$G$31</f>
        <v>1.0701888319181592</v>
      </c>
      <c r="J312" s="459">
        <f>J$296*Entrant_age_breakdowns!$K85*$G$31</f>
        <v>1.0677232026807189</v>
      </c>
      <c r="K312" s="459">
        <f>K$296*Entrant_age_breakdowns!$K85*$G$31</f>
        <v>1.0192559245778301</v>
      </c>
      <c r="L312" s="459">
        <f>L$296*Entrant_age_breakdowns!$K85*$G$31</f>
        <v>0.99906708156939517</v>
      </c>
      <c r="M312" s="459">
        <f>M$296*Entrant_age_breakdowns!$K85*$G$31</f>
        <v>0.98232724254414749</v>
      </c>
      <c r="N312" s="459">
        <f>N$296*Entrant_age_breakdowns!$K85*$G$31</f>
        <v>0.97987983587958372</v>
      </c>
      <c r="O312" s="327"/>
    </row>
    <row r="313" spans="1:15">
      <c r="B313" s="338" t="str">
        <f t="shared" si="143"/>
        <v>Total</v>
      </c>
      <c r="C313" s="459">
        <f>C$296*Entrant_age_breakdowns!$K86*$G$31</f>
        <v>241.07166856459924</v>
      </c>
      <c r="D313" s="459">
        <f>D$296*Entrant_age_breakdowns!$K86*$G$31</f>
        <v>262.49380835085481</v>
      </c>
      <c r="E313" s="459">
        <f>E$296*Entrant_age_breakdowns!$K86*$G$31</f>
        <v>269.48949587740248</v>
      </c>
      <c r="F313" s="459">
        <f>F$296*Entrant_age_breakdowns!$K86*$G$31</f>
        <v>270.28509926156306</v>
      </c>
      <c r="G313" s="459">
        <f>G$296*Entrant_age_breakdowns!$K86*$G$31</f>
        <v>267.16574469288344</v>
      </c>
      <c r="H313" s="459">
        <f>H$296*Entrant_age_breakdowns!$K86*$G$31</f>
        <v>266.08319193539569</v>
      </c>
      <c r="I313" s="459">
        <f>I$296*Entrant_age_breakdowns!$K86*$G$31</f>
        <v>267.47638192684116</v>
      </c>
      <c r="J313" s="459">
        <f>J$296*Entrant_age_breakdowns!$K86*$G$31</f>
        <v>266.86013779502616</v>
      </c>
      <c r="K313" s="459">
        <f>K$296*Entrant_age_breakdowns!$K86*$G$31</f>
        <v>254.74652587705569</v>
      </c>
      <c r="L313" s="459">
        <f>L$296*Entrant_age_breakdowns!$K86*$G$31</f>
        <v>249.70065124060821</v>
      </c>
      <c r="M313" s="459">
        <f>M$296*Entrant_age_breakdowns!$K86*$G$31</f>
        <v>245.51679934179359</v>
      </c>
      <c r="N313" s="459">
        <f>N$296*Entrant_age_breakdowns!$K86*$G$31</f>
        <v>244.90510964721153</v>
      </c>
      <c r="O313" s="327"/>
    </row>
    <row r="314" spans="1:15">
      <c r="A314" s="309">
        <f>SUM(C314:N314)</f>
        <v>0</v>
      </c>
      <c r="C314" s="309">
        <f>SUM(C303:C312)-C313</f>
        <v>0</v>
      </c>
      <c r="D314" s="309">
        <f t="shared" ref="D314:N314" si="145">SUM(D303:D312)-D313</f>
        <v>0</v>
      </c>
      <c r="E314" s="309">
        <f t="shared" si="145"/>
        <v>0</v>
      </c>
      <c r="F314" s="309">
        <f t="shared" si="145"/>
        <v>0</v>
      </c>
      <c r="G314" s="309">
        <f t="shared" si="145"/>
        <v>0</v>
      </c>
      <c r="H314" s="309">
        <f t="shared" si="145"/>
        <v>0</v>
      </c>
      <c r="I314" s="309">
        <f t="shared" si="145"/>
        <v>0</v>
      </c>
      <c r="J314" s="309">
        <f t="shared" si="145"/>
        <v>0</v>
      </c>
      <c r="K314" s="309">
        <f t="shared" si="145"/>
        <v>0</v>
      </c>
      <c r="L314" s="309">
        <f t="shared" si="145"/>
        <v>0</v>
      </c>
      <c r="M314" s="309">
        <f t="shared" si="145"/>
        <v>0</v>
      </c>
      <c r="N314" s="309">
        <f t="shared" si="145"/>
        <v>0</v>
      </c>
    </row>
    <row r="316" spans="1:15">
      <c r="B316" s="341" t="s">
        <v>50</v>
      </c>
      <c r="H316" s="325"/>
    </row>
    <row r="317" spans="1:15">
      <c r="H317" s="325"/>
    </row>
    <row r="318" spans="1:15">
      <c r="B318" s="338" t="str">
        <f t="shared" ref="B318:B329" si="146">B302</f>
        <v>Age group</v>
      </c>
      <c r="C318" s="338" t="str">
        <f>C293</f>
        <v>2016/17</v>
      </c>
      <c r="D318" s="338" t="str">
        <f t="shared" ref="D318:N318" si="147">D302</f>
        <v>2017/18</v>
      </c>
      <c r="E318" s="338" t="str">
        <f t="shared" si="147"/>
        <v>2018/19</v>
      </c>
      <c r="F318" s="338" t="str">
        <f t="shared" si="147"/>
        <v>2019/20</v>
      </c>
      <c r="G318" s="338" t="str">
        <f t="shared" si="147"/>
        <v>2020/21</v>
      </c>
      <c r="H318" s="338" t="str">
        <f t="shared" si="147"/>
        <v>2021/22</v>
      </c>
      <c r="I318" s="338" t="str">
        <f t="shared" si="147"/>
        <v>2022/23</v>
      </c>
      <c r="J318" s="338" t="str">
        <f t="shared" si="147"/>
        <v>2023/24</v>
      </c>
      <c r="K318" s="338" t="str">
        <f t="shared" si="147"/>
        <v>2024/25</v>
      </c>
      <c r="L318" s="338" t="str">
        <f t="shared" si="147"/>
        <v>2025/26</v>
      </c>
      <c r="M318" s="338" t="str">
        <f t="shared" si="147"/>
        <v>2026/27</v>
      </c>
      <c r="N318" s="338" t="str">
        <f t="shared" si="147"/>
        <v>2027/28</v>
      </c>
    </row>
    <row r="319" spans="1:15">
      <c r="B319" s="338" t="str">
        <f t="shared" si="146"/>
        <v>20-24</v>
      </c>
      <c r="C319" s="459">
        <f>C$296*Entrant_age_breakdowns!$K76*$H$31</f>
        <v>137.9441975729666</v>
      </c>
      <c r="D319" s="459">
        <f>D$296*Entrant_age_breakdowns!$K76*$H$31</f>
        <v>150.20221155157347</v>
      </c>
      <c r="E319" s="459">
        <f>E$296*Entrant_age_breakdowns!$K76*$H$31</f>
        <v>154.20523068719723</v>
      </c>
      <c r="F319" s="459">
        <f>F$296*Entrant_age_breakdowns!$K76*$H$31</f>
        <v>154.66048480755006</v>
      </c>
      <c r="G319" s="459">
        <f>G$296*Entrant_age_breakdowns!$K76*$H$31</f>
        <v>152.87555144941561</v>
      </c>
      <c r="H319" s="459">
        <f>H$296*Entrant_age_breakdowns!$K76*$H$31</f>
        <v>152.25610134003028</v>
      </c>
      <c r="I319" s="459">
        <f>I$296*Entrant_age_breakdowns!$K76*$H$31</f>
        <v>153.05330192598441</v>
      </c>
      <c r="J319" s="459">
        <f>J$296*Entrant_age_breakdowns!$K76*$H$31</f>
        <v>152.70067939352995</v>
      </c>
      <c r="K319" s="459">
        <f>K$296*Entrant_age_breakdowns!$K76*$H$31</f>
        <v>145.76912046881546</v>
      </c>
      <c r="L319" s="459">
        <f>L$296*Entrant_age_breakdowns!$K76*$H$31</f>
        <v>142.88180844279856</v>
      </c>
      <c r="M319" s="459">
        <f>M$296*Entrant_age_breakdowns!$K76*$H$31</f>
        <v>140.48775651466224</v>
      </c>
      <c r="N319" s="459">
        <f>N$296*Entrant_age_breakdowns!$K76*$H$31</f>
        <v>140.13774008765864</v>
      </c>
    </row>
    <row r="320" spans="1:15">
      <c r="B320" s="338" t="str">
        <f t="shared" si="146"/>
        <v>25-29</v>
      </c>
      <c r="C320" s="459">
        <f>C$296*Entrant_age_breakdowns!$K77*$H$31</f>
        <v>142.6313052197012</v>
      </c>
      <c r="D320" s="459">
        <f>D$296*Entrant_age_breakdowns!$K77*$H$31</f>
        <v>155.3058255252416</v>
      </c>
      <c r="E320" s="459">
        <f>E$296*Entrant_age_breakdowns!$K77*$H$31</f>
        <v>159.44486039716102</v>
      </c>
      <c r="F320" s="459">
        <f>F$296*Entrant_age_breakdowns!$K77*$H$31</f>
        <v>159.91558327304153</v>
      </c>
      <c r="G320" s="459">
        <f>G$296*Entrant_age_breakdowns!$K77*$H$31</f>
        <v>158.07000093554427</v>
      </c>
      <c r="H320" s="459">
        <f>H$296*Entrant_age_breakdowns!$K77*$H$31</f>
        <v>157.42950297205886</v>
      </c>
      <c r="I320" s="459">
        <f>I$296*Entrant_age_breakdowns!$K77*$H$31</f>
        <v>158.25379106896412</v>
      </c>
      <c r="J320" s="459">
        <f>J$296*Entrant_age_breakdowns!$K77*$H$31</f>
        <v>157.88918702661394</v>
      </c>
      <c r="K320" s="459">
        <f>K$296*Entrant_age_breakdowns!$K77*$H$31</f>
        <v>150.72210559778952</v>
      </c>
      <c r="L320" s="459">
        <f>L$296*Entrant_age_breakdowns!$K77*$H$31</f>
        <v>147.73668765275781</v>
      </c>
      <c r="M320" s="459">
        <f>M$296*Entrant_age_breakdowns!$K77*$H$31</f>
        <v>145.26128993917726</v>
      </c>
      <c r="N320" s="459">
        <f>N$296*Entrant_age_breakdowns!$K77*$H$31</f>
        <v>144.89938055327903</v>
      </c>
    </row>
    <row r="321" spans="1:14">
      <c r="B321" s="338" t="str">
        <f t="shared" si="146"/>
        <v>30-34</v>
      </c>
      <c r="C321" s="459">
        <f>C$296*Entrant_age_breakdowns!$K78*$H$31</f>
        <v>70.804316741054066</v>
      </c>
      <c r="D321" s="459">
        <f>D$296*Entrant_age_breakdowns!$K78*$H$31</f>
        <v>77.096138503969883</v>
      </c>
      <c r="E321" s="459">
        <f>E$296*Entrant_age_breakdowns!$K78*$H$31</f>
        <v>79.15081742331536</v>
      </c>
      <c r="F321" s="459">
        <f>F$296*Entrant_age_breakdowns!$K78*$H$31</f>
        <v>79.384491311034225</v>
      </c>
      <c r="G321" s="459">
        <f>G$296*Entrant_age_breakdowns!$K78*$H$31</f>
        <v>78.468316589120491</v>
      </c>
      <c r="H321" s="459">
        <f>H$296*Entrant_age_breakdowns!$K78*$H$31</f>
        <v>78.150363804430143</v>
      </c>
      <c r="I321" s="459">
        <f>I$296*Entrant_age_breakdowns!$K78*$H$31</f>
        <v>78.559552764800827</v>
      </c>
      <c r="J321" s="459">
        <f>J$296*Entrant_age_breakdowns!$K78*$H$31</f>
        <v>78.37855785586504</v>
      </c>
      <c r="K321" s="459">
        <f>K$296*Entrant_age_breakdowns!$K78*$H$31</f>
        <v>74.820711261011638</v>
      </c>
      <c r="L321" s="459">
        <f>L$296*Entrant_age_breakdowns!$K78*$H$31</f>
        <v>73.33870506707791</v>
      </c>
      <c r="M321" s="459">
        <f>M$296*Entrant_age_breakdowns!$K78*$H$31</f>
        <v>72.109880556901373</v>
      </c>
      <c r="N321" s="459">
        <f>N$296*Entrant_age_breakdowns!$K78*$H$31</f>
        <v>71.930223315798315</v>
      </c>
    </row>
    <row r="322" spans="1:14">
      <c r="B322" s="338" t="str">
        <f t="shared" si="146"/>
        <v>35-39</v>
      </c>
      <c r="C322" s="459">
        <f>C$296*Entrant_age_breakdowns!$K79*$H$31</f>
        <v>50.59282293611156</v>
      </c>
      <c r="D322" s="459">
        <f>D$296*Entrant_age_breakdowns!$K79*$H$31</f>
        <v>55.088608490556467</v>
      </c>
      <c r="E322" s="459">
        <f>E$296*Entrant_age_breakdowns!$K79*$H$31</f>
        <v>56.556767658551564</v>
      </c>
      <c r="F322" s="459">
        <f>F$296*Entrant_age_breakdowns!$K79*$H$31</f>
        <v>56.723738009658675</v>
      </c>
      <c r="G322" s="459">
        <f>G$296*Entrant_age_breakdowns!$K79*$H$31</f>
        <v>56.069090558517516</v>
      </c>
      <c r="H322" s="459">
        <f>H$296*Entrant_age_breakdowns!$K79*$H$31</f>
        <v>55.841899199596384</v>
      </c>
      <c r="I322" s="459">
        <f>I$296*Entrant_age_breakdowns!$K79*$H$31</f>
        <v>56.13428285037233</v>
      </c>
      <c r="J322" s="459">
        <f>J$296*Entrant_age_breakdowns!$K79*$H$31</f>
        <v>56.004953964767587</v>
      </c>
      <c r="K322" s="459">
        <f>K$296*Entrant_age_breakdowns!$K79*$H$31</f>
        <v>53.462714859974476</v>
      </c>
      <c r="L322" s="459">
        <f>L$296*Entrant_age_breakdowns!$K79*$H$31</f>
        <v>52.403755739810599</v>
      </c>
      <c r="M322" s="459">
        <f>M$296*Entrant_age_breakdowns!$K79*$H$31</f>
        <v>51.525706155767836</v>
      </c>
      <c r="N322" s="459">
        <f>N$296*Entrant_age_breakdowns!$K79*$H$31</f>
        <v>51.397333093125908</v>
      </c>
    </row>
    <row r="323" spans="1:14">
      <c r="B323" s="338" t="str">
        <f t="shared" si="146"/>
        <v>40-44</v>
      </c>
      <c r="C323" s="459">
        <f>C$296*Entrant_age_breakdowns!$K80*$H$31</f>
        <v>43.95641998843081</v>
      </c>
      <c r="D323" s="459">
        <f>D$296*Entrant_age_breakdowns!$K80*$H$31</f>
        <v>47.862480701007627</v>
      </c>
      <c r="E323" s="459">
        <f>E$296*Entrant_age_breakdowns!$K80*$H$31</f>
        <v>49.138057299683538</v>
      </c>
      <c r="F323" s="459">
        <f>F$296*Entrant_age_breakdowns!$K80*$H$31</f>
        <v>49.283125679998037</v>
      </c>
      <c r="G323" s="459">
        <f>G$296*Entrant_age_breakdowns!$K80*$H$31</f>
        <v>48.714350177135614</v>
      </c>
      <c r="H323" s="459">
        <f>H$296*Entrant_age_breakdowns!$K80*$H$31</f>
        <v>48.516960148057954</v>
      </c>
      <c r="I323" s="459">
        <f>I$296*Entrant_age_breakdowns!$K80*$H$31</f>
        <v>48.770991012623227</v>
      </c>
      <c r="J323" s="459">
        <f>J$296*Entrant_age_breakdowns!$K80*$H$31</f>
        <v>48.658626560861826</v>
      </c>
      <c r="K323" s="459">
        <f>K$296*Entrant_age_breakdowns!$K80*$H$31</f>
        <v>46.449860113051372</v>
      </c>
      <c r="L323" s="459">
        <f>L$296*Entrant_age_breakdowns!$K80*$H$31</f>
        <v>45.529807640484599</v>
      </c>
      <c r="M323" s="459">
        <f>M$296*Entrant_age_breakdowns!$K80*$H$31</f>
        <v>44.766934291124564</v>
      </c>
      <c r="N323" s="459">
        <f>N$296*Entrant_age_breakdowns!$K80*$H$31</f>
        <v>44.655400284338356</v>
      </c>
    </row>
    <row r="324" spans="1:14">
      <c r="B324" s="338" t="str">
        <f t="shared" si="146"/>
        <v>45-49</v>
      </c>
      <c r="C324" s="459">
        <f>C$296*Entrant_age_breakdowns!$K81*$H$31</f>
        <v>34.978180007372828</v>
      </c>
      <c r="D324" s="459">
        <f>D$296*Entrant_age_breakdowns!$K81*$H$31</f>
        <v>38.086415272214651</v>
      </c>
      <c r="E324" s="459">
        <f>E$296*Entrant_age_breakdowns!$K81*$H$31</f>
        <v>39.101451253157173</v>
      </c>
      <c r="F324" s="459">
        <f>F$296*Entrant_age_breakdowns!$K81*$H$31</f>
        <v>39.216888950798477</v>
      </c>
      <c r="G324" s="459">
        <f>G$296*Entrant_age_breakdowns!$K81*$H$31</f>
        <v>38.764287671437188</v>
      </c>
      <c r="H324" s="459">
        <f>H$296*Entrant_age_breakdowns!$K81*$H$31</f>
        <v>38.607215189862124</v>
      </c>
      <c r="I324" s="459">
        <f>I$296*Entrant_age_breakdowns!$K81*$H$31</f>
        <v>38.809359434332691</v>
      </c>
      <c r="J324" s="459">
        <f>J$296*Entrant_age_breakdowns!$K81*$H$31</f>
        <v>38.719945782784762</v>
      </c>
      <c r="K324" s="459">
        <f>K$296*Entrant_age_breakdowns!$K81*$H$31</f>
        <v>36.962326977020012</v>
      </c>
      <c r="L324" s="459">
        <f>L$296*Entrant_age_breakdowns!$K81*$H$31</f>
        <v>36.230198177401228</v>
      </c>
      <c r="M324" s="459">
        <f>M$296*Entrant_age_breakdowns!$K81*$H$31</f>
        <v>35.623144160177674</v>
      </c>
      <c r="N324" s="459">
        <f>N$296*Entrant_age_breakdowns!$K81*$H$31</f>
        <v>35.534391332551166</v>
      </c>
    </row>
    <row r="325" spans="1:14">
      <c r="B325" s="338" t="str">
        <f t="shared" si="146"/>
        <v>50-54</v>
      </c>
      <c r="C325" s="459">
        <f>C$296*Entrant_age_breakdowns!$K82*$H$31</f>
        <v>25.587677730517999</v>
      </c>
      <c r="D325" s="459">
        <f>D$296*Entrant_age_breakdowns!$K82*$H$31</f>
        <v>27.86145304560414</v>
      </c>
      <c r="E325" s="459">
        <f>E$296*Entrant_age_breakdowns!$K82*$H$31</f>
        <v>28.603984920040226</v>
      </c>
      <c r="F325" s="459">
        <f>F$296*Entrant_age_breakdowns!$K82*$H$31</f>
        <v>28.688431355062747</v>
      </c>
      <c r="G325" s="459">
        <f>G$296*Entrant_age_breakdowns!$K82*$H$31</f>
        <v>28.357338780369734</v>
      </c>
      <c r="H325" s="459">
        <f>H$296*Entrant_age_breakdowns!$K82*$H$31</f>
        <v>28.242435145074005</v>
      </c>
      <c r="I325" s="459">
        <f>I$296*Entrant_age_breakdowns!$K82*$H$31</f>
        <v>28.39031024267776</v>
      </c>
      <c r="J325" s="459">
        <f>J$296*Entrant_age_breakdowns!$K82*$H$31</f>
        <v>28.324901244838681</v>
      </c>
      <c r="K325" s="459">
        <f>K$296*Entrant_age_breakdowns!$K82*$H$31</f>
        <v>27.039145852033027</v>
      </c>
      <c r="L325" s="459">
        <f>L$296*Entrant_age_breakdowns!$K82*$H$31</f>
        <v>26.503569793532339</v>
      </c>
      <c r="M325" s="459">
        <f>M$296*Entrant_age_breakdowns!$K82*$H$31</f>
        <v>26.05949001138076</v>
      </c>
      <c r="N325" s="459">
        <f>N$296*Entrant_age_breakdowns!$K82*$H$31</f>
        <v>25.994564427759759</v>
      </c>
    </row>
    <row r="326" spans="1:14">
      <c r="B326" s="338" t="str">
        <f t="shared" si="146"/>
        <v>55-59</v>
      </c>
      <c r="C326" s="459">
        <f>C$296*Entrant_age_breakdowns!$K83*$H$31</f>
        <v>17.42066812053757</v>
      </c>
      <c r="D326" s="459">
        <f>D$296*Entrant_age_breakdowns!$K83*$H$31</f>
        <v>18.96870563929776</v>
      </c>
      <c r="E326" s="459">
        <f>E$296*Entrant_age_breakdowns!$K83*$H$31</f>
        <v>19.474238086974474</v>
      </c>
      <c r="F326" s="459">
        <f>F$296*Entrant_age_breakdowns!$K83*$H$31</f>
        <v>19.531731124599194</v>
      </c>
      <c r="G326" s="459">
        <f>G$296*Entrant_age_breakdowns!$K83*$H$31</f>
        <v>19.306315832064769</v>
      </c>
      <c r="H326" s="459">
        <f>H$296*Entrant_age_breakdowns!$K83*$H$31</f>
        <v>19.228086845541977</v>
      </c>
      <c r="I326" s="459">
        <f>I$296*Entrant_age_breakdowns!$K83*$H$31</f>
        <v>19.328763547264494</v>
      </c>
      <c r="J326" s="459">
        <f>J$296*Entrant_age_breakdowns!$K83*$H$31</f>
        <v>19.284231626257352</v>
      </c>
      <c r="K326" s="459">
        <f>K$296*Entrant_age_breakdowns!$K83*$H$31</f>
        <v>18.408860355048006</v>
      </c>
      <c r="L326" s="459">
        <f>L$296*Entrant_age_breakdowns!$K83*$H$31</f>
        <v>18.044228094680026</v>
      </c>
      <c r="M326" s="459">
        <f>M$296*Entrant_age_breakdowns!$K83*$H$31</f>
        <v>17.741888562918753</v>
      </c>
      <c r="N326" s="459">
        <f>N$296*Entrant_age_breakdowns!$K83*$H$31</f>
        <v>17.697685761214526</v>
      </c>
    </row>
    <row r="327" spans="1:14">
      <c r="B327" s="338" t="str">
        <f t="shared" si="146"/>
        <v>60-64</v>
      </c>
      <c r="C327" s="459">
        <f>C$296*Entrant_age_breakdowns!$K84*$H$31</f>
        <v>8.5280535761488725</v>
      </c>
      <c r="D327" s="459">
        <f>D$296*Entrant_age_breakdowns!$K84*$H$31</f>
        <v>9.2858745050896889</v>
      </c>
      <c r="E327" s="459">
        <f>E$296*Entrant_age_breakdowns!$K84*$H$31</f>
        <v>9.5333511098007406</v>
      </c>
      <c r="F327" s="459">
        <f>F$296*Entrant_age_breakdowns!$K84*$H$31</f>
        <v>9.5614960524474082</v>
      </c>
      <c r="G327" s="459">
        <f>G$296*Entrant_age_breakdowns!$K84*$H$31</f>
        <v>9.4511470303366814</v>
      </c>
      <c r="H327" s="459">
        <f>H$296*Entrant_age_breakdowns!$K84*$H$31</f>
        <v>9.4128510830367222</v>
      </c>
      <c r="I327" s="459">
        <f>I$296*Entrant_age_breakdowns!$K84*$H$31</f>
        <v>9.4621360071406002</v>
      </c>
      <c r="J327" s="459">
        <f>J$296*Entrant_age_breakdowns!$K84*$H$31</f>
        <v>9.4403360046625089</v>
      </c>
      <c r="K327" s="459">
        <f>K$296*Entrant_age_breakdowns!$K84*$H$31</f>
        <v>9.0118097823476493</v>
      </c>
      <c r="L327" s="459">
        <f>L$296*Entrant_age_breakdowns!$K84*$H$31</f>
        <v>8.8333089676547623</v>
      </c>
      <c r="M327" s="459">
        <f>M$296*Entrant_age_breakdowns!$K84*$H$31</f>
        <v>8.6853027197194006</v>
      </c>
      <c r="N327" s="459">
        <f>N$296*Entrant_age_breakdowns!$K84*$H$31</f>
        <v>8.6636638331657281</v>
      </c>
    </row>
    <row r="328" spans="1:14">
      <c r="B328" s="338" t="str">
        <f t="shared" si="146"/>
        <v>65 plus</v>
      </c>
      <c r="C328" s="459">
        <f>C$296*Entrant_age_breakdowns!$K85*$H$31</f>
        <v>2.13889636933673</v>
      </c>
      <c r="D328" s="459">
        <f>D$296*Entrant_age_breakdowns!$K85*$H$31</f>
        <v>2.3289632373559708</v>
      </c>
      <c r="E328" s="459">
        <f>E$296*Entrant_age_breakdowns!$K85*$H$31</f>
        <v>2.3910321264155634</v>
      </c>
      <c r="F328" s="459">
        <f>F$296*Entrant_age_breakdowns!$K85*$H$31</f>
        <v>2.398091077805188</v>
      </c>
      <c r="G328" s="459">
        <f>G$296*Entrant_age_breakdowns!$K85*$H$31</f>
        <v>2.3704147597983916</v>
      </c>
      <c r="H328" s="459">
        <f>H$296*Entrant_age_breakdowns!$K85*$H$31</f>
        <v>2.3608098643895166</v>
      </c>
      <c r="I328" s="459">
        <f>I$296*Entrant_age_breakdowns!$K85*$H$31</f>
        <v>2.3731708731809769</v>
      </c>
      <c r="J328" s="459">
        <f>J$296*Entrant_age_breakdowns!$K85*$H$31</f>
        <v>2.3677032778222507</v>
      </c>
      <c r="K328" s="459">
        <f>K$296*Entrant_age_breakdowns!$K85*$H$31</f>
        <v>2.2602258595707641</v>
      </c>
      <c r="L328" s="459">
        <f>L$296*Entrant_age_breakdowns!$K85*$H$31</f>
        <v>2.2154565882404262</v>
      </c>
      <c r="M328" s="459">
        <f>M$296*Entrant_age_breakdowns!$K85*$H$31</f>
        <v>2.178335570704435</v>
      </c>
      <c r="N328" s="459">
        <f>N$296*Entrant_age_breakdowns!$K85*$H$31</f>
        <v>2.1729083843631596</v>
      </c>
    </row>
    <row r="329" spans="1:14">
      <c r="B329" s="338" t="str">
        <f t="shared" si="146"/>
        <v>Total</v>
      </c>
      <c r="C329" s="459">
        <f>C$296*Entrant_age_breakdowns!$K86*$H$31</f>
        <v>534.58253826217822</v>
      </c>
      <c r="D329" s="459">
        <f>D$296*Entrant_age_breakdowns!$K86*$H$31</f>
        <v>582.08667647191123</v>
      </c>
      <c r="E329" s="459">
        <f>E$296*Entrant_age_breakdowns!$K86*$H$31</f>
        <v>597.59979096229688</v>
      </c>
      <c r="F329" s="459">
        <f>F$296*Entrant_age_breakdowns!$K86*$H$31</f>
        <v>599.36406164199548</v>
      </c>
      <c r="G329" s="459">
        <f>G$296*Entrant_age_breakdowns!$K86*$H$31</f>
        <v>592.44681378374025</v>
      </c>
      <c r="H329" s="459">
        <f>H$296*Entrant_age_breakdowns!$K86*$H$31</f>
        <v>590.04622559207792</v>
      </c>
      <c r="I329" s="459">
        <f>I$296*Entrant_age_breakdowns!$K86*$H$31</f>
        <v>593.13565972734136</v>
      </c>
      <c r="J329" s="459">
        <f>J$296*Entrant_age_breakdowns!$K86*$H$31</f>
        <v>591.76912273800383</v>
      </c>
      <c r="K329" s="459">
        <f>K$296*Entrant_age_breakdowns!$K86*$H$31</f>
        <v>564.90688112666192</v>
      </c>
      <c r="L329" s="459">
        <f>L$296*Entrant_age_breakdowns!$K86*$H$31</f>
        <v>553.71752616443825</v>
      </c>
      <c r="M329" s="459">
        <f>M$296*Entrant_age_breakdowns!$K86*$H$31</f>
        <v>544.43972848253429</v>
      </c>
      <c r="N329" s="459">
        <f>N$296*Entrant_age_breakdowns!$K86*$H$31</f>
        <v>543.0832910732546</v>
      </c>
    </row>
    <row r="330" spans="1:14">
      <c r="A330" s="309">
        <f>SUM(C330:N330)</f>
        <v>0</v>
      </c>
      <c r="C330" s="309">
        <f>SUM(C319:C328)-C329</f>
        <v>0</v>
      </c>
      <c r="D330" s="309">
        <f t="shared" ref="D330:N330" si="148">SUM(D319:D328)-D329</f>
        <v>0</v>
      </c>
      <c r="E330" s="309">
        <f t="shared" si="148"/>
        <v>0</v>
      </c>
      <c r="F330" s="309">
        <f t="shared" si="148"/>
        <v>0</v>
      </c>
      <c r="G330" s="309">
        <f t="shared" si="148"/>
        <v>0</v>
      </c>
      <c r="H330" s="309">
        <f t="shared" si="148"/>
        <v>0</v>
      </c>
      <c r="I330" s="309">
        <f t="shared" si="148"/>
        <v>0</v>
      </c>
      <c r="J330" s="309">
        <f t="shared" si="148"/>
        <v>0</v>
      </c>
      <c r="K330" s="309">
        <f t="shared" si="148"/>
        <v>0</v>
      </c>
      <c r="L330" s="309">
        <f t="shared" si="148"/>
        <v>0</v>
      </c>
      <c r="M330" s="309">
        <f t="shared" si="148"/>
        <v>0</v>
      </c>
      <c r="N330" s="309">
        <f t="shared" si="148"/>
        <v>0</v>
      </c>
    </row>
    <row r="331" spans="1:14">
      <c r="C331" s="329">
        <f>C296</f>
        <v>775.65420682677745</v>
      </c>
      <c r="D331" s="329">
        <f t="shared" ref="D331:N331" si="149">D296</f>
        <v>844.58048482276604</v>
      </c>
      <c r="E331" s="329">
        <f t="shared" si="149"/>
        <v>867.0892868396993</v>
      </c>
      <c r="F331" s="329">
        <f t="shared" si="149"/>
        <v>869.6491609035586</v>
      </c>
      <c r="G331" s="329">
        <f t="shared" si="149"/>
        <v>859.61255847662369</v>
      </c>
      <c r="H331" s="329">
        <f t="shared" si="149"/>
        <v>856.12941752747361</v>
      </c>
      <c r="I331" s="329">
        <f t="shared" si="149"/>
        <v>860.61204165418258</v>
      </c>
      <c r="J331" s="329">
        <f t="shared" si="149"/>
        <v>858.62926053302999</v>
      </c>
      <c r="K331" s="329">
        <f t="shared" si="149"/>
        <v>819.65340700371758</v>
      </c>
      <c r="L331" s="329">
        <f t="shared" si="149"/>
        <v>803.41817740504644</v>
      </c>
      <c r="M331" s="329">
        <f t="shared" si="149"/>
        <v>789.95652782432785</v>
      </c>
      <c r="N331" s="329">
        <f t="shared" si="149"/>
        <v>787.98840072046607</v>
      </c>
    </row>
    <row r="332" spans="1:14">
      <c r="C332" s="329">
        <f>C313+C329</f>
        <v>775.65420682677745</v>
      </c>
      <c r="D332" s="329">
        <f t="shared" ref="D332:N332" si="150">D313+D329</f>
        <v>844.58048482276604</v>
      </c>
      <c r="E332" s="329">
        <f t="shared" si="150"/>
        <v>867.0892868396993</v>
      </c>
      <c r="F332" s="329">
        <f t="shared" si="150"/>
        <v>869.6491609035586</v>
      </c>
      <c r="G332" s="329">
        <f t="shared" si="150"/>
        <v>859.61255847662369</v>
      </c>
      <c r="H332" s="329">
        <f t="shared" si="150"/>
        <v>856.12941752747361</v>
      </c>
      <c r="I332" s="329">
        <f t="shared" si="150"/>
        <v>860.61204165418258</v>
      </c>
      <c r="J332" s="329">
        <f t="shared" si="150"/>
        <v>858.62926053302999</v>
      </c>
      <c r="K332" s="329">
        <f t="shared" si="150"/>
        <v>819.65340700371758</v>
      </c>
      <c r="L332" s="329">
        <f t="shared" si="150"/>
        <v>803.41817740504644</v>
      </c>
      <c r="M332" s="329">
        <f t="shared" si="150"/>
        <v>789.95652782432785</v>
      </c>
      <c r="N332" s="329">
        <f t="shared" si="150"/>
        <v>787.98840072046619</v>
      </c>
    </row>
    <row r="333" spans="1:14">
      <c r="A333" s="309">
        <f>SUM(C333:L333)</f>
        <v>0</v>
      </c>
      <c r="C333" s="329">
        <f>C331-C332</f>
        <v>0</v>
      </c>
      <c r="D333" s="329">
        <f t="shared" ref="D333:K333" si="151">D331-D332</f>
        <v>0</v>
      </c>
      <c r="E333" s="329">
        <f t="shared" si="151"/>
        <v>0</v>
      </c>
      <c r="F333" s="329">
        <f t="shared" si="151"/>
        <v>0</v>
      </c>
      <c r="G333" s="329">
        <f t="shared" si="151"/>
        <v>0</v>
      </c>
      <c r="H333" s="329">
        <f t="shared" si="151"/>
        <v>0</v>
      </c>
      <c r="I333" s="329">
        <f t="shared" si="151"/>
        <v>0</v>
      </c>
      <c r="J333" s="329">
        <f t="shared" si="151"/>
        <v>0</v>
      </c>
      <c r="K333" s="329">
        <f t="shared" si="151"/>
        <v>0</v>
      </c>
      <c r="L333" s="329">
        <f>L331-L332</f>
        <v>0</v>
      </c>
      <c r="M333" s="329">
        <f>M331-M332</f>
        <v>0</v>
      </c>
      <c r="N333" s="329">
        <f>N331-N332</f>
        <v>0</v>
      </c>
    </row>
    <row r="334" spans="1:14">
      <c r="C334" s="329"/>
      <c r="D334" s="329"/>
      <c r="E334" s="329"/>
      <c r="F334" s="329"/>
      <c r="G334" s="329"/>
      <c r="H334" s="342"/>
      <c r="I334" s="329"/>
      <c r="J334" s="329"/>
      <c r="K334" s="329"/>
      <c r="L334" s="329"/>
    </row>
    <row r="335" spans="1:14" ht="15.75">
      <c r="B335" s="340" t="s">
        <v>163</v>
      </c>
      <c r="C335" s="329"/>
      <c r="D335" s="329"/>
      <c r="E335" s="329"/>
      <c r="F335" s="329"/>
      <c r="G335" s="329"/>
      <c r="H335" s="342"/>
      <c r="I335" s="329"/>
      <c r="J335" s="329"/>
      <c r="K335" s="329"/>
      <c r="L335" s="329"/>
    </row>
    <row r="336" spans="1:14" ht="15.75">
      <c r="B336" s="340"/>
      <c r="C336" s="329"/>
      <c r="D336" s="329"/>
      <c r="E336" s="329"/>
      <c r="F336" s="329"/>
      <c r="G336" s="329"/>
      <c r="H336" s="342"/>
      <c r="I336" s="329"/>
      <c r="J336" s="329"/>
      <c r="K336" s="329"/>
      <c r="L336" s="329"/>
    </row>
    <row r="337" spans="1:17">
      <c r="B337" s="341" t="s">
        <v>49</v>
      </c>
      <c r="C337" s="329"/>
      <c r="D337" s="329"/>
      <c r="E337" s="329"/>
      <c r="F337" s="329"/>
      <c r="G337" s="329"/>
      <c r="H337" s="339"/>
      <c r="I337" s="329"/>
      <c r="J337" s="329"/>
      <c r="K337" s="329"/>
      <c r="L337" s="329"/>
    </row>
    <row r="338" spans="1:17">
      <c r="C338" s="329"/>
      <c r="D338" s="329"/>
      <c r="E338" s="329"/>
      <c r="F338" s="329"/>
      <c r="G338" s="329"/>
      <c r="H338" s="339"/>
      <c r="I338" s="329"/>
      <c r="J338" s="329"/>
      <c r="K338" s="329"/>
      <c r="L338" s="329"/>
    </row>
    <row r="339" spans="1:17">
      <c r="B339" s="338" t="str">
        <f>B318</f>
        <v>Age group</v>
      </c>
      <c r="C339" s="338" t="str">
        <f t="shared" ref="C339:N339" si="152">C318</f>
        <v>2016/17</v>
      </c>
      <c r="D339" s="338" t="str">
        <f t="shared" si="152"/>
        <v>2017/18</v>
      </c>
      <c r="E339" s="338" t="str">
        <f t="shared" si="152"/>
        <v>2018/19</v>
      </c>
      <c r="F339" s="338" t="str">
        <f t="shared" si="152"/>
        <v>2019/20</v>
      </c>
      <c r="G339" s="338" t="str">
        <f t="shared" si="152"/>
        <v>2020/21</v>
      </c>
      <c r="H339" s="338" t="str">
        <f t="shared" si="152"/>
        <v>2021/22</v>
      </c>
      <c r="I339" s="338" t="str">
        <f t="shared" si="152"/>
        <v>2022/23</v>
      </c>
      <c r="J339" s="338" t="str">
        <f t="shared" si="152"/>
        <v>2023/24</v>
      </c>
      <c r="K339" s="338" t="str">
        <f t="shared" si="152"/>
        <v>2024/25</v>
      </c>
      <c r="L339" s="338" t="str">
        <f t="shared" si="152"/>
        <v>2025/26</v>
      </c>
      <c r="M339" s="338" t="str">
        <f t="shared" si="152"/>
        <v>2026/27</v>
      </c>
      <c r="N339" s="338" t="str">
        <f t="shared" si="152"/>
        <v>2027/28</v>
      </c>
    </row>
    <row r="340" spans="1:17">
      <c r="B340" s="338" t="str">
        <f t="shared" ref="B340:B350" si="153">B319</f>
        <v>20-24</v>
      </c>
      <c r="C340" s="459">
        <f t="shared" ref="C340:N340" si="154">C303+C247</f>
        <v>123.15472570127473</v>
      </c>
      <c r="D340" s="459">
        <f t="shared" si="154"/>
        <v>155.54161223031718</v>
      </c>
      <c r="E340" s="459">
        <f t="shared" si="154"/>
        <v>180.4381460002823</v>
      </c>
      <c r="F340" s="459">
        <f t="shared" si="154"/>
        <v>198.39429591951267</v>
      </c>
      <c r="G340" s="459">
        <f t="shared" si="154"/>
        <v>210.39183767540368</v>
      </c>
      <c r="H340" s="459">
        <f t="shared" si="154"/>
        <v>218.66656034139612</v>
      </c>
      <c r="I340" s="459">
        <f t="shared" si="154"/>
        <v>224.92581242346111</v>
      </c>
      <c r="J340" s="459">
        <f t="shared" si="154"/>
        <v>229.22954815951522</v>
      </c>
      <c r="K340" s="459">
        <f t="shared" si="154"/>
        <v>229.17223839265759</v>
      </c>
      <c r="L340" s="459">
        <f t="shared" si="154"/>
        <v>227.82933500279256</v>
      </c>
      <c r="M340" s="459">
        <f t="shared" si="154"/>
        <v>225.79226000813691</v>
      </c>
      <c r="N340" s="459">
        <f t="shared" si="154"/>
        <v>224.18201537478683</v>
      </c>
      <c r="O340" s="327"/>
      <c r="P340" s="327"/>
      <c r="Q340" s="327"/>
    </row>
    <row r="341" spans="1:17">
      <c r="B341" s="338" t="str">
        <f t="shared" si="153"/>
        <v>25-29</v>
      </c>
      <c r="C341" s="459">
        <f t="shared" ref="C341:N341" si="155">C304+C248</f>
        <v>296.93940905057485</v>
      </c>
      <c r="D341" s="459">
        <f t="shared" si="155"/>
        <v>310.10848191673864</v>
      </c>
      <c r="E341" s="459">
        <f t="shared" si="155"/>
        <v>327.55296627096232</v>
      </c>
      <c r="F341" s="459">
        <f t="shared" si="155"/>
        <v>345.10336995372921</v>
      </c>
      <c r="G341" s="459">
        <f t="shared" si="155"/>
        <v>360.41579697603521</v>
      </c>
      <c r="H341" s="459">
        <f t="shared" si="155"/>
        <v>373.54103596801525</v>
      </c>
      <c r="I341" s="459">
        <f t="shared" si="155"/>
        <v>385.04285410357386</v>
      </c>
      <c r="J341" s="459">
        <f t="shared" si="155"/>
        <v>394.4502208388144</v>
      </c>
      <c r="K341" s="459">
        <f t="shared" si="155"/>
        <v>398.89760487674323</v>
      </c>
      <c r="L341" s="459">
        <f t="shared" si="155"/>
        <v>400.79869769094705</v>
      </c>
      <c r="M341" s="459">
        <f t="shared" si="155"/>
        <v>400.82909800193721</v>
      </c>
      <c r="N341" s="459">
        <f t="shared" si="155"/>
        <v>400.3151051559779</v>
      </c>
      <c r="O341" s="327"/>
      <c r="P341" s="327"/>
      <c r="Q341" s="327"/>
    </row>
    <row r="342" spans="1:17">
      <c r="B342" s="338" t="str">
        <f t="shared" si="153"/>
        <v>30-34</v>
      </c>
      <c r="C342" s="459">
        <f t="shared" ref="C342:N342" si="156">C305+C249</f>
        <v>382.21277788111445</v>
      </c>
      <c r="D342" s="459">
        <f t="shared" si="156"/>
        <v>377.09400617641836</v>
      </c>
      <c r="E342" s="459">
        <f t="shared" si="156"/>
        <v>376.65072630758328</v>
      </c>
      <c r="F342" s="459">
        <f t="shared" si="156"/>
        <v>379.69441056668171</v>
      </c>
      <c r="G342" s="459">
        <f t="shared" si="156"/>
        <v>384.85458483680816</v>
      </c>
      <c r="H342" s="459">
        <f t="shared" si="156"/>
        <v>391.45224718338181</v>
      </c>
      <c r="I342" s="459">
        <f t="shared" si="156"/>
        <v>399.04581816597033</v>
      </c>
      <c r="J342" s="459">
        <f t="shared" si="156"/>
        <v>406.8157730141304</v>
      </c>
      <c r="K342" s="459">
        <f t="shared" si="156"/>
        <v>412.80251072527079</v>
      </c>
      <c r="L342" s="459">
        <f t="shared" si="156"/>
        <v>417.45800159541068</v>
      </c>
      <c r="M342" s="459">
        <f t="shared" si="156"/>
        <v>420.75183728123181</v>
      </c>
      <c r="N342" s="459">
        <f t="shared" si="156"/>
        <v>423.1468359087454</v>
      </c>
      <c r="O342" s="327"/>
      <c r="P342" s="327"/>
      <c r="Q342" s="327"/>
    </row>
    <row r="343" spans="1:17">
      <c r="B343" s="338" t="str">
        <f t="shared" si="153"/>
        <v>35-39</v>
      </c>
      <c r="C343" s="459">
        <f t="shared" ref="C343:N343" si="157">C306+C250</f>
        <v>403.57680674839003</v>
      </c>
      <c r="D343" s="459">
        <f t="shared" si="157"/>
        <v>399.01741996264167</v>
      </c>
      <c r="E343" s="459">
        <f t="shared" si="157"/>
        <v>395.30219869160726</v>
      </c>
      <c r="F343" s="459">
        <f t="shared" si="157"/>
        <v>392.50928555397661</v>
      </c>
      <c r="G343" s="459">
        <f t="shared" si="157"/>
        <v>390.69077828440373</v>
      </c>
      <c r="H343" s="459">
        <f t="shared" si="157"/>
        <v>390.1921604504297</v>
      </c>
      <c r="I343" s="459">
        <f t="shared" si="157"/>
        <v>391.18671245911122</v>
      </c>
      <c r="J343" s="459">
        <f t="shared" si="157"/>
        <v>393.2971001776088</v>
      </c>
      <c r="K343" s="459">
        <f t="shared" si="157"/>
        <v>395.1889264547824</v>
      </c>
      <c r="L343" s="459">
        <f t="shared" si="157"/>
        <v>397.25159774289</v>
      </c>
      <c r="M343" s="459">
        <f t="shared" si="157"/>
        <v>399.27443169133289</v>
      </c>
      <c r="N343" s="459">
        <f t="shared" si="157"/>
        <v>401.35027764720502</v>
      </c>
      <c r="O343" s="327"/>
      <c r="P343" s="327"/>
      <c r="Q343" s="327"/>
    </row>
    <row r="344" spans="1:17">
      <c r="B344" s="338" t="str">
        <f t="shared" si="153"/>
        <v>40-44</v>
      </c>
      <c r="C344" s="459">
        <f t="shared" ref="C344:N344" si="158">C307+C251</f>
        <v>365.95660441169576</v>
      </c>
      <c r="D344" s="459">
        <f t="shared" si="158"/>
        <v>368.72278493045712</v>
      </c>
      <c r="E344" s="459">
        <f t="shared" si="158"/>
        <v>370.50731296849085</v>
      </c>
      <c r="F344" s="459">
        <f t="shared" si="158"/>
        <v>371.20902687590859</v>
      </c>
      <c r="G344" s="459">
        <f t="shared" si="158"/>
        <v>370.95512760852739</v>
      </c>
      <c r="H344" s="459">
        <f t="shared" si="158"/>
        <v>370.33927097356207</v>
      </c>
      <c r="I344" s="459">
        <f t="shared" si="158"/>
        <v>369.90320071883298</v>
      </c>
      <c r="J344" s="459">
        <f t="shared" si="158"/>
        <v>369.71315949526252</v>
      </c>
      <c r="K344" s="459">
        <f t="shared" si="158"/>
        <v>368.96810767115028</v>
      </c>
      <c r="L344" s="459">
        <f t="shared" si="158"/>
        <v>368.350883631432</v>
      </c>
      <c r="M344" s="459">
        <f t="shared" si="158"/>
        <v>367.93134874225871</v>
      </c>
      <c r="N344" s="459">
        <f t="shared" si="158"/>
        <v>367.9451287511024</v>
      </c>
      <c r="O344" s="327"/>
      <c r="P344" s="327"/>
      <c r="Q344" s="327"/>
    </row>
    <row r="345" spans="1:17">
      <c r="B345" s="338" t="str">
        <f t="shared" si="153"/>
        <v>45-49</v>
      </c>
      <c r="C345" s="459">
        <f t="shared" ref="C345:N345" si="159">C308+C252</f>
        <v>279.09080546082356</v>
      </c>
      <c r="D345" s="459">
        <f t="shared" si="159"/>
        <v>290.23413907168595</v>
      </c>
      <c r="E345" s="459">
        <f t="shared" si="159"/>
        <v>299.41231082592935</v>
      </c>
      <c r="F345" s="459">
        <f t="shared" si="159"/>
        <v>306.55596098726352</v>
      </c>
      <c r="G345" s="459">
        <f t="shared" si="159"/>
        <v>311.74486503849522</v>
      </c>
      <c r="H345" s="459">
        <f t="shared" si="159"/>
        <v>315.45066527055815</v>
      </c>
      <c r="I345" s="459">
        <f t="shared" si="159"/>
        <v>318.1589655607757</v>
      </c>
      <c r="J345" s="459">
        <f t="shared" si="159"/>
        <v>320.0339054005662</v>
      </c>
      <c r="K345" s="459">
        <f t="shared" si="159"/>
        <v>320.58782890007336</v>
      </c>
      <c r="L345" s="459">
        <f t="shared" si="159"/>
        <v>320.52858093089668</v>
      </c>
      <c r="M345" s="459">
        <f t="shared" si="159"/>
        <v>320.09747243806015</v>
      </c>
      <c r="N345" s="459">
        <f t="shared" si="159"/>
        <v>319.66250738907286</v>
      </c>
      <c r="O345" s="327"/>
      <c r="P345" s="327"/>
      <c r="Q345" s="327"/>
    </row>
    <row r="346" spans="1:17">
      <c r="B346" s="338" t="str">
        <f t="shared" si="153"/>
        <v>50-54</v>
      </c>
      <c r="C346" s="459">
        <f t="shared" ref="C346:N346" si="160">C309+C253</f>
        <v>241.12032782728545</v>
      </c>
      <c r="D346" s="459">
        <f t="shared" si="160"/>
        <v>234.00162744294397</v>
      </c>
      <c r="E346" s="459">
        <f t="shared" si="160"/>
        <v>231.25033623998493</v>
      </c>
      <c r="F346" s="459">
        <f t="shared" si="160"/>
        <v>230.96309300489119</v>
      </c>
      <c r="G346" s="459">
        <f t="shared" si="160"/>
        <v>231.88123158227208</v>
      </c>
      <c r="H346" s="459">
        <f t="shared" si="160"/>
        <v>233.40733634880002</v>
      </c>
      <c r="I346" s="459">
        <f t="shared" si="160"/>
        <v>235.22088369505485</v>
      </c>
      <c r="J346" s="459">
        <f t="shared" si="160"/>
        <v>236.96536402742058</v>
      </c>
      <c r="K346" s="459">
        <f t="shared" si="160"/>
        <v>237.96193866572517</v>
      </c>
      <c r="L346" s="459">
        <f t="shared" si="160"/>
        <v>238.52887634058766</v>
      </c>
      <c r="M346" s="459">
        <f t="shared" si="160"/>
        <v>238.72187554200539</v>
      </c>
      <c r="N346" s="459">
        <f t="shared" si="160"/>
        <v>238.75329762964074</v>
      </c>
      <c r="O346" s="327"/>
      <c r="P346" s="327"/>
      <c r="Q346" s="327"/>
    </row>
    <row r="347" spans="1:17">
      <c r="B347" s="338" t="str">
        <f t="shared" si="153"/>
        <v>55-59</v>
      </c>
      <c r="C347" s="459">
        <f t="shared" ref="C347:N347" si="161">C310+C254</f>
        <v>139.44071664738146</v>
      </c>
      <c r="D347" s="459">
        <f t="shared" si="161"/>
        <v>126.86633910175036</v>
      </c>
      <c r="E347" s="459">
        <f t="shared" si="161"/>
        <v>118.59113212331476</v>
      </c>
      <c r="F347" s="459">
        <f t="shared" si="161"/>
        <v>113.30746133351987</v>
      </c>
      <c r="G347" s="459">
        <f t="shared" si="161"/>
        <v>110.03328288197183</v>
      </c>
      <c r="H347" s="459">
        <f t="shared" si="161"/>
        <v>108.19439272407466</v>
      </c>
      <c r="I347" s="459">
        <f t="shared" si="161"/>
        <v>107.37646726927012</v>
      </c>
      <c r="J347" s="459">
        <f t="shared" si="161"/>
        <v>107.1404369061996</v>
      </c>
      <c r="K347" s="459">
        <f t="shared" si="161"/>
        <v>106.86421637884688</v>
      </c>
      <c r="L347" s="459">
        <f t="shared" si="161"/>
        <v>106.68374428975677</v>
      </c>
      <c r="M347" s="459">
        <f t="shared" si="161"/>
        <v>106.52445557401549</v>
      </c>
      <c r="N347" s="459">
        <f t="shared" si="161"/>
        <v>106.43874398480961</v>
      </c>
      <c r="O347" s="327"/>
      <c r="P347" s="327"/>
      <c r="Q347" s="327"/>
    </row>
    <row r="348" spans="1:17">
      <c r="B348" s="338" t="str">
        <f t="shared" si="153"/>
        <v>60-64</v>
      </c>
      <c r="C348" s="459">
        <f t="shared" ref="C348:N348" si="162">C311+C255</f>
        <v>54.851135114245537</v>
      </c>
      <c r="D348" s="459">
        <f t="shared" si="162"/>
        <v>47.400550386365261</v>
      </c>
      <c r="E348" s="459">
        <f t="shared" si="162"/>
        <v>42.409039034005616</v>
      </c>
      <c r="F348" s="459">
        <f t="shared" si="162"/>
        <v>39.02084782588804</v>
      </c>
      <c r="G348" s="459">
        <f t="shared" si="162"/>
        <v>36.70275422505118</v>
      </c>
      <c r="H348" s="459">
        <f t="shared" si="162"/>
        <v>35.174596823502043</v>
      </c>
      <c r="I348" s="459">
        <f t="shared" si="162"/>
        <v>34.239279831972816</v>
      </c>
      <c r="J348" s="459">
        <f t="shared" si="162"/>
        <v>33.680419414620218</v>
      </c>
      <c r="K348" s="459">
        <f t="shared" si="162"/>
        <v>33.189553241572149</v>
      </c>
      <c r="L348" s="459">
        <f t="shared" si="162"/>
        <v>32.839349164562826</v>
      </c>
      <c r="M348" s="459">
        <f t="shared" si="162"/>
        <v>32.582182523512678</v>
      </c>
      <c r="N348" s="459">
        <f t="shared" si="162"/>
        <v>32.429367811357061</v>
      </c>
      <c r="O348" s="327"/>
      <c r="P348" s="327"/>
      <c r="Q348" s="327"/>
    </row>
    <row r="349" spans="1:17">
      <c r="B349" s="338" t="str">
        <f t="shared" si="153"/>
        <v>65 plus</v>
      </c>
      <c r="C349" s="459">
        <f t="shared" ref="C349:N349" si="163">C312+C256</f>
        <v>14.880238081576667</v>
      </c>
      <c r="D349" s="459">
        <f t="shared" si="163"/>
        <v>14.941201924941167</v>
      </c>
      <c r="E349" s="459">
        <f t="shared" si="163"/>
        <v>14.201225539548108</v>
      </c>
      <c r="F349" s="459">
        <f t="shared" si="163"/>
        <v>13.270331227874957</v>
      </c>
      <c r="G349" s="459">
        <f t="shared" si="163"/>
        <v>12.393493016029556</v>
      </c>
      <c r="H349" s="459">
        <f t="shared" si="163"/>
        <v>11.66885669077168</v>
      </c>
      <c r="I349" s="459">
        <f t="shared" si="163"/>
        <v>11.120808500611279</v>
      </c>
      <c r="J349" s="459">
        <f t="shared" si="163"/>
        <v>10.723324936609723</v>
      </c>
      <c r="K349" s="459">
        <f t="shared" si="163"/>
        <v>10.401205171880827</v>
      </c>
      <c r="L349" s="459">
        <f t="shared" si="163"/>
        <v>10.155168613777995</v>
      </c>
      <c r="M349" s="459">
        <f t="shared" si="163"/>
        <v>9.9685821374986752</v>
      </c>
      <c r="N349" s="459">
        <f t="shared" si="163"/>
        <v>9.8382329359535419</v>
      </c>
      <c r="O349" s="327"/>
      <c r="P349" s="327"/>
      <c r="Q349" s="327"/>
    </row>
    <row r="350" spans="1:17">
      <c r="B350" s="338" t="str">
        <f t="shared" si="153"/>
        <v>Total</v>
      </c>
      <c r="C350" s="459">
        <f t="shared" ref="C350:N350" si="164">SUM(C340:C349)</f>
        <v>2301.2235469243628</v>
      </c>
      <c r="D350" s="459">
        <f t="shared" si="164"/>
        <v>2323.92816314426</v>
      </c>
      <c r="E350" s="459">
        <f t="shared" si="164"/>
        <v>2356.3153940017087</v>
      </c>
      <c r="F350" s="459">
        <f t="shared" si="164"/>
        <v>2390.0280832492467</v>
      </c>
      <c r="G350" s="459">
        <f t="shared" si="164"/>
        <v>2420.0637521249978</v>
      </c>
      <c r="H350" s="459">
        <f t="shared" si="164"/>
        <v>2448.087122774491</v>
      </c>
      <c r="I350" s="459">
        <f t="shared" si="164"/>
        <v>2476.2208027286347</v>
      </c>
      <c r="J350" s="459">
        <f t="shared" si="164"/>
        <v>2502.0492523707476</v>
      </c>
      <c r="K350" s="459">
        <f t="shared" si="164"/>
        <v>2514.0341304787025</v>
      </c>
      <c r="L350" s="459">
        <f t="shared" si="164"/>
        <v>2520.4242350030545</v>
      </c>
      <c r="M350" s="459">
        <f t="shared" si="164"/>
        <v>2522.4735439399897</v>
      </c>
      <c r="N350" s="459">
        <f t="shared" si="164"/>
        <v>2524.0615125886511</v>
      </c>
      <c r="O350" s="327"/>
      <c r="P350" s="327"/>
      <c r="Q350" s="327"/>
    </row>
    <row r="351" spans="1:17">
      <c r="A351" s="309">
        <f>SUM(C351:N351)</f>
        <v>0</v>
      </c>
      <c r="C351" s="309">
        <f>SUM(C340:C349)-C350</f>
        <v>0</v>
      </c>
      <c r="D351" s="309">
        <f t="shared" ref="D351:N351" si="165">SUM(D340:D349)-D350</f>
        <v>0</v>
      </c>
      <c r="E351" s="309">
        <f t="shared" si="165"/>
        <v>0</v>
      </c>
      <c r="F351" s="309">
        <f t="shared" si="165"/>
        <v>0</v>
      </c>
      <c r="G351" s="309">
        <f t="shared" si="165"/>
        <v>0</v>
      </c>
      <c r="H351" s="309">
        <f t="shared" si="165"/>
        <v>0</v>
      </c>
      <c r="I351" s="309">
        <f t="shared" si="165"/>
        <v>0</v>
      </c>
      <c r="J351" s="309">
        <f t="shared" si="165"/>
        <v>0</v>
      </c>
      <c r="K351" s="309">
        <f t="shared" si="165"/>
        <v>0</v>
      </c>
      <c r="L351" s="309">
        <f t="shared" si="165"/>
        <v>0</v>
      </c>
      <c r="M351" s="309">
        <f t="shared" si="165"/>
        <v>0</v>
      </c>
      <c r="N351" s="309">
        <f t="shared" si="165"/>
        <v>0</v>
      </c>
    </row>
    <row r="353" spans="1:15">
      <c r="B353" s="341" t="s">
        <v>50</v>
      </c>
      <c r="C353" s="329"/>
      <c r="D353" s="329"/>
      <c r="E353" s="329"/>
      <c r="F353" s="329"/>
      <c r="G353" s="329"/>
      <c r="H353" s="339"/>
      <c r="I353" s="329"/>
      <c r="J353" s="329"/>
      <c r="K353" s="329"/>
      <c r="L353" s="329"/>
    </row>
    <row r="354" spans="1:15">
      <c r="C354" s="329"/>
      <c r="D354" s="329"/>
      <c r="E354" s="329"/>
      <c r="F354" s="329"/>
      <c r="G354" s="329"/>
      <c r="H354" s="339"/>
      <c r="I354" s="329"/>
      <c r="J354" s="329"/>
      <c r="K354" s="329"/>
      <c r="L354" s="329"/>
    </row>
    <row r="355" spans="1:15">
      <c r="B355" s="338" t="str">
        <f t="shared" ref="B355:B366" si="166">B339</f>
        <v>Age group</v>
      </c>
      <c r="C355" s="338" t="str">
        <f t="shared" ref="C355:N355" si="167">C339</f>
        <v>2016/17</v>
      </c>
      <c r="D355" s="338" t="str">
        <f t="shared" si="167"/>
        <v>2017/18</v>
      </c>
      <c r="E355" s="338" t="str">
        <f t="shared" si="167"/>
        <v>2018/19</v>
      </c>
      <c r="F355" s="338" t="str">
        <f t="shared" si="167"/>
        <v>2019/20</v>
      </c>
      <c r="G355" s="338" t="str">
        <f t="shared" si="167"/>
        <v>2020/21</v>
      </c>
      <c r="H355" s="338" t="str">
        <f t="shared" si="167"/>
        <v>2021/22</v>
      </c>
      <c r="I355" s="338" t="str">
        <f t="shared" si="167"/>
        <v>2022/23</v>
      </c>
      <c r="J355" s="338" t="str">
        <f t="shared" si="167"/>
        <v>2023/24</v>
      </c>
      <c r="K355" s="338" t="str">
        <f t="shared" si="167"/>
        <v>2024/25</v>
      </c>
      <c r="L355" s="338" t="str">
        <f t="shared" si="167"/>
        <v>2025/26</v>
      </c>
      <c r="M355" s="338" t="str">
        <f t="shared" si="167"/>
        <v>2026/27</v>
      </c>
      <c r="N355" s="338" t="str">
        <f t="shared" si="167"/>
        <v>2027/28</v>
      </c>
    </row>
    <row r="356" spans="1:15">
      <c r="B356" s="338" t="str">
        <f t="shared" si="166"/>
        <v>20-24</v>
      </c>
      <c r="C356" s="459">
        <f t="shared" ref="C356:N356" si="168">C319+C263</f>
        <v>354.16122965940622</v>
      </c>
      <c r="D356" s="459">
        <f t="shared" si="168"/>
        <v>402.85866631492502</v>
      </c>
      <c r="E356" s="459">
        <f t="shared" si="168"/>
        <v>441.60213886855462</v>
      </c>
      <c r="F356" s="459">
        <f t="shared" si="168"/>
        <v>469.69674930703138</v>
      </c>
      <c r="G356" s="459">
        <f t="shared" si="168"/>
        <v>487.95433917530806</v>
      </c>
      <c r="H356" s="459">
        <f t="shared" si="168"/>
        <v>500.35974199259198</v>
      </c>
      <c r="I356" s="459">
        <f t="shared" si="168"/>
        <v>510.00688106204552</v>
      </c>
      <c r="J356" s="459">
        <f t="shared" si="168"/>
        <v>516.53646852824386</v>
      </c>
      <c r="K356" s="459">
        <f t="shared" si="168"/>
        <v>514.26307735911189</v>
      </c>
      <c r="L356" s="459">
        <f t="shared" si="168"/>
        <v>509.75394197982848</v>
      </c>
      <c r="M356" s="459">
        <f t="shared" si="168"/>
        <v>504.14310045540191</v>
      </c>
      <c r="N356" s="459">
        <f t="shared" si="168"/>
        <v>499.79034400752158</v>
      </c>
      <c r="O356" s="327"/>
    </row>
    <row r="357" spans="1:15">
      <c r="B357" s="338" t="str">
        <f t="shared" si="166"/>
        <v>25-29</v>
      </c>
      <c r="C357" s="459">
        <f t="shared" ref="C357:N357" si="169">C320+C264</f>
        <v>932.99449857808054</v>
      </c>
      <c r="D357" s="459">
        <f t="shared" si="169"/>
        <v>897.51766973601309</v>
      </c>
      <c r="E357" s="459">
        <f t="shared" si="169"/>
        <v>884.72593642162269</v>
      </c>
      <c r="F357" s="459">
        <f t="shared" si="169"/>
        <v>882.94004512575623</v>
      </c>
      <c r="G357" s="459">
        <f t="shared" si="169"/>
        <v>884.9000389286017</v>
      </c>
      <c r="H357" s="459">
        <f t="shared" si="169"/>
        <v>888.99993791330348</v>
      </c>
      <c r="I357" s="459">
        <f t="shared" si="169"/>
        <v>895.05640486594211</v>
      </c>
      <c r="J357" s="459">
        <f t="shared" si="169"/>
        <v>900.84453951587216</v>
      </c>
      <c r="K357" s="459">
        <f t="shared" si="169"/>
        <v>899.06895953130561</v>
      </c>
      <c r="L357" s="459">
        <f t="shared" si="169"/>
        <v>894.3805247651668</v>
      </c>
      <c r="M357" s="459">
        <f t="shared" si="169"/>
        <v>887.67962713682232</v>
      </c>
      <c r="N357" s="459">
        <f t="shared" si="169"/>
        <v>881.42991656180118</v>
      </c>
      <c r="O357" s="327"/>
    </row>
    <row r="358" spans="1:15">
      <c r="B358" s="338" t="str">
        <f t="shared" si="166"/>
        <v>30-34</v>
      </c>
      <c r="C358" s="459">
        <f t="shared" ref="C358:N358" si="170">C321+C265</f>
        <v>923.57449727897676</v>
      </c>
      <c r="D358" s="459">
        <f t="shared" si="170"/>
        <v>922.06418856858147</v>
      </c>
      <c r="E358" s="459">
        <f t="shared" si="170"/>
        <v>916.53744975681809</v>
      </c>
      <c r="F358" s="459">
        <f t="shared" si="170"/>
        <v>910.39843877492933</v>
      </c>
      <c r="G358" s="459">
        <f t="shared" si="170"/>
        <v>904.67208754053956</v>
      </c>
      <c r="H358" s="459">
        <f t="shared" si="170"/>
        <v>900.52939204693951</v>
      </c>
      <c r="I358" s="459">
        <f t="shared" si="170"/>
        <v>898.66133190096696</v>
      </c>
      <c r="J358" s="459">
        <f t="shared" si="170"/>
        <v>898.22180924870986</v>
      </c>
      <c r="K358" s="459">
        <f t="shared" si="170"/>
        <v>895.39986998281199</v>
      </c>
      <c r="L358" s="459">
        <f t="shared" si="170"/>
        <v>891.53242944205999</v>
      </c>
      <c r="M358" s="459">
        <f t="shared" si="170"/>
        <v>886.62261169505268</v>
      </c>
      <c r="N358" s="459">
        <f t="shared" si="170"/>
        <v>881.63310053325188</v>
      </c>
      <c r="O358" s="327"/>
    </row>
    <row r="359" spans="1:15">
      <c r="B359" s="338" t="str">
        <f t="shared" si="166"/>
        <v>35-39</v>
      </c>
      <c r="C359" s="459">
        <f t="shared" ref="C359:N359" si="171">C322+C266</f>
        <v>830.63068254745281</v>
      </c>
      <c r="D359" s="459">
        <f t="shared" si="171"/>
        <v>836.22805384464027</v>
      </c>
      <c r="E359" s="459">
        <f t="shared" si="171"/>
        <v>841.53728104759284</v>
      </c>
      <c r="F359" s="459">
        <f t="shared" si="171"/>
        <v>844.59439564713261</v>
      </c>
      <c r="G359" s="459">
        <f t="shared" si="171"/>
        <v>845.06000223692263</v>
      </c>
      <c r="H359" s="459">
        <f t="shared" si="171"/>
        <v>844.12197832466256</v>
      </c>
      <c r="I359" s="459">
        <f t="shared" si="171"/>
        <v>842.96198525300895</v>
      </c>
      <c r="J359" s="459">
        <f t="shared" si="171"/>
        <v>841.63539672580919</v>
      </c>
      <c r="K359" s="459">
        <f t="shared" si="171"/>
        <v>838.03610905482481</v>
      </c>
      <c r="L359" s="459">
        <f t="shared" si="171"/>
        <v>833.80941503544511</v>
      </c>
      <c r="M359" s="459">
        <f t="shared" si="171"/>
        <v>829.1096065095951</v>
      </c>
      <c r="N359" s="459">
        <f t="shared" si="171"/>
        <v>824.61956327781797</v>
      </c>
      <c r="O359" s="327"/>
    </row>
    <row r="360" spans="1:15">
      <c r="B360" s="338" t="str">
        <f t="shared" si="166"/>
        <v>40-44</v>
      </c>
      <c r="C360" s="459">
        <f t="shared" ref="C360:N360" si="172">C323+C267</f>
        <v>722.39120639372595</v>
      </c>
      <c r="D360" s="459">
        <f t="shared" si="172"/>
        <v>734.62646225199569</v>
      </c>
      <c r="E360" s="459">
        <f t="shared" si="172"/>
        <v>745.9700594777006</v>
      </c>
      <c r="F360" s="459">
        <f t="shared" si="172"/>
        <v>755.47153988534171</v>
      </c>
      <c r="G360" s="459">
        <f t="shared" si="172"/>
        <v>762.48317627061465</v>
      </c>
      <c r="H360" s="459">
        <f t="shared" si="172"/>
        <v>767.5492513140689</v>
      </c>
      <c r="I360" s="459">
        <f t="shared" si="172"/>
        <v>771.37099532837669</v>
      </c>
      <c r="J360" s="459">
        <f t="shared" si="172"/>
        <v>773.86653227891952</v>
      </c>
      <c r="K360" s="459">
        <f t="shared" si="172"/>
        <v>773.25561904534254</v>
      </c>
      <c r="L360" s="459">
        <f t="shared" si="172"/>
        <v>771.22001392472112</v>
      </c>
      <c r="M360" s="459">
        <f t="shared" si="172"/>
        <v>768.17374920385544</v>
      </c>
      <c r="N360" s="459">
        <f t="shared" si="172"/>
        <v>764.94519654988721</v>
      </c>
      <c r="O360" s="327"/>
    </row>
    <row r="361" spans="1:15">
      <c r="B361" s="338" t="str">
        <f t="shared" si="166"/>
        <v>45-49</v>
      </c>
      <c r="C361" s="459">
        <f t="shared" ref="C361:N361" si="173">C324+C268</f>
        <v>487.1631775429272</v>
      </c>
      <c r="D361" s="459">
        <f t="shared" si="173"/>
        <v>529.03585328277813</v>
      </c>
      <c r="E361" s="459">
        <f t="shared" si="173"/>
        <v>563.08529874318185</v>
      </c>
      <c r="F361" s="459">
        <f t="shared" si="173"/>
        <v>590.31948079660492</v>
      </c>
      <c r="G361" s="459">
        <f t="shared" si="173"/>
        <v>611.63633512259742</v>
      </c>
      <c r="H361" s="459">
        <f t="shared" si="173"/>
        <v>628.44055229556864</v>
      </c>
      <c r="I361" s="459">
        <f t="shared" si="173"/>
        <v>641.92861459796666</v>
      </c>
      <c r="J361" s="459">
        <f t="shared" si="173"/>
        <v>652.45831107373249</v>
      </c>
      <c r="K361" s="459">
        <f t="shared" si="173"/>
        <v>658.90099799725886</v>
      </c>
      <c r="L361" s="459">
        <f t="shared" si="173"/>
        <v>662.79335571852016</v>
      </c>
      <c r="M361" s="459">
        <f t="shared" si="173"/>
        <v>664.67387748092665</v>
      </c>
      <c r="N361" s="459">
        <f t="shared" si="173"/>
        <v>665.40780017851785</v>
      </c>
      <c r="O361" s="327"/>
    </row>
    <row r="362" spans="1:15">
      <c r="B362" s="338" t="str">
        <f t="shared" si="166"/>
        <v>50-54</v>
      </c>
      <c r="C362" s="459">
        <f t="shared" ref="C362:N362" si="174">C325+C269</f>
        <v>419.326579849231</v>
      </c>
      <c r="D362" s="459">
        <f t="shared" si="174"/>
        <v>412.08546003166992</v>
      </c>
      <c r="E362" s="459">
        <f t="shared" si="174"/>
        <v>415.11937969305694</v>
      </c>
      <c r="F362" s="459">
        <f t="shared" si="174"/>
        <v>423.40234011602246</v>
      </c>
      <c r="G362" s="459">
        <f t="shared" si="174"/>
        <v>433.78707216349284</v>
      </c>
      <c r="H362" s="459">
        <f t="shared" si="174"/>
        <v>444.82996061288031</v>
      </c>
      <c r="I362" s="459">
        <f t="shared" si="174"/>
        <v>455.80189910545528</v>
      </c>
      <c r="J362" s="459">
        <f t="shared" si="174"/>
        <v>465.92151053112411</v>
      </c>
      <c r="K362" s="459">
        <f t="shared" si="174"/>
        <v>473.69042317795777</v>
      </c>
      <c r="L362" s="459">
        <f t="shared" si="174"/>
        <v>479.81488367541658</v>
      </c>
      <c r="M362" s="459">
        <f t="shared" si="174"/>
        <v>484.41046664090567</v>
      </c>
      <c r="N362" s="459">
        <f t="shared" si="174"/>
        <v>487.94248470723306</v>
      </c>
      <c r="O362" s="327"/>
    </row>
    <row r="363" spans="1:15">
      <c r="B363" s="338" t="str">
        <f t="shared" si="166"/>
        <v>55-59</v>
      </c>
      <c r="C363" s="459">
        <f t="shared" ref="C363:N363" si="175">C326+C270</f>
        <v>294.89315490988463</v>
      </c>
      <c r="D363" s="459">
        <f t="shared" si="175"/>
        <v>258.26798644990521</v>
      </c>
      <c r="E363" s="459">
        <f t="shared" si="175"/>
        <v>235.7637502614285</v>
      </c>
      <c r="F363" s="459">
        <f t="shared" si="175"/>
        <v>222.80292710124266</v>
      </c>
      <c r="G363" s="459">
        <f t="shared" si="175"/>
        <v>216.05805381228276</v>
      </c>
      <c r="H363" s="459">
        <f t="shared" si="175"/>
        <v>213.49616957111581</v>
      </c>
      <c r="I363" s="459">
        <f t="shared" si="175"/>
        <v>213.71588256877615</v>
      </c>
      <c r="J363" s="459">
        <f t="shared" si="175"/>
        <v>215.44499944350144</v>
      </c>
      <c r="K363" s="459">
        <f t="shared" si="175"/>
        <v>217.11933326676328</v>
      </c>
      <c r="L363" s="459">
        <f t="shared" si="175"/>
        <v>218.91979229491949</v>
      </c>
      <c r="M363" s="459">
        <f t="shared" si="175"/>
        <v>220.61193321300865</v>
      </c>
      <c r="N363" s="459">
        <f t="shared" si="175"/>
        <v>222.26854564614365</v>
      </c>
      <c r="O363" s="327"/>
    </row>
    <row r="364" spans="1:15">
      <c r="B364" s="338" t="str">
        <f t="shared" si="166"/>
        <v>60-64</v>
      </c>
      <c r="C364" s="459">
        <f t="shared" ref="C364:N364" si="176">C327+C271</f>
        <v>91.822213052257851</v>
      </c>
      <c r="D364" s="459">
        <f t="shared" si="176"/>
        <v>85.226055568414225</v>
      </c>
      <c r="E364" s="459">
        <f t="shared" si="176"/>
        <v>78.247459209098849</v>
      </c>
      <c r="F364" s="459">
        <f t="shared" si="176"/>
        <v>72.493509177766214</v>
      </c>
      <c r="G364" s="459">
        <f t="shared" si="176"/>
        <v>68.257298599501027</v>
      </c>
      <c r="H364" s="459">
        <f t="shared" si="176"/>
        <v>65.502224979573924</v>
      </c>
      <c r="I364" s="459">
        <f t="shared" si="176"/>
        <v>63.993882091068734</v>
      </c>
      <c r="J364" s="459">
        <f t="shared" si="176"/>
        <v>63.305361642151411</v>
      </c>
      <c r="K364" s="459">
        <f t="shared" si="176"/>
        <v>62.759290665005921</v>
      </c>
      <c r="L364" s="459">
        <f t="shared" si="176"/>
        <v>62.522307890072284</v>
      </c>
      <c r="M364" s="459">
        <f t="shared" si="176"/>
        <v>62.472071023590772</v>
      </c>
      <c r="N364" s="459">
        <f t="shared" si="176"/>
        <v>62.621444788453609</v>
      </c>
      <c r="O364" s="327"/>
    </row>
    <row r="365" spans="1:15">
      <c r="B365" s="338" t="str">
        <f t="shared" si="166"/>
        <v>65 plus</v>
      </c>
      <c r="C365" s="459">
        <f t="shared" ref="C365:N365" si="177">C328+C272</f>
        <v>19.081075394434187</v>
      </c>
      <c r="D365" s="459">
        <f t="shared" si="177"/>
        <v>20.943866430885201</v>
      </c>
      <c r="E365" s="459">
        <f t="shared" si="177"/>
        <v>21.27614945371068</v>
      </c>
      <c r="F365" s="459">
        <f t="shared" si="177"/>
        <v>20.754553338137637</v>
      </c>
      <c r="G365" s="459">
        <f t="shared" si="177"/>
        <v>19.895500999209368</v>
      </c>
      <c r="H365" s="459">
        <f t="shared" si="177"/>
        <v>19.037663584022223</v>
      </c>
      <c r="I365" s="459">
        <f t="shared" si="177"/>
        <v>18.349656495855534</v>
      </c>
      <c r="J365" s="459">
        <f t="shared" si="177"/>
        <v>17.852201669589341</v>
      </c>
      <c r="K365" s="459">
        <f t="shared" si="177"/>
        <v>17.428974266700745</v>
      </c>
      <c r="L365" s="459">
        <f t="shared" si="177"/>
        <v>17.11951780883987</v>
      </c>
      <c r="M365" s="459">
        <f t="shared" si="177"/>
        <v>16.904998142749712</v>
      </c>
      <c r="N365" s="459">
        <f t="shared" si="177"/>
        <v>16.787934266054975</v>
      </c>
      <c r="O365" s="327"/>
    </row>
    <row r="366" spans="1:15">
      <c r="B366" s="338" t="str">
        <f t="shared" si="166"/>
        <v>Total</v>
      </c>
      <c r="C366" s="459">
        <f t="shared" ref="C366:K366" si="178">SUM(C356:C365)</f>
        <v>5076.0383152063769</v>
      </c>
      <c r="D366" s="459">
        <f t="shared" si="178"/>
        <v>5098.8542624798083</v>
      </c>
      <c r="E366" s="459">
        <f t="shared" si="178"/>
        <v>5143.8649029327653</v>
      </c>
      <c r="F366" s="459">
        <f t="shared" si="178"/>
        <v>5192.8739792699653</v>
      </c>
      <c r="G366" s="459">
        <f t="shared" si="178"/>
        <v>5234.7039048490706</v>
      </c>
      <c r="H366" s="459">
        <f t="shared" si="178"/>
        <v>5272.8668726347269</v>
      </c>
      <c r="I366" s="459">
        <f t="shared" si="178"/>
        <v>5311.8475332694634</v>
      </c>
      <c r="J366" s="459">
        <f t="shared" si="178"/>
        <v>5346.0871306576537</v>
      </c>
      <c r="K366" s="459">
        <f t="shared" si="178"/>
        <v>5349.9226543470841</v>
      </c>
      <c r="L366" s="459">
        <f>L329+L273</f>
        <v>5341.8661825349891</v>
      </c>
      <c r="M366" s="459">
        <f>M329+M273</f>
        <v>5324.8020415019082</v>
      </c>
      <c r="N366" s="459">
        <f>N329+N273</f>
        <v>5307.4463305166819</v>
      </c>
      <c r="O366" s="327"/>
    </row>
    <row r="367" spans="1:15">
      <c r="A367" s="309">
        <f>SUM(C367:N367)</f>
        <v>0</v>
      </c>
      <c r="C367" s="309">
        <f>SUM(C356:C365)-C366</f>
        <v>0</v>
      </c>
      <c r="D367" s="309">
        <f t="shared" ref="D367:N367" si="179">SUM(D356:D365)-D366</f>
        <v>0</v>
      </c>
      <c r="E367" s="309">
        <f t="shared" si="179"/>
        <v>0</v>
      </c>
      <c r="F367" s="309">
        <f t="shared" si="179"/>
        <v>0</v>
      </c>
      <c r="G367" s="309">
        <f t="shared" si="179"/>
        <v>0</v>
      </c>
      <c r="H367" s="309">
        <f t="shared" si="179"/>
        <v>0</v>
      </c>
      <c r="I367" s="309">
        <f t="shared" si="179"/>
        <v>0</v>
      </c>
      <c r="J367" s="309">
        <f t="shared" si="179"/>
        <v>0</v>
      </c>
      <c r="K367" s="309">
        <f t="shared" si="179"/>
        <v>0</v>
      </c>
      <c r="L367" s="309">
        <f t="shared" si="179"/>
        <v>0</v>
      </c>
      <c r="M367" s="309">
        <f t="shared" si="179"/>
        <v>0</v>
      </c>
      <c r="N367" s="309">
        <f t="shared" si="179"/>
        <v>0</v>
      </c>
    </row>
    <row r="368" spans="1:15">
      <c r="C368" s="329">
        <f>C350+C366</f>
        <v>7377.2618621307392</v>
      </c>
      <c r="D368" s="329">
        <f t="shared" ref="D368:N368" si="180">D350+D366</f>
        <v>7422.7824256240683</v>
      </c>
      <c r="E368" s="329">
        <f t="shared" si="180"/>
        <v>7500.1802969344735</v>
      </c>
      <c r="F368" s="329">
        <f t="shared" si="180"/>
        <v>7582.9020625192115</v>
      </c>
      <c r="G368" s="329">
        <f t="shared" si="180"/>
        <v>7654.7676569740688</v>
      </c>
      <c r="H368" s="329">
        <f t="shared" si="180"/>
        <v>7720.9539954092179</v>
      </c>
      <c r="I368" s="329">
        <f t="shared" si="180"/>
        <v>7788.0683359980976</v>
      </c>
      <c r="J368" s="329">
        <f t="shared" si="180"/>
        <v>7848.1363830284008</v>
      </c>
      <c r="K368" s="329">
        <f t="shared" si="180"/>
        <v>7863.9567848257866</v>
      </c>
      <c r="L368" s="329">
        <f t="shared" si="180"/>
        <v>7862.2904175380436</v>
      </c>
      <c r="M368" s="329">
        <f t="shared" si="180"/>
        <v>7847.2755854418974</v>
      </c>
      <c r="N368" s="329">
        <f t="shared" si="180"/>
        <v>7831.5078431053334</v>
      </c>
    </row>
    <row r="369" spans="1:14">
      <c r="C369" s="329">
        <f t="shared" ref="C369:N369" si="181">C36</f>
        <v>7377.2618621307392</v>
      </c>
      <c r="D369" s="329">
        <f t="shared" si="181"/>
        <v>7422.7824256240674</v>
      </c>
      <c r="E369" s="329">
        <f t="shared" si="181"/>
        <v>7500.1802969344735</v>
      </c>
      <c r="F369" s="329">
        <f t="shared" si="181"/>
        <v>7582.9020625192106</v>
      </c>
      <c r="G369" s="329">
        <f t="shared" si="181"/>
        <v>7654.767656974067</v>
      </c>
      <c r="H369" s="329">
        <f t="shared" si="181"/>
        <v>7720.9539954092179</v>
      </c>
      <c r="I369" s="329">
        <f t="shared" si="181"/>
        <v>7788.0683359980958</v>
      </c>
      <c r="J369" s="329">
        <f t="shared" si="181"/>
        <v>7848.1363830283999</v>
      </c>
      <c r="K369" s="329">
        <f t="shared" si="181"/>
        <v>7863.9567848257848</v>
      </c>
      <c r="L369" s="329">
        <f t="shared" si="181"/>
        <v>7862.2904175380427</v>
      </c>
      <c r="M369" s="329">
        <f t="shared" si="181"/>
        <v>7847.2755854418974</v>
      </c>
      <c r="N369" s="329">
        <f t="shared" si="181"/>
        <v>7831.5078431053325</v>
      </c>
    </row>
    <row r="370" spans="1:14">
      <c r="A370" s="309">
        <f>SUM(C370:L370)</f>
        <v>0</v>
      </c>
      <c r="C370" s="329">
        <f>C368-C369</f>
        <v>0</v>
      </c>
      <c r="D370" s="329">
        <f t="shared" ref="D370:N370" si="182">D368-D369</f>
        <v>0</v>
      </c>
      <c r="E370" s="329">
        <f t="shared" si="182"/>
        <v>0</v>
      </c>
      <c r="F370" s="329">
        <f t="shared" si="182"/>
        <v>0</v>
      </c>
      <c r="G370" s="329">
        <f t="shared" si="182"/>
        <v>0</v>
      </c>
      <c r="H370" s="329">
        <f t="shared" si="182"/>
        <v>0</v>
      </c>
      <c r="I370" s="329">
        <f t="shared" si="182"/>
        <v>0</v>
      </c>
      <c r="J370" s="329">
        <f t="shared" si="182"/>
        <v>0</v>
      </c>
      <c r="K370" s="329">
        <f t="shared" si="182"/>
        <v>0</v>
      </c>
      <c r="L370" s="329">
        <f t="shared" si="182"/>
        <v>0</v>
      </c>
      <c r="M370" s="329">
        <f t="shared" si="182"/>
        <v>0</v>
      </c>
      <c r="N370" s="329">
        <f t="shared" si="182"/>
        <v>0</v>
      </c>
    </row>
    <row r="371" spans="1:14">
      <c r="A371" s="309">
        <f>SUM(C371:L371)</f>
        <v>0</v>
      </c>
      <c r="C371" s="329">
        <f>IF(C294&gt;0,0,C294)</f>
        <v>0</v>
      </c>
      <c r="D371" s="329">
        <f t="shared" ref="D371:N371" si="183">IF(D294&gt;0,0,D294)</f>
        <v>0</v>
      </c>
      <c r="E371" s="329">
        <f t="shared" si="183"/>
        <v>0</v>
      </c>
      <c r="F371" s="329">
        <f t="shared" si="183"/>
        <v>0</v>
      </c>
      <c r="G371" s="329">
        <f t="shared" si="183"/>
        <v>0</v>
      </c>
      <c r="H371" s="329">
        <f t="shared" si="183"/>
        <v>0</v>
      </c>
      <c r="I371" s="329">
        <f t="shared" si="183"/>
        <v>0</v>
      </c>
      <c r="J371" s="329">
        <f t="shared" si="183"/>
        <v>0</v>
      </c>
      <c r="K371" s="329">
        <f t="shared" si="183"/>
        <v>0</v>
      </c>
      <c r="L371" s="329">
        <f t="shared" si="183"/>
        <v>0</v>
      </c>
      <c r="M371" s="329">
        <f t="shared" si="183"/>
        <v>0</v>
      </c>
      <c r="N371" s="329">
        <f t="shared" si="183"/>
        <v>0</v>
      </c>
    </row>
  </sheetData>
  <mergeCells count="3">
    <mergeCell ref="B19:B20"/>
    <mergeCell ref="C19:D19"/>
    <mergeCell ref="B295:N29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P87"/>
  <sheetViews>
    <sheetView showGridLines="0" workbookViewId="0"/>
  </sheetViews>
  <sheetFormatPr defaultColWidth="9.140625" defaultRowHeight="12.75"/>
  <cols>
    <col min="1" max="1" width="9.140625" style="309"/>
    <col min="2" max="2" width="31.7109375" style="309" customWidth="1"/>
    <col min="3" max="3" width="11.7109375" style="309" customWidth="1"/>
    <col min="4" max="14" width="10.7109375" style="309" customWidth="1"/>
    <col min="15" max="15" width="11.140625" style="309" bestFit="1" customWidth="1"/>
    <col min="16" max="16384" width="9.140625" style="309"/>
  </cols>
  <sheetData>
    <row r="1" spans="1:16" s="344" customFormat="1" ht="15">
      <c r="A1" s="343" t="str">
        <f>ModelBanner</f>
        <v>TSM_201718 for publication</v>
      </c>
    </row>
    <row r="2" spans="1:16" s="344" customFormat="1" ht="15">
      <c r="A2" s="1003" t="s">
        <v>13</v>
      </c>
      <c r="B2" s="1003" t="s">
        <v>30</v>
      </c>
    </row>
    <row r="3" spans="1:16" s="344" customFormat="1" ht="15">
      <c r="A3" s="345"/>
    </row>
    <row r="4" spans="1:16" s="348" customFormat="1">
      <c r="A4" s="346" t="s">
        <v>26</v>
      </c>
      <c r="B4" s="346"/>
      <c r="C4" s="346"/>
      <c r="D4" s="346"/>
      <c r="E4" s="347"/>
      <c r="F4" s="346"/>
      <c r="G4" s="346"/>
      <c r="H4" s="346"/>
      <c r="I4" s="346"/>
      <c r="J4" s="346"/>
      <c r="K4" s="346"/>
      <c r="L4" s="346"/>
    </row>
    <row r="5" spans="1:16" s="350" customFormat="1" ht="13.15" customHeight="1">
      <c r="A5" s="706" t="s">
        <v>1564</v>
      </c>
      <c r="B5" s="706"/>
      <c r="C5" s="706"/>
      <c r="D5" s="706"/>
      <c r="E5" s="706"/>
      <c r="F5" s="706"/>
      <c r="G5" s="706"/>
      <c r="H5" s="706"/>
      <c r="I5" s="706"/>
      <c r="J5" s="706"/>
      <c r="K5" s="706"/>
      <c r="L5" s="706"/>
      <c r="M5" s="349"/>
      <c r="N5" s="349"/>
      <c r="O5" s="349"/>
      <c r="P5" s="349"/>
    </row>
    <row r="6" spans="1:16" s="354" customFormat="1" ht="13.5" customHeight="1">
      <c r="A6" s="351" t="s">
        <v>1420</v>
      </c>
      <c r="B6" s="352"/>
      <c r="C6" s="352"/>
      <c r="D6" s="352"/>
      <c r="E6" s="347"/>
      <c r="F6" s="352"/>
      <c r="G6" s="352"/>
      <c r="H6" s="352"/>
      <c r="I6" s="352"/>
      <c r="J6" s="352"/>
      <c r="K6" s="352"/>
      <c r="L6" s="352"/>
      <c r="M6" s="353"/>
      <c r="N6" s="353"/>
      <c r="O6" s="353"/>
      <c r="P6" s="353"/>
    </row>
    <row r="7" spans="1:16" s="354" customFormat="1" ht="12" customHeight="1">
      <c r="A7" s="355" t="s">
        <v>348</v>
      </c>
      <c r="B7" s="351"/>
      <c r="C7" s="352"/>
      <c r="D7" s="352"/>
      <c r="E7" s="347"/>
      <c r="F7" s="352"/>
      <c r="G7" s="352"/>
      <c r="H7" s="352"/>
      <c r="I7" s="352"/>
      <c r="J7" s="352"/>
      <c r="K7" s="352"/>
      <c r="L7" s="352"/>
      <c r="M7" s="353"/>
      <c r="N7" s="353"/>
      <c r="O7" s="353"/>
      <c r="P7" s="353"/>
    </row>
    <row r="8" spans="1:16" s="354" customFormat="1" ht="15.75" customHeight="1">
      <c r="A8" s="351" t="s">
        <v>24</v>
      </c>
      <c r="B8" s="352"/>
      <c r="C8" s="352"/>
      <c r="D8" s="352"/>
      <c r="E8" s="347"/>
      <c r="F8" s="352"/>
      <c r="G8" s="352"/>
      <c r="H8" s="352"/>
      <c r="I8" s="352"/>
      <c r="J8" s="352"/>
      <c r="K8" s="352"/>
      <c r="L8" s="352"/>
      <c r="M8" s="353"/>
      <c r="N8" s="353"/>
      <c r="O8" s="353"/>
      <c r="P8" s="353"/>
    </row>
    <row r="9" spans="1:16" s="354" customFormat="1" ht="15.75" customHeight="1">
      <c r="A9" s="355" t="s">
        <v>119</v>
      </c>
      <c r="B9" s="352"/>
      <c r="C9" s="352"/>
      <c r="D9" s="352"/>
      <c r="E9" s="347"/>
      <c r="F9" s="352"/>
      <c r="G9" s="352"/>
      <c r="H9" s="352"/>
      <c r="I9" s="352"/>
      <c r="J9" s="352"/>
      <c r="K9" s="352"/>
      <c r="L9" s="352"/>
      <c r="M9" s="353"/>
      <c r="N9" s="353"/>
      <c r="O9" s="353"/>
      <c r="P9" s="353"/>
    </row>
    <row r="10" spans="1:16" s="362" customFormat="1" ht="13.5" customHeight="1">
      <c r="A10" s="356">
        <f>SUM(A64:A2174)</f>
        <v>0</v>
      </c>
      <c r="B10" s="357"/>
      <c r="C10" s="358"/>
      <c r="D10" s="359"/>
      <c r="E10" s="359"/>
      <c r="F10" s="359"/>
      <c r="G10" s="360"/>
      <c r="H10" s="359"/>
      <c r="I10" s="359"/>
      <c r="J10" s="360"/>
      <c r="K10" s="361"/>
      <c r="L10" s="361"/>
      <c r="M10" s="361"/>
      <c r="N10" s="361"/>
      <c r="O10" s="361"/>
      <c r="P10" s="361"/>
    </row>
    <row r="12" spans="1:16" ht="15.75">
      <c r="B12" s="369" t="s">
        <v>796</v>
      </c>
    </row>
    <row r="13" spans="1:16">
      <c r="B13" s="370"/>
    </row>
    <row r="14" spans="1:16">
      <c r="B14" s="322"/>
      <c r="C14" s="322" t="str">
        <f>'Art_&amp;_Design_1'!C293</f>
        <v>2016/17</v>
      </c>
      <c r="D14" s="322" t="str">
        <f>'Art_&amp;_Design_1'!D293</f>
        <v>2017/18</v>
      </c>
      <c r="E14" s="322" t="str">
        <f>'Art_&amp;_Design_1'!E293</f>
        <v>2018/19</v>
      </c>
      <c r="F14" s="322" t="str">
        <f>'Art_&amp;_Design_1'!F293</f>
        <v>2019/20</v>
      </c>
      <c r="G14" s="322" t="str">
        <f>'Art_&amp;_Design_1'!G293</f>
        <v>2020/21</v>
      </c>
      <c r="H14" s="322" t="str">
        <f>'Art_&amp;_Design_1'!H293</f>
        <v>2021/22</v>
      </c>
      <c r="I14" s="322" t="str">
        <f>'Art_&amp;_Design_1'!I293</f>
        <v>2022/23</v>
      </c>
      <c r="J14" s="322" t="str">
        <f>'Art_&amp;_Design_1'!J293</f>
        <v>2023/24</v>
      </c>
      <c r="K14" s="322" t="str">
        <f>'Art_&amp;_Design_1'!K293</f>
        <v>2024/25</v>
      </c>
      <c r="L14" s="322" t="str">
        <f>'Art_&amp;_Design_1'!L293</f>
        <v>2025/26</v>
      </c>
      <c r="M14" s="322" t="str">
        <f>'Art_&amp;_Design_1'!M293</f>
        <v>2026/27</v>
      </c>
      <c r="N14" s="322" t="str">
        <f>'Art_&amp;_Design_1'!N293</f>
        <v>2027/28</v>
      </c>
    </row>
    <row r="15" spans="1:16">
      <c r="B15" s="669" t="str">
        <f>Entrant_need_figures!B16</f>
        <v>Art &amp; Design</v>
      </c>
      <c r="C15" s="878">
        <f>'Art_&amp;_Design_1'!C296</f>
        <v>818.75145377217302</v>
      </c>
      <c r="D15" s="878">
        <f>'Art_&amp;_Design_1'!D296</f>
        <v>927.93654352597684</v>
      </c>
      <c r="E15" s="878">
        <f>'Art_&amp;_Design_1'!E296</f>
        <v>817.25785947076361</v>
      </c>
      <c r="F15" s="878">
        <f>'Art_&amp;_Design_1'!F296</f>
        <v>821.31614638925009</v>
      </c>
      <c r="G15" s="878">
        <f>'Art_&amp;_Design_1'!G296</f>
        <v>922.91788492748583</v>
      </c>
      <c r="H15" s="878">
        <f>'Art_&amp;_Design_1'!H296</f>
        <v>941.38089751993812</v>
      </c>
      <c r="I15" s="878">
        <f>'Art_&amp;_Design_1'!I296</f>
        <v>948.22222537427285</v>
      </c>
      <c r="J15" s="878">
        <f>'Art_&amp;_Design_1'!J296</f>
        <v>962.85061924353772</v>
      </c>
      <c r="K15" s="878">
        <f>'Art_&amp;_Design_1'!K296</f>
        <v>926.77228411941587</v>
      </c>
      <c r="L15" s="878">
        <f>'Art_&amp;_Design_1'!L296</f>
        <v>890.58828211018431</v>
      </c>
      <c r="M15" s="878">
        <f>'Art_&amp;_Design_1'!M296</f>
        <v>872.01931104115033</v>
      </c>
      <c r="N15" s="878">
        <f>'Art_&amp;_Design_1'!N296</f>
        <v>891.42260405371076</v>
      </c>
    </row>
    <row r="16" spans="1:16">
      <c r="B16" s="669" t="str">
        <f>Entrant_need_figures!B17</f>
        <v>Biology</v>
      </c>
      <c r="C16" s="878">
        <f>Biology_1!C296</f>
        <v>1914.5076796152448</v>
      </c>
      <c r="D16" s="878">
        <f>Biology_1!D296</f>
        <v>1456.0427186937031</v>
      </c>
      <c r="E16" s="878">
        <f>Biology_1!E296</f>
        <v>1531.7824866579488</v>
      </c>
      <c r="F16" s="878">
        <f>Biology_1!F296</f>
        <v>1541.0689857592392</v>
      </c>
      <c r="G16" s="878">
        <f>Biology_1!G296</f>
        <v>1523.4355793739348</v>
      </c>
      <c r="H16" s="878">
        <f>Biology_1!H296</f>
        <v>1554.0900491778327</v>
      </c>
      <c r="I16" s="878">
        <f>Biology_1!I296</f>
        <v>1597.2525539966007</v>
      </c>
      <c r="J16" s="878">
        <f>Biology_1!J296</f>
        <v>1568.3907652139583</v>
      </c>
      <c r="K16" s="878">
        <f>Biology_1!K296</f>
        <v>1525.6184113063307</v>
      </c>
      <c r="L16" s="878">
        <f>Biology_1!L296</f>
        <v>1543.0806641013999</v>
      </c>
      <c r="M16" s="878">
        <f>Biology_1!M296</f>
        <v>1534.0714545852397</v>
      </c>
      <c r="N16" s="878">
        <f>Biology_1!N296</f>
        <v>1479.2817977451632</v>
      </c>
    </row>
    <row r="17" spans="2:14">
      <c r="B17" s="669" t="str">
        <f>Entrant_need_figures!B18</f>
        <v>Business Studies</v>
      </c>
      <c r="C17" s="878">
        <f>Business_Studies_1!C296</f>
        <v>362.24872735684426</v>
      </c>
      <c r="D17" s="878">
        <f>Business_Studies_1!D296</f>
        <v>373.05911124335444</v>
      </c>
      <c r="E17" s="878">
        <f>Business_Studies_1!E296</f>
        <v>256.30935172493969</v>
      </c>
      <c r="F17" s="878">
        <f>Business_Studies_1!F296</f>
        <v>242.64341944863361</v>
      </c>
      <c r="G17" s="878">
        <f>Business_Studies_1!G296</f>
        <v>361.07790710831665</v>
      </c>
      <c r="H17" s="878">
        <f>Business_Studies_1!H296</f>
        <v>416.6983553825952</v>
      </c>
      <c r="I17" s="878">
        <f>Business_Studies_1!I296</f>
        <v>451.85055300150242</v>
      </c>
      <c r="J17" s="878">
        <f>Business_Studies_1!J296</f>
        <v>438.31222345428705</v>
      </c>
      <c r="K17" s="878">
        <f>Business_Studies_1!K296</f>
        <v>452.22124837084499</v>
      </c>
      <c r="L17" s="878">
        <f>Business_Studies_1!L296</f>
        <v>466.43200415197572</v>
      </c>
      <c r="M17" s="878">
        <f>Business_Studies_1!M296</f>
        <v>469.10526220038776</v>
      </c>
      <c r="N17" s="878">
        <f>Business_Studies_1!N296</f>
        <v>440.86073111453987</v>
      </c>
    </row>
    <row r="18" spans="2:14">
      <c r="B18" s="669" t="str">
        <f>Entrant_need_figures!B19</f>
        <v>Chemistry</v>
      </c>
      <c r="C18" s="878">
        <f>Chemistry_1!C296</f>
        <v>1643.6448981347612</v>
      </c>
      <c r="D18" s="878">
        <f>Chemistry_1!D296</f>
        <v>1300.1736948351936</v>
      </c>
      <c r="E18" s="878">
        <f>Chemistry_1!E296</f>
        <v>1369.3635969078512</v>
      </c>
      <c r="F18" s="878">
        <f>Chemistry_1!F296</f>
        <v>1370.3546697869631</v>
      </c>
      <c r="G18" s="878">
        <f>Chemistry_1!G296</f>
        <v>1350.5794286394669</v>
      </c>
      <c r="H18" s="878">
        <f>Chemistry_1!H296</f>
        <v>1375.8173502548311</v>
      </c>
      <c r="I18" s="878">
        <f>Chemistry_1!I296</f>
        <v>1411.6156893113766</v>
      </c>
      <c r="J18" s="878">
        <f>Chemistry_1!J296</f>
        <v>1375.2824750734162</v>
      </c>
      <c r="K18" s="878">
        <f>Chemistry_1!K296</f>
        <v>1334.3803130509314</v>
      </c>
      <c r="L18" s="878">
        <f>Chemistry_1!L296</f>
        <v>1353.9948822402539</v>
      </c>
      <c r="M18" s="878">
        <f>Chemistry_1!M296</f>
        <v>1344.5024695298421</v>
      </c>
      <c r="N18" s="878">
        <f>Chemistry_1!N296</f>
        <v>1283.2001953735639</v>
      </c>
    </row>
    <row r="19" spans="2:14">
      <c r="B19" s="669" t="str">
        <f>Entrant_need_figures!B20</f>
        <v>Classics</v>
      </c>
      <c r="C19" s="878">
        <f>Classics_1!C296</f>
        <v>40.462977276203873</v>
      </c>
      <c r="D19" s="878">
        <f>Classics_1!D296</f>
        <v>40.103914155770951</v>
      </c>
      <c r="E19" s="878">
        <f>Classics_1!E296</f>
        <v>38.496488980942161</v>
      </c>
      <c r="F19" s="878">
        <f>Classics_1!F296</f>
        <v>37.79443409415417</v>
      </c>
      <c r="G19" s="878">
        <f>Classics_1!G296</f>
        <v>37.320608334297425</v>
      </c>
      <c r="H19" s="878">
        <f>Classics_1!H296</f>
        <v>37.508610997447512</v>
      </c>
      <c r="I19" s="878">
        <f>Classics_1!I296</f>
        <v>38.178825260527432</v>
      </c>
      <c r="J19" s="878">
        <f>Classics_1!J296</f>
        <v>37.964857506925505</v>
      </c>
      <c r="K19" s="878">
        <f>Classics_1!K296</f>
        <v>37.386645759601443</v>
      </c>
      <c r="L19" s="878">
        <f>Classics_1!L296</f>
        <v>36.484506038977038</v>
      </c>
      <c r="M19" s="878">
        <f>Classics_1!M296</f>
        <v>35.996949863146021</v>
      </c>
      <c r="N19" s="878">
        <f>Classics_1!N296</f>
        <v>35.965383679281501</v>
      </c>
    </row>
    <row r="20" spans="2:14">
      <c r="B20" s="669" t="str">
        <f>Entrant_need_figures!B21</f>
        <v>Computing</v>
      </c>
      <c r="C20" s="878">
        <f>Computing_1!C296</f>
        <v>709.32546447980587</v>
      </c>
      <c r="D20" s="878">
        <f>Computing_1!D296</f>
        <v>843.57843472215291</v>
      </c>
      <c r="E20" s="878">
        <f>Computing_1!E296</f>
        <v>606.10267390842159</v>
      </c>
      <c r="F20" s="878">
        <f>Computing_1!F296</f>
        <v>583.35086242820535</v>
      </c>
      <c r="G20" s="878">
        <f>Computing_1!G296</f>
        <v>773.9857188455577</v>
      </c>
      <c r="H20" s="878">
        <f>Computing_1!H296</f>
        <v>832.54281536747317</v>
      </c>
      <c r="I20" s="878">
        <f>Computing_1!I296</f>
        <v>846.49492966501373</v>
      </c>
      <c r="J20" s="878">
        <f>Computing_1!J296</f>
        <v>853.1581471224514</v>
      </c>
      <c r="K20" s="878">
        <f>Computing_1!K296</f>
        <v>827.13041414329996</v>
      </c>
      <c r="L20" s="878">
        <f>Computing_1!L296</f>
        <v>808.33190401463776</v>
      </c>
      <c r="M20" s="878">
        <f>Computing_1!M296</f>
        <v>796.29075672587828</v>
      </c>
      <c r="N20" s="878">
        <f>Computing_1!N296</f>
        <v>800.54945796281163</v>
      </c>
    </row>
    <row r="21" spans="2:14">
      <c r="B21" s="669" t="str">
        <f>Entrant_need_figures!B22</f>
        <v>Design &amp; Technology</v>
      </c>
      <c r="C21" s="878">
        <f>'Design_&amp;_Technology_1'!C296</f>
        <v>1245.0689442608946</v>
      </c>
      <c r="D21" s="878">
        <f>'Design_&amp;_Technology_1'!D296</f>
        <v>1311.846587985312</v>
      </c>
      <c r="E21" s="878">
        <f>'Design_&amp;_Technology_1'!E296</f>
        <v>958.69115034952551</v>
      </c>
      <c r="F21" s="878">
        <f>'Design_&amp;_Technology_1'!F296</f>
        <v>918.40314532993511</v>
      </c>
      <c r="G21" s="878">
        <f>'Design_&amp;_Technology_1'!G296</f>
        <v>1109.0705573766031</v>
      </c>
      <c r="H21" s="878">
        <f>'Design_&amp;_Technology_1'!H296</f>
        <v>1164.802208393276</v>
      </c>
      <c r="I21" s="878">
        <f>'Design_&amp;_Technology_1'!I296</f>
        <v>1142.0498555740651</v>
      </c>
      <c r="J21" s="878">
        <f>'Design_&amp;_Technology_1'!J296</f>
        <v>1162.780409032571</v>
      </c>
      <c r="K21" s="878">
        <f>'Design_&amp;_Technology_1'!K296</f>
        <v>1093.2713559971535</v>
      </c>
      <c r="L21" s="878">
        <f>'Design_&amp;_Technology_1'!L296</f>
        <v>1024.9326813218624</v>
      </c>
      <c r="M21" s="878">
        <f>'Design_&amp;_Technology_1'!M296</f>
        <v>991.48896928915133</v>
      </c>
      <c r="N21" s="878">
        <f>'Design_&amp;_Technology_1'!N296</f>
        <v>1034.7806866282249</v>
      </c>
    </row>
    <row r="22" spans="2:14">
      <c r="B22" s="669" t="str">
        <f>Entrant_need_figures!B23</f>
        <v>Drama</v>
      </c>
      <c r="C22" s="878">
        <f>Drama_1!C296</f>
        <v>500.66562407477022</v>
      </c>
      <c r="D22" s="878">
        <f>Drama_1!D296</f>
        <v>535.81534290220816</v>
      </c>
      <c r="E22" s="878">
        <f>Drama_1!E296</f>
        <v>498.71020886175847</v>
      </c>
      <c r="F22" s="878">
        <f>Drama_1!F296</f>
        <v>506.27762177873194</v>
      </c>
      <c r="G22" s="878">
        <f>Drama_1!G296</f>
        <v>502.59427234489328</v>
      </c>
      <c r="H22" s="878">
        <f>Drama_1!H296</f>
        <v>542.0105294600877</v>
      </c>
      <c r="I22" s="878">
        <f>Drama_1!I296</f>
        <v>545.64501769486344</v>
      </c>
      <c r="J22" s="878">
        <f>Drama_1!J296</f>
        <v>558.07417897334494</v>
      </c>
      <c r="K22" s="878">
        <f>Drama_1!K296</f>
        <v>535.94832354417588</v>
      </c>
      <c r="L22" s="878">
        <f>Drama_1!L296</f>
        <v>515.54095619313125</v>
      </c>
      <c r="M22" s="878">
        <f>Drama_1!M296</f>
        <v>506.49020975013286</v>
      </c>
      <c r="N22" s="878">
        <f>Drama_1!N296</f>
        <v>522.93864569563834</v>
      </c>
    </row>
    <row r="23" spans="2:14">
      <c r="B23" s="669" t="str">
        <f>Entrant_need_figures!B24</f>
        <v>English</v>
      </c>
      <c r="C23" s="878">
        <f>English_1!C296</f>
        <v>3778.1104864577228</v>
      </c>
      <c r="D23" s="878">
        <f>English_1!D296</f>
        <v>3599.4228192505816</v>
      </c>
      <c r="E23" s="878">
        <f>English_1!E296</f>
        <v>3702.4359221728346</v>
      </c>
      <c r="F23" s="878">
        <f>English_1!F296</f>
        <v>3701.4082860658532</v>
      </c>
      <c r="G23" s="878">
        <f>English_1!G296</f>
        <v>3615.2957762173473</v>
      </c>
      <c r="H23" s="878">
        <f>English_1!H296</f>
        <v>3630.9258555009756</v>
      </c>
      <c r="I23" s="878">
        <f>English_1!I296</f>
        <v>3661.6593030373506</v>
      </c>
      <c r="J23" s="878">
        <f>English_1!J296</f>
        <v>3620.3691206946369</v>
      </c>
      <c r="K23" s="878">
        <f>English_1!K296</f>
        <v>3455.9903259364196</v>
      </c>
      <c r="L23" s="878">
        <f>English_1!L296</f>
        <v>3435.1827295512644</v>
      </c>
      <c r="M23" s="878">
        <f>English_1!M296</f>
        <v>3388.9169995444304</v>
      </c>
      <c r="N23" s="878">
        <f>English_1!N296</f>
        <v>3324.7251138627344</v>
      </c>
    </row>
    <row r="24" spans="2:14">
      <c r="B24" s="669" t="str">
        <f>Entrant_need_figures!B25</f>
        <v>Food</v>
      </c>
      <c r="C24" s="878">
        <f>Food_1!C296</f>
        <v>234.07235550154263</v>
      </c>
      <c r="D24" s="878">
        <f>Food_1!D296</f>
        <v>284.27617634968738</v>
      </c>
      <c r="E24" s="878">
        <f>Food_1!E296</f>
        <v>194.17053582383005</v>
      </c>
      <c r="F24" s="878">
        <f>Food_1!F296</f>
        <v>170.8270791023503</v>
      </c>
      <c r="G24" s="878">
        <f>Food_1!G296</f>
        <v>230.37708101191996</v>
      </c>
      <c r="H24" s="878">
        <f>Food_1!H296</f>
        <v>245.70104364650734</v>
      </c>
      <c r="I24" s="878">
        <f>Food_1!I296</f>
        <v>246.34790451003173</v>
      </c>
      <c r="J24" s="878">
        <f>Food_1!J296</f>
        <v>236.46023169056463</v>
      </c>
      <c r="K24" s="878">
        <f>Food_1!K296</f>
        <v>224.73956387035648</v>
      </c>
      <c r="L24" s="878">
        <f>Food_1!L296</f>
        <v>226.24983913949038</v>
      </c>
      <c r="M24" s="878">
        <f>Food_1!M296</f>
        <v>222.57327350751743</v>
      </c>
      <c r="N24" s="878">
        <f>Food_1!N296</f>
        <v>210.23572617202188</v>
      </c>
    </row>
    <row r="25" spans="2:14">
      <c r="B25" s="669" t="str">
        <f>Entrant_need_figures!B26</f>
        <v>Geography</v>
      </c>
      <c r="C25" s="878">
        <f>Geography_1!C296</f>
        <v>1091.6578874521288</v>
      </c>
      <c r="D25" s="878">
        <f>Geography_1!D296</f>
        <v>1176.8486226628406</v>
      </c>
      <c r="E25" s="878">
        <f>Geography_1!E296</f>
        <v>1499.4767458204792</v>
      </c>
      <c r="F25" s="878">
        <f>Geography_1!F296</f>
        <v>1559.9435854724363</v>
      </c>
      <c r="G25" s="878">
        <f>Geography_1!G296</f>
        <v>1330.3897823669502</v>
      </c>
      <c r="H25" s="878">
        <f>Geography_1!H296</f>
        <v>1288.7634130233025</v>
      </c>
      <c r="I25" s="878">
        <f>Geography_1!I296</f>
        <v>1294.644023061835</v>
      </c>
      <c r="J25" s="878">
        <f>Geography_1!J296</f>
        <v>1303.7414380971634</v>
      </c>
      <c r="K25" s="878">
        <f>Geography_1!K296</f>
        <v>1244.6928236847466</v>
      </c>
      <c r="L25" s="878">
        <f>Geography_1!L296</f>
        <v>1213.3361672022436</v>
      </c>
      <c r="M25" s="878">
        <f>Geography_1!M296</f>
        <v>1192.8208878862974</v>
      </c>
      <c r="N25" s="878">
        <f>Geography_1!N296</f>
        <v>1204.3424150166754</v>
      </c>
    </row>
    <row r="26" spans="2:14">
      <c r="B26" s="669" t="str">
        <f>Entrant_need_figures!B27</f>
        <v>History</v>
      </c>
      <c r="C26" s="878">
        <f>History_1!C296</f>
        <v>1081.6752707668475</v>
      </c>
      <c r="D26" s="878">
        <f>History_1!D296</f>
        <v>1242.6293981653848</v>
      </c>
      <c r="E26" s="878">
        <f>History_1!E296</f>
        <v>1516.6921585404023</v>
      </c>
      <c r="F26" s="878">
        <f>History_1!F296</f>
        <v>1571.7216952093804</v>
      </c>
      <c r="G26" s="878">
        <f>History_1!G296</f>
        <v>1361.6441528973978</v>
      </c>
      <c r="H26" s="878">
        <f>History_1!H296</f>
        <v>1350.7580453005312</v>
      </c>
      <c r="I26" s="878">
        <f>History_1!I296</f>
        <v>1362.0636501364806</v>
      </c>
      <c r="J26" s="878">
        <f>History_1!J296</f>
        <v>1369.6103235530522</v>
      </c>
      <c r="K26" s="878">
        <f>History_1!K296</f>
        <v>1313.2053394274715</v>
      </c>
      <c r="L26" s="878">
        <f>History_1!L296</f>
        <v>1282.8334505470709</v>
      </c>
      <c r="M26" s="878">
        <f>History_1!M296</f>
        <v>1262.3868850136987</v>
      </c>
      <c r="N26" s="878">
        <f>History_1!N296</f>
        <v>1270.4926074627915</v>
      </c>
    </row>
    <row r="27" spans="2:14">
      <c r="B27" s="669" t="str">
        <f>Entrant_need_figures!B28</f>
        <v>Mathematics</v>
      </c>
      <c r="C27" s="878">
        <f>Mathematics_1!C296</f>
        <v>4533.0586834746464</v>
      </c>
      <c r="D27" s="878">
        <f>Mathematics_1!D296</f>
        <v>4151.1912952787143</v>
      </c>
      <c r="E27" s="878">
        <f>Mathematics_1!E296</f>
        <v>4061.0996727432757</v>
      </c>
      <c r="F27" s="878">
        <f>Mathematics_1!F296</f>
        <v>4116.8985425687888</v>
      </c>
      <c r="G27" s="878">
        <f>Mathematics_1!G296</f>
        <v>4076.1032526889899</v>
      </c>
      <c r="H27" s="878">
        <f>Mathematics_1!H296</f>
        <v>3972.780827279938</v>
      </c>
      <c r="I27" s="878">
        <f>Mathematics_1!I296</f>
        <v>3999.0652238733483</v>
      </c>
      <c r="J27" s="878">
        <f>Mathematics_1!J296</f>
        <v>3952.3341882604354</v>
      </c>
      <c r="K27" s="878">
        <f>Mathematics_1!K296</f>
        <v>3780.3366397170557</v>
      </c>
      <c r="L27" s="878">
        <f>Mathematics_1!L296</f>
        <v>3737.8028243573672</v>
      </c>
      <c r="M27" s="878">
        <f>Mathematics_1!M296</f>
        <v>3678.4063194105711</v>
      </c>
      <c r="N27" s="878">
        <f>Mathematics_1!N296</f>
        <v>3612.9428403986103</v>
      </c>
    </row>
    <row r="28" spans="2:14">
      <c r="B28" s="669" t="str">
        <f>Entrant_need_figures!B29</f>
        <v>Modern Foreign Languages</v>
      </c>
      <c r="C28" s="878">
        <f>Modern_Foreign_Languages_1!C296</f>
        <v>1598.4891505508069</v>
      </c>
      <c r="D28" s="878">
        <f>Modern_Foreign_Languages_1!D296</f>
        <v>1814.5522420788348</v>
      </c>
      <c r="E28" s="878">
        <f>Modern_Foreign_Languages_1!E296</f>
        <v>3169.8238040684982</v>
      </c>
      <c r="F28" s="878">
        <f>Modern_Foreign_Languages_1!F296</f>
        <v>3382.5455067966113</v>
      </c>
      <c r="G28" s="878">
        <f>Modern_Foreign_Languages_1!G296</f>
        <v>2577.6234451171326</v>
      </c>
      <c r="H28" s="878">
        <f>Modern_Foreign_Languages_1!H296</f>
        <v>2200.730093337505</v>
      </c>
      <c r="I28" s="878">
        <f>Modern_Foreign_Languages_1!I296</f>
        <v>2191.2039640264884</v>
      </c>
      <c r="J28" s="878">
        <f>Modern_Foreign_Languages_1!J296</f>
        <v>2194.4925909694066</v>
      </c>
      <c r="K28" s="878">
        <f>Modern_Foreign_Languages_1!K296</f>
        <v>2077.6440279294093</v>
      </c>
      <c r="L28" s="878">
        <f>Modern_Foreign_Languages_1!L296</f>
        <v>2017.5374365779689</v>
      </c>
      <c r="M28" s="878">
        <f>Modern_Foreign_Languages_1!M296</f>
        <v>1973.8877271487099</v>
      </c>
      <c r="N28" s="878">
        <f>Modern_Foreign_Languages_1!N296</f>
        <v>1984.3324489999882</v>
      </c>
    </row>
    <row r="29" spans="2:14">
      <c r="B29" s="669" t="str">
        <f>Entrant_need_figures!B30</f>
        <v>Music</v>
      </c>
      <c r="C29" s="878">
        <f>Music_1!C296</f>
        <v>518.19712238615239</v>
      </c>
      <c r="D29" s="878">
        <f>Music_1!D296</f>
        <v>563.21972711972126</v>
      </c>
      <c r="E29" s="878">
        <f>Music_1!E296</f>
        <v>572.59936089012535</v>
      </c>
      <c r="F29" s="878">
        <f>Music_1!F296</f>
        <v>592.16071758430417</v>
      </c>
      <c r="G29" s="878">
        <f>Music_1!G296</f>
        <v>583.48353399109374</v>
      </c>
      <c r="H29" s="878">
        <f>Music_1!H296</f>
        <v>573.27595593338151</v>
      </c>
      <c r="I29" s="878">
        <f>Music_1!I296</f>
        <v>567.32244580792019</v>
      </c>
      <c r="J29" s="878">
        <f>Music_1!J296</f>
        <v>588.9684862115779</v>
      </c>
      <c r="K29" s="878">
        <f>Music_1!K296</f>
        <v>557.81099730005849</v>
      </c>
      <c r="L29" s="878">
        <f>Music_1!L296</f>
        <v>522.11676448490664</v>
      </c>
      <c r="M29" s="878">
        <f>Music_1!M296</f>
        <v>508.07188932545034</v>
      </c>
      <c r="N29" s="878">
        <f>Music_1!N296</f>
        <v>541.22773670326114</v>
      </c>
    </row>
    <row r="30" spans="2:14">
      <c r="B30" s="669" t="str">
        <f>Entrant_need_figures!B31</f>
        <v>Others</v>
      </c>
      <c r="C30" s="878">
        <f>Others_1!C296</f>
        <v>1500.072456160216</v>
      </c>
      <c r="D30" s="878">
        <f>Others_1!D296</f>
        <v>1426.8587676432212</v>
      </c>
      <c r="E30" s="878">
        <f>Others_1!E296</f>
        <v>1008.6489434559915</v>
      </c>
      <c r="F30" s="878">
        <f>Others_1!F296</f>
        <v>976.81158309329089</v>
      </c>
      <c r="G30" s="878">
        <f>Others_1!G296</f>
        <v>1246.1324373362588</v>
      </c>
      <c r="H30" s="878">
        <f>Others_1!H296</f>
        <v>1453.4041357684314</v>
      </c>
      <c r="I30" s="878">
        <f>Others_1!I296</f>
        <v>1534.617368578306</v>
      </c>
      <c r="J30" s="878">
        <f>Others_1!J296</f>
        <v>1533.1794714305215</v>
      </c>
      <c r="K30" s="878">
        <f>Others_1!K296</f>
        <v>1557.5545323627464</v>
      </c>
      <c r="L30" s="878">
        <f>Others_1!L296</f>
        <v>1542.6215110310686</v>
      </c>
      <c r="M30" s="878">
        <f>Others_1!M296</f>
        <v>1536.1819899927011</v>
      </c>
      <c r="N30" s="878">
        <f>Others_1!N296</f>
        <v>1520.0108002949419</v>
      </c>
    </row>
    <row r="31" spans="2:14">
      <c r="B31" s="669" t="str">
        <f>Entrant_need_figures!B32</f>
        <v>Physical Education</v>
      </c>
      <c r="C31" s="878">
        <f>Physical_Education_1!C296</f>
        <v>1349.2738287837035</v>
      </c>
      <c r="D31" s="878">
        <f>Physical_Education_1!D296</f>
        <v>1686.8057178190093</v>
      </c>
      <c r="E31" s="878">
        <f>Physical_Education_1!E296</f>
        <v>1491.7644031989723</v>
      </c>
      <c r="F31" s="878">
        <f>Physical_Education_1!F296</f>
        <v>1482.5629363650601</v>
      </c>
      <c r="G31" s="878">
        <f>Physical_Education_1!G296</f>
        <v>1662.3140725742633</v>
      </c>
      <c r="H31" s="878">
        <f>Physical_Education_1!H296</f>
        <v>1742.4954335829016</v>
      </c>
      <c r="I31" s="878">
        <f>Physical_Education_1!I296</f>
        <v>1768.7514463063585</v>
      </c>
      <c r="J31" s="878">
        <f>Physical_Education_1!J296</f>
        <v>1780.1332561342128</v>
      </c>
      <c r="K31" s="878">
        <f>Physical_Education_1!K296</f>
        <v>1704.1827534635227</v>
      </c>
      <c r="L31" s="878">
        <f>Physical_Education_1!L296</f>
        <v>1683.241480888559</v>
      </c>
      <c r="M31" s="878">
        <f>Physical_Education_1!M296</f>
        <v>1664.9481247333433</v>
      </c>
      <c r="N31" s="878">
        <f>Physical_Education_1!N296</f>
        <v>1669.1868353152549</v>
      </c>
    </row>
    <row r="32" spans="2:14">
      <c r="B32" s="669" t="str">
        <f>Entrant_need_figures!B33</f>
        <v>Physics</v>
      </c>
      <c r="C32" s="878">
        <f>Physics_1!C296</f>
        <v>1631.0443069596247</v>
      </c>
      <c r="D32" s="878">
        <f>Physics_1!D296</f>
        <v>1285.3823896686515</v>
      </c>
      <c r="E32" s="878">
        <f>Physics_1!E296</f>
        <v>1355.7186393380998</v>
      </c>
      <c r="F32" s="878">
        <f>Physics_1!F296</f>
        <v>1351.3681617479645</v>
      </c>
      <c r="G32" s="878">
        <f>Physics_1!G296</f>
        <v>1326.0834198792879</v>
      </c>
      <c r="H32" s="878">
        <f>Physics_1!H296</f>
        <v>1347.1957044035869</v>
      </c>
      <c r="I32" s="878">
        <f>Physics_1!I296</f>
        <v>1378.2996306252403</v>
      </c>
      <c r="J32" s="878">
        <f>Physics_1!J296</f>
        <v>1336.4078717100294</v>
      </c>
      <c r="K32" s="878">
        <f>Physics_1!K296</f>
        <v>1290.9992024313312</v>
      </c>
      <c r="L32" s="878">
        <f>Physics_1!L296</f>
        <v>1312.4413665041593</v>
      </c>
      <c r="M32" s="878">
        <f>Physics_1!M296</f>
        <v>1301.8671056283961</v>
      </c>
      <c r="N32" s="878">
        <f>Physics_1!N296</f>
        <v>1234.9691066198673</v>
      </c>
    </row>
    <row r="33" spans="2:14">
      <c r="B33" s="669" t="str">
        <f>Entrant_need_figures!B15</f>
        <v>Primary</v>
      </c>
      <c r="C33" s="878">
        <f>Primary_1!C296</f>
        <v>27538.544661464744</v>
      </c>
      <c r="D33" s="878">
        <f>Primary_1!D296</f>
        <v>26105.002673937081</v>
      </c>
      <c r="E33" s="878">
        <f>Primary_1!E296</f>
        <v>25214.160872358872</v>
      </c>
      <c r="F33" s="878">
        <f>Primary_1!F296</f>
        <v>24509.091093232932</v>
      </c>
      <c r="G33" s="878">
        <f>Primary_1!G296</f>
        <v>24656.998817781678</v>
      </c>
      <c r="H33" s="878">
        <f>Primary_1!H296</f>
        <v>24432.263410506512</v>
      </c>
      <c r="I33" s="878">
        <f>Primary_1!I296</f>
        <v>24102.311757997213</v>
      </c>
      <c r="J33" s="878">
        <f>Primary_1!J296</f>
        <v>23873.194543470338</v>
      </c>
      <c r="K33" s="878">
        <f>Primary_1!K296</f>
        <v>24450.504710155619</v>
      </c>
      <c r="L33" s="878">
        <f>Primary_1!L296</f>
        <v>24916.785672652128</v>
      </c>
      <c r="M33" s="878">
        <f>Primary_1!M296</f>
        <v>25036.449572418685</v>
      </c>
      <c r="N33" s="878">
        <f>Primary_1!N296</f>
        <v>24924.618653464819</v>
      </c>
    </row>
    <row r="34" spans="2:14">
      <c r="B34" s="669" t="str">
        <f>Entrant_need_figures!B34</f>
        <v>Religious Education</v>
      </c>
      <c r="C34" s="878">
        <f>Religious_Education_1!C296</f>
        <v>775.65420682677745</v>
      </c>
      <c r="D34" s="878">
        <f>Religious_Education_1!D296</f>
        <v>844.58048482276604</v>
      </c>
      <c r="E34" s="878">
        <f>Religious_Education_1!E296</f>
        <v>867.0892868396993</v>
      </c>
      <c r="F34" s="878">
        <f>Religious_Education_1!F296</f>
        <v>869.6491609035586</v>
      </c>
      <c r="G34" s="878">
        <f>Religious_Education_1!G296</f>
        <v>859.61255847662369</v>
      </c>
      <c r="H34" s="878">
        <f>Religious_Education_1!H296</f>
        <v>856.12941752747361</v>
      </c>
      <c r="I34" s="878">
        <f>Religious_Education_1!I296</f>
        <v>860.61204165418258</v>
      </c>
      <c r="J34" s="878">
        <f>Religious_Education_1!J296</f>
        <v>858.62926053302999</v>
      </c>
      <c r="K34" s="878">
        <f>Religious_Education_1!K296</f>
        <v>819.65340700371758</v>
      </c>
      <c r="L34" s="878">
        <f>Religious_Education_1!L296</f>
        <v>803.41817740504644</v>
      </c>
      <c r="M34" s="878">
        <f>Religious_Education_1!M296</f>
        <v>789.95652782432785</v>
      </c>
      <c r="N34" s="878">
        <f>Religious_Education_1!N296</f>
        <v>787.98840072046607</v>
      </c>
    </row>
    <row r="35" spans="2:14" ht="25.5">
      <c r="B35" s="669" t="str">
        <f>Entrant_need_figures!B35</f>
        <v>Total secondary entrant teacher need</v>
      </c>
      <c r="C35" s="878">
        <f>SUM(C15:C34)-C33</f>
        <v>25325.981524290866</v>
      </c>
      <c r="D35" s="878">
        <f t="shared" ref="D35:N35" si="0">SUM(D15:D34)-D33</f>
        <v>24864.323988923083</v>
      </c>
      <c r="E35" s="878">
        <f t="shared" si="0"/>
        <v>25516.23328975436</v>
      </c>
      <c r="F35" s="878">
        <f t="shared" si="0"/>
        <v>25797.106539924713</v>
      </c>
      <c r="G35" s="878">
        <f t="shared" si="0"/>
        <v>25450.041469507822</v>
      </c>
      <c r="H35" s="878">
        <f t="shared" si="0"/>
        <v>25527.010741858019</v>
      </c>
      <c r="I35" s="878">
        <f t="shared" si="0"/>
        <v>25845.896651495761</v>
      </c>
      <c r="J35" s="878">
        <f t="shared" si="0"/>
        <v>25731.139914905129</v>
      </c>
      <c r="K35" s="878">
        <f t="shared" si="0"/>
        <v>24759.538609418589</v>
      </c>
      <c r="L35" s="878">
        <f t="shared" si="0"/>
        <v>24416.167627861571</v>
      </c>
      <c r="M35" s="878">
        <f t="shared" si="0"/>
        <v>24069.983113000366</v>
      </c>
      <c r="N35" s="878">
        <f t="shared" si="0"/>
        <v>23849.453533819546</v>
      </c>
    </row>
    <row r="36" spans="2:14">
      <c r="B36" s="370"/>
    </row>
    <row r="37" spans="2:14">
      <c r="B37" s="370" t="s">
        <v>1231</v>
      </c>
    </row>
    <row r="38" spans="2:14">
      <c r="B38" s="370"/>
    </row>
    <row r="39" spans="2:14" ht="38.25">
      <c r="B39" s="381" t="s">
        <v>62</v>
      </c>
      <c r="C39" s="338" t="s">
        <v>1284</v>
      </c>
      <c r="D39" s="322" t="s">
        <v>1283</v>
      </c>
    </row>
    <row r="40" spans="2:14">
      <c r="B40" s="381" t="str">
        <f t="shared" ref="B40:B59" si="1">B15</f>
        <v>Art &amp; Design</v>
      </c>
      <c r="C40" s="324">
        <f>Data_selected_by_user_testing!L295</f>
        <v>0</v>
      </c>
      <c r="D40" s="945">
        <f>C40/E15</f>
        <v>0</v>
      </c>
    </row>
    <row r="41" spans="2:14">
      <c r="B41" s="381" t="str">
        <f t="shared" si="1"/>
        <v>Biology</v>
      </c>
      <c r="C41" s="324">
        <f>Data_selected_by_user_testing!L296</f>
        <v>91.186588662429131</v>
      </c>
      <c r="D41" s="945">
        <f t="shared" ref="D41:D60" si="2">C41/E16</f>
        <v>5.9529724002381379E-2</v>
      </c>
    </row>
    <row r="42" spans="2:14">
      <c r="B42" s="381" t="str">
        <f t="shared" si="1"/>
        <v>Business Studies</v>
      </c>
      <c r="C42" s="324">
        <f>Data_selected_by_user_testing!L297</f>
        <v>65.854447966933549</v>
      </c>
      <c r="D42" s="945">
        <f t="shared" si="2"/>
        <v>0.25693345765083808</v>
      </c>
    </row>
    <row r="43" spans="2:14">
      <c r="B43" s="381" t="str">
        <f t="shared" si="1"/>
        <v>Chemistry</v>
      </c>
      <c r="C43" s="324">
        <f>Data_selected_by_user_testing!L298</f>
        <v>0</v>
      </c>
      <c r="D43" s="945">
        <f t="shared" si="2"/>
        <v>0</v>
      </c>
    </row>
    <row r="44" spans="2:14">
      <c r="B44" s="381" t="str">
        <f t="shared" si="1"/>
        <v>Classics</v>
      </c>
      <c r="C44" s="324">
        <f>Data_selected_by_user_testing!L299</f>
        <v>0.38899824610530231</v>
      </c>
      <c r="D44" s="945">
        <f t="shared" si="2"/>
        <v>1.0104772055910798E-2</v>
      </c>
    </row>
    <row r="45" spans="2:14">
      <c r="B45" s="381" t="str">
        <f t="shared" si="1"/>
        <v>Computing</v>
      </c>
      <c r="C45" s="324">
        <f>Data_selected_by_user_testing!L300</f>
        <v>0.44261809036652267</v>
      </c>
      <c r="D45" s="945">
        <f t="shared" si="2"/>
        <v>7.3026915969916933E-4</v>
      </c>
    </row>
    <row r="46" spans="2:14">
      <c r="B46" s="381" t="str">
        <f t="shared" si="1"/>
        <v>Design &amp; Technology</v>
      </c>
      <c r="C46" s="324">
        <f>Data_selected_by_user_testing!L301</f>
        <v>53.465332005434902</v>
      </c>
      <c r="D46" s="945">
        <f t="shared" si="2"/>
        <v>5.5769088914549993E-2</v>
      </c>
    </row>
    <row r="47" spans="2:14">
      <c r="B47" s="381" t="str">
        <f t="shared" si="1"/>
        <v>Drama</v>
      </c>
      <c r="C47" s="324">
        <f>Data_selected_by_user_testing!L302</f>
        <v>25.38455648049603</v>
      </c>
      <c r="D47" s="945">
        <f t="shared" si="2"/>
        <v>5.0900414768795282E-2</v>
      </c>
    </row>
    <row r="48" spans="2:14">
      <c r="B48" s="381" t="str">
        <f t="shared" si="1"/>
        <v>English</v>
      </c>
      <c r="C48" s="324">
        <f>Data_selected_by_user_testing!L303</f>
        <v>160.46356615243712</v>
      </c>
      <c r="D48" s="945">
        <f t="shared" si="2"/>
        <v>4.3339998186455168E-2</v>
      </c>
    </row>
    <row r="49" spans="2:14">
      <c r="B49" s="381" t="str">
        <f t="shared" si="1"/>
        <v>Food</v>
      </c>
      <c r="C49" s="324">
        <f>Data_selected_by_user_testing!L304</f>
        <v>0</v>
      </c>
      <c r="D49" s="945">
        <f t="shared" si="2"/>
        <v>0</v>
      </c>
    </row>
    <row r="50" spans="2:14">
      <c r="B50" s="381" t="str">
        <f t="shared" si="1"/>
        <v>Geography</v>
      </c>
      <c r="C50" s="324">
        <f>Data_selected_by_user_testing!L305</f>
        <v>78.653993311821978</v>
      </c>
      <c r="D50" s="945">
        <f t="shared" si="2"/>
        <v>5.245429349341748E-2</v>
      </c>
    </row>
    <row r="51" spans="2:14">
      <c r="B51" s="381" t="str">
        <f t="shared" si="1"/>
        <v>History</v>
      </c>
      <c r="C51" s="324">
        <f>Data_selected_by_user_testing!L306</f>
        <v>0</v>
      </c>
      <c r="D51" s="945">
        <f t="shared" si="2"/>
        <v>0</v>
      </c>
    </row>
    <row r="52" spans="2:14">
      <c r="B52" s="381" t="str">
        <f t="shared" si="1"/>
        <v>Mathematics</v>
      </c>
      <c r="C52" s="324">
        <f>Data_selected_by_user_testing!L307</f>
        <v>191.93996578480437</v>
      </c>
      <c r="D52" s="945">
        <f t="shared" si="2"/>
        <v>4.7263052190774917E-2</v>
      </c>
    </row>
    <row r="53" spans="2:14">
      <c r="B53" s="381" t="str">
        <f t="shared" si="1"/>
        <v>Modern Foreign Languages</v>
      </c>
      <c r="C53" s="324">
        <f>Data_selected_by_user_testing!L308</f>
        <v>0</v>
      </c>
      <c r="D53" s="945">
        <f t="shared" si="2"/>
        <v>0</v>
      </c>
    </row>
    <row r="54" spans="2:14">
      <c r="B54" s="381" t="str">
        <f t="shared" si="1"/>
        <v>Music</v>
      </c>
      <c r="C54" s="324">
        <f>Data_selected_by_user_testing!L309</f>
        <v>0</v>
      </c>
      <c r="D54" s="945">
        <f t="shared" si="2"/>
        <v>0</v>
      </c>
    </row>
    <row r="55" spans="2:14">
      <c r="B55" s="381" t="str">
        <f t="shared" si="1"/>
        <v>Others</v>
      </c>
      <c r="C55" s="324">
        <f>Data_selected_by_user_testing!L310</f>
        <v>176.70929586732382</v>
      </c>
      <c r="D55" s="945">
        <f t="shared" si="2"/>
        <v>0.17519405241416769</v>
      </c>
    </row>
    <row r="56" spans="2:14">
      <c r="B56" s="381" t="str">
        <f t="shared" si="1"/>
        <v>Physical Education</v>
      </c>
      <c r="C56" s="324">
        <f>Data_selected_by_user_testing!L311</f>
        <v>24.222152627542528</v>
      </c>
      <c r="D56" s="945">
        <f t="shared" si="2"/>
        <v>1.6237250718411037E-2</v>
      </c>
    </row>
    <row r="57" spans="2:14">
      <c r="B57" s="381" t="str">
        <f t="shared" si="1"/>
        <v>Physics</v>
      </c>
      <c r="C57" s="324">
        <f>Data_selected_by_user_testing!L312</f>
        <v>0</v>
      </c>
      <c r="D57" s="945">
        <f t="shared" si="2"/>
        <v>0</v>
      </c>
    </row>
    <row r="58" spans="2:14">
      <c r="B58" s="381" t="str">
        <f t="shared" si="1"/>
        <v>Primary</v>
      </c>
      <c r="C58" s="324">
        <f>Data_selected_by_user_testing!L294</f>
        <v>590.24024743697373</v>
      </c>
      <c r="D58" s="945">
        <f t="shared" si="2"/>
        <v>2.3409077558635989E-2</v>
      </c>
    </row>
    <row r="59" spans="2:14">
      <c r="B59" s="381" t="str">
        <f t="shared" si="1"/>
        <v>Religious Education</v>
      </c>
      <c r="C59" s="324">
        <f>Data_selected_by_user_testing!L313</f>
        <v>63.926703128883673</v>
      </c>
      <c r="D59" s="945">
        <f t="shared" si="2"/>
        <v>7.3725629066273932E-2</v>
      </c>
    </row>
    <row r="60" spans="2:14">
      <c r="B60" s="381" t="s">
        <v>8</v>
      </c>
      <c r="C60" s="324">
        <f>SUM(C40:C59)</f>
        <v>1522.8784657615527</v>
      </c>
      <c r="D60" s="945">
        <f t="shared" si="2"/>
        <v>5.9682730145481165E-2</v>
      </c>
    </row>
    <row r="61" spans="2:14">
      <c r="B61" s="370"/>
    </row>
    <row r="62" spans="2:14">
      <c r="B62" s="370" t="s">
        <v>1232</v>
      </c>
    </row>
    <row r="63" spans="2:14">
      <c r="B63" s="370"/>
    </row>
    <row r="64" spans="2:14">
      <c r="B64" s="363"/>
      <c r="C64" s="363" t="str">
        <f>'Art_&amp;_Design_1'!C293</f>
        <v>2016/17</v>
      </c>
      <c r="D64" s="363" t="str">
        <f>'Art_&amp;_Design_1'!D293</f>
        <v>2017/18</v>
      </c>
      <c r="E64" s="363" t="str">
        <f>'Art_&amp;_Design_1'!E293</f>
        <v>2018/19</v>
      </c>
      <c r="F64" s="363" t="str">
        <f>'Art_&amp;_Design_1'!F293</f>
        <v>2019/20</v>
      </c>
      <c r="G64" s="363" t="str">
        <f>'Art_&amp;_Design_1'!G293</f>
        <v>2020/21</v>
      </c>
      <c r="H64" s="363" t="str">
        <f>'Art_&amp;_Design_1'!H293</f>
        <v>2021/22</v>
      </c>
      <c r="I64" s="363" t="str">
        <f>'Art_&amp;_Design_1'!I293</f>
        <v>2022/23</v>
      </c>
      <c r="J64" s="363" t="str">
        <f>'Art_&amp;_Design_1'!J293</f>
        <v>2023/24</v>
      </c>
      <c r="K64" s="363" t="str">
        <f>'Art_&amp;_Design_1'!K293</f>
        <v>2024/25</v>
      </c>
      <c r="L64" s="363" t="str">
        <f>'Art_&amp;_Design_1'!L293</f>
        <v>2025/26</v>
      </c>
      <c r="M64" s="363" t="str">
        <f>'Art_&amp;_Design_1'!M293</f>
        <v>2026/27</v>
      </c>
      <c r="N64" s="363" t="str">
        <f>'Art_&amp;_Design_1'!N293</f>
        <v>2027/28</v>
      </c>
    </row>
    <row r="65" spans="2:15">
      <c r="B65" s="363" t="str">
        <f>Entrant_need_figures!B16</f>
        <v>Art &amp; Design</v>
      </c>
      <c r="C65" s="282">
        <f t="shared" ref="C65:C84" si="3">C15</f>
        <v>818.75145377217302</v>
      </c>
      <c r="D65" s="282">
        <f t="shared" ref="D65:N65" si="4">D15</f>
        <v>927.93654352597684</v>
      </c>
      <c r="E65" s="556">
        <f t="shared" ref="E65:E84" si="5">E15+C40</f>
        <v>817.25785947076361</v>
      </c>
      <c r="F65" s="282">
        <f t="shared" si="4"/>
        <v>821.31614638925009</v>
      </c>
      <c r="G65" s="282">
        <f t="shared" si="4"/>
        <v>922.91788492748583</v>
      </c>
      <c r="H65" s="282">
        <f t="shared" si="4"/>
        <v>941.38089751993812</v>
      </c>
      <c r="I65" s="282">
        <f t="shared" si="4"/>
        <v>948.22222537427285</v>
      </c>
      <c r="J65" s="282">
        <f t="shared" si="4"/>
        <v>962.85061924353772</v>
      </c>
      <c r="K65" s="282">
        <f t="shared" si="4"/>
        <v>926.77228411941587</v>
      </c>
      <c r="L65" s="282">
        <f t="shared" si="4"/>
        <v>890.58828211018431</v>
      </c>
      <c r="M65" s="282">
        <f t="shared" si="4"/>
        <v>872.01931104115033</v>
      </c>
      <c r="N65" s="282">
        <f t="shared" si="4"/>
        <v>891.42260405371076</v>
      </c>
      <c r="O65" s="387"/>
    </row>
    <row r="66" spans="2:15">
      <c r="B66" s="363" t="str">
        <f>Entrant_need_figures!B17</f>
        <v>Biology</v>
      </c>
      <c r="C66" s="282">
        <f t="shared" si="3"/>
        <v>1914.5076796152448</v>
      </c>
      <c r="D66" s="282">
        <f t="shared" ref="D66:D84" si="6">D16</f>
        <v>1456.0427186937031</v>
      </c>
      <c r="E66" s="556">
        <f t="shared" si="5"/>
        <v>1622.9690753203779</v>
      </c>
      <c r="F66" s="282">
        <f t="shared" ref="F66:N66" si="7">F16</f>
        <v>1541.0689857592392</v>
      </c>
      <c r="G66" s="282">
        <f t="shared" si="7"/>
        <v>1523.4355793739348</v>
      </c>
      <c r="H66" s="282">
        <f t="shared" si="7"/>
        <v>1554.0900491778327</v>
      </c>
      <c r="I66" s="282">
        <f t="shared" si="7"/>
        <v>1597.2525539966007</v>
      </c>
      <c r="J66" s="282">
        <f t="shared" si="7"/>
        <v>1568.3907652139583</v>
      </c>
      <c r="K66" s="282">
        <f t="shared" si="7"/>
        <v>1525.6184113063307</v>
      </c>
      <c r="L66" s="282">
        <f t="shared" si="7"/>
        <v>1543.0806641013999</v>
      </c>
      <c r="M66" s="282">
        <f t="shared" si="7"/>
        <v>1534.0714545852397</v>
      </c>
      <c r="N66" s="282">
        <f t="shared" si="7"/>
        <v>1479.2817977451632</v>
      </c>
      <c r="O66" s="386"/>
    </row>
    <row r="67" spans="2:15">
      <c r="B67" s="363" t="str">
        <f>Entrant_need_figures!B18</f>
        <v>Business Studies</v>
      </c>
      <c r="C67" s="282">
        <f t="shared" si="3"/>
        <v>362.24872735684426</v>
      </c>
      <c r="D67" s="282">
        <f t="shared" si="6"/>
        <v>373.05911124335444</v>
      </c>
      <c r="E67" s="556">
        <f t="shared" si="5"/>
        <v>322.16379969187324</v>
      </c>
      <c r="F67" s="282">
        <f t="shared" ref="F67:N67" si="8">F17</f>
        <v>242.64341944863361</v>
      </c>
      <c r="G67" s="282">
        <f t="shared" si="8"/>
        <v>361.07790710831665</v>
      </c>
      <c r="H67" s="282">
        <f t="shared" si="8"/>
        <v>416.6983553825952</v>
      </c>
      <c r="I67" s="282">
        <f t="shared" si="8"/>
        <v>451.85055300150242</v>
      </c>
      <c r="J67" s="282">
        <f t="shared" si="8"/>
        <v>438.31222345428705</v>
      </c>
      <c r="K67" s="282">
        <f t="shared" si="8"/>
        <v>452.22124837084499</v>
      </c>
      <c r="L67" s="282">
        <f t="shared" si="8"/>
        <v>466.43200415197572</v>
      </c>
      <c r="M67" s="282">
        <f t="shared" si="8"/>
        <v>469.10526220038776</v>
      </c>
      <c r="N67" s="282">
        <f t="shared" si="8"/>
        <v>440.86073111453987</v>
      </c>
    </row>
    <row r="68" spans="2:15">
      <c r="B68" s="363" t="str">
        <f>Entrant_need_figures!B19</f>
        <v>Chemistry</v>
      </c>
      <c r="C68" s="282">
        <f t="shared" si="3"/>
        <v>1643.6448981347612</v>
      </c>
      <c r="D68" s="282">
        <f t="shared" si="6"/>
        <v>1300.1736948351936</v>
      </c>
      <c r="E68" s="556">
        <f t="shared" si="5"/>
        <v>1369.3635969078512</v>
      </c>
      <c r="F68" s="282">
        <f t="shared" ref="F68:N68" si="9">F18</f>
        <v>1370.3546697869631</v>
      </c>
      <c r="G68" s="282">
        <f t="shared" si="9"/>
        <v>1350.5794286394669</v>
      </c>
      <c r="H68" s="282">
        <f t="shared" si="9"/>
        <v>1375.8173502548311</v>
      </c>
      <c r="I68" s="282">
        <f t="shared" si="9"/>
        <v>1411.6156893113766</v>
      </c>
      <c r="J68" s="282">
        <f t="shared" si="9"/>
        <v>1375.2824750734162</v>
      </c>
      <c r="K68" s="282">
        <f t="shared" si="9"/>
        <v>1334.3803130509314</v>
      </c>
      <c r="L68" s="282">
        <f t="shared" si="9"/>
        <v>1353.9948822402539</v>
      </c>
      <c r="M68" s="282">
        <f t="shared" si="9"/>
        <v>1344.5024695298421</v>
      </c>
      <c r="N68" s="282">
        <f t="shared" si="9"/>
        <v>1283.2001953735639</v>
      </c>
    </row>
    <row r="69" spans="2:15">
      <c r="B69" s="363" t="str">
        <f>Entrant_need_figures!B20</f>
        <v>Classics</v>
      </c>
      <c r="C69" s="282">
        <f t="shared" si="3"/>
        <v>40.462977276203873</v>
      </c>
      <c r="D69" s="282">
        <f t="shared" si="6"/>
        <v>40.103914155770951</v>
      </c>
      <c r="E69" s="556">
        <f t="shared" si="5"/>
        <v>38.885487227047463</v>
      </c>
      <c r="F69" s="282">
        <f t="shared" ref="F69:N69" si="10">F19</f>
        <v>37.79443409415417</v>
      </c>
      <c r="G69" s="282">
        <f t="shared" si="10"/>
        <v>37.320608334297425</v>
      </c>
      <c r="H69" s="282">
        <f t="shared" si="10"/>
        <v>37.508610997447512</v>
      </c>
      <c r="I69" s="282">
        <f t="shared" si="10"/>
        <v>38.178825260527432</v>
      </c>
      <c r="J69" s="282">
        <f t="shared" si="10"/>
        <v>37.964857506925505</v>
      </c>
      <c r="K69" s="282">
        <f t="shared" si="10"/>
        <v>37.386645759601443</v>
      </c>
      <c r="L69" s="282">
        <f t="shared" si="10"/>
        <v>36.484506038977038</v>
      </c>
      <c r="M69" s="282">
        <f t="shared" si="10"/>
        <v>35.996949863146021</v>
      </c>
      <c r="N69" s="282">
        <f t="shared" si="10"/>
        <v>35.965383679281501</v>
      </c>
    </row>
    <row r="70" spans="2:15">
      <c r="B70" s="363" t="str">
        <f>Entrant_need_figures!B21</f>
        <v>Computing</v>
      </c>
      <c r="C70" s="282">
        <f t="shared" si="3"/>
        <v>709.32546447980587</v>
      </c>
      <c r="D70" s="282">
        <f t="shared" si="6"/>
        <v>843.57843472215291</v>
      </c>
      <c r="E70" s="556">
        <f t="shared" si="5"/>
        <v>606.54529199878812</v>
      </c>
      <c r="F70" s="282">
        <f t="shared" ref="F70:N70" si="11">F20</f>
        <v>583.35086242820535</v>
      </c>
      <c r="G70" s="282">
        <f t="shared" si="11"/>
        <v>773.9857188455577</v>
      </c>
      <c r="H70" s="282">
        <f t="shared" si="11"/>
        <v>832.54281536747317</v>
      </c>
      <c r="I70" s="282">
        <f t="shared" si="11"/>
        <v>846.49492966501373</v>
      </c>
      <c r="J70" s="282">
        <f t="shared" si="11"/>
        <v>853.1581471224514</v>
      </c>
      <c r="K70" s="282">
        <f t="shared" si="11"/>
        <v>827.13041414329996</v>
      </c>
      <c r="L70" s="282">
        <f t="shared" si="11"/>
        <v>808.33190401463776</v>
      </c>
      <c r="M70" s="282">
        <f t="shared" si="11"/>
        <v>796.29075672587828</v>
      </c>
      <c r="N70" s="282">
        <f t="shared" si="11"/>
        <v>800.54945796281163</v>
      </c>
    </row>
    <row r="71" spans="2:15">
      <c r="B71" s="363" t="str">
        <f>Entrant_need_figures!B22</f>
        <v>Design &amp; Technology</v>
      </c>
      <c r="C71" s="282">
        <f t="shared" si="3"/>
        <v>1245.0689442608946</v>
      </c>
      <c r="D71" s="282">
        <f t="shared" si="6"/>
        <v>1311.846587985312</v>
      </c>
      <c r="E71" s="556">
        <f t="shared" si="5"/>
        <v>1012.1564823549604</v>
      </c>
      <c r="F71" s="282">
        <f t="shared" ref="F71:N71" si="12">F21</f>
        <v>918.40314532993511</v>
      </c>
      <c r="G71" s="282">
        <f t="shared" si="12"/>
        <v>1109.0705573766031</v>
      </c>
      <c r="H71" s="282">
        <f t="shared" si="12"/>
        <v>1164.802208393276</v>
      </c>
      <c r="I71" s="282">
        <f t="shared" si="12"/>
        <v>1142.0498555740651</v>
      </c>
      <c r="J71" s="282">
        <f t="shared" si="12"/>
        <v>1162.780409032571</v>
      </c>
      <c r="K71" s="282">
        <f t="shared" si="12"/>
        <v>1093.2713559971535</v>
      </c>
      <c r="L71" s="282">
        <f t="shared" si="12"/>
        <v>1024.9326813218624</v>
      </c>
      <c r="M71" s="282">
        <f t="shared" si="12"/>
        <v>991.48896928915133</v>
      </c>
      <c r="N71" s="282">
        <f t="shared" si="12"/>
        <v>1034.7806866282249</v>
      </c>
    </row>
    <row r="72" spans="2:15">
      <c r="B72" s="363" t="str">
        <f>Entrant_need_figures!B23</f>
        <v>Drama</v>
      </c>
      <c r="C72" s="282">
        <f t="shared" si="3"/>
        <v>500.66562407477022</v>
      </c>
      <c r="D72" s="282">
        <f t="shared" si="6"/>
        <v>535.81534290220816</v>
      </c>
      <c r="E72" s="556">
        <f t="shared" si="5"/>
        <v>524.0947653422545</v>
      </c>
      <c r="F72" s="282">
        <f t="shared" ref="F72:N72" si="13">F22</f>
        <v>506.27762177873194</v>
      </c>
      <c r="G72" s="282">
        <f t="shared" si="13"/>
        <v>502.59427234489328</v>
      </c>
      <c r="H72" s="282">
        <f t="shared" si="13"/>
        <v>542.0105294600877</v>
      </c>
      <c r="I72" s="282">
        <f t="shared" si="13"/>
        <v>545.64501769486344</v>
      </c>
      <c r="J72" s="282">
        <f t="shared" si="13"/>
        <v>558.07417897334494</v>
      </c>
      <c r="K72" s="282">
        <f t="shared" si="13"/>
        <v>535.94832354417588</v>
      </c>
      <c r="L72" s="282">
        <f t="shared" si="13"/>
        <v>515.54095619313125</v>
      </c>
      <c r="M72" s="282">
        <f t="shared" si="13"/>
        <v>506.49020975013286</v>
      </c>
      <c r="N72" s="282">
        <f t="shared" si="13"/>
        <v>522.93864569563834</v>
      </c>
    </row>
    <row r="73" spans="2:15">
      <c r="B73" s="363" t="str">
        <f>Entrant_need_figures!B24</f>
        <v>English</v>
      </c>
      <c r="C73" s="282">
        <f t="shared" si="3"/>
        <v>3778.1104864577228</v>
      </c>
      <c r="D73" s="282">
        <f t="shared" si="6"/>
        <v>3599.4228192505816</v>
      </c>
      <c r="E73" s="556">
        <f t="shared" si="5"/>
        <v>3862.8994883252717</v>
      </c>
      <c r="F73" s="282">
        <f t="shared" ref="F73:N73" si="14">F23</f>
        <v>3701.4082860658532</v>
      </c>
      <c r="G73" s="282">
        <f t="shared" si="14"/>
        <v>3615.2957762173473</v>
      </c>
      <c r="H73" s="282">
        <f t="shared" si="14"/>
        <v>3630.9258555009756</v>
      </c>
      <c r="I73" s="282">
        <f t="shared" si="14"/>
        <v>3661.6593030373506</v>
      </c>
      <c r="J73" s="282">
        <f t="shared" si="14"/>
        <v>3620.3691206946369</v>
      </c>
      <c r="K73" s="282">
        <f t="shared" si="14"/>
        <v>3455.9903259364196</v>
      </c>
      <c r="L73" s="282">
        <f t="shared" si="14"/>
        <v>3435.1827295512644</v>
      </c>
      <c r="M73" s="282">
        <f t="shared" si="14"/>
        <v>3388.9169995444304</v>
      </c>
      <c r="N73" s="282">
        <f t="shared" si="14"/>
        <v>3324.7251138627344</v>
      </c>
    </row>
    <row r="74" spans="2:15">
      <c r="B74" s="363" t="str">
        <f>Entrant_need_figures!B25</f>
        <v>Food</v>
      </c>
      <c r="C74" s="282">
        <f t="shared" si="3"/>
        <v>234.07235550154263</v>
      </c>
      <c r="D74" s="282">
        <f t="shared" si="6"/>
        <v>284.27617634968738</v>
      </c>
      <c r="E74" s="556">
        <f t="shared" si="5"/>
        <v>194.17053582383005</v>
      </c>
      <c r="F74" s="282">
        <f t="shared" ref="F74:N74" si="15">F24</f>
        <v>170.8270791023503</v>
      </c>
      <c r="G74" s="282">
        <f t="shared" si="15"/>
        <v>230.37708101191996</v>
      </c>
      <c r="H74" s="282">
        <f t="shared" si="15"/>
        <v>245.70104364650734</v>
      </c>
      <c r="I74" s="282">
        <f t="shared" si="15"/>
        <v>246.34790451003173</v>
      </c>
      <c r="J74" s="282">
        <f t="shared" si="15"/>
        <v>236.46023169056463</v>
      </c>
      <c r="K74" s="282">
        <f t="shared" si="15"/>
        <v>224.73956387035648</v>
      </c>
      <c r="L74" s="282">
        <f t="shared" si="15"/>
        <v>226.24983913949038</v>
      </c>
      <c r="M74" s="282">
        <f t="shared" si="15"/>
        <v>222.57327350751743</v>
      </c>
      <c r="N74" s="282">
        <f t="shared" si="15"/>
        <v>210.23572617202188</v>
      </c>
    </row>
    <row r="75" spans="2:15">
      <c r="B75" s="363" t="str">
        <f>Entrant_need_figures!B26</f>
        <v>Geography</v>
      </c>
      <c r="C75" s="282">
        <f t="shared" si="3"/>
        <v>1091.6578874521288</v>
      </c>
      <c r="D75" s="282">
        <f t="shared" si="6"/>
        <v>1176.8486226628406</v>
      </c>
      <c r="E75" s="556">
        <f t="shared" si="5"/>
        <v>1578.1307391323012</v>
      </c>
      <c r="F75" s="282">
        <f t="shared" ref="F75:N75" si="16">F25</f>
        <v>1559.9435854724363</v>
      </c>
      <c r="G75" s="282">
        <f t="shared" si="16"/>
        <v>1330.3897823669502</v>
      </c>
      <c r="H75" s="282">
        <f t="shared" si="16"/>
        <v>1288.7634130233025</v>
      </c>
      <c r="I75" s="282">
        <f t="shared" si="16"/>
        <v>1294.644023061835</v>
      </c>
      <c r="J75" s="282">
        <f t="shared" si="16"/>
        <v>1303.7414380971634</v>
      </c>
      <c r="K75" s="282">
        <f t="shared" si="16"/>
        <v>1244.6928236847466</v>
      </c>
      <c r="L75" s="282">
        <f t="shared" si="16"/>
        <v>1213.3361672022436</v>
      </c>
      <c r="M75" s="282">
        <f t="shared" si="16"/>
        <v>1192.8208878862974</v>
      </c>
      <c r="N75" s="282">
        <f t="shared" si="16"/>
        <v>1204.3424150166754</v>
      </c>
    </row>
    <row r="76" spans="2:15">
      <c r="B76" s="363" t="str">
        <f>Entrant_need_figures!B27</f>
        <v>History</v>
      </c>
      <c r="C76" s="282">
        <f t="shared" si="3"/>
        <v>1081.6752707668475</v>
      </c>
      <c r="D76" s="282">
        <f t="shared" si="6"/>
        <v>1242.6293981653848</v>
      </c>
      <c r="E76" s="556">
        <f t="shared" si="5"/>
        <v>1516.6921585404023</v>
      </c>
      <c r="F76" s="282">
        <f t="shared" ref="F76:N76" si="17">F26</f>
        <v>1571.7216952093804</v>
      </c>
      <c r="G76" s="282">
        <f t="shared" si="17"/>
        <v>1361.6441528973978</v>
      </c>
      <c r="H76" s="282">
        <f t="shared" si="17"/>
        <v>1350.7580453005312</v>
      </c>
      <c r="I76" s="282">
        <f t="shared" si="17"/>
        <v>1362.0636501364806</v>
      </c>
      <c r="J76" s="282">
        <f t="shared" si="17"/>
        <v>1369.6103235530522</v>
      </c>
      <c r="K76" s="282">
        <f t="shared" si="17"/>
        <v>1313.2053394274715</v>
      </c>
      <c r="L76" s="282">
        <f t="shared" si="17"/>
        <v>1282.8334505470709</v>
      </c>
      <c r="M76" s="282">
        <f t="shared" si="17"/>
        <v>1262.3868850136987</v>
      </c>
      <c r="N76" s="282">
        <f t="shared" si="17"/>
        <v>1270.4926074627915</v>
      </c>
    </row>
    <row r="77" spans="2:15">
      <c r="B77" s="363" t="str">
        <f>Entrant_need_figures!B28</f>
        <v>Mathematics</v>
      </c>
      <c r="C77" s="282">
        <f t="shared" si="3"/>
        <v>4533.0586834746464</v>
      </c>
      <c r="D77" s="282">
        <f t="shared" si="6"/>
        <v>4151.1912952787143</v>
      </c>
      <c r="E77" s="556">
        <f t="shared" si="5"/>
        <v>4253.0396385280801</v>
      </c>
      <c r="F77" s="282">
        <f t="shared" ref="F77:N77" si="18">F27</f>
        <v>4116.8985425687888</v>
      </c>
      <c r="G77" s="282">
        <f t="shared" si="18"/>
        <v>4076.1032526889899</v>
      </c>
      <c r="H77" s="282">
        <f t="shared" si="18"/>
        <v>3972.780827279938</v>
      </c>
      <c r="I77" s="282">
        <f t="shared" si="18"/>
        <v>3999.0652238733483</v>
      </c>
      <c r="J77" s="282">
        <f t="shared" si="18"/>
        <v>3952.3341882604354</v>
      </c>
      <c r="K77" s="282">
        <f t="shared" si="18"/>
        <v>3780.3366397170557</v>
      </c>
      <c r="L77" s="282">
        <f t="shared" si="18"/>
        <v>3737.8028243573672</v>
      </c>
      <c r="M77" s="282">
        <f t="shared" si="18"/>
        <v>3678.4063194105711</v>
      </c>
      <c r="N77" s="282">
        <f t="shared" si="18"/>
        <v>3612.9428403986103</v>
      </c>
    </row>
    <row r="78" spans="2:15">
      <c r="B78" s="363" t="str">
        <f>Entrant_need_figures!B29</f>
        <v>Modern Foreign Languages</v>
      </c>
      <c r="C78" s="282">
        <f t="shared" si="3"/>
        <v>1598.4891505508069</v>
      </c>
      <c r="D78" s="282">
        <f t="shared" si="6"/>
        <v>1814.5522420788348</v>
      </c>
      <c r="E78" s="556">
        <f t="shared" si="5"/>
        <v>3169.8238040684982</v>
      </c>
      <c r="F78" s="282">
        <f t="shared" ref="F78:N78" si="19">F28</f>
        <v>3382.5455067966113</v>
      </c>
      <c r="G78" s="282">
        <f t="shared" si="19"/>
        <v>2577.6234451171326</v>
      </c>
      <c r="H78" s="282">
        <f t="shared" si="19"/>
        <v>2200.730093337505</v>
      </c>
      <c r="I78" s="282">
        <f t="shared" si="19"/>
        <v>2191.2039640264884</v>
      </c>
      <c r="J78" s="282">
        <f t="shared" si="19"/>
        <v>2194.4925909694066</v>
      </c>
      <c r="K78" s="282">
        <f t="shared" si="19"/>
        <v>2077.6440279294093</v>
      </c>
      <c r="L78" s="282">
        <f t="shared" si="19"/>
        <v>2017.5374365779689</v>
      </c>
      <c r="M78" s="282">
        <f t="shared" si="19"/>
        <v>1973.8877271487099</v>
      </c>
      <c r="N78" s="282">
        <f t="shared" si="19"/>
        <v>1984.3324489999882</v>
      </c>
    </row>
    <row r="79" spans="2:15">
      <c r="B79" s="363" t="str">
        <f>Entrant_need_figures!B30</f>
        <v>Music</v>
      </c>
      <c r="C79" s="282">
        <f t="shared" si="3"/>
        <v>518.19712238615239</v>
      </c>
      <c r="D79" s="282">
        <f t="shared" si="6"/>
        <v>563.21972711972126</v>
      </c>
      <c r="E79" s="556">
        <f t="shared" si="5"/>
        <v>572.59936089012535</v>
      </c>
      <c r="F79" s="282">
        <f t="shared" ref="F79:N79" si="20">F29</f>
        <v>592.16071758430417</v>
      </c>
      <c r="G79" s="282">
        <f t="shared" si="20"/>
        <v>583.48353399109374</v>
      </c>
      <c r="H79" s="282">
        <f t="shared" si="20"/>
        <v>573.27595593338151</v>
      </c>
      <c r="I79" s="282">
        <f t="shared" si="20"/>
        <v>567.32244580792019</v>
      </c>
      <c r="J79" s="282">
        <f t="shared" si="20"/>
        <v>588.9684862115779</v>
      </c>
      <c r="K79" s="282">
        <f t="shared" si="20"/>
        <v>557.81099730005849</v>
      </c>
      <c r="L79" s="282">
        <f t="shared" si="20"/>
        <v>522.11676448490664</v>
      </c>
      <c r="M79" s="282">
        <f t="shared" si="20"/>
        <v>508.07188932545034</v>
      </c>
      <c r="N79" s="282">
        <f t="shared" si="20"/>
        <v>541.22773670326114</v>
      </c>
    </row>
    <row r="80" spans="2:15">
      <c r="B80" s="363" t="str">
        <f>Entrant_need_figures!B31</f>
        <v>Others</v>
      </c>
      <c r="C80" s="282">
        <f t="shared" si="3"/>
        <v>1500.072456160216</v>
      </c>
      <c r="D80" s="282">
        <f t="shared" si="6"/>
        <v>1426.8587676432212</v>
      </c>
      <c r="E80" s="556">
        <f t="shared" si="5"/>
        <v>1185.3582393233153</v>
      </c>
      <c r="F80" s="282">
        <f t="shared" ref="F80:N80" si="21">F30</f>
        <v>976.81158309329089</v>
      </c>
      <c r="G80" s="282">
        <f t="shared" si="21"/>
        <v>1246.1324373362588</v>
      </c>
      <c r="H80" s="282">
        <f t="shared" si="21"/>
        <v>1453.4041357684314</v>
      </c>
      <c r="I80" s="282">
        <f t="shared" si="21"/>
        <v>1534.617368578306</v>
      </c>
      <c r="J80" s="282">
        <f t="shared" si="21"/>
        <v>1533.1794714305215</v>
      </c>
      <c r="K80" s="282">
        <f t="shared" si="21"/>
        <v>1557.5545323627464</v>
      </c>
      <c r="L80" s="282">
        <f t="shared" si="21"/>
        <v>1542.6215110310686</v>
      </c>
      <c r="M80" s="282">
        <f t="shared" si="21"/>
        <v>1536.1819899927011</v>
      </c>
      <c r="N80" s="282">
        <f t="shared" si="21"/>
        <v>1520.0108002949419</v>
      </c>
    </row>
    <row r="81" spans="2:15">
      <c r="B81" s="363" t="str">
        <f>Entrant_need_figures!B32</f>
        <v>Physical Education</v>
      </c>
      <c r="C81" s="282">
        <f t="shared" si="3"/>
        <v>1349.2738287837035</v>
      </c>
      <c r="D81" s="282">
        <f t="shared" si="6"/>
        <v>1686.8057178190093</v>
      </c>
      <c r="E81" s="556">
        <f t="shared" si="5"/>
        <v>1515.9865558265149</v>
      </c>
      <c r="F81" s="282">
        <f t="shared" ref="F81:N81" si="22">F31</f>
        <v>1482.5629363650601</v>
      </c>
      <c r="G81" s="282">
        <f t="shared" si="22"/>
        <v>1662.3140725742633</v>
      </c>
      <c r="H81" s="282">
        <f t="shared" si="22"/>
        <v>1742.4954335829016</v>
      </c>
      <c r="I81" s="282">
        <f t="shared" si="22"/>
        <v>1768.7514463063585</v>
      </c>
      <c r="J81" s="282">
        <f t="shared" si="22"/>
        <v>1780.1332561342128</v>
      </c>
      <c r="K81" s="282">
        <f t="shared" si="22"/>
        <v>1704.1827534635227</v>
      </c>
      <c r="L81" s="282">
        <f t="shared" si="22"/>
        <v>1683.241480888559</v>
      </c>
      <c r="M81" s="282">
        <f t="shared" si="22"/>
        <v>1664.9481247333433</v>
      </c>
      <c r="N81" s="282">
        <f t="shared" si="22"/>
        <v>1669.1868353152549</v>
      </c>
    </row>
    <row r="82" spans="2:15">
      <c r="B82" s="363" t="str">
        <f>Entrant_need_figures!B33</f>
        <v>Physics</v>
      </c>
      <c r="C82" s="282">
        <f t="shared" si="3"/>
        <v>1631.0443069596247</v>
      </c>
      <c r="D82" s="282">
        <f t="shared" si="6"/>
        <v>1285.3823896686515</v>
      </c>
      <c r="E82" s="556">
        <f t="shared" si="5"/>
        <v>1355.7186393380998</v>
      </c>
      <c r="F82" s="282">
        <f t="shared" ref="F82:N82" si="23">F32</f>
        <v>1351.3681617479645</v>
      </c>
      <c r="G82" s="282">
        <f t="shared" si="23"/>
        <v>1326.0834198792879</v>
      </c>
      <c r="H82" s="282">
        <f t="shared" si="23"/>
        <v>1347.1957044035869</v>
      </c>
      <c r="I82" s="282">
        <f t="shared" si="23"/>
        <v>1378.2996306252403</v>
      </c>
      <c r="J82" s="282">
        <f t="shared" si="23"/>
        <v>1336.4078717100294</v>
      </c>
      <c r="K82" s="282">
        <f t="shared" si="23"/>
        <v>1290.9992024313312</v>
      </c>
      <c r="L82" s="282">
        <f t="shared" si="23"/>
        <v>1312.4413665041593</v>
      </c>
      <c r="M82" s="282">
        <f t="shared" si="23"/>
        <v>1301.8671056283961</v>
      </c>
      <c r="N82" s="282">
        <f t="shared" si="23"/>
        <v>1234.9691066198673</v>
      </c>
      <c r="O82" s="570"/>
    </row>
    <row r="83" spans="2:15">
      <c r="B83" s="363" t="str">
        <f>Entrant_need_figures!B15</f>
        <v>Primary</v>
      </c>
      <c r="C83" s="282">
        <f t="shared" si="3"/>
        <v>27538.544661464744</v>
      </c>
      <c r="D83" s="282">
        <f t="shared" si="6"/>
        <v>26105.002673937081</v>
      </c>
      <c r="E83" s="556">
        <f t="shared" si="5"/>
        <v>25804.401119795846</v>
      </c>
      <c r="F83" s="282">
        <f t="shared" ref="F83:N83" si="24">F33</f>
        <v>24509.091093232932</v>
      </c>
      <c r="G83" s="282">
        <f t="shared" si="24"/>
        <v>24656.998817781678</v>
      </c>
      <c r="H83" s="282">
        <f t="shared" si="24"/>
        <v>24432.263410506512</v>
      </c>
      <c r="I83" s="282">
        <f t="shared" si="24"/>
        <v>24102.311757997213</v>
      </c>
      <c r="J83" s="282">
        <f t="shared" si="24"/>
        <v>23873.194543470338</v>
      </c>
      <c r="K83" s="282">
        <f t="shared" si="24"/>
        <v>24450.504710155619</v>
      </c>
      <c r="L83" s="282">
        <f t="shared" si="24"/>
        <v>24916.785672652128</v>
      </c>
      <c r="M83" s="282">
        <f t="shared" si="24"/>
        <v>25036.449572418685</v>
      </c>
      <c r="N83" s="282">
        <f t="shared" si="24"/>
        <v>24924.618653464819</v>
      </c>
    </row>
    <row r="84" spans="2:15">
      <c r="B84" s="363" t="str">
        <f>Entrant_need_figures!B34</f>
        <v>Religious Education</v>
      </c>
      <c r="C84" s="282">
        <f t="shared" si="3"/>
        <v>775.65420682677745</v>
      </c>
      <c r="D84" s="282">
        <f t="shared" si="6"/>
        <v>844.58048482276604</v>
      </c>
      <c r="E84" s="556">
        <f t="shared" si="5"/>
        <v>931.01598996858297</v>
      </c>
      <c r="F84" s="282">
        <f t="shared" ref="F84:N84" si="25">F34</f>
        <v>869.6491609035586</v>
      </c>
      <c r="G84" s="282">
        <f t="shared" si="25"/>
        <v>859.61255847662369</v>
      </c>
      <c r="H84" s="282">
        <f t="shared" si="25"/>
        <v>856.12941752747361</v>
      </c>
      <c r="I84" s="282">
        <f t="shared" si="25"/>
        <v>860.61204165418258</v>
      </c>
      <c r="J84" s="282">
        <f t="shared" si="25"/>
        <v>858.62926053302999</v>
      </c>
      <c r="K84" s="282">
        <f t="shared" si="25"/>
        <v>819.65340700371758</v>
      </c>
      <c r="L84" s="282">
        <f t="shared" si="25"/>
        <v>803.41817740504644</v>
      </c>
      <c r="M84" s="282">
        <f t="shared" si="25"/>
        <v>789.95652782432785</v>
      </c>
      <c r="N84" s="282">
        <f t="shared" si="25"/>
        <v>787.98840072046607</v>
      </c>
    </row>
    <row r="85" spans="2:15" ht="25.5">
      <c r="B85" s="338" t="s">
        <v>813</v>
      </c>
      <c r="C85" s="282">
        <f>SUM(C65:C84)-C83</f>
        <v>25325.981524290866</v>
      </c>
      <c r="D85" s="282">
        <f t="shared" ref="D85:N85" si="26">SUM(D65:D84)-D83</f>
        <v>24864.323988923083</v>
      </c>
      <c r="E85" s="556">
        <f t="shared" si="26"/>
        <v>26448.871508078941</v>
      </c>
      <c r="F85" s="282">
        <f t="shared" si="26"/>
        <v>25797.106539924713</v>
      </c>
      <c r="G85" s="282">
        <f t="shared" si="26"/>
        <v>25450.041469507822</v>
      </c>
      <c r="H85" s="282">
        <f t="shared" si="26"/>
        <v>25527.010741858019</v>
      </c>
      <c r="I85" s="282">
        <f t="shared" si="26"/>
        <v>25845.896651495761</v>
      </c>
      <c r="J85" s="282">
        <f t="shared" si="26"/>
        <v>25731.139914905129</v>
      </c>
      <c r="K85" s="282">
        <f t="shared" si="26"/>
        <v>24759.538609418589</v>
      </c>
      <c r="L85" s="282">
        <f t="shared" si="26"/>
        <v>24416.167627861571</v>
      </c>
      <c r="M85" s="282">
        <f t="shared" si="26"/>
        <v>24069.983113000366</v>
      </c>
      <c r="N85" s="282">
        <f t="shared" si="26"/>
        <v>23849.453533819546</v>
      </c>
    </row>
    <row r="87" spans="2:15">
      <c r="B87" s="325"/>
    </row>
  </sheetData>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E65:E85" formula="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1"/>
  <sheetViews>
    <sheetView showGridLines="0" workbookViewId="0"/>
  </sheetViews>
  <sheetFormatPr defaultRowHeight="12.75"/>
  <cols>
    <col min="2" max="2" width="26.7109375" customWidth="1"/>
    <col min="3" max="20" width="10.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89" customFormat="1">
      <c r="A4" s="590" t="s">
        <v>26</v>
      </c>
      <c r="B4" s="590"/>
      <c r="C4" s="590"/>
      <c r="D4" s="292"/>
      <c r="E4" s="590"/>
      <c r="F4" s="590"/>
      <c r="G4" s="590"/>
      <c r="H4" s="590"/>
      <c r="I4" s="590"/>
      <c r="J4" s="590"/>
      <c r="K4" s="590"/>
      <c r="L4" s="590"/>
      <c r="M4" s="590"/>
      <c r="N4" s="590"/>
    </row>
    <row r="5" spans="1:17" s="588" customFormat="1" ht="13.15" customHeight="1">
      <c r="A5" s="707" t="s">
        <v>1463</v>
      </c>
      <c r="B5" s="707"/>
      <c r="C5" s="707"/>
      <c r="D5" s="707"/>
      <c r="E5" s="707"/>
      <c r="F5" s="707"/>
      <c r="G5" s="707"/>
      <c r="H5" s="707"/>
      <c r="I5" s="707"/>
      <c r="J5" s="707"/>
      <c r="K5" s="707"/>
      <c r="L5" s="707"/>
      <c r="M5" s="707"/>
      <c r="N5" s="707"/>
      <c r="O5" s="707"/>
      <c r="P5" s="707"/>
      <c r="Q5" s="707"/>
    </row>
    <row r="6" spans="1:17" s="585" customFormat="1">
      <c r="A6" s="587" t="s">
        <v>1420</v>
      </c>
      <c r="B6" s="61"/>
      <c r="C6" s="61"/>
      <c r="D6" s="292"/>
      <c r="E6" s="61"/>
      <c r="F6" s="61"/>
      <c r="G6" s="61"/>
      <c r="H6" s="61"/>
      <c r="I6" s="61"/>
      <c r="J6" s="61"/>
      <c r="K6" s="61"/>
      <c r="L6" s="61"/>
      <c r="M6" s="61"/>
      <c r="N6" s="61"/>
      <c r="O6" s="45"/>
    </row>
    <row r="7" spans="1:17" s="585" customFormat="1">
      <c r="A7" s="586" t="s">
        <v>720</v>
      </c>
      <c r="B7" s="587"/>
      <c r="C7" s="61"/>
      <c r="D7" s="292"/>
      <c r="E7" s="61"/>
      <c r="F7" s="61"/>
      <c r="G7" s="61"/>
      <c r="H7" s="61"/>
      <c r="I7" s="61"/>
      <c r="J7" s="61"/>
      <c r="K7" s="61"/>
      <c r="L7" s="61"/>
      <c r="M7" s="61"/>
      <c r="N7" s="61"/>
      <c r="O7" s="45"/>
    </row>
    <row r="8" spans="1:17" s="585" customFormat="1">
      <c r="A8" s="587" t="s">
        <v>24</v>
      </c>
      <c r="B8" s="61"/>
      <c r="C8" s="61"/>
      <c r="D8" s="292"/>
      <c r="E8" s="61"/>
      <c r="F8" s="61"/>
      <c r="G8" s="61"/>
      <c r="H8" s="61"/>
      <c r="I8" s="61"/>
      <c r="J8" s="61"/>
      <c r="K8" s="61"/>
      <c r="L8" s="61"/>
      <c r="M8" s="61"/>
      <c r="N8" s="61"/>
      <c r="O8" s="45"/>
    </row>
    <row r="9" spans="1:17" s="585" customFormat="1">
      <c r="A9" s="586" t="s">
        <v>719</v>
      </c>
      <c r="B9" s="61"/>
      <c r="C9" s="61"/>
      <c r="D9" s="292"/>
      <c r="E9" s="61"/>
      <c r="F9" s="61"/>
      <c r="G9" s="61"/>
      <c r="H9" s="61"/>
      <c r="I9" s="61"/>
      <c r="J9" s="61"/>
      <c r="K9" s="61"/>
      <c r="L9" s="61"/>
      <c r="M9" s="61"/>
      <c r="N9" s="61"/>
      <c r="O9" s="45"/>
    </row>
    <row r="10" spans="1:17" s="583" customFormat="1">
      <c r="A10" s="584">
        <f>SUM(A13:A2083)</f>
        <v>0</v>
      </c>
      <c r="B10" s="73"/>
      <c r="C10" s="48"/>
      <c r="D10" s="48"/>
      <c r="E10" s="48"/>
      <c r="F10" s="72"/>
      <c r="G10" s="48"/>
      <c r="H10" s="72"/>
      <c r="I10" s="49"/>
      <c r="J10" s="49"/>
      <c r="K10" s="49"/>
      <c r="L10" s="49"/>
      <c r="M10" s="49"/>
      <c r="N10" s="49"/>
      <c r="O10" s="49"/>
    </row>
    <row r="12" spans="1:17">
      <c r="H12" s="76" t="s">
        <v>110</v>
      </c>
    </row>
    <row r="14" spans="1:17">
      <c r="H14" s="5">
        <v>0.1</v>
      </c>
      <c r="I14" s="5">
        <v>0.2</v>
      </c>
      <c r="J14" s="5">
        <v>0.3</v>
      </c>
      <c r="K14" s="5">
        <v>0.4</v>
      </c>
    </row>
    <row r="16" spans="1:17" ht="18">
      <c r="B16" s="39" t="s">
        <v>718</v>
      </c>
      <c r="H16" s="150" t="s">
        <v>1421</v>
      </c>
    </row>
    <row r="18" spans="2:6">
      <c r="B18" s="150" t="s">
        <v>717</v>
      </c>
    </row>
    <row r="20" spans="2:6">
      <c r="B20" s="1183" t="str">
        <f>RAW_DATA_INPUTS!B438</f>
        <v>Entrant route</v>
      </c>
      <c r="C20" s="1160" t="s">
        <v>74</v>
      </c>
      <c r="D20" s="1160"/>
      <c r="E20" s="1160"/>
      <c r="F20" s="1160"/>
    </row>
    <row r="21" spans="2:6">
      <c r="B21" s="1184"/>
      <c r="C21" s="8" t="str">
        <f>RAW_DATA_INPUTS!C438</f>
        <v>2011/12</v>
      </c>
      <c r="D21" s="8" t="str">
        <f>RAW_DATA_INPUTS!D438</f>
        <v>2012/13</v>
      </c>
      <c r="E21" s="8" t="str">
        <f>RAW_DATA_INPUTS!E438</f>
        <v>2013/14</v>
      </c>
      <c r="F21" s="8" t="str">
        <f>RAW_DATA_INPUTS!F438</f>
        <v>2014/15</v>
      </c>
    </row>
    <row r="22" spans="2:6">
      <c r="B22" s="8" t="str">
        <f>RAW_DATA_INPUTS!B439</f>
        <v>New to state-funded sector</v>
      </c>
      <c r="C22" s="307">
        <f>RAW_DATA_INPUTS!C439</f>
        <v>4372.5929999999998</v>
      </c>
      <c r="D22" s="307">
        <f>RAW_DATA_INPUTS!D439</f>
        <v>4199.875</v>
      </c>
      <c r="E22" s="307">
        <f>RAW_DATA_INPUTS!E439</f>
        <v>4051.1689999999999</v>
      </c>
      <c r="F22" s="307">
        <f>RAW_DATA_INPUTS!F439</f>
        <v>3693.4470000000001</v>
      </c>
    </row>
    <row r="23" spans="2:6">
      <c r="B23" s="8" t="str">
        <f>RAW_DATA_INPUTS!B440</f>
        <v>Re-entrants</v>
      </c>
      <c r="C23" s="307">
        <f>RAW_DATA_INPUTS!C440</f>
        <v>7952.49</v>
      </c>
      <c r="D23" s="307">
        <f>RAW_DATA_INPUTS!D440</f>
        <v>8276.0380000000005</v>
      </c>
      <c r="E23" s="307">
        <f>RAW_DATA_INPUTS!E440</f>
        <v>8982.8410000000003</v>
      </c>
      <c r="F23" s="307">
        <f>RAW_DATA_INPUTS!F440</f>
        <v>8875.7720000000008</v>
      </c>
    </row>
    <row r="24" spans="2:6">
      <c r="B24" s="8" t="str">
        <f>RAW_DATA_INPUTS!B441</f>
        <v>NQTs</v>
      </c>
      <c r="C24" s="307">
        <f>RAW_DATA_INPUTS!C441</f>
        <v>11663.958000000001</v>
      </c>
      <c r="D24" s="307">
        <f>RAW_DATA_INPUTS!D441</f>
        <v>12872.182000000001</v>
      </c>
      <c r="E24" s="307">
        <f>RAW_DATA_INPUTS!E441</f>
        <v>13585.184999999999</v>
      </c>
      <c r="F24" s="307">
        <f>RAW_DATA_INPUTS!F441</f>
        <v>14472.775</v>
      </c>
    </row>
    <row r="26" spans="2:6">
      <c r="B26" s="150" t="s">
        <v>716</v>
      </c>
    </row>
    <row r="28" spans="2:6">
      <c r="B28" s="1183" t="str">
        <f>RAW_DATA_INPUTS!B446</f>
        <v>Entrant route</v>
      </c>
      <c r="C28" s="1160" t="s">
        <v>74</v>
      </c>
      <c r="D28" s="1160"/>
      <c r="E28" s="1160"/>
      <c r="F28" s="1160"/>
    </row>
    <row r="29" spans="2:6">
      <c r="B29" s="1184"/>
      <c r="C29" s="8" t="str">
        <f>RAW_DATA_INPUTS!C446</f>
        <v>2011/12</v>
      </c>
      <c r="D29" s="8" t="str">
        <f>RAW_DATA_INPUTS!D446</f>
        <v>2012/13</v>
      </c>
      <c r="E29" s="8" t="str">
        <f>RAW_DATA_INPUTS!E446</f>
        <v>2013/14</v>
      </c>
      <c r="F29" s="8" t="str">
        <f>RAW_DATA_INPUTS!F446</f>
        <v>2014/15</v>
      </c>
    </row>
    <row r="30" spans="2:6">
      <c r="B30" s="8" t="str">
        <f t="shared" ref="B30:F32" si="0">B22</f>
        <v>New to state-funded sector</v>
      </c>
      <c r="C30" s="462">
        <f>C22</f>
        <v>4372.5929999999998</v>
      </c>
      <c r="D30" s="462">
        <f t="shared" si="0"/>
        <v>4199.875</v>
      </c>
      <c r="E30" s="462">
        <f t="shared" si="0"/>
        <v>4051.1689999999999</v>
      </c>
      <c r="F30" s="462">
        <f t="shared" si="0"/>
        <v>3693.4470000000001</v>
      </c>
    </row>
    <row r="31" spans="2:6">
      <c r="B31" s="8" t="str">
        <f t="shared" si="0"/>
        <v>Re-entrants</v>
      </c>
      <c r="C31" s="462">
        <f t="shared" si="0"/>
        <v>7952.49</v>
      </c>
      <c r="D31" s="462">
        <f t="shared" si="0"/>
        <v>8276.0380000000005</v>
      </c>
      <c r="E31" s="462">
        <f t="shared" si="0"/>
        <v>8982.8410000000003</v>
      </c>
      <c r="F31" s="462">
        <f t="shared" si="0"/>
        <v>8875.7720000000008</v>
      </c>
    </row>
    <row r="32" spans="2:6">
      <c r="B32" s="8" t="str">
        <f t="shared" si="0"/>
        <v>NQTs</v>
      </c>
      <c r="C32" s="462">
        <f t="shared" si="0"/>
        <v>11663.958000000001</v>
      </c>
      <c r="D32" s="462">
        <f t="shared" si="0"/>
        <v>12872.182000000001</v>
      </c>
      <c r="E32" s="462">
        <f t="shared" si="0"/>
        <v>13585.184999999999</v>
      </c>
      <c r="F32" s="462">
        <f t="shared" si="0"/>
        <v>14472.775</v>
      </c>
    </row>
    <row r="33" spans="1:7">
      <c r="B33" s="8" t="s">
        <v>8</v>
      </c>
      <c r="C33" s="459">
        <f>SUM(C30:C32)</f>
        <v>23989.040999999997</v>
      </c>
      <c r="D33" s="459">
        <f>SUM(D30:D32)</f>
        <v>25348.095000000001</v>
      </c>
      <c r="E33" s="459">
        <f>SUM(E30:E32)</f>
        <v>26619.195</v>
      </c>
      <c r="F33" s="459">
        <f>SUM(F30:F32)</f>
        <v>27041.993999999999</v>
      </c>
    </row>
    <row r="34" spans="1:7" s="2" customFormat="1">
      <c r="A34" s="2">
        <f>SUM(C34:F34)</f>
        <v>0</v>
      </c>
      <c r="B34" s="148"/>
      <c r="C34" s="148">
        <f>SUM(C22:C24)-C33</f>
        <v>0</v>
      </c>
      <c r="D34" s="148">
        <f>SUM(D22:D24)-D33</f>
        <v>0</v>
      </c>
      <c r="E34" s="148">
        <f>SUM(E22:E24)-E33</f>
        <v>0</v>
      </c>
      <c r="F34" s="148">
        <f>SUM(F22:F24)-F33</f>
        <v>0</v>
      </c>
    </row>
    <row r="35" spans="1:7" s="2" customFormat="1">
      <c r="B35" s="148"/>
      <c r="C35" s="148"/>
      <c r="D35" s="148"/>
      <c r="E35" s="148"/>
      <c r="F35" s="148"/>
    </row>
    <row r="36" spans="1:7" ht="18">
      <c r="B36" s="39" t="s">
        <v>715</v>
      </c>
    </row>
    <row r="38" spans="1:7">
      <c r="B38" s="1183" t="str">
        <f>B28</f>
        <v>Entrant route</v>
      </c>
      <c r="C38" s="1160" t="str">
        <f>C28</f>
        <v>Year</v>
      </c>
      <c r="D38" s="1160"/>
      <c r="E38" s="1160"/>
      <c r="F38" s="1160"/>
    </row>
    <row r="39" spans="1:7">
      <c r="B39" s="1184"/>
      <c r="C39" s="8" t="str">
        <f>C29</f>
        <v>2011/12</v>
      </c>
      <c r="D39" s="8" t="str">
        <f>D29</f>
        <v>2012/13</v>
      </c>
      <c r="E39" s="8" t="str">
        <f>E29</f>
        <v>2013/14</v>
      </c>
      <c r="F39" s="8" t="str">
        <f>F29</f>
        <v>2014/15</v>
      </c>
    </row>
    <row r="40" spans="1:7" s="319" customFormat="1">
      <c r="B40" s="152" t="str">
        <f>B30</f>
        <v>New to state-funded sector</v>
      </c>
      <c r="C40" s="662">
        <f>C30/C$33</f>
        <v>0.18227460614202962</v>
      </c>
      <c r="D40" s="663">
        <f t="shared" ref="C40:F43" si="1">D30/D$33</f>
        <v>0.16568799351588354</v>
      </c>
      <c r="E40" s="662">
        <f t="shared" si="1"/>
        <v>0.15218976381517171</v>
      </c>
      <c r="F40" s="662">
        <f t="shared" si="1"/>
        <v>0.13658190294694986</v>
      </c>
    </row>
    <row r="41" spans="1:7">
      <c r="B41" s="141" t="str">
        <f>B31</f>
        <v>Re-entrants</v>
      </c>
      <c r="C41" s="662">
        <f t="shared" si="1"/>
        <v>0.33150512352703054</v>
      </c>
      <c r="D41" s="662">
        <f t="shared" si="1"/>
        <v>0.32649546247952754</v>
      </c>
      <c r="E41" s="662">
        <f t="shared" si="1"/>
        <v>0.33745727472224463</v>
      </c>
      <c r="F41" s="662">
        <f t="shared" si="1"/>
        <v>0.32822180198693934</v>
      </c>
    </row>
    <row r="42" spans="1:7">
      <c r="B42" s="141" t="str">
        <f>B32</f>
        <v>NQTs</v>
      </c>
      <c r="C42" s="662">
        <f t="shared" si="1"/>
        <v>0.48622027033093995</v>
      </c>
      <c r="D42" s="662">
        <f t="shared" si="1"/>
        <v>0.50781654400458887</v>
      </c>
      <c r="E42" s="662">
        <f t="shared" si="1"/>
        <v>0.51035296146258369</v>
      </c>
      <c r="F42" s="662">
        <f t="shared" si="1"/>
        <v>0.53519629506611088</v>
      </c>
    </row>
    <row r="43" spans="1:7">
      <c r="B43" s="141" t="s">
        <v>8</v>
      </c>
      <c r="C43" s="662">
        <f t="shared" si="1"/>
        <v>1</v>
      </c>
      <c r="D43" s="662">
        <f t="shared" si="1"/>
        <v>1</v>
      </c>
      <c r="E43" s="662">
        <f t="shared" si="1"/>
        <v>1</v>
      </c>
      <c r="F43" s="662">
        <f t="shared" si="1"/>
        <v>1</v>
      </c>
    </row>
    <row r="44" spans="1:7" s="2" customFormat="1">
      <c r="A44"/>
      <c r="B44"/>
      <c r="C44"/>
      <c r="D44"/>
      <c r="E44"/>
      <c r="F44"/>
    </row>
    <row r="45" spans="1:7" ht="18">
      <c r="B45" s="39" t="s">
        <v>714</v>
      </c>
    </row>
    <row r="47" spans="1:7">
      <c r="B47" s="141" t="str">
        <f>B38</f>
        <v>Entrant route</v>
      </c>
      <c r="C47" s="142" t="str">
        <f>C39</f>
        <v>2011/12</v>
      </c>
      <c r="D47" s="142" t="str">
        <f>D39</f>
        <v>2012/13</v>
      </c>
      <c r="E47" s="142" t="str">
        <f>E39</f>
        <v>2013/14</v>
      </c>
      <c r="F47" s="142" t="str">
        <f>F39</f>
        <v>2014/15</v>
      </c>
      <c r="G47" s="575" t="s">
        <v>8</v>
      </c>
    </row>
    <row r="48" spans="1:7">
      <c r="B48" s="152" t="str">
        <f>B40</f>
        <v>New to state-funded sector</v>
      </c>
      <c r="C48" s="662">
        <f>C40*H$14</f>
        <v>1.8227460614202964E-2</v>
      </c>
      <c r="D48" s="662">
        <f t="shared" ref="C48:F51" si="2">D40*I$14</f>
        <v>3.3137598703176709E-2</v>
      </c>
      <c r="E48" s="662">
        <f t="shared" si="2"/>
        <v>4.5656929144551515E-2</v>
      </c>
      <c r="F48" s="662">
        <f t="shared" si="2"/>
        <v>5.4632761178779944E-2</v>
      </c>
      <c r="G48" s="661">
        <f>SUM(C48:F48)</f>
        <v>0.15165474964071113</v>
      </c>
    </row>
    <row r="49" spans="2:7">
      <c r="B49" s="141" t="str">
        <f>B41</f>
        <v>Re-entrants</v>
      </c>
      <c r="C49" s="662">
        <f t="shared" si="2"/>
        <v>3.3150512352703054E-2</v>
      </c>
      <c r="D49" s="662">
        <f t="shared" si="2"/>
        <v>6.5299092495905514E-2</v>
      </c>
      <c r="E49" s="662">
        <f t="shared" si="2"/>
        <v>0.10123718241667339</v>
      </c>
      <c r="F49" s="662">
        <f t="shared" si="2"/>
        <v>0.13128872079477574</v>
      </c>
      <c r="G49" s="661">
        <f>SUM(C49:F49)</f>
        <v>0.33097550806005771</v>
      </c>
    </row>
    <row r="50" spans="2:7">
      <c r="B50" s="141" t="str">
        <f>B42</f>
        <v>NQTs</v>
      </c>
      <c r="C50" s="662">
        <f t="shared" si="2"/>
        <v>4.8622027033093998E-2</v>
      </c>
      <c r="D50" s="662">
        <f t="shared" si="2"/>
        <v>0.10156330880091778</v>
      </c>
      <c r="E50" s="662">
        <f t="shared" si="2"/>
        <v>0.1531058884387751</v>
      </c>
      <c r="F50" s="662">
        <f t="shared" si="2"/>
        <v>0.21407851802644437</v>
      </c>
      <c r="G50" s="661">
        <f>SUM(C50:F50)</f>
        <v>0.51736974229923127</v>
      </c>
    </row>
    <row r="51" spans="2:7">
      <c r="B51" s="141" t="str">
        <f>B43</f>
        <v>Total</v>
      </c>
      <c r="C51" s="662">
        <f t="shared" si="2"/>
        <v>0.1</v>
      </c>
      <c r="D51" s="662">
        <f t="shared" si="2"/>
        <v>0.2</v>
      </c>
      <c r="E51" s="662">
        <f t="shared" si="2"/>
        <v>0.3</v>
      </c>
      <c r="F51" s="662">
        <f t="shared" si="2"/>
        <v>0.4</v>
      </c>
      <c r="G51" s="661">
        <f>SUM(C51:F51)</f>
        <v>1</v>
      </c>
    </row>
  </sheetData>
  <mergeCells count="6">
    <mergeCell ref="B20:B21"/>
    <mergeCell ref="C20:F20"/>
    <mergeCell ref="B38:B39"/>
    <mergeCell ref="C38:F38"/>
    <mergeCell ref="B28:B29"/>
    <mergeCell ref="C28:F2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52"/>
  <sheetViews>
    <sheetView showGridLines="0" workbookViewId="0"/>
  </sheetViews>
  <sheetFormatPr defaultRowHeight="12.75"/>
  <cols>
    <col min="2" max="2" width="26.7109375" customWidth="1"/>
    <col min="3" max="19" width="10.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89" customFormat="1">
      <c r="A4" s="590" t="s">
        <v>26</v>
      </c>
      <c r="B4" s="590"/>
      <c r="C4" s="590"/>
      <c r="D4" s="292"/>
      <c r="E4" s="590"/>
      <c r="F4" s="590"/>
      <c r="G4" s="590"/>
      <c r="H4" s="590"/>
      <c r="I4" s="590"/>
      <c r="J4" s="590"/>
      <c r="K4" s="590"/>
      <c r="L4" s="590"/>
      <c r="M4" s="590"/>
      <c r="N4" s="590"/>
    </row>
    <row r="5" spans="1:17" s="588" customFormat="1" ht="13.15" customHeight="1">
      <c r="A5" s="707" t="s">
        <v>1504</v>
      </c>
      <c r="B5" s="707"/>
      <c r="C5" s="707"/>
      <c r="D5" s="707"/>
      <c r="E5" s="707"/>
      <c r="F5" s="707"/>
      <c r="G5" s="707"/>
      <c r="H5" s="707"/>
      <c r="I5" s="707"/>
      <c r="J5" s="707"/>
      <c r="K5" s="707"/>
      <c r="L5" s="707"/>
      <c r="M5" s="707"/>
      <c r="N5" s="707"/>
      <c r="O5" s="707"/>
      <c r="P5" s="707"/>
      <c r="Q5" s="707"/>
    </row>
    <row r="6" spans="1:17" s="585" customFormat="1">
      <c r="A6" s="587" t="s">
        <v>1420</v>
      </c>
      <c r="B6" s="61"/>
      <c r="C6" s="61"/>
      <c r="D6" s="292"/>
      <c r="E6" s="61"/>
      <c r="F6" s="61"/>
      <c r="G6" s="61"/>
      <c r="H6" s="61"/>
      <c r="I6" s="61"/>
      <c r="J6" s="61"/>
      <c r="K6" s="61"/>
      <c r="L6" s="61"/>
      <c r="M6" s="61"/>
      <c r="N6" s="61"/>
      <c r="O6" s="45"/>
    </row>
    <row r="7" spans="1:17" s="585" customFormat="1">
      <c r="A7" s="586" t="s">
        <v>720</v>
      </c>
      <c r="B7" s="587"/>
      <c r="C7" s="61"/>
      <c r="D7" s="292"/>
      <c r="E7" s="61"/>
      <c r="F7" s="61"/>
      <c r="G7" s="61"/>
      <c r="H7" s="61"/>
      <c r="I7" s="61"/>
      <c r="J7" s="61"/>
      <c r="K7" s="61"/>
      <c r="L7" s="61"/>
      <c r="M7" s="61"/>
      <c r="N7" s="61"/>
      <c r="O7" s="45"/>
    </row>
    <row r="8" spans="1:17" s="585" customFormat="1">
      <c r="A8" s="587" t="s">
        <v>24</v>
      </c>
      <c r="B8" s="61"/>
      <c r="C8" s="61"/>
      <c r="D8" s="292"/>
      <c r="E8" s="61"/>
      <c r="F8" s="61"/>
      <c r="G8" s="61"/>
      <c r="H8" s="61"/>
      <c r="I8" s="61"/>
      <c r="J8" s="61"/>
      <c r="K8" s="61"/>
      <c r="L8" s="61"/>
      <c r="M8" s="61"/>
      <c r="N8" s="61"/>
      <c r="O8" s="45"/>
    </row>
    <row r="9" spans="1:17" s="585" customFormat="1">
      <c r="A9" s="586" t="s">
        <v>719</v>
      </c>
      <c r="B9" s="61"/>
      <c r="C9" s="61"/>
      <c r="D9" s="292"/>
      <c r="E9" s="61"/>
      <c r="F9" s="61"/>
      <c r="G9" s="61"/>
      <c r="H9" s="61"/>
      <c r="I9" s="61"/>
      <c r="J9" s="61"/>
      <c r="K9" s="61"/>
      <c r="L9" s="61"/>
      <c r="M9" s="61"/>
      <c r="N9" s="61"/>
      <c r="O9" s="45"/>
    </row>
    <row r="10" spans="1:17" s="583" customFormat="1">
      <c r="A10" s="584">
        <f>SUM(A13:A2084)</f>
        <v>0</v>
      </c>
      <c r="B10" s="73"/>
      <c r="C10" s="48"/>
      <c r="D10" s="48"/>
      <c r="E10" s="48"/>
      <c r="F10" s="72"/>
      <c r="G10" s="48"/>
      <c r="H10" s="72"/>
      <c r="I10" s="49"/>
      <c r="J10" s="49"/>
      <c r="K10" s="49"/>
      <c r="L10" s="49"/>
      <c r="M10" s="49"/>
      <c r="N10" s="49"/>
      <c r="O10" s="49"/>
    </row>
    <row r="12" spans="1:17">
      <c r="H12" s="76" t="s">
        <v>110</v>
      </c>
    </row>
    <row r="14" spans="1:17">
      <c r="H14" s="5">
        <v>0.1</v>
      </c>
      <c r="I14" s="5">
        <v>0.2</v>
      </c>
      <c r="J14" s="5">
        <v>0.3</v>
      </c>
      <c r="K14" s="5">
        <v>0.4</v>
      </c>
    </row>
    <row r="16" spans="1:17" ht="18">
      <c r="B16" s="39" t="s">
        <v>718</v>
      </c>
      <c r="H16" s="150" t="s">
        <v>1421</v>
      </c>
    </row>
    <row r="17" spans="2:8" ht="18">
      <c r="B17" s="39"/>
      <c r="H17" s="150"/>
    </row>
    <row r="18" spans="2:8">
      <c r="B18" s="150" t="s">
        <v>717</v>
      </c>
    </row>
    <row r="19" spans="2:8">
      <c r="B19" s="150"/>
    </row>
    <row r="20" spans="2:8">
      <c r="B20" s="1183" t="str">
        <f>RAW_DATA_INPUTS!B438</f>
        <v>Entrant route</v>
      </c>
      <c r="C20" s="1160" t="s">
        <v>74</v>
      </c>
      <c r="D20" s="1160"/>
      <c r="E20" s="1160"/>
      <c r="F20" s="1160"/>
    </row>
    <row r="21" spans="2:8">
      <c r="B21" s="1184"/>
      <c r="C21" s="8" t="str">
        <f>RAW_DATA_INPUTS!C438</f>
        <v>2011/12</v>
      </c>
      <c r="D21" s="8" t="str">
        <f>RAW_DATA_INPUTS!D438</f>
        <v>2012/13</v>
      </c>
      <c r="E21" s="8" t="str">
        <f>RAW_DATA_INPUTS!E438</f>
        <v>2013/14</v>
      </c>
      <c r="F21" s="8" t="str">
        <f>RAW_DATA_INPUTS!F438</f>
        <v>2014/15</v>
      </c>
    </row>
    <row r="22" spans="2:8">
      <c r="B22" s="8" t="str">
        <f>RAW_DATA_INPUTS!B439</f>
        <v>New to state-funded sector</v>
      </c>
      <c r="C22" s="307">
        <f>RAW_DATA_INPUTS!C447</f>
        <v>3541.2289999999998</v>
      </c>
      <c r="D22" s="307">
        <f>RAW_DATA_INPUTS!D447</f>
        <v>3095.8530000000001</v>
      </c>
      <c r="E22" s="307">
        <f>RAW_DATA_INPUTS!E447</f>
        <v>3069.1080000000002</v>
      </c>
      <c r="F22" s="307">
        <f>RAW_DATA_INPUTS!F447</f>
        <v>2998.1010000000001</v>
      </c>
    </row>
    <row r="23" spans="2:8">
      <c r="B23" s="8" t="str">
        <f>RAW_DATA_INPUTS!B440</f>
        <v>Re-entrants</v>
      </c>
      <c r="C23" s="307">
        <f>RAW_DATA_INPUTS!C448</f>
        <v>6637.8329999999996</v>
      </c>
      <c r="D23" s="307">
        <f>RAW_DATA_INPUTS!D448</f>
        <v>7039.57</v>
      </c>
      <c r="E23" s="307">
        <f>RAW_DATA_INPUTS!E448</f>
        <v>7672.5290000000005</v>
      </c>
      <c r="F23" s="307">
        <f>RAW_DATA_INPUTS!F448</f>
        <v>7412</v>
      </c>
    </row>
    <row r="24" spans="2:8">
      <c r="B24" s="8" t="str">
        <f>RAW_DATA_INPUTS!B441</f>
        <v>NQTs</v>
      </c>
      <c r="C24" s="307">
        <f>RAW_DATA_INPUTS!C449</f>
        <v>11086.531000000001</v>
      </c>
      <c r="D24" s="307">
        <f>RAW_DATA_INPUTS!D449</f>
        <v>10439.566999999999</v>
      </c>
      <c r="E24" s="307">
        <f>RAW_DATA_INPUTS!E449</f>
        <v>10363.199000000001</v>
      </c>
      <c r="F24" s="307">
        <f>RAW_DATA_INPUTS!F449</f>
        <v>10549.123</v>
      </c>
    </row>
    <row r="26" spans="2:8">
      <c r="B26" s="150" t="s">
        <v>716</v>
      </c>
    </row>
    <row r="28" spans="2:8">
      <c r="B28" s="1183" t="str">
        <f>RAW_DATA_INPUTS!B446</f>
        <v>Entrant route</v>
      </c>
      <c r="C28" s="1160" t="s">
        <v>74</v>
      </c>
      <c r="D28" s="1160"/>
      <c r="E28" s="1160"/>
      <c r="F28" s="1160"/>
    </row>
    <row r="29" spans="2:8">
      <c r="B29" s="1184"/>
      <c r="C29" s="8" t="str">
        <f>RAW_DATA_INPUTS!C446</f>
        <v>2011/12</v>
      </c>
      <c r="D29" s="8" t="str">
        <f>RAW_DATA_INPUTS!D446</f>
        <v>2012/13</v>
      </c>
      <c r="E29" s="8" t="str">
        <f>RAW_DATA_INPUTS!E446</f>
        <v>2013/14</v>
      </c>
      <c r="F29" s="8" t="str">
        <f>RAW_DATA_INPUTS!F446</f>
        <v>2014/15</v>
      </c>
    </row>
    <row r="30" spans="2:8">
      <c r="B30" s="152" t="str">
        <f t="shared" ref="B30:F32" si="0">B22</f>
        <v>New to state-funded sector</v>
      </c>
      <c r="C30" s="462">
        <f t="shared" si="0"/>
        <v>3541.2289999999998</v>
      </c>
      <c r="D30" s="462">
        <f t="shared" si="0"/>
        <v>3095.8530000000001</v>
      </c>
      <c r="E30" s="462">
        <f t="shared" si="0"/>
        <v>3069.1080000000002</v>
      </c>
      <c r="F30" s="462">
        <f t="shared" si="0"/>
        <v>2998.1010000000001</v>
      </c>
    </row>
    <row r="31" spans="2:8">
      <c r="B31" s="152" t="str">
        <f t="shared" si="0"/>
        <v>Re-entrants</v>
      </c>
      <c r="C31" s="462">
        <f t="shared" si="0"/>
        <v>6637.8329999999996</v>
      </c>
      <c r="D31" s="462">
        <f t="shared" si="0"/>
        <v>7039.57</v>
      </c>
      <c r="E31" s="462">
        <f t="shared" si="0"/>
        <v>7672.5290000000005</v>
      </c>
      <c r="F31" s="462">
        <f t="shared" si="0"/>
        <v>7412</v>
      </c>
    </row>
    <row r="32" spans="2:8">
      <c r="B32" s="152" t="str">
        <f t="shared" si="0"/>
        <v>NQTs</v>
      </c>
      <c r="C32" s="462">
        <f t="shared" si="0"/>
        <v>11086.531000000001</v>
      </c>
      <c r="D32" s="462">
        <f t="shared" si="0"/>
        <v>10439.566999999999</v>
      </c>
      <c r="E32" s="462">
        <f t="shared" si="0"/>
        <v>10363.199000000001</v>
      </c>
      <c r="F32" s="462">
        <f t="shared" si="0"/>
        <v>10549.123</v>
      </c>
    </row>
    <row r="33" spans="1:7">
      <c r="B33" s="8" t="s">
        <v>8</v>
      </c>
      <c r="C33" s="459">
        <f>SUM(C30:C32)</f>
        <v>21265.593000000001</v>
      </c>
      <c r="D33" s="459">
        <f>SUM(D30:D32)</f>
        <v>20574.989999999998</v>
      </c>
      <c r="E33" s="459">
        <f>SUM(E30:E32)</f>
        <v>21104.836000000003</v>
      </c>
      <c r="F33" s="459">
        <f>SUM(F30:F32)</f>
        <v>20959.224000000002</v>
      </c>
    </row>
    <row r="34" spans="1:7" s="2" customFormat="1">
      <c r="A34" s="2">
        <f>SUM(C34:F34)</f>
        <v>0</v>
      </c>
      <c r="B34" s="148"/>
      <c r="C34" s="148">
        <f>SUM(C22:C24)-C33</f>
        <v>0</v>
      </c>
      <c r="D34" s="148">
        <f>SUM(D22:D24)-D33</f>
        <v>0</v>
      </c>
      <c r="E34" s="148">
        <f>SUM(E22:E24)-E33</f>
        <v>0</v>
      </c>
      <c r="F34" s="148">
        <f>SUM(F22:F24)-F33</f>
        <v>0</v>
      </c>
    </row>
    <row r="35" spans="1:7" s="2" customFormat="1">
      <c r="B35" s="148"/>
      <c r="C35" s="148"/>
      <c r="D35" s="148"/>
      <c r="E35" s="148"/>
      <c r="F35" s="148"/>
    </row>
    <row r="36" spans="1:7" ht="18">
      <c r="B36" s="39" t="s">
        <v>715</v>
      </c>
    </row>
    <row r="38" spans="1:7">
      <c r="B38" s="1183" t="str">
        <f>B28</f>
        <v>Entrant route</v>
      </c>
      <c r="C38" s="1160" t="str">
        <f>C28</f>
        <v>Year</v>
      </c>
      <c r="D38" s="1160"/>
      <c r="E38" s="1160"/>
      <c r="F38" s="1160"/>
    </row>
    <row r="39" spans="1:7">
      <c r="B39" s="1184"/>
      <c r="C39" s="8" t="str">
        <f>C29</f>
        <v>2011/12</v>
      </c>
      <c r="D39" s="8" t="str">
        <f>D29</f>
        <v>2012/13</v>
      </c>
      <c r="E39" s="8" t="str">
        <f>E29</f>
        <v>2013/14</v>
      </c>
      <c r="F39" s="8" t="str">
        <f>F29</f>
        <v>2014/15</v>
      </c>
    </row>
    <row r="40" spans="1:7">
      <c r="B40" s="152" t="str">
        <f>B30</f>
        <v>New to state-funded sector</v>
      </c>
      <c r="C40" s="662">
        <f t="shared" ref="C40:F43" si="1">C30/C$33</f>
        <v>0.16652387732615778</v>
      </c>
      <c r="D40" s="662">
        <f t="shared" si="1"/>
        <v>0.15046680460112011</v>
      </c>
      <c r="E40" s="662">
        <f t="shared" si="1"/>
        <v>0.14542202554902581</v>
      </c>
      <c r="F40" s="662">
        <f t="shared" si="1"/>
        <v>0.14304446576838914</v>
      </c>
    </row>
    <row r="41" spans="1:7">
      <c r="B41" s="8" t="str">
        <f>B31</f>
        <v>Re-entrants</v>
      </c>
      <c r="C41" s="666">
        <f t="shared" si="1"/>
        <v>0.31213956742236154</v>
      </c>
      <c r="D41" s="666">
        <f t="shared" si="1"/>
        <v>0.34214208609578911</v>
      </c>
      <c r="E41" s="666">
        <f t="shared" si="1"/>
        <v>0.36354364468882866</v>
      </c>
      <c r="F41" s="666">
        <f t="shared" si="1"/>
        <v>0.35363904694181425</v>
      </c>
    </row>
    <row r="42" spans="1:7">
      <c r="B42" s="8" t="str">
        <f>B32</f>
        <v>NQTs</v>
      </c>
      <c r="C42" s="666">
        <f t="shared" si="1"/>
        <v>0.5213365552514807</v>
      </c>
      <c r="D42" s="666">
        <f t="shared" si="1"/>
        <v>0.50739110930309084</v>
      </c>
      <c r="E42" s="666">
        <f t="shared" si="1"/>
        <v>0.49103432976214545</v>
      </c>
      <c r="F42" s="666">
        <f t="shared" si="1"/>
        <v>0.5033164872897965</v>
      </c>
    </row>
    <row r="43" spans="1:7">
      <c r="B43" s="8" t="s">
        <v>8</v>
      </c>
      <c r="C43" s="666">
        <f t="shared" si="1"/>
        <v>1</v>
      </c>
      <c r="D43" s="666">
        <f t="shared" si="1"/>
        <v>1</v>
      </c>
      <c r="E43" s="666">
        <f t="shared" si="1"/>
        <v>1</v>
      </c>
      <c r="F43" s="666">
        <f t="shared" si="1"/>
        <v>1</v>
      </c>
    </row>
    <row r="44" spans="1:7" s="2" customFormat="1">
      <c r="A44"/>
      <c r="B44"/>
      <c r="C44"/>
      <c r="D44"/>
      <c r="E44"/>
      <c r="F44"/>
    </row>
    <row r="45" spans="1:7" ht="18">
      <c r="B45" s="665" t="s">
        <v>714</v>
      </c>
    </row>
    <row r="47" spans="1:7">
      <c r="B47" s="1140" t="str">
        <f>B38</f>
        <v>Entrant route</v>
      </c>
      <c r="C47" s="1183" t="str">
        <f>C39</f>
        <v>2011/12</v>
      </c>
      <c r="D47" s="1183" t="str">
        <f>D39</f>
        <v>2012/13</v>
      </c>
      <c r="E47" s="1183" t="str">
        <f>E39</f>
        <v>2013/14</v>
      </c>
      <c r="F47" s="1183" t="str">
        <f>F39</f>
        <v>2014/15</v>
      </c>
      <c r="G47" s="1209" t="s">
        <v>8</v>
      </c>
    </row>
    <row r="48" spans="1:7">
      <c r="B48" s="1140"/>
      <c r="C48" s="1184"/>
      <c r="D48" s="1184"/>
      <c r="E48" s="1184"/>
      <c r="F48" s="1184"/>
      <c r="G48" s="1210"/>
    </row>
    <row r="49" spans="2:7">
      <c r="B49" s="152" t="str">
        <f>B40</f>
        <v>New to state-funded sector</v>
      </c>
      <c r="C49" s="662">
        <f t="shared" ref="C49:F52" si="2">C40*H$14</f>
        <v>1.6652387732615778E-2</v>
      </c>
      <c r="D49" s="662">
        <f t="shared" si="2"/>
        <v>3.0093360920224022E-2</v>
      </c>
      <c r="E49" s="662">
        <f t="shared" si="2"/>
        <v>4.3626607664707738E-2</v>
      </c>
      <c r="F49" s="662">
        <f t="shared" si="2"/>
        <v>5.7217786307355661E-2</v>
      </c>
      <c r="G49" s="664">
        <f>SUM(C49:F49)</f>
        <v>0.14759014262490319</v>
      </c>
    </row>
    <row r="50" spans="2:7">
      <c r="B50" s="141" t="str">
        <f>B41</f>
        <v>Re-entrants</v>
      </c>
      <c r="C50" s="662">
        <f t="shared" si="2"/>
        <v>3.1213956742236156E-2</v>
      </c>
      <c r="D50" s="662">
        <f t="shared" si="2"/>
        <v>6.8428417219157822E-2</v>
      </c>
      <c r="E50" s="662">
        <f t="shared" si="2"/>
        <v>0.10906309340664859</v>
      </c>
      <c r="F50" s="662">
        <f t="shared" si="2"/>
        <v>0.14145561877672572</v>
      </c>
      <c r="G50" s="664">
        <f>SUM(C50:F50)</f>
        <v>0.35016108614476826</v>
      </c>
    </row>
    <row r="51" spans="2:7">
      <c r="B51" s="141" t="str">
        <f>B42</f>
        <v>NQTs</v>
      </c>
      <c r="C51" s="662">
        <f t="shared" si="2"/>
        <v>5.2133655525148072E-2</v>
      </c>
      <c r="D51" s="662">
        <f t="shared" si="2"/>
        <v>0.10147822186061817</v>
      </c>
      <c r="E51" s="662">
        <f t="shared" si="2"/>
        <v>0.14731029892864364</v>
      </c>
      <c r="F51" s="662">
        <f t="shared" si="2"/>
        <v>0.20132659491591862</v>
      </c>
      <c r="G51" s="664">
        <f>SUM(C51:F51)</f>
        <v>0.50224877123032852</v>
      </c>
    </row>
    <row r="52" spans="2:7">
      <c r="B52" s="141" t="str">
        <f>B43</f>
        <v>Total</v>
      </c>
      <c r="C52" s="662">
        <f t="shared" si="2"/>
        <v>0.1</v>
      </c>
      <c r="D52" s="662">
        <f t="shared" si="2"/>
        <v>0.2</v>
      </c>
      <c r="E52" s="662">
        <f t="shared" si="2"/>
        <v>0.3</v>
      </c>
      <c r="F52" s="662">
        <f t="shared" si="2"/>
        <v>0.4</v>
      </c>
      <c r="G52" s="661">
        <f>SUM(C52:F52)</f>
        <v>1</v>
      </c>
    </row>
  </sheetData>
  <mergeCells count="12">
    <mergeCell ref="G47:G48"/>
    <mergeCell ref="B47:B48"/>
    <mergeCell ref="C47:C48"/>
    <mergeCell ref="D47:D48"/>
    <mergeCell ref="E47:E48"/>
    <mergeCell ref="F47:F48"/>
    <mergeCell ref="B20:B21"/>
    <mergeCell ref="C20:F20"/>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61"/>
  <sheetViews>
    <sheetView showGridLines="0" workbookViewId="0"/>
  </sheetViews>
  <sheetFormatPr defaultRowHeight="12.75"/>
  <cols>
    <col min="2" max="2" width="26.7109375" customWidth="1"/>
    <col min="3" max="18" width="10.7109375" customWidth="1"/>
  </cols>
  <sheetData>
    <row r="1" spans="1:15" s="66" customFormat="1" ht="15">
      <c r="A1" s="65" t="str">
        <f>ModelBanner</f>
        <v>TSM_201718 for publication</v>
      </c>
    </row>
    <row r="2" spans="1:15" s="66" customFormat="1" ht="15">
      <c r="A2" s="1003" t="s">
        <v>13</v>
      </c>
      <c r="B2" s="1003" t="s">
        <v>30</v>
      </c>
    </row>
    <row r="3" spans="1:15" s="66" customFormat="1" ht="15">
      <c r="A3" s="67"/>
    </row>
    <row r="4" spans="1:15" s="589" customFormat="1">
      <c r="A4" s="590" t="s">
        <v>26</v>
      </c>
      <c r="B4" s="590"/>
      <c r="C4" s="590"/>
      <c r="D4" s="292"/>
      <c r="E4" s="590"/>
      <c r="F4" s="590"/>
      <c r="G4" s="590"/>
      <c r="H4" s="590"/>
      <c r="I4" s="590"/>
      <c r="J4" s="590"/>
      <c r="K4" s="590"/>
      <c r="L4" s="590"/>
      <c r="M4" s="590"/>
      <c r="N4" s="590"/>
    </row>
    <row r="5" spans="1:15" s="588" customFormat="1" ht="13.15" customHeight="1">
      <c r="A5" s="707" t="s">
        <v>1464</v>
      </c>
      <c r="B5" s="707"/>
      <c r="C5" s="707"/>
      <c r="D5" s="707"/>
      <c r="E5" s="707"/>
      <c r="F5" s="707"/>
      <c r="G5" s="707"/>
      <c r="H5" s="707"/>
      <c r="I5" s="707"/>
      <c r="J5" s="707"/>
      <c r="K5" s="707"/>
      <c r="L5" s="707"/>
      <c r="M5" s="707"/>
      <c r="N5" s="707"/>
      <c r="O5" s="59"/>
    </row>
    <row r="6" spans="1:15" s="585" customFormat="1">
      <c r="A6" s="587" t="s">
        <v>1420</v>
      </c>
      <c r="B6" s="61"/>
      <c r="C6" s="61"/>
      <c r="D6" s="292"/>
      <c r="E6" s="61"/>
      <c r="F6" s="61"/>
      <c r="G6" s="61"/>
      <c r="H6" s="61"/>
      <c r="I6" s="61"/>
      <c r="J6" s="61"/>
      <c r="K6" s="61"/>
      <c r="L6" s="61"/>
      <c r="M6" s="61"/>
      <c r="N6" s="61"/>
      <c r="O6" s="45"/>
    </row>
    <row r="7" spans="1:15" s="585" customFormat="1">
      <c r="A7" s="586" t="s">
        <v>166</v>
      </c>
      <c r="B7" s="587"/>
      <c r="C7" s="61"/>
      <c r="D7" s="292"/>
      <c r="E7" s="61"/>
      <c r="F7" s="61"/>
      <c r="G7" s="61"/>
      <c r="H7" s="61"/>
      <c r="I7" s="61"/>
      <c r="J7" s="61"/>
      <c r="K7" s="61"/>
      <c r="L7" s="61"/>
      <c r="M7" s="61"/>
      <c r="N7" s="61"/>
      <c r="O7" s="45"/>
    </row>
    <row r="8" spans="1:15" s="585" customFormat="1">
      <c r="A8" s="587" t="s">
        <v>24</v>
      </c>
      <c r="B8" s="61"/>
      <c r="C8" s="61"/>
      <c r="D8" s="292"/>
      <c r="E8" s="61"/>
      <c r="F8" s="61"/>
      <c r="G8" s="61"/>
      <c r="H8" s="61"/>
      <c r="I8" s="61"/>
      <c r="J8" s="61"/>
      <c r="K8" s="61"/>
      <c r="L8" s="61"/>
      <c r="M8" s="61"/>
      <c r="N8" s="61"/>
      <c r="O8" s="45"/>
    </row>
    <row r="9" spans="1:15" s="585" customFormat="1">
      <c r="A9" s="586" t="s">
        <v>719</v>
      </c>
      <c r="B9" s="61"/>
      <c r="C9" s="61"/>
      <c r="D9" s="292"/>
      <c r="E9" s="61"/>
      <c r="F9" s="61"/>
      <c r="G9" s="61"/>
      <c r="H9" s="61"/>
      <c r="I9" s="61"/>
      <c r="J9" s="61"/>
      <c r="K9" s="61"/>
      <c r="L9" s="61"/>
      <c r="M9" s="61"/>
      <c r="N9" s="61"/>
      <c r="O9" s="45"/>
    </row>
    <row r="10" spans="1:15" s="583" customFormat="1">
      <c r="A10" s="584">
        <f>SUM(A13:A2081)</f>
        <v>0</v>
      </c>
      <c r="B10" s="73"/>
      <c r="C10" s="48"/>
      <c r="D10" s="48"/>
      <c r="E10" s="48"/>
      <c r="F10" s="72"/>
      <c r="G10" s="48"/>
      <c r="H10" s="72"/>
      <c r="I10" s="49"/>
      <c r="J10" s="49"/>
      <c r="K10" s="49"/>
      <c r="L10" s="49"/>
      <c r="M10" s="49"/>
      <c r="N10" s="49"/>
      <c r="O10" s="49"/>
    </row>
    <row r="12" spans="1:15">
      <c r="H12" s="76" t="s">
        <v>110</v>
      </c>
    </row>
    <row r="14" spans="1:15">
      <c r="H14" s="5">
        <v>0.1</v>
      </c>
      <c r="I14" s="5">
        <v>0.2</v>
      </c>
      <c r="J14" s="5">
        <v>0.3</v>
      </c>
      <c r="K14" s="5">
        <v>0.4</v>
      </c>
    </row>
    <row r="16" spans="1:15" ht="18">
      <c r="B16" s="39" t="s">
        <v>718</v>
      </c>
      <c r="H16" s="150" t="s">
        <v>1421</v>
      </c>
    </row>
    <row r="18" spans="1:6">
      <c r="B18" s="1183" t="str">
        <f>RAW_DATA_INPUTS!B438</f>
        <v>Entrant route</v>
      </c>
      <c r="C18" s="1160" t="s">
        <v>74</v>
      </c>
      <c r="D18" s="1160"/>
      <c r="E18" s="1160"/>
      <c r="F18" s="1160"/>
    </row>
    <row r="19" spans="1:6">
      <c r="B19" s="1184"/>
      <c r="C19" s="8" t="str">
        <f>RAW_DATA_INPUTS!C438</f>
        <v>2011/12</v>
      </c>
      <c r="D19" s="8" t="str">
        <f>RAW_DATA_INPUTS!D438</f>
        <v>2012/13</v>
      </c>
      <c r="E19" s="8" t="str">
        <f>RAW_DATA_INPUTS!E438</f>
        <v>2013/14</v>
      </c>
      <c r="F19" s="8" t="str">
        <f>RAW_DATA_INPUTS!F438</f>
        <v>2014/15</v>
      </c>
    </row>
    <row r="20" spans="1:6">
      <c r="B20" s="8" t="str">
        <f>Calc_SEC_entrant_rates!B30</f>
        <v>New to state-funded sector</v>
      </c>
      <c r="C20" s="307">
        <f>RAW_DATA_INPUTS!C439</f>
        <v>4372.5929999999998</v>
      </c>
      <c r="D20" s="307">
        <f>RAW_DATA_INPUTS!D439</f>
        <v>4199.875</v>
      </c>
      <c r="E20" s="307">
        <f>RAW_DATA_INPUTS!E439</f>
        <v>4051.1689999999999</v>
      </c>
      <c r="F20" s="307">
        <f>RAW_DATA_INPUTS!F439</f>
        <v>3693.4470000000001</v>
      </c>
    </row>
    <row r="21" spans="1:6">
      <c r="B21" s="8" t="str">
        <f>Calc_SEC_entrant_rates!B31</f>
        <v>Re-entrants</v>
      </c>
      <c r="C21" s="307">
        <f>RAW_DATA_INPUTS!C440</f>
        <v>7952.49</v>
      </c>
      <c r="D21" s="307">
        <f>RAW_DATA_INPUTS!D440</f>
        <v>8276.0380000000005</v>
      </c>
      <c r="E21" s="307">
        <f>RAW_DATA_INPUTS!E440</f>
        <v>8982.8410000000003</v>
      </c>
      <c r="F21" s="307">
        <f>RAW_DATA_INPUTS!F440</f>
        <v>8875.7720000000008</v>
      </c>
    </row>
    <row r="22" spans="1:6">
      <c r="B22" s="8" t="str">
        <f>Calc_SEC_entrant_rates!B32</f>
        <v>NQTs</v>
      </c>
      <c r="C22" s="307">
        <f>RAW_DATA_INPUTS!C441</f>
        <v>11663.958000000001</v>
      </c>
      <c r="D22" s="307">
        <f>RAW_DATA_INPUTS!D441</f>
        <v>12872.182000000001</v>
      </c>
      <c r="E22" s="307">
        <f>RAW_DATA_INPUTS!E441</f>
        <v>13585.184999999999</v>
      </c>
      <c r="F22" s="307">
        <f>RAW_DATA_INPUTS!F441</f>
        <v>14472.775</v>
      </c>
    </row>
    <row r="23" spans="1:6">
      <c r="B23" s="8" t="str">
        <f>Calc_SEC_entrant_rates!B33</f>
        <v>Total</v>
      </c>
      <c r="C23" s="459">
        <f>SUM(C20:C22)</f>
        <v>23989.040999999997</v>
      </c>
      <c r="D23" s="459">
        <f>SUM(D20:D22)</f>
        <v>25348.095000000001</v>
      </c>
      <c r="E23" s="459">
        <f>SUM(E20:E22)</f>
        <v>26619.195</v>
      </c>
      <c r="F23" s="459">
        <f>SUM(F20:F22)</f>
        <v>27041.993999999999</v>
      </c>
    </row>
    <row r="24" spans="1:6">
      <c r="A24">
        <f>SUM(C24:F24)</f>
        <v>0</v>
      </c>
      <c r="C24" s="309">
        <f>SUM(C20:C22)-C23</f>
        <v>0</v>
      </c>
      <c r="D24" s="309">
        <f>SUM(D20:D22)-D23</f>
        <v>0</v>
      </c>
      <c r="E24" s="309">
        <f>SUM(E20:E22)-E23</f>
        <v>0</v>
      </c>
      <c r="F24" s="309">
        <f>SUM(F20:F22)-F23</f>
        <v>0</v>
      </c>
    </row>
    <row r="26" spans="1:6" ht="18">
      <c r="B26" s="39" t="s">
        <v>723</v>
      </c>
    </row>
    <row r="28" spans="1:6">
      <c r="B28" s="1183" t="str">
        <f>RAW_DATA_INPUTS!B446</f>
        <v>Entrant route</v>
      </c>
      <c r="C28" s="1160" t="s">
        <v>74</v>
      </c>
      <c r="D28" s="1160"/>
      <c r="E28" s="1160"/>
      <c r="F28" s="1160"/>
    </row>
    <row r="29" spans="1:6">
      <c r="B29" s="1184"/>
      <c r="C29" s="8" t="str">
        <f>RAW_DATA_INPUTS!C446</f>
        <v>2011/12</v>
      </c>
      <c r="D29" s="8" t="str">
        <f>RAW_DATA_INPUTS!D446</f>
        <v>2012/13</v>
      </c>
      <c r="E29" s="8" t="str">
        <f>RAW_DATA_INPUTS!E446</f>
        <v>2013/14</v>
      </c>
      <c r="F29" s="8" t="str">
        <f>RAW_DATA_INPUTS!F446</f>
        <v>2014/15</v>
      </c>
    </row>
    <row r="30" spans="1:6">
      <c r="B30" s="8" t="str">
        <f>B20</f>
        <v>New to state-funded sector</v>
      </c>
      <c r="C30" s="307">
        <f>RAW_DATA_INPUTS!C455</f>
        <v>637.53800000000001</v>
      </c>
      <c r="D30" s="307">
        <f>RAW_DATA_INPUTS!D455</f>
        <v>574.77499999999998</v>
      </c>
      <c r="E30" s="307">
        <f>RAW_DATA_INPUTS!E455</f>
        <v>574.96799999999996</v>
      </c>
      <c r="F30" s="307">
        <f>RAW_DATA_INPUTS!F455</f>
        <v>508.77499999999998</v>
      </c>
    </row>
    <row r="31" spans="1:6">
      <c r="B31" s="8" t="str">
        <f>B21</f>
        <v>Re-entrants</v>
      </c>
      <c r="C31" s="307">
        <f>RAW_DATA_INPUTS!C456</f>
        <v>3313.6379999999999</v>
      </c>
      <c r="D31" s="307">
        <f>RAW_DATA_INPUTS!D456</f>
        <v>3516.1579999999999</v>
      </c>
      <c r="E31" s="307">
        <f>RAW_DATA_INPUTS!E456</f>
        <v>3887.3130000000001</v>
      </c>
      <c r="F31" s="307">
        <f>RAW_DATA_INPUTS!F456</f>
        <v>3814.9520000000002</v>
      </c>
    </row>
    <row r="32" spans="1:6">
      <c r="B32" s="8" t="str">
        <f>B22</f>
        <v>NQTs</v>
      </c>
      <c r="C32" s="307">
        <f>RAW_DATA_INPUTS!C457</f>
        <v>490.15199999999999</v>
      </c>
      <c r="D32" s="307">
        <f>RAW_DATA_INPUTS!D457</f>
        <v>431.29899999999998</v>
      </c>
      <c r="E32" s="307">
        <f>RAW_DATA_INPUTS!E457</f>
        <v>382.72399999999999</v>
      </c>
      <c r="F32" s="307">
        <f>RAW_DATA_INPUTS!F457</f>
        <v>480.67099999999999</v>
      </c>
    </row>
    <row r="33" spans="1:7">
      <c r="B33" s="8" t="str">
        <f>B23</f>
        <v>Total</v>
      </c>
      <c r="C33" s="459">
        <f>SUM(C30:C32)</f>
        <v>4441.3279999999995</v>
      </c>
      <c r="D33" s="459">
        <f>SUM(D30:D32)</f>
        <v>4522.232</v>
      </c>
      <c r="E33" s="459">
        <f>SUM(E30:E32)</f>
        <v>4845.0050000000001</v>
      </c>
      <c r="F33" s="459">
        <f>SUM(F30:F32)</f>
        <v>4804.3980000000001</v>
      </c>
    </row>
    <row r="34" spans="1:7" s="2" customFormat="1">
      <c r="A34">
        <f>SUM(C34:F34)</f>
        <v>0</v>
      </c>
      <c r="B34"/>
      <c r="C34" s="309">
        <f>SUM(C30:C32)-C33</f>
        <v>0</v>
      </c>
      <c r="D34" s="309">
        <f>SUM(D30:D32)-D33</f>
        <v>0</v>
      </c>
      <c r="E34" s="309">
        <f>SUM(E30:E32)-E33</f>
        <v>0</v>
      </c>
      <c r="F34" s="309">
        <f>SUM(F30:F32)-F33</f>
        <v>0</v>
      </c>
    </row>
    <row r="35" spans="1:7" s="2" customFormat="1">
      <c r="A35"/>
      <c r="B35"/>
      <c r="C35" s="309"/>
      <c r="D35" s="309"/>
      <c r="E35" s="309"/>
      <c r="F35" s="309"/>
    </row>
    <row r="36" spans="1:7" ht="18">
      <c r="B36" s="39" t="s">
        <v>722</v>
      </c>
    </row>
    <row r="38" spans="1:7">
      <c r="B38" s="1183" t="str">
        <f>B28</f>
        <v>Entrant route</v>
      </c>
      <c r="C38" s="1160" t="str">
        <f>C28</f>
        <v>Year</v>
      </c>
      <c r="D38" s="1160"/>
      <c r="E38" s="1160"/>
      <c r="F38" s="1160"/>
    </row>
    <row r="39" spans="1:7">
      <c r="B39" s="1184"/>
      <c r="C39" s="8" t="str">
        <f>C29</f>
        <v>2011/12</v>
      </c>
      <c r="D39" s="8" t="str">
        <f>D29</f>
        <v>2012/13</v>
      </c>
      <c r="E39" s="8" t="str">
        <f>E29</f>
        <v>2013/14</v>
      </c>
      <c r="F39" s="8" t="str">
        <f>F29</f>
        <v>2014/15</v>
      </c>
    </row>
    <row r="40" spans="1:7">
      <c r="B40" s="152" t="str">
        <f>B30</f>
        <v>New to state-funded sector</v>
      </c>
      <c r="C40" s="662">
        <f t="shared" ref="C40:F42" si="0">C30/C20</f>
        <v>0.14580318817690099</v>
      </c>
      <c r="D40" s="662">
        <f t="shared" si="0"/>
        <v>0.13685526354951039</v>
      </c>
      <c r="E40" s="662">
        <f t="shared" si="0"/>
        <v>0.14192644147899039</v>
      </c>
      <c r="F40" s="662">
        <f t="shared" si="0"/>
        <v>0.13775072445875086</v>
      </c>
    </row>
    <row r="41" spans="1:7">
      <c r="B41" s="152" t="str">
        <f>B31</f>
        <v>Re-entrants</v>
      </c>
      <c r="C41" s="662">
        <f t="shared" si="0"/>
        <v>0.41667930421792421</v>
      </c>
      <c r="D41" s="662">
        <f t="shared" si="0"/>
        <v>0.42486005984989433</v>
      </c>
      <c r="E41" s="662">
        <f t="shared" si="0"/>
        <v>0.43274872615467647</v>
      </c>
      <c r="F41" s="662">
        <f t="shared" si="0"/>
        <v>0.42981635850943445</v>
      </c>
    </row>
    <row r="42" spans="1:7">
      <c r="B42" s="152" t="str">
        <f>B32</f>
        <v>NQTs</v>
      </c>
      <c r="C42" s="662">
        <f t="shared" si="0"/>
        <v>4.2022785061468837E-2</v>
      </c>
      <c r="D42" s="662">
        <f t="shared" si="0"/>
        <v>3.3506285103799806E-2</v>
      </c>
      <c r="E42" s="662">
        <f t="shared" si="0"/>
        <v>2.8172159598857136E-2</v>
      </c>
      <c r="F42" s="662">
        <f t="shared" si="0"/>
        <v>3.3212082686285109E-2</v>
      </c>
    </row>
    <row r="44" spans="1:7" ht="18">
      <c r="B44" s="665" t="s">
        <v>721</v>
      </c>
    </row>
    <row r="46" spans="1:7">
      <c r="B46" s="141" t="str">
        <f>B38</f>
        <v>Entrant route</v>
      </c>
      <c r="C46" s="142" t="str">
        <f>C39</f>
        <v>2011/12</v>
      </c>
      <c r="D46" s="142" t="str">
        <f>D39</f>
        <v>2012/13</v>
      </c>
      <c r="E46" s="142" t="str">
        <f>E39</f>
        <v>2013/14</v>
      </c>
      <c r="F46" s="142" t="str">
        <f>F39</f>
        <v>2014/15</v>
      </c>
      <c r="G46" s="575" t="s">
        <v>8</v>
      </c>
    </row>
    <row r="47" spans="1:7">
      <c r="B47" s="152" t="str">
        <f>B40</f>
        <v>New to state-funded sector</v>
      </c>
      <c r="C47" s="662">
        <f t="shared" ref="C47:F49" si="1">C40*H$14</f>
        <v>1.45803188176901E-2</v>
      </c>
      <c r="D47" s="662">
        <f t="shared" si="1"/>
        <v>2.7371052709902078E-2</v>
      </c>
      <c r="E47" s="662">
        <f t="shared" si="1"/>
        <v>4.2577932443697113E-2</v>
      </c>
      <c r="F47" s="662">
        <f t="shared" si="1"/>
        <v>5.5100289783500345E-2</v>
      </c>
      <c r="G47" s="661">
        <f>SUM(C47:F47)</f>
        <v>0.13962959375478964</v>
      </c>
    </row>
    <row r="48" spans="1:7">
      <c r="B48" s="141" t="str">
        <f>B41</f>
        <v>Re-entrants</v>
      </c>
      <c r="C48" s="662">
        <f t="shared" si="1"/>
        <v>4.1667930421792426E-2</v>
      </c>
      <c r="D48" s="662">
        <f t="shared" si="1"/>
        <v>8.4972011969978875E-2</v>
      </c>
      <c r="E48" s="662">
        <f t="shared" si="1"/>
        <v>0.12982461784640292</v>
      </c>
      <c r="F48" s="662">
        <f t="shared" si="1"/>
        <v>0.17192654340377378</v>
      </c>
      <c r="G48" s="661">
        <f>SUM(C48:F48)</f>
        <v>0.42839110364194799</v>
      </c>
    </row>
    <row r="49" spans="2:11">
      <c r="B49" s="141" t="str">
        <f>B42</f>
        <v>NQTs</v>
      </c>
      <c r="C49" s="662">
        <f t="shared" si="1"/>
        <v>4.2022785061468842E-3</v>
      </c>
      <c r="D49" s="662">
        <f t="shared" si="1"/>
        <v>6.7012570207599619E-3</v>
      </c>
      <c r="E49" s="662">
        <f t="shared" si="1"/>
        <v>8.4516478796571402E-3</v>
      </c>
      <c r="F49" s="662">
        <f t="shared" si="1"/>
        <v>1.3284833074514044E-2</v>
      </c>
      <c r="G49" s="661">
        <f>SUM(C49:F49)</f>
        <v>3.2640016481078032E-2</v>
      </c>
    </row>
    <row r="61" spans="2:11">
      <c r="K61" s="12"/>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R86"/>
  <sheetViews>
    <sheetView showGridLines="0" zoomScaleNormal="100" workbookViewId="0"/>
  </sheetViews>
  <sheetFormatPr defaultRowHeight="12.75"/>
  <cols>
    <col min="2" max="2" width="30.7109375" customWidth="1"/>
    <col min="3" max="11" width="16.7109375" customWidth="1"/>
    <col min="12" max="12" width="30.7109375" customWidth="1"/>
    <col min="13" max="18" width="16.7109375" customWidth="1"/>
    <col min="19" max="19" width="30.7109375" customWidth="1"/>
    <col min="20" max="21" width="16.7109375" customWidth="1"/>
  </cols>
  <sheetData>
    <row r="1" spans="1:18" s="66" customFormat="1" ht="15">
      <c r="A1" s="65" t="str">
        <f>ModelBanner</f>
        <v>TSM_201718 for publication</v>
      </c>
      <c r="D1" s="739"/>
      <c r="E1" s="739"/>
      <c r="G1" s="739"/>
      <c r="I1" s="739"/>
      <c r="J1" s="739"/>
      <c r="K1" s="739"/>
      <c r="R1" s="739"/>
    </row>
    <row r="2" spans="1:18" s="66" customFormat="1" ht="15">
      <c r="A2" s="1003" t="s">
        <v>13</v>
      </c>
      <c r="B2" s="1003" t="s">
        <v>30</v>
      </c>
      <c r="D2" s="739"/>
      <c r="E2" s="739"/>
      <c r="G2" s="739"/>
      <c r="I2" s="739"/>
      <c r="J2" s="739"/>
      <c r="K2" s="739"/>
      <c r="R2" s="739"/>
    </row>
    <row r="3" spans="1:18" s="66" customFormat="1" ht="15">
      <c r="A3" s="67"/>
      <c r="D3" s="739"/>
      <c r="E3" s="739"/>
      <c r="G3" s="739"/>
      <c r="I3" s="739"/>
      <c r="J3" s="739"/>
      <c r="K3" s="739"/>
      <c r="R3" s="739"/>
    </row>
    <row r="4" spans="1:18" s="589" customFormat="1">
      <c r="A4" s="590" t="s">
        <v>26</v>
      </c>
      <c r="B4" s="590"/>
      <c r="C4" s="590"/>
      <c r="D4" s="590"/>
      <c r="E4" s="590"/>
      <c r="F4" s="292"/>
      <c r="G4" s="292"/>
      <c r="H4" s="590"/>
      <c r="I4" s="590"/>
      <c r="J4" s="590"/>
      <c r="L4" s="590"/>
    </row>
    <row r="5" spans="1:18" s="588" customFormat="1">
      <c r="A5" s="1100" t="s">
        <v>1122</v>
      </c>
      <c r="B5" s="1100"/>
      <c r="C5" s="1100"/>
      <c r="D5" s="1100"/>
      <c r="E5" s="1100"/>
      <c r="F5" s="1100"/>
      <c r="G5" s="1100"/>
      <c r="H5" s="1100"/>
      <c r="I5" s="1100"/>
      <c r="J5" s="1100"/>
      <c r="K5" s="1100"/>
      <c r="L5" s="1100"/>
      <c r="M5" s="59"/>
    </row>
    <row r="6" spans="1:18" s="585" customFormat="1">
      <c r="A6" s="587" t="s">
        <v>1420</v>
      </c>
      <c r="B6" s="61"/>
      <c r="C6" s="61"/>
      <c r="D6" s="61"/>
      <c r="E6" s="61"/>
      <c r="F6" s="292"/>
      <c r="G6" s="292"/>
      <c r="H6" s="61"/>
      <c r="I6" s="61"/>
      <c r="J6" s="61"/>
      <c r="L6" s="61"/>
      <c r="M6" s="45"/>
    </row>
    <row r="7" spans="1:18" s="585" customFormat="1">
      <c r="A7" s="586" t="s">
        <v>761</v>
      </c>
      <c r="B7" s="587"/>
      <c r="C7" s="61"/>
      <c r="D7" s="61"/>
      <c r="E7" s="61"/>
      <c r="F7" s="292"/>
      <c r="G7" s="292"/>
      <c r="H7" s="61"/>
      <c r="I7" s="61"/>
      <c r="J7" s="61"/>
      <c r="L7" s="61"/>
      <c r="M7" s="45"/>
    </row>
    <row r="8" spans="1:18" s="585" customFormat="1">
      <c r="A8" s="587" t="s">
        <v>24</v>
      </c>
      <c r="B8" s="61"/>
      <c r="C8" s="61"/>
      <c r="D8" s="61"/>
      <c r="E8" s="61"/>
      <c r="F8" s="292"/>
      <c r="G8" s="292"/>
      <c r="H8" s="61"/>
      <c r="I8" s="61"/>
      <c r="J8" s="61"/>
      <c r="L8" s="61"/>
      <c r="M8" s="45"/>
    </row>
    <row r="9" spans="1:18" s="583" customFormat="1">
      <c r="A9" s="584"/>
      <c r="B9" s="73"/>
      <c r="C9" s="48"/>
      <c r="D9" s="738"/>
      <c r="E9" s="738"/>
      <c r="F9" s="48"/>
      <c r="G9" s="738"/>
      <c r="H9" s="72"/>
      <c r="I9" s="72"/>
      <c r="J9" s="72"/>
      <c r="L9" s="48"/>
      <c r="M9" s="49"/>
    </row>
    <row r="10" spans="1:18">
      <c r="A10">
        <f>SUM(A11:A82)</f>
        <v>0</v>
      </c>
    </row>
    <row r="11" spans="1:18" ht="20.25">
      <c r="B11" s="910" t="s">
        <v>1262</v>
      </c>
    </row>
    <row r="12" spans="1:18" ht="15.75">
      <c r="B12" s="78"/>
    </row>
    <row r="13" spans="1:18">
      <c r="A13" s="5"/>
      <c r="B13" s="852" t="s">
        <v>1205</v>
      </c>
    </row>
    <row r="14" spans="1:18">
      <c r="B14" s="849"/>
    </row>
    <row r="15" spans="1:18">
      <c r="B15" s="849" t="s">
        <v>1180</v>
      </c>
    </row>
    <row r="16" spans="1:18">
      <c r="B16" s="849"/>
    </row>
    <row r="17" spans="2:15" ht="13.15" customHeight="1">
      <c r="B17" s="853" t="s">
        <v>1292</v>
      </c>
      <c r="C17" s="798"/>
      <c r="D17" s="798"/>
      <c r="E17" s="798"/>
      <c r="F17" s="798"/>
      <c r="G17" s="798"/>
      <c r="H17" s="798"/>
      <c r="I17" s="798"/>
      <c r="J17" s="798"/>
      <c r="K17" s="798"/>
      <c r="L17" s="798"/>
      <c r="M17" s="798"/>
      <c r="N17" s="798"/>
      <c r="O17" s="798"/>
    </row>
    <row r="18" spans="2:15" ht="13.15" customHeight="1">
      <c r="B18" s="798"/>
      <c r="C18" s="798"/>
      <c r="D18" s="798"/>
      <c r="E18" s="798"/>
      <c r="F18" s="798"/>
      <c r="G18" s="798"/>
      <c r="H18" s="798"/>
      <c r="I18" s="798"/>
      <c r="J18" s="798"/>
      <c r="K18" s="798"/>
      <c r="L18" s="798"/>
      <c r="M18" s="798"/>
      <c r="N18" s="798"/>
      <c r="O18" s="798"/>
    </row>
    <row r="19" spans="2:15" ht="12.75" customHeight="1">
      <c r="B19" s="852" t="s">
        <v>1206</v>
      </c>
      <c r="C19" s="799"/>
      <c r="D19" s="799"/>
      <c r="E19" s="799"/>
      <c r="F19" s="799"/>
      <c r="G19" s="799"/>
      <c r="H19" s="799"/>
      <c r="I19" s="799"/>
      <c r="J19" s="799"/>
      <c r="K19" s="799"/>
      <c r="L19" s="799"/>
      <c r="M19" s="799"/>
      <c r="N19" s="799"/>
      <c r="O19" s="799"/>
    </row>
    <row r="20" spans="2:15">
      <c r="B20" s="841"/>
      <c r="C20" s="841"/>
      <c r="D20" s="841"/>
      <c r="E20" s="841"/>
      <c r="F20" s="841"/>
      <c r="G20" s="869"/>
      <c r="H20" s="841"/>
      <c r="I20" s="841"/>
      <c r="J20" s="841"/>
      <c r="K20" s="841"/>
      <c r="L20" s="841"/>
      <c r="M20" s="841"/>
      <c r="N20" s="841"/>
      <c r="O20" s="841"/>
    </row>
    <row r="21" spans="2:15">
      <c r="B21" s="849" t="s">
        <v>1180</v>
      </c>
      <c r="C21" s="841"/>
      <c r="D21" s="841"/>
      <c r="E21" s="841"/>
      <c r="F21" s="841"/>
      <c r="G21" s="869"/>
      <c r="H21" s="841"/>
      <c r="I21" s="841"/>
      <c r="J21" s="841"/>
      <c r="K21" s="841"/>
      <c r="L21" s="841"/>
      <c r="M21" s="841"/>
      <c r="N21" s="841"/>
      <c r="O21" s="841"/>
    </row>
    <row r="22" spans="2:15">
      <c r="B22" s="841"/>
      <c r="C22" s="841"/>
      <c r="D22" s="841"/>
      <c r="E22" s="841"/>
      <c r="F22" s="841"/>
      <c r="G22" s="869"/>
      <c r="H22" s="841"/>
      <c r="I22" s="841"/>
      <c r="J22" s="841"/>
      <c r="K22" s="841"/>
      <c r="L22" s="841"/>
      <c r="M22" s="841"/>
      <c r="N22" s="841"/>
      <c r="O22" s="841"/>
    </row>
    <row r="23" spans="2:15">
      <c r="B23" s="854" t="s">
        <v>1207</v>
      </c>
      <c r="C23" s="841"/>
      <c r="D23" s="841"/>
      <c r="E23" s="841"/>
      <c r="F23" s="841"/>
      <c r="G23" s="869"/>
      <c r="H23" s="841"/>
      <c r="I23" s="841"/>
      <c r="J23" s="841"/>
      <c r="K23" s="841"/>
      <c r="L23" s="841"/>
      <c r="M23" s="841"/>
      <c r="N23" s="841"/>
      <c r="O23" s="841"/>
    </row>
    <row r="24" spans="2:15">
      <c r="B24" s="841"/>
      <c r="C24" s="841"/>
      <c r="D24" s="841"/>
      <c r="E24" s="841"/>
      <c r="F24" s="841"/>
      <c r="G24" s="869"/>
      <c r="H24" s="841"/>
      <c r="I24" s="841"/>
      <c r="J24" s="841"/>
      <c r="K24" s="841"/>
      <c r="L24" s="841"/>
      <c r="M24" s="841"/>
      <c r="N24" s="841"/>
      <c r="O24" s="841"/>
    </row>
    <row r="25" spans="2:15">
      <c r="B25" s="849" t="s">
        <v>1180</v>
      </c>
      <c r="C25" s="841"/>
      <c r="D25" s="841"/>
      <c r="E25" s="841"/>
      <c r="F25" s="841"/>
      <c r="G25" s="869"/>
      <c r="H25" s="841"/>
      <c r="I25" s="841"/>
      <c r="J25" s="841"/>
      <c r="K25" s="841"/>
      <c r="L25" s="841"/>
      <c r="M25" s="841"/>
      <c r="N25" s="841"/>
      <c r="O25" s="841"/>
    </row>
    <row r="26" spans="2:15">
      <c r="B26" s="849"/>
      <c r="C26" s="1052"/>
      <c r="D26" s="1052"/>
      <c r="E26" s="1052"/>
      <c r="F26" s="1052"/>
      <c r="G26" s="1052"/>
      <c r="H26" s="1052"/>
      <c r="I26" s="1052"/>
      <c r="J26" s="1052"/>
      <c r="K26" s="1052"/>
      <c r="L26" s="1052"/>
      <c r="M26" s="1052"/>
      <c r="N26" s="1052"/>
      <c r="O26" s="1052"/>
    </row>
    <row r="27" spans="2:15">
      <c r="B27" s="1103" t="s">
        <v>1650</v>
      </c>
      <c r="C27" s="1103"/>
      <c r="D27" s="1103"/>
      <c r="E27" s="1103"/>
      <c r="F27" s="1103"/>
      <c r="G27" s="1103"/>
      <c r="H27" s="1103"/>
      <c r="I27" s="1103"/>
      <c r="J27" s="1103"/>
      <c r="K27" s="1103"/>
      <c r="L27" s="1067"/>
      <c r="M27" s="1067"/>
      <c r="N27" s="1067"/>
      <c r="O27" s="1067"/>
    </row>
    <row r="28" spans="2:15" ht="13.15" customHeight="1">
      <c r="B28" s="1103"/>
      <c r="C28" s="1103"/>
      <c r="D28" s="1103"/>
      <c r="E28" s="1103"/>
      <c r="F28" s="1103"/>
      <c r="G28" s="1103"/>
      <c r="H28" s="1103"/>
      <c r="I28" s="1103"/>
      <c r="J28" s="1103"/>
      <c r="K28" s="1103"/>
      <c r="L28" s="1052"/>
      <c r="M28" s="1052"/>
      <c r="N28" s="1052"/>
      <c r="O28" s="1052"/>
    </row>
    <row r="29" spans="2:15">
      <c r="B29" s="1103"/>
      <c r="C29" s="1103"/>
      <c r="D29" s="1103"/>
      <c r="E29" s="1103"/>
      <c r="F29" s="1103"/>
      <c r="G29" s="1103"/>
      <c r="H29" s="1103"/>
      <c r="I29" s="1103"/>
      <c r="J29" s="1103"/>
      <c r="K29" s="1103"/>
      <c r="L29" s="1067"/>
      <c r="M29" s="1067"/>
      <c r="N29" s="1067"/>
      <c r="O29" s="1067"/>
    </row>
    <row r="30" spans="2:15">
      <c r="B30" s="1053"/>
      <c r="C30" s="1053"/>
      <c r="D30" s="1053"/>
      <c r="E30" s="1053"/>
      <c r="F30" s="1053"/>
      <c r="G30" s="1053"/>
      <c r="H30" s="1053"/>
      <c r="I30" s="1053"/>
      <c r="J30" s="1053"/>
      <c r="K30" s="1053"/>
      <c r="L30" s="1052"/>
      <c r="M30" s="1052"/>
      <c r="N30" s="1052"/>
      <c r="O30" s="1052"/>
    </row>
    <row r="31" spans="2:15">
      <c r="B31" s="849" t="s">
        <v>1180</v>
      </c>
      <c r="C31" s="841"/>
      <c r="D31" s="841"/>
      <c r="E31" s="841"/>
      <c r="F31" s="841"/>
      <c r="G31" s="869"/>
      <c r="H31" s="841"/>
      <c r="I31" s="841"/>
      <c r="J31" s="841"/>
      <c r="K31" s="841"/>
      <c r="L31" s="841"/>
      <c r="M31" s="841"/>
      <c r="N31" s="841"/>
      <c r="O31" s="841"/>
    </row>
    <row r="33" spans="2:15" ht="27.75" customHeight="1">
      <c r="B33" s="850" t="s">
        <v>1263</v>
      </c>
    </row>
    <row r="34" spans="2:15">
      <c r="B34" s="573"/>
      <c r="C34" s="573"/>
      <c r="D34" s="717"/>
      <c r="E34" s="717"/>
      <c r="F34" s="573"/>
      <c r="G34" s="869"/>
      <c r="H34" s="573"/>
      <c r="I34" s="841"/>
      <c r="J34" s="841"/>
      <c r="L34" s="573"/>
    </row>
    <row r="35" spans="2:15" s="2" customFormat="1">
      <c r="B35" s="856" t="s">
        <v>1566</v>
      </c>
      <c r="C35" s="856"/>
      <c r="D35" s="856"/>
      <c r="E35" s="856"/>
      <c r="F35" s="856"/>
      <c r="G35" s="856"/>
      <c r="H35" s="856"/>
      <c r="I35" s="856"/>
      <c r="J35" s="856"/>
      <c r="K35" s="856"/>
      <c r="L35" s="856"/>
      <c r="M35" s="856"/>
      <c r="N35" s="856"/>
      <c r="O35" s="856"/>
    </row>
    <row r="36" spans="2:15" s="2" customFormat="1">
      <c r="B36" s="855"/>
      <c r="C36" s="855"/>
      <c r="D36" s="855"/>
      <c r="E36" s="855"/>
      <c r="F36" s="855"/>
      <c r="G36" s="871"/>
      <c r="H36" s="855"/>
      <c r="I36" s="855"/>
      <c r="J36" s="855"/>
      <c r="K36" s="855"/>
      <c r="L36" s="855"/>
      <c r="M36" s="855"/>
      <c r="N36" s="855"/>
      <c r="O36" s="855"/>
    </row>
    <row r="37" spans="2:15" s="2" customFormat="1" ht="13.15" customHeight="1">
      <c r="B37" s="1102" t="s">
        <v>1651</v>
      </c>
      <c r="C37" s="1102"/>
      <c r="D37" s="1102"/>
      <c r="E37" s="1102"/>
      <c r="F37" s="1102"/>
      <c r="G37" s="1102"/>
      <c r="H37" s="1102"/>
      <c r="I37" s="1102"/>
      <c r="J37" s="1102"/>
      <c r="K37" s="1102"/>
      <c r="L37" s="1102"/>
      <c r="M37" s="856"/>
      <c r="N37" s="856"/>
      <c r="O37" s="856"/>
    </row>
    <row r="38" spans="2:15" s="2" customFormat="1" ht="13.15" customHeight="1">
      <c r="B38" s="1102"/>
      <c r="C38" s="1102"/>
      <c r="D38" s="1102"/>
      <c r="E38" s="1102"/>
      <c r="F38" s="1102"/>
      <c r="G38" s="1102"/>
      <c r="H38" s="1102"/>
      <c r="I38" s="1102"/>
      <c r="J38" s="1102"/>
      <c r="K38" s="1102"/>
      <c r="L38" s="1102"/>
      <c r="M38" s="856"/>
      <c r="N38" s="856"/>
      <c r="O38" s="856"/>
    </row>
    <row r="39" spans="2:15" s="2" customFormat="1" ht="13.15" customHeight="1">
      <c r="B39" s="976"/>
      <c r="C39" s="976"/>
      <c r="D39" s="976"/>
      <c r="E39" s="976"/>
      <c r="F39" s="976"/>
      <c r="G39" s="976"/>
      <c r="H39" s="976"/>
      <c r="I39" s="976"/>
      <c r="J39" s="976"/>
      <c r="K39" s="976"/>
      <c r="L39" s="976"/>
      <c r="M39" s="856"/>
      <c r="N39" s="856"/>
      <c r="O39" s="856"/>
    </row>
    <row r="40" spans="2:15" s="2" customFormat="1" ht="15.75">
      <c r="B40" s="919" t="s">
        <v>1264</v>
      </c>
      <c r="C40" s="918">
        <v>1</v>
      </c>
      <c r="D40" s="920" t="s">
        <v>1265</v>
      </c>
      <c r="E40" s="856"/>
      <c r="F40" s="856"/>
      <c r="G40" s="856"/>
      <c r="H40" s="856"/>
      <c r="I40" s="856"/>
      <c r="J40" s="856"/>
      <c r="K40" s="856"/>
      <c r="L40" s="856"/>
      <c r="M40" s="856"/>
      <c r="N40" s="856"/>
      <c r="O40" s="856"/>
    </row>
    <row r="41" spans="2:15" s="2" customFormat="1" ht="15.75">
      <c r="B41" s="919"/>
      <c r="C41" s="918"/>
      <c r="D41" s="920"/>
      <c r="E41" s="856"/>
      <c r="F41" s="856"/>
      <c r="G41" s="856"/>
      <c r="H41" s="856"/>
      <c r="I41" s="856"/>
      <c r="J41" s="856"/>
      <c r="K41" s="856"/>
      <c r="L41" s="856"/>
      <c r="M41" s="856"/>
      <c r="N41" s="856"/>
      <c r="O41" s="856"/>
    </row>
    <row r="42" spans="2:15">
      <c r="B42" s="1103" t="s">
        <v>1567</v>
      </c>
      <c r="C42" s="1103"/>
      <c r="D42" s="1103"/>
      <c r="E42" s="1103"/>
      <c r="F42" s="1103"/>
      <c r="G42" s="1103"/>
      <c r="H42" s="1103"/>
      <c r="I42" s="1103"/>
      <c r="J42" s="1103"/>
      <c r="K42" s="1103"/>
      <c r="L42" s="1103"/>
    </row>
    <row r="43" spans="2:15">
      <c r="B43" s="1103"/>
      <c r="C43" s="1103"/>
      <c r="D43" s="1103"/>
      <c r="E43" s="1103"/>
      <c r="F43" s="1103"/>
      <c r="G43" s="1103"/>
      <c r="H43" s="1103"/>
      <c r="I43" s="1103"/>
      <c r="J43" s="1103"/>
      <c r="K43" s="1103"/>
      <c r="L43" s="1103"/>
    </row>
    <row r="44" spans="2:15">
      <c r="B44" s="1006"/>
      <c r="C44" s="1006"/>
      <c r="D44" s="1006"/>
      <c r="E44" s="1006"/>
      <c r="F44" s="1006"/>
      <c r="G44" s="1006"/>
      <c r="H44" s="1006"/>
      <c r="I44" s="1006"/>
      <c r="J44" s="1006"/>
      <c r="K44" s="1006"/>
      <c r="L44" s="1006"/>
    </row>
    <row r="45" spans="2:15">
      <c r="B45" s="1103" t="s">
        <v>1568</v>
      </c>
      <c r="C45" s="1103"/>
      <c r="D45" s="1103"/>
      <c r="E45" s="1103"/>
      <c r="F45" s="1103"/>
      <c r="G45" s="1103"/>
      <c r="H45" s="1103"/>
      <c r="I45" s="1103"/>
      <c r="J45" s="1103"/>
      <c r="K45" s="1103"/>
      <c r="L45" s="1103"/>
    </row>
    <row r="46" spans="2:15">
      <c r="B46" s="1103"/>
      <c r="C46" s="1103"/>
      <c r="D46" s="1103"/>
      <c r="E46" s="1103"/>
      <c r="F46" s="1103"/>
      <c r="G46" s="1103"/>
      <c r="H46" s="1103"/>
      <c r="I46" s="1103"/>
      <c r="J46" s="1103"/>
      <c r="K46" s="1103"/>
      <c r="L46" s="1103"/>
    </row>
    <row r="47" spans="2:15">
      <c r="B47" s="977"/>
      <c r="C47" s="977"/>
      <c r="D47" s="977"/>
      <c r="E47" s="977"/>
      <c r="F47" s="977"/>
      <c r="G47" s="977"/>
      <c r="H47" s="977"/>
      <c r="I47" s="977"/>
      <c r="J47" s="977"/>
      <c r="K47" s="977"/>
      <c r="L47" s="977"/>
    </row>
    <row r="48" spans="2:15" ht="15" customHeight="1">
      <c r="B48" s="916" t="s">
        <v>1261</v>
      </c>
      <c r="C48" s="917">
        <f>Calc_long_term_NQT_entrants!C261</f>
        <v>2246.8767087711881</v>
      </c>
      <c r="D48" s="987" t="s">
        <v>1652</v>
      </c>
      <c r="E48" s="717"/>
      <c r="F48" s="573"/>
      <c r="G48" s="869"/>
      <c r="H48" s="573"/>
      <c r="I48" s="841"/>
      <c r="J48" s="841"/>
      <c r="L48" s="841"/>
    </row>
    <row r="49" spans="1:13" ht="12.75" customHeight="1">
      <c r="B49" s="909"/>
      <c r="C49" s="908"/>
      <c r="D49" s="901"/>
      <c r="E49" s="901"/>
      <c r="F49" s="901"/>
      <c r="G49" s="901"/>
      <c r="H49" s="901"/>
      <c r="I49" s="901"/>
      <c r="J49" s="901"/>
      <c r="L49" s="901"/>
    </row>
    <row r="50" spans="1:13" ht="12.75" customHeight="1">
      <c r="B50" s="908"/>
      <c r="C50" s="901"/>
      <c r="D50" s="901"/>
      <c r="E50" s="901"/>
      <c r="F50" s="901"/>
      <c r="G50" s="901"/>
      <c r="H50" s="901"/>
      <c r="I50" s="901"/>
      <c r="J50" s="901"/>
      <c r="L50" s="901"/>
    </row>
    <row r="51" spans="1:13" s="494" customFormat="1" ht="59.25" customHeight="1">
      <c r="B51" s="1101" t="s">
        <v>1184</v>
      </c>
      <c r="C51" s="1108" t="s">
        <v>1181</v>
      </c>
      <c r="D51" s="1109"/>
      <c r="E51" s="1104" t="s">
        <v>1592</v>
      </c>
      <c r="F51" s="1104" t="s">
        <v>1653</v>
      </c>
      <c r="G51" s="1108" t="s">
        <v>1654</v>
      </c>
      <c r="H51" s="1109"/>
      <c r="I51" s="1108" t="s">
        <v>1182</v>
      </c>
      <c r="J51" s="1112"/>
      <c r="K51" s="1113" t="s">
        <v>1183</v>
      </c>
      <c r="L51" s="1101" t="s">
        <v>1184</v>
      </c>
    </row>
    <row r="52" spans="1:13" s="494" customFormat="1" ht="39" customHeight="1">
      <c r="B52" s="1101"/>
      <c r="C52" s="1105" t="s">
        <v>1335</v>
      </c>
      <c r="D52" s="1105" t="s">
        <v>1337</v>
      </c>
      <c r="E52" s="1104"/>
      <c r="F52" s="1104"/>
      <c r="G52" s="1110" t="s">
        <v>1336</v>
      </c>
      <c r="H52" s="1105" t="s">
        <v>1337</v>
      </c>
      <c r="I52" s="1107" t="s">
        <v>1336</v>
      </c>
      <c r="J52" s="1105" t="s">
        <v>1337</v>
      </c>
      <c r="K52" s="1113"/>
      <c r="L52" s="1101"/>
    </row>
    <row r="53" spans="1:13" s="494" customFormat="1" ht="13.15" customHeight="1">
      <c r="A53" s="213"/>
      <c r="B53" s="1101"/>
      <c r="C53" s="1106"/>
      <c r="D53" s="1106"/>
      <c r="E53" s="1104"/>
      <c r="F53" s="1104"/>
      <c r="G53" s="1111"/>
      <c r="H53" s="1106"/>
      <c r="I53" s="1107"/>
      <c r="J53" s="1106"/>
      <c r="K53" s="1113"/>
      <c r="L53" s="1101"/>
    </row>
    <row r="54" spans="1:13" s="494" customFormat="1" ht="15.75">
      <c r="A54" s="1071" t="s">
        <v>43</v>
      </c>
      <c r="B54" s="887" t="str">
        <f>Conversion_rates_table!B22</f>
        <v>Primary</v>
      </c>
      <c r="C54" s="282">
        <f>Conversion_rates_table!C253</f>
        <v>12120.954810176481</v>
      </c>
      <c r="D54" s="888">
        <v>12120.954810176481</v>
      </c>
      <c r="E54" s="414">
        <v>11488.74477424193</v>
      </c>
      <c r="F54" s="879">
        <f t="shared" ref="F54:F73" si="0">E54*$C$40</f>
        <v>11488.74477424193</v>
      </c>
      <c r="G54" s="282">
        <f>C54</f>
        <v>12120.954810176481</v>
      </c>
      <c r="H54" s="282">
        <f>D54</f>
        <v>12120.954810176481</v>
      </c>
      <c r="I54" s="392" t="b">
        <f t="shared" ref="I54:I73" si="1">IF(G54=$F54, TRUE, FALSE)</f>
        <v>0</v>
      </c>
      <c r="J54" s="392" t="b">
        <f t="shared" ref="J54:J73" si="2">IF(H54=$F54, TRUE, FALSE)</f>
        <v>0</v>
      </c>
      <c r="K54" s="885">
        <f t="shared" ref="K54:K73" si="3">H54</f>
        <v>12120.954810176481</v>
      </c>
      <c r="L54" s="889" t="str">
        <f t="shared" ref="L54:L74" si="4">B54</f>
        <v>Primary</v>
      </c>
      <c r="M54" s="886"/>
    </row>
    <row r="55" spans="1:13" s="494" customFormat="1" ht="22.5">
      <c r="A55" s="1071" t="s">
        <v>558</v>
      </c>
      <c r="B55" s="887" t="str">
        <f>Conversion_rates_table!B23</f>
        <v>Art &amp; Design</v>
      </c>
      <c r="C55" s="282">
        <f>Conversion_rates_table!C254</f>
        <v>577.09697709165653</v>
      </c>
      <c r="D55" s="888">
        <v>577.09697709165653</v>
      </c>
      <c r="E55" s="414">
        <v>633.36225106708196</v>
      </c>
      <c r="F55" s="911">
        <f t="shared" si="0"/>
        <v>633.36225106708196</v>
      </c>
      <c r="G55" s="282">
        <f>C55</f>
        <v>577.09697709165653</v>
      </c>
      <c r="H55" s="282">
        <f>D55</f>
        <v>577.09697709165653</v>
      </c>
      <c r="I55" s="392" t="b">
        <f t="shared" si="1"/>
        <v>0</v>
      </c>
      <c r="J55" s="392" t="b">
        <f t="shared" si="2"/>
        <v>0</v>
      </c>
      <c r="K55" s="885">
        <f t="shared" si="3"/>
        <v>577.09697709165653</v>
      </c>
      <c r="L55" s="889" t="str">
        <f t="shared" si="4"/>
        <v>Art &amp; Design</v>
      </c>
      <c r="M55" s="886"/>
    </row>
    <row r="56" spans="1:13" s="494" customFormat="1" ht="15.75">
      <c r="A56" s="1071" t="s">
        <v>7</v>
      </c>
      <c r="B56" s="891" t="str">
        <f>Conversion_rates_table!B24</f>
        <v>Biology</v>
      </c>
      <c r="C56" s="282">
        <f>Conversion_rates_table!C255</f>
        <v>1187.7114497941952</v>
      </c>
      <c r="D56" s="888">
        <v>1187.7114497941952</v>
      </c>
      <c r="E56" s="414">
        <v>1177.6613302701508</v>
      </c>
      <c r="F56" s="911">
        <f t="shared" si="0"/>
        <v>1177.6613302701508</v>
      </c>
      <c r="G56" s="890">
        <f>IF(C56&lt;$F56,$F56,C56)</f>
        <v>1187.7114497941952</v>
      </c>
      <c r="H56" s="890">
        <f>IF(D56&lt;$F56,$F56,D56)</f>
        <v>1187.7114497941952</v>
      </c>
      <c r="I56" s="392" t="b">
        <f t="shared" si="1"/>
        <v>0</v>
      </c>
      <c r="J56" s="392" t="b">
        <f t="shared" si="2"/>
        <v>0</v>
      </c>
      <c r="K56" s="885">
        <f t="shared" si="3"/>
        <v>1187.7114497941952</v>
      </c>
      <c r="L56" s="891" t="str">
        <f t="shared" si="4"/>
        <v>Biology</v>
      </c>
      <c r="M56" s="886"/>
    </row>
    <row r="57" spans="1:13" s="494" customFormat="1" ht="22.5">
      <c r="A57" s="1071" t="s">
        <v>427</v>
      </c>
      <c r="B57" s="887" t="str">
        <f>Conversion_rates_table!B25</f>
        <v>Business Studies</v>
      </c>
      <c r="C57" s="282">
        <f>Conversion_rates_table!C256</f>
        <v>217.57177227814842</v>
      </c>
      <c r="D57" s="888">
        <v>217.57177227814842</v>
      </c>
      <c r="E57" s="414">
        <v>252.10609160545758</v>
      </c>
      <c r="F57" s="911">
        <f t="shared" si="0"/>
        <v>252.10609160545758</v>
      </c>
      <c r="G57" s="282">
        <f>C57</f>
        <v>217.57177227814842</v>
      </c>
      <c r="H57" s="282">
        <f>D57</f>
        <v>217.57177227814842</v>
      </c>
      <c r="I57" s="392" t="b">
        <f t="shared" si="1"/>
        <v>0</v>
      </c>
      <c r="J57" s="392" t="b">
        <f t="shared" si="2"/>
        <v>0</v>
      </c>
      <c r="K57" s="885">
        <f t="shared" si="3"/>
        <v>217.57177227814842</v>
      </c>
      <c r="L57" s="889" t="str">
        <f t="shared" si="4"/>
        <v>Business Studies</v>
      </c>
      <c r="M57" s="886"/>
    </row>
    <row r="58" spans="1:13" s="494" customFormat="1" ht="22.5">
      <c r="A58" s="1071" t="s">
        <v>3</v>
      </c>
      <c r="B58" s="891" t="str">
        <f>Conversion_rates_table!B26</f>
        <v>Chemistry</v>
      </c>
      <c r="C58" s="282">
        <f>Conversion_rates_table!C257</f>
        <v>966.07666319765076</v>
      </c>
      <c r="D58" s="888">
        <v>966.07666319765076</v>
      </c>
      <c r="E58" s="414">
        <v>1053.4775422401942</v>
      </c>
      <c r="F58" s="911">
        <f t="shared" si="0"/>
        <v>1053.4775422401942</v>
      </c>
      <c r="G58" s="890">
        <f t="shared" ref="G58:H60" si="5">IF(C58&lt;$F58,$F58,C58)</f>
        <v>1053.4775422401942</v>
      </c>
      <c r="H58" s="890">
        <f t="shared" si="5"/>
        <v>1053.4775422401942</v>
      </c>
      <c r="I58" s="392" t="b">
        <f t="shared" si="1"/>
        <v>1</v>
      </c>
      <c r="J58" s="392" t="b">
        <f t="shared" si="2"/>
        <v>1</v>
      </c>
      <c r="K58" s="885">
        <f t="shared" si="3"/>
        <v>1053.4775422401942</v>
      </c>
      <c r="L58" s="891" t="str">
        <f t="shared" si="4"/>
        <v>Chemistry</v>
      </c>
      <c r="M58" s="886"/>
    </row>
    <row r="59" spans="1:13" s="494" customFormat="1" ht="15.75">
      <c r="A59" s="1071" t="s">
        <v>85</v>
      </c>
      <c r="B59" s="891" t="str">
        <f>Conversion_rates_table!B27</f>
        <v>Classics</v>
      </c>
      <c r="C59" s="282">
        <f>Conversion_rates_table!C258</f>
        <v>29.973264994570943</v>
      </c>
      <c r="D59" s="888">
        <v>29.973264994570943</v>
      </c>
      <c r="E59" s="414">
        <v>68.619515583024508</v>
      </c>
      <c r="F59" s="911">
        <f t="shared" si="0"/>
        <v>68.619515583024508</v>
      </c>
      <c r="G59" s="890">
        <f t="shared" si="5"/>
        <v>68.619515583024508</v>
      </c>
      <c r="H59" s="890">
        <f t="shared" si="5"/>
        <v>68.619515583024508</v>
      </c>
      <c r="I59" s="392" t="b">
        <f t="shared" si="1"/>
        <v>1</v>
      </c>
      <c r="J59" s="392" t="b">
        <f t="shared" si="2"/>
        <v>1</v>
      </c>
      <c r="K59" s="885">
        <f t="shared" si="3"/>
        <v>68.619515583024508</v>
      </c>
      <c r="L59" s="891" t="str">
        <f t="shared" si="4"/>
        <v>Classics</v>
      </c>
      <c r="M59" s="886"/>
    </row>
    <row r="60" spans="1:13" s="494" customFormat="1" ht="22.5">
      <c r="A60" s="1071" t="s">
        <v>103</v>
      </c>
      <c r="B60" s="891" t="str">
        <f>Conversion_rates_table!B28</f>
        <v>Computing</v>
      </c>
      <c r="C60" s="282">
        <f>Conversion_rates_table!C259</f>
        <v>450.76851629455996</v>
      </c>
      <c r="D60" s="888">
        <v>450.76851629455996</v>
      </c>
      <c r="E60" s="414">
        <v>722.77160624604142</v>
      </c>
      <c r="F60" s="946">
        <f t="shared" si="0"/>
        <v>722.77160624604142</v>
      </c>
      <c r="G60" s="890">
        <f t="shared" si="5"/>
        <v>722.77160624604142</v>
      </c>
      <c r="H60" s="890">
        <f t="shared" si="5"/>
        <v>722.77160624604142</v>
      </c>
      <c r="I60" s="392" t="b">
        <f t="shared" si="1"/>
        <v>1</v>
      </c>
      <c r="J60" s="392" t="b">
        <f t="shared" si="2"/>
        <v>1</v>
      </c>
      <c r="K60" s="885">
        <f t="shared" si="3"/>
        <v>722.77160624604142</v>
      </c>
      <c r="L60" s="891" t="str">
        <f t="shared" si="4"/>
        <v>Computing</v>
      </c>
      <c r="M60" s="886"/>
    </row>
    <row r="61" spans="1:13" s="494" customFormat="1" ht="33.75">
      <c r="A61" s="1071" t="s">
        <v>559</v>
      </c>
      <c r="B61" s="887" t="str">
        <f>Conversion_rates_table!B29</f>
        <v>Design &amp; Technology</v>
      </c>
      <c r="C61" s="282">
        <f>Conversion_rates_table!C260</f>
        <v>750.58903626833126</v>
      </c>
      <c r="D61" s="888">
        <v>750.58903626833126</v>
      </c>
      <c r="E61" s="414">
        <v>847.65292472434487</v>
      </c>
      <c r="F61" s="911">
        <f t="shared" si="0"/>
        <v>847.65292472434487</v>
      </c>
      <c r="G61" s="282">
        <f>C61</f>
        <v>750.58903626833126</v>
      </c>
      <c r="H61" s="282">
        <f>D61</f>
        <v>750.58903626833126</v>
      </c>
      <c r="I61" s="392" t="b">
        <f t="shared" si="1"/>
        <v>0</v>
      </c>
      <c r="J61" s="392" t="b">
        <f t="shared" si="2"/>
        <v>0</v>
      </c>
      <c r="K61" s="885">
        <f t="shared" si="3"/>
        <v>750.58903626833126</v>
      </c>
      <c r="L61" s="889" t="str">
        <f t="shared" si="4"/>
        <v>Design &amp; Technology</v>
      </c>
      <c r="M61" s="886"/>
    </row>
    <row r="62" spans="1:13" s="494" customFormat="1" ht="15.75">
      <c r="A62" s="1071" t="s">
        <v>6</v>
      </c>
      <c r="B62" s="887" t="str">
        <f>Conversion_rates_table!B30</f>
        <v>Drama</v>
      </c>
      <c r="C62" s="282">
        <f>Conversion_rates_table!C261</f>
        <v>345.11470491922063</v>
      </c>
      <c r="D62" s="888">
        <v>345.11470491922063</v>
      </c>
      <c r="E62" s="414">
        <v>346.85956318941584</v>
      </c>
      <c r="F62" s="911">
        <f t="shared" si="0"/>
        <v>346.85956318941584</v>
      </c>
      <c r="G62" s="282">
        <f>C62</f>
        <v>345.11470491922063</v>
      </c>
      <c r="H62" s="282">
        <f>D62</f>
        <v>345.11470491922063</v>
      </c>
      <c r="I62" s="392" t="b">
        <f t="shared" si="1"/>
        <v>0</v>
      </c>
      <c r="J62" s="392" t="b">
        <f t="shared" si="2"/>
        <v>0</v>
      </c>
      <c r="K62" s="885">
        <f t="shared" si="3"/>
        <v>345.11470491922063</v>
      </c>
      <c r="L62" s="889" t="str">
        <f t="shared" si="4"/>
        <v>Drama</v>
      </c>
      <c r="M62" s="886"/>
    </row>
    <row r="63" spans="1:13" s="494" customFormat="1" ht="15.75">
      <c r="A63" s="1071" t="s">
        <v>1</v>
      </c>
      <c r="B63" s="891" t="str">
        <f>Conversion_rates_table!B31</f>
        <v>English</v>
      </c>
      <c r="C63" s="282">
        <f>Conversion_rates_table!C262</f>
        <v>2426.2873096074586</v>
      </c>
      <c r="D63" s="888">
        <v>2426.2873096074586</v>
      </c>
      <c r="E63" s="414">
        <v>2253.1400951922151</v>
      </c>
      <c r="F63" s="911">
        <f t="shared" si="0"/>
        <v>2253.1400951922151</v>
      </c>
      <c r="G63" s="890">
        <f>IF(C63&lt;$F63,$F63,C63)</f>
        <v>2426.2873096074586</v>
      </c>
      <c r="H63" s="890">
        <f>IF(D63&lt;$F63,$F63,D63)</f>
        <v>2426.2873096074586</v>
      </c>
      <c r="I63" s="392" t="b">
        <f t="shared" si="1"/>
        <v>0</v>
      </c>
      <c r="J63" s="392" t="b">
        <f t="shared" si="2"/>
        <v>0</v>
      </c>
      <c r="K63" s="885">
        <f t="shared" si="3"/>
        <v>2426.2873096074586</v>
      </c>
      <c r="L63" s="891" t="str">
        <f t="shared" si="4"/>
        <v>English</v>
      </c>
      <c r="M63" s="886"/>
    </row>
    <row r="64" spans="1:13" s="494" customFormat="1" ht="15.75">
      <c r="A64" s="1071" t="s">
        <v>396</v>
      </c>
      <c r="B64" s="887" t="str">
        <f>Conversion_rates_table!B32</f>
        <v>Food</v>
      </c>
      <c r="C64" s="282">
        <f>Conversion_rates_table!C263</f>
        <v>166.33410185907249</v>
      </c>
      <c r="D64" s="888">
        <v>166.33410185907249</v>
      </c>
      <c r="E64" s="414">
        <v>185.96764681718406</v>
      </c>
      <c r="F64" s="911">
        <f t="shared" si="0"/>
        <v>185.96764681718406</v>
      </c>
      <c r="G64" s="282">
        <f>C64</f>
        <v>166.33410185907249</v>
      </c>
      <c r="H64" s="282">
        <f>D64</f>
        <v>166.33410185907249</v>
      </c>
      <c r="I64" s="392" t="b">
        <f t="shared" si="1"/>
        <v>0</v>
      </c>
      <c r="J64" s="392" t="b">
        <f t="shared" si="2"/>
        <v>0</v>
      </c>
      <c r="K64" s="885">
        <f t="shared" si="3"/>
        <v>166.33410185907249</v>
      </c>
      <c r="L64" s="889" t="str">
        <f t="shared" si="4"/>
        <v>Food</v>
      </c>
      <c r="M64" s="886"/>
    </row>
    <row r="65" spans="1:13" s="494" customFormat="1" ht="22.5">
      <c r="A65" s="1071" t="s">
        <v>4</v>
      </c>
      <c r="B65" s="891" t="str">
        <f>Conversion_rates_table!B33</f>
        <v>Geography</v>
      </c>
      <c r="C65" s="282">
        <f>Conversion_rates_table!C264</f>
        <v>1531.1469289044046</v>
      </c>
      <c r="D65" s="888">
        <v>1531.1469289044046</v>
      </c>
      <c r="E65" s="414">
        <v>777.63869746363002</v>
      </c>
      <c r="F65" s="911">
        <f t="shared" si="0"/>
        <v>777.63869746363002</v>
      </c>
      <c r="G65" s="890">
        <f t="shared" ref="G65:H68" si="6">IF(C65&lt;$F65,$F65,C65)</f>
        <v>1531.1469289044046</v>
      </c>
      <c r="H65" s="890">
        <f t="shared" si="6"/>
        <v>1531.1469289044046</v>
      </c>
      <c r="I65" s="392" t="b">
        <f t="shared" si="1"/>
        <v>0</v>
      </c>
      <c r="J65" s="392" t="b">
        <f t="shared" si="2"/>
        <v>0</v>
      </c>
      <c r="K65" s="885">
        <f t="shared" si="3"/>
        <v>1531.1469289044046</v>
      </c>
      <c r="L65" s="891" t="str">
        <f t="shared" si="4"/>
        <v>Geography</v>
      </c>
      <c r="M65" s="886"/>
    </row>
    <row r="66" spans="1:13" s="494" customFormat="1" ht="15.75">
      <c r="A66" s="1071" t="s">
        <v>0</v>
      </c>
      <c r="B66" s="891" t="str">
        <f>Conversion_rates_table!B34</f>
        <v>History</v>
      </c>
      <c r="C66" s="282">
        <f>Conversion_rates_table!C265</f>
        <v>1159.7619052471459</v>
      </c>
      <c r="D66" s="888">
        <v>1159.7619052471459</v>
      </c>
      <c r="E66" s="414">
        <v>816.3930626788316</v>
      </c>
      <c r="F66" s="911">
        <f t="shared" si="0"/>
        <v>816.3930626788316</v>
      </c>
      <c r="G66" s="890">
        <f t="shared" si="6"/>
        <v>1159.7619052471459</v>
      </c>
      <c r="H66" s="890">
        <f t="shared" si="6"/>
        <v>1159.7619052471459</v>
      </c>
      <c r="I66" s="392" t="b">
        <f t="shared" si="1"/>
        <v>0</v>
      </c>
      <c r="J66" s="392" t="b">
        <f t="shared" si="2"/>
        <v>0</v>
      </c>
      <c r="K66" s="885">
        <f t="shared" si="3"/>
        <v>1159.7619052471459</v>
      </c>
      <c r="L66" s="891" t="str">
        <f t="shared" si="4"/>
        <v>History</v>
      </c>
      <c r="M66" s="886"/>
    </row>
    <row r="67" spans="1:13" s="494" customFormat="1" ht="22.5">
      <c r="A67" s="1071" t="s">
        <v>560</v>
      </c>
      <c r="B67" s="891" t="str">
        <f>Conversion_rates_table!B35</f>
        <v>Mathematics</v>
      </c>
      <c r="C67" s="282">
        <f>Conversion_rates_table!C266</f>
        <v>2883.194525759046</v>
      </c>
      <c r="D67" s="888">
        <v>2883.194525759046</v>
      </c>
      <c r="E67" s="414">
        <v>3102.4919179919257</v>
      </c>
      <c r="F67" s="911">
        <f t="shared" si="0"/>
        <v>3102.4919179919257</v>
      </c>
      <c r="G67" s="890">
        <f t="shared" si="6"/>
        <v>3102.4919179919257</v>
      </c>
      <c r="H67" s="890">
        <f t="shared" si="6"/>
        <v>3102.4919179919257</v>
      </c>
      <c r="I67" s="392" t="b">
        <f t="shared" si="1"/>
        <v>1</v>
      </c>
      <c r="J67" s="392" t="b">
        <f t="shared" si="2"/>
        <v>1</v>
      </c>
      <c r="K67" s="885">
        <f t="shared" si="3"/>
        <v>3102.4919179919257</v>
      </c>
      <c r="L67" s="891" t="str">
        <f t="shared" si="4"/>
        <v>Mathematics</v>
      </c>
      <c r="M67" s="886"/>
    </row>
    <row r="68" spans="1:13" s="494" customFormat="1" ht="45">
      <c r="A68" s="1071" t="s">
        <v>561</v>
      </c>
      <c r="B68" s="907" t="s">
        <v>1260</v>
      </c>
      <c r="C68" s="963">
        <f>E68</f>
        <v>1514.3142939148067</v>
      </c>
      <c r="D68" s="888">
        <v>1514.3142939148067</v>
      </c>
      <c r="E68" s="414">
        <v>1514.3142939148067</v>
      </c>
      <c r="F68" s="911">
        <f t="shared" si="0"/>
        <v>1514.3142939148067</v>
      </c>
      <c r="G68" s="890">
        <f t="shared" si="6"/>
        <v>1514.3142939148067</v>
      </c>
      <c r="H68" s="890">
        <f t="shared" si="6"/>
        <v>1514.3142939148067</v>
      </c>
      <c r="I68" s="392" t="b">
        <f t="shared" si="1"/>
        <v>1</v>
      </c>
      <c r="J68" s="392" t="b">
        <f t="shared" si="2"/>
        <v>1</v>
      </c>
      <c r="K68" s="885">
        <f t="shared" si="3"/>
        <v>1514.3142939148067</v>
      </c>
      <c r="L68" s="907" t="str">
        <f t="shared" si="4"/>
        <v>Modern Foreign Languages (see note above)</v>
      </c>
      <c r="M68" s="886"/>
    </row>
    <row r="69" spans="1:13" s="494" customFormat="1" ht="15.75">
      <c r="A69" s="1071" t="s">
        <v>5</v>
      </c>
      <c r="B69" s="887" t="str">
        <f>Conversion_rates_table!B37</f>
        <v>Music</v>
      </c>
      <c r="C69" s="282">
        <f>Conversion_rates_table!C268</f>
        <v>393.33766666889568</v>
      </c>
      <c r="D69" s="888">
        <v>393.33766666889568</v>
      </c>
      <c r="E69" s="414">
        <v>399.22124195848323</v>
      </c>
      <c r="F69" s="911">
        <f t="shared" si="0"/>
        <v>399.22124195848323</v>
      </c>
      <c r="G69" s="282">
        <f>C69</f>
        <v>393.33766666889568</v>
      </c>
      <c r="H69" s="282">
        <f>D69</f>
        <v>393.33766666889568</v>
      </c>
      <c r="I69" s="392" t="b">
        <f t="shared" si="1"/>
        <v>0</v>
      </c>
      <c r="J69" s="392" t="b">
        <f t="shared" si="2"/>
        <v>0</v>
      </c>
      <c r="K69" s="885">
        <f t="shared" si="3"/>
        <v>393.33766666889568</v>
      </c>
      <c r="L69" s="889" t="str">
        <f t="shared" si="4"/>
        <v>Music</v>
      </c>
      <c r="M69" s="886"/>
    </row>
    <row r="70" spans="1:13" s="494" customFormat="1" ht="15.75">
      <c r="A70" s="1071" t="s">
        <v>44</v>
      </c>
      <c r="B70" s="887" t="str">
        <f>Conversion_rates_table!B38</f>
        <v>Others</v>
      </c>
      <c r="C70" s="282">
        <f>Conversion_rates_table!C269</f>
        <v>811.63141166826551</v>
      </c>
      <c r="D70" s="888">
        <v>811.63141166826551</v>
      </c>
      <c r="E70" s="414">
        <v>938.4604745574145</v>
      </c>
      <c r="F70" s="911">
        <f t="shared" si="0"/>
        <v>938.4604745574145</v>
      </c>
      <c r="G70" s="282">
        <f>C70</f>
        <v>811.63141166826551</v>
      </c>
      <c r="H70" s="282">
        <f>D70</f>
        <v>811.63141166826551</v>
      </c>
      <c r="I70" s="392" t="b">
        <f t="shared" si="1"/>
        <v>0</v>
      </c>
      <c r="J70" s="392" t="b">
        <f t="shared" si="2"/>
        <v>0</v>
      </c>
      <c r="K70" s="885">
        <f t="shared" si="3"/>
        <v>811.63141166826551</v>
      </c>
      <c r="L70" s="889" t="str">
        <f t="shared" si="4"/>
        <v>Others</v>
      </c>
      <c r="M70" s="886"/>
    </row>
    <row r="71" spans="1:13" s="494" customFormat="1" ht="22.5">
      <c r="A71" s="1071" t="s">
        <v>562</v>
      </c>
      <c r="B71" s="887" t="str">
        <f>Conversion_rates_table!B39</f>
        <v>Physical Education</v>
      </c>
      <c r="C71" s="282">
        <f>Conversion_rates_table!C270</f>
        <v>963.54025513764725</v>
      </c>
      <c r="D71" s="888">
        <v>963.54025513764725</v>
      </c>
      <c r="E71" s="414">
        <v>999.20159210266934</v>
      </c>
      <c r="F71" s="911">
        <f t="shared" si="0"/>
        <v>999.20159210266934</v>
      </c>
      <c r="G71" s="890">
        <f>IF(C71&lt;$F71,$F71,C71)</f>
        <v>999.20159210266934</v>
      </c>
      <c r="H71" s="890">
        <f>IF(D71&lt;$F71,$F71,D71)</f>
        <v>999.20159210266934</v>
      </c>
      <c r="I71" s="392" t="b">
        <f t="shared" si="1"/>
        <v>1</v>
      </c>
      <c r="J71" s="392" t="b">
        <f t="shared" si="2"/>
        <v>1</v>
      </c>
      <c r="K71" s="885">
        <f t="shared" si="3"/>
        <v>999.20159210266934</v>
      </c>
      <c r="L71" s="889" t="str">
        <f t="shared" si="4"/>
        <v>Physical Education</v>
      </c>
      <c r="M71" s="886"/>
    </row>
    <row r="72" spans="1:13" s="494" customFormat="1" ht="15.75">
      <c r="A72" s="1071" t="s">
        <v>2</v>
      </c>
      <c r="B72" s="891" t="str">
        <f>Conversion_rates_table!B40</f>
        <v>Physics</v>
      </c>
      <c r="C72" s="282">
        <f>Conversion_rates_table!C271</f>
        <v>1037.1677722766806</v>
      </c>
      <c r="D72" s="888">
        <v>1037.1677722766806</v>
      </c>
      <c r="E72" s="414">
        <v>1054.6086561613313</v>
      </c>
      <c r="F72" s="911">
        <f t="shared" si="0"/>
        <v>1054.6086561613313</v>
      </c>
      <c r="G72" s="890">
        <f>IF(C72&lt;$F72,$F72,C72)</f>
        <v>1054.6086561613313</v>
      </c>
      <c r="H72" s="890">
        <f>IF(D72&lt;$F72,$F72,D72)</f>
        <v>1054.6086561613313</v>
      </c>
      <c r="I72" s="392" t="b">
        <f t="shared" si="1"/>
        <v>1</v>
      </c>
      <c r="J72" s="392" t="b">
        <f t="shared" si="2"/>
        <v>1</v>
      </c>
      <c r="K72" s="885">
        <f t="shared" si="3"/>
        <v>1054.6086561613313</v>
      </c>
      <c r="L72" s="891" t="str">
        <f t="shared" si="4"/>
        <v>Physics</v>
      </c>
      <c r="M72" s="886"/>
    </row>
    <row r="73" spans="1:13" s="494" customFormat="1" ht="22.5">
      <c r="A73" s="1071" t="s">
        <v>563</v>
      </c>
      <c r="B73" s="887" t="str">
        <f>Conversion_rates_table!B41</f>
        <v>Religious Education</v>
      </c>
      <c r="C73" s="282">
        <f>Conversion_rates_table!C272</f>
        <v>643.48147436594184</v>
      </c>
      <c r="D73" s="888">
        <v>643.48147436594184</v>
      </c>
      <c r="E73" s="414">
        <v>543.76114601060056</v>
      </c>
      <c r="F73" s="911">
        <f t="shared" si="0"/>
        <v>543.76114601060056</v>
      </c>
      <c r="G73" s="282">
        <f>C73</f>
        <v>643.48147436594184</v>
      </c>
      <c r="H73" s="282">
        <f>D73</f>
        <v>643.48147436594184</v>
      </c>
      <c r="I73" s="392" t="b">
        <f t="shared" si="1"/>
        <v>0</v>
      </c>
      <c r="J73" s="392" t="b">
        <f t="shared" si="2"/>
        <v>0</v>
      </c>
      <c r="K73" s="885">
        <f t="shared" si="3"/>
        <v>643.48147436594184</v>
      </c>
      <c r="L73" s="889" t="str">
        <f t="shared" si="4"/>
        <v>Religious Education</v>
      </c>
      <c r="M73" s="886"/>
    </row>
    <row r="74" spans="1:13" s="494" customFormat="1" ht="15.75">
      <c r="A74" s="1071"/>
      <c r="B74" s="887" t="s">
        <v>8</v>
      </c>
      <c r="C74" s="282">
        <f t="shared" ref="C74:H74" si="7">SUM(C54:C73)</f>
        <v>30176.054840424174</v>
      </c>
      <c r="D74" s="892">
        <f t="shared" si="7"/>
        <v>30176.054840424174</v>
      </c>
      <c r="E74" s="879">
        <f t="shared" si="7"/>
        <v>29176.454424016734</v>
      </c>
      <c r="F74" s="879">
        <f t="shared" si="7"/>
        <v>29176.454424016734</v>
      </c>
      <c r="G74" s="282">
        <f t="shared" si="7"/>
        <v>30846.50467308921</v>
      </c>
      <c r="H74" s="282">
        <f t="shared" si="7"/>
        <v>30846.50467308921</v>
      </c>
      <c r="K74" s="893">
        <f>SUM(K54:K73)</f>
        <v>30846.50467308921</v>
      </c>
      <c r="L74" s="889" t="str">
        <f t="shared" si="4"/>
        <v>Total</v>
      </c>
    </row>
    <row r="75" spans="1:13" s="494" customFormat="1" ht="15">
      <c r="A75" s="1047"/>
      <c r="B75" s="894"/>
      <c r="C75" s="895"/>
      <c r="D75" s="895"/>
      <c r="E75" s="895"/>
      <c r="F75" s="895"/>
      <c r="G75" s="895"/>
      <c r="H75" s="895"/>
      <c r="I75" s="886"/>
      <c r="K75" s="896"/>
      <c r="L75" s="897"/>
    </row>
    <row r="76" spans="1:13" s="494" customFormat="1" ht="22.5">
      <c r="A76" s="1071" t="s">
        <v>245</v>
      </c>
      <c r="B76" s="887" t="s">
        <v>45</v>
      </c>
      <c r="C76" s="1070">
        <f>SUM(C54:C73)-C54</f>
        <v>18055.100030247693</v>
      </c>
      <c r="D76" s="892">
        <f>SUM(D54:D73)-D54</f>
        <v>18055.100030247693</v>
      </c>
      <c r="E76" s="879">
        <f>SUM(E54:E73)-E54</f>
        <v>17687.709649774806</v>
      </c>
      <c r="F76" s="879">
        <f>SUM(F54:F73)-F54</f>
        <v>17687.709649774806</v>
      </c>
      <c r="G76" s="282">
        <f>SUM(G55:G73)</f>
        <v>18725.549862912729</v>
      </c>
      <c r="H76" s="282">
        <f>SUM(H55:H73)</f>
        <v>18725.549862912729</v>
      </c>
      <c r="K76" s="893">
        <f>SUM(K55:K73)</f>
        <v>18725.549862912729</v>
      </c>
      <c r="L76" s="889" t="str">
        <f>B76</f>
        <v>Secondary total</v>
      </c>
    </row>
    <row r="77" spans="1:13" s="494" customFormat="1" ht="15.75">
      <c r="A77" s="886"/>
      <c r="B77" s="887" t="s">
        <v>43</v>
      </c>
      <c r="C77" s="1070">
        <f t="shared" ref="C77:H77" si="8">C54</f>
        <v>12120.954810176481</v>
      </c>
      <c r="D77" s="892">
        <f t="shared" si="8"/>
        <v>12120.954810176481</v>
      </c>
      <c r="E77" s="879">
        <f t="shared" si="8"/>
        <v>11488.74477424193</v>
      </c>
      <c r="F77" s="879">
        <f t="shared" si="8"/>
        <v>11488.74477424193</v>
      </c>
      <c r="G77" s="282">
        <f t="shared" si="8"/>
        <v>12120.954810176481</v>
      </c>
      <c r="H77" s="282">
        <f t="shared" si="8"/>
        <v>12120.954810176481</v>
      </c>
      <c r="K77" s="893">
        <f>K54</f>
        <v>12120.954810176481</v>
      </c>
      <c r="L77" s="889" t="str">
        <f>B77</f>
        <v>Primary</v>
      </c>
    </row>
    <row r="78" spans="1:13" s="494" customFormat="1">
      <c r="A78" s="886">
        <f>SUM(C78:F78)</f>
        <v>0</v>
      </c>
      <c r="C78" s="886">
        <f>C77+C76-C74</f>
        <v>0</v>
      </c>
      <c r="D78" s="886">
        <f>D77+D76-D74</f>
        <v>0</v>
      </c>
      <c r="F78" s="886"/>
      <c r="G78" s="886"/>
    </row>
    <row r="79" spans="1:13" s="494" customFormat="1">
      <c r="A79" s="886">
        <f>SUM(C79:F79)</f>
        <v>0</v>
      </c>
      <c r="C79" s="886">
        <f>C77+C76-SUM(C54:C73)</f>
        <v>0</v>
      </c>
      <c r="D79" s="886">
        <f>D77+D76-SUM(D54:D73)</f>
        <v>0</v>
      </c>
      <c r="F79" s="886"/>
      <c r="G79" s="886"/>
    </row>
    <row r="80" spans="1:13" s="494" customFormat="1"/>
    <row r="81" spans="2:14" s="494" customFormat="1">
      <c r="B81" s="898" t="s">
        <v>37</v>
      </c>
      <c r="C81" s="899"/>
      <c r="D81" s="979">
        <f>D74-C74</f>
        <v>0</v>
      </c>
      <c r="E81" s="899"/>
      <c r="F81" s="899"/>
      <c r="G81" s="899"/>
      <c r="H81" s="899"/>
      <c r="I81" s="899"/>
      <c r="J81" s="899"/>
      <c r="L81" s="899"/>
      <c r="N81" s="886"/>
    </row>
    <row r="82" spans="2:14">
      <c r="B82" s="1068"/>
      <c r="C82" s="943"/>
      <c r="D82" s="1068"/>
      <c r="E82" s="716"/>
      <c r="F82" s="693"/>
      <c r="G82" s="868"/>
      <c r="H82" s="693"/>
      <c r="I82" s="840"/>
      <c r="J82" s="840"/>
      <c r="L82" s="693"/>
      <c r="N82" s="309"/>
    </row>
    <row r="83" spans="2:14">
      <c r="B83" s="978" t="s">
        <v>1123</v>
      </c>
      <c r="C83" s="978"/>
      <c r="D83" s="978"/>
      <c r="E83" s="978"/>
      <c r="F83" s="978"/>
      <c r="G83" s="978"/>
      <c r="H83" s="978"/>
      <c r="I83" s="978"/>
      <c r="J83" s="978"/>
      <c r="K83" s="978"/>
      <c r="L83" s="978"/>
    </row>
    <row r="84" spans="2:14">
      <c r="B84" s="457" t="s">
        <v>1109</v>
      </c>
      <c r="C84" s="1069"/>
      <c r="D84" s="1069"/>
      <c r="E84" s="802"/>
      <c r="F84" s="802"/>
      <c r="G84" s="869"/>
      <c r="H84" s="802"/>
      <c r="I84" s="841"/>
      <c r="J84" s="841"/>
      <c r="L84" s="802"/>
    </row>
    <row r="85" spans="2:14">
      <c r="B85" s="1069"/>
      <c r="C85" s="1069"/>
      <c r="D85" s="1069"/>
      <c r="E85" s="717"/>
      <c r="F85" s="573"/>
      <c r="G85" s="869"/>
      <c r="H85" s="573"/>
      <c r="I85" s="841"/>
      <c r="J85" s="841"/>
      <c r="L85" s="573"/>
    </row>
    <row r="86" spans="2:14" ht="13.15" customHeight="1">
      <c r="B86" s="857" t="s">
        <v>760</v>
      </c>
      <c r="C86" s="857"/>
      <c r="D86" s="857"/>
      <c r="E86" s="857"/>
      <c r="F86" s="857"/>
      <c r="G86" s="857"/>
      <c r="H86" s="857"/>
      <c r="I86" s="857"/>
      <c r="J86" s="857"/>
      <c r="K86" s="857"/>
      <c r="L86" s="857"/>
    </row>
  </sheetData>
  <mergeCells count="19">
    <mergeCell ref="L51:L53"/>
    <mergeCell ref="D52:D53"/>
    <mergeCell ref="J52:J53"/>
    <mergeCell ref="A5:L5"/>
    <mergeCell ref="B51:B53"/>
    <mergeCell ref="B37:L38"/>
    <mergeCell ref="B45:L46"/>
    <mergeCell ref="E51:E53"/>
    <mergeCell ref="C52:C53"/>
    <mergeCell ref="I52:I53"/>
    <mergeCell ref="C51:D51"/>
    <mergeCell ref="F51:F53"/>
    <mergeCell ref="G52:G53"/>
    <mergeCell ref="B42:L43"/>
    <mergeCell ref="H52:H53"/>
    <mergeCell ref="G51:H51"/>
    <mergeCell ref="I51:J51"/>
    <mergeCell ref="K51:K53"/>
    <mergeCell ref="B27:K29"/>
  </mergeCells>
  <conditionalFormatting sqref="I54:J73">
    <cfRule type="cellIs" dxfId="17" priority="3" stopIfTrue="1" operator="equal">
      <formula>FALSE</formula>
    </cfRule>
    <cfRule type="cellIs" dxfId="16" priority="4" stopIfTrue="1" operator="equal">
      <formula>TRUE</formula>
    </cfRule>
    <cfRule type="cellIs" dxfId="15" priority="5" stopIfTrue="1" operator="equal">
      <formula>TRUE</formula>
    </cfRule>
    <cfRule type="cellIs" dxfId="14" priority="6" stopIfTrue="1" operator="equal">
      <formula>TRUE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53"/>
  <sheetViews>
    <sheetView showGridLines="0" workbookViewId="0"/>
  </sheetViews>
  <sheetFormatPr defaultRowHeight="12.75"/>
  <cols>
    <col min="2" max="2" width="26.7109375" customWidth="1"/>
    <col min="3" max="18" width="10.7109375" customWidth="1"/>
  </cols>
  <sheetData>
    <row r="1" spans="1:15" s="66" customFormat="1" ht="15">
      <c r="A1" s="65" t="str">
        <f>ModelBanner</f>
        <v>TSM_201718 for publication</v>
      </c>
    </row>
    <row r="2" spans="1:15" s="66" customFormat="1" ht="15">
      <c r="A2" s="1003" t="s">
        <v>13</v>
      </c>
      <c r="B2" s="1003" t="s">
        <v>30</v>
      </c>
    </row>
    <row r="3" spans="1:15" s="66" customFormat="1" ht="15">
      <c r="A3" s="67"/>
    </row>
    <row r="4" spans="1:15" s="589" customFormat="1">
      <c r="A4" s="590" t="s">
        <v>26</v>
      </c>
      <c r="B4" s="590"/>
      <c r="C4" s="590"/>
      <c r="D4" s="292"/>
      <c r="E4" s="590"/>
      <c r="F4" s="590"/>
      <c r="G4" s="590"/>
      <c r="H4" s="590"/>
      <c r="I4" s="590"/>
      <c r="J4" s="590"/>
      <c r="K4" s="590"/>
      <c r="L4" s="590"/>
      <c r="M4" s="590"/>
      <c r="N4" s="590"/>
    </row>
    <row r="5" spans="1:15" s="588" customFormat="1" ht="13.15" customHeight="1">
      <c r="A5" s="707" t="s">
        <v>1505</v>
      </c>
      <c r="B5" s="707"/>
      <c r="C5" s="707"/>
      <c r="D5" s="707"/>
      <c r="E5" s="707"/>
      <c r="F5" s="707"/>
      <c r="G5" s="707"/>
      <c r="H5" s="707"/>
      <c r="I5" s="707"/>
      <c r="J5" s="707"/>
      <c r="K5" s="707"/>
      <c r="L5" s="707"/>
      <c r="M5" s="707"/>
      <c r="N5" s="707"/>
      <c r="O5" s="59"/>
    </row>
    <row r="6" spans="1:15" s="585" customFormat="1">
      <c r="A6" s="587" t="s">
        <v>1420</v>
      </c>
      <c r="B6" s="61"/>
      <c r="C6" s="61"/>
      <c r="D6" s="292"/>
      <c r="E6" s="61"/>
      <c r="F6" s="61"/>
      <c r="G6" s="61"/>
      <c r="H6" s="61"/>
      <c r="I6" s="61"/>
      <c r="J6" s="61"/>
      <c r="K6" s="61"/>
      <c r="L6" s="61"/>
      <c r="M6" s="61"/>
      <c r="N6" s="61"/>
      <c r="O6" s="45"/>
    </row>
    <row r="7" spans="1:15" s="585" customFormat="1">
      <c r="A7" s="586" t="s">
        <v>166</v>
      </c>
      <c r="B7" s="587"/>
      <c r="C7" s="61"/>
      <c r="D7" s="292"/>
      <c r="E7" s="61"/>
      <c r="F7" s="61"/>
      <c r="G7" s="61"/>
      <c r="H7" s="61"/>
      <c r="I7" s="61"/>
      <c r="J7" s="61"/>
      <c r="K7" s="61"/>
      <c r="L7" s="61"/>
      <c r="M7" s="61"/>
      <c r="N7" s="61"/>
      <c r="O7" s="45"/>
    </row>
    <row r="8" spans="1:15" s="585" customFormat="1">
      <c r="A8" s="587" t="s">
        <v>24</v>
      </c>
      <c r="B8" s="61"/>
      <c r="C8" s="61"/>
      <c r="D8" s="292"/>
      <c r="E8" s="61"/>
      <c r="F8" s="61"/>
      <c r="G8" s="61"/>
      <c r="H8" s="61"/>
      <c r="I8" s="61"/>
      <c r="J8" s="61"/>
      <c r="K8" s="61"/>
      <c r="L8" s="61"/>
      <c r="M8" s="61"/>
      <c r="N8" s="61"/>
      <c r="O8" s="45"/>
    </row>
    <row r="9" spans="1:15" s="585" customFormat="1">
      <c r="A9" s="586" t="s">
        <v>719</v>
      </c>
      <c r="B9" s="61"/>
      <c r="C9" s="61"/>
      <c r="D9" s="292"/>
      <c r="E9" s="61"/>
      <c r="F9" s="61"/>
      <c r="G9" s="61"/>
      <c r="H9" s="61"/>
      <c r="I9" s="61"/>
      <c r="J9" s="61"/>
      <c r="K9" s="61"/>
      <c r="L9" s="61"/>
      <c r="M9" s="61"/>
      <c r="N9" s="61"/>
      <c r="O9" s="45"/>
    </row>
    <row r="10" spans="1:15" s="583" customFormat="1">
      <c r="A10" s="584">
        <f>SUM(A13:A2081)</f>
        <v>0</v>
      </c>
      <c r="B10" s="73"/>
      <c r="C10" s="48"/>
      <c r="D10" s="48"/>
      <c r="E10" s="48"/>
      <c r="F10" s="72"/>
      <c r="G10" s="48"/>
      <c r="H10" s="72"/>
      <c r="I10" s="49"/>
      <c r="J10" s="49"/>
      <c r="K10" s="49"/>
      <c r="L10" s="49"/>
      <c r="M10" s="49"/>
      <c r="N10" s="49"/>
      <c r="O10" s="49"/>
    </row>
    <row r="12" spans="1:15">
      <c r="H12" s="76" t="s">
        <v>110</v>
      </c>
    </row>
    <row r="14" spans="1:15">
      <c r="H14" s="5">
        <v>0.1</v>
      </c>
      <c r="I14" s="5">
        <v>0.2</v>
      </c>
      <c r="J14" s="5">
        <v>0.3</v>
      </c>
      <c r="K14" s="5">
        <v>0.4</v>
      </c>
    </row>
    <row r="16" spans="1:15" ht="18">
      <c r="B16" s="39" t="s">
        <v>718</v>
      </c>
      <c r="H16" s="150" t="s">
        <v>1421</v>
      </c>
    </row>
    <row r="18" spans="1:6">
      <c r="B18" s="1183" t="str">
        <f>RAW_DATA_INPUTS!B438</f>
        <v>Entrant route</v>
      </c>
      <c r="C18" s="1160" t="s">
        <v>74</v>
      </c>
      <c r="D18" s="1160"/>
      <c r="E18" s="1160"/>
      <c r="F18" s="1160"/>
    </row>
    <row r="19" spans="1:6">
      <c r="B19" s="1184"/>
      <c r="C19" s="8" t="str">
        <f>RAW_DATA_INPUTS!C438</f>
        <v>2011/12</v>
      </c>
      <c r="D19" s="8" t="str">
        <f>RAW_DATA_INPUTS!D438</f>
        <v>2012/13</v>
      </c>
      <c r="E19" s="8" t="str">
        <f>RAW_DATA_INPUTS!E438</f>
        <v>2013/14</v>
      </c>
      <c r="F19" s="8" t="str">
        <f>RAW_DATA_INPUTS!F438</f>
        <v>2014/15</v>
      </c>
    </row>
    <row r="20" spans="1:6">
      <c r="B20" s="8" t="str">
        <f>'Calc_PRIM_part-time_entrants'!B20</f>
        <v>New to state-funded sector</v>
      </c>
      <c r="C20" s="307">
        <f>RAW_DATA_INPUTS!C447</f>
        <v>3541.2289999999998</v>
      </c>
      <c r="D20" s="307">
        <f>RAW_DATA_INPUTS!D447</f>
        <v>3095.8530000000001</v>
      </c>
      <c r="E20" s="307">
        <f>RAW_DATA_INPUTS!E447</f>
        <v>3069.1080000000002</v>
      </c>
      <c r="F20" s="307">
        <f>RAW_DATA_INPUTS!F447</f>
        <v>2998.1010000000001</v>
      </c>
    </row>
    <row r="21" spans="1:6">
      <c r="B21" s="8" t="str">
        <f>'Calc_PRIM_part-time_entrants'!B21</f>
        <v>Re-entrants</v>
      </c>
      <c r="C21" s="307">
        <f>RAW_DATA_INPUTS!C448</f>
        <v>6637.8329999999996</v>
      </c>
      <c r="D21" s="307">
        <f>RAW_DATA_INPUTS!D448</f>
        <v>7039.57</v>
      </c>
      <c r="E21" s="307">
        <f>RAW_DATA_INPUTS!E448</f>
        <v>7672.5290000000005</v>
      </c>
      <c r="F21" s="307">
        <f>RAW_DATA_INPUTS!F448</f>
        <v>7412</v>
      </c>
    </row>
    <row r="22" spans="1:6">
      <c r="B22" s="8" t="str">
        <f>'Calc_PRIM_part-time_entrants'!B22</f>
        <v>NQTs</v>
      </c>
      <c r="C22" s="307">
        <f>RAW_DATA_INPUTS!C449</f>
        <v>11086.531000000001</v>
      </c>
      <c r="D22" s="307">
        <f>RAW_DATA_INPUTS!D449</f>
        <v>10439.566999999999</v>
      </c>
      <c r="E22" s="307">
        <f>RAW_DATA_INPUTS!E449</f>
        <v>10363.199000000001</v>
      </c>
      <c r="F22" s="307">
        <f>RAW_DATA_INPUTS!F449</f>
        <v>10549.123</v>
      </c>
    </row>
    <row r="23" spans="1:6">
      <c r="B23" s="8" t="str">
        <f>'Calc_PRIM_part-time_entrants'!B23</f>
        <v>Total</v>
      </c>
      <c r="C23" s="459">
        <f>SUM(C20:C22)</f>
        <v>21265.593000000001</v>
      </c>
      <c r="D23" s="459">
        <f>SUM(D20:D22)</f>
        <v>20574.989999999998</v>
      </c>
      <c r="E23" s="459">
        <f>SUM(E20:E22)</f>
        <v>21104.836000000003</v>
      </c>
      <c r="F23" s="459">
        <f>SUM(F20:F22)</f>
        <v>20959.224000000002</v>
      </c>
    </row>
    <row r="24" spans="1:6">
      <c r="A24">
        <f>SUM(C24:F24)</f>
        <v>0</v>
      </c>
      <c r="C24" s="309">
        <f>SUM(C20:C22)-C23</f>
        <v>0</v>
      </c>
      <c r="D24" s="309">
        <f>SUM(D20:D22)-D23</f>
        <v>0</v>
      </c>
      <c r="E24" s="309">
        <f>SUM(E20:E22)-E23</f>
        <v>0</v>
      </c>
      <c r="F24" s="309">
        <f>SUM(F20:F22)-F23</f>
        <v>0</v>
      </c>
    </row>
    <row r="26" spans="1:6" ht="18">
      <c r="B26" s="39" t="s">
        <v>723</v>
      </c>
    </row>
    <row r="28" spans="1:6">
      <c r="B28" s="1183" t="str">
        <f>RAW_DATA_INPUTS!B446</f>
        <v>Entrant route</v>
      </c>
      <c r="C28" s="1160" t="s">
        <v>74</v>
      </c>
      <c r="D28" s="1160"/>
      <c r="E28" s="1160"/>
      <c r="F28" s="1160"/>
    </row>
    <row r="29" spans="1:6">
      <c r="B29" s="1184"/>
      <c r="C29" s="8" t="str">
        <f>RAW_DATA_INPUTS!C446</f>
        <v>2011/12</v>
      </c>
      <c r="D29" s="8" t="str">
        <f>RAW_DATA_INPUTS!D446</f>
        <v>2012/13</v>
      </c>
      <c r="E29" s="8" t="str">
        <f>RAW_DATA_INPUTS!E446</f>
        <v>2013/14</v>
      </c>
      <c r="F29" s="8" t="str">
        <f>RAW_DATA_INPUTS!F446</f>
        <v>2014/15</v>
      </c>
    </row>
    <row r="30" spans="1:6">
      <c r="B30" s="8" t="str">
        <f>B20</f>
        <v>New to state-funded sector</v>
      </c>
      <c r="C30" s="307">
        <f>RAW_DATA_INPUTS!C463</f>
        <v>528.49099999999999</v>
      </c>
      <c r="D30" s="307">
        <f>RAW_DATA_INPUTS!D463</f>
        <v>471.85</v>
      </c>
      <c r="E30" s="307">
        <f>RAW_DATA_INPUTS!E463</f>
        <v>436.30700000000002</v>
      </c>
      <c r="F30" s="307">
        <f>RAW_DATA_INPUTS!F463</f>
        <v>432.65300000000002</v>
      </c>
    </row>
    <row r="31" spans="1:6">
      <c r="B31" s="8" t="str">
        <f>B21</f>
        <v>Re-entrants</v>
      </c>
      <c r="C31" s="307">
        <f>RAW_DATA_INPUTS!C464</f>
        <v>1967.913</v>
      </c>
      <c r="D31" s="307">
        <f>RAW_DATA_INPUTS!D464</f>
        <v>2100.8139999999999</v>
      </c>
      <c r="E31" s="307">
        <f>RAW_DATA_INPUTS!E464</f>
        <v>2198.634</v>
      </c>
      <c r="F31" s="307">
        <f>RAW_DATA_INPUTS!F464</f>
        <v>2194.5169999999998</v>
      </c>
    </row>
    <row r="32" spans="1:6">
      <c r="B32" s="8" t="str">
        <f>B22</f>
        <v>NQTs</v>
      </c>
      <c r="C32" s="307">
        <f>RAW_DATA_INPUTS!C465</f>
        <v>539.56299999999999</v>
      </c>
      <c r="D32" s="307">
        <f>RAW_DATA_INPUTS!D465</f>
        <v>440.42599999999999</v>
      </c>
      <c r="E32" s="307">
        <f>RAW_DATA_INPUTS!E465</f>
        <v>374.964</v>
      </c>
      <c r="F32" s="307">
        <f>RAW_DATA_INPUTS!F465</f>
        <v>382.51299999999998</v>
      </c>
    </row>
    <row r="33" spans="1:7">
      <c r="B33" s="8" t="str">
        <f>B23</f>
        <v>Total</v>
      </c>
      <c r="C33" s="459">
        <f>SUM(C30:C32)</f>
        <v>3035.9670000000001</v>
      </c>
      <c r="D33" s="459">
        <f>SUM(D30:D32)</f>
        <v>3013.0899999999997</v>
      </c>
      <c r="E33" s="459">
        <f>SUM(E30:E32)</f>
        <v>3009.9049999999997</v>
      </c>
      <c r="F33" s="459">
        <f>SUM(F30:F32)</f>
        <v>3009.683</v>
      </c>
    </row>
    <row r="34" spans="1:7" s="2" customFormat="1">
      <c r="A34">
        <f>SUM(C34:F34)</f>
        <v>0</v>
      </c>
      <c r="B34"/>
      <c r="C34" s="309">
        <f>SUM(C30:C32)-C33</f>
        <v>0</v>
      </c>
      <c r="D34" s="309">
        <f>SUM(D30:D32)-D33</f>
        <v>0</v>
      </c>
      <c r="E34" s="309">
        <f>SUM(E30:E32)-E33</f>
        <v>0</v>
      </c>
      <c r="F34" s="309">
        <f>SUM(F30:F32)-F33</f>
        <v>0</v>
      </c>
    </row>
    <row r="35" spans="1:7" s="2" customFormat="1">
      <c r="A35"/>
      <c r="B35"/>
      <c r="C35" s="309"/>
      <c r="D35" s="309"/>
      <c r="E35" s="309"/>
      <c r="F35" s="309"/>
    </row>
    <row r="36" spans="1:7" ht="18">
      <c r="B36" s="39" t="s">
        <v>722</v>
      </c>
    </row>
    <row r="38" spans="1:7">
      <c r="B38" s="1183" t="str">
        <f>B28</f>
        <v>Entrant route</v>
      </c>
      <c r="C38" s="1160" t="str">
        <f>C28</f>
        <v>Year</v>
      </c>
      <c r="D38" s="1160"/>
      <c r="E38" s="1160"/>
      <c r="F38" s="1160"/>
    </row>
    <row r="39" spans="1:7">
      <c r="B39" s="1184"/>
      <c r="C39" s="8" t="str">
        <f>C29</f>
        <v>2011/12</v>
      </c>
      <c r="D39" s="8" t="str">
        <f>D29</f>
        <v>2012/13</v>
      </c>
      <c r="E39" s="8" t="str">
        <f>E29</f>
        <v>2013/14</v>
      </c>
      <c r="F39" s="8" t="str">
        <f>F29</f>
        <v>2014/15</v>
      </c>
    </row>
    <row r="40" spans="1:7">
      <c r="B40" s="152" t="str">
        <f>B30</f>
        <v>New to state-funded sector</v>
      </c>
      <c r="C40" s="662">
        <f t="shared" ref="C40:F42" si="0">C30/C20</f>
        <v>0.14923943071741477</v>
      </c>
      <c r="D40" s="662">
        <f t="shared" si="0"/>
        <v>0.1524135674400561</v>
      </c>
      <c r="E40" s="662">
        <f t="shared" si="0"/>
        <v>0.14216084934124182</v>
      </c>
      <c r="F40" s="662">
        <f t="shared" si="0"/>
        <v>0.14430901427270129</v>
      </c>
    </row>
    <row r="41" spans="1:7">
      <c r="B41" s="152" t="str">
        <f>B31</f>
        <v>Re-entrants</v>
      </c>
      <c r="C41" s="662">
        <f t="shared" si="0"/>
        <v>0.29646919408788985</v>
      </c>
      <c r="D41" s="662">
        <f t="shared" si="0"/>
        <v>0.29842930747190521</v>
      </c>
      <c r="E41" s="662">
        <f t="shared" si="0"/>
        <v>0.28655922968815106</v>
      </c>
      <c r="F41" s="662">
        <f t="shared" si="0"/>
        <v>0.29607622773880193</v>
      </c>
    </row>
    <row r="42" spans="1:7">
      <c r="B42" s="152" t="str">
        <f>B32</f>
        <v>NQTs</v>
      </c>
      <c r="C42" s="662">
        <f t="shared" si="0"/>
        <v>4.8668334576433325E-2</v>
      </c>
      <c r="D42" s="662">
        <f t="shared" si="0"/>
        <v>4.218814822492159E-2</v>
      </c>
      <c r="E42" s="662">
        <f t="shared" si="0"/>
        <v>3.6182263797115158E-2</v>
      </c>
      <c r="F42" s="662">
        <f t="shared" si="0"/>
        <v>3.6260170632193785E-2</v>
      </c>
    </row>
    <row r="43" spans="1:7">
      <c r="C43" s="5"/>
      <c r="D43" s="5"/>
      <c r="E43" s="5"/>
      <c r="F43" s="5"/>
    </row>
    <row r="44" spans="1:7" ht="18">
      <c r="B44" s="39" t="s">
        <v>721</v>
      </c>
      <c r="C44" s="5"/>
      <c r="D44" s="5"/>
      <c r="E44" s="5"/>
      <c r="F44" s="5"/>
    </row>
    <row r="45" spans="1:7">
      <c r="C45" s="5"/>
      <c r="D45" s="5"/>
      <c r="E45" s="5"/>
      <c r="F45" s="5"/>
    </row>
    <row r="46" spans="1:7">
      <c r="B46" s="141" t="str">
        <f>B38</f>
        <v>Entrant route</v>
      </c>
      <c r="C46" s="142" t="str">
        <f>C39</f>
        <v>2011/12</v>
      </c>
      <c r="D46" s="142" t="str">
        <f>D39</f>
        <v>2012/13</v>
      </c>
      <c r="E46" s="142" t="str">
        <f>E39</f>
        <v>2013/14</v>
      </c>
      <c r="F46" s="142" t="str">
        <f>F39</f>
        <v>2014/15</v>
      </c>
      <c r="G46" s="575" t="s">
        <v>8</v>
      </c>
    </row>
    <row r="47" spans="1:7">
      <c r="B47" s="152" t="str">
        <f>B40</f>
        <v>New to state-funded sector</v>
      </c>
      <c r="C47" s="662">
        <f t="shared" ref="C47:F49" si="1">C40*H$14</f>
        <v>1.4923943071741478E-2</v>
      </c>
      <c r="D47" s="662">
        <f t="shared" si="1"/>
        <v>3.0482713488011223E-2</v>
      </c>
      <c r="E47" s="662">
        <f t="shared" si="1"/>
        <v>4.2648254802372547E-2</v>
      </c>
      <c r="F47" s="662">
        <f t="shared" si="1"/>
        <v>5.7723605709080521E-2</v>
      </c>
      <c r="G47" s="664">
        <f>SUM(C47:F47)</f>
        <v>0.14577851707120576</v>
      </c>
    </row>
    <row r="48" spans="1:7">
      <c r="B48" s="141" t="str">
        <f>B41</f>
        <v>Re-entrants</v>
      </c>
      <c r="C48" s="662">
        <f t="shared" si="1"/>
        <v>2.9646919408788986E-2</v>
      </c>
      <c r="D48" s="662">
        <f t="shared" si="1"/>
        <v>5.9685861494381043E-2</v>
      </c>
      <c r="E48" s="662">
        <f t="shared" si="1"/>
        <v>8.5967768906445322E-2</v>
      </c>
      <c r="F48" s="662">
        <f t="shared" si="1"/>
        <v>0.11843049109552078</v>
      </c>
      <c r="G48" s="664">
        <f>SUM(C48:F48)</f>
        <v>0.29373104090513613</v>
      </c>
    </row>
    <row r="49" spans="2:7">
      <c r="B49" s="141" t="str">
        <f>B42</f>
        <v>NQTs</v>
      </c>
      <c r="C49" s="662">
        <f t="shared" si="1"/>
        <v>4.866833457643333E-3</v>
      </c>
      <c r="D49" s="662">
        <f t="shared" si="1"/>
        <v>8.437629644984318E-3</v>
      </c>
      <c r="E49" s="662">
        <f t="shared" si="1"/>
        <v>1.0854679139134547E-2</v>
      </c>
      <c r="F49" s="662">
        <f t="shared" si="1"/>
        <v>1.4504068252877514E-2</v>
      </c>
      <c r="G49" s="664">
        <f>SUM(C49:F49)</f>
        <v>3.8663210494639715E-2</v>
      </c>
    </row>
    <row r="52" spans="2:7">
      <c r="C52" s="642"/>
      <c r="D52" s="642"/>
      <c r="E52" s="642"/>
      <c r="F52" s="642"/>
    </row>
    <row r="53" spans="2:7">
      <c r="C53" s="642"/>
      <c r="D53" s="642"/>
      <c r="E53" s="642"/>
      <c r="F53" s="642"/>
      <c r="G53" s="187"/>
    </row>
  </sheetData>
  <mergeCells count="6">
    <mergeCell ref="B18:B19"/>
    <mergeCell ref="C18:F18"/>
    <mergeCell ref="B28:B29"/>
    <mergeCell ref="C28:F28"/>
    <mergeCell ref="B38:B39"/>
    <mergeCell ref="C38:F3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18"/>
  <sheetViews>
    <sheetView showGridLines="0" zoomScaleNormal="100" workbookViewId="0"/>
  </sheetViews>
  <sheetFormatPr defaultColWidth="9.140625" defaultRowHeight="12.75"/>
  <cols>
    <col min="1" max="1" width="9.140625" style="309"/>
    <col min="2" max="2" width="35.7109375" style="309" customWidth="1"/>
    <col min="3" max="14" width="11.7109375" style="309" customWidth="1"/>
    <col min="15" max="15" width="11.85546875" style="309" customWidth="1"/>
    <col min="16" max="16384" width="9.140625" style="309"/>
  </cols>
  <sheetData>
    <row r="1" spans="1:15" s="344" customFormat="1" ht="15">
      <c r="A1" s="343" t="str">
        <f>ModelBanner</f>
        <v>TSM_201718 for publication</v>
      </c>
    </row>
    <row r="2" spans="1:15" s="344" customFormat="1" ht="15">
      <c r="A2" s="1003" t="s">
        <v>13</v>
      </c>
      <c r="B2" s="1003" t="s">
        <v>30</v>
      </c>
    </row>
    <row r="3" spans="1:15" s="344" customFormat="1" ht="15">
      <c r="A3" s="345"/>
    </row>
    <row r="4" spans="1:15" s="679" customFormat="1">
      <c r="A4" s="680" t="s">
        <v>26</v>
      </c>
      <c r="B4" s="680"/>
      <c r="C4" s="680"/>
      <c r="D4" s="680"/>
      <c r="E4" s="347"/>
      <c r="F4" s="680"/>
      <c r="G4" s="680"/>
      <c r="H4" s="680"/>
      <c r="I4" s="680"/>
    </row>
    <row r="5" spans="1:15" s="678" customFormat="1" ht="28.15" customHeight="1">
      <c r="A5" s="1249" t="s">
        <v>1706</v>
      </c>
      <c r="B5" s="1249"/>
      <c r="C5" s="1249"/>
      <c r="D5" s="1249"/>
      <c r="E5" s="1249"/>
      <c r="F5" s="1249"/>
      <c r="G5" s="1249"/>
      <c r="H5" s="1249"/>
      <c r="I5" s="1249"/>
      <c r="J5" s="1249"/>
      <c r="K5" s="1249"/>
      <c r="L5" s="1249"/>
      <c r="M5" s="1249"/>
      <c r="N5" s="728"/>
      <c r="O5" s="728"/>
    </row>
    <row r="6" spans="1:15" s="675" customFormat="1">
      <c r="A6" s="677" t="s">
        <v>1420</v>
      </c>
      <c r="B6" s="352"/>
      <c r="C6" s="352"/>
      <c r="D6" s="352"/>
      <c r="E6" s="347"/>
      <c r="F6" s="352"/>
      <c r="G6" s="352"/>
      <c r="H6" s="352"/>
      <c r="I6" s="352"/>
      <c r="J6" s="353"/>
      <c r="K6" s="353"/>
      <c r="L6" s="353"/>
      <c r="M6" s="353"/>
    </row>
    <row r="7" spans="1:15" s="675" customFormat="1">
      <c r="A7" s="676" t="s">
        <v>1412</v>
      </c>
      <c r="B7" s="677"/>
      <c r="C7" s="352"/>
      <c r="D7" s="352"/>
      <c r="E7" s="347"/>
      <c r="F7" s="352"/>
      <c r="G7" s="352"/>
      <c r="H7" s="352"/>
      <c r="I7" s="352"/>
      <c r="J7" s="353"/>
      <c r="K7" s="353"/>
      <c r="L7" s="353"/>
      <c r="M7" s="353"/>
    </row>
    <row r="8" spans="1:15" s="675" customFormat="1">
      <c r="A8" s="677" t="s">
        <v>24</v>
      </c>
      <c r="B8" s="352"/>
      <c r="C8" s="352"/>
      <c r="D8" s="352"/>
      <c r="E8" s="347"/>
      <c r="F8" s="352"/>
      <c r="G8" s="352"/>
      <c r="H8" s="352"/>
      <c r="I8" s="352"/>
      <c r="J8" s="353"/>
      <c r="K8" s="353"/>
      <c r="L8" s="353"/>
      <c r="M8" s="353"/>
    </row>
    <row r="9" spans="1:15" s="675" customFormat="1">
      <c r="A9" s="676" t="s">
        <v>738</v>
      </c>
      <c r="B9" s="352"/>
      <c r="C9" s="352"/>
      <c r="D9" s="352"/>
      <c r="E9" s="347"/>
      <c r="F9" s="352"/>
      <c r="G9" s="352"/>
      <c r="H9" s="352"/>
      <c r="I9" s="352"/>
      <c r="J9" s="353"/>
      <c r="K9" s="353"/>
      <c r="L9" s="353"/>
      <c r="M9" s="353"/>
    </row>
    <row r="10" spans="1:15" s="673" customFormat="1">
      <c r="A10" s="674">
        <f>SUM(A13:A1942)</f>
        <v>0</v>
      </c>
      <c r="B10" s="357"/>
      <c r="C10" s="358"/>
      <c r="D10" s="359"/>
      <c r="E10" s="359"/>
      <c r="F10" s="359"/>
      <c r="G10" s="359"/>
      <c r="H10" s="360"/>
      <c r="I10" s="361"/>
      <c r="J10" s="361"/>
      <c r="K10" s="361"/>
      <c r="L10" s="361"/>
      <c r="M10" s="361"/>
    </row>
    <row r="12" spans="1:15" ht="15.75">
      <c r="B12" s="340" t="s">
        <v>1529</v>
      </c>
    </row>
    <row r="14" spans="1:15">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5">
      <c r="B15" s="672" t="str">
        <f>OUTPUTS_FOR_SECTION_2_OF_MODEL!B83</f>
        <v>Primary</v>
      </c>
      <c r="C15" s="307">
        <f>OUTPUTS_FOR_SECTION_2_OF_MODEL!E83</f>
        <v>25804.401119795846</v>
      </c>
      <c r="D15" s="307">
        <f>OUTPUTS_FOR_SECTION_2_OF_MODEL!F83</f>
        <v>24509.091093232932</v>
      </c>
      <c r="E15" s="307">
        <f>OUTPUTS_FOR_SECTION_2_OF_MODEL!G83</f>
        <v>24656.998817781678</v>
      </c>
      <c r="F15" s="307">
        <f>OUTPUTS_FOR_SECTION_2_OF_MODEL!H83</f>
        <v>24432.263410506512</v>
      </c>
      <c r="G15" s="307">
        <f>OUTPUTS_FOR_SECTION_2_OF_MODEL!I83</f>
        <v>24102.311757997213</v>
      </c>
      <c r="H15" s="307">
        <f>OUTPUTS_FOR_SECTION_2_OF_MODEL!J83</f>
        <v>23873.194543470338</v>
      </c>
      <c r="I15" s="307">
        <f>OUTPUTS_FOR_SECTION_2_OF_MODEL!K83</f>
        <v>24450.504710155619</v>
      </c>
      <c r="J15" s="307">
        <f>OUTPUTS_FOR_SECTION_2_OF_MODEL!L83</f>
        <v>24916.785672652128</v>
      </c>
      <c r="K15" s="307">
        <f>OUTPUTS_FOR_SECTION_2_OF_MODEL!M83</f>
        <v>25036.449572418685</v>
      </c>
      <c r="L15" s="307">
        <f>OUTPUTS_FOR_SECTION_2_OF_MODEL!N83</f>
        <v>24924.618653464819</v>
      </c>
    </row>
    <row r="17" spans="2:12" ht="15.75">
      <c r="B17" s="671" t="s">
        <v>1465</v>
      </c>
      <c r="D17" s="1252" t="s">
        <v>737</v>
      </c>
      <c r="E17" s="1252"/>
      <c r="F17" s="1252"/>
      <c r="G17" s="1252"/>
      <c r="H17" s="1252"/>
      <c r="I17" s="1252"/>
      <c r="J17" s="1252"/>
      <c r="K17" s="1252"/>
      <c r="L17" s="1252"/>
    </row>
    <row r="18" spans="2:12">
      <c r="D18" s="1252"/>
      <c r="E18" s="1252"/>
      <c r="F18" s="1252"/>
      <c r="G18" s="1252"/>
      <c r="H18" s="1252"/>
      <c r="I18" s="1252"/>
      <c r="J18" s="1252"/>
      <c r="K18" s="1252"/>
      <c r="L18" s="1252"/>
    </row>
    <row r="19" spans="2:12">
      <c r="B19" s="326"/>
      <c r="C19" s="326" t="s">
        <v>91</v>
      </c>
    </row>
    <row r="20" spans="2:12">
      <c r="B20" s="326" t="str">
        <f>RAW_DATA_INPUTS!B572</f>
        <v>Primary</v>
      </c>
      <c r="C20" s="558">
        <f>RAW_DATA_INPUTS!C572</f>
        <v>0.89</v>
      </c>
    </row>
    <row r="22" spans="2:12" ht="15.75">
      <c r="B22" s="340" t="s">
        <v>1623</v>
      </c>
    </row>
    <row r="24" spans="2:12">
      <c r="B24" s="341" t="s">
        <v>736</v>
      </c>
      <c r="D24" s="364" t="s">
        <v>1624</v>
      </c>
    </row>
    <row r="26" spans="2:12">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2:12">
      <c r="B27" s="326" t="str">
        <f>Data_selected_by_user_testing!C131</f>
        <v>New to state-funded sector</v>
      </c>
      <c r="C27" s="652">
        <f>Data_selected_by_user_testing!D131</f>
        <v>0.15165474964071107</v>
      </c>
      <c r="D27" s="163">
        <f>C27</f>
        <v>0.15165474964071107</v>
      </c>
      <c r="E27" s="163">
        <f t="shared" ref="E27:L27" si="1">D27</f>
        <v>0.15165474964071107</v>
      </c>
      <c r="F27" s="163">
        <f t="shared" si="1"/>
        <v>0.15165474964071107</v>
      </c>
      <c r="G27" s="163">
        <f t="shared" si="1"/>
        <v>0.15165474964071107</v>
      </c>
      <c r="H27" s="163">
        <f t="shared" si="1"/>
        <v>0.15165474964071107</v>
      </c>
      <c r="I27" s="163">
        <f t="shared" si="1"/>
        <v>0.15165474964071107</v>
      </c>
      <c r="J27" s="163">
        <f t="shared" si="1"/>
        <v>0.15165474964071107</v>
      </c>
      <c r="K27" s="163">
        <f t="shared" si="1"/>
        <v>0.15165474964071107</v>
      </c>
      <c r="L27" s="163">
        <f t="shared" si="1"/>
        <v>0.15165474964071107</v>
      </c>
    </row>
    <row r="28" spans="2:12">
      <c r="B28" s="326" t="str">
        <f>Data_selected_by_user_testing!C132</f>
        <v>Re-entrants</v>
      </c>
      <c r="C28" s="652">
        <f>Data_selected_by_user_testing!D132</f>
        <v>0.3309755080600576</v>
      </c>
      <c r="D28" s="163">
        <f t="shared" ref="D28:L29" si="2">C28</f>
        <v>0.3309755080600576</v>
      </c>
      <c r="E28" s="163">
        <f t="shared" si="2"/>
        <v>0.3309755080600576</v>
      </c>
      <c r="F28" s="163">
        <f t="shared" si="2"/>
        <v>0.3309755080600576</v>
      </c>
      <c r="G28" s="163">
        <f t="shared" si="2"/>
        <v>0.3309755080600576</v>
      </c>
      <c r="H28" s="163">
        <f t="shared" si="2"/>
        <v>0.3309755080600576</v>
      </c>
      <c r="I28" s="163">
        <f t="shared" si="2"/>
        <v>0.3309755080600576</v>
      </c>
      <c r="J28" s="163">
        <f t="shared" si="2"/>
        <v>0.3309755080600576</v>
      </c>
      <c r="K28" s="163">
        <f t="shared" si="2"/>
        <v>0.3309755080600576</v>
      </c>
      <c r="L28" s="163">
        <f t="shared" si="2"/>
        <v>0.3309755080600576</v>
      </c>
    </row>
    <row r="29" spans="2:12">
      <c r="B29" s="326" t="str">
        <f>Data_selected_by_user_testing!C133</f>
        <v>NQTs</v>
      </c>
      <c r="C29" s="652">
        <f>Data_selected_by_user_testing!D133</f>
        <v>0.51736974229923127</v>
      </c>
      <c r="D29" s="163">
        <f t="shared" si="2"/>
        <v>0.51736974229923127</v>
      </c>
      <c r="E29" s="163">
        <f t="shared" si="2"/>
        <v>0.51736974229923127</v>
      </c>
      <c r="F29" s="163">
        <f t="shared" si="2"/>
        <v>0.51736974229923127</v>
      </c>
      <c r="G29" s="163">
        <f t="shared" si="2"/>
        <v>0.51736974229923127</v>
      </c>
      <c r="H29" s="163">
        <f t="shared" si="2"/>
        <v>0.51736974229923127</v>
      </c>
      <c r="I29" s="163">
        <f t="shared" si="2"/>
        <v>0.51736974229923127</v>
      </c>
      <c r="J29" s="163">
        <f t="shared" si="2"/>
        <v>0.51736974229923127</v>
      </c>
      <c r="K29" s="163">
        <f t="shared" si="2"/>
        <v>0.51736974229923127</v>
      </c>
      <c r="L29" s="163">
        <f t="shared" si="2"/>
        <v>0.51736974229923127</v>
      </c>
    </row>
    <row r="30" spans="2:12">
      <c r="C30" s="327"/>
    </row>
    <row r="31" spans="2:12">
      <c r="B31" s="341" t="s">
        <v>1514</v>
      </c>
      <c r="C31" s="327"/>
      <c r="D31" s="364" t="s">
        <v>735</v>
      </c>
    </row>
    <row r="32" spans="2:12">
      <c r="C32" s="327"/>
    </row>
    <row r="33" spans="2:12">
      <c r="B33" s="326" t="str">
        <f>B27</f>
        <v>New to state-funded sector</v>
      </c>
      <c r="C33" s="652">
        <f>'Calc_PRIM_part-time_entrants'!G47</f>
        <v>0.13962959375478964</v>
      </c>
    </row>
    <row r="34" spans="2:12">
      <c r="B34" s="326" t="str">
        <f>B28</f>
        <v>Re-entrants</v>
      </c>
      <c r="C34" s="652">
        <f>'Calc_PRIM_part-time_entrants'!G48</f>
        <v>0.42839110364194799</v>
      </c>
    </row>
    <row r="35" spans="2:12">
      <c r="B35" s="326" t="str">
        <f>B29</f>
        <v>NQTs</v>
      </c>
      <c r="C35" s="652">
        <f>'Calc_PRIM_part-time_entrants'!G49</f>
        <v>3.2640016481078032E-2</v>
      </c>
    </row>
    <row r="36" spans="2:12">
      <c r="C36" s="327"/>
    </row>
    <row r="37" spans="2:12">
      <c r="B37" s="341" t="s">
        <v>1515</v>
      </c>
      <c r="C37" s="327"/>
      <c r="D37" s="364" t="s">
        <v>734</v>
      </c>
    </row>
    <row r="38" spans="2:12">
      <c r="C38" s="327"/>
    </row>
    <row r="39" spans="2:12">
      <c r="B39" s="326" t="s">
        <v>733</v>
      </c>
      <c r="C39" s="558">
        <f>RAW_DATA_INPUTS!C424</f>
        <v>0.57399999999999995</v>
      </c>
    </row>
    <row r="41" spans="2:12">
      <c r="B41" s="364" t="s">
        <v>732</v>
      </c>
      <c r="D41" s="670">
        <f>C20</f>
        <v>0.89</v>
      </c>
      <c r="E41" s="364" t="s">
        <v>1707</v>
      </c>
    </row>
    <row r="42" spans="2:12">
      <c r="B42" s="364"/>
      <c r="D42" s="670"/>
      <c r="E42" s="364"/>
    </row>
    <row r="43" spans="2:12">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2:12">
      <c r="B44" s="326" t="s">
        <v>801</v>
      </c>
      <c r="C44" s="459">
        <f t="shared" ref="C44:L44" si="4">C15*$C$20</f>
        <v>22965.916996618304</v>
      </c>
      <c r="D44" s="459">
        <f t="shared" si="4"/>
        <v>21813.09107297731</v>
      </c>
      <c r="E44" s="459">
        <f t="shared" si="4"/>
        <v>21944.728947825693</v>
      </c>
      <c r="F44" s="459">
        <f t="shared" si="4"/>
        <v>21744.714435350797</v>
      </c>
      <c r="G44" s="459">
        <f t="shared" si="4"/>
        <v>21451.057464617519</v>
      </c>
      <c r="H44" s="459">
        <f t="shared" si="4"/>
        <v>21247.143143688601</v>
      </c>
      <c r="I44" s="459">
        <f t="shared" si="4"/>
        <v>21760.949192038501</v>
      </c>
      <c r="J44" s="459">
        <f t="shared" si="4"/>
        <v>22175.939248660394</v>
      </c>
      <c r="K44" s="459">
        <f t="shared" si="4"/>
        <v>22282.440119452629</v>
      </c>
      <c r="L44" s="459">
        <f t="shared" si="4"/>
        <v>22182.910601583688</v>
      </c>
    </row>
    <row r="46" spans="2:12">
      <c r="B46" s="1251" t="s">
        <v>1708</v>
      </c>
      <c r="C46" s="1251"/>
      <c r="D46" s="1251"/>
      <c r="E46" s="1251"/>
      <c r="F46" s="1251"/>
      <c r="G46" s="1251"/>
      <c r="H46" s="1251"/>
      <c r="I46" s="1251"/>
      <c r="J46" s="1251"/>
      <c r="K46" s="1251"/>
      <c r="L46" s="1251"/>
    </row>
    <row r="47" spans="2:12" ht="27" customHeight="1">
      <c r="B47" s="1251"/>
      <c r="C47" s="1251"/>
      <c r="D47" s="1251"/>
      <c r="E47" s="1251"/>
      <c r="F47" s="1251"/>
      <c r="G47" s="1251"/>
      <c r="H47" s="1251"/>
      <c r="I47" s="1251"/>
      <c r="J47" s="1251"/>
      <c r="K47" s="1251"/>
      <c r="L47" s="1251"/>
    </row>
    <row r="49" spans="2:12" ht="89.25">
      <c r="C49" s="338" t="s">
        <v>731</v>
      </c>
      <c r="D49" s="338" t="s">
        <v>730</v>
      </c>
      <c r="E49" s="338" t="s">
        <v>1625</v>
      </c>
      <c r="F49" s="338" t="s">
        <v>1626</v>
      </c>
      <c r="G49" s="669" t="s">
        <v>729</v>
      </c>
      <c r="H49" s="669" t="s">
        <v>728</v>
      </c>
      <c r="I49" s="669" t="s">
        <v>727</v>
      </c>
      <c r="J49" s="669" t="s">
        <v>726</v>
      </c>
      <c r="K49" s="668"/>
    </row>
    <row r="50" spans="2:12">
      <c r="B50" s="326" t="str">
        <f t="shared" ref="B50:C52" si="5">B27</f>
        <v>New to state-funded sector</v>
      </c>
      <c r="C50" s="652">
        <f t="shared" si="5"/>
        <v>0.15165474964071107</v>
      </c>
      <c r="D50" s="667">
        <f>100*C50</f>
        <v>15.165474964071107</v>
      </c>
      <c r="E50" s="459">
        <f>D50-F50</f>
        <v>13.047925855739425</v>
      </c>
      <c r="F50" s="459">
        <f>D50*C33</f>
        <v>2.1175491083316818</v>
      </c>
      <c r="G50" s="459">
        <f>E50</f>
        <v>13.047925855739425</v>
      </c>
      <c r="H50" s="459">
        <f>F50*$C$39</f>
        <v>1.2154731881823853</v>
      </c>
      <c r="I50" s="459">
        <f>G50+H50</f>
        <v>14.26339904392181</v>
      </c>
      <c r="J50" s="1250">
        <f>SUM(I50:I52)</f>
        <v>92.338415083941698</v>
      </c>
    </row>
    <row r="51" spans="2:12">
      <c r="B51" s="326" t="str">
        <f t="shared" si="5"/>
        <v>Re-entrants</v>
      </c>
      <c r="C51" s="652">
        <f t="shared" si="5"/>
        <v>0.3309755080600576</v>
      </c>
      <c r="D51" s="667">
        <f>100*C51</f>
        <v>33.097550806005756</v>
      </c>
      <c r="E51" s="459">
        <f>D51-F51</f>
        <v>18.918854488375505</v>
      </c>
      <c r="F51" s="459">
        <f>D51*C34</f>
        <v>14.178696317630251</v>
      </c>
      <c r="G51" s="459">
        <f>E51</f>
        <v>18.918854488375505</v>
      </c>
      <c r="H51" s="459">
        <f>F51*$C$39</f>
        <v>8.1385716863197644</v>
      </c>
      <c r="I51" s="459">
        <f>G51+H51</f>
        <v>27.057426174695269</v>
      </c>
      <c r="J51" s="1250"/>
    </row>
    <row r="52" spans="2:12">
      <c r="B52" s="326" t="str">
        <f t="shared" si="5"/>
        <v>NQTs</v>
      </c>
      <c r="C52" s="652">
        <f t="shared" si="5"/>
        <v>0.51736974229923127</v>
      </c>
      <c r="D52" s="667">
        <f>100*C52</f>
        <v>51.736974229923128</v>
      </c>
      <c r="E52" s="459">
        <f>D52-F52</f>
        <v>50.048278538377325</v>
      </c>
      <c r="F52" s="459">
        <f>D52*C35</f>
        <v>1.6886956915458002</v>
      </c>
      <c r="G52" s="459">
        <f>E52</f>
        <v>50.048278538377325</v>
      </c>
      <c r="H52" s="459">
        <f>F52*$C$39</f>
        <v>0.96931132694728928</v>
      </c>
      <c r="I52" s="459">
        <f>G52+H52</f>
        <v>51.017589865324616</v>
      </c>
      <c r="J52" s="1250"/>
    </row>
    <row r="54" spans="2:12">
      <c r="B54" s="341" t="s">
        <v>807</v>
      </c>
    </row>
    <row r="55" spans="2:12">
      <c r="B55" s="341"/>
    </row>
    <row r="56" spans="2:12">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2:12">
      <c r="B57" s="326" t="s">
        <v>807</v>
      </c>
      <c r="C57" s="459">
        <f>C44/$J$50</f>
        <v>248.71465441269243</v>
      </c>
      <c r="D57" s="459">
        <f t="shared" ref="D57:L57" si="7">D44/$J$50</f>
        <v>236.22986222091612</v>
      </c>
      <c r="E57" s="459">
        <f t="shared" si="7"/>
        <v>237.65546471505377</v>
      </c>
      <c r="F57" s="459">
        <f t="shared" si="7"/>
        <v>235.48936177411559</v>
      </c>
      <c r="G57" s="459">
        <f t="shared" si="7"/>
        <v>232.30913639915843</v>
      </c>
      <c r="H57" s="459">
        <f t="shared" si="7"/>
        <v>230.10079959000325</v>
      </c>
      <c r="I57" s="459">
        <f t="shared" si="7"/>
        <v>235.6651797873763</v>
      </c>
      <c r="J57" s="459">
        <f t="shared" si="7"/>
        <v>240.15940958593458</v>
      </c>
      <c r="K57" s="459">
        <f t="shared" si="7"/>
        <v>241.3127851414433</v>
      </c>
      <c r="L57" s="459">
        <f t="shared" si="7"/>
        <v>240.23490744797778</v>
      </c>
    </row>
    <row r="59" spans="2:12" ht="15.75">
      <c r="B59" s="340" t="s">
        <v>1709</v>
      </c>
    </row>
    <row r="61" spans="2:12">
      <c r="B61" s="704" t="s">
        <v>700</v>
      </c>
    </row>
    <row r="62" spans="2:12">
      <c r="B62" s="380"/>
    </row>
    <row r="63" spans="2:12">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2:12">
      <c r="B64" s="338" t="s">
        <v>731</v>
      </c>
      <c r="C64" s="415">
        <f>C27</f>
        <v>0.15165474964071107</v>
      </c>
      <c r="D64" s="415">
        <f t="shared" ref="D64:L64" si="9">D27</f>
        <v>0.15165474964071107</v>
      </c>
      <c r="E64" s="415">
        <f t="shared" si="9"/>
        <v>0.15165474964071107</v>
      </c>
      <c r="F64" s="415">
        <f t="shared" si="9"/>
        <v>0.15165474964071107</v>
      </c>
      <c r="G64" s="415">
        <f t="shared" si="9"/>
        <v>0.15165474964071107</v>
      </c>
      <c r="H64" s="415">
        <f t="shared" si="9"/>
        <v>0.15165474964071107</v>
      </c>
      <c r="I64" s="415">
        <f t="shared" si="9"/>
        <v>0.15165474964071107</v>
      </c>
      <c r="J64" s="415">
        <f t="shared" si="9"/>
        <v>0.15165474964071107</v>
      </c>
      <c r="K64" s="415">
        <f t="shared" si="9"/>
        <v>0.15165474964071107</v>
      </c>
      <c r="L64" s="415">
        <f t="shared" si="9"/>
        <v>0.15165474964071107</v>
      </c>
    </row>
    <row r="65" spans="2:12" ht="25.5">
      <c r="B65" s="338" t="s">
        <v>730</v>
      </c>
      <c r="C65" s="694">
        <f>100*C64</f>
        <v>15.165474964071107</v>
      </c>
      <c r="D65" s="694">
        <f t="shared" ref="D65:L65" si="10">100*D64</f>
        <v>15.165474964071107</v>
      </c>
      <c r="E65" s="694">
        <f t="shared" si="10"/>
        <v>15.165474964071107</v>
      </c>
      <c r="F65" s="694">
        <f t="shared" si="10"/>
        <v>15.165474964071107</v>
      </c>
      <c r="G65" s="694">
        <f t="shared" si="10"/>
        <v>15.165474964071107</v>
      </c>
      <c r="H65" s="694">
        <f t="shared" si="10"/>
        <v>15.165474964071107</v>
      </c>
      <c r="I65" s="694">
        <f t="shared" si="10"/>
        <v>15.165474964071107</v>
      </c>
      <c r="J65" s="694">
        <f t="shared" si="10"/>
        <v>15.165474964071107</v>
      </c>
      <c r="K65" s="694">
        <f t="shared" si="10"/>
        <v>15.165474964071107</v>
      </c>
      <c r="L65" s="694">
        <f t="shared" si="10"/>
        <v>15.165474964071107</v>
      </c>
    </row>
    <row r="66" spans="2:12" ht="25.5">
      <c r="B66" s="338" t="s">
        <v>1625</v>
      </c>
      <c r="C66" s="694">
        <f>C65-C67</f>
        <v>13.047925855739425</v>
      </c>
      <c r="D66" s="694">
        <f t="shared" ref="D66:L66" si="11">D65-D67</f>
        <v>13.047925855739425</v>
      </c>
      <c r="E66" s="694">
        <f t="shared" si="11"/>
        <v>13.047925855739425</v>
      </c>
      <c r="F66" s="694">
        <f t="shared" si="11"/>
        <v>13.047925855739425</v>
      </c>
      <c r="G66" s="694">
        <f t="shared" si="11"/>
        <v>13.047925855739425</v>
      </c>
      <c r="H66" s="694">
        <f t="shared" si="11"/>
        <v>13.047925855739425</v>
      </c>
      <c r="I66" s="694">
        <f t="shared" si="11"/>
        <v>13.047925855739425</v>
      </c>
      <c r="J66" s="694">
        <f t="shared" si="11"/>
        <v>13.047925855739425</v>
      </c>
      <c r="K66" s="694">
        <f t="shared" si="11"/>
        <v>13.047925855739425</v>
      </c>
      <c r="L66" s="694">
        <f t="shared" si="11"/>
        <v>13.047925855739425</v>
      </c>
    </row>
    <row r="67" spans="2:12" ht="25.5">
      <c r="B67" s="338" t="s">
        <v>1626</v>
      </c>
      <c r="C67" s="694">
        <f>C65*$C$33</f>
        <v>2.1175491083316818</v>
      </c>
      <c r="D67" s="694">
        <f t="shared" ref="D67:L67" si="12">D65*$C$33</f>
        <v>2.1175491083316818</v>
      </c>
      <c r="E67" s="694">
        <f t="shared" si="12"/>
        <v>2.1175491083316818</v>
      </c>
      <c r="F67" s="694">
        <f t="shared" si="12"/>
        <v>2.1175491083316818</v>
      </c>
      <c r="G67" s="694">
        <f t="shared" si="12"/>
        <v>2.1175491083316818</v>
      </c>
      <c r="H67" s="694">
        <f t="shared" si="12"/>
        <v>2.1175491083316818</v>
      </c>
      <c r="I67" s="694">
        <f t="shared" si="12"/>
        <v>2.1175491083316818</v>
      </c>
      <c r="J67" s="694">
        <f t="shared" si="12"/>
        <v>2.1175491083316818</v>
      </c>
      <c r="K67" s="694">
        <f t="shared" si="12"/>
        <v>2.1175491083316818</v>
      </c>
      <c r="L67" s="694">
        <f t="shared" si="12"/>
        <v>2.1175491083316818</v>
      </c>
    </row>
    <row r="68" spans="2:12">
      <c r="B68" s="669" t="s">
        <v>729</v>
      </c>
      <c r="C68" s="459">
        <f>C66</f>
        <v>13.047925855739425</v>
      </c>
      <c r="D68" s="459">
        <f t="shared" ref="D68:L68" si="13">D66</f>
        <v>13.047925855739425</v>
      </c>
      <c r="E68" s="459">
        <f t="shared" si="13"/>
        <v>13.047925855739425</v>
      </c>
      <c r="F68" s="459">
        <f t="shared" si="13"/>
        <v>13.047925855739425</v>
      </c>
      <c r="G68" s="459">
        <f t="shared" si="13"/>
        <v>13.047925855739425</v>
      </c>
      <c r="H68" s="459">
        <f t="shared" si="13"/>
        <v>13.047925855739425</v>
      </c>
      <c r="I68" s="459">
        <f t="shared" si="13"/>
        <v>13.047925855739425</v>
      </c>
      <c r="J68" s="459">
        <f t="shared" si="13"/>
        <v>13.047925855739425</v>
      </c>
      <c r="K68" s="459">
        <f t="shared" si="13"/>
        <v>13.047925855739425</v>
      </c>
      <c r="L68" s="459">
        <f t="shared" si="13"/>
        <v>13.047925855739425</v>
      </c>
    </row>
    <row r="69" spans="2:12">
      <c r="B69" s="669" t="s">
        <v>728</v>
      </c>
      <c r="C69" s="459">
        <f>C67*$C$39</f>
        <v>1.2154731881823853</v>
      </c>
      <c r="D69" s="459">
        <f t="shared" ref="D69:L69" si="14">D67*$C$39</f>
        <v>1.2154731881823853</v>
      </c>
      <c r="E69" s="459">
        <f t="shared" si="14"/>
        <v>1.2154731881823853</v>
      </c>
      <c r="F69" s="459">
        <f t="shared" si="14"/>
        <v>1.2154731881823853</v>
      </c>
      <c r="G69" s="459">
        <f t="shared" si="14"/>
        <v>1.2154731881823853</v>
      </c>
      <c r="H69" s="459">
        <f t="shared" si="14"/>
        <v>1.2154731881823853</v>
      </c>
      <c r="I69" s="459">
        <f t="shared" si="14"/>
        <v>1.2154731881823853</v>
      </c>
      <c r="J69" s="459">
        <f t="shared" si="14"/>
        <v>1.2154731881823853</v>
      </c>
      <c r="K69" s="459">
        <f t="shared" si="14"/>
        <v>1.2154731881823853</v>
      </c>
      <c r="L69" s="459">
        <f t="shared" si="14"/>
        <v>1.2154731881823853</v>
      </c>
    </row>
    <row r="70" spans="2:12">
      <c r="B70" s="669" t="s">
        <v>727</v>
      </c>
      <c r="C70" s="459">
        <f>C69+C68</f>
        <v>14.26339904392181</v>
      </c>
      <c r="D70" s="459">
        <f t="shared" ref="D70:L70" si="15">D69+D68</f>
        <v>14.26339904392181</v>
      </c>
      <c r="E70" s="459">
        <f t="shared" si="15"/>
        <v>14.26339904392181</v>
      </c>
      <c r="F70" s="459">
        <f t="shared" si="15"/>
        <v>14.26339904392181</v>
      </c>
      <c r="G70" s="459">
        <f t="shared" si="15"/>
        <v>14.26339904392181</v>
      </c>
      <c r="H70" s="459">
        <f t="shared" si="15"/>
        <v>14.26339904392181</v>
      </c>
      <c r="I70" s="459">
        <f t="shared" si="15"/>
        <v>14.26339904392181</v>
      </c>
      <c r="J70" s="459">
        <f t="shared" si="15"/>
        <v>14.26339904392181</v>
      </c>
      <c r="K70" s="459">
        <f t="shared" si="15"/>
        <v>14.26339904392181</v>
      </c>
      <c r="L70" s="459">
        <f t="shared" si="15"/>
        <v>14.26339904392181</v>
      </c>
    </row>
    <row r="71" spans="2:12">
      <c r="B71" s="380"/>
    </row>
    <row r="72" spans="2:12">
      <c r="B72" s="704" t="s">
        <v>699</v>
      </c>
    </row>
    <row r="73" spans="2:12">
      <c r="B73" s="380"/>
    </row>
    <row r="74" spans="2:12">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2:12">
      <c r="B75" s="338" t="s">
        <v>731</v>
      </c>
      <c r="C75" s="415">
        <f>C28</f>
        <v>0.3309755080600576</v>
      </c>
      <c r="D75" s="415">
        <f t="shared" ref="D75:L75" si="17">D28</f>
        <v>0.3309755080600576</v>
      </c>
      <c r="E75" s="415">
        <f t="shared" si="17"/>
        <v>0.3309755080600576</v>
      </c>
      <c r="F75" s="415">
        <f t="shared" si="17"/>
        <v>0.3309755080600576</v>
      </c>
      <c r="G75" s="415">
        <f t="shared" si="17"/>
        <v>0.3309755080600576</v>
      </c>
      <c r="H75" s="415">
        <f t="shared" si="17"/>
        <v>0.3309755080600576</v>
      </c>
      <c r="I75" s="415">
        <f t="shared" si="17"/>
        <v>0.3309755080600576</v>
      </c>
      <c r="J75" s="415">
        <f t="shared" si="17"/>
        <v>0.3309755080600576</v>
      </c>
      <c r="K75" s="415">
        <f t="shared" si="17"/>
        <v>0.3309755080600576</v>
      </c>
      <c r="L75" s="415">
        <f t="shared" si="17"/>
        <v>0.3309755080600576</v>
      </c>
    </row>
    <row r="76" spans="2:12" ht="25.5">
      <c r="B76" s="338" t="s">
        <v>730</v>
      </c>
      <c r="C76" s="694">
        <f>100*C75</f>
        <v>33.097550806005756</v>
      </c>
      <c r="D76" s="694">
        <f t="shared" ref="D76:L76" si="18">100*D75</f>
        <v>33.097550806005756</v>
      </c>
      <c r="E76" s="694">
        <f t="shared" si="18"/>
        <v>33.097550806005756</v>
      </c>
      <c r="F76" s="694">
        <f t="shared" si="18"/>
        <v>33.097550806005756</v>
      </c>
      <c r="G76" s="694">
        <f t="shared" si="18"/>
        <v>33.097550806005756</v>
      </c>
      <c r="H76" s="694">
        <f t="shared" si="18"/>
        <v>33.097550806005756</v>
      </c>
      <c r="I76" s="694">
        <f t="shared" si="18"/>
        <v>33.097550806005756</v>
      </c>
      <c r="J76" s="694">
        <f t="shared" si="18"/>
        <v>33.097550806005756</v>
      </c>
      <c r="K76" s="694">
        <f t="shared" si="18"/>
        <v>33.097550806005756</v>
      </c>
      <c r="L76" s="694">
        <f t="shared" si="18"/>
        <v>33.097550806005756</v>
      </c>
    </row>
    <row r="77" spans="2:12" ht="25.5">
      <c r="B77" s="338" t="s">
        <v>1625</v>
      </c>
      <c r="C77" s="694">
        <f>C76-C78</f>
        <v>18.918854488375505</v>
      </c>
      <c r="D77" s="694">
        <f t="shared" ref="D77:L77" si="19">D76-D78</f>
        <v>18.918854488375505</v>
      </c>
      <c r="E77" s="694">
        <f t="shared" si="19"/>
        <v>18.918854488375505</v>
      </c>
      <c r="F77" s="694">
        <f t="shared" si="19"/>
        <v>18.918854488375505</v>
      </c>
      <c r="G77" s="694">
        <f t="shared" si="19"/>
        <v>18.918854488375505</v>
      </c>
      <c r="H77" s="694">
        <f t="shared" si="19"/>
        <v>18.918854488375505</v>
      </c>
      <c r="I77" s="694">
        <f t="shared" si="19"/>
        <v>18.918854488375505</v>
      </c>
      <c r="J77" s="694">
        <f t="shared" si="19"/>
        <v>18.918854488375505</v>
      </c>
      <c r="K77" s="694">
        <f t="shared" si="19"/>
        <v>18.918854488375505</v>
      </c>
      <c r="L77" s="694">
        <f t="shared" si="19"/>
        <v>18.918854488375505</v>
      </c>
    </row>
    <row r="78" spans="2:12" ht="25.5">
      <c r="B78" s="338" t="s">
        <v>1626</v>
      </c>
      <c r="C78" s="694">
        <f>C76*$C$34</f>
        <v>14.178696317630251</v>
      </c>
      <c r="D78" s="694">
        <f t="shared" ref="D78:L78" si="20">D76*$C$34</f>
        <v>14.178696317630251</v>
      </c>
      <c r="E78" s="694">
        <f t="shared" si="20"/>
        <v>14.178696317630251</v>
      </c>
      <c r="F78" s="694">
        <f t="shared" si="20"/>
        <v>14.178696317630251</v>
      </c>
      <c r="G78" s="694">
        <f t="shared" si="20"/>
        <v>14.178696317630251</v>
      </c>
      <c r="H78" s="694">
        <f t="shared" si="20"/>
        <v>14.178696317630251</v>
      </c>
      <c r="I78" s="694">
        <f t="shared" si="20"/>
        <v>14.178696317630251</v>
      </c>
      <c r="J78" s="694">
        <f t="shared" si="20"/>
        <v>14.178696317630251</v>
      </c>
      <c r="K78" s="694">
        <f t="shared" si="20"/>
        <v>14.178696317630251</v>
      </c>
      <c r="L78" s="694">
        <f t="shared" si="20"/>
        <v>14.178696317630251</v>
      </c>
    </row>
    <row r="79" spans="2:12">
      <c r="B79" s="669" t="s">
        <v>729</v>
      </c>
      <c r="C79" s="694">
        <f>C77</f>
        <v>18.918854488375505</v>
      </c>
      <c r="D79" s="694">
        <f t="shared" ref="D79:L79" si="21">D77</f>
        <v>18.918854488375505</v>
      </c>
      <c r="E79" s="694">
        <f t="shared" si="21"/>
        <v>18.918854488375505</v>
      </c>
      <c r="F79" s="694">
        <f t="shared" si="21"/>
        <v>18.918854488375505</v>
      </c>
      <c r="G79" s="694">
        <f t="shared" si="21"/>
        <v>18.918854488375505</v>
      </c>
      <c r="H79" s="694">
        <f t="shared" si="21"/>
        <v>18.918854488375505</v>
      </c>
      <c r="I79" s="694">
        <f t="shared" si="21"/>
        <v>18.918854488375505</v>
      </c>
      <c r="J79" s="694">
        <f t="shared" si="21"/>
        <v>18.918854488375505</v>
      </c>
      <c r="K79" s="694">
        <f t="shared" si="21"/>
        <v>18.918854488375505</v>
      </c>
      <c r="L79" s="694">
        <f t="shared" si="21"/>
        <v>18.918854488375505</v>
      </c>
    </row>
    <row r="80" spans="2:12">
      <c r="B80" s="669" t="s">
        <v>728</v>
      </c>
      <c r="C80" s="694">
        <f>C78*$C$39</f>
        <v>8.1385716863197644</v>
      </c>
      <c r="D80" s="694">
        <f t="shared" ref="D80:L80" si="22">D78*$C$39</f>
        <v>8.1385716863197644</v>
      </c>
      <c r="E80" s="694">
        <f t="shared" si="22"/>
        <v>8.1385716863197644</v>
      </c>
      <c r="F80" s="694">
        <f t="shared" si="22"/>
        <v>8.1385716863197644</v>
      </c>
      <c r="G80" s="694">
        <f t="shared" si="22"/>
        <v>8.1385716863197644</v>
      </c>
      <c r="H80" s="694">
        <f t="shared" si="22"/>
        <v>8.1385716863197644</v>
      </c>
      <c r="I80" s="694">
        <f t="shared" si="22"/>
        <v>8.1385716863197644</v>
      </c>
      <c r="J80" s="694">
        <f t="shared" si="22"/>
        <v>8.1385716863197644</v>
      </c>
      <c r="K80" s="694">
        <f t="shared" si="22"/>
        <v>8.1385716863197644</v>
      </c>
      <c r="L80" s="694">
        <f t="shared" si="22"/>
        <v>8.1385716863197644</v>
      </c>
    </row>
    <row r="81" spans="2:12">
      <c r="B81" s="669" t="s">
        <v>727</v>
      </c>
      <c r="C81" s="694">
        <f>C79+C80</f>
        <v>27.057426174695269</v>
      </c>
      <c r="D81" s="694">
        <f t="shared" ref="D81:L81" si="23">D79+D80</f>
        <v>27.057426174695269</v>
      </c>
      <c r="E81" s="694">
        <f t="shared" si="23"/>
        <v>27.057426174695269</v>
      </c>
      <c r="F81" s="694">
        <f t="shared" si="23"/>
        <v>27.057426174695269</v>
      </c>
      <c r="G81" s="694">
        <f t="shared" si="23"/>
        <v>27.057426174695269</v>
      </c>
      <c r="H81" s="694">
        <f t="shared" si="23"/>
        <v>27.057426174695269</v>
      </c>
      <c r="I81" s="694">
        <f t="shared" si="23"/>
        <v>27.057426174695269</v>
      </c>
      <c r="J81" s="694">
        <f t="shared" si="23"/>
        <v>27.057426174695269</v>
      </c>
      <c r="K81" s="694">
        <f t="shared" si="23"/>
        <v>27.057426174695269</v>
      </c>
      <c r="L81" s="694">
        <f t="shared" si="23"/>
        <v>27.057426174695269</v>
      </c>
    </row>
    <row r="82" spans="2:12">
      <c r="B82" s="668"/>
    </row>
    <row r="83" spans="2:12">
      <c r="B83" s="704" t="s">
        <v>803</v>
      </c>
    </row>
    <row r="84" spans="2:12">
      <c r="B84" s="380"/>
    </row>
    <row r="85" spans="2:12">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2:12">
      <c r="B86" s="338" t="s">
        <v>731</v>
      </c>
      <c r="C86" s="415">
        <f>C29</f>
        <v>0.51736974229923127</v>
      </c>
      <c r="D86" s="415">
        <f t="shared" ref="D86:L86" si="25">D29</f>
        <v>0.51736974229923127</v>
      </c>
      <c r="E86" s="415">
        <f t="shared" si="25"/>
        <v>0.51736974229923127</v>
      </c>
      <c r="F86" s="415">
        <f t="shared" si="25"/>
        <v>0.51736974229923127</v>
      </c>
      <c r="G86" s="415">
        <f t="shared" si="25"/>
        <v>0.51736974229923127</v>
      </c>
      <c r="H86" s="415">
        <f t="shared" si="25"/>
        <v>0.51736974229923127</v>
      </c>
      <c r="I86" s="415">
        <f t="shared" si="25"/>
        <v>0.51736974229923127</v>
      </c>
      <c r="J86" s="415">
        <f t="shared" si="25"/>
        <v>0.51736974229923127</v>
      </c>
      <c r="K86" s="415">
        <f t="shared" si="25"/>
        <v>0.51736974229923127</v>
      </c>
      <c r="L86" s="415">
        <f t="shared" si="25"/>
        <v>0.51736974229923127</v>
      </c>
    </row>
    <row r="87" spans="2:12" ht="25.5">
      <c r="B87" s="338" t="s">
        <v>730</v>
      </c>
      <c r="C87" s="694">
        <f t="shared" ref="C87:L87" si="26">100*C86</f>
        <v>51.736974229923128</v>
      </c>
      <c r="D87" s="694">
        <f t="shared" si="26"/>
        <v>51.736974229923128</v>
      </c>
      <c r="E87" s="694">
        <f t="shared" si="26"/>
        <v>51.736974229923128</v>
      </c>
      <c r="F87" s="694">
        <f t="shared" si="26"/>
        <v>51.736974229923128</v>
      </c>
      <c r="G87" s="694">
        <f t="shared" si="26"/>
        <v>51.736974229923128</v>
      </c>
      <c r="H87" s="694">
        <f t="shared" si="26"/>
        <v>51.736974229923128</v>
      </c>
      <c r="I87" s="694">
        <f t="shared" si="26"/>
        <v>51.736974229923128</v>
      </c>
      <c r="J87" s="694">
        <f t="shared" si="26"/>
        <v>51.736974229923128</v>
      </c>
      <c r="K87" s="694">
        <f t="shared" si="26"/>
        <v>51.736974229923128</v>
      </c>
      <c r="L87" s="694">
        <f t="shared" si="26"/>
        <v>51.736974229923128</v>
      </c>
    </row>
    <row r="88" spans="2:12" ht="25.5">
      <c r="B88" s="338" t="s">
        <v>1625</v>
      </c>
      <c r="C88" s="694">
        <f>C87-C89</f>
        <v>50.048278538377325</v>
      </c>
      <c r="D88" s="694">
        <f t="shared" ref="D88:L88" si="27">D87-D89</f>
        <v>50.048278538377325</v>
      </c>
      <c r="E88" s="694">
        <f t="shared" si="27"/>
        <v>50.048278538377325</v>
      </c>
      <c r="F88" s="694">
        <f t="shared" si="27"/>
        <v>50.048278538377325</v>
      </c>
      <c r="G88" s="694">
        <f t="shared" si="27"/>
        <v>50.048278538377325</v>
      </c>
      <c r="H88" s="694">
        <f t="shared" si="27"/>
        <v>50.048278538377325</v>
      </c>
      <c r="I88" s="694">
        <f t="shared" si="27"/>
        <v>50.048278538377325</v>
      </c>
      <c r="J88" s="694">
        <f t="shared" si="27"/>
        <v>50.048278538377325</v>
      </c>
      <c r="K88" s="694">
        <f t="shared" si="27"/>
        <v>50.048278538377325</v>
      </c>
      <c r="L88" s="694">
        <f t="shared" si="27"/>
        <v>50.048278538377325</v>
      </c>
    </row>
    <row r="89" spans="2:12" ht="25.5">
      <c r="B89" s="338" t="s">
        <v>1626</v>
      </c>
      <c r="C89" s="694">
        <f>C87*$C$35</f>
        <v>1.6886956915458002</v>
      </c>
      <c r="D89" s="694">
        <f t="shared" ref="D89:L89" si="28">D87*$C$35</f>
        <v>1.6886956915458002</v>
      </c>
      <c r="E89" s="694">
        <f t="shared" si="28"/>
        <v>1.6886956915458002</v>
      </c>
      <c r="F89" s="694">
        <f t="shared" si="28"/>
        <v>1.6886956915458002</v>
      </c>
      <c r="G89" s="694">
        <f t="shared" si="28"/>
        <v>1.6886956915458002</v>
      </c>
      <c r="H89" s="694">
        <f t="shared" si="28"/>
        <v>1.6886956915458002</v>
      </c>
      <c r="I89" s="694">
        <f t="shared" si="28"/>
        <v>1.6886956915458002</v>
      </c>
      <c r="J89" s="694">
        <f t="shared" si="28"/>
        <v>1.6886956915458002</v>
      </c>
      <c r="K89" s="694">
        <f t="shared" si="28"/>
        <v>1.6886956915458002</v>
      </c>
      <c r="L89" s="694">
        <f t="shared" si="28"/>
        <v>1.6886956915458002</v>
      </c>
    </row>
    <row r="90" spans="2:12">
      <c r="B90" s="669" t="s">
        <v>729</v>
      </c>
      <c r="C90" s="459">
        <f>C88</f>
        <v>50.048278538377325</v>
      </c>
      <c r="D90" s="459">
        <f t="shared" ref="D90:L90" si="29">D88</f>
        <v>50.048278538377325</v>
      </c>
      <c r="E90" s="459">
        <f t="shared" si="29"/>
        <v>50.048278538377325</v>
      </c>
      <c r="F90" s="459">
        <f t="shared" si="29"/>
        <v>50.048278538377325</v>
      </c>
      <c r="G90" s="459">
        <f t="shared" si="29"/>
        <v>50.048278538377325</v>
      </c>
      <c r="H90" s="459">
        <f t="shared" si="29"/>
        <v>50.048278538377325</v>
      </c>
      <c r="I90" s="459">
        <f t="shared" si="29"/>
        <v>50.048278538377325</v>
      </c>
      <c r="J90" s="459">
        <f t="shared" si="29"/>
        <v>50.048278538377325</v>
      </c>
      <c r="K90" s="459">
        <f t="shared" si="29"/>
        <v>50.048278538377325</v>
      </c>
      <c r="L90" s="459">
        <f t="shared" si="29"/>
        <v>50.048278538377325</v>
      </c>
    </row>
    <row r="91" spans="2:12">
      <c r="B91" s="669" t="s">
        <v>728</v>
      </c>
      <c r="C91" s="694">
        <f>C89*$C$39</f>
        <v>0.96931132694728928</v>
      </c>
      <c r="D91" s="694">
        <f t="shared" ref="D91:L91" si="30">D89*$C$39</f>
        <v>0.96931132694728928</v>
      </c>
      <c r="E91" s="694">
        <f t="shared" si="30"/>
        <v>0.96931132694728928</v>
      </c>
      <c r="F91" s="694">
        <f t="shared" si="30"/>
        <v>0.96931132694728928</v>
      </c>
      <c r="G91" s="694">
        <f t="shared" si="30"/>
        <v>0.96931132694728928</v>
      </c>
      <c r="H91" s="694">
        <f t="shared" si="30"/>
        <v>0.96931132694728928</v>
      </c>
      <c r="I91" s="694">
        <f t="shared" si="30"/>
        <v>0.96931132694728928</v>
      </c>
      <c r="J91" s="694">
        <f t="shared" si="30"/>
        <v>0.96931132694728928</v>
      </c>
      <c r="K91" s="694">
        <f t="shared" si="30"/>
        <v>0.96931132694728928</v>
      </c>
      <c r="L91" s="694">
        <f t="shared" si="30"/>
        <v>0.96931132694728928</v>
      </c>
    </row>
    <row r="92" spans="2:12">
      <c r="B92" s="669" t="s">
        <v>727</v>
      </c>
      <c r="C92" s="459">
        <f>C91+C90</f>
        <v>51.017589865324616</v>
      </c>
      <c r="D92" s="459">
        <f t="shared" ref="D92:L92" si="31">D91+D90</f>
        <v>51.017589865324616</v>
      </c>
      <c r="E92" s="459">
        <f t="shared" si="31"/>
        <v>51.017589865324616</v>
      </c>
      <c r="F92" s="459">
        <f t="shared" si="31"/>
        <v>51.017589865324616</v>
      </c>
      <c r="G92" s="459">
        <f t="shared" si="31"/>
        <v>51.017589865324616</v>
      </c>
      <c r="H92" s="459">
        <f t="shared" si="31"/>
        <v>51.017589865324616</v>
      </c>
      <c r="I92" s="459">
        <f t="shared" si="31"/>
        <v>51.017589865324616</v>
      </c>
      <c r="J92" s="459">
        <f t="shared" si="31"/>
        <v>51.017589865324616</v>
      </c>
      <c r="K92" s="459">
        <f t="shared" si="31"/>
        <v>51.017589865324616</v>
      </c>
      <c r="L92" s="459">
        <f t="shared" si="31"/>
        <v>51.017589865324616</v>
      </c>
    </row>
    <row r="93" spans="2:12">
      <c r="B93" s="380"/>
    </row>
    <row r="94" spans="2:12">
      <c r="B94" s="669" t="s">
        <v>726</v>
      </c>
      <c r="C94" s="694">
        <f>C92+C81+C70</f>
        <v>92.338415083941698</v>
      </c>
      <c r="D94" s="694">
        <f t="shared" ref="D94:L94" si="32">D92+D81+D70</f>
        <v>92.338415083941698</v>
      </c>
      <c r="E94" s="694">
        <f t="shared" si="32"/>
        <v>92.338415083941698</v>
      </c>
      <c r="F94" s="694">
        <f t="shared" si="32"/>
        <v>92.338415083941698</v>
      </c>
      <c r="G94" s="694">
        <f t="shared" si="32"/>
        <v>92.338415083941698</v>
      </c>
      <c r="H94" s="694">
        <f t="shared" si="32"/>
        <v>92.338415083941698</v>
      </c>
      <c r="I94" s="694">
        <f t="shared" si="32"/>
        <v>92.338415083941698</v>
      </c>
      <c r="J94" s="694">
        <f t="shared" si="32"/>
        <v>92.338415083941698</v>
      </c>
      <c r="K94" s="694">
        <f t="shared" si="32"/>
        <v>92.338415083941698</v>
      </c>
      <c r="L94" s="694">
        <f t="shared" si="32"/>
        <v>92.338415083941698</v>
      </c>
    </row>
    <row r="95" spans="2:12">
      <c r="B95" s="702"/>
    </row>
    <row r="96" spans="2:12">
      <c r="B96" s="703" t="s">
        <v>806</v>
      </c>
    </row>
    <row r="97" spans="2:12">
      <c r="B97" s="325"/>
    </row>
    <row r="98" spans="2:12">
      <c r="B98" s="326" t="s">
        <v>807</v>
      </c>
      <c r="C98" s="459">
        <f>C57</f>
        <v>248.71465441269243</v>
      </c>
      <c r="D98" s="459">
        <f t="shared" ref="D98:L98" si="33">D57</f>
        <v>236.22986222091612</v>
      </c>
      <c r="E98" s="459">
        <f t="shared" si="33"/>
        <v>237.65546471505377</v>
      </c>
      <c r="F98" s="459">
        <f t="shared" si="33"/>
        <v>235.48936177411559</v>
      </c>
      <c r="G98" s="459">
        <f t="shared" si="33"/>
        <v>232.30913639915843</v>
      </c>
      <c r="H98" s="459">
        <f t="shared" si="33"/>
        <v>230.10079959000325</v>
      </c>
      <c r="I98" s="459">
        <f t="shared" si="33"/>
        <v>235.6651797873763</v>
      </c>
      <c r="J98" s="459">
        <f t="shared" si="33"/>
        <v>240.15940958593458</v>
      </c>
      <c r="K98" s="459">
        <f t="shared" si="33"/>
        <v>241.3127851414433</v>
      </c>
      <c r="L98" s="459">
        <f t="shared" si="33"/>
        <v>240.23490744797778</v>
      </c>
    </row>
    <row r="100" spans="2:12">
      <c r="B100" s="341" t="s">
        <v>1627</v>
      </c>
    </row>
    <row r="102" spans="2:12">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2:12">
      <c r="B103" s="326" t="s">
        <v>802</v>
      </c>
      <c r="C103" s="459">
        <f t="shared" ref="C103:L103" si="35">C65*C$98</f>
        <v>3771.8758646932843</v>
      </c>
      <c r="D103" s="459">
        <f t="shared" si="35"/>
        <v>3582.5380612772706</v>
      </c>
      <c r="E103" s="459">
        <f t="shared" si="35"/>
        <v>3604.1580002108321</v>
      </c>
      <c r="F103" s="459">
        <f t="shared" si="35"/>
        <v>3571.3080202904334</v>
      </c>
      <c r="G103" s="459">
        <f t="shared" si="35"/>
        <v>3523.078391986417</v>
      </c>
      <c r="H103" s="459">
        <f t="shared" si="35"/>
        <v>3489.5879153949377</v>
      </c>
      <c r="I103" s="459">
        <f t="shared" si="35"/>
        <v>3573.9743839687717</v>
      </c>
      <c r="J103" s="459">
        <f t="shared" si="35"/>
        <v>3642.1315134615897</v>
      </c>
      <c r="K103" s="459">
        <f t="shared" si="35"/>
        <v>3659.6230015728288</v>
      </c>
      <c r="L103" s="459">
        <f t="shared" si="35"/>
        <v>3643.2764743982466</v>
      </c>
    </row>
    <row r="104" spans="2:12">
      <c r="B104" s="326" t="s">
        <v>797</v>
      </c>
      <c r="C104" s="459">
        <f t="shared" ref="C104:L104" si="36">C76*C$98</f>
        <v>8231.8459106222508</v>
      </c>
      <c r="D104" s="459">
        <f t="shared" si="36"/>
        <v>7818.6298667525107</v>
      </c>
      <c r="E104" s="459">
        <f t="shared" si="36"/>
        <v>7865.8138177314004</v>
      </c>
      <c r="F104" s="459">
        <f t="shared" si="36"/>
        <v>7794.1211155926603</v>
      </c>
      <c r="G104" s="459">
        <f t="shared" si="36"/>
        <v>7688.8634446704673</v>
      </c>
      <c r="H104" s="459">
        <f t="shared" si="36"/>
        <v>7615.7729049326808</v>
      </c>
      <c r="I104" s="459">
        <f t="shared" si="36"/>
        <v>7799.940261219168</v>
      </c>
      <c r="J104" s="459">
        <f t="shared" si="36"/>
        <v>7948.6882603108161</v>
      </c>
      <c r="K104" s="459">
        <f t="shared" si="36"/>
        <v>7986.8621663576705</v>
      </c>
      <c r="L104" s="459">
        <f t="shared" si="36"/>
        <v>7951.1870546355349</v>
      </c>
    </row>
    <row r="105" spans="2:12">
      <c r="B105" s="326" t="s">
        <v>798</v>
      </c>
      <c r="C105" s="459">
        <f t="shared" ref="C105:L105" si="37">C87*C$98</f>
        <v>12867.743665953705</v>
      </c>
      <c r="D105" s="459">
        <f t="shared" si="37"/>
        <v>12221.818294061828</v>
      </c>
      <c r="E105" s="459">
        <f t="shared" si="37"/>
        <v>12295.574653563142</v>
      </c>
      <c r="F105" s="459">
        <f t="shared" si="37"/>
        <v>12183.507041528463</v>
      </c>
      <c r="G105" s="459">
        <f t="shared" si="37"/>
        <v>12018.971803258957</v>
      </c>
      <c r="H105" s="459">
        <f t="shared" si="37"/>
        <v>11904.719138672705</v>
      </c>
      <c r="I105" s="459">
        <f t="shared" si="37"/>
        <v>12192.603333549689</v>
      </c>
      <c r="J105" s="459">
        <f t="shared" si="37"/>
        <v>12425.121184821051</v>
      </c>
      <c r="K105" s="459">
        <f t="shared" si="37"/>
        <v>12484.793346213828</v>
      </c>
      <c r="L105" s="459">
        <f t="shared" si="37"/>
        <v>12429.027215763994</v>
      </c>
    </row>
    <row r="106" spans="2:12">
      <c r="B106" s="326" t="s">
        <v>8</v>
      </c>
      <c r="C106" s="459">
        <f>SUM(C103:C105)</f>
        <v>24871.46544126924</v>
      </c>
      <c r="D106" s="459">
        <f t="shared" ref="D106:L106" si="38">SUM(D103:D105)</f>
        <v>23622.986222091611</v>
      </c>
      <c r="E106" s="459">
        <f t="shared" si="38"/>
        <v>23765.546471505375</v>
      </c>
      <c r="F106" s="459">
        <f t="shared" si="38"/>
        <v>23548.936177411557</v>
      </c>
      <c r="G106" s="459">
        <f t="shared" si="38"/>
        <v>23230.913639915841</v>
      </c>
      <c r="H106" s="459">
        <f t="shared" si="38"/>
        <v>23010.079959000323</v>
      </c>
      <c r="I106" s="459">
        <f t="shared" si="38"/>
        <v>23566.517978737626</v>
      </c>
      <c r="J106" s="459">
        <f t="shared" si="38"/>
        <v>24015.940958593455</v>
      </c>
      <c r="K106" s="459">
        <f t="shared" si="38"/>
        <v>24131.278514144327</v>
      </c>
      <c r="L106" s="459">
        <f t="shared" si="38"/>
        <v>24023.490744797775</v>
      </c>
    </row>
    <row r="109" spans="2:12">
      <c r="B109" s="701" t="s">
        <v>725</v>
      </c>
      <c r="C109" s="699"/>
      <c r="D109" s="699"/>
      <c r="E109" s="699"/>
      <c r="F109" s="699"/>
      <c r="G109" s="699"/>
      <c r="H109" s="699"/>
      <c r="I109" s="699"/>
    </row>
    <row r="110" spans="2:12">
      <c r="B110" s="700"/>
      <c r="I110" s="699"/>
    </row>
    <row r="111" spans="2:12">
      <c r="B111" s="700" t="s">
        <v>1628</v>
      </c>
      <c r="C111" s="700">
        <f>C106</f>
        <v>24871.46544126924</v>
      </c>
      <c r="D111" s="700">
        <f t="shared" ref="D111:L111" si="39">D106</f>
        <v>23622.986222091611</v>
      </c>
      <c r="E111" s="700">
        <f t="shared" si="39"/>
        <v>23765.546471505375</v>
      </c>
      <c r="F111" s="700">
        <f t="shared" si="39"/>
        <v>23548.936177411557</v>
      </c>
      <c r="G111" s="700">
        <f t="shared" si="39"/>
        <v>23230.913639915841</v>
      </c>
      <c r="H111" s="700">
        <f t="shared" si="39"/>
        <v>23010.079959000323</v>
      </c>
      <c r="I111" s="700">
        <f t="shared" si="39"/>
        <v>23566.517978737626</v>
      </c>
      <c r="J111" s="700">
        <f t="shared" si="39"/>
        <v>24015.940958593455</v>
      </c>
      <c r="K111" s="700">
        <f t="shared" si="39"/>
        <v>24131.278514144327</v>
      </c>
      <c r="L111" s="700">
        <f t="shared" si="39"/>
        <v>24023.490744797775</v>
      </c>
    </row>
    <row r="112" spans="2:12">
      <c r="B112" s="700" t="s">
        <v>804</v>
      </c>
      <c r="C112" s="700">
        <f t="shared" ref="C112:L112" si="40">((C67+C78+C89)/100)*C111</f>
        <v>4473.1184146735586</v>
      </c>
      <c r="D112" s="700">
        <f t="shared" si="40"/>
        <v>4248.5801622401414</v>
      </c>
      <c r="E112" s="700">
        <f t="shared" si="40"/>
        <v>4274.2195391541791</v>
      </c>
      <c r="F112" s="700">
        <f t="shared" si="40"/>
        <v>4235.2623053069456</v>
      </c>
      <c r="G112" s="700">
        <f t="shared" si="40"/>
        <v>4178.0661391979374</v>
      </c>
      <c r="H112" s="700">
        <f t="shared" si="40"/>
        <v>4138.3493317176562</v>
      </c>
      <c r="I112" s="700">
        <f t="shared" si="40"/>
        <v>4238.4243819228359</v>
      </c>
      <c r="J112" s="700">
        <f t="shared" si="40"/>
        <v>4319.2528402184562</v>
      </c>
      <c r="K112" s="700">
        <f t="shared" si="40"/>
        <v>4339.9962316706533</v>
      </c>
      <c r="L112" s="700">
        <f t="shared" si="40"/>
        <v>4320.6106648218001</v>
      </c>
    </row>
    <row r="113" spans="1:12">
      <c r="B113" s="700" t="s">
        <v>805</v>
      </c>
      <c r="C113" s="700">
        <f t="shared" ref="C113:L113" si="41">((C66+C77+C88)/100)*C111</f>
        <v>20398.347026595678</v>
      </c>
      <c r="D113" s="700">
        <f t="shared" si="41"/>
        <v>19374.406059851466</v>
      </c>
      <c r="E113" s="700">
        <f t="shared" si="41"/>
        <v>19491.326932351192</v>
      </c>
      <c r="F113" s="700">
        <f t="shared" si="41"/>
        <v>19313.673872104609</v>
      </c>
      <c r="G113" s="700">
        <f t="shared" si="41"/>
        <v>19052.8475007179</v>
      </c>
      <c r="H113" s="700">
        <f t="shared" si="41"/>
        <v>18871.730627282664</v>
      </c>
      <c r="I113" s="700">
        <f t="shared" si="41"/>
        <v>19328.093596814786</v>
      </c>
      <c r="J113" s="700">
        <f t="shared" si="41"/>
        <v>19696.688118374997</v>
      </c>
      <c r="K113" s="700">
        <f t="shared" si="41"/>
        <v>19791.282282473672</v>
      </c>
      <c r="L113" s="700">
        <f t="shared" si="41"/>
        <v>19702.88007997597</v>
      </c>
    </row>
    <row r="114" spans="1:12">
      <c r="B114" s="700" t="s">
        <v>799</v>
      </c>
      <c r="C114" s="700">
        <f>C112*$C$39</f>
        <v>2567.5699700226223</v>
      </c>
      <c r="D114" s="700">
        <f t="shared" ref="D114:L114" si="42">D112*$C$39</f>
        <v>2438.6850131258411</v>
      </c>
      <c r="E114" s="700">
        <f t="shared" si="42"/>
        <v>2453.4020154744985</v>
      </c>
      <c r="F114" s="700">
        <f t="shared" si="42"/>
        <v>2431.0405632461866</v>
      </c>
      <c r="G114" s="700">
        <f t="shared" si="42"/>
        <v>2398.209963899616</v>
      </c>
      <c r="H114" s="700">
        <f t="shared" si="42"/>
        <v>2375.4125164059346</v>
      </c>
      <c r="I114" s="700">
        <f t="shared" si="42"/>
        <v>2432.8555952237075</v>
      </c>
      <c r="J114" s="700">
        <f t="shared" si="42"/>
        <v>2479.2511302853936</v>
      </c>
      <c r="K114" s="700">
        <f t="shared" si="42"/>
        <v>2491.1578369789549</v>
      </c>
      <c r="L114" s="700">
        <f t="shared" si="42"/>
        <v>2480.0305216077131</v>
      </c>
    </row>
    <row r="115" spans="1:12">
      <c r="B115" s="700" t="s">
        <v>800</v>
      </c>
      <c r="C115" s="700">
        <f>C113</f>
        <v>20398.347026595678</v>
      </c>
      <c r="D115" s="700">
        <f t="shared" ref="D115:L115" si="43">D113</f>
        <v>19374.406059851466</v>
      </c>
      <c r="E115" s="700">
        <f t="shared" si="43"/>
        <v>19491.326932351192</v>
      </c>
      <c r="F115" s="700">
        <f t="shared" si="43"/>
        <v>19313.673872104609</v>
      </c>
      <c r="G115" s="700">
        <f t="shared" si="43"/>
        <v>19052.8475007179</v>
      </c>
      <c r="H115" s="700">
        <f t="shared" si="43"/>
        <v>18871.730627282664</v>
      </c>
      <c r="I115" s="700">
        <f t="shared" si="43"/>
        <v>19328.093596814786</v>
      </c>
      <c r="J115" s="700">
        <f t="shared" si="43"/>
        <v>19696.688118374997</v>
      </c>
      <c r="K115" s="700">
        <f t="shared" si="43"/>
        <v>19791.282282473672</v>
      </c>
      <c r="L115" s="700">
        <f t="shared" si="43"/>
        <v>19702.88007997597</v>
      </c>
    </row>
    <row r="116" spans="1:12">
      <c r="B116" s="700" t="s">
        <v>724</v>
      </c>
      <c r="C116" s="700">
        <f>C115+C114</f>
        <v>22965.9169966183</v>
      </c>
      <c r="D116" s="700">
        <f t="shared" ref="D116:L116" si="44">D115+D114</f>
        <v>21813.091072977306</v>
      </c>
      <c r="E116" s="700">
        <f t="shared" si="44"/>
        <v>21944.72894782569</v>
      </c>
      <c r="F116" s="700">
        <f t="shared" si="44"/>
        <v>21744.714435350797</v>
      </c>
      <c r="G116" s="700">
        <f t="shared" si="44"/>
        <v>21451.057464617516</v>
      </c>
      <c r="H116" s="700">
        <f t="shared" si="44"/>
        <v>21247.143143688598</v>
      </c>
      <c r="I116" s="700">
        <f t="shared" si="44"/>
        <v>21760.949192038493</v>
      </c>
      <c r="J116" s="700">
        <f t="shared" si="44"/>
        <v>22175.93924866039</v>
      </c>
      <c r="K116" s="700">
        <f t="shared" si="44"/>
        <v>22282.440119452629</v>
      </c>
      <c r="L116" s="700">
        <f t="shared" si="44"/>
        <v>22182.910601583684</v>
      </c>
    </row>
    <row r="117" spans="1:12">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sheetData>
  <mergeCells count="4">
    <mergeCell ref="A5:M5"/>
    <mergeCell ref="J50:J52"/>
    <mergeCell ref="B46:L47"/>
    <mergeCell ref="D17:L18"/>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94"/>
  <sheetViews>
    <sheetView showGridLines="0" workbookViewId="0"/>
  </sheetViews>
  <sheetFormatPr defaultRowHeight="12.75"/>
  <cols>
    <col min="2" max="2" width="40.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6.45" customHeight="1">
      <c r="A5" s="1100" t="s">
        <v>1710</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SUM(A11:A1827)</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OUTPUTS_FOR_SECTION_2_OF_MODEL!B65</f>
        <v>Art &amp; Design</v>
      </c>
      <c r="C15" s="307">
        <f>OUTPUTS_FOR_SECTION_2_OF_MODEL!E65</f>
        <v>817.25785947076361</v>
      </c>
      <c r="D15" s="307">
        <f>OUTPUTS_FOR_SECTION_2_OF_MODEL!F65</f>
        <v>821.31614638925009</v>
      </c>
      <c r="E15" s="307">
        <f>OUTPUTS_FOR_SECTION_2_OF_MODEL!G65</f>
        <v>922.91788492748583</v>
      </c>
      <c r="F15" s="307">
        <f>OUTPUTS_FOR_SECTION_2_OF_MODEL!H65</f>
        <v>941.38089751993812</v>
      </c>
      <c r="G15" s="307">
        <f>OUTPUTS_FOR_SECTION_2_OF_MODEL!I65</f>
        <v>948.22222537427285</v>
      </c>
      <c r="H15" s="307">
        <f>OUTPUTS_FOR_SECTION_2_OF_MODEL!J65</f>
        <v>962.85061924353772</v>
      </c>
      <c r="I15" s="307">
        <f>OUTPUTS_FOR_SECTION_2_OF_MODEL!K65</f>
        <v>926.77228411941587</v>
      </c>
      <c r="J15" s="307">
        <f>OUTPUTS_FOR_SECTION_2_OF_MODEL!L65</f>
        <v>890.58828211018431</v>
      </c>
      <c r="K15" s="307">
        <f>OUTPUTS_FOR_SECTION_2_OF_MODEL!M65</f>
        <v>872.01931104115033</v>
      </c>
      <c r="L15" s="307">
        <f>OUTPUTS_FOR_SECTION_2_OF_MODEL!N65</f>
        <v>891.42260405371076</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760.86706716728099</v>
      </c>
      <c r="D44" s="459">
        <f t="shared" si="4"/>
        <v>764.64533228839184</v>
      </c>
      <c r="E44" s="459">
        <f t="shared" si="4"/>
        <v>859.23655086748931</v>
      </c>
      <c r="F44" s="459">
        <f t="shared" si="4"/>
        <v>876.42561559106241</v>
      </c>
      <c r="G44" s="459">
        <f t="shared" si="4"/>
        <v>882.7948918234481</v>
      </c>
      <c r="H44" s="459">
        <f t="shared" si="4"/>
        <v>896.41392651573369</v>
      </c>
      <c r="I44" s="459">
        <f t="shared" si="4"/>
        <v>862.82499651517617</v>
      </c>
      <c r="J44" s="459">
        <f t="shared" si="4"/>
        <v>829.13769064458165</v>
      </c>
      <c r="K44" s="459">
        <f t="shared" si="4"/>
        <v>811.84997857931103</v>
      </c>
      <c r="L44" s="459">
        <f t="shared" si="4"/>
        <v>829.9144443740048</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8.050878977116005</v>
      </c>
      <c r="D57" s="459">
        <f t="shared" ref="D57:L57" si="7">D44/$J$50</f>
        <v>8.0908575181071001</v>
      </c>
      <c r="E57" s="459">
        <f t="shared" si="7"/>
        <v>9.0917451710758037</v>
      </c>
      <c r="F57" s="459">
        <f t="shared" si="7"/>
        <v>9.2736259302661281</v>
      </c>
      <c r="G57" s="459">
        <f t="shared" si="7"/>
        <v>9.3410204520314988</v>
      </c>
      <c r="H57" s="459">
        <f t="shared" si="7"/>
        <v>9.4851260452738853</v>
      </c>
      <c r="I57" s="459">
        <f t="shared" si="7"/>
        <v>9.1297151961592178</v>
      </c>
      <c r="J57" s="459">
        <f t="shared" si="7"/>
        <v>8.7732634132755489</v>
      </c>
      <c r="K57" s="459">
        <f t="shared" si="7"/>
        <v>8.5903388478230109</v>
      </c>
      <c r="L57" s="459">
        <f t="shared" si="7"/>
        <v>8.7814823920439302</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4">
        <f>100*C64</f>
        <v>14.75901426249032</v>
      </c>
      <c r="D65" s="694">
        <f t="shared" ref="D65:L65" si="10">100*D64</f>
        <v>14.75901426249032</v>
      </c>
      <c r="E65" s="694">
        <f t="shared" si="10"/>
        <v>14.75901426249032</v>
      </c>
      <c r="F65" s="694">
        <f t="shared" si="10"/>
        <v>14.75901426249032</v>
      </c>
      <c r="G65" s="694">
        <f t="shared" si="10"/>
        <v>14.75901426249032</v>
      </c>
      <c r="H65" s="694">
        <f t="shared" si="10"/>
        <v>14.75901426249032</v>
      </c>
      <c r="I65" s="694">
        <f t="shared" si="10"/>
        <v>14.75901426249032</v>
      </c>
      <c r="J65" s="694">
        <f t="shared" si="10"/>
        <v>14.75901426249032</v>
      </c>
      <c r="K65" s="694">
        <f t="shared" si="10"/>
        <v>14.75901426249032</v>
      </c>
      <c r="L65" s="694">
        <f t="shared" si="10"/>
        <v>14.75901426249032</v>
      </c>
    </row>
    <row r="66" spans="1:12">
      <c r="A66" s="309"/>
      <c r="B66" s="338" t="s">
        <v>1625</v>
      </c>
      <c r="C66" s="694">
        <f>C65-C67</f>
        <v>12.607467049871705</v>
      </c>
      <c r="D66" s="694">
        <f t="shared" ref="D66:L66" si="11">D65-D67</f>
        <v>12.607467049871705</v>
      </c>
      <c r="E66" s="694">
        <f t="shared" si="11"/>
        <v>12.607467049871705</v>
      </c>
      <c r="F66" s="694">
        <f t="shared" si="11"/>
        <v>12.607467049871705</v>
      </c>
      <c r="G66" s="694">
        <f t="shared" si="11"/>
        <v>12.607467049871705</v>
      </c>
      <c r="H66" s="694">
        <f t="shared" si="11"/>
        <v>12.607467049871705</v>
      </c>
      <c r="I66" s="694">
        <f t="shared" si="11"/>
        <v>12.607467049871705</v>
      </c>
      <c r="J66" s="694">
        <f t="shared" si="11"/>
        <v>12.607467049871705</v>
      </c>
      <c r="K66" s="694">
        <f t="shared" si="11"/>
        <v>12.607467049871705</v>
      </c>
      <c r="L66" s="694">
        <f t="shared" si="11"/>
        <v>12.607467049871705</v>
      </c>
    </row>
    <row r="67" spans="1:12" ht="25.5">
      <c r="A67" s="309"/>
      <c r="B67" s="338" t="s">
        <v>1626</v>
      </c>
      <c r="C67" s="694">
        <f>C65*$C$33</f>
        <v>2.1515472126186146</v>
      </c>
      <c r="D67" s="694">
        <f t="shared" ref="D67:L67" si="12">D65*$C$33</f>
        <v>2.1515472126186146</v>
      </c>
      <c r="E67" s="694">
        <f t="shared" si="12"/>
        <v>2.1515472126186146</v>
      </c>
      <c r="F67" s="694">
        <f t="shared" si="12"/>
        <v>2.1515472126186146</v>
      </c>
      <c r="G67" s="694">
        <f t="shared" si="12"/>
        <v>2.1515472126186146</v>
      </c>
      <c r="H67" s="694">
        <f t="shared" si="12"/>
        <v>2.1515472126186146</v>
      </c>
      <c r="I67" s="694">
        <f t="shared" si="12"/>
        <v>2.1515472126186146</v>
      </c>
      <c r="J67" s="694">
        <f t="shared" si="12"/>
        <v>2.1515472126186146</v>
      </c>
      <c r="K67" s="694">
        <f t="shared" si="12"/>
        <v>2.1515472126186146</v>
      </c>
      <c r="L67" s="694">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4">
        <f>100*C75</f>
        <v>35.016108614476828</v>
      </c>
      <c r="D76" s="694">
        <f t="shared" ref="D76:L76" si="18">100*D75</f>
        <v>35.016108614476828</v>
      </c>
      <c r="E76" s="694">
        <f t="shared" si="18"/>
        <v>35.016108614476828</v>
      </c>
      <c r="F76" s="694">
        <f t="shared" si="18"/>
        <v>35.016108614476828</v>
      </c>
      <c r="G76" s="694">
        <f t="shared" si="18"/>
        <v>35.016108614476828</v>
      </c>
      <c r="H76" s="694">
        <f t="shared" si="18"/>
        <v>35.016108614476828</v>
      </c>
      <c r="I76" s="694">
        <f t="shared" si="18"/>
        <v>35.016108614476828</v>
      </c>
      <c r="J76" s="694">
        <f t="shared" si="18"/>
        <v>35.016108614476828</v>
      </c>
      <c r="K76" s="694">
        <f t="shared" si="18"/>
        <v>35.016108614476828</v>
      </c>
      <c r="L76" s="694">
        <f t="shared" si="18"/>
        <v>35.016108614476828</v>
      </c>
    </row>
    <row r="77" spans="1:12">
      <c r="A77" s="309"/>
      <c r="B77" s="338" t="s">
        <v>1625</v>
      </c>
      <c r="C77" s="694">
        <f>C76-C78</f>
        <v>24.730790582699242</v>
      </c>
      <c r="D77" s="694">
        <f t="shared" ref="D77:L77" si="19">D76-D78</f>
        <v>24.730790582699242</v>
      </c>
      <c r="E77" s="694">
        <f t="shared" si="19"/>
        <v>24.730790582699242</v>
      </c>
      <c r="F77" s="694">
        <f t="shared" si="19"/>
        <v>24.730790582699242</v>
      </c>
      <c r="G77" s="694">
        <f t="shared" si="19"/>
        <v>24.730790582699242</v>
      </c>
      <c r="H77" s="694">
        <f t="shared" si="19"/>
        <v>24.730790582699242</v>
      </c>
      <c r="I77" s="694">
        <f t="shared" si="19"/>
        <v>24.730790582699242</v>
      </c>
      <c r="J77" s="694">
        <f t="shared" si="19"/>
        <v>24.730790582699242</v>
      </c>
      <c r="K77" s="694">
        <f t="shared" si="19"/>
        <v>24.730790582699242</v>
      </c>
      <c r="L77" s="694">
        <f t="shared" si="19"/>
        <v>24.730790582699242</v>
      </c>
    </row>
    <row r="78" spans="1:12" ht="25.5">
      <c r="A78" s="309"/>
      <c r="B78" s="338" t="s">
        <v>1626</v>
      </c>
      <c r="C78" s="694">
        <f>C76*$C$34</f>
        <v>10.285318031777583</v>
      </c>
      <c r="D78" s="694">
        <f t="shared" ref="D78:L78" si="20">D76*$C$34</f>
        <v>10.285318031777583</v>
      </c>
      <c r="E78" s="694">
        <f t="shared" si="20"/>
        <v>10.285318031777583</v>
      </c>
      <c r="F78" s="694">
        <f t="shared" si="20"/>
        <v>10.285318031777583</v>
      </c>
      <c r="G78" s="694">
        <f t="shared" si="20"/>
        <v>10.285318031777583</v>
      </c>
      <c r="H78" s="694">
        <f t="shared" si="20"/>
        <v>10.285318031777583</v>
      </c>
      <c r="I78" s="694">
        <f t="shared" si="20"/>
        <v>10.285318031777583</v>
      </c>
      <c r="J78" s="694">
        <f t="shared" si="20"/>
        <v>10.285318031777583</v>
      </c>
      <c r="K78" s="694">
        <f t="shared" si="20"/>
        <v>10.285318031777583</v>
      </c>
      <c r="L78" s="694">
        <f t="shared" si="20"/>
        <v>10.285318031777583</v>
      </c>
    </row>
    <row r="79" spans="1:12">
      <c r="A79" s="309"/>
      <c r="B79" s="669" t="s">
        <v>729</v>
      </c>
      <c r="C79" s="694">
        <f>C77</f>
        <v>24.730790582699242</v>
      </c>
      <c r="D79" s="694">
        <f t="shared" ref="D79:L79" si="21">D77</f>
        <v>24.730790582699242</v>
      </c>
      <c r="E79" s="694">
        <f t="shared" si="21"/>
        <v>24.730790582699242</v>
      </c>
      <c r="F79" s="694">
        <f t="shared" si="21"/>
        <v>24.730790582699242</v>
      </c>
      <c r="G79" s="694">
        <f t="shared" si="21"/>
        <v>24.730790582699242</v>
      </c>
      <c r="H79" s="694">
        <f t="shared" si="21"/>
        <v>24.730790582699242</v>
      </c>
      <c r="I79" s="694">
        <f t="shared" si="21"/>
        <v>24.730790582699242</v>
      </c>
      <c r="J79" s="694">
        <f t="shared" si="21"/>
        <v>24.730790582699242</v>
      </c>
      <c r="K79" s="694">
        <f t="shared" si="21"/>
        <v>24.730790582699242</v>
      </c>
      <c r="L79" s="694">
        <f t="shared" si="21"/>
        <v>24.730790582699242</v>
      </c>
    </row>
    <row r="80" spans="1:12">
      <c r="A80" s="309"/>
      <c r="B80" s="669" t="s">
        <v>728</v>
      </c>
      <c r="C80" s="694">
        <f>C78*$C$39</f>
        <v>6.3563265436385468</v>
      </c>
      <c r="D80" s="694">
        <f t="shared" ref="D80:L80" si="22">D78*$C$39</f>
        <v>6.3563265436385468</v>
      </c>
      <c r="E80" s="694">
        <f t="shared" si="22"/>
        <v>6.3563265436385468</v>
      </c>
      <c r="F80" s="694">
        <f t="shared" si="22"/>
        <v>6.3563265436385468</v>
      </c>
      <c r="G80" s="694">
        <f t="shared" si="22"/>
        <v>6.3563265436385468</v>
      </c>
      <c r="H80" s="694">
        <f t="shared" si="22"/>
        <v>6.3563265436385468</v>
      </c>
      <c r="I80" s="694">
        <f t="shared" si="22"/>
        <v>6.3563265436385468</v>
      </c>
      <c r="J80" s="694">
        <f t="shared" si="22"/>
        <v>6.3563265436385468</v>
      </c>
      <c r="K80" s="694">
        <f t="shared" si="22"/>
        <v>6.3563265436385468</v>
      </c>
      <c r="L80" s="694">
        <f t="shared" si="22"/>
        <v>6.3563265436385468</v>
      </c>
    </row>
    <row r="81" spans="1:12">
      <c r="A81" s="309"/>
      <c r="B81" s="669" t="s">
        <v>727</v>
      </c>
      <c r="C81" s="694">
        <f>C79+C80</f>
        <v>31.087117126337787</v>
      </c>
      <c r="D81" s="694">
        <f t="shared" ref="D81:L81" si="23">D79+D80</f>
        <v>31.087117126337787</v>
      </c>
      <c r="E81" s="694">
        <f t="shared" si="23"/>
        <v>31.087117126337787</v>
      </c>
      <c r="F81" s="694">
        <f t="shared" si="23"/>
        <v>31.087117126337787</v>
      </c>
      <c r="G81" s="694">
        <f t="shared" si="23"/>
        <v>31.087117126337787</v>
      </c>
      <c r="H81" s="694">
        <f t="shared" si="23"/>
        <v>31.087117126337787</v>
      </c>
      <c r="I81" s="694">
        <f t="shared" si="23"/>
        <v>31.087117126337787</v>
      </c>
      <c r="J81" s="694">
        <f t="shared" si="23"/>
        <v>31.087117126337787</v>
      </c>
      <c r="K81" s="694">
        <f t="shared" si="23"/>
        <v>31.087117126337787</v>
      </c>
      <c r="L81" s="694">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4">
        <f>100*C86</f>
        <v>50.224877123032854</v>
      </c>
      <c r="D87" s="694">
        <f t="shared" ref="D87:L87" si="26">100*D86</f>
        <v>50.224877123032854</v>
      </c>
      <c r="E87" s="694">
        <f t="shared" si="26"/>
        <v>50.224877123032854</v>
      </c>
      <c r="F87" s="694">
        <f t="shared" si="26"/>
        <v>50.224877123032854</v>
      </c>
      <c r="G87" s="694">
        <f t="shared" si="26"/>
        <v>50.224877123032854</v>
      </c>
      <c r="H87" s="694">
        <f t="shared" si="26"/>
        <v>50.224877123032854</v>
      </c>
      <c r="I87" s="694">
        <f t="shared" si="26"/>
        <v>50.224877123032854</v>
      </c>
      <c r="J87" s="694">
        <f t="shared" si="26"/>
        <v>50.224877123032854</v>
      </c>
      <c r="K87" s="694">
        <f t="shared" si="26"/>
        <v>50.224877123032854</v>
      </c>
      <c r="L87" s="694">
        <f t="shared" si="26"/>
        <v>50.224877123032854</v>
      </c>
    </row>
    <row r="88" spans="1:12">
      <c r="A88" s="309"/>
      <c r="B88" s="338" t="s">
        <v>1625</v>
      </c>
      <c r="C88" s="694">
        <f>C87-C89</f>
        <v>48.283022126757622</v>
      </c>
      <c r="D88" s="694">
        <f t="shared" ref="D88:L88" si="27">D87-D89</f>
        <v>48.283022126757622</v>
      </c>
      <c r="E88" s="694">
        <f t="shared" si="27"/>
        <v>48.283022126757622</v>
      </c>
      <c r="F88" s="694">
        <f t="shared" si="27"/>
        <v>48.283022126757622</v>
      </c>
      <c r="G88" s="694">
        <f t="shared" si="27"/>
        <v>48.283022126757622</v>
      </c>
      <c r="H88" s="694">
        <f t="shared" si="27"/>
        <v>48.283022126757622</v>
      </c>
      <c r="I88" s="694">
        <f t="shared" si="27"/>
        <v>48.283022126757622</v>
      </c>
      <c r="J88" s="694">
        <f t="shared" si="27"/>
        <v>48.283022126757622</v>
      </c>
      <c r="K88" s="694">
        <f t="shared" si="27"/>
        <v>48.283022126757622</v>
      </c>
      <c r="L88" s="694">
        <f t="shared" si="27"/>
        <v>48.283022126757622</v>
      </c>
    </row>
    <row r="89" spans="1:12" ht="25.5">
      <c r="A89" s="309"/>
      <c r="B89" s="338" t="s">
        <v>1626</v>
      </c>
      <c r="C89" s="694">
        <f>C87*$C$35</f>
        <v>1.9418549962752341</v>
      </c>
      <c r="D89" s="694">
        <f t="shared" ref="D89:L89" si="28">D87*$C$35</f>
        <v>1.9418549962752341</v>
      </c>
      <c r="E89" s="694">
        <f t="shared" si="28"/>
        <v>1.9418549962752341</v>
      </c>
      <c r="F89" s="694">
        <f t="shared" si="28"/>
        <v>1.9418549962752341</v>
      </c>
      <c r="G89" s="694">
        <f t="shared" si="28"/>
        <v>1.9418549962752341</v>
      </c>
      <c r="H89" s="694">
        <f t="shared" si="28"/>
        <v>1.9418549962752341</v>
      </c>
      <c r="I89" s="694">
        <f t="shared" si="28"/>
        <v>1.9418549962752341</v>
      </c>
      <c r="J89" s="694">
        <f t="shared" si="28"/>
        <v>1.9418549962752341</v>
      </c>
      <c r="K89" s="694">
        <f t="shared" si="28"/>
        <v>1.9418549962752341</v>
      </c>
      <c r="L89" s="694">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4">
        <f>C89*$C$39</f>
        <v>1.2000663876980946</v>
      </c>
      <c r="D91" s="694">
        <f t="shared" ref="D91:L91" si="30">D89*$C$39</f>
        <v>1.2000663876980946</v>
      </c>
      <c r="E91" s="694">
        <f t="shared" si="30"/>
        <v>1.2000663876980946</v>
      </c>
      <c r="F91" s="694">
        <f t="shared" si="30"/>
        <v>1.2000663876980946</v>
      </c>
      <c r="G91" s="694">
        <f t="shared" si="30"/>
        <v>1.2000663876980946</v>
      </c>
      <c r="H91" s="694">
        <f t="shared" si="30"/>
        <v>1.2000663876980946</v>
      </c>
      <c r="I91" s="694">
        <f t="shared" si="30"/>
        <v>1.2000663876980946</v>
      </c>
      <c r="J91" s="694">
        <f t="shared" si="30"/>
        <v>1.2000663876980946</v>
      </c>
      <c r="K91" s="694">
        <f t="shared" si="30"/>
        <v>1.2000663876980946</v>
      </c>
      <c r="L91" s="694">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4">
        <f>C92+C81+C70</f>
        <v>94.50732886806351</v>
      </c>
      <c r="D94" s="694">
        <f t="shared" ref="D94:L94" si="32">D92+D81+D70</f>
        <v>94.50732886806351</v>
      </c>
      <c r="E94" s="694">
        <f t="shared" si="32"/>
        <v>94.50732886806351</v>
      </c>
      <c r="F94" s="694">
        <f t="shared" si="32"/>
        <v>94.50732886806351</v>
      </c>
      <c r="G94" s="694">
        <f t="shared" si="32"/>
        <v>94.50732886806351</v>
      </c>
      <c r="H94" s="694">
        <f t="shared" si="32"/>
        <v>94.50732886806351</v>
      </c>
      <c r="I94" s="694">
        <f t="shared" si="32"/>
        <v>94.50732886806351</v>
      </c>
      <c r="J94" s="694">
        <f t="shared" si="32"/>
        <v>94.50732886806351</v>
      </c>
      <c r="K94" s="694">
        <f t="shared" si="32"/>
        <v>94.50732886806351</v>
      </c>
      <c r="L94" s="694">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8.050878977116005</v>
      </c>
      <c r="D98" s="459">
        <f t="shared" ref="D98:L98" si="33">D57</f>
        <v>8.0908575181071001</v>
      </c>
      <c r="E98" s="459">
        <f t="shared" si="33"/>
        <v>9.0917451710758037</v>
      </c>
      <c r="F98" s="459">
        <f t="shared" si="33"/>
        <v>9.2736259302661281</v>
      </c>
      <c r="G98" s="459">
        <f t="shared" si="33"/>
        <v>9.3410204520314988</v>
      </c>
      <c r="H98" s="459">
        <f t="shared" si="33"/>
        <v>9.4851260452738853</v>
      </c>
      <c r="I98" s="459">
        <f t="shared" si="33"/>
        <v>9.1297151961592178</v>
      </c>
      <c r="J98" s="459">
        <f t="shared" si="33"/>
        <v>8.7732634132755489</v>
      </c>
      <c r="K98" s="459">
        <f t="shared" si="33"/>
        <v>8.5903388478230109</v>
      </c>
      <c r="L98" s="459">
        <f t="shared" si="33"/>
        <v>8.7814823920439302</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977</v>
      </c>
      <c r="C103" s="459">
        <f t="shared" ref="C103:L103" si="35">C65*C$98</f>
        <v>118.82303764883859</v>
      </c>
      <c r="D103" s="459">
        <f t="shared" si="35"/>
        <v>119.41308150551973</v>
      </c>
      <c r="E103" s="459">
        <f t="shared" si="35"/>
        <v>134.18519665083528</v>
      </c>
      <c r="F103" s="459">
        <f t="shared" si="35"/>
        <v>136.86957736979784</v>
      </c>
      <c r="G103" s="459">
        <f t="shared" si="35"/>
        <v>137.86425407774666</v>
      </c>
      <c r="H103" s="459">
        <f t="shared" si="35"/>
        <v>139.99111058371568</v>
      </c>
      <c r="I103" s="459">
        <f t="shared" si="35"/>
        <v>134.74559679258851</v>
      </c>
      <c r="J103" s="459">
        <f t="shared" si="35"/>
        <v>129.48471984511832</v>
      </c>
      <c r="K103" s="459">
        <f t="shared" si="35"/>
        <v>126.78493357464448</v>
      </c>
      <c r="L103" s="459">
        <f t="shared" si="35"/>
        <v>129.60602386998397</v>
      </c>
    </row>
    <row r="104" spans="1:12">
      <c r="A104" s="309"/>
      <c r="B104" s="326" t="s">
        <v>978</v>
      </c>
      <c r="C104" s="459">
        <f t="shared" ref="C104:L104" si="36">C76*C$98</f>
        <v>281.91045270470215</v>
      </c>
      <c r="D104" s="459">
        <f t="shared" si="36"/>
        <v>283.31034563829462</v>
      </c>
      <c r="E104" s="459">
        <f t="shared" si="36"/>
        <v>318.35753640553554</v>
      </c>
      <c r="F104" s="459">
        <f t="shared" si="36"/>
        <v>324.72629282422747</v>
      </c>
      <c r="G104" s="459">
        <f t="shared" si="36"/>
        <v>327.0861867183844</v>
      </c>
      <c r="H104" s="459">
        <f t="shared" si="36"/>
        <v>332.13220382331343</v>
      </c>
      <c r="I104" s="459">
        <f t="shared" si="36"/>
        <v>319.68709892795079</v>
      </c>
      <c r="J104" s="459">
        <f t="shared" si="36"/>
        <v>307.2055445826723</v>
      </c>
      <c r="K104" s="459">
        <f t="shared" si="36"/>
        <v>300.80023813053026</v>
      </c>
      <c r="L104" s="459">
        <f t="shared" si="36"/>
        <v>307.49334123592604</v>
      </c>
    </row>
    <row r="105" spans="1:12">
      <c r="A105" s="309"/>
      <c r="B105" s="326" t="s">
        <v>979</v>
      </c>
      <c r="C105" s="459">
        <f t="shared" ref="C105:L105" si="37">C87*C$98</f>
        <v>404.3544073580598</v>
      </c>
      <c r="D105" s="459">
        <f t="shared" si="37"/>
        <v>406.36232466689569</v>
      </c>
      <c r="E105" s="459">
        <f t="shared" si="37"/>
        <v>456.63178405120954</v>
      </c>
      <c r="F105" s="459">
        <f t="shared" si="37"/>
        <v>465.7667228325875</v>
      </c>
      <c r="G105" s="459">
        <f t="shared" si="37"/>
        <v>469.15160440701885</v>
      </c>
      <c r="H105" s="459">
        <f t="shared" si="37"/>
        <v>476.38929012035948</v>
      </c>
      <c r="I105" s="459">
        <f t="shared" si="37"/>
        <v>458.53882389538251</v>
      </c>
      <c r="J105" s="459">
        <f t="shared" si="37"/>
        <v>440.63607689976425</v>
      </c>
      <c r="K105" s="459">
        <f t="shared" si="37"/>
        <v>431.44871307712634</v>
      </c>
      <c r="L105" s="459">
        <f t="shared" si="37"/>
        <v>441.048874098483</v>
      </c>
    </row>
    <row r="106" spans="1:12">
      <c r="A106" s="309"/>
      <c r="B106" s="326" t="s">
        <v>8</v>
      </c>
      <c r="C106" s="459">
        <f>SUM(C103:C105)</f>
        <v>805.08789771160059</v>
      </c>
      <c r="D106" s="459">
        <f t="shared" ref="D106:L106" si="38">SUM(D103:D105)</f>
        <v>809.08575181071001</v>
      </c>
      <c r="E106" s="459">
        <f t="shared" si="38"/>
        <v>909.17451710758041</v>
      </c>
      <c r="F106" s="459">
        <f t="shared" si="38"/>
        <v>927.36259302661279</v>
      </c>
      <c r="G106" s="459">
        <f t="shared" si="38"/>
        <v>934.10204520314983</v>
      </c>
      <c r="H106" s="459">
        <f t="shared" si="38"/>
        <v>948.51260452738859</v>
      </c>
      <c r="I106" s="459">
        <f t="shared" si="38"/>
        <v>912.97151961592181</v>
      </c>
      <c r="J106" s="459">
        <f t="shared" si="38"/>
        <v>877.32634132755493</v>
      </c>
      <c r="K106" s="459">
        <f t="shared" si="38"/>
        <v>859.03388478230113</v>
      </c>
      <c r="L106" s="459">
        <f t="shared" si="38"/>
        <v>878.14823920439301</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805.08789771160059</v>
      </c>
      <c r="D111" s="700">
        <f t="shared" ref="D111:L111" si="39">D106</f>
        <v>809.08575181071001</v>
      </c>
      <c r="E111" s="700">
        <f t="shared" si="39"/>
        <v>909.17451710758041</v>
      </c>
      <c r="F111" s="700">
        <f t="shared" si="39"/>
        <v>927.36259302661279</v>
      </c>
      <c r="G111" s="700">
        <f t="shared" si="39"/>
        <v>934.10204520314983</v>
      </c>
      <c r="H111" s="700">
        <f t="shared" si="39"/>
        <v>948.51260452738859</v>
      </c>
      <c r="I111" s="700">
        <f t="shared" si="39"/>
        <v>912.97151961592181</v>
      </c>
      <c r="J111" s="700">
        <f t="shared" si="39"/>
        <v>877.32634132755493</v>
      </c>
      <c r="K111" s="700">
        <f t="shared" si="39"/>
        <v>859.03388478230113</v>
      </c>
      <c r="L111" s="700">
        <f t="shared" si="39"/>
        <v>878.14823920439301</v>
      </c>
    </row>
    <row r="112" spans="1:12">
      <c r="A112" s="309"/>
      <c r="B112" s="700" t="s">
        <v>804</v>
      </c>
      <c r="C112" s="700">
        <f t="shared" ref="C112:L112" si="40">((C67+C78+C89)/100)*C111</f>
        <v>115.76133650345403</v>
      </c>
      <c r="D112" s="700">
        <f t="shared" si="40"/>
        <v>116.3361767599952</v>
      </c>
      <c r="E112" s="700">
        <f t="shared" si="40"/>
        <v>130.72766031437442</v>
      </c>
      <c r="F112" s="700">
        <f t="shared" si="40"/>
        <v>133.34287286793301</v>
      </c>
      <c r="G112" s="700">
        <f t="shared" si="40"/>
        <v>134.31191984215113</v>
      </c>
      <c r="H112" s="700">
        <f t="shared" si="40"/>
        <v>136.38397385249939</v>
      </c>
      <c r="I112" s="700">
        <f t="shared" si="40"/>
        <v>131.27362068258012</v>
      </c>
      <c r="J112" s="700">
        <f t="shared" si="40"/>
        <v>126.14830021720728</v>
      </c>
      <c r="K112" s="700">
        <f t="shared" si="40"/>
        <v>123.51807906541885</v>
      </c>
      <c r="L112" s="700">
        <f t="shared" si="40"/>
        <v>126.26647861358185</v>
      </c>
    </row>
    <row r="113" spans="1:12">
      <c r="A113" s="309"/>
      <c r="B113" s="700" t="s">
        <v>805</v>
      </c>
      <c r="C113" s="700">
        <f t="shared" ref="C113:L113" si="41">((C66+C77+C88)/100)*C111</f>
        <v>689.32656120814647</v>
      </c>
      <c r="D113" s="700">
        <f t="shared" si="41"/>
        <v>692.74957505071472</v>
      </c>
      <c r="E113" s="700">
        <f t="shared" si="41"/>
        <v>778.44685679320594</v>
      </c>
      <c r="F113" s="700">
        <f t="shared" si="41"/>
        <v>794.01972015867966</v>
      </c>
      <c r="G113" s="700">
        <f t="shared" si="41"/>
        <v>799.79012536099867</v>
      </c>
      <c r="H113" s="700">
        <f t="shared" si="41"/>
        <v>812.12863067488911</v>
      </c>
      <c r="I113" s="700">
        <f t="shared" si="41"/>
        <v>781.69789893334166</v>
      </c>
      <c r="J113" s="700">
        <f t="shared" si="41"/>
        <v>751.17804111034764</v>
      </c>
      <c r="K113" s="700">
        <f t="shared" si="41"/>
        <v>735.51580571688226</v>
      </c>
      <c r="L113" s="700">
        <f t="shared" si="41"/>
        <v>751.88176059081115</v>
      </c>
    </row>
    <row r="114" spans="1:12">
      <c r="A114" s="309"/>
      <c r="B114" s="700" t="s">
        <v>799</v>
      </c>
      <c r="C114" s="700">
        <f>C112*$C$39</f>
        <v>71.540505959134592</v>
      </c>
      <c r="D114" s="700">
        <f t="shared" ref="D114:L114" si="42">D112*$C$39</f>
        <v>71.895757237677032</v>
      </c>
      <c r="E114" s="700">
        <f t="shared" si="42"/>
        <v>80.789694074283389</v>
      </c>
      <c r="F114" s="700">
        <f t="shared" si="42"/>
        <v>82.405895432382593</v>
      </c>
      <c r="G114" s="700">
        <f t="shared" si="42"/>
        <v>83.004766462449396</v>
      </c>
      <c r="H114" s="700">
        <f t="shared" si="42"/>
        <v>84.285295840844626</v>
      </c>
      <c r="I114" s="700">
        <f t="shared" si="42"/>
        <v>81.127097581834505</v>
      </c>
      <c r="J114" s="700">
        <f t="shared" si="42"/>
        <v>77.959649534234103</v>
      </c>
      <c r="K114" s="700">
        <f t="shared" si="42"/>
        <v>76.334172862428844</v>
      </c>
      <c r="L114" s="700">
        <f t="shared" si="42"/>
        <v>78.03268378319359</v>
      </c>
    </row>
    <row r="115" spans="1:12">
      <c r="A115" s="309"/>
      <c r="B115" s="700" t="s">
        <v>800</v>
      </c>
      <c r="C115" s="700">
        <f>C113</f>
        <v>689.32656120814647</v>
      </c>
      <c r="D115" s="700">
        <f t="shared" ref="D115:L115" si="43">D113</f>
        <v>692.74957505071472</v>
      </c>
      <c r="E115" s="700">
        <f t="shared" si="43"/>
        <v>778.44685679320594</v>
      </c>
      <c r="F115" s="700">
        <f t="shared" si="43"/>
        <v>794.01972015867966</v>
      </c>
      <c r="G115" s="700">
        <f t="shared" si="43"/>
        <v>799.79012536099867</v>
      </c>
      <c r="H115" s="700">
        <f t="shared" si="43"/>
        <v>812.12863067488911</v>
      </c>
      <c r="I115" s="700">
        <f t="shared" si="43"/>
        <v>781.69789893334166</v>
      </c>
      <c r="J115" s="700">
        <f t="shared" si="43"/>
        <v>751.17804111034764</v>
      </c>
      <c r="K115" s="700">
        <f t="shared" si="43"/>
        <v>735.51580571688226</v>
      </c>
      <c r="L115" s="700">
        <f t="shared" si="43"/>
        <v>751.88176059081115</v>
      </c>
    </row>
    <row r="116" spans="1:12">
      <c r="A116" s="309"/>
      <c r="B116" s="700" t="s">
        <v>724</v>
      </c>
      <c r="C116" s="700">
        <f>C115+C114</f>
        <v>760.86706716728111</v>
      </c>
      <c r="D116" s="700">
        <f t="shared" ref="D116:L116" si="44">D115+D114</f>
        <v>764.64533228839173</v>
      </c>
      <c r="E116" s="700">
        <f t="shared" si="44"/>
        <v>859.23655086748931</v>
      </c>
      <c r="F116" s="700">
        <f t="shared" si="44"/>
        <v>876.4256155910623</v>
      </c>
      <c r="G116" s="700">
        <f t="shared" si="44"/>
        <v>882.7948918234481</v>
      </c>
      <c r="H116" s="700">
        <f t="shared" si="44"/>
        <v>896.41392651573369</v>
      </c>
      <c r="I116" s="700">
        <f t="shared" si="44"/>
        <v>862.82499651517617</v>
      </c>
      <c r="J116" s="700">
        <f t="shared" si="44"/>
        <v>829.13769064458177</v>
      </c>
      <c r="K116" s="700">
        <f t="shared" si="44"/>
        <v>811.84997857931114</v>
      </c>
      <c r="L116" s="700">
        <f t="shared" si="44"/>
        <v>829.91444437400469</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row r="133" spans="1:12">
      <c r="A133" s="309"/>
      <c r="B133" s="309"/>
      <c r="C133" s="309"/>
      <c r="D133" s="309"/>
      <c r="E133" s="309"/>
      <c r="F133" s="309"/>
      <c r="G133" s="309"/>
      <c r="H133" s="309"/>
      <c r="I133" s="309"/>
      <c r="J133" s="309"/>
      <c r="K133" s="309"/>
      <c r="L133" s="309"/>
    </row>
    <row r="134" spans="1:12">
      <c r="A134" s="309"/>
      <c r="B134" s="309"/>
      <c r="C134" s="309"/>
      <c r="D134" s="309"/>
      <c r="E134" s="309"/>
      <c r="F134" s="309"/>
      <c r="G134" s="309"/>
      <c r="H134" s="309"/>
      <c r="I134" s="309"/>
      <c r="J134" s="309"/>
      <c r="K134" s="309"/>
      <c r="L134" s="309"/>
    </row>
    <row r="135" spans="1:12">
      <c r="A135" s="309"/>
      <c r="B135" s="309"/>
      <c r="C135" s="309"/>
      <c r="D135" s="309"/>
      <c r="E135" s="309"/>
      <c r="F135" s="309"/>
      <c r="G135" s="309"/>
      <c r="H135" s="309"/>
      <c r="I135" s="309"/>
      <c r="J135" s="309"/>
      <c r="K135" s="309"/>
      <c r="L135" s="309"/>
    </row>
    <row r="136" spans="1:12">
      <c r="A136" s="309"/>
      <c r="B136" s="309"/>
      <c r="C136" s="309"/>
      <c r="D136" s="309"/>
      <c r="E136" s="309"/>
      <c r="F136" s="309"/>
      <c r="G136" s="309"/>
      <c r="H136" s="309"/>
      <c r="I136" s="309"/>
      <c r="J136" s="309"/>
      <c r="K136" s="309"/>
      <c r="L136" s="309"/>
    </row>
    <row r="137" spans="1:12">
      <c r="A137" s="309"/>
      <c r="B137" s="309"/>
      <c r="C137" s="309"/>
      <c r="D137" s="309"/>
      <c r="E137" s="309"/>
      <c r="F137" s="309"/>
      <c r="G137" s="309"/>
      <c r="H137" s="309"/>
      <c r="I137" s="309"/>
      <c r="J137" s="309"/>
      <c r="K137" s="309"/>
      <c r="L137" s="309"/>
    </row>
    <row r="138" spans="1:12">
      <c r="A138" s="309"/>
      <c r="B138" s="309"/>
      <c r="C138" s="309"/>
      <c r="D138" s="309"/>
      <c r="E138" s="309"/>
      <c r="F138" s="309"/>
      <c r="G138" s="309"/>
      <c r="H138" s="309"/>
      <c r="I138" s="309"/>
      <c r="J138" s="309"/>
      <c r="K138" s="309"/>
      <c r="L138" s="309"/>
    </row>
    <row r="139" spans="1:12">
      <c r="A139" s="309"/>
      <c r="B139" s="309"/>
      <c r="C139" s="309"/>
      <c r="D139" s="309"/>
      <c r="E139" s="309"/>
      <c r="F139" s="309"/>
      <c r="G139" s="309"/>
      <c r="H139" s="309"/>
      <c r="I139" s="309"/>
      <c r="J139" s="309"/>
      <c r="K139" s="309"/>
      <c r="L139" s="309"/>
    </row>
    <row r="140" spans="1:12">
      <c r="A140" s="309"/>
      <c r="B140" s="309"/>
      <c r="C140" s="309"/>
      <c r="D140" s="309"/>
      <c r="E140" s="309"/>
      <c r="F140" s="309"/>
      <c r="G140" s="309"/>
      <c r="H140" s="309"/>
      <c r="I140" s="309"/>
      <c r="J140" s="309"/>
      <c r="K140" s="309"/>
      <c r="L140" s="309"/>
    </row>
    <row r="141" spans="1:12">
      <c r="A141" s="309"/>
      <c r="B141" s="309"/>
      <c r="C141" s="309"/>
      <c r="D141" s="309"/>
      <c r="E141" s="309"/>
      <c r="F141" s="309"/>
      <c r="G141" s="309"/>
      <c r="H141" s="309"/>
      <c r="I141" s="309"/>
      <c r="J141" s="309"/>
      <c r="K141" s="309"/>
      <c r="L141" s="309"/>
    </row>
    <row r="142" spans="1:12">
      <c r="A142" s="309"/>
      <c r="B142" s="309"/>
      <c r="C142" s="309"/>
      <c r="D142" s="309"/>
      <c r="E142" s="309"/>
      <c r="F142" s="309"/>
      <c r="G142" s="309"/>
      <c r="H142" s="309"/>
      <c r="I142" s="309"/>
      <c r="J142" s="309"/>
      <c r="K142" s="309"/>
      <c r="L142" s="309"/>
    </row>
    <row r="143" spans="1:12">
      <c r="A143" s="309"/>
      <c r="B143" s="309"/>
      <c r="C143" s="309"/>
      <c r="D143" s="309"/>
      <c r="E143" s="309"/>
      <c r="F143" s="309"/>
      <c r="G143" s="309"/>
      <c r="H143" s="309"/>
      <c r="I143" s="309"/>
      <c r="J143" s="309"/>
      <c r="K143" s="309"/>
      <c r="L143" s="309"/>
    </row>
    <row r="144" spans="1:12">
      <c r="A144" s="309"/>
      <c r="B144" s="309"/>
      <c r="C144" s="309"/>
      <c r="D144" s="309"/>
      <c r="E144" s="309"/>
      <c r="F144" s="309"/>
      <c r="G144" s="309"/>
      <c r="H144" s="309"/>
      <c r="I144" s="309"/>
      <c r="J144" s="309"/>
      <c r="K144" s="309"/>
      <c r="L144" s="309"/>
    </row>
    <row r="145" spans="1:12">
      <c r="A145" s="309"/>
      <c r="B145" s="309"/>
      <c r="C145" s="309"/>
      <c r="D145" s="309"/>
      <c r="E145" s="309"/>
      <c r="F145" s="309"/>
      <c r="G145" s="309"/>
      <c r="H145" s="309"/>
      <c r="I145" s="309"/>
      <c r="J145" s="309"/>
      <c r="K145" s="309"/>
      <c r="L145" s="309"/>
    </row>
    <row r="146" spans="1:12">
      <c r="A146" s="309"/>
      <c r="B146" s="309"/>
      <c r="C146" s="309"/>
      <c r="D146" s="309"/>
      <c r="E146" s="309"/>
      <c r="F146" s="309"/>
      <c r="G146" s="309"/>
      <c r="H146" s="309"/>
      <c r="I146" s="309"/>
      <c r="J146" s="309"/>
      <c r="K146" s="309"/>
      <c r="L146" s="309"/>
    </row>
    <row r="147" spans="1:12">
      <c r="A147" s="309"/>
      <c r="B147" s="309"/>
      <c r="C147" s="309"/>
      <c r="D147" s="309"/>
      <c r="E147" s="309"/>
      <c r="F147" s="309"/>
      <c r="G147" s="309"/>
      <c r="H147" s="309"/>
      <c r="I147" s="309"/>
      <c r="J147" s="309"/>
      <c r="K147" s="309"/>
      <c r="L147" s="309"/>
    </row>
    <row r="148" spans="1:12">
      <c r="A148" s="309"/>
      <c r="B148" s="309"/>
      <c r="C148" s="309"/>
      <c r="D148" s="309"/>
      <c r="E148" s="309"/>
      <c r="F148" s="309"/>
      <c r="G148" s="309"/>
      <c r="H148" s="309"/>
      <c r="I148" s="309"/>
      <c r="J148" s="309"/>
      <c r="K148" s="309"/>
      <c r="L148" s="309"/>
    </row>
    <row r="149" spans="1:12">
      <c r="A149" s="309"/>
      <c r="B149" s="309"/>
      <c r="C149" s="309"/>
      <c r="D149" s="309"/>
      <c r="E149" s="309"/>
      <c r="F149" s="309"/>
      <c r="G149" s="309"/>
      <c r="H149" s="309"/>
      <c r="I149" s="309"/>
      <c r="J149" s="309"/>
      <c r="K149" s="309"/>
      <c r="L149" s="309"/>
    </row>
    <row r="150" spans="1:12">
      <c r="A150" s="309"/>
      <c r="B150" s="309"/>
      <c r="C150" s="309"/>
      <c r="D150" s="309"/>
      <c r="E150" s="309"/>
      <c r="F150" s="309"/>
      <c r="G150" s="309"/>
      <c r="H150" s="309"/>
      <c r="I150" s="309"/>
      <c r="J150" s="309"/>
      <c r="K150" s="309"/>
      <c r="L150" s="309"/>
    </row>
    <row r="151" spans="1:12">
      <c r="A151" s="309"/>
      <c r="B151" s="309"/>
      <c r="C151" s="309"/>
      <c r="D151" s="309"/>
      <c r="E151" s="309"/>
      <c r="F151" s="309"/>
      <c r="G151" s="309"/>
      <c r="H151" s="309"/>
      <c r="I151" s="309"/>
      <c r="J151" s="309"/>
      <c r="K151" s="309"/>
      <c r="L151" s="309"/>
    </row>
    <row r="152" spans="1:12">
      <c r="A152" s="309"/>
      <c r="B152" s="309"/>
      <c r="C152" s="309"/>
      <c r="D152" s="309"/>
      <c r="E152" s="309"/>
      <c r="F152" s="309"/>
      <c r="G152" s="309"/>
      <c r="H152" s="309"/>
      <c r="I152" s="309"/>
      <c r="J152" s="309"/>
      <c r="K152" s="309"/>
      <c r="L152" s="309"/>
    </row>
    <row r="153" spans="1:12">
      <c r="A153" s="309"/>
      <c r="B153" s="309"/>
      <c r="C153" s="309"/>
      <c r="D153" s="309"/>
      <c r="E153" s="309"/>
      <c r="F153" s="309"/>
      <c r="G153" s="309"/>
      <c r="H153" s="309"/>
      <c r="I153" s="309"/>
      <c r="J153" s="309"/>
      <c r="K153" s="309"/>
      <c r="L153" s="309"/>
    </row>
    <row r="154" spans="1:12">
      <c r="A154" s="309"/>
      <c r="B154" s="309"/>
      <c r="C154" s="309"/>
      <c r="D154" s="309"/>
      <c r="E154" s="309"/>
      <c r="F154" s="309"/>
      <c r="G154" s="309"/>
      <c r="H154" s="309"/>
      <c r="I154" s="309"/>
      <c r="J154" s="309"/>
      <c r="K154" s="309"/>
      <c r="L154" s="309"/>
    </row>
    <row r="155" spans="1:12">
      <c r="A155" s="309"/>
      <c r="B155" s="309"/>
      <c r="C155" s="309"/>
      <c r="D155" s="309"/>
      <c r="E155" s="309"/>
      <c r="F155" s="309"/>
      <c r="G155" s="309"/>
      <c r="H155" s="309"/>
      <c r="I155" s="309"/>
      <c r="J155" s="309"/>
      <c r="K155" s="309"/>
      <c r="L155" s="309"/>
    </row>
    <row r="156" spans="1:12">
      <c r="A156" s="309"/>
      <c r="B156" s="309"/>
      <c r="C156" s="309"/>
      <c r="D156" s="309"/>
      <c r="E156" s="309"/>
      <c r="F156" s="309"/>
      <c r="G156" s="309"/>
      <c r="H156" s="309"/>
      <c r="I156" s="309"/>
      <c r="J156" s="309"/>
      <c r="K156" s="309"/>
      <c r="L156" s="309"/>
    </row>
    <row r="157" spans="1:12">
      <c r="A157" s="309"/>
      <c r="B157" s="309"/>
      <c r="C157" s="309"/>
      <c r="D157" s="309"/>
      <c r="E157" s="309"/>
      <c r="F157" s="309"/>
      <c r="G157" s="309"/>
      <c r="H157" s="309"/>
      <c r="I157" s="309"/>
      <c r="J157" s="309"/>
      <c r="K157" s="309"/>
      <c r="L157" s="309"/>
    </row>
    <row r="158" spans="1:12">
      <c r="A158" s="309"/>
      <c r="B158" s="309"/>
      <c r="C158" s="309"/>
      <c r="D158" s="309"/>
      <c r="E158" s="309"/>
      <c r="F158" s="309"/>
      <c r="G158" s="309"/>
      <c r="H158" s="309"/>
      <c r="I158" s="309"/>
      <c r="J158" s="309"/>
      <c r="K158" s="309"/>
      <c r="L158" s="309"/>
    </row>
    <row r="159" spans="1:12">
      <c r="A159" s="309"/>
      <c r="B159" s="309"/>
      <c r="C159" s="309"/>
      <c r="D159" s="309"/>
      <c r="E159" s="309"/>
      <c r="F159" s="309"/>
      <c r="G159" s="309"/>
      <c r="H159" s="309"/>
      <c r="I159" s="309"/>
      <c r="J159" s="309"/>
      <c r="K159" s="309"/>
      <c r="L159" s="309"/>
    </row>
    <row r="160" spans="1:12">
      <c r="A160" s="309"/>
      <c r="B160" s="309"/>
      <c r="C160" s="309"/>
      <c r="D160" s="309"/>
      <c r="E160" s="309"/>
      <c r="F160" s="309"/>
      <c r="G160" s="309"/>
      <c r="H160" s="309"/>
      <c r="I160" s="309"/>
      <c r="J160" s="309"/>
      <c r="K160" s="309"/>
      <c r="L160" s="309"/>
    </row>
    <row r="161" spans="1:12">
      <c r="A161" s="309"/>
      <c r="B161" s="309"/>
      <c r="C161" s="309"/>
      <c r="D161" s="309"/>
      <c r="E161" s="309"/>
      <c r="F161" s="309"/>
      <c r="G161" s="309"/>
      <c r="H161" s="309"/>
      <c r="I161" s="309"/>
      <c r="J161" s="309"/>
      <c r="K161" s="309"/>
      <c r="L161" s="309"/>
    </row>
    <row r="162" spans="1:12">
      <c r="A162" s="309"/>
      <c r="B162" s="309"/>
      <c r="C162" s="309"/>
      <c r="D162" s="309"/>
      <c r="E162" s="309"/>
      <c r="F162" s="309"/>
      <c r="G162" s="309"/>
      <c r="H162" s="309"/>
      <c r="I162" s="309"/>
      <c r="J162" s="309"/>
      <c r="K162" s="309"/>
      <c r="L162" s="309"/>
    </row>
    <row r="163" spans="1:12">
      <c r="A163" s="309"/>
      <c r="B163" s="309"/>
      <c r="C163" s="309"/>
      <c r="D163" s="309"/>
      <c r="E163" s="309"/>
      <c r="F163" s="309"/>
      <c r="G163" s="309"/>
      <c r="H163" s="309"/>
      <c r="I163" s="309"/>
      <c r="J163" s="309"/>
      <c r="K163" s="309"/>
      <c r="L163" s="309"/>
    </row>
    <row r="164" spans="1:12">
      <c r="A164" s="309"/>
      <c r="B164" s="309"/>
      <c r="C164" s="309"/>
      <c r="D164" s="309"/>
      <c r="E164" s="309"/>
      <c r="F164" s="309"/>
      <c r="G164" s="309"/>
      <c r="H164" s="309"/>
      <c r="I164" s="309"/>
      <c r="J164" s="309"/>
      <c r="K164" s="309"/>
      <c r="L164" s="309"/>
    </row>
    <row r="165" spans="1:12">
      <c r="A165" s="309"/>
      <c r="B165" s="309"/>
      <c r="C165" s="309"/>
      <c r="D165" s="309"/>
      <c r="E165" s="309"/>
      <c r="F165" s="309"/>
      <c r="G165" s="309"/>
      <c r="H165" s="309"/>
      <c r="I165" s="309"/>
      <c r="J165" s="309"/>
      <c r="K165" s="309"/>
      <c r="L165" s="309"/>
    </row>
    <row r="166" spans="1:12">
      <c r="A166" s="309"/>
      <c r="B166" s="309"/>
      <c r="C166" s="309"/>
      <c r="D166" s="309"/>
      <c r="E166" s="309"/>
      <c r="F166" s="309"/>
      <c r="G166" s="309"/>
      <c r="H166" s="309"/>
      <c r="I166" s="309"/>
      <c r="J166" s="309"/>
      <c r="K166" s="309"/>
      <c r="L166" s="309"/>
    </row>
    <row r="167" spans="1:12">
      <c r="A167" s="309"/>
      <c r="B167" s="309"/>
      <c r="C167" s="309"/>
      <c r="D167" s="309"/>
      <c r="E167" s="309"/>
      <c r="F167" s="309"/>
      <c r="G167" s="309"/>
      <c r="H167" s="309"/>
      <c r="I167" s="309"/>
      <c r="J167" s="309"/>
      <c r="K167" s="309"/>
      <c r="L167" s="309"/>
    </row>
    <row r="168" spans="1:12">
      <c r="A168" s="309"/>
      <c r="B168" s="309"/>
      <c r="C168" s="309"/>
      <c r="D168" s="309"/>
      <c r="E168" s="309"/>
      <c r="F168" s="309"/>
      <c r="G168" s="309"/>
      <c r="H168" s="309"/>
      <c r="I168" s="309"/>
      <c r="J168" s="309"/>
      <c r="K168" s="309"/>
      <c r="L168" s="309"/>
    </row>
    <row r="169" spans="1:12">
      <c r="A169" s="309"/>
      <c r="B169" s="309"/>
      <c r="C169" s="309"/>
      <c r="D169" s="309"/>
      <c r="E169" s="309"/>
      <c r="F169" s="309"/>
      <c r="G169" s="309"/>
      <c r="H169" s="309"/>
      <c r="I169" s="309"/>
      <c r="J169" s="309"/>
      <c r="K169" s="309"/>
      <c r="L169" s="309"/>
    </row>
    <row r="170" spans="1:12">
      <c r="A170" s="309"/>
      <c r="B170" s="309"/>
      <c r="C170" s="309"/>
      <c r="D170" s="309"/>
      <c r="E170" s="309"/>
      <c r="F170" s="309"/>
      <c r="G170" s="309"/>
      <c r="H170" s="309"/>
      <c r="I170" s="309"/>
      <c r="J170" s="309"/>
      <c r="K170" s="309"/>
      <c r="L170" s="309"/>
    </row>
    <row r="171" spans="1:12">
      <c r="A171" s="309"/>
      <c r="B171" s="309"/>
      <c r="C171" s="309"/>
      <c r="D171" s="309"/>
      <c r="E171" s="309"/>
      <c r="F171" s="309"/>
      <c r="G171" s="309"/>
      <c r="H171" s="309"/>
      <c r="I171" s="309"/>
      <c r="J171" s="309"/>
      <c r="K171" s="309"/>
      <c r="L171" s="309"/>
    </row>
    <row r="172" spans="1:12">
      <c r="A172" s="309"/>
      <c r="B172" s="309"/>
      <c r="C172" s="309"/>
      <c r="D172" s="309"/>
      <c r="E172" s="309"/>
      <c r="F172" s="309"/>
      <c r="G172" s="309"/>
      <c r="H172" s="309"/>
      <c r="I172" s="309"/>
      <c r="J172" s="309"/>
      <c r="K172" s="309"/>
      <c r="L172" s="309"/>
    </row>
    <row r="173" spans="1:12">
      <c r="A173" s="309"/>
      <c r="B173" s="309"/>
      <c r="C173" s="309"/>
      <c r="D173" s="309"/>
      <c r="E173" s="309"/>
      <c r="F173" s="309"/>
      <c r="G173" s="309"/>
      <c r="H173" s="309"/>
      <c r="I173" s="309"/>
      <c r="J173" s="309"/>
      <c r="K173" s="309"/>
      <c r="L173" s="309"/>
    </row>
    <row r="174" spans="1:12">
      <c r="A174" s="309"/>
      <c r="B174" s="309"/>
      <c r="C174" s="309"/>
      <c r="D174" s="309"/>
      <c r="E174" s="309"/>
      <c r="F174" s="309"/>
      <c r="G174" s="309"/>
      <c r="H174" s="309"/>
      <c r="I174" s="309"/>
      <c r="J174" s="309"/>
      <c r="K174" s="309"/>
      <c r="L174" s="309"/>
    </row>
    <row r="175" spans="1:12">
      <c r="A175" s="309"/>
      <c r="B175" s="309"/>
      <c r="C175" s="309"/>
      <c r="D175" s="309"/>
      <c r="E175" s="309"/>
      <c r="F175" s="309"/>
      <c r="G175" s="309"/>
      <c r="H175" s="309"/>
      <c r="I175" s="309"/>
      <c r="J175" s="309"/>
      <c r="K175" s="309"/>
      <c r="L175" s="309"/>
    </row>
    <row r="176" spans="1:12">
      <c r="A176" s="309"/>
      <c r="B176" s="309"/>
      <c r="C176" s="309"/>
      <c r="D176" s="309"/>
      <c r="E176" s="309"/>
      <c r="F176" s="309"/>
      <c r="G176" s="309"/>
      <c r="H176" s="309"/>
      <c r="I176" s="309"/>
      <c r="J176" s="309"/>
      <c r="K176" s="309"/>
      <c r="L176" s="309"/>
    </row>
    <row r="177" spans="1:12">
      <c r="A177" s="309"/>
      <c r="B177" s="309"/>
      <c r="C177" s="309"/>
      <c r="D177" s="309"/>
      <c r="E177" s="309"/>
      <c r="F177" s="309"/>
      <c r="G177" s="309"/>
      <c r="H177" s="309"/>
      <c r="I177" s="309"/>
      <c r="J177" s="309"/>
      <c r="K177" s="309"/>
      <c r="L177" s="309"/>
    </row>
    <row r="178" spans="1:12">
      <c r="A178" s="309"/>
      <c r="B178" s="309"/>
      <c r="C178" s="309"/>
      <c r="D178" s="309"/>
      <c r="E178" s="309"/>
      <c r="F178" s="309"/>
      <c r="G178" s="309"/>
      <c r="H178" s="309"/>
      <c r="I178" s="309"/>
      <c r="J178" s="309"/>
      <c r="K178" s="309"/>
      <c r="L178" s="309"/>
    </row>
    <row r="179" spans="1:12">
      <c r="A179" s="309"/>
      <c r="B179" s="309"/>
      <c r="C179" s="309"/>
      <c r="D179" s="309"/>
      <c r="E179" s="309"/>
      <c r="F179" s="309"/>
      <c r="G179" s="309"/>
      <c r="H179" s="309"/>
      <c r="I179" s="309"/>
      <c r="J179" s="309"/>
      <c r="K179" s="309"/>
      <c r="L179" s="309"/>
    </row>
    <row r="180" spans="1:12">
      <c r="A180" s="309"/>
      <c r="B180" s="309"/>
      <c r="C180" s="309"/>
      <c r="D180" s="309"/>
      <c r="E180" s="309"/>
      <c r="F180" s="309"/>
      <c r="G180" s="309"/>
      <c r="H180" s="309"/>
      <c r="I180" s="309"/>
      <c r="J180" s="309"/>
      <c r="K180" s="309"/>
      <c r="L180" s="309"/>
    </row>
    <row r="181" spans="1:12">
      <c r="A181" s="309"/>
      <c r="B181" s="309"/>
      <c r="C181" s="309"/>
      <c r="D181" s="309"/>
      <c r="E181" s="309"/>
      <c r="F181" s="309"/>
      <c r="G181" s="309"/>
      <c r="H181" s="309"/>
      <c r="I181" s="309"/>
      <c r="J181" s="309"/>
      <c r="K181" s="309"/>
      <c r="L181" s="309"/>
    </row>
    <row r="182" spans="1:12">
      <c r="A182" s="309"/>
      <c r="B182" s="309"/>
      <c r="C182" s="309"/>
      <c r="D182" s="309"/>
      <c r="E182" s="309"/>
      <c r="F182" s="309"/>
      <c r="G182" s="309"/>
      <c r="H182" s="309"/>
      <c r="I182" s="309"/>
      <c r="J182" s="309"/>
      <c r="K182" s="309"/>
      <c r="L182" s="309"/>
    </row>
    <row r="183" spans="1:12">
      <c r="A183" s="309"/>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5" spans="1:12">
      <c r="A185" s="309"/>
      <c r="B185" s="309"/>
      <c r="C185" s="309"/>
      <c r="D185" s="309"/>
      <c r="E185" s="309"/>
      <c r="F185" s="309"/>
      <c r="G185" s="309"/>
      <c r="H185" s="309"/>
      <c r="I185" s="309"/>
      <c r="J185" s="309"/>
      <c r="K185" s="309"/>
      <c r="L185" s="309"/>
    </row>
    <row r="186" spans="1:12">
      <c r="A186" s="309"/>
      <c r="B186" s="309"/>
      <c r="C186" s="309"/>
      <c r="D186" s="309"/>
      <c r="E186" s="309"/>
      <c r="F186" s="309"/>
      <c r="G186" s="309"/>
      <c r="H186" s="309"/>
      <c r="I186" s="309"/>
      <c r="J186" s="309"/>
      <c r="K186" s="309"/>
      <c r="L186" s="309"/>
    </row>
    <row r="187" spans="1:12">
      <c r="A187" s="309"/>
      <c r="B187" s="309"/>
      <c r="C187" s="309"/>
      <c r="D187" s="309"/>
      <c r="E187" s="309"/>
      <c r="F187" s="309"/>
      <c r="G187" s="309"/>
      <c r="H187" s="309"/>
      <c r="I187" s="309"/>
      <c r="J187" s="309"/>
      <c r="K187" s="309"/>
      <c r="L187" s="309"/>
    </row>
    <row r="188" spans="1:12">
      <c r="A188" s="309"/>
      <c r="B188" s="309"/>
      <c r="C188" s="309"/>
      <c r="D188" s="309"/>
      <c r="E188" s="309"/>
      <c r="F188" s="309"/>
      <c r="G188" s="309"/>
      <c r="H188" s="309"/>
      <c r="I188" s="309"/>
      <c r="J188" s="309"/>
      <c r="K188" s="309"/>
      <c r="L188" s="309"/>
    </row>
    <row r="189" spans="1:12">
      <c r="A189" s="309"/>
      <c r="B189" s="309"/>
      <c r="C189" s="309"/>
      <c r="D189" s="309"/>
      <c r="E189" s="309"/>
      <c r="F189" s="309"/>
      <c r="G189" s="309"/>
      <c r="H189" s="309"/>
      <c r="I189" s="309"/>
      <c r="J189" s="309"/>
      <c r="K189" s="309"/>
      <c r="L189" s="309"/>
    </row>
    <row r="190" spans="1:12">
      <c r="A190" s="309"/>
      <c r="B190" s="309"/>
      <c r="C190" s="309"/>
      <c r="D190" s="309"/>
      <c r="E190" s="309"/>
      <c r="F190" s="309"/>
      <c r="G190" s="309"/>
      <c r="H190" s="309"/>
      <c r="I190" s="309"/>
      <c r="J190" s="309"/>
      <c r="K190" s="309"/>
      <c r="L190" s="309"/>
    </row>
    <row r="191" spans="1:12">
      <c r="A191" s="309"/>
      <c r="B191" s="309"/>
      <c r="C191" s="309"/>
      <c r="D191" s="309"/>
      <c r="E191" s="309"/>
      <c r="F191" s="309"/>
      <c r="G191" s="309"/>
      <c r="H191" s="309"/>
      <c r="I191" s="309"/>
      <c r="J191" s="309"/>
      <c r="K191" s="309"/>
      <c r="L191" s="309"/>
    </row>
    <row r="192" spans="1:12">
      <c r="A192" s="309"/>
      <c r="B192" s="309"/>
      <c r="C192" s="309"/>
      <c r="D192" s="309"/>
      <c r="E192" s="309"/>
      <c r="F192" s="309"/>
      <c r="G192" s="309"/>
      <c r="H192" s="309"/>
      <c r="I192" s="309"/>
      <c r="J192" s="309"/>
      <c r="K192" s="309"/>
      <c r="L192" s="309"/>
    </row>
    <row r="193" spans="1:12">
      <c r="A193" s="309"/>
      <c r="B193" s="309"/>
      <c r="C193" s="309"/>
      <c r="D193" s="309"/>
      <c r="E193" s="309"/>
      <c r="F193" s="309"/>
      <c r="G193" s="309"/>
      <c r="H193" s="309"/>
      <c r="I193" s="309"/>
      <c r="J193" s="309"/>
      <c r="K193" s="309"/>
      <c r="L193" s="309"/>
    </row>
    <row r="194" spans="1:12">
      <c r="A194" s="309"/>
      <c r="B194" s="309"/>
      <c r="C194" s="309"/>
      <c r="D194" s="309"/>
      <c r="E194" s="309"/>
      <c r="F194" s="309"/>
      <c r="G194" s="309"/>
      <c r="H194" s="309"/>
      <c r="I194" s="309"/>
      <c r="J194" s="309"/>
      <c r="K194" s="309"/>
      <c r="L194" s="309"/>
    </row>
    <row r="195" spans="1:12">
      <c r="A195" s="309"/>
      <c r="B195" s="309"/>
      <c r="C195" s="309"/>
      <c r="D195" s="309"/>
      <c r="E195" s="309"/>
      <c r="F195" s="309"/>
      <c r="G195" s="309"/>
      <c r="H195" s="309"/>
      <c r="I195" s="309"/>
      <c r="J195" s="309"/>
      <c r="K195" s="309"/>
      <c r="L195" s="309"/>
    </row>
    <row r="196" spans="1:12">
      <c r="A196" s="309"/>
      <c r="B196" s="309"/>
      <c r="C196" s="309"/>
      <c r="D196" s="309"/>
      <c r="E196" s="309"/>
      <c r="F196" s="309"/>
      <c r="G196" s="309"/>
      <c r="H196" s="309"/>
      <c r="I196" s="309"/>
      <c r="J196" s="309"/>
      <c r="K196" s="309"/>
      <c r="L196" s="309"/>
    </row>
    <row r="197" spans="1:12">
      <c r="A197" s="309"/>
      <c r="B197" s="309"/>
      <c r="C197" s="309"/>
      <c r="D197" s="309"/>
      <c r="E197" s="309"/>
      <c r="F197" s="309"/>
      <c r="G197" s="309"/>
      <c r="H197" s="309"/>
      <c r="I197" s="309"/>
      <c r="J197" s="309"/>
      <c r="K197" s="309"/>
      <c r="L197" s="309"/>
    </row>
    <row r="198" spans="1:12">
      <c r="A198" s="309"/>
      <c r="B198" s="309"/>
      <c r="C198" s="309"/>
      <c r="D198" s="309"/>
      <c r="E198" s="309"/>
      <c r="F198" s="309"/>
      <c r="G198" s="309"/>
      <c r="H198" s="309"/>
      <c r="I198" s="309"/>
      <c r="J198" s="309"/>
      <c r="K198" s="309"/>
      <c r="L198" s="309"/>
    </row>
    <row r="199" spans="1:12">
      <c r="A199" s="309"/>
      <c r="B199" s="309"/>
      <c r="C199" s="309"/>
      <c r="D199" s="309"/>
      <c r="E199" s="309"/>
      <c r="F199" s="309"/>
      <c r="G199" s="309"/>
      <c r="H199" s="309"/>
      <c r="I199" s="309"/>
      <c r="J199" s="309"/>
      <c r="K199" s="309"/>
      <c r="L199" s="309"/>
    </row>
    <row r="200" spans="1:12">
      <c r="A200" s="309"/>
      <c r="B200" s="309"/>
      <c r="C200" s="309"/>
      <c r="D200" s="309"/>
      <c r="E200" s="309"/>
      <c r="F200" s="309"/>
      <c r="G200" s="309"/>
      <c r="H200" s="309"/>
      <c r="I200" s="309"/>
      <c r="J200" s="309"/>
      <c r="K200" s="309"/>
      <c r="L200" s="309"/>
    </row>
    <row r="201" spans="1:12">
      <c r="A201" s="309"/>
      <c r="B201" s="309"/>
      <c r="C201" s="309"/>
      <c r="D201" s="309"/>
      <c r="E201" s="309"/>
      <c r="F201" s="309"/>
      <c r="G201" s="309"/>
      <c r="H201" s="309"/>
      <c r="I201" s="309"/>
      <c r="J201" s="309"/>
      <c r="K201" s="309"/>
      <c r="L201" s="309"/>
    </row>
    <row r="202" spans="1:12">
      <c r="A202" s="309"/>
      <c r="B202" s="309"/>
      <c r="C202" s="309"/>
      <c r="D202" s="309"/>
      <c r="E202" s="309"/>
      <c r="F202" s="309"/>
      <c r="G202" s="309"/>
      <c r="H202" s="309"/>
      <c r="I202" s="309"/>
      <c r="J202" s="309"/>
      <c r="K202" s="309"/>
      <c r="L202" s="309"/>
    </row>
    <row r="203" spans="1:12">
      <c r="A203" s="309"/>
      <c r="B203" s="309"/>
      <c r="C203" s="309"/>
      <c r="D203" s="309"/>
      <c r="E203" s="309"/>
      <c r="F203" s="309"/>
      <c r="G203" s="309"/>
      <c r="H203" s="309"/>
      <c r="I203" s="309"/>
      <c r="J203" s="309"/>
      <c r="K203" s="309"/>
      <c r="L203" s="309"/>
    </row>
    <row r="204" spans="1:12">
      <c r="A204" s="309"/>
      <c r="B204" s="309"/>
      <c r="C204" s="309"/>
      <c r="D204" s="309"/>
      <c r="E204" s="309"/>
      <c r="F204" s="309"/>
      <c r="G204" s="309"/>
      <c r="H204" s="309"/>
      <c r="I204" s="309"/>
      <c r="J204" s="309"/>
      <c r="K204" s="309"/>
      <c r="L204" s="309"/>
    </row>
    <row r="205" spans="1:12">
      <c r="A205" s="309"/>
      <c r="B205" s="309"/>
      <c r="C205" s="309"/>
      <c r="D205" s="309"/>
      <c r="E205" s="309"/>
      <c r="F205" s="309"/>
      <c r="G205" s="309"/>
      <c r="H205" s="309"/>
      <c r="I205" s="309"/>
      <c r="J205" s="309"/>
      <c r="K205" s="309"/>
      <c r="L205" s="309"/>
    </row>
    <row r="206" spans="1:12">
      <c r="A206" s="309"/>
      <c r="B206" s="309"/>
      <c r="C206" s="309"/>
      <c r="D206" s="309"/>
      <c r="E206" s="309"/>
      <c r="F206" s="309"/>
      <c r="G206" s="309"/>
      <c r="H206" s="309"/>
      <c r="I206" s="309"/>
      <c r="J206" s="309"/>
      <c r="K206" s="309"/>
      <c r="L206" s="309"/>
    </row>
    <row r="207" spans="1:12">
      <c r="A207" s="309"/>
      <c r="B207" s="309"/>
      <c r="C207" s="309"/>
      <c r="D207" s="309"/>
      <c r="E207" s="309"/>
      <c r="F207" s="309"/>
      <c r="G207" s="309"/>
      <c r="H207" s="309"/>
      <c r="I207" s="309"/>
      <c r="J207" s="309"/>
      <c r="K207" s="309"/>
      <c r="L207" s="309"/>
    </row>
    <row r="208" spans="1:12">
      <c r="A208" s="309"/>
      <c r="B208" s="309"/>
      <c r="C208" s="309"/>
      <c r="D208" s="309"/>
      <c r="E208" s="309"/>
      <c r="F208" s="309"/>
      <c r="G208" s="309"/>
      <c r="H208" s="309"/>
      <c r="I208" s="309"/>
      <c r="J208" s="309"/>
      <c r="K208" s="309"/>
      <c r="L208" s="309"/>
    </row>
    <row r="209" spans="1:12">
      <c r="A209" s="309"/>
      <c r="B209" s="309"/>
      <c r="C209" s="309"/>
      <c r="D209" s="309"/>
      <c r="E209" s="309"/>
      <c r="F209" s="309"/>
      <c r="G209" s="309"/>
      <c r="H209" s="309"/>
      <c r="I209" s="309"/>
      <c r="J209" s="309"/>
      <c r="K209" s="309"/>
      <c r="L209" s="309"/>
    </row>
    <row r="210" spans="1:12">
      <c r="A210" s="309"/>
      <c r="B210" s="309"/>
      <c r="C210" s="309"/>
      <c r="D210" s="309"/>
      <c r="E210" s="309"/>
      <c r="F210" s="309"/>
      <c r="G210" s="309"/>
      <c r="H210" s="309"/>
      <c r="I210" s="309"/>
      <c r="J210" s="309"/>
      <c r="K210" s="309"/>
      <c r="L210" s="309"/>
    </row>
    <row r="211" spans="1:12">
      <c r="A211" s="309"/>
      <c r="B211" s="309"/>
      <c r="C211" s="309"/>
      <c r="D211" s="309"/>
      <c r="E211" s="309"/>
      <c r="F211" s="309"/>
      <c r="G211" s="309"/>
      <c r="H211" s="309"/>
      <c r="I211" s="309"/>
      <c r="J211" s="309"/>
      <c r="K211" s="309"/>
      <c r="L211" s="309"/>
    </row>
    <row r="212" spans="1:12">
      <c r="A212" s="309"/>
      <c r="B212" s="309"/>
      <c r="C212" s="309"/>
      <c r="D212" s="309"/>
      <c r="E212" s="309"/>
      <c r="F212" s="309"/>
      <c r="G212" s="309"/>
      <c r="H212" s="309"/>
      <c r="I212" s="309"/>
      <c r="J212" s="309"/>
      <c r="K212" s="309"/>
      <c r="L212" s="309"/>
    </row>
    <row r="213" spans="1:12">
      <c r="A213" s="309"/>
      <c r="B213" s="309"/>
      <c r="C213" s="309"/>
      <c r="D213" s="309"/>
      <c r="E213" s="309"/>
      <c r="F213" s="309"/>
      <c r="G213" s="309"/>
      <c r="H213" s="309"/>
      <c r="I213" s="309"/>
      <c r="J213" s="309"/>
      <c r="K213" s="309"/>
      <c r="L213" s="309"/>
    </row>
    <row r="214" spans="1:12">
      <c r="A214" s="309"/>
      <c r="B214" s="309"/>
      <c r="C214" s="309"/>
      <c r="D214" s="309"/>
      <c r="E214" s="309"/>
      <c r="F214" s="309"/>
      <c r="G214" s="309"/>
      <c r="H214" s="309"/>
      <c r="I214" s="309"/>
      <c r="J214" s="309"/>
      <c r="K214" s="309"/>
      <c r="L214" s="309"/>
    </row>
    <row r="215" spans="1:12">
      <c r="A215" s="309"/>
      <c r="B215" s="309"/>
      <c r="C215" s="309"/>
      <c r="D215" s="309"/>
      <c r="E215" s="309"/>
      <c r="F215" s="309"/>
      <c r="G215" s="309"/>
      <c r="H215" s="309"/>
      <c r="I215" s="309"/>
      <c r="J215" s="309"/>
      <c r="K215" s="309"/>
      <c r="L215" s="309"/>
    </row>
    <row r="216" spans="1:12">
      <c r="A216" s="309"/>
      <c r="B216" s="309"/>
      <c r="C216" s="309"/>
      <c r="D216" s="309"/>
      <c r="E216" s="309"/>
      <c r="F216" s="309"/>
      <c r="G216" s="309"/>
      <c r="H216" s="309"/>
      <c r="I216" s="309"/>
      <c r="J216" s="309"/>
      <c r="K216" s="309"/>
      <c r="L216" s="309"/>
    </row>
    <row r="217" spans="1:12">
      <c r="A217" s="309"/>
      <c r="B217" s="309"/>
      <c r="C217" s="309"/>
      <c r="D217" s="309"/>
      <c r="E217" s="309"/>
      <c r="F217" s="309"/>
      <c r="G217" s="309"/>
      <c r="H217" s="309"/>
      <c r="I217" s="309"/>
      <c r="J217" s="309"/>
      <c r="K217" s="309"/>
      <c r="L217" s="309"/>
    </row>
    <row r="218" spans="1:12">
      <c r="A218" s="309"/>
      <c r="B218" s="309"/>
      <c r="C218" s="309"/>
      <c r="D218" s="309"/>
      <c r="E218" s="309"/>
      <c r="F218" s="309"/>
      <c r="G218" s="309"/>
      <c r="H218" s="309"/>
      <c r="I218" s="309"/>
      <c r="J218" s="309"/>
      <c r="K218" s="309"/>
      <c r="L218" s="309"/>
    </row>
    <row r="219" spans="1:12">
      <c r="A219" s="309"/>
      <c r="B219" s="309"/>
      <c r="C219" s="309"/>
      <c r="D219" s="309"/>
      <c r="E219" s="309"/>
      <c r="F219" s="309"/>
      <c r="G219" s="309"/>
      <c r="H219" s="309"/>
      <c r="I219" s="309"/>
      <c r="J219" s="309"/>
      <c r="K219" s="309"/>
      <c r="L219" s="309"/>
    </row>
    <row r="220" spans="1:12">
      <c r="A220" s="309"/>
      <c r="B220" s="309"/>
      <c r="C220" s="309"/>
      <c r="D220" s="309"/>
      <c r="E220" s="309"/>
      <c r="F220" s="309"/>
      <c r="G220" s="309"/>
      <c r="H220" s="309"/>
      <c r="I220" s="309"/>
      <c r="J220" s="309"/>
      <c r="K220" s="309"/>
      <c r="L220" s="309"/>
    </row>
    <row r="221" spans="1:12">
      <c r="A221" s="309"/>
      <c r="B221" s="309"/>
      <c r="C221" s="309"/>
      <c r="D221" s="309"/>
      <c r="E221" s="309"/>
      <c r="F221" s="309"/>
      <c r="G221" s="309"/>
      <c r="H221" s="309"/>
      <c r="I221" s="309"/>
      <c r="J221" s="309"/>
      <c r="K221" s="309"/>
      <c r="L221" s="309"/>
    </row>
    <row r="222" spans="1:12">
      <c r="A222" s="309"/>
      <c r="B222" s="309"/>
      <c r="C222" s="309"/>
      <c r="D222" s="309"/>
      <c r="E222" s="309"/>
      <c r="F222" s="309"/>
      <c r="G222" s="309"/>
      <c r="H222" s="309"/>
      <c r="I222" s="309"/>
      <c r="J222" s="309"/>
      <c r="K222" s="309"/>
      <c r="L222" s="309"/>
    </row>
    <row r="223" spans="1:12">
      <c r="A223" s="309"/>
      <c r="B223" s="309"/>
      <c r="C223" s="309"/>
      <c r="D223" s="309"/>
      <c r="E223" s="309"/>
      <c r="F223" s="309"/>
      <c r="G223" s="309"/>
      <c r="H223" s="309"/>
      <c r="I223" s="309"/>
      <c r="J223" s="309"/>
      <c r="K223" s="309"/>
      <c r="L223" s="309"/>
    </row>
    <row r="224" spans="1:12">
      <c r="A224" s="309"/>
      <c r="B224" s="309"/>
      <c r="C224" s="309"/>
      <c r="D224" s="309"/>
      <c r="E224" s="309"/>
      <c r="F224" s="309"/>
      <c r="G224" s="309"/>
      <c r="H224" s="309"/>
      <c r="I224" s="309"/>
      <c r="J224" s="309"/>
      <c r="K224" s="309"/>
      <c r="L224" s="309"/>
    </row>
    <row r="225" spans="1:12">
      <c r="A225" s="309"/>
      <c r="B225" s="309"/>
      <c r="C225" s="309"/>
      <c r="D225" s="309"/>
      <c r="E225" s="309"/>
      <c r="F225" s="309"/>
      <c r="G225" s="309"/>
      <c r="H225" s="309"/>
      <c r="I225" s="309"/>
      <c r="J225" s="309"/>
      <c r="K225" s="309"/>
      <c r="L225" s="309"/>
    </row>
    <row r="226" spans="1:12">
      <c r="A226" s="309"/>
      <c r="B226" s="309"/>
      <c r="C226" s="309"/>
      <c r="D226" s="309"/>
      <c r="E226" s="309"/>
      <c r="F226" s="309"/>
      <c r="G226" s="309"/>
      <c r="H226" s="309"/>
      <c r="I226" s="309"/>
      <c r="J226" s="309"/>
      <c r="K226" s="309"/>
      <c r="L226" s="309"/>
    </row>
    <row r="227" spans="1:12">
      <c r="A227" s="309"/>
      <c r="B227" s="309"/>
      <c r="C227" s="309"/>
      <c r="D227" s="309"/>
      <c r="E227" s="309"/>
      <c r="F227" s="309"/>
      <c r="G227" s="309"/>
      <c r="H227" s="309"/>
      <c r="I227" s="309"/>
      <c r="J227" s="309"/>
      <c r="K227" s="309"/>
      <c r="L227" s="309"/>
    </row>
    <row r="228" spans="1:12">
      <c r="A228" s="309"/>
      <c r="B228" s="309"/>
      <c r="C228" s="309"/>
      <c r="D228" s="309"/>
      <c r="E228" s="309"/>
      <c r="F228" s="309"/>
      <c r="G228" s="309"/>
      <c r="H228" s="309"/>
      <c r="I228" s="309"/>
      <c r="J228" s="309"/>
      <c r="K228" s="309"/>
      <c r="L228" s="309"/>
    </row>
    <row r="229" spans="1:12">
      <c r="A229" s="309"/>
      <c r="B229" s="309"/>
      <c r="C229" s="309"/>
      <c r="D229" s="309"/>
      <c r="E229" s="309"/>
      <c r="F229" s="309"/>
      <c r="G229" s="309"/>
      <c r="H229" s="309"/>
      <c r="I229" s="309"/>
      <c r="J229" s="309"/>
      <c r="K229" s="309"/>
      <c r="L229" s="309"/>
    </row>
    <row r="230" spans="1:12">
      <c r="A230" s="309"/>
      <c r="B230" s="309"/>
      <c r="C230" s="309"/>
      <c r="D230" s="309"/>
      <c r="E230" s="309"/>
      <c r="F230" s="309"/>
      <c r="G230" s="309"/>
      <c r="H230" s="309"/>
      <c r="I230" s="309"/>
      <c r="J230" s="309"/>
      <c r="K230" s="309"/>
      <c r="L230" s="309"/>
    </row>
    <row r="231" spans="1:12">
      <c r="A231" s="309"/>
      <c r="B231" s="309"/>
      <c r="C231" s="309"/>
      <c r="D231" s="309"/>
      <c r="E231" s="309"/>
      <c r="F231" s="309"/>
      <c r="G231" s="309"/>
      <c r="H231" s="309"/>
      <c r="I231" s="309"/>
      <c r="J231" s="309"/>
      <c r="K231" s="309"/>
      <c r="L231" s="309"/>
    </row>
    <row r="232" spans="1:12">
      <c r="A232" s="309"/>
      <c r="B232" s="309"/>
      <c r="C232" s="309"/>
      <c r="D232" s="309"/>
      <c r="E232" s="309"/>
      <c r="F232" s="309"/>
      <c r="G232" s="309"/>
      <c r="H232" s="309"/>
      <c r="I232" s="309"/>
      <c r="J232" s="309"/>
      <c r="K232" s="309"/>
      <c r="L232" s="309"/>
    </row>
    <row r="233" spans="1:12">
      <c r="A233" s="309"/>
      <c r="B233" s="309"/>
      <c r="C233" s="309"/>
      <c r="D233" s="309"/>
      <c r="E233" s="309"/>
      <c r="F233" s="309"/>
      <c r="G233" s="309"/>
      <c r="H233" s="309"/>
      <c r="I233" s="309"/>
      <c r="J233" s="309"/>
      <c r="K233" s="309"/>
      <c r="L233" s="309"/>
    </row>
    <row r="234" spans="1:12">
      <c r="A234" s="309"/>
      <c r="B234" s="309"/>
      <c r="C234" s="309"/>
      <c r="D234" s="309"/>
      <c r="E234" s="309"/>
      <c r="F234" s="309"/>
      <c r="G234" s="309"/>
      <c r="H234" s="309"/>
      <c r="I234" s="309"/>
      <c r="J234" s="309"/>
      <c r="K234" s="309"/>
      <c r="L234" s="309"/>
    </row>
    <row r="235" spans="1:12">
      <c r="A235" s="309"/>
      <c r="B235" s="309"/>
      <c r="C235" s="309"/>
      <c r="D235" s="309"/>
      <c r="E235" s="309"/>
      <c r="F235" s="309"/>
      <c r="G235" s="309"/>
      <c r="H235" s="309"/>
      <c r="I235" s="309"/>
      <c r="J235" s="309"/>
      <c r="K235" s="309"/>
      <c r="L235" s="309"/>
    </row>
    <row r="236" spans="1:12">
      <c r="A236" s="309"/>
      <c r="B236" s="309"/>
      <c r="C236" s="309"/>
      <c r="D236" s="309"/>
      <c r="E236" s="309"/>
      <c r="F236" s="309"/>
      <c r="G236" s="309"/>
      <c r="H236" s="309"/>
      <c r="I236" s="309"/>
      <c r="J236" s="309"/>
      <c r="K236" s="309"/>
      <c r="L236" s="309"/>
    </row>
    <row r="237" spans="1:12">
      <c r="A237" s="309"/>
      <c r="B237" s="309"/>
      <c r="C237" s="309"/>
      <c r="D237" s="309"/>
      <c r="E237" s="309"/>
      <c r="F237" s="309"/>
      <c r="G237" s="309"/>
      <c r="H237" s="309"/>
      <c r="I237" s="309"/>
      <c r="J237" s="309"/>
      <c r="K237" s="309"/>
      <c r="L237" s="309"/>
    </row>
    <row r="238" spans="1:12">
      <c r="A238" s="309"/>
      <c r="B238" s="309"/>
      <c r="C238" s="309"/>
      <c r="D238" s="309"/>
      <c r="E238" s="309"/>
      <c r="F238" s="309"/>
      <c r="G238" s="309"/>
      <c r="H238" s="309"/>
      <c r="I238" s="309"/>
      <c r="J238" s="309"/>
      <c r="K238" s="309"/>
      <c r="L238" s="309"/>
    </row>
    <row r="239" spans="1:12">
      <c r="A239" s="309"/>
      <c r="B239" s="309"/>
      <c r="C239" s="309"/>
      <c r="D239" s="309"/>
      <c r="E239" s="309"/>
      <c r="F239" s="309"/>
      <c r="G239" s="309"/>
      <c r="H239" s="309"/>
      <c r="I239" s="309"/>
      <c r="J239" s="309"/>
      <c r="K239" s="309"/>
      <c r="L239" s="309"/>
    </row>
    <row r="240" spans="1:12">
      <c r="A240" s="309"/>
      <c r="B240" s="309"/>
      <c r="C240" s="309"/>
      <c r="D240" s="309"/>
      <c r="E240" s="309"/>
      <c r="F240" s="309"/>
      <c r="G240" s="309"/>
      <c r="H240" s="309"/>
      <c r="I240" s="309"/>
      <c r="J240" s="309"/>
      <c r="K240" s="309"/>
      <c r="L240" s="309"/>
    </row>
    <row r="241" spans="1:12">
      <c r="A241" s="309"/>
      <c r="B241" s="309"/>
      <c r="C241" s="309"/>
      <c r="D241" s="309"/>
      <c r="E241" s="309"/>
      <c r="F241" s="309"/>
      <c r="G241" s="309"/>
      <c r="H241" s="309"/>
      <c r="I241" s="309"/>
      <c r="J241" s="309"/>
      <c r="K241" s="309"/>
      <c r="L241" s="309"/>
    </row>
    <row r="242" spans="1:12">
      <c r="A242" s="309"/>
      <c r="B242" s="309"/>
      <c r="C242" s="309"/>
      <c r="D242" s="309"/>
      <c r="E242" s="309"/>
      <c r="F242" s="309"/>
      <c r="G242" s="309"/>
      <c r="H242" s="309"/>
      <c r="I242" s="309"/>
      <c r="J242" s="309"/>
      <c r="K242" s="309"/>
      <c r="L242" s="309"/>
    </row>
    <row r="243" spans="1:12">
      <c r="A243" s="309"/>
      <c r="B243" s="309"/>
      <c r="C243" s="309"/>
      <c r="D243" s="309"/>
      <c r="E243" s="309"/>
      <c r="F243" s="309"/>
      <c r="G243" s="309"/>
      <c r="H243" s="309"/>
      <c r="I243" s="309"/>
      <c r="J243" s="309"/>
      <c r="K243" s="309"/>
      <c r="L243" s="309"/>
    </row>
    <row r="244" spans="1:12">
      <c r="A244" s="309"/>
      <c r="B244" s="309"/>
      <c r="C244" s="309"/>
      <c r="D244" s="309"/>
      <c r="E244" s="309"/>
      <c r="F244" s="309"/>
      <c r="G244" s="309"/>
      <c r="H244" s="309"/>
      <c r="I244" s="309"/>
      <c r="J244" s="309"/>
      <c r="K244" s="309"/>
      <c r="L244" s="309"/>
    </row>
    <row r="245" spans="1:12">
      <c r="A245" s="309"/>
      <c r="B245" s="309"/>
      <c r="C245" s="309"/>
      <c r="D245" s="309"/>
      <c r="E245" s="309"/>
      <c r="F245" s="309"/>
      <c r="G245" s="309"/>
      <c r="H245" s="309"/>
      <c r="I245" s="309"/>
      <c r="J245" s="309"/>
      <c r="K245" s="309"/>
      <c r="L245" s="309"/>
    </row>
    <row r="246" spans="1:12">
      <c r="A246" s="309"/>
      <c r="B246" s="309"/>
      <c r="C246" s="309"/>
      <c r="D246" s="309"/>
      <c r="E246" s="309"/>
      <c r="F246" s="309"/>
      <c r="G246" s="309"/>
      <c r="H246" s="309"/>
      <c r="I246" s="309"/>
      <c r="J246" s="309"/>
      <c r="K246" s="309"/>
      <c r="L246" s="309"/>
    </row>
    <row r="247" spans="1:12">
      <c r="A247" s="309"/>
      <c r="B247" s="309"/>
      <c r="C247" s="309"/>
      <c r="D247" s="309"/>
      <c r="E247" s="309"/>
      <c r="F247" s="309"/>
      <c r="G247" s="309"/>
      <c r="H247" s="309"/>
      <c r="I247" s="309"/>
      <c r="J247" s="309"/>
      <c r="K247" s="309"/>
      <c r="L247" s="309"/>
    </row>
    <row r="248" spans="1:12">
      <c r="A248" s="309"/>
      <c r="B248" s="309"/>
      <c r="C248" s="309"/>
      <c r="D248" s="309"/>
      <c r="E248" s="309"/>
      <c r="F248" s="309"/>
      <c r="G248" s="309"/>
      <c r="H248" s="309"/>
      <c r="I248" s="309"/>
      <c r="J248" s="309"/>
      <c r="K248" s="309"/>
      <c r="L248" s="309"/>
    </row>
    <row r="249" spans="1:12">
      <c r="A249" s="309"/>
      <c r="B249" s="309"/>
      <c r="C249" s="309"/>
      <c r="D249" s="309"/>
      <c r="E249" s="309"/>
      <c r="F249" s="309"/>
      <c r="G249" s="309"/>
      <c r="H249" s="309"/>
      <c r="I249" s="309"/>
      <c r="J249" s="309"/>
      <c r="K249" s="309"/>
      <c r="L249" s="309"/>
    </row>
    <row r="250" spans="1:12">
      <c r="A250" s="309"/>
      <c r="B250" s="309"/>
      <c r="C250" s="309"/>
      <c r="D250" s="309"/>
      <c r="E250" s="309"/>
      <c r="F250" s="309"/>
      <c r="G250" s="309"/>
      <c r="H250" s="309"/>
      <c r="I250" s="309"/>
      <c r="J250" s="309"/>
      <c r="K250" s="309"/>
      <c r="L250" s="309"/>
    </row>
    <row r="251" spans="1:12">
      <c r="A251" s="309"/>
      <c r="B251" s="309"/>
      <c r="C251" s="309"/>
      <c r="D251" s="309"/>
      <c r="E251" s="309"/>
      <c r="F251" s="309"/>
      <c r="G251" s="309"/>
      <c r="H251" s="309"/>
      <c r="I251" s="309"/>
      <c r="J251" s="309"/>
      <c r="K251" s="309"/>
      <c r="L251" s="309"/>
    </row>
    <row r="252" spans="1:12">
      <c r="A252" s="309"/>
      <c r="B252" s="309"/>
      <c r="C252" s="309"/>
      <c r="D252" s="309"/>
      <c r="E252" s="309"/>
      <c r="F252" s="309"/>
      <c r="G252" s="309"/>
      <c r="H252" s="309"/>
      <c r="I252" s="309"/>
      <c r="J252" s="309"/>
      <c r="K252" s="309"/>
      <c r="L252" s="309"/>
    </row>
    <row r="253" spans="1:12">
      <c r="A253" s="309"/>
      <c r="B253" s="309"/>
      <c r="C253" s="309"/>
      <c r="D253" s="309"/>
      <c r="E253" s="309"/>
      <c r="F253" s="309"/>
      <c r="G253" s="309"/>
      <c r="H253" s="309"/>
      <c r="I253" s="309"/>
      <c r="J253" s="309"/>
      <c r="K253" s="309"/>
      <c r="L253" s="309"/>
    </row>
    <row r="254" spans="1:12">
      <c r="A254" s="309"/>
      <c r="B254" s="309"/>
      <c r="C254" s="309"/>
      <c r="D254" s="309"/>
      <c r="E254" s="309"/>
      <c r="F254" s="309"/>
      <c r="G254" s="309"/>
      <c r="H254" s="309"/>
      <c r="I254" s="309"/>
      <c r="J254" s="309"/>
      <c r="K254" s="309"/>
      <c r="L254" s="309"/>
    </row>
    <row r="255" spans="1:12">
      <c r="A255" s="309"/>
      <c r="B255" s="309"/>
      <c r="C255" s="309"/>
      <c r="D255" s="309"/>
      <c r="E255" s="309"/>
      <c r="F255" s="309"/>
      <c r="G255" s="309"/>
      <c r="H255" s="309"/>
      <c r="I255" s="309"/>
      <c r="J255" s="309"/>
      <c r="K255" s="309"/>
      <c r="L255" s="309"/>
    </row>
    <row r="256" spans="1:12">
      <c r="A256" s="309"/>
      <c r="B256" s="309"/>
      <c r="C256" s="309"/>
      <c r="D256" s="309"/>
      <c r="E256" s="309"/>
      <c r="F256" s="309"/>
      <c r="G256" s="309"/>
      <c r="H256" s="309"/>
      <c r="I256" s="309"/>
      <c r="J256" s="309"/>
      <c r="K256" s="309"/>
      <c r="L256" s="309"/>
    </row>
    <row r="257" spans="1:12">
      <c r="A257" s="309"/>
      <c r="B257" s="309"/>
      <c r="C257" s="309"/>
      <c r="D257" s="309"/>
      <c r="E257" s="309"/>
      <c r="F257" s="309"/>
      <c r="G257" s="309"/>
      <c r="H257" s="309"/>
      <c r="I257" s="309"/>
      <c r="J257" s="309"/>
      <c r="K257" s="309"/>
      <c r="L257" s="309"/>
    </row>
    <row r="258" spans="1:12">
      <c r="A258" s="309"/>
      <c r="B258" s="309"/>
      <c r="C258" s="309"/>
      <c r="D258" s="309"/>
      <c r="E258" s="309"/>
      <c r="F258" s="309"/>
      <c r="G258" s="309"/>
      <c r="H258" s="309"/>
      <c r="I258" s="309"/>
      <c r="J258" s="309"/>
      <c r="K258" s="309"/>
      <c r="L258" s="309"/>
    </row>
    <row r="259" spans="1:12">
      <c r="A259" s="309"/>
      <c r="B259" s="309"/>
      <c r="C259" s="309"/>
      <c r="D259" s="309"/>
      <c r="E259" s="309"/>
      <c r="F259" s="309"/>
      <c r="G259" s="309"/>
      <c r="H259" s="309"/>
      <c r="I259" s="309"/>
      <c r="J259" s="309"/>
      <c r="K259" s="309"/>
      <c r="L259" s="309"/>
    </row>
    <row r="260" spans="1:12">
      <c r="A260" s="309"/>
      <c r="B260" s="309"/>
      <c r="C260" s="309"/>
      <c r="D260" s="309"/>
      <c r="E260" s="309"/>
      <c r="F260" s="309"/>
      <c r="G260" s="309"/>
      <c r="H260" s="309"/>
      <c r="I260" s="309"/>
      <c r="J260" s="309"/>
      <c r="K260" s="309"/>
      <c r="L260" s="309"/>
    </row>
    <row r="261" spans="1:12">
      <c r="A261" s="309"/>
      <c r="B261" s="309"/>
      <c r="C261" s="309"/>
      <c r="D261" s="309"/>
      <c r="E261" s="309"/>
      <c r="F261" s="309"/>
      <c r="G261" s="309"/>
      <c r="H261" s="309"/>
      <c r="I261" s="309"/>
      <c r="J261" s="309"/>
      <c r="K261" s="309"/>
      <c r="L261" s="309"/>
    </row>
    <row r="262" spans="1:12">
      <c r="A262" s="309"/>
      <c r="B262" s="309"/>
      <c r="C262" s="309"/>
      <c r="D262" s="309"/>
      <c r="E262" s="309"/>
      <c r="F262" s="309"/>
      <c r="G262" s="309"/>
      <c r="H262" s="309"/>
      <c r="I262" s="309"/>
      <c r="J262" s="309"/>
      <c r="K262" s="309"/>
      <c r="L262" s="309"/>
    </row>
    <row r="263" spans="1:12">
      <c r="A263" s="309"/>
      <c r="B263" s="309"/>
      <c r="C263" s="309"/>
      <c r="D263" s="309"/>
      <c r="E263" s="309"/>
      <c r="F263" s="309"/>
      <c r="G263" s="309"/>
      <c r="H263" s="309"/>
      <c r="I263" s="309"/>
      <c r="J263" s="309"/>
      <c r="K263" s="309"/>
      <c r="L263" s="309"/>
    </row>
    <row r="264" spans="1:12">
      <c r="A264" s="309"/>
      <c r="B264" s="309"/>
      <c r="C264" s="309"/>
      <c r="D264" s="309"/>
      <c r="E264" s="309"/>
      <c r="F264" s="309"/>
      <c r="G264" s="309"/>
      <c r="H264" s="309"/>
      <c r="I264" s="309"/>
      <c r="J264" s="309"/>
      <c r="K264" s="309"/>
      <c r="L264" s="309"/>
    </row>
    <row r="265" spans="1:12">
      <c r="A265" s="309"/>
      <c r="B265" s="309"/>
      <c r="C265" s="309"/>
      <c r="D265" s="309"/>
      <c r="E265" s="309"/>
      <c r="F265" s="309"/>
      <c r="G265" s="309"/>
      <c r="H265" s="309"/>
      <c r="I265" s="309"/>
      <c r="J265" s="309"/>
      <c r="K265" s="309"/>
      <c r="L265" s="309"/>
    </row>
    <row r="266" spans="1:12">
      <c r="A266" s="309"/>
      <c r="B266" s="309"/>
      <c r="C266" s="309"/>
      <c r="D266" s="309"/>
      <c r="E266" s="309"/>
      <c r="F266" s="309"/>
      <c r="G266" s="309"/>
      <c r="H266" s="309"/>
      <c r="I266" s="309"/>
      <c r="J266" s="309"/>
      <c r="K266" s="309"/>
      <c r="L266" s="309"/>
    </row>
    <row r="267" spans="1:12">
      <c r="A267" s="309"/>
      <c r="B267" s="309"/>
      <c r="C267" s="309"/>
      <c r="D267" s="309"/>
      <c r="E267" s="309"/>
      <c r="F267" s="309"/>
      <c r="G267" s="309"/>
      <c r="H267" s="309"/>
      <c r="I267" s="309"/>
      <c r="J267" s="309"/>
      <c r="K267" s="309"/>
      <c r="L267" s="309"/>
    </row>
    <row r="268" spans="1:12">
      <c r="A268" s="309"/>
      <c r="B268" s="309"/>
      <c r="C268" s="309"/>
      <c r="D268" s="309"/>
      <c r="E268" s="309"/>
      <c r="F268" s="309"/>
      <c r="G268" s="309"/>
      <c r="H268" s="309"/>
      <c r="I268" s="309"/>
      <c r="J268" s="309"/>
      <c r="K268" s="309"/>
      <c r="L268" s="309"/>
    </row>
    <row r="269" spans="1:12">
      <c r="A269" s="309"/>
      <c r="B269" s="309"/>
      <c r="C269" s="309"/>
      <c r="D269" s="309"/>
      <c r="E269" s="309"/>
      <c r="F269" s="309"/>
      <c r="G269" s="309"/>
      <c r="H269" s="309"/>
      <c r="I269" s="309"/>
      <c r="J269" s="309"/>
      <c r="K269" s="309"/>
      <c r="L269" s="309"/>
    </row>
    <row r="270" spans="1:12">
      <c r="A270" s="309"/>
      <c r="B270" s="309"/>
      <c r="C270" s="309"/>
      <c r="D270" s="309"/>
      <c r="E270" s="309"/>
      <c r="F270" s="309"/>
      <c r="G270" s="309"/>
      <c r="H270" s="309"/>
      <c r="I270" s="309"/>
      <c r="J270" s="309"/>
      <c r="K270" s="309"/>
      <c r="L270" s="309"/>
    </row>
    <row r="271" spans="1:12">
      <c r="A271" s="309"/>
      <c r="B271" s="309"/>
      <c r="C271" s="309"/>
      <c r="D271" s="309"/>
      <c r="E271" s="309"/>
      <c r="F271" s="309"/>
      <c r="G271" s="309"/>
      <c r="H271" s="309"/>
      <c r="I271" s="309"/>
      <c r="J271" s="309"/>
      <c r="K271" s="309"/>
      <c r="L271" s="309"/>
    </row>
    <row r="272" spans="1:12">
      <c r="A272" s="309"/>
      <c r="B272" s="309"/>
      <c r="C272" s="309"/>
      <c r="D272" s="309"/>
      <c r="E272" s="309"/>
      <c r="F272" s="309"/>
      <c r="G272" s="309"/>
      <c r="H272" s="309"/>
      <c r="I272" s="309"/>
      <c r="J272" s="309"/>
      <c r="K272" s="309"/>
      <c r="L272" s="309"/>
    </row>
    <row r="273" spans="1:12">
      <c r="A273" s="309"/>
      <c r="B273" s="309"/>
      <c r="C273" s="309"/>
      <c r="D273" s="309"/>
      <c r="E273" s="309"/>
      <c r="F273" s="309"/>
      <c r="G273" s="309"/>
      <c r="H273" s="309"/>
      <c r="I273" s="309"/>
      <c r="J273" s="309"/>
      <c r="K273" s="309"/>
      <c r="L273" s="309"/>
    </row>
    <row r="274" spans="1:12">
      <c r="A274" s="309"/>
      <c r="B274" s="309"/>
      <c r="C274" s="309"/>
      <c r="D274" s="309"/>
      <c r="E274" s="309"/>
      <c r="F274" s="309"/>
      <c r="G274" s="309"/>
      <c r="H274" s="309"/>
      <c r="I274" s="309"/>
      <c r="J274" s="309"/>
      <c r="K274" s="309"/>
      <c r="L274" s="309"/>
    </row>
    <row r="275" spans="1:12">
      <c r="A275" s="309"/>
      <c r="B275" s="309"/>
      <c r="C275" s="309"/>
      <c r="D275" s="309"/>
      <c r="E275" s="309"/>
      <c r="F275" s="309"/>
      <c r="G275" s="309"/>
      <c r="H275" s="309"/>
      <c r="I275" s="309"/>
      <c r="J275" s="309"/>
      <c r="K275" s="309"/>
      <c r="L275" s="309"/>
    </row>
    <row r="276" spans="1:12">
      <c r="A276" s="309"/>
      <c r="B276" s="309"/>
      <c r="C276" s="309"/>
      <c r="D276" s="309"/>
      <c r="E276" s="309"/>
      <c r="F276" s="309"/>
      <c r="G276" s="309"/>
      <c r="H276" s="309"/>
      <c r="I276" s="309"/>
      <c r="J276" s="309"/>
      <c r="K276" s="309"/>
      <c r="L276" s="309"/>
    </row>
    <row r="277" spans="1:12">
      <c r="A277" s="309"/>
      <c r="B277" s="309"/>
      <c r="C277" s="309"/>
      <c r="D277" s="309"/>
      <c r="E277" s="309"/>
      <c r="F277" s="309"/>
      <c r="G277" s="309"/>
      <c r="H277" s="309"/>
      <c r="I277" s="309"/>
      <c r="J277" s="309"/>
      <c r="K277" s="309"/>
      <c r="L277" s="309"/>
    </row>
    <row r="278" spans="1:12">
      <c r="A278" s="309"/>
      <c r="B278" s="309"/>
      <c r="C278" s="309"/>
      <c r="D278" s="309"/>
      <c r="E278" s="309"/>
      <c r="F278" s="309"/>
      <c r="G278" s="309"/>
      <c r="H278" s="309"/>
      <c r="I278" s="309"/>
      <c r="J278" s="309"/>
      <c r="K278" s="309"/>
      <c r="L278" s="309"/>
    </row>
    <row r="279" spans="1:12">
      <c r="A279" s="309"/>
      <c r="B279" s="309"/>
      <c r="C279" s="309"/>
      <c r="D279" s="309"/>
      <c r="E279" s="309"/>
      <c r="F279" s="309"/>
      <c r="G279" s="309"/>
      <c r="H279" s="309"/>
      <c r="I279" s="309"/>
      <c r="J279" s="309"/>
      <c r="K279" s="309"/>
      <c r="L279" s="309"/>
    </row>
    <row r="280" spans="1:12">
      <c r="A280" s="309"/>
      <c r="B280" s="309"/>
      <c r="C280" s="309"/>
      <c r="D280" s="309"/>
      <c r="E280" s="309"/>
      <c r="F280" s="309"/>
      <c r="G280" s="309"/>
      <c r="H280" s="309"/>
      <c r="I280" s="309"/>
      <c r="J280" s="309"/>
      <c r="K280" s="309"/>
      <c r="L280" s="309"/>
    </row>
    <row r="281" spans="1:12">
      <c r="A281" s="309"/>
      <c r="B281" s="309"/>
      <c r="C281" s="309"/>
      <c r="D281" s="309"/>
      <c r="E281" s="309"/>
      <c r="F281" s="309"/>
      <c r="G281" s="309"/>
      <c r="H281" s="309"/>
      <c r="I281" s="309"/>
      <c r="J281" s="309"/>
      <c r="K281" s="309"/>
      <c r="L281" s="309"/>
    </row>
    <row r="282" spans="1:12">
      <c r="A282" s="309"/>
      <c r="B282" s="309"/>
      <c r="C282" s="309"/>
      <c r="D282" s="309"/>
      <c r="E282" s="309"/>
      <c r="F282" s="309"/>
      <c r="G282" s="309"/>
      <c r="H282" s="309"/>
      <c r="I282" s="309"/>
      <c r="J282" s="309"/>
      <c r="K282" s="309"/>
      <c r="L282" s="309"/>
    </row>
    <row r="283" spans="1:12">
      <c r="A283" s="309"/>
      <c r="B283" s="309"/>
      <c r="C283" s="309"/>
      <c r="D283" s="309"/>
      <c r="E283" s="309"/>
      <c r="F283" s="309"/>
      <c r="G283" s="309"/>
      <c r="H283" s="309"/>
      <c r="I283" s="309"/>
      <c r="J283" s="309"/>
      <c r="K283" s="309"/>
      <c r="L283" s="309"/>
    </row>
    <row r="284" spans="1:12">
      <c r="A284" s="309"/>
      <c r="B284" s="309"/>
      <c r="C284" s="309"/>
      <c r="D284" s="309"/>
      <c r="E284" s="309"/>
      <c r="F284" s="309"/>
      <c r="G284" s="309"/>
      <c r="H284" s="309"/>
      <c r="I284" s="309"/>
      <c r="J284" s="309"/>
      <c r="K284" s="309"/>
      <c r="L284" s="309"/>
    </row>
    <row r="285" spans="1:12">
      <c r="A285" s="309"/>
      <c r="B285" s="309"/>
      <c r="C285" s="309"/>
      <c r="D285" s="309"/>
      <c r="E285" s="309"/>
      <c r="F285" s="309"/>
      <c r="G285" s="309"/>
      <c r="H285" s="309"/>
      <c r="I285" s="309"/>
      <c r="J285" s="309"/>
      <c r="K285" s="309"/>
      <c r="L285" s="309"/>
    </row>
    <row r="286" spans="1:12">
      <c r="A286" s="309"/>
      <c r="B286" s="309"/>
      <c r="C286" s="309"/>
      <c r="D286" s="309"/>
      <c r="E286" s="309"/>
      <c r="F286" s="309"/>
      <c r="G286" s="309"/>
      <c r="H286" s="309"/>
      <c r="I286" s="309"/>
      <c r="J286" s="309"/>
      <c r="K286" s="309"/>
      <c r="L286" s="309"/>
    </row>
    <row r="287" spans="1:12">
      <c r="A287" s="309"/>
      <c r="B287" s="309"/>
      <c r="C287" s="309"/>
      <c r="D287" s="309"/>
      <c r="E287" s="309"/>
      <c r="F287" s="309"/>
      <c r="G287" s="309"/>
      <c r="H287" s="309"/>
      <c r="I287" s="309"/>
      <c r="J287" s="309"/>
      <c r="K287" s="309"/>
      <c r="L287" s="309"/>
    </row>
    <row r="288" spans="1:12">
      <c r="A288" s="309"/>
      <c r="B288" s="309"/>
      <c r="C288" s="309"/>
      <c r="D288" s="309"/>
      <c r="E288" s="309"/>
      <c r="F288" s="309"/>
      <c r="G288" s="309"/>
      <c r="H288" s="309"/>
      <c r="I288" s="309"/>
      <c r="J288" s="309"/>
      <c r="K288" s="309"/>
      <c r="L288" s="309"/>
    </row>
    <row r="289" spans="1:12">
      <c r="A289" s="309"/>
      <c r="B289" s="309"/>
      <c r="C289" s="309"/>
      <c r="D289" s="309"/>
      <c r="E289" s="309"/>
      <c r="F289" s="309"/>
      <c r="G289" s="309"/>
      <c r="H289" s="309"/>
      <c r="I289" s="309"/>
      <c r="J289" s="309"/>
      <c r="K289" s="309"/>
      <c r="L289" s="309"/>
    </row>
    <row r="290" spans="1:12">
      <c r="A290" s="309"/>
      <c r="B290" s="309"/>
      <c r="C290" s="309"/>
      <c r="D290" s="309"/>
      <c r="E290" s="309"/>
      <c r="F290" s="309"/>
      <c r="G290" s="309"/>
      <c r="H290" s="309"/>
      <c r="I290" s="309"/>
      <c r="J290" s="309"/>
      <c r="K290" s="309"/>
      <c r="L290" s="309"/>
    </row>
    <row r="291" spans="1:12">
      <c r="A291" s="309"/>
      <c r="B291" s="309"/>
      <c r="C291" s="309"/>
      <c r="D291" s="309"/>
      <c r="E291" s="309"/>
      <c r="F291" s="309"/>
      <c r="G291" s="309"/>
      <c r="H291" s="309"/>
      <c r="I291" s="309"/>
      <c r="J291" s="309"/>
      <c r="K291" s="309"/>
      <c r="L291" s="309"/>
    </row>
    <row r="292" spans="1:12">
      <c r="A292" s="309"/>
      <c r="B292" s="309"/>
      <c r="C292" s="309"/>
      <c r="D292" s="309"/>
      <c r="E292" s="309"/>
      <c r="F292" s="309"/>
      <c r="G292" s="309"/>
      <c r="H292" s="309"/>
      <c r="I292" s="309"/>
      <c r="J292" s="309"/>
      <c r="K292" s="309"/>
      <c r="L292" s="309"/>
    </row>
    <row r="293" spans="1:12">
      <c r="A293" s="309"/>
      <c r="B293" s="309"/>
      <c r="C293" s="309"/>
      <c r="D293" s="309"/>
      <c r="E293" s="309"/>
      <c r="F293" s="309"/>
      <c r="G293" s="309"/>
      <c r="H293" s="309"/>
      <c r="I293" s="309"/>
      <c r="J293" s="309"/>
      <c r="K293" s="309"/>
      <c r="L293" s="309"/>
    </row>
    <row r="294" spans="1:12">
      <c r="A294" s="309"/>
      <c r="B294" s="309"/>
      <c r="C294" s="309"/>
      <c r="D294" s="309"/>
      <c r="E294" s="309"/>
      <c r="F294" s="309"/>
      <c r="G294" s="309"/>
      <c r="H294" s="309"/>
      <c r="I294" s="309"/>
      <c r="J294" s="309"/>
      <c r="K294" s="309"/>
      <c r="L294"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7"/>
  <sheetViews>
    <sheetView showGridLines="0" workbookViewId="0"/>
  </sheetViews>
  <sheetFormatPr defaultRowHeight="12.75"/>
  <cols>
    <col min="2" max="2" width="35.7109375" customWidth="1"/>
    <col min="3" max="12"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 customHeight="1">
      <c r="A5" s="1100" t="s">
        <v>1711</v>
      </c>
      <c r="B5" s="1100"/>
      <c r="C5" s="1100"/>
      <c r="D5" s="1100"/>
      <c r="E5" s="1100"/>
      <c r="F5" s="1100"/>
      <c r="G5" s="1100"/>
      <c r="H5" s="1100"/>
      <c r="I5" s="1100"/>
      <c r="J5" s="1100"/>
      <c r="K5" s="1100"/>
      <c r="L5" s="1100"/>
      <c r="M5" s="59"/>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SUM(A11:A1864)</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OUTPUTS_FOR_SECTION_2_OF_MODEL!B66</f>
        <v>Biology</v>
      </c>
      <c r="C15" s="307">
        <f>OUTPUTS_FOR_SECTION_2_OF_MODEL!E66</f>
        <v>1622.9690753203779</v>
      </c>
      <c r="D15" s="307">
        <f>OUTPUTS_FOR_SECTION_2_OF_MODEL!F66</f>
        <v>1541.0689857592392</v>
      </c>
      <c r="E15" s="307">
        <f>OUTPUTS_FOR_SECTION_2_OF_MODEL!G66</f>
        <v>1523.4355793739348</v>
      </c>
      <c r="F15" s="307">
        <f>OUTPUTS_FOR_SECTION_2_OF_MODEL!H66</f>
        <v>1554.0900491778327</v>
      </c>
      <c r="G15" s="307">
        <f>OUTPUTS_FOR_SECTION_2_OF_MODEL!I66</f>
        <v>1597.2525539966007</v>
      </c>
      <c r="H15" s="307">
        <f>OUTPUTS_FOR_SECTION_2_OF_MODEL!J66</f>
        <v>1568.3907652139583</v>
      </c>
      <c r="I15" s="307">
        <f>OUTPUTS_FOR_SECTION_2_OF_MODEL!K66</f>
        <v>1525.6184113063307</v>
      </c>
      <c r="J15" s="307">
        <f>OUTPUTS_FOR_SECTION_2_OF_MODEL!L66</f>
        <v>1543.0806641013999</v>
      </c>
      <c r="K15" s="307">
        <f>OUTPUTS_FOR_SECTION_2_OF_MODEL!M66</f>
        <v>1534.0714545852397</v>
      </c>
      <c r="L15" s="307">
        <f>OUTPUTS_FOR_SECTION_2_OF_MODEL!N66</f>
        <v>1479.2817977451632</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1510.984209123272</v>
      </c>
      <c r="D44" s="459">
        <f t="shared" si="4"/>
        <v>1434.7352257418518</v>
      </c>
      <c r="E44" s="459">
        <f t="shared" si="4"/>
        <v>1418.3185243971334</v>
      </c>
      <c r="F44" s="459">
        <f t="shared" si="4"/>
        <v>1446.8578357845624</v>
      </c>
      <c r="G44" s="459">
        <f t="shared" si="4"/>
        <v>1487.0421277708354</v>
      </c>
      <c r="H44" s="459">
        <f t="shared" si="4"/>
        <v>1460.1718024141953</v>
      </c>
      <c r="I44" s="459">
        <f t="shared" si="4"/>
        <v>1420.350740926194</v>
      </c>
      <c r="J44" s="459">
        <f t="shared" si="4"/>
        <v>1436.6080982784033</v>
      </c>
      <c r="K44" s="459">
        <f t="shared" si="4"/>
        <v>1428.2205242188584</v>
      </c>
      <c r="L44" s="459">
        <f t="shared" si="4"/>
        <v>1377.2113537007469</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15.988010953443347</v>
      </c>
      <c r="D57" s="459">
        <f t="shared" ref="D57:L57" si="7">D44/$J$50</f>
        <v>15.181205975515473</v>
      </c>
      <c r="E57" s="459">
        <f t="shared" si="7"/>
        <v>15.007497739960145</v>
      </c>
      <c r="F57" s="459">
        <f t="shared" si="7"/>
        <v>15.309477615269829</v>
      </c>
      <c r="G57" s="459">
        <f t="shared" si="7"/>
        <v>15.734675242454616</v>
      </c>
      <c r="H57" s="459">
        <f t="shared" si="7"/>
        <v>15.45035522538851</v>
      </c>
      <c r="I57" s="459">
        <f t="shared" si="7"/>
        <v>15.02900100910764</v>
      </c>
      <c r="J57" s="459">
        <f t="shared" si="7"/>
        <v>15.201023195608173</v>
      </c>
      <c r="K57" s="459">
        <f t="shared" si="7"/>
        <v>15.112272681124217</v>
      </c>
      <c r="L57" s="459">
        <f t="shared" si="7"/>
        <v>14.572534957827409</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4">
        <f>100*C64</f>
        <v>14.75901426249032</v>
      </c>
      <c r="D65" s="694">
        <f t="shared" ref="D65:L65" si="10">100*D64</f>
        <v>14.75901426249032</v>
      </c>
      <c r="E65" s="694">
        <f t="shared" si="10"/>
        <v>14.75901426249032</v>
      </c>
      <c r="F65" s="694">
        <f t="shared" si="10"/>
        <v>14.75901426249032</v>
      </c>
      <c r="G65" s="694">
        <f t="shared" si="10"/>
        <v>14.75901426249032</v>
      </c>
      <c r="H65" s="694">
        <f t="shared" si="10"/>
        <v>14.75901426249032</v>
      </c>
      <c r="I65" s="694">
        <f t="shared" si="10"/>
        <v>14.75901426249032</v>
      </c>
      <c r="J65" s="694">
        <f t="shared" si="10"/>
        <v>14.75901426249032</v>
      </c>
      <c r="K65" s="694">
        <f t="shared" si="10"/>
        <v>14.75901426249032</v>
      </c>
      <c r="L65" s="694">
        <f t="shared" si="10"/>
        <v>14.75901426249032</v>
      </c>
    </row>
    <row r="66" spans="1:12" ht="25.5">
      <c r="A66" s="309"/>
      <c r="B66" s="338" t="s">
        <v>1625</v>
      </c>
      <c r="C66" s="694">
        <f>C65-C67</f>
        <v>12.607467049871705</v>
      </c>
      <c r="D66" s="694">
        <f t="shared" ref="D66:L66" si="11">D65-D67</f>
        <v>12.607467049871705</v>
      </c>
      <c r="E66" s="694">
        <f t="shared" si="11"/>
        <v>12.607467049871705</v>
      </c>
      <c r="F66" s="694">
        <f t="shared" si="11"/>
        <v>12.607467049871705</v>
      </c>
      <c r="G66" s="694">
        <f t="shared" si="11"/>
        <v>12.607467049871705</v>
      </c>
      <c r="H66" s="694">
        <f t="shared" si="11"/>
        <v>12.607467049871705</v>
      </c>
      <c r="I66" s="694">
        <f t="shared" si="11"/>
        <v>12.607467049871705</v>
      </c>
      <c r="J66" s="694">
        <f t="shared" si="11"/>
        <v>12.607467049871705</v>
      </c>
      <c r="K66" s="694">
        <f t="shared" si="11"/>
        <v>12.607467049871705</v>
      </c>
      <c r="L66" s="694">
        <f t="shared" si="11"/>
        <v>12.607467049871705</v>
      </c>
    </row>
    <row r="67" spans="1:12" ht="25.5">
      <c r="A67" s="309"/>
      <c r="B67" s="338" t="s">
        <v>1626</v>
      </c>
      <c r="C67" s="694">
        <f>C65*$C$33</f>
        <v>2.1515472126186146</v>
      </c>
      <c r="D67" s="694">
        <f t="shared" ref="D67:L67" si="12">D65*$C$33</f>
        <v>2.1515472126186146</v>
      </c>
      <c r="E67" s="694">
        <f t="shared" si="12"/>
        <v>2.1515472126186146</v>
      </c>
      <c r="F67" s="694">
        <f t="shared" si="12"/>
        <v>2.1515472126186146</v>
      </c>
      <c r="G67" s="694">
        <f t="shared" si="12"/>
        <v>2.1515472126186146</v>
      </c>
      <c r="H67" s="694">
        <f t="shared" si="12"/>
        <v>2.1515472126186146</v>
      </c>
      <c r="I67" s="694">
        <f t="shared" si="12"/>
        <v>2.1515472126186146</v>
      </c>
      <c r="J67" s="694">
        <f t="shared" si="12"/>
        <v>2.1515472126186146</v>
      </c>
      <c r="K67" s="694">
        <f t="shared" si="12"/>
        <v>2.1515472126186146</v>
      </c>
      <c r="L67" s="694">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4">
        <f>100*C75</f>
        <v>35.016108614476828</v>
      </c>
      <c r="D76" s="694">
        <f t="shared" ref="D76:L76" si="18">100*D75</f>
        <v>35.016108614476828</v>
      </c>
      <c r="E76" s="694">
        <f t="shared" si="18"/>
        <v>35.016108614476828</v>
      </c>
      <c r="F76" s="694">
        <f t="shared" si="18"/>
        <v>35.016108614476828</v>
      </c>
      <c r="G76" s="694">
        <f t="shared" si="18"/>
        <v>35.016108614476828</v>
      </c>
      <c r="H76" s="694">
        <f t="shared" si="18"/>
        <v>35.016108614476828</v>
      </c>
      <c r="I76" s="694">
        <f t="shared" si="18"/>
        <v>35.016108614476828</v>
      </c>
      <c r="J76" s="694">
        <f t="shared" si="18"/>
        <v>35.016108614476828</v>
      </c>
      <c r="K76" s="694">
        <f t="shared" si="18"/>
        <v>35.016108614476828</v>
      </c>
      <c r="L76" s="694">
        <f t="shared" si="18"/>
        <v>35.016108614476828</v>
      </c>
    </row>
    <row r="77" spans="1:12" ht="25.5">
      <c r="A77" s="309"/>
      <c r="B77" s="338" t="s">
        <v>1625</v>
      </c>
      <c r="C77" s="694">
        <f>C76-C78</f>
        <v>24.730790582699242</v>
      </c>
      <c r="D77" s="694">
        <f t="shared" ref="D77:L77" si="19">D76-D78</f>
        <v>24.730790582699242</v>
      </c>
      <c r="E77" s="694">
        <f t="shared" si="19"/>
        <v>24.730790582699242</v>
      </c>
      <c r="F77" s="694">
        <f t="shared" si="19"/>
        <v>24.730790582699242</v>
      </c>
      <c r="G77" s="694">
        <f t="shared" si="19"/>
        <v>24.730790582699242</v>
      </c>
      <c r="H77" s="694">
        <f t="shared" si="19"/>
        <v>24.730790582699242</v>
      </c>
      <c r="I77" s="694">
        <f t="shared" si="19"/>
        <v>24.730790582699242</v>
      </c>
      <c r="J77" s="694">
        <f t="shared" si="19"/>
        <v>24.730790582699242</v>
      </c>
      <c r="K77" s="694">
        <f t="shared" si="19"/>
        <v>24.730790582699242</v>
      </c>
      <c r="L77" s="694">
        <f t="shared" si="19"/>
        <v>24.730790582699242</v>
      </c>
    </row>
    <row r="78" spans="1:12" ht="25.5">
      <c r="A78" s="309"/>
      <c r="B78" s="338" t="s">
        <v>1626</v>
      </c>
      <c r="C78" s="694">
        <f>C76*$C$34</f>
        <v>10.285318031777583</v>
      </c>
      <c r="D78" s="694">
        <f t="shared" ref="D78:L78" si="20">D76*$C$34</f>
        <v>10.285318031777583</v>
      </c>
      <c r="E78" s="694">
        <f t="shared" si="20"/>
        <v>10.285318031777583</v>
      </c>
      <c r="F78" s="694">
        <f t="shared" si="20"/>
        <v>10.285318031777583</v>
      </c>
      <c r="G78" s="694">
        <f t="shared" si="20"/>
        <v>10.285318031777583</v>
      </c>
      <c r="H78" s="694">
        <f t="shared" si="20"/>
        <v>10.285318031777583</v>
      </c>
      <c r="I78" s="694">
        <f t="shared" si="20"/>
        <v>10.285318031777583</v>
      </c>
      <c r="J78" s="694">
        <f t="shared" si="20"/>
        <v>10.285318031777583</v>
      </c>
      <c r="K78" s="694">
        <f t="shared" si="20"/>
        <v>10.285318031777583</v>
      </c>
      <c r="L78" s="694">
        <f t="shared" si="20"/>
        <v>10.285318031777583</v>
      </c>
    </row>
    <row r="79" spans="1:12">
      <c r="A79" s="309"/>
      <c r="B79" s="669" t="s">
        <v>729</v>
      </c>
      <c r="C79" s="694">
        <f>C77</f>
        <v>24.730790582699242</v>
      </c>
      <c r="D79" s="694">
        <f t="shared" ref="D79:L79" si="21">D77</f>
        <v>24.730790582699242</v>
      </c>
      <c r="E79" s="694">
        <f t="shared" si="21"/>
        <v>24.730790582699242</v>
      </c>
      <c r="F79" s="694">
        <f t="shared" si="21"/>
        <v>24.730790582699242</v>
      </c>
      <c r="G79" s="694">
        <f t="shared" si="21"/>
        <v>24.730790582699242</v>
      </c>
      <c r="H79" s="694">
        <f t="shared" si="21"/>
        <v>24.730790582699242</v>
      </c>
      <c r="I79" s="694">
        <f t="shared" si="21"/>
        <v>24.730790582699242</v>
      </c>
      <c r="J79" s="694">
        <f t="shared" si="21"/>
        <v>24.730790582699242</v>
      </c>
      <c r="K79" s="694">
        <f t="shared" si="21"/>
        <v>24.730790582699242</v>
      </c>
      <c r="L79" s="694">
        <f t="shared" si="21"/>
        <v>24.730790582699242</v>
      </c>
    </row>
    <row r="80" spans="1:12">
      <c r="A80" s="309"/>
      <c r="B80" s="669" t="s">
        <v>728</v>
      </c>
      <c r="C80" s="694">
        <f>C78*$C$39</f>
        <v>6.3563265436385468</v>
      </c>
      <c r="D80" s="694">
        <f t="shared" ref="D80:L80" si="22">D78*$C$39</f>
        <v>6.3563265436385468</v>
      </c>
      <c r="E80" s="694">
        <f t="shared" si="22"/>
        <v>6.3563265436385468</v>
      </c>
      <c r="F80" s="694">
        <f t="shared" si="22"/>
        <v>6.3563265436385468</v>
      </c>
      <c r="G80" s="694">
        <f t="shared" si="22"/>
        <v>6.3563265436385468</v>
      </c>
      <c r="H80" s="694">
        <f t="shared" si="22"/>
        <v>6.3563265436385468</v>
      </c>
      <c r="I80" s="694">
        <f t="shared" si="22"/>
        <v>6.3563265436385468</v>
      </c>
      <c r="J80" s="694">
        <f t="shared" si="22"/>
        <v>6.3563265436385468</v>
      </c>
      <c r="K80" s="694">
        <f t="shared" si="22"/>
        <v>6.3563265436385468</v>
      </c>
      <c r="L80" s="694">
        <f t="shared" si="22"/>
        <v>6.3563265436385468</v>
      </c>
    </row>
    <row r="81" spans="1:12">
      <c r="A81" s="309"/>
      <c r="B81" s="669" t="s">
        <v>727</v>
      </c>
      <c r="C81" s="694">
        <f>C79+C80</f>
        <v>31.087117126337787</v>
      </c>
      <c r="D81" s="694">
        <f t="shared" ref="D81:L81" si="23">D79+D80</f>
        <v>31.087117126337787</v>
      </c>
      <c r="E81" s="694">
        <f t="shared" si="23"/>
        <v>31.087117126337787</v>
      </c>
      <c r="F81" s="694">
        <f t="shared" si="23"/>
        <v>31.087117126337787</v>
      </c>
      <c r="G81" s="694">
        <f t="shared" si="23"/>
        <v>31.087117126337787</v>
      </c>
      <c r="H81" s="694">
        <f t="shared" si="23"/>
        <v>31.087117126337787</v>
      </c>
      <c r="I81" s="694">
        <f t="shared" si="23"/>
        <v>31.087117126337787</v>
      </c>
      <c r="J81" s="694">
        <f t="shared" si="23"/>
        <v>31.087117126337787</v>
      </c>
      <c r="K81" s="694">
        <f t="shared" si="23"/>
        <v>31.087117126337787</v>
      </c>
      <c r="L81" s="694">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4">
        <f>100*C86</f>
        <v>50.224877123032854</v>
      </c>
      <c r="D87" s="694">
        <f t="shared" ref="D87:L87" si="26">100*D86</f>
        <v>50.224877123032854</v>
      </c>
      <c r="E87" s="694">
        <f t="shared" si="26"/>
        <v>50.224877123032854</v>
      </c>
      <c r="F87" s="694">
        <f t="shared" si="26"/>
        <v>50.224877123032854</v>
      </c>
      <c r="G87" s="694">
        <f t="shared" si="26"/>
        <v>50.224877123032854</v>
      </c>
      <c r="H87" s="694">
        <f t="shared" si="26"/>
        <v>50.224877123032854</v>
      </c>
      <c r="I87" s="694">
        <f t="shared" si="26"/>
        <v>50.224877123032854</v>
      </c>
      <c r="J87" s="694">
        <f t="shared" si="26"/>
        <v>50.224877123032854</v>
      </c>
      <c r="K87" s="694">
        <f t="shared" si="26"/>
        <v>50.224877123032854</v>
      </c>
      <c r="L87" s="694">
        <f t="shared" si="26"/>
        <v>50.224877123032854</v>
      </c>
    </row>
    <row r="88" spans="1:12" ht="25.5">
      <c r="A88" s="309"/>
      <c r="B88" s="338" t="s">
        <v>1625</v>
      </c>
      <c r="C88" s="694">
        <f>C87-C89</f>
        <v>48.283022126757622</v>
      </c>
      <c r="D88" s="694">
        <f t="shared" ref="D88:L88" si="27">D87-D89</f>
        <v>48.283022126757622</v>
      </c>
      <c r="E88" s="694">
        <f t="shared" si="27"/>
        <v>48.283022126757622</v>
      </c>
      <c r="F88" s="694">
        <f t="shared" si="27"/>
        <v>48.283022126757622</v>
      </c>
      <c r="G88" s="694">
        <f t="shared" si="27"/>
        <v>48.283022126757622</v>
      </c>
      <c r="H88" s="694">
        <f t="shared" si="27"/>
        <v>48.283022126757622</v>
      </c>
      <c r="I88" s="694">
        <f t="shared" si="27"/>
        <v>48.283022126757622</v>
      </c>
      <c r="J88" s="694">
        <f t="shared" si="27"/>
        <v>48.283022126757622</v>
      </c>
      <c r="K88" s="694">
        <f t="shared" si="27"/>
        <v>48.283022126757622</v>
      </c>
      <c r="L88" s="694">
        <f t="shared" si="27"/>
        <v>48.283022126757622</v>
      </c>
    </row>
    <row r="89" spans="1:12" ht="25.5">
      <c r="A89" s="309"/>
      <c r="B89" s="338" t="s">
        <v>1626</v>
      </c>
      <c r="C89" s="694">
        <f>C87*$C$35</f>
        <v>1.9418549962752341</v>
      </c>
      <c r="D89" s="694">
        <f t="shared" ref="D89:L89" si="28">D87*$C$35</f>
        <v>1.9418549962752341</v>
      </c>
      <c r="E89" s="694">
        <f t="shared" si="28"/>
        <v>1.9418549962752341</v>
      </c>
      <c r="F89" s="694">
        <f t="shared" si="28"/>
        <v>1.9418549962752341</v>
      </c>
      <c r="G89" s="694">
        <f t="shared" si="28"/>
        <v>1.9418549962752341</v>
      </c>
      <c r="H89" s="694">
        <f t="shared" si="28"/>
        <v>1.9418549962752341</v>
      </c>
      <c r="I89" s="694">
        <f t="shared" si="28"/>
        <v>1.9418549962752341</v>
      </c>
      <c r="J89" s="694">
        <f t="shared" si="28"/>
        <v>1.9418549962752341</v>
      </c>
      <c r="K89" s="694">
        <f t="shared" si="28"/>
        <v>1.9418549962752341</v>
      </c>
      <c r="L89" s="694">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4">
        <f>C89*$C$39</f>
        <v>1.2000663876980946</v>
      </c>
      <c r="D91" s="694">
        <f t="shared" ref="D91:L91" si="30">D89*$C$39</f>
        <v>1.2000663876980946</v>
      </c>
      <c r="E91" s="694">
        <f t="shared" si="30"/>
        <v>1.2000663876980946</v>
      </c>
      <c r="F91" s="694">
        <f t="shared" si="30"/>
        <v>1.2000663876980946</v>
      </c>
      <c r="G91" s="694">
        <f t="shared" si="30"/>
        <v>1.2000663876980946</v>
      </c>
      <c r="H91" s="694">
        <f t="shared" si="30"/>
        <v>1.2000663876980946</v>
      </c>
      <c r="I91" s="694">
        <f t="shared" si="30"/>
        <v>1.2000663876980946</v>
      </c>
      <c r="J91" s="694">
        <f t="shared" si="30"/>
        <v>1.2000663876980946</v>
      </c>
      <c r="K91" s="694">
        <f t="shared" si="30"/>
        <v>1.2000663876980946</v>
      </c>
      <c r="L91" s="694">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4">
        <f>C92+C81+C70</f>
        <v>94.50732886806351</v>
      </c>
      <c r="D94" s="694">
        <f t="shared" ref="D94:L94" si="32">D92+D81+D70</f>
        <v>94.50732886806351</v>
      </c>
      <c r="E94" s="694">
        <f t="shared" si="32"/>
        <v>94.50732886806351</v>
      </c>
      <c r="F94" s="694">
        <f t="shared" si="32"/>
        <v>94.50732886806351</v>
      </c>
      <c r="G94" s="694">
        <f t="shared" si="32"/>
        <v>94.50732886806351</v>
      </c>
      <c r="H94" s="694">
        <f t="shared" si="32"/>
        <v>94.50732886806351</v>
      </c>
      <c r="I94" s="694">
        <f t="shared" si="32"/>
        <v>94.50732886806351</v>
      </c>
      <c r="J94" s="694">
        <f t="shared" si="32"/>
        <v>94.50732886806351</v>
      </c>
      <c r="K94" s="694">
        <f t="shared" si="32"/>
        <v>94.50732886806351</v>
      </c>
      <c r="L94" s="694">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15.988010953443347</v>
      </c>
      <c r="D98" s="459">
        <f t="shared" ref="D98:L98" si="33">D57</f>
        <v>15.181205975515473</v>
      </c>
      <c r="E98" s="459">
        <f t="shared" si="33"/>
        <v>15.007497739960145</v>
      </c>
      <c r="F98" s="459">
        <f t="shared" si="33"/>
        <v>15.309477615269829</v>
      </c>
      <c r="G98" s="459">
        <f t="shared" si="33"/>
        <v>15.734675242454616</v>
      </c>
      <c r="H98" s="459">
        <f t="shared" si="33"/>
        <v>15.45035522538851</v>
      </c>
      <c r="I98" s="459">
        <f t="shared" si="33"/>
        <v>15.02900100910764</v>
      </c>
      <c r="J98" s="459">
        <f t="shared" si="33"/>
        <v>15.201023195608173</v>
      </c>
      <c r="K98" s="459">
        <f t="shared" si="33"/>
        <v>15.112272681124217</v>
      </c>
      <c r="L98" s="459">
        <f t="shared" si="33"/>
        <v>14.572534957827409</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816</v>
      </c>
      <c r="C103" s="459">
        <f t="shared" ref="C103:L103" si="35">C65*C$98</f>
        <v>235.96728169072182</v>
      </c>
      <c r="D103" s="459">
        <f t="shared" si="35"/>
        <v>224.05963551443614</v>
      </c>
      <c r="E103" s="459">
        <f t="shared" si="35"/>
        <v>221.49587318836302</v>
      </c>
      <c r="F103" s="459">
        <f t="shared" si="35"/>
        <v>225.95279847504369</v>
      </c>
      <c r="G103" s="459">
        <f t="shared" si="35"/>
        <v>232.22829631904099</v>
      </c>
      <c r="H103" s="459">
        <f t="shared" si="35"/>
        <v>228.03201313205085</v>
      </c>
      <c r="I103" s="459">
        <f t="shared" si="35"/>
        <v>221.81324024440107</v>
      </c>
      <c r="J103" s="459">
        <f t="shared" si="35"/>
        <v>224.35211814842719</v>
      </c>
      <c r="K103" s="459">
        <f t="shared" si="35"/>
        <v>223.04224803935514</v>
      </c>
      <c r="L103" s="459">
        <f t="shared" si="35"/>
        <v>215.07625128321351</v>
      </c>
    </row>
    <row r="104" spans="1:12">
      <c r="A104" s="309"/>
      <c r="B104" s="326" t="s">
        <v>817</v>
      </c>
      <c r="C104" s="459">
        <f t="shared" ref="C104:L104" si="36">C76*C$98</f>
        <v>559.83792807521741</v>
      </c>
      <c r="D104" s="459">
        <f t="shared" si="36"/>
        <v>531.58675733739449</v>
      </c>
      <c r="E104" s="459">
        <f t="shared" si="36"/>
        <v>525.50417089396001</v>
      </c>
      <c r="F104" s="459">
        <f t="shared" si="36"/>
        <v>536.07833100719006</v>
      </c>
      <c r="G104" s="459">
        <f t="shared" si="36"/>
        <v>550.96709730331031</v>
      </c>
      <c r="H104" s="459">
        <f t="shared" si="36"/>
        <v>541.01131670445363</v>
      </c>
      <c r="I104" s="459">
        <f t="shared" si="36"/>
        <v>526.25713170199492</v>
      </c>
      <c r="J104" s="459">
        <f t="shared" si="36"/>
        <v>532.2806792685974</v>
      </c>
      <c r="K104" s="459">
        <f t="shared" si="36"/>
        <v>529.17298161383655</v>
      </c>
      <c r="L104" s="459">
        <f t="shared" si="36"/>
        <v>510.27346687154505</v>
      </c>
    </row>
    <row r="105" spans="1:12">
      <c r="A105" s="309"/>
      <c r="B105" s="326" t="s">
        <v>818</v>
      </c>
      <c r="C105" s="459">
        <f t="shared" ref="C105:L105" si="37">C87*C$98</f>
        <v>802.99588557839547</v>
      </c>
      <c r="D105" s="459">
        <f t="shared" si="37"/>
        <v>762.47420469971678</v>
      </c>
      <c r="E105" s="459">
        <f t="shared" si="37"/>
        <v>753.74972991369157</v>
      </c>
      <c r="F105" s="459">
        <f t="shared" si="37"/>
        <v>768.91663204474924</v>
      </c>
      <c r="G105" s="459">
        <f t="shared" si="37"/>
        <v>790.27213062311023</v>
      </c>
      <c r="H105" s="459">
        <f t="shared" si="37"/>
        <v>775.99219270234653</v>
      </c>
      <c r="I105" s="459">
        <f t="shared" si="37"/>
        <v>754.82972896436797</v>
      </c>
      <c r="J105" s="459">
        <f t="shared" si="37"/>
        <v>763.46952214379269</v>
      </c>
      <c r="K105" s="459">
        <f t="shared" si="37"/>
        <v>759.0120384592301</v>
      </c>
      <c r="L105" s="459">
        <f t="shared" si="37"/>
        <v>731.90377762798244</v>
      </c>
    </row>
    <row r="106" spans="1:12">
      <c r="A106" s="309"/>
      <c r="B106" s="326" t="s">
        <v>8</v>
      </c>
      <c r="C106" s="459">
        <f>SUM(C103:C105)</f>
        <v>1598.8010953443347</v>
      </c>
      <c r="D106" s="459">
        <f t="shared" ref="D106:L106" si="38">SUM(D103:D105)</f>
        <v>1518.1205975515472</v>
      </c>
      <c r="E106" s="459">
        <f t="shared" si="38"/>
        <v>1500.7497739960145</v>
      </c>
      <c r="F106" s="459">
        <f t="shared" si="38"/>
        <v>1530.947761526983</v>
      </c>
      <c r="G106" s="459">
        <f t="shared" si="38"/>
        <v>1573.4675242454614</v>
      </c>
      <c r="H106" s="459">
        <f t="shared" si="38"/>
        <v>1545.035522538851</v>
      </c>
      <c r="I106" s="459">
        <f t="shared" si="38"/>
        <v>1502.900100910764</v>
      </c>
      <c r="J106" s="459">
        <f t="shared" si="38"/>
        <v>1520.1023195608173</v>
      </c>
      <c r="K106" s="459">
        <f t="shared" si="38"/>
        <v>1511.2272681124218</v>
      </c>
      <c r="L106" s="459">
        <f t="shared" si="38"/>
        <v>1457.2534957827411</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1598.8010953443347</v>
      </c>
      <c r="D111" s="700">
        <f t="shared" ref="D111:L111" si="39">D106</f>
        <v>1518.1205975515472</v>
      </c>
      <c r="E111" s="700">
        <f t="shared" si="39"/>
        <v>1500.7497739960145</v>
      </c>
      <c r="F111" s="700">
        <f t="shared" si="39"/>
        <v>1530.947761526983</v>
      </c>
      <c r="G111" s="700">
        <f t="shared" si="39"/>
        <v>1573.4675242454614</v>
      </c>
      <c r="H111" s="700">
        <f t="shared" si="39"/>
        <v>1545.035522538851</v>
      </c>
      <c r="I111" s="700">
        <f t="shared" si="39"/>
        <v>1502.900100910764</v>
      </c>
      <c r="J111" s="700">
        <f t="shared" si="39"/>
        <v>1520.1023195608173</v>
      </c>
      <c r="K111" s="700">
        <f t="shared" si="39"/>
        <v>1511.2272681124218</v>
      </c>
      <c r="L111" s="700">
        <f t="shared" si="39"/>
        <v>1457.2534957827411</v>
      </c>
    </row>
    <row r="112" spans="1:12">
      <c r="A112" s="309"/>
      <c r="B112" s="700" t="s">
        <v>804</v>
      </c>
      <c r="C112" s="700">
        <f t="shared" ref="C112:L112" si="40">((C67+C78+C89)/100)*C111</f>
        <v>229.88713670435243</v>
      </c>
      <c r="D112" s="700">
        <f t="shared" si="40"/>
        <v>218.28631363794642</v>
      </c>
      <c r="E112" s="700">
        <f t="shared" si="40"/>
        <v>215.78861151539573</v>
      </c>
      <c r="F112" s="700">
        <f t="shared" si="40"/>
        <v>220.13069566078653</v>
      </c>
      <c r="G112" s="700">
        <f t="shared" si="40"/>
        <v>226.24449338907385</v>
      </c>
      <c r="H112" s="700">
        <f t="shared" si="40"/>
        <v>222.1563354048574</v>
      </c>
      <c r="I112" s="700">
        <f t="shared" si="40"/>
        <v>216.09780100672742</v>
      </c>
      <c r="J112" s="700">
        <f t="shared" si="40"/>
        <v>218.57125990160719</v>
      </c>
      <c r="K112" s="700">
        <f t="shared" si="40"/>
        <v>217.29514108262674</v>
      </c>
      <c r="L112" s="700">
        <f t="shared" si="40"/>
        <v>209.53440335600501</v>
      </c>
    </row>
    <row r="113" spans="1:12">
      <c r="A113" s="309"/>
      <c r="B113" s="700" t="s">
        <v>805</v>
      </c>
      <c r="C113" s="700">
        <f t="shared" ref="C113:L113" si="41">((C66+C77+C88)/100)*C111</f>
        <v>1368.9139586399822</v>
      </c>
      <c r="D113" s="700">
        <f t="shared" si="41"/>
        <v>1299.8342839136008</v>
      </c>
      <c r="E113" s="700">
        <f t="shared" si="41"/>
        <v>1284.9611624806187</v>
      </c>
      <c r="F113" s="700">
        <f t="shared" si="41"/>
        <v>1310.8170658661963</v>
      </c>
      <c r="G113" s="700">
        <f t="shared" si="41"/>
        <v>1347.2230308563874</v>
      </c>
      <c r="H113" s="700">
        <f t="shared" si="41"/>
        <v>1322.8791871339934</v>
      </c>
      <c r="I113" s="700">
        <f t="shared" si="41"/>
        <v>1286.8022999040365</v>
      </c>
      <c r="J113" s="700">
        <f t="shared" si="41"/>
        <v>1301.5310596592101</v>
      </c>
      <c r="K113" s="700">
        <f t="shared" si="41"/>
        <v>1293.9321270297951</v>
      </c>
      <c r="L113" s="700">
        <f t="shared" si="41"/>
        <v>1247.7190924267359</v>
      </c>
    </row>
    <row r="114" spans="1:12">
      <c r="A114" s="309"/>
      <c r="B114" s="700" t="s">
        <v>799</v>
      </c>
      <c r="C114" s="700">
        <f>C112*$C$39</f>
        <v>142.07025048328981</v>
      </c>
      <c r="D114" s="700">
        <f t="shared" ref="D114:L114" si="42">D112*$C$39</f>
        <v>134.90094182825089</v>
      </c>
      <c r="E114" s="700">
        <f t="shared" si="42"/>
        <v>133.35736191651455</v>
      </c>
      <c r="F114" s="700">
        <f t="shared" si="42"/>
        <v>136.04076991836607</v>
      </c>
      <c r="G114" s="700">
        <f t="shared" si="42"/>
        <v>139.81909691444764</v>
      </c>
      <c r="H114" s="700">
        <f t="shared" si="42"/>
        <v>137.29261528020189</v>
      </c>
      <c r="I114" s="700">
        <f t="shared" si="42"/>
        <v>133.54844102215753</v>
      </c>
      <c r="J114" s="700">
        <f t="shared" si="42"/>
        <v>135.07703861919325</v>
      </c>
      <c r="K114" s="700">
        <f t="shared" si="42"/>
        <v>134.28839718906332</v>
      </c>
      <c r="L114" s="700">
        <f t="shared" si="42"/>
        <v>129.4922612740111</v>
      </c>
    </row>
    <row r="115" spans="1:12">
      <c r="A115" s="309"/>
      <c r="B115" s="700" t="s">
        <v>800</v>
      </c>
      <c r="C115" s="700">
        <f>C113</f>
        <v>1368.9139586399822</v>
      </c>
      <c r="D115" s="700">
        <f t="shared" ref="D115:L115" si="43">D113</f>
        <v>1299.8342839136008</v>
      </c>
      <c r="E115" s="700">
        <f t="shared" si="43"/>
        <v>1284.9611624806187</v>
      </c>
      <c r="F115" s="700">
        <f t="shared" si="43"/>
        <v>1310.8170658661963</v>
      </c>
      <c r="G115" s="700">
        <f t="shared" si="43"/>
        <v>1347.2230308563874</v>
      </c>
      <c r="H115" s="700">
        <f t="shared" si="43"/>
        <v>1322.8791871339934</v>
      </c>
      <c r="I115" s="700">
        <f t="shared" si="43"/>
        <v>1286.8022999040365</v>
      </c>
      <c r="J115" s="700">
        <f t="shared" si="43"/>
        <v>1301.5310596592101</v>
      </c>
      <c r="K115" s="700">
        <f t="shared" si="43"/>
        <v>1293.9321270297951</v>
      </c>
      <c r="L115" s="700">
        <f t="shared" si="43"/>
        <v>1247.7190924267359</v>
      </c>
    </row>
    <row r="116" spans="1:12">
      <c r="A116" s="309"/>
      <c r="B116" s="700" t="s">
        <v>724</v>
      </c>
      <c r="C116" s="700">
        <f>C115+C114</f>
        <v>1510.984209123272</v>
      </c>
      <c r="D116" s="700">
        <f t="shared" ref="D116:L116" si="44">D115+D114</f>
        <v>1434.7352257418515</v>
      </c>
      <c r="E116" s="700">
        <f t="shared" si="44"/>
        <v>1418.3185243971332</v>
      </c>
      <c r="F116" s="700">
        <f t="shared" si="44"/>
        <v>1446.8578357845624</v>
      </c>
      <c r="G116" s="700">
        <f t="shared" si="44"/>
        <v>1487.0421277708351</v>
      </c>
      <c r="H116" s="700">
        <f t="shared" si="44"/>
        <v>1460.1718024141953</v>
      </c>
      <c r="I116" s="700">
        <f t="shared" si="44"/>
        <v>1420.350740926194</v>
      </c>
      <c r="J116" s="700">
        <f t="shared" si="44"/>
        <v>1436.6080982784033</v>
      </c>
      <c r="K116" s="700">
        <f t="shared" si="44"/>
        <v>1428.2205242188584</v>
      </c>
      <c r="L116" s="700">
        <f t="shared" si="44"/>
        <v>1377.2113537007469</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row r="133" spans="1:12">
      <c r="A133" s="309"/>
      <c r="B133" s="309"/>
      <c r="C133" s="309"/>
      <c r="D133" s="309"/>
      <c r="E133" s="309"/>
      <c r="F133" s="309"/>
      <c r="G133" s="309"/>
      <c r="H133" s="309"/>
      <c r="I133" s="309"/>
      <c r="J133" s="309"/>
      <c r="K133" s="309"/>
      <c r="L133" s="309"/>
    </row>
    <row r="134" spans="1:12">
      <c r="A134" s="309"/>
      <c r="B134" s="309"/>
      <c r="C134" s="309"/>
      <c r="D134" s="309"/>
      <c r="E134" s="309"/>
      <c r="F134" s="309"/>
      <c r="G134" s="309"/>
      <c r="H134" s="309"/>
      <c r="I134" s="309"/>
      <c r="J134" s="309"/>
      <c r="K134" s="309"/>
      <c r="L134" s="309"/>
    </row>
    <row r="135" spans="1:12">
      <c r="A135" s="309"/>
      <c r="B135" s="309"/>
      <c r="C135" s="309"/>
      <c r="D135" s="309"/>
      <c r="E135" s="309"/>
      <c r="F135" s="309"/>
      <c r="G135" s="309"/>
      <c r="H135" s="309"/>
      <c r="I135" s="309"/>
      <c r="J135" s="309"/>
      <c r="K135" s="309"/>
      <c r="L135" s="309"/>
    </row>
    <row r="136" spans="1:12">
      <c r="A136" s="309"/>
      <c r="B136" s="309"/>
      <c r="C136" s="309"/>
      <c r="D136" s="309"/>
      <c r="E136" s="309"/>
      <c r="F136" s="309"/>
      <c r="G136" s="309"/>
      <c r="H136" s="309"/>
      <c r="I136" s="309"/>
      <c r="J136" s="309"/>
      <c r="K136" s="309"/>
      <c r="L136" s="309"/>
    </row>
    <row r="137" spans="1:12">
      <c r="A137" s="309"/>
      <c r="B137" s="309"/>
      <c r="C137" s="309"/>
      <c r="D137" s="309"/>
      <c r="E137" s="309"/>
      <c r="F137" s="309"/>
      <c r="G137" s="309"/>
      <c r="H137" s="309"/>
      <c r="I137" s="309"/>
      <c r="J137" s="309"/>
      <c r="K137" s="309"/>
      <c r="L137" s="309"/>
    </row>
    <row r="138" spans="1:12">
      <c r="A138" s="309"/>
      <c r="B138" s="309"/>
      <c r="C138" s="309"/>
      <c r="D138" s="309"/>
      <c r="E138" s="309"/>
      <c r="F138" s="309"/>
      <c r="G138" s="309"/>
      <c r="H138" s="309"/>
      <c r="I138" s="309"/>
      <c r="J138" s="309"/>
      <c r="K138" s="309"/>
      <c r="L138" s="309"/>
    </row>
    <row r="139" spans="1:12">
      <c r="A139" s="309"/>
      <c r="B139" s="309"/>
      <c r="C139" s="309"/>
      <c r="D139" s="309"/>
      <c r="E139" s="309"/>
      <c r="F139" s="309"/>
      <c r="G139" s="309"/>
      <c r="H139" s="309"/>
      <c r="I139" s="309"/>
      <c r="J139" s="309"/>
      <c r="K139" s="309"/>
      <c r="L139" s="309"/>
    </row>
    <row r="140" spans="1:12">
      <c r="A140" s="309"/>
      <c r="B140" s="309"/>
      <c r="C140" s="309"/>
      <c r="D140" s="309"/>
      <c r="E140" s="309"/>
      <c r="F140" s="309"/>
      <c r="G140" s="309"/>
      <c r="H140" s="309"/>
      <c r="I140" s="309"/>
      <c r="J140" s="309"/>
      <c r="K140" s="309"/>
      <c r="L140" s="309"/>
    </row>
    <row r="141" spans="1:12">
      <c r="A141" s="309"/>
      <c r="B141" s="309"/>
      <c r="C141" s="309"/>
      <c r="D141" s="309"/>
      <c r="E141" s="309"/>
      <c r="F141" s="309"/>
      <c r="G141" s="309"/>
      <c r="H141" s="309"/>
      <c r="I141" s="309"/>
      <c r="J141" s="309"/>
      <c r="K141" s="309"/>
      <c r="L141" s="309"/>
    </row>
    <row r="142" spans="1:12">
      <c r="A142" s="309"/>
      <c r="B142" s="309"/>
      <c r="C142" s="309"/>
      <c r="D142" s="309"/>
      <c r="E142" s="309"/>
      <c r="F142" s="309"/>
      <c r="G142" s="309"/>
      <c r="H142" s="309"/>
      <c r="I142" s="309"/>
      <c r="J142" s="309"/>
      <c r="K142" s="309"/>
      <c r="L142" s="309"/>
    </row>
    <row r="143" spans="1:12">
      <c r="A143" s="309"/>
      <c r="B143" s="309"/>
      <c r="C143" s="309"/>
      <c r="D143" s="309"/>
      <c r="E143" s="309"/>
      <c r="F143" s="309"/>
      <c r="G143" s="309"/>
      <c r="H143" s="309"/>
      <c r="I143" s="309"/>
      <c r="J143" s="309"/>
      <c r="K143" s="309"/>
      <c r="L143" s="309"/>
    </row>
    <row r="144" spans="1:12">
      <c r="A144" s="309"/>
      <c r="B144" s="309"/>
      <c r="C144" s="309"/>
      <c r="D144" s="309"/>
      <c r="E144" s="309"/>
      <c r="F144" s="309"/>
      <c r="G144" s="309"/>
      <c r="H144" s="309"/>
      <c r="I144" s="309"/>
      <c r="J144" s="309"/>
      <c r="K144" s="309"/>
      <c r="L144" s="309"/>
    </row>
    <row r="145" spans="1:12">
      <c r="A145" s="309"/>
      <c r="B145" s="309"/>
      <c r="C145" s="309"/>
      <c r="D145" s="309"/>
      <c r="E145" s="309"/>
      <c r="F145" s="309"/>
      <c r="G145" s="309"/>
      <c r="H145" s="309"/>
      <c r="I145" s="309"/>
      <c r="J145" s="309"/>
      <c r="K145" s="309"/>
      <c r="L145" s="309"/>
    </row>
    <row r="146" spans="1:12">
      <c r="A146" s="309"/>
      <c r="B146" s="309"/>
      <c r="C146" s="309"/>
      <c r="D146" s="309"/>
      <c r="E146" s="309"/>
      <c r="F146" s="309"/>
      <c r="G146" s="309"/>
      <c r="H146" s="309"/>
      <c r="I146" s="309"/>
      <c r="J146" s="309"/>
      <c r="K146" s="309"/>
      <c r="L146" s="309"/>
    </row>
    <row r="147" spans="1:12">
      <c r="A147" s="309"/>
      <c r="B147" s="309"/>
      <c r="C147" s="309"/>
      <c r="D147" s="309"/>
      <c r="E147" s="309"/>
      <c r="F147" s="309"/>
      <c r="G147" s="309"/>
      <c r="H147" s="309"/>
      <c r="I147" s="309"/>
      <c r="J147" s="309"/>
      <c r="K147" s="309"/>
      <c r="L147" s="309"/>
    </row>
    <row r="148" spans="1:12">
      <c r="A148" s="309"/>
      <c r="B148" s="309"/>
      <c r="C148" s="309"/>
      <c r="D148" s="309"/>
      <c r="E148" s="309"/>
      <c r="F148" s="309"/>
      <c r="G148" s="309"/>
      <c r="H148" s="309"/>
      <c r="I148" s="309"/>
      <c r="J148" s="309"/>
      <c r="K148" s="309"/>
      <c r="L148" s="309"/>
    </row>
    <row r="149" spans="1:12">
      <c r="A149" s="309"/>
      <c r="B149" s="309"/>
      <c r="C149" s="309"/>
      <c r="D149" s="309"/>
      <c r="E149" s="309"/>
      <c r="F149" s="309"/>
      <c r="G149" s="309"/>
      <c r="H149" s="309"/>
      <c r="I149" s="309"/>
      <c r="J149" s="309"/>
      <c r="K149" s="309"/>
      <c r="L149" s="309"/>
    </row>
    <row r="150" spans="1:12">
      <c r="A150" s="309"/>
      <c r="B150" s="309"/>
      <c r="C150" s="309"/>
      <c r="D150" s="309"/>
      <c r="E150" s="309"/>
      <c r="F150" s="309"/>
      <c r="G150" s="309"/>
      <c r="H150" s="309"/>
      <c r="I150" s="309"/>
      <c r="J150" s="309"/>
      <c r="K150" s="309"/>
      <c r="L150" s="309"/>
    </row>
    <row r="151" spans="1:12">
      <c r="A151" s="309"/>
      <c r="B151" s="309"/>
      <c r="C151" s="309"/>
      <c r="D151" s="309"/>
      <c r="E151" s="309"/>
      <c r="F151" s="309"/>
      <c r="G151" s="309"/>
      <c r="H151" s="309"/>
      <c r="I151" s="309"/>
      <c r="J151" s="309"/>
      <c r="K151" s="309"/>
      <c r="L151" s="309"/>
    </row>
    <row r="152" spans="1:12">
      <c r="A152" s="309"/>
      <c r="B152" s="309"/>
      <c r="C152" s="309"/>
      <c r="D152" s="309"/>
      <c r="E152" s="309"/>
      <c r="F152" s="309"/>
      <c r="G152" s="309"/>
      <c r="H152" s="309"/>
      <c r="I152" s="309"/>
      <c r="J152" s="309"/>
      <c r="K152" s="309"/>
      <c r="L152" s="309"/>
    </row>
    <row r="153" spans="1:12">
      <c r="A153" s="309"/>
      <c r="B153" s="309"/>
      <c r="C153" s="309"/>
      <c r="D153" s="309"/>
      <c r="E153" s="309"/>
      <c r="F153" s="309"/>
      <c r="G153" s="309"/>
      <c r="H153" s="309"/>
      <c r="I153" s="309"/>
      <c r="J153" s="309"/>
      <c r="K153" s="309"/>
      <c r="L153" s="309"/>
    </row>
    <row r="154" spans="1:12">
      <c r="A154" s="309"/>
      <c r="B154" s="309"/>
      <c r="C154" s="309"/>
      <c r="D154" s="309"/>
      <c r="E154" s="309"/>
      <c r="F154" s="309"/>
      <c r="G154" s="309"/>
      <c r="H154" s="309"/>
      <c r="I154" s="309"/>
      <c r="J154" s="309"/>
      <c r="K154" s="309"/>
      <c r="L154" s="309"/>
    </row>
    <row r="155" spans="1:12">
      <c r="A155" s="309"/>
      <c r="B155" s="309"/>
      <c r="C155" s="309"/>
      <c r="D155" s="309"/>
      <c r="E155" s="309"/>
      <c r="F155" s="309"/>
      <c r="G155" s="309"/>
      <c r="H155" s="309"/>
      <c r="I155" s="309"/>
      <c r="J155" s="309"/>
      <c r="K155" s="309"/>
      <c r="L155" s="309"/>
    </row>
    <row r="156" spans="1:12">
      <c r="A156" s="309"/>
      <c r="B156" s="309"/>
      <c r="C156" s="309"/>
      <c r="D156" s="309"/>
      <c r="E156" s="309"/>
      <c r="F156" s="309"/>
      <c r="G156" s="309"/>
      <c r="H156" s="309"/>
      <c r="I156" s="309"/>
      <c r="J156" s="309"/>
      <c r="K156" s="309"/>
      <c r="L156" s="309"/>
    </row>
    <row r="157" spans="1:12">
      <c r="A157" s="309"/>
      <c r="B157" s="309"/>
      <c r="C157" s="309"/>
      <c r="D157" s="309"/>
      <c r="E157" s="309"/>
      <c r="F157" s="309"/>
      <c r="G157" s="309"/>
      <c r="H157" s="309"/>
      <c r="I157" s="309"/>
      <c r="J157" s="309"/>
      <c r="K157" s="309"/>
      <c r="L157" s="309"/>
    </row>
    <row r="158" spans="1:12">
      <c r="A158" s="309"/>
      <c r="B158" s="309"/>
      <c r="C158" s="309"/>
      <c r="D158" s="309"/>
      <c r="E158" s="309"/>
      <c r="F158" s="309"/>
      <c r="G158" s="309"/>
      <c r="H158" s="309"/>
      <c r="I158" s="309"/>
      <c r="J158" s="309"/>
      <c r="K158" s="309"/>
      <c r="L158" s="309"/>
    </row>
    <row r="159" spans="1:12">
      <c r="A159" s="309"/>
      <c r="B159" s="309"/>
      <c r="C159" s="309"/>
      <c r="D159" s="309"/>
      <c r="E159" s="309"/>
      <c r="F159" s="309"/>
      <c r="G159" s="309"/>
      <c r="H159" s="309"/>
      <c r="I159" s="309"/>
      <c r="J159" s="309"/>
      <c r="K159" s="309"/>
      <c r="L159" s="309"/>
    </row>
    <row r="160" spans="1:12">
      <c r="A160" s="309"/>
      <c r="B160" s="309"/>
      <c r="C160" s="309"/>
      <c r="D160" s="309"/>
      <c r="E160" s="309"/>
      <c r="F160" s="309"/>
      <c r="G160" s="309"/>
      <c r="H160" s="309"/>
      <c r="I160" s="309"/>
      <c r="J160" s="309"/>
      <c r="K160" s="309"/>
      <c r="L160" s="309"/>
    </row>
    <row r="161" spans="1:12">
      <c r="A161" s="309"/>
      <c r="B161" s="309"/>
      <c r="C161" s="309"/>
      <c r="D161" s="309"/>
      <c r="E161" s="309"/>
      <c r="F161" s="309"/>
      <c r="G161" s="309"/>
      <c r="H161" s="309"/>
      <c r="I161" s="309"/>
      <c r="J161" s="309"/>
      <c r="K161" s="309"/>
      <c r="L161" s="309"/>
    </row>
    <row r="162" spans="1:12">
      <c r="A162" s="309"/>
      <c r="B162" s="309"/>
      <c r="C162" s="309"/>
      <c r="D162" s="309"/>
      <c r="E162" s="309"/>
      <c r="F162" s="309"/>
      <c r="G162" s="309"/>
      <c r="H162" s="309"/>
      <c r="I162" s="309"/>
      <c r="J162" s="309"/>
      <c r="K162" s="309"/>
      <c r="L162" s="309"/>
    </row>
    <row r="163" spans="1:12">
      <c r="A163" s="309"/>
      <c r="B163" s="309"/>
      <c r="C163" s="309"/>
      <c r="D163" s="309"/>
      <c r="E163" s="309"/>
      <c r="F163" s="309"/>
      <c r="G163" s="309"/>
      <c r="H163" s="309"/>
      <c r="I163" s="309"/>
      <c r="J163" s="309"/>
      <c r="K163" s="309"/>
      <c r="L163" s="309"/>
    </row>
    <row r="164" spans="1:12">
      <c r="A164" s="309"/>
      <c r="B164" s="309"/>
      <c r="C164" s="309"/>
      <c r="D164" s="309"/>
      <c r="E164" s="309"/>
      <c r="F164" s="309"/>
      <c r="G164" s="309"/>
      <c r="H164" s="309"/>
      <c r="I164" s="309"/>
      <c r="J164" s="309"/>
      <c r="K164" s="309"/>
      <c r="L164" s="309"/>
    </row>
    <row r="165" spans="1:12">
      <c r="A165" s="309"/>
      <c r="B165" s="309"/>
      <c r="C165" s="309"/>
      <c r="D165" s="309"/>
      <c r="E165" s="309"/>
      <c r="F165" s="309"/>
      <c r="G165" s="309"/>
      <c r="H165" s="309"/>
      <c r="I165" s="309"/>
      <c r="J165" s="309"/>
      <c r="K165" s="309"/>
      <c r="L165" s="309"/>
    </row>
    <row r="166" spans="1:12">
      <c r="A166" s="309"/>
      <c r="B166" s="309"/>
      <c r="C166" s="309"/>
      <c r="D166" s="309"/>
      <c r="E166" s="309"/>
      <c r="F166" s="309"/>
      <c r="G166" s="309"/>
      <c r="H166" s="309"/>
      <c r="I166" s="309"/>
      <c r="J166" s="309"/>
      <c r="K166" s="309"/>
      <c r="L166" s="309"/>
    </row>
    <row r="167" spans="1:12">
      <c r="A167" s="309"/>
      <c r="B167" s="309"/>
      <c r="C167" s="309"/>
      <c r="D167" s="309"/>
      <c r="E167" s="309"/>
      <c r="F167" s="309"/>
      <c r="G167" s="309"/>
      <c r="H167" s="309"/>
      <c r="I167" s="309"/>
      <c r="J167" s="309"/>
      <c r="K167" s="309"/>
      <c r="L167" s="309"/>
    </row>
    <row r="168" spans="1:12">
      <c r="A168" s="309"/>
      <c r="B168" s="309"/>
      <c r="C168" s="309"/>
      <c r="D168" s="309"/>
      <c r="E168" s="309"/>
      <c r="F168" s="309"/>
      <c r="G168" s="309"/>
      <c r="H168" s="309"/>
      <c r="I168" s="309"/>
      <c r="J168" s="309"/>
      <c r="K168" s="309"/>
      <c r="L168" s="309"/>
    </row>
    <row r="169" spans="1:12">
      <c r="A169" s="309"/>
      <c r="B169" s="309"/>
      <c r="C169" s="309"/>
      <c r="D169" s="309"/>
      <c r="E169" s="309"/>
      <c r="F169" s="309"/>
      <c r="G169" s="309"/>
      <c r="H169" s="309"/>
      <c r="I169" s="309"/>
      <c r="J169" s="309"/>
      <c r="K169" s="309"/>
      <c r="L169" s="309"/>
    </row>
    <row r="170" spans="1:12">
      <c r="A170" s="309"/>
      <c r="B170" s="309"/>
      <c r="C170" s="309"/>
      <c r="D170" s="309"/>
      <c r="E170" s="309"/>
      <c r="F170" s="309"/>
      <c r="G170" s="309"/>
      <c r="H170" s="309"/>
      <c r="I170" s="309"/>
      <c r="J170" s="309"/>
      <c r="K170" s="309"/>
      <c r="L170" s="309"/>
    </row>
    <row r="171" spans="1:12">
      <c r="A171" s="309"/>
      <c r="B171" s="309"/>
      <c r="C171" s="309"/>
      <c r="D171" s="309"/>
      <c r="E171" s="309"/>
      <c r="F171" s="309"/>
      <c r="G171" s="309"/>
      <c r="H171" s="309"/>
      <c r="I171" s="309"/>
      <c r="J171" s="309"/>
      <c r="K171" s="309"/>
      <c r="L171" s="309"/>
    </row>
    <row r="172" spans="1:12">
      <c r="A172" s="309"/>
      <c r="B172" s="309"/>
      <c r="C172" s="309"/>
      <c r="D172" s="309"/>
      <c r="E172" s="309"/>
      <c r="F172" s="309"/>
      <c r="G172" s="309"/>
      <c r="H172" s="309"/>
      <c r="I172" s="309"/>
      <c r="J172" s="309"/>
      <c r="K172" s="309"/>
      <c r="L172" s="309"/>
    </row>
    <row r="173" spans="1:12">
      <c r="A173" s="309"/>
      <c r="B173" s="309"/>
      <c r="C173" s="309"/>
      <c r="D173" s="309"/>
      <c r="E173" s="309"/>
      <c r="F173" s="309"/>
      <c r="G173" s="309"/>
      <c r="H173" s="309"/>
      <c r="I173" s="309"/>
      <c r="J173" s="309"/>
      <c r="K173" s="309"/>
      <c r="L173" s="309"/>
    </row>
    <row r="174" spans="1:12">
      <c r="A174" s="309"/>
      <c r="B174" s="309"/>
      <c r="C174" s="309"/>
      <c r="D174" s="309"/>
      <c r="E174" s="309"/>
      <c r="F174" s="309"/>
      <c r="G174" s="309"/>
      <c r="H174" s="309"/>
      <c r="I174" s="309"/>
      <c r="J174" s="309"/>
      <c r="K174" s="309"/>
      <c r="L174" s="309"/>
    </row>
    <row r="175" spans="1:12">
      <c r="A175" s="309"/>
      <c r="B175" s="309"/>
      <c r="C175" s="309"/>
      <c r="D175" s="309"/>
      <c r="E175" s="309"/>
      <c r="F175" s="309"/>
      <c r="G175" s="309"/>
      <c r="H175" s="309"/>
      <c r="I175" s="309"/>
      <c r="J175" s="309"/>
      <c r="K175" s="309"/>
      <c r="L175" s="309"/>
    </row>
    <row r="176" spans="1:12">
      <c r="A176" s="309"/>
      <c r="B176" s="309"/>
      <c r="C176" s="309"/>
      <c r="D176" s="309"/>
      <c r="E176" s="309"/>
      <c r="F176" s="309"/>
      <c r="G176" s="309"/>
      <c r="H176" s="309"/>
      <c r="I176" s="309"/>
      <c r="J176" s="309"/>
      <c r="K176" s="309"/>
      <c r="L176" s="309"/>
    </row>
    <row r="177" spans="1:12">
      <c r="A177" s="309"/>
      <c r="B177" s="309"/>
      <c r="C177" s="309"/>
      <c r="D177" s="309"/>
      <c r="E177" s="309"/>
      <c r="F177" s="309"/>
      <c r="G177" s="309"/>
      <c r="H177" s="309"/>
      <c r="I177" s="309"/>
      <c r="J177" s="309"/>
      <c r="K177" s="309"/>
      <c r="L177" s="309"/>
    </row>
    <row r="178" spans="1:12">
      <c r="A178" s="309"/>
      <c r="B178" s="309"/>
      <c r="C178" s="309"/>
      <c r="D178" s="309"/>
      <c r="E178" s="309"/>
      <c r="F178" s="309"/>
      <c r="G178" s="309"/>
      <c r="H178" s="309"/>
      <c r="I178" s="309"/>
      <c r="J178" s="309"/>
      <c r="K178" s="309"/>
      <c r="L178" s="309"/>
    </row>
    <row r="179" spans="1:12">
      <c r="A179" s="309"/>
      <c r="B179" s="309"/>
      <c r="C179" s="309"/>
      <c r="D179" s="309"/>
      <c r="E179" s="309"/>
      <c r="F179" s="309"/>
      <c r="G179" s="309"/>
      <c r="H179" s="309"/>
      <c r="I179" s="309"/>
      <c r="J179" s="309"/>
      <c r="K179" s="309"/>
      <c r="L179" s="309"/>
    </row>
    <row r="180" spans="1:12">
      <c r="A180" s="309"/>
      <c r="B180" s="309"/>
      <c r="C180" s="309"/>
      <c r="D180" s="309"/>
      <c r="E180" s="309"/>
      <c r="F180" s="309"/>
      <c r="G180" s="309"/>
      <c r="H180" s="309"/>
      <c r="I180" s="309"/>
      <c r="J180" s="309"/>
      <c r="K180" s="309"/>
      <c r="L180" s="309"/>
    </row>
    <row r="181" spans="1:12">
      <c r="A181" s="309"/>
      <c r="B181" s="309"/>
      <c r="C181" s="309"/>
      <c r="D181" s="309"/>
      <c r="E181" s="309"/>
      <c r="F181" s="309"/>
      <c r="G181" s="309"/>
      <c r="H181" s="309"/>
      <c r="I181" s="309"/>
      <c r="J181" s="309"/>
      <c r="K181" s="309"/>
      <c r="L181" s="309"/>
    </row>
    <row r="182" spans="1:12">
      <c r="A182" s="309"/>
      <c r="B182" s="309"/>
      <c r="C182" s="309"/>
      <c r="D182" s="309"/>
      <c r="E182" s="309"/>
      <c r="F182" s="309"/>
      <c r="G182" s="309"/>
      <c r="H182" s="309"/>
      <c r="I182" s="309"/>
      <c r="J182" s="309"/>
      <c r="K182" s="309"/>
      <c r="L182" s="309"/>
    </row>
    <row r="183" spans="1:12">
      <c r="A183" s="309"/>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5" spans="1:12">
      <c r="A185" s="309"/>
      <c r="B185" s="309"/>
      <c r="C185" s="309"/>
      <c r="D185" s="309"/>
      <c r="E185" s="309"/>
      <c r="F185" s="309"/>
      <c r="G185" s="309"/>
      <c r="H185" s="309"/>
      <c r="I185" s="309"/>
      <c r="J185" s="309"/>
      <c r="K185" s="309"/>
      <c r="L185" s="309"/>
    </row>
    <row r="186" spans="1:12">
      <c r="A186" s="309"/>
      <c r="B186" s="309"/>
      <c r="C186" s="309"/>
      <c r="D186" s="309"/>
      <c r="E186" s="309"/>
      <c r="F186" s="309"/>
      <c r="G186" s="309"/>
      <c r="H186" s="309"/>
      <c r="I186" s="309"/>
      <c r="J186" s="309"/>
      <c r="K186" s="309"/>
      <c r="L186" s="309"/>
    </row>
    <row r="187" spans="1:12">
      <c r="A187" s="309"/>
      <c r="B187" s="309"/>
      <c r="C187" s="309"/>
      <c r="D187" s="309"/>
      <c r="E187" s="309"/>
      <c r="F187" s="309"/>
      <c r="G187" s="309"/>
      <c r="H187" s="309"/>
      <c r="I187" s="309"/>
      <c r="J187" s="309"/>
      <c r="K187" s="309"/>
      <c r="L187" s="309"/>
    </row>
    <row r="188" spans="1:12">
      <c r="A188" s="309"/>
      <c r="B188" s="309"/>
      <c r="C188" s="309"/>
      <c r="D188" s="309"/>
      <c r="E188" s="309"/>
      <c r="F188" s="309"/>
      <c r="G188" s="309"/>
      <c r="H188" s="309"/>
      <c r="I188" s="309"/>
      <c r="J188" s="309"/>
      <c r="K188" s="309"/>
      <c r="L188" s="309"/>
    </row>
    <row r="189" spans="1:12">
      <c r="A189" s="309"/>
      <c r="B189" s="309"/>
      <c r="C189" s="309"/>
      <c r="D189" s="309"/>
      <c r="E189" s="309"/>
      <c r="F189" s="309"/>
      <c r="G189" s="309"/>
      <c r="H189" s="309"/>
      <c r="I189" s="309"/>
      <c r="J189" s="309"/>
      <c r="K189" s="309"/>
      <c r="L189" s="309"/>
    </row>
    <row r="190" spans="1:12">
      <c r="A190" s="309"/>
      <c r="B190" s="309"/>
      <c r="C190" s="309"/>
      <c r="D190" s="309"/>
      <c r="E190" s="309"/>
      <c r="F190" s="309"/>
      <c r="G190" s="309"/>
      <c r="H190" s="309"/>
      <c r="I190" s="309"/>
      <c r="J190" s="309"/>
      <c r="K190" s="309"/>
      <c r="L190" s="309"/>
    </row>
    <row r="191" spans="1:12">
      <c r="A191" s="309"/>
      <c r="B191" s="309"/>
      <c r="C191" s="309"/>
      <c r="D191" s="309"/>
      <c r="E191" s="309"/>
      <c r="F191" s="309"/>
      <c r="G191" s="309"/>
      <c r="H191" s="309"/>
      <c r="I191" s="309"/>
      <c r="J191" s="309"/>
      <c r="K191" s="309"/>
      <c r="L191" s="309"/>
    </row>
    <row r="192" spans="1:12">
      <c r="A192" s="309"/>
      <c r="B192" s="309"/>
      <c r="C192" s="309"/>
      <c r="D192" s="309"/>
      <c r="E192" s="309"/>
      <c r="F192" s="309"/>
      <c r="G192" s="309"/>
      <c r="H192" s="309"/>
      <c r="I192" s="309"/>
      <c r="J192" s="309"/>
      <c r="K192" s="309"/>
      <c r="L192" s="309"/>
    </row>
    <row r="193" spans="1:12">
      <c r="A193" s="309"/>
      <c r="B193" s="309"/>
      <c r="C193" s="309"/>
      <c r="D193" s="309"/>
      <c r="E193" s="309"/>
      <c r="F193" s="309"/>
      <c r="G193" s="309"/>
      <c r="H193" s="309"/>
      <c r="I193" s="309"/>
      <c r="J193" s="309"/>
      <c r="K193" s="309"/>
      <c r="L193" s="309"/>
    </row>
    <row r="194" spans="1:12">
      <c r="A194" s="309"/>
      <c r="B194" s="309"/>
      <c r="C194" s="309"/>
      <c r="D194" s="309"/>
      <c r="E194" s="309"/>
      <c r="F194" s="309"/>
      <c r="G194" s="309"/>
      <c r="H194" s="309"/>
      <c r="I194" s="309"/>
      <c r="J194" s="309"/>
      <c r="K194" s="309"/>
      <c r="L194" s="309"/>
    </row>
    <row r="195" spans="1:12">
      <c r="A195" s="309"/>
      <c r="B195" s="309"/>
      <c r="C195" s="309"/>
      <c r="D195" s="309"/>
      <c r="E195" s="309"/>
      <c r="F195" s="309"/>
      <c r="G195" s="309"/>
      <c r="H195" s="309"/>
      <c r="I195" s="309"/>
      <c r="J195" s="309"/>
      <c r="K195" s="309"/>
      <c r="L195" s="309"/>
    </row>
    <row r="196" spans="1:12">
      <c r="A196" s="309"/>
      <c r="B196" s="309"/>
      <c r="C196" s="309"/>
      <c r="D196" s="309"/>
      <c r="E196" s="309"/>
      <c r="F196" s="309"/>
      <c r="G196" s="309"/>
      <c r="H196" s="309"/>
      <c r="I196" s="309"/>
      <c r="J196" s="309"/>
      <c r="K196" s="309"/>
      <c r="L196" s="309"/>
    </row>
    <row r="197" spans="1:12">
      <c r="A197" s="309"/>
      <c r="B197" s="309"/>
      <c r="C197" s="309"/>
      <c r="D197" s="309"/>
      <c r="E197" s="309"/>
      <c r="F197" s="309"/>
      <c r="G197" s="309"/>
      <c r="H197" s="309"/>
      <c r="I197" s="309"/>
      <c r="J197" s="309"/>
      <c r="K197" s="309"/>
      <c r="L197" s="309"/>
    </row>
    <row r="198" spans="1:12">
      <c r="A198" s="309"/>
      <c r="B198" s="309"/>
      <c r="C198" s="309"/>
      <c r="D198" s="309"/>
      <c r="E198" s="309"/>
      <c r="F198" s="309"/>
      <c r="G198" s="309"/>
      <c r="H198" s="309"/>
      <c r="I198" s="309"/>
      <c r="J198" s="309"/>
      <c r="K198" s="309"/>
      <c r="L198" s="309"/>
    </row>
    <row r="199" spans="1:12">
      <c r="A199" s="309"/>
      <c r="B199" s="309"/>
      <c r="C199" s="309"/>
      <c r="D199" s="309"/>
      <c r="E199" s="309"/>
      <c r="F199" s="309"/>
      <c r="G199" s="309"/>
      <c r="H199" s="309"/>
      <c r="I199" s="309"/>
      <c r="J199" s="309"/>
      <c r="K199" s="309"/>
      <c r="L199" s="309"/>
    </row>
    <row r="200" spans="1:12">
      <c r="A200" s="309"/>
      <c r="B200" s="309"/>
      <c r="C200" s="309"/>
      <c r="D200" s="309"/>
      <c r="E200" s="309"/>
      <c r="F200" s="309"/>
      <c r="G200" s="309"/>
      <c r="H200" s="309"/>
      <c r="I200" s="309"/>
      <c r="J200" s="309"/>
      <c r="K200" s="309"/>
      <c r="L200" s="309"/>
    </row>
    <row r="201" spans="1:12">
      <c r="A201" s="309"/>
      <c r="B201" s="309"/>
      <c r="C201" s="309"/>
      <c r="D201" s="309"/>
      <c r="E201" s="309"/>
      <c r="F201" s="309"/>
      <c r="G201" s="309"/>
      <c r="H201" s="309"/>
      <c r="I201" s="309"/>
      <c r="J201" s="309"/>
      <c r="K201" s="309"/>
      <c r="L201" s="309"/>
    </row>
    <row r="202" spans="1:12">
      <c r="A202" s="309"/>
      <c r="B202" s="309"/>
      <c r="C202" s="309"/>
      <c r="D202" s="309"/>
      <c r="E202" s="309"/>
      <c r="F202" s="309"/>
      <c r="G202" s="309"/>
      <c r="H202" s="309"/>
      <c r="I202" s="309"/>
      <c r="J202" s="309"/>
      <c r="K202" s="309"/>
      <c r="L202" s="309"/>
    </row>
    <row r="203" spans="1:12">
      <c r="A203" s="309"/>
      <c r="B203" s="309"/>
      <c r="C203" s="309"/>
      <c r="D203" s="309"/>
      <c r="E203" s="309"/>
      <c r="F203" s="309"/>
      <c r="G203" s="309"/>
      <c r="H203" s="309"/>
      <c r="I203" s="309"/>
      <c r="J203" s="309"/>
      <c r="K203" s="309"/>
      <c r="L203" s="309"/>
    </row>
    <row r="204" spans="1:12">
      <c r="A204" s="309"/>
      <c r="B204" s="309"/>
      <c r="C204" s="309"/>
      <c r="D204" s="309"/>
      <c r="E204" s="309"/>
      <c r="F204" s="309"/>
      <c r="G204" s="309"/>
      <c r="H204" s="309"/>
      <c r="I204" s="309"/>
      <c r="J204" s="309"/>
      <c r="K204" s="309"/>
      <c r="L204" s="309"/>
    </row>
    <row r="205" spans="1:12">
      <c r="A205" s="309"/>
      <c r="B205" s="309"/>
      <c r="C205" s="309"/>
      <c r="D205" s="309"/>
      <c r="E205" s="309"/>
      <c r="F205" s="309"/>
      <c r="G205" s="309"/>
      <c r="H205" s="309"/>
      <c r="I205" s="309"/>
      <c r="J205" s="309"/>
      <c r="K205" s="309"/>
      <c r="L205" s="309"/>
    </row>
    <row r="206" spans="1:12">
      <c r="A206" s="309"/>
      <c r="B206" s="309"/>
      <c r="C206" s="309"/>
      <c r="D206" s="309"/>
      <c r="E206" s="309"/>
      <c r="F206" s="309"/>
      <c r="G206" s="309"/>
      <c r="H206" s="309"/>
      <c r="I206" s="309"/>
      <c r="J206" s="309"/>
      <c r="K206" s="309"/>
      <c r="L206" s="309"/>
    </row>
    <row r="207" spans="1:12">
      <c r="A207" s="309"/>
      <c r="B207" s="309"/>
      <c r="C207" s="309"/>
      <c r="D207" s="309"/>
      <c r="E207" s="309"/>
      <c r="F207" s="309"/>
      <c r="G207" s="309"/>
      <c r="H207" s="309"/>
      <c r="I207" s="309"/>
      <c r="J207" s="309"/>
      <c r="K207" s="309"/>
      <c r="L207" s="309"/>
    </row>
    <row r="208" spans="1:12">
      <c r="A208" s="309"/>
      <c r="B208" s="309"/>
      <c r="C208" s="309"/>
      <c r="D208" s="309"/>
      <c r="E208" s="309"/>
      <c r="F208" s="309"/>
      <c r="G208" s="309"/>
      <c r="H208" s="309"/>
      <c r="I208" s="309"/>
      <c r="J208" s="309"/>
      <c r="K208" s="309"/>
      <c r="L208" s="309"/>
    </row>
    <row r="209" spans="1:12">
      <c r="A209" s="309"/>
      <c r="B209" s="309"/>
      <c r="C209" s="309"/>
      <c r="D209" s="309"/>
      <c r="E209" s="309"/>
      <c r="F209" s="309"/>
      <c r="G209" s="309"/>
      <c r="H209" s="309"/>
      <c r="I209" s="309"/>
      <c r="J209" s="309"/>
      <c r="K209" s="309"/>
      <c r="L209" s="309"/>
    </row>
    <row r="210" spans="1:12">
      <c r="A210" s="309"/>
      <c r="B210" s="309"/>
      <c r="C210" s="309"/>
      <c r="D210" s="309"/>
      <c r="E210" s="309"/>
      <c r="F210" s="309"/>
      <c r="G210" s="309"/>
      <c r="H210" s="309"/>
      <c r="I210" s="309"/>
      <c r="J210" s="309"/>
      <c r="K210" s="309"/>
      <c r="L210" s="309"/>
    </row>
    <row r="211" spans="1:12">
      <c r="A211" s="309"/>
      <c r="B211" s="309"/>
      <c r="C211" s="309"/>
      <c r="D211" s="309"/>
      <c r="E211" s="309"/>
      <c r="F211" s="309"/>
      <c r="G211" s="309"/>
      <c r="H211" s="309"/>
      <c r="I211" s="309"/>
      <c r="J211" s="309"/>
      <c r="K211" s="309"/>
      <c r="L211" s="309"/>
    </row>
    <row r="212" spans="1:12">
      <c r="A212" s="309"/>
      <c r="B212" s="309"/>
      <c r="C212" s="309"/>
      <c r="D212" s="309"/>
      <c r="E212" s="309"/>
      <c r="F212" s="309"/>
      <c r="G212" s="309"/>
      <c r="H212" s="309"/>
      <c r="I212" s="309"/>
      <c r="J212" s="309"/>
      <c r="K212" s="309"/>
      <c r="L212" s="309"/>
    </row>
    <row r="213" spans="1:12">
      <c r="A213" s="309"/>
      <c r="B213" s="309"/>
      <c r="C213" s="309"/>
      <c r="D213" s="309"/>
      <c r="E213" s="309"/>
      <c r="F213" s="309"/>
      <c r="G213" s="309"/>
      <c r="H213" s="309"/>
      <c r="I213" s="309"/>
      <c r="J213" s="309"/>
      <c r="K213" s="309"/>
      <c r="L213" s="309"/>
    </row>
    <row r="214" spans="1:12">
      <c r="A214" s="309"/>
      <c r="B214" s="309"/>
      <c r="C214" s="309"/>
      <c r="D214" s="309"/>
      <c r="E214" s="309"/>
      <c r="F214" s="309"/>
      <c r="G214" s="309"/>
      <c r="H214" s="309"/>
      <c r="I214" s="309"/>
      <c r="J214" s="309"/>
      <c r="K214" s="309"/>
      <c r="L214" s="309"/>
    </row>
    <row r="215" spans="1:12">
      <c r="A215" s="309"/>
      <c r="B215" s="309"/>
      <c r="C215" s="309"/>
      <c r="D215" s="309"/>
      <c r="E215" s="309"/>
      <c r="F215" s="309"/>
      <c r="G215" s="309"/>
      <c r="H215" s="309"/>
      <c r="I215" s="309"/>
      <c r="J215" s="309"/>
      <c r="K215" s="309"/>
      <c r="L215" s="309"/>
    </row>
    <row r="216" spans="1:12">
      <c r="A216" s="309"/>
      <c r="B216" s="309"/>
      <c r="C216" s="309"/>
      <c r="D216" s="309"/>
      <c r="E216" s="309"/>
      <c r="F216" s="309"/>
      <c r="G216" s="309"/>
      <c r="H216" s="309"/>
      <c r="I216" s="309"/>
      <c r="J216" s="309"/>
      <c r="K216" s="309"/>
      <c r="L216" s="309"/>
    </row>
    <row r="217" spans="1:12">
      <c r="A217" s="309"/>
      <c r="B217" s="309"/>
      <c r="C217" s="309"/>
      <c r="D217" s="309"/>
      <c r="E217" s="309"/>
      <c r="F217" s="309"/>
      <c r="G217" s="309"/>
      <c r="H217" s="309"/>
      <c r="I217" s="309"/>
      <c r="J217" s="309"/>
      <c r="K217" s="309"/>
      <c r="L217" s="309"/>
    </row>
    <row r="218" spans="1:12">
      <c r="A218" s="309"/>
      <c r="B218" s="309"/>
      <c r="C218" s="309"/>
      <c r="D218" s="309"/>
      <c r="E218" s="309"/>
      <c r="F218" s="309"/>
      <c r="G218" s="309"/>
      <c r="H218" s="309"/>
      <c r="I218" s="309"/>
      <c r="J218" s="309"/>
      <c r="K218" s="309"/>
      <c r="L218" s="309"/>
    </row>
    <row r="219" spans="1:12">
      <c r="A219" s="309"/>
      <c r="B219" s="309"/>
      <c r="C219" s="309"/>
      <c r="D219" s="309"/>
      <c r="E219" s="309"/>
      <c r="F219" s="309"/>
      <c r="G219" s="309"/>
      <c r="H219" s="309"/>
      <c r="I219" s="309"/>
      <c r="J219" s="309"/>
      <c r="K219" s="309"/>
      <c r="L219" s="309"/>
    </row>
    <row r="220" spans="1:12">
      <c r="A220" s="309"/>
      <c r="B220" s="309"/>
      <c r="C220" s="309"/>
      <c r="D220" s="309"/>
      <c r="E220" s="309"/>
      <c r="F220" s="309"/>
      <c r="G220" s="309"/>
      <c r="H220" s="309"/>
      <c r="I220" s="309"/>
      <c r="J220" s="309"/>
      <c r="K220" s="309"/>
      <c r="L220" s="309"/>
    </row>
    <row r="221" spans="1:12">
      <c r="A221" s="309"/>
      <c r="B221" s="309"/>
      <c r="C221" s="309"/>
      <c r="D221" s="309"/>
      <c r="E221" s="309"/>
      <c r="F221" s="309"/>
      <c r="G221" s="309"/>
      <c r="H221" s="309"/>
      <c r="I221" s="309"/>
      <c r="J221" s="309"/>
      <c r="K221" s="309"/>
      <c r="L221" s="309"/>
    </row>
    <row r="222" spans="1:12">
      <c r="A222" s="309"/>
      <c r="B222" s="309"/>
      <c r="C222" s="309"/>
      <c r="D222" s="309"/>
      <c r="E222" s="309"/>
      <c r="F222" s="309"/>
      <c r="G222" s="309"/>
      <c r="H222" s="309"/>
      <c r="I222" s="309"/>
      <c r="J222" s="309"/>
      <c r="K222" s="309"/>
      <c r="L222" s="309"/>
    </row>
    <row r="223" spans="1:12">
      <c r="A223" s="309"/>
      <c r="B223" s="309"/>
      <c r="C223" s="309"/>
      <c r="D223" s="309"/>
      <c r="E223" s="309"/>
      <c r="F223" s="309"/>
      <c r="G223" s="309"/>
      <c r="H223" s="309"/>
      <c r="I223" s="309"/>
      <c r="J223" s="309"/>
      <c r="K223" s="309"/>
      <c r="L223" s="309"/>
    </row>
    <row r="224" spans="1:12">
      <c r="A224" s="309"/>
      <c r="B224" s="309"/>
      <c r="C224" s="309"/>
      <c r="D224" s="309"/>
      <c r="E224" s="309"/>
      <c r="F224" s="309"/>
      <c r="G224" s="309"/>
      <c r="H224" s="309"/>
      <c r="I224" s="309"/>
      <c r="J224" s="309"/>
      <c r="K224" s="309"/>
      <c r="L224" s="309"/>
    </row>
    <row r="225" spans="1:12">
      <c r="A225" s="309"/>
      <c r="B225" s="309"/>
      <c r="C225" s="309"/>
      <c r="D225" s="309"/>
      <c r="E225" s="309"/>
      <c r="F225" s="309"/>
      <c r="G225" s="309"/>
      <c r="H225" s="309"/>
      <c r="I225" s="309"/>
      <c r="J225" s="309"/>
      <c r="K225" s="309"/>
      <c r="L225" s="309"/>
    </row>
    <row r="226" spans="1:12">
      <c r="A226" s="309"/>
      <c r="B226" s="309"/>
      <c r="C226" s="309"/>
      <c r="D226" s="309"/>
      <c r="E226" s="309"/>
      <c r="F226" s="309"/>
      <c r="G226" s="309"/>
      <c r="H226" s="309"/>
      <c r="I226" s="309"/>
      <c r="J226" s="309"/>
      <c r="K226" s="309"/>
      <c r="L226" s="309"/>
    </row>
    <row r="227" spans="1:12">
      <c r="A227" s="309"/>
      <c r="B227" s="309"/>
      <c r="C227" s="309"/>
      <c r="D227" s="309"/>
      <c r="E227" s="309"/>
      <c r="F227" s="309"/>
      <c r="G227" s="309"/>
      <c r="H227" s="309"/>
      <c r="I227" s="309"/>
      <c r="J227" s="309"/>
      <c r="K227" s="309"/>
      <c r="L227" s="309"/>
    </row>
    <row r="228" spans="1:12">
      <c r="A228" s="309"/>
      <c r="B228" s="309"/>
      <c r="C228" s="309"/>
      <c r="D228" s="309"/>
      <c r="E228" s="309"/>
      <c r="F228" s="309"/>
      <c r="G228" s="309"/>
      <c r="H228" s="309"/>
      <c r="I228" s="309"/>
      <c r="J228" s="309"/>
      <c r="K228" s="309"/>
      <c r="L228" s="309"/>
    </row>
    <row r="229" spans="1:12">
      <c r="A229" s="309"/>
      <c r="B229" s="309"/>
      <c r="C229" s="309"/>
      <c r="D229" s="309"/>
      <c r="E229" s="309"/>
      <c r="F229" s="309"/>
      <c r="G229" s="309"/>
      <c r="H229" s="309"/>
      <c r="I229" s="309"/>
      <c r="J229" s="309"/>
      <c r="K229" s="309"/>
      <c r="L229" s="309"/>
    </row>
    <row r="230" spans="1:12">
      <c r="A230" s="309"/>
      <c r="B230" s="309"/>
      <c r="C230" s="309"/>
      <c r="D230" s="309"/>
      <c r="E230" s="309"/>
      <c r="F230" s="309"/>
      <c r="G230" s="309"/>
      <c r="H230" s="309"/>
      <c r="I230" s="309"/>
      <c r="J230" s="309"/>
      <c r="K230" s="309"/>
      <c r="L230" s="309"/>
    </row>
    <row r="231" spans="1:12">
      <c r="A231" s="309"/>
      <c r="B231" s="309"/>
      <c r="C231" s="309"/>
      <c r="D231" s="309"/>
      <c r="E231" s="309"/>
      <c r="F231" s="309"/>
      <c r="G231" s="309"/>
      <c r="H231" s="309"/>
      <c r="I231" s="309"/>
      <c r="J231" s="309"/>
      <c r="K231" s="309"/>
      <c r="L231" s="309"/>
    </row>
    <row r="232" spans="1:12">
      <c r="A232" s="309"/>
      <c r="B232" s="309"/>
      <c r="C232" s="309"/>
      <c r="D232" s="309"/>
      <c r="E232" s="309"/>
      <c r="F232" s="309"/>
      <c r="G232" s="309"/>
      <c r="H232" s="309"/>
      <c r="I232" s="309"/>
      <c r="J232" s="309"/>
      <c r="K232" s="309"/>
      <c r="L232" s="309"/>
    </row>
    <row r="233" spans="1:12">
      <c r="A233" s="309"/>
      <c r="B233" s="309"/>
      <c r="C233" s="309"/>
      <c r="D233" s="309"/>
      <c r="E233" s="309"/>
      <c r="F233" s="309"/>
      <c r="G233" s="309"/>
      <c r="H233" s="309"/>
      <c r="I233" s="309"/>
      <c r="J233" s="309"/>
      <c r="K233" s="309"/>
      <c r="L233" s="309"/>
    </row>
    <row r="234" spans="1:12">
      <c r="A234" s="309"/>
      <c r="B234" s="309"/>
      <c r="C234" s="309"/>
      <c r="D234" s="309"/>
      <c r="E234" s="309"/>
      <c r="F234" s="309"/>
      <c r="G234" s="309"/>
      <c r="H234" s="309"/>
      <c r="I234" s="309"/>
      <c r="J234" s="309"/>
      <c r="K234" s="309"/>
      <c r="L234" s="309"/>
    </row>
    <row r="235" spans="1:12">
      <c r="A235" s="309"/>
      <c r="B235" s="309"/>
      <c r="C235" s="309"/>
      <c r="D235" s="309"/>
      <c r="E235" s="309"/>
      <c r="F235" s="309"/>
      <c r="G235" s="309"/>
      <c r="H235" s="309"/>
      <c r="I235" s="309"/>
      <c r="J235" s="309"/>
      <c r="K235" s="309"/>
      <c r="L235" s="309"/>
    </row>
    <row r="236" spans="1:12">
      <c r="A236" s="309"/>
      <c r="B236" s="309"/>
      <c r="C236" s="309"/>
      <c r="D236" s="309"/>
      <c r="E236" s="309"/>
      <c r="F236" s="309"/>
      <c r="G236" s="309"/>
      <c r="H236" s="309"/>
      <c r="I236" s="309"/>
      <c r="J236" s="309"/>
      <c r="K236" s="309"/>
      <c r="L236" s="309"/>
    </row>
    <row r="237" spans="1:12">
      <c r="A237" s="309"/>
      <c r="B237" s="309"/>
      <c r="C237" s="309"/>
      <c r="D237" s="309"/>
      <c r="E237" s="309"/>
      <c r="F237" s="309"/>
      <c r="G237" s="309"/>
      <c r="H237" s="309"/>
      <c r="I237" s="309"/>
      <c r="J237" s="309"/>
      <c r="K237" s="309"/>
      <c r="L237" s="309"/>
    </row>
    <row r="238" spans="1:12">
      <c r="A238" s="309"/>
      <c r="B238" s="309"/>
      <c r="C238" s="309"/>
      <c r="D238" s="309"/>
      <c r="E238" s="309"/>
      <c r="F238" s="309"/>
      <c r="G238" s="309"/>
      <c r="H238" s="309"/>
      <c r="I238" s="309"/>
      <c r="J238" s="309"/>
      <c r="K238" s="309"/>
      <c r="L238" s="309"/>
    </row>
    <row r="239" spans="1:12">
      <c r="A239" s="309"/>
      <c r="B239" s="309"/>
      <c r="C239" s="309"/>
      <c r="D239" s="309"/>
      <c r="E239" s="309"/>
      <c r="F239" s="309"/>
      <c r="G239" s="309"/>
      <c r="H239" s="309"/>
      <c r="I239" s="309"/>
      <c r="J239" s="309"/>
      <c r="K239" s="309"/>
      <c r="L239" s="309"/>
    </row>
    <row r="240" spans="1:12">
      <c r="A240" s="309"/>
      <c r="B240" s="309"/>
      <c r="C240" s="309"/>
      <c r="D240" s="309"/>
      <c r="E240" s="309"/>
      <c r="F240" s="309"/>
      <c r="G240" s="309"/>
      <c r="H240" s="309"/>
      <c r="I240" s="309"/>
      <c r="J240" s="309"/>
      <c r="K240" s="309"/>
      <c r="L240" s="309"/>
    </row>
    <row r="241" spans="1:12">
      <c r="A241" s="309"/>
      <c r="B241" s="309"/>
      <c r="C241" s="309"/>
      <c r="D241" s="309"/>
      <c r="E241" s="309"/>
      <c r="F241" s="309"/>
      <c r="G241" s="309"/>
      <c r="H241" s="309"/>
      <c r="I241" s="309"/>
      <c r="J241" s="309"/>
      <c r="K241" s="309"/>
      <c r="L241" s="309"/>
    </row>
    <row r="242" spans="1:12">
      <c r="A242" s="309"/>
      <c r="B242" s="309"/>
      <c r="C242" s="309"/>
      <c r="D242" s="309"/>
      <c r="E242" s="309"/>
      <c r="F242" s="309"/>
      <c r="G242" s="309"/>
      <c r="H242" s="309"/>
      <c r="I242" s="309"/>
      <c r="J242" s="309"/>
      <c r="K242" s="309"/>
      <c r="L242" s="309"/>
    </row>
    <row r="243" spans="1:12">
      <c r="A243" s="309"/>
      <c r="B243" s="309"/>
      <c r="C243" s="309"/>
      <c r="D243" s="309"/>
      <c r="E243" s="309"/>
      <c r="F243" s="309"/>
      <c r="G243" s="309"/>
      <c r="H243" s="309"/>
      <c r="I243" s="309"/>
      <c r="J243" s="309"/>
      <c r="K243" s="309"/>
      <c r="L243" s="309"/>
    </row>
    <row r="244" spans="1:12">
      <c r="A244" s="309"/>
      <c r="B244" s="309"/>
      <c r="C244" s="309"/>
      <c r="D244" s="309"/>
      <c r="E244" s="309"/>
      <c r="F244" s="309"/>
      <c r="G244" s="309"/>
      <c r="H244" s="309"/>
      <c r="I244" s="309"/>
      <c r="J244" s="309"/>
      <c r="K244" s="309"/>
      <c r="L244" s="309"/>
    </row>
    <row r="245" spans="1:12">
      <c r="A245" s="309"/>
      <c r="B245" s="309"/>
      <c r="C245" s="309"/>
      <c r="D245" s="309"/>
      <c r="E245" s="309"/>
      <c r="F245" s="309"/>
      <c r="G245" s="309"/>
      <c r="H245" s="309"/>
      <c r="I245" s="309"/>
      <c r="J245" s="309"/>
      <c r="K245" s="309"/>
      <c r="L245" s="309"/>
    </row>
    <row r="246" spans="1:12">
      <c r="A246" s="309"/>
      <c r="B246" s="309"/>
      <c r="C246" s="309"/>
      <c r="D246" s="309"/>
      <c r="E246" s="309"/>
      <c r="F246" s="309"/>
      <c r="G246" s="309"/>
      <c r="H246" s="309"/>
      <c r="I246" s="309"/>
      <c r="J246" s="309"/>
      <c r="K246" s="309"/>
      <c r="L246" s="309"/>
    </row>
    <row r="247" spans="1:12">
      <c r="A247" s="309"/>
      <c r="B247" s="309"/>
      <c r="C247" s="309"/>
      <c r="D247" s="309"/>
      <c r="E247" s="309"/>
      <c r="F247" s="309"/>
      <c r="G247" s="309"/>
      <c r="H247" s="309"/>
      <c r="I247" s="309"/>
      <c r="J247" s="309"/>
      <c r="K247" s="309"/>
      <c r="L247" s="309"/>
    </row>
    <row r="248" spans="1:12">
      <c r="A248" s="309"/>
      <c r="B248" s="309"/>
      <c r="C248" s="309"/>
      <c r="D248" s="309"/>
      <c r="E248" s="309"/>
      <c r="F248" s="309"/>
      <c r="G248" s="309"/>
      <c r="H248" s="309"/>
      <c r="I248" s="309"/>
      <c r="J248" s="309"/>
      <c r="K248" s="309"/>
      <c r="L248" s="309"/>
    </row>
    <row r="249" spans="1:12">
      <c r="A249" s="309"/>
      <c r="B249" s="309"/>
      <c r="C249" s="309"/>
      <c r="D249" s="309"/>
      <c r="E249" s="309"/>
      <c r="F249" s="309"/>
      <c r="G249" s="309"/>
      <c r="H249" s="309"/>
      <c r="I249" s="309"/>
      <c r="J249" s="309"/>
      <c r="K249" s="309"/>
      <c r="L249" s="309"/>
    </row>
    <row r="250" spans="1:12">
      <c r="A250" s="309"/>
      <c r="B250" s="309"/>
      <c r="C250" s="309"/>
      <c r="D250" s="309"/>
      <c r="E250" s="309"/>
      <c r="F250" s="309"/>
      <c r="G250" s="309"/>
      <c r="H250" s="309"/>
      <c r="I250" s="309"/>
      <c r="J250" s="309"/>
      <c r="K250" s="309"/>
      <c r="L250" s="309"/>
    </row>
    <row r="251" spans="1:12">
      <c r="A251" s="309"/>
      <c r="B251" s="309"/>
      <c r="C251" s="309"/>
      <c r="D251" s="309"/>
      <c r="E251" s="309"/>
      <c r="F251" s="309"/>
      <c r="G251" s="309"/>
      <c r="H251" s="309"/>
      <c r="I251" s="309"/>
      <c r="J251" s="309"/>
      <c r="K251" s="309"/>
      <c r="L251" s="309"/>
    </row>
    <row r="252" spans="1:12">
      <c r="A252" s="309"/>
      <c r="B252" s="309"/>
      <c r="C252" s="309"/>
      <c r="D252" s="309"/>
      <c r="E252" s="309"/>
      <c r="F252" s="309"/>
      <c r="G252" s="309"/>
      <c r="H252" s="309"/>
      <c r="I252" s="309"/>
      <c r="J252" s="309"/>
      <c r="K252" s="309"/>
      <c r="L252" s="309"/>
    </row>
    <row r="253" spans="1:12">
      <c r="A253" s="309"/>
      <c r="B253" s="309"/>
      <c r="C253" s="309"/>
      <c r="D253" s="309"/>
      <c r="E253" s="309"/>
      <c r="F253" s="309"/>
      <c r="G253" s="309"/>
      <c r="H253" s="309"/>
      <c r="I253" s="309"/>
      <c r="J253" s="309"/>
      <c r="K253" s="309"/>
      <c r="L253" s="309"/>
    </row>
    <row r="254" spans="1:12">
      <c r="A254" s="309"/>
      <c r="B254" s="309"/>
      <c r="C254" s="309"/>
      <c r="D254" s="309"/>
      <c r="E254" s="309"/>
      <c r="F254" s="309"/>
      <c r="G254" s="309"/>
      <c r="H254" s="309"/>
      <c r="I254" s="309"/>
      <c r="J254" s="309"/>
      <c r="K254" s="309"/>
      <c r="L254" s="309"/>
    </row>
    <row r="255" spans="1:12">
      <c r="A255" s="309"/>
      <c r="B255" s="309"/>
      <c r="C255" s="309"/>
      <c r="D255" s="309"/>
      <c r="E255" s="309"/>
      <c r="F255" s="309"/>
      <c r="G255" s="309"/>
      <c r="H255" s="309"/>
      <c r="I255" s="309"/>
      <c r="J255" s="309"/>
      <c r="K255" s="309"/>
      <c r="L255" s="309"/>
    </row>
    <row r="256" spans="1:12">
      <c r="A256" s="309"/>
      <c r="B256" s="309"/>
      <c r="C256" s="309"/>
      <c r="D256" s="309"/>
      <c r="E256" s="309"/>
      <c r="F256" s="309"/>
      <c r="G256" s="309"/>
      <c r="H256" s="309"/>
      <c r="I256" s="309"/>
      <c r="J256" s="309"/>
      <c r="K256" s="309"/>
      <c r="L256" s="309"/>
    </row>
    <row r="257" spans="1:12">
      <c r="A257" s="309"/>
      <c r="B257" s="309"/>
      <c r="C257" s="309"/>
      <c r="D257" s="309"/>
      <c r="E257" s="309"/>
      <c r="F257" s="309"/>
      <c r="G257" s="309"/>
      <c r="H257" s="309"/>
      <c r="I257" s="309"/>
      <c r="J257" s="309"/>
      <c r="K257" s="309"/>
      <c r="L257" s="309"/>
    </row>
    <row r="258" spans="1:12">
      <c r="A258" s="309"/>
      <c r="B258" s="309"/>
      <c r="C258" s="309"/>
      <c r="D258" s="309"/>
      <c r="E258" s="309"/>
      <c r="F258" s="309"/>
      <c r="G258" s="309"/>
      <c r="H258" s="309"/>
      <c r="I258" s="309"/>
      <c r="J258" s="309"/>
      <c r="K258" s="309"/>
      <c r="L258" s="309"/>
    </row>
    <row r="259" spans="1:12">
      <c r="A259" s="309"/>
      <c r="B259" s="309"/>
      <c r="C259" s="309"/>
      <c r="D259" s="309"/>
      <c r="E259" s="309"/>
      <c r="F259" s="309"/>
      <c r="G259" s="309"/>
      <c r="H259" s="309"/>
      <c r="I259" s="309"/>
      <c r="J259" s="309"/>
      <c r="K259" s="309"/>
      <c r="L259" s="309"/>
    </row>
    <row r="260" spans="1:12">
      <c r="A260" s="309"/>
      <c r="B260" s="309"/>
      <c r="C260" s="309"/>
      <c r="D260" s="309"/>
      <c r="E260" s="309"/>
      <c r="F260" s="309"/>
      <c r="G260" s="309"/>
      <c r="H260" s="309"/>
      <c r="I260" s="309"/>
      <c r="J260" s="309"/>
      <c r="K260" s="309"/>
      <c r="L260" s="309"/>
    </row>
    <row r="261" spans="1:12">
      <c r="A261" s="309"/>
      <c r="B261" s="309"/>
      <c r="C261" s="309"/>
      <c r="D261" s="309"/>
      <c r="E261" s="309"/>
      <c r="F261" s="309"/>
      <c r="G261" s="309"/>
      <c r="H261" s="309"/>
      <c r="I261" s="309"/>
      <c r="J261" s="309"/>
      <c r="K261" s="309"/>
      <c r="L261" s="309"/>
    </row>
    <row r="262" spans="1:12">
      <c r="A262" s="309"/>
      <c r="B262" s="309"/>
      <c r="C262" s="309"/>
      <c r="D262" s="309"/>
      <c r="E262" s="309"/>
      <c r="F262" s="309"/>
      <c r="G262" s="309"/>
      <c r="H262" s="309"/>
      <c r="I262" s="309"/>
      <c r="J262" s="309"/>
      <c r="K262" s="309"/>
      <c r="L262" s="309"/>
    </row>
    <row r="263" spans="1:12">
      <c r="A263" s="309"/>
      <c r="B263" s="309"/>
      <c r="C263" s="309"/>
      <c r="D263" s="309"/>
      <c r="E263" s="309"/>
      <c r="F263" s="309"/>
      <c r="G263" s="309"/>
      <c r="H263" s="309"/>
      <c r="I263" s="309"/>
      <c r="J263" s="309"/>
      <c r="K263" s="309"/>
      <c r="L263" s="309"/>
    </row>
    <row r="264" spans="1:12">
      <c r="A264" s="309"/>
      <c r="B264" s="309"/>
      <c r="C264" s="309"/>
      <c r="D264" s="309"/>
      <c r="E264" s="309"/>
      <c r="F264" s="309"/>
      <c r="G264" s="309"/>
      <c r="H264" s="309"/>
      <c r="I264" s="309"/>
      <c r="J264" s="309"/>
      <c r="K264" s="309"/>
      <c r="L264" s="309"/>
    </row>
    <row r="265" spans="1:12">
      <c r="A265" s="309"/>
      <c r="B265" s="309"/>
      <c r="C265" s="309"/>
      <c r="D265" s="309"/>
      <c r="E265" s="309"/>
      <c r="F265" s="309"/>
      <c r="G265" s="309"/>
      <c r="H265" s="309"/>
      <c r="I265" s="309"/>
      <c r="J265" s="309"/>
      <c r="K265" s="309"/>
      <c r="L265" s="309"/>
    </row>
    <row r="266" spans="1:12">
      <c r="A266" s="309"/>
      <c r="B266" s="309"/>
      <c r="C266" s="309"/>
      <c r="D266" s="309"/>
      <c r="E266" s="309"/>
      <c r="F266" s="309"/>
      <c r="G266" s="309"/>
      <c r="H266" s="309"/>
      <c r="I266" s="309"/>
      <c r="J266" s="309"/>
      <c r="K266" s="309"/>
      <c r="L266" s="309"/>
    </row>
    <row r="267" spans="1:12">
      <c r="A267" s="309"/>
      <c r="B267" s="309"/>
      <c r="C267" s="309"/>
      <c r="D267" s="309"/>
      <c r="E267" s="309"/>
      <c r="F267" s="309"/>
      <c r="G267" s="309"/>
      <c r="H267" s="309"/>
      <c r="I267" s="309"/>
      <c r="J267" s="309"/>
      <c r="K267" s="309"/>
      <c r="L267" s="309"/>
    </row>
    <row r="268" spans="1:12">
      <c r="A268" s="309"/>
      <c r="B268" s="309"/>
      <c r="C268" s="309"/>
      <c r="D268" s="309"/>
      <c r="E268" s="309"/>
      <c r="F268" s="309"/>
      <c r="G268" s="309"/>
      <c r="H268" s="309"/>
      <c r="I268" s="309"/>
      <c r="J268" s="309"/>
      <c r="K268" s="309"/>
      <c r="L268" s="309"/>
    </row>
    <row r="269" spans="1:12">
      <c r="A269" s="309"/>
      <c r="B269" s="309"/>
      <c r="C269" s="309"/>
      <c r="D269" s="309"/>
      <c r="E269" s="309"/>
      <c r="F269" s="309"/>
      <c r="G269" s="309"/>
      <c r="H269" s="309"/>
      <c r="I269" s="309"/>
      <c r="J269" s="309"/>
      <c r="K269" s="309"/>
      <c r="L269" s="309"/>
    </row>
    <row r="270" spans="1:12">
      <c r="A270" s="309"/>
      <c r="B270" s="309"/>
      <c r="C270" s="309"/>
      <c r="D270" s="309"/>
      <c r="E270" s="309"/>
      <c r="F270" s="309"/>
      <c r="G270" s="309"/>
      <c r="H270" s="309"/>
      <c r="I270" s="309"/>
      <c r="J270" s="309"/>
      <c r="K270" s="309"/>
      <c r="L270" s="309"/>
    </row>
    <row r="271" spans="1:12">
      <c r="A271" s="309"/>
      <c r="B271" s="309"/>
      <c r="C271" s="309"/>
      <c r="D271" s="309"/>
      <c r="E271" s="309"/>
      <c r="F271" s="309"/>
      <c r="G271" s="309"/>
      <c r="H271" s="309"/>
      <c r="I271" s="309"/>
      <c r="J271" s="309"/>
      <c r="K271" s="309"/>
      <c r="L271" s="309"/>
    </row>
    <row r="272" spans="1:12">
      <c r="A272" s="309"/>
      <c r="B272" s="309"/>
      <c r="C272" s="309"/>
      <c r="D272" s="309"/>
      <c r="E272" s="309"/>
      <c r="F272" s="309"/>
      <c r="G272" s="309"/>
      <c r="H272" s="309"/>
      <c r="I272" s="309"/>
      <c r="J272" s="309"/>
      <c r="K272" s="309"/>
      <c r="L272" s="309"/>
    </row>
    <row r="273" spans="1:12">
      <c r="A273" s="309"/>
      <c r="B273" s="309"/>
      <c r="C273" s="309"/>
      <c r="D273" s="309"/>
      <c r="E273" s="309"/>
      <c r="F273" s="309"/>
      <c r="G273" s="309"/>
      <c r="H273" s="309"/>
      <c r="I273" s="309"/>
      <c r="J273" s="309"/>
      <c r="K273" s="309"/>
      <c r="L273" s="309"/>
    </row>
    <row r="274" spans="1:12">
      <c r="A274" s="309"/>
      <c r="B274" s="309"/>
      <c r="C274" s="309"/>
      <c r="D274" s="309"/>
      <c r="E274" s="309"/>
      <c r="F274" s="309"/>
      <c r="G274" s="309"/>
      <c r="H274" s="309"/>
      <c r="I274" s="309"/>
      <c r="J274" s="309"/>
      <c r="K274" s="309"/>
      <c r="L274" s="309"/>
    </row>
    <row r="275" spans="1:12">
      <c r="A275" s="309"/>
      <c r="B275" s="309"/>
      <c r="C275" s="309"/>
      <c r="D275" s="309"/>
      <c r="E275" s="309"/>
      <c r="F275" s="309"/>
      <c r="G275" s="309"/>
      <c r="H275" s="309"/>
      <c r="I275" s="309"/>
      <c r="J275" s="309"/>
      <c r="K275" s="309"/>
      <c r="L275" s="309"/>
    </row>
    <row r="276" spans="1:12">
      <c r="A276" s="309"/>
      <c r="B276" s="309"/>
      <c r="C276" s="309"/>
      <c r="D276" s="309"/>
      <c r="E276" s="309"/>
      <c r="F276" s="309"/>
      <c r="G276" s="309"/>
      <c r="H276" s="309"/>
      <c r="I276" s="309"/>
      <c r="J276" s="309"/>
      <c r="K276" s="309"/>
      <c r="L276" s="309"/>
    </row>
    <row r="277" spans="1:12">
      <c r="A277" s="309"/>
      <c r="B277" s="309"/>
      <c r="C277" s="309"/>
      <c r="D277" s="309"/>
      <c r="E277" s="309"/>
      <c r="F277" s="309"/>
      <c r="G277" s="309"/>
      <c r="H277" s="309"/>
      <c r="I277" s="309"/>
      <c r="J277" s="309"/>
      <c r="K277" s="309"/>
      <c r="L277" s="309"/>
    </row>
    <row r="278" spans="1:12">
      <c r="A278" s="309"/>
      <c r="B278" s="309"/>
      <c r="C278" s="309"/>
      <c r="D278" s="309"/>
      <c r="E278" s="309"/>
      <c r="F278" s="309"/>
      <c r="G278" s="309"/>
      <c r="H278" s="309"/>
      <c r="I278" s="309"/>
      <c r="J278" s="309"/>
      <c r="K278" s="309"/>
      <c r="L278" s="309"/>
    </row>
    <row r="279" spans="1:12">
      <c r="A279" s="309"/>
      <c r="B279" s="309"/>
      <c r="C279" s="309"/>
      <c r="D279" s="309"/>
      <c r="E279" s="309"/>
      <c r="F279" s="309"/>
      <c r="G279" s="309"/>
      <c r="H279" s="309"/>
      <c r="I279" s="309"/>
      <c r="J279" s="309"/>
      <c r="K279" s="309"/>
      <c r="L279" s="309"/>
    </row>
    <row r="280" spans="1:12">
      <c r="A280" s="309"/>
      <c r="B280" s="309"/>
      <c r="C280" s="309"/>
      <c r="D280" s="309"/>
      <c r="E280" s="309"/>
      <c r="F280" s="309"/>
      <c r="G280" s="309"/>
      <c r="H280" s="309"/>
      <c r="I280" s="309"/>
      <c r="J280" s="309"/>
      <c r="K280" s="309"/>
      <c r="L280" s="309"/>
    </row>
    <row r="281" spans="1:12">
      <c r="A281" s="309"/>
      <c r="B281" s="309"/>
      <c r="C281" s="309"/>
      <c r="D281" s="309"/>
      <c r="E281" s="309"/>
      <c r="F281" s="309"/>
      <c r="G281" s="309"/>
      <c r="H281" s="309"/>
      <c r="I281" s="309"/>
      <c r="J281" s="309"/>
      <c r="K281" s="309"/>
      <c r="L281" s="309"/>
    </row>
    <row r="282" spans="1:12">
      <c r="A282" s="309"/>
      <c r="B282" s="309"/>
      <c r="C282" s="309"/>
      <c r="D282" s="309"/>
      <c r="E282" s="309"/>
      <c r="F282" s="309"/>
      <c r="G282" s="309"/>
      <c r="H282" s="309"/>
      <c r="I282" s="309"/>
      <c r="J282" s="309"/>
      <c r="K282" s="309"/>
      <c r="L282" s="309"/>
    </row>
    <row r="283" spans="1:12">
      <c r="A283" s="309"/>
      <c r="B283" s="309"/>
      <c r="C283" s="309"/>
      <c r="D283" s="309"/>
      <c r="E283" s="309"/>
      <c r="F283" s="309"/>
      <c r="G283" s="309"/>
      <c r="H283" s="309"/>
      <c r="I283" s="309"/>
      <c r="J283" s="309"/>
      <c r="K283" s="309"/>
      <c r="L283" s="309"/>
    </row>
    <row r="284" spans="1:12">
      <c r="A284" s="309"/>
      <c r="B284" s="309"/>
      <c r="C284" s="309"/>
      <c r="D284" s="309"/>
      <c r="E284" s="309"/>
      <c r="F284" s="309"/>
      <c r="G284" s="309"/>
      <c r="H284" s="309"/>
      <c r="I284" s="309"/>
      <c r="J284" s="309"/>
      <c r="K284" s="309"/>
      <c r="L284" s="309"/>
    </row>
    <row r="285" spans="1:12">
      <c r="A285" s="309"/>
      <c r="B285" s="309"/>
      <c r="C285" s="309"/>
      <c r="D285" s="309"/>
      <c r="E285" s="309"/>
      <c r="F285" s="309"/>
      <c r="G285" s="309"/>
      <c r="H285" s="309"/>
      <c r="I285" s="309"/>
      <c r="J285" s="309"/>
      <c r="K285" s="309"/>
      <c r="L285" s="309"/>
    </row>
    <row r="286" spans="1:12">
      <c r="A286" s="309"/>
      <c r="B286" s="309"/>
      <c r="C286" s="309"/>
      <c r="D286" s="309"/>
      <c r="E286" s="309"/>
      <c r="F286" s="309"/>
      <c r="G286" s="309"/>
      <c r="H286" s="309"/>
      <c r="I286" s="309"/>
      <c r="J286" s="309"/>
      <c r="K286" s="309"/>
      <c r="L286" s="309"/>
    </row>
    <row r="287" spans="1:12">
      <c r="A287" s="309"/>
      <c r="B287" s="309"/>
      <c r="C287" s="309"/>
      <c r="D287" s="309"/>
      <c r="E287" s="309"/>
      <c r="F287" s="309"/>
      <c r="G287" s="309"/>
      <c r="H287" s="309"/>
      <c r="I287" s="309"/>
      <c r="J287" s="309"/>
      <c r="K287" s="309"/>
      <c r="L287" s="309"/>
    </row>
  </sheetData>
  <mergeCells count="4">
    <mergeCell ref="D17:L18"/>
    <mergeCell ref="B46:L47"/>
    <mergeCell ref="J50:J52"/>
    <mergeCell ref="A5:L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1"/>
  <sheetViews>
    <sheetView showGridLines="0" workbookViewId="0"/>
  </sheetViews>
  <sheetFormatPr defaultRowHeight="12.75"/>
  <cols>
    <col min="2" max="2" width="40.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6" customHeight="1">
      <c r="A5" s="1100" t="s">
        <v>1712</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SUM(A12:A1640)</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OUTPUTS_FOR_SECTION_2_OF_MODEL!B67</f>
        <v>Business Studies</v>
      </c>
      <c r="C15" s="307">
        <f>OUTPUTS_FOR_SECTION_2_OF_MODEL!E67</f>
        <v>322.16379969187324</v>
      </c>
      <c r="D15" s="307">
        <f>OUTPUTS_FOR_SECTION_2_OF_MODEL!F67</f>
        <v>242.64341944863361</v>
      </c>
      <c r="E15" s="307">
        <f>OUTPUTS_FOR_SECTION_2_OF_MODEL!G67</f>
        <v>361.07790710831665</v>
      </c>
      <c r="F15" s="307">
        <f>OUTPUTS_FOR_SECTION_2_OF_MODEL!H67</f>
        <v>416.6983553825952</v>
      </c>
      <c r="G15" s="307">
        <f>OUTPUTS_FOR_SECTION_2_OF_MODEL!I67</f>
        <v>451.85055300150242</v>
      </c>
      <c r="H15" s="307">
        <f>OUTPUTS_FOR_SECTION_2_OF_MODEL!J67</f>
        <v>438.31222345428705</v>
      </c>
      <c r="I15" s="307">
        <f>OUTPUTS_FOR_SECTION_2_OF_MODEL!K67</f>
        <v>452.22124837084499</v>
      </c>
      <c r="J15" s="307">
        <f>OUTPUTS_FOR_SECTION_2_OF_MODEL!L67</f>
        <v>466.43200415197572</v>
      </c>
      <c r="K15" s="307">
        <f>OUTPUTS_FOR_SECTION_2_OF_MODEL!M67</f>
        <v>469.10526220038776</v>
      </c>
      <c r="L15" s="307">
        <f>OUTPUTS_FOR_SECTION_2_OF_MODEL!N67</f>
        <v>440.86073111453987</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299.93449751313398</v>
      </c>
      <c r="D44" s="459">
        <f t="shared" si="4"/>
        <v>225.90102350667789</v>
      </c>
      <c r="E44" s="459">
        <f t="shared" si="4"/>
        <v>336.16353151784284</v>
      </c>
      <c r="F44" s="459">
        <f t="shared" si="4"/>
        <v>387.94616886119616</v>
      </c>
      <c r="G44" s="459">
        <f t="shared" si="4"/>
        <v>420.67286484439876</v>
      </c>
      <c r="H44" s="459">
        <f t="shared" si="4"/>
        <v>408.06868003594127</v>
      </c>
      <c r="I44" s="459">
        <f t="shared" si="4"/>
        <v>421.0179822332567</v>
      </c>
      <c r="J44" s="459">
        <f t="shared" si="4"/>
        <v>434.24819586548944</v>
      </c>
      <c r="K44" s="459">
        <f t="shared" si="4"/>
        <v>436.73699910856101</v>
      </c>
      <c r="L44" s="459">
        <f t="shared" si="4"/>
        <v>410.44134066763667</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3.1736638957583496</v>
      </c>
      <c r="D57" s="459">
        <f t="shared" ref="D57:L57" si="7">D44/$J$50</f>
        <v>2.3903016434000151</v>
      </c>
      <c r="E57" s="459">
        <f t="shared" si="7"/>
        <v>3.5570101868728328</v>
      </c>
      <c r="F57" s="459">
        <f t="shared" si="7"/>
        <v>4.1049321095804805</v>
      </c>
      <c r="G57" s="459">
        <f t="shared" si="7"/>
        <v>4.4512194967617491</v>
      </c>
      <c r="H57" s="459">
        <f t="shared" si="7"/>
        <v>4.3178522229278489</v>
      </c>
      <c r="I57" s="459">
        <f t="shared" si="7"/>
        <v>4.4548712494140723</v>
      </c>
      <c r="J57" s="459">
        <f t="shared" si="7"/>
        <v>4.5948626531569792</v>
      </c>
      <c r="K57" s="459">
        <f t="shared" si="7"/>
        <v>4.6211971530617006</v>
      </c>
      <c r="L57" s="459">
        <f t="shared" si="7"/>
        <v>4.3429577957983687</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4">
        <f>100*C64</f>
        <v>14.75901426249032</v>
      </c>
      <c r="D65" s="694">
        <f t="shared" ref="D65:L65" si="10">100*D64</f>
        <v>14.75901426249032</v>
      </c>
      <c r="E65" s="694">
        <f t="shared" si="10"/>
        <v>14.75901426249032</v>
      </c>
      <c r="F65" s="694">
        <f t="shared" si="10"/>
        <v>14.75901426249032</v>
      </c>
      <c r="G65" s="694">
        <f t="shared" si="10"/>
        <v>14.75901426249032</v>
      </c>
      <c r="H65" s="694">
        <f t="shared" si="10"/>
        <v>14.75901426249032</v>
      </c>
      <c r="I65" s="694">
        <f t="shared" si="10"/>
        <v>14.75901426249032</v>
      </c>
      <c r="J65" s="694">
        <f t="shared" si="10"/>
        <v>14.75901426249032</v>
      </c>
      <c r="K65" s="694">
        <f t="shared" si="10"/>
        <v>14.75901426249032</v>
      </c>
      <c r="L65" s="694">
        <f t="shared" si="10"/>
        <v>14.75901426249032</v>
      </c>
    </row>
    <row r="66" spans="1:12">
      <c r="A66" s="309"/>
      <c r="B66" s="338" t="s">
        <v>1625</v>
      </c>
      <c r="C66" s="694">
        <f>C65-C67</f>
        <v>12.607467049871705</v>
      </c>
      <c r="D66" s="694">
        <f t="shared" ref="D66:L66" si="11">D65-D67</f>
        <v>12.607467049871705</v>
      </c>
      <c r="E66" s="694">
        <f t="shared" si="11"/>
        <v>12.607467049871705</v>
      </c>
      <c r="F66" s="694">
        <f t="shared" si="11"/>
        <v>12.607467049871705</v>
      </c>
      <c r="G66" s="694">
        <f t="shared" si="11"/>
        <v>12.607467049871705</v>
      </c>
      <c r="H66" s="694">
        <f t="shared" si="11"/>
        <v>12.607467049871705</v>
      </c>
      <c r="I66" s="694">
        <f t="shared" si="11"/>
        <v>12.607467049871705</v>
      </c>
      <c r="J66" s="694">
        <f t="shared" si="11"/>
        <v>12.607467049871705</v>
      </c>
      <c r="K66" s="694">
        <f t="shared" si="11"/>
        <v>12.607467049871705</v>
      </c>
      <c r="L66" s="694">
        <f t="shared" si="11"/>
        <v>12.607467049871705</v>
      </c>
    </row>
    <row r="67" spans="1:12" ht="25.5">
      <c r="A67" s="309"/>
      <c r="B67" s="338" t="s">
        <v>1626</v>
      </c>
      <c r="C67" s="694">
        <f>C65*$C$33</f>
        <v>2.1515472126186146</v>
      </c>
      <c r="D67" s="694">
        <f t="shared" ref="D67:L67" si="12">D65*$C$33</f>
        <v>2.1515472126186146</v>
      </c>
      <c r="E67" s="694">
        <f t="shared" si="12"/>
        <v>2.1515472126186146</v>
      </c>
      <c r="F67" s="694">
        <f t="shared" si="12"/>
        <v>2.1515472126186146</v>
      </c>
      <c r="G67" s="694">
        <f t="shared" si="12"/>
        <v>2.1515472126186146</v>
      </c>
      <c r="H67" s="694">
        <f t="shared" si="12"/>
        <v>2.1515472126186146</v>
      </c>
      <c r="I67" s="694">
        <f t="shared" si="12"/>
        <v>2.1515472126186146</v>
      </c>
      <c r="J67" s="694">
        <f t="shared" si="12"/>
        <v>2.1515472126186146</v>
      </c>
      <c r="K67" s="694">
        <f t="shared" si="12"/>
        <v>2.1515472126186146</v>
      </c>
      <c r="L67" s="694">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4">
        <f>100*C75</f>
        <v>35.016108614476828</v>
      </c>
      <c r="D76" s="694">
        <f t="shared" ref="D76:L76" si="18">100*D75</f>
        <v>35.016108614476828</v>
      </c>
      <c r="E76" s="694">
        <f t="shared" si="18"/>
        <v>35.016108614476828</v>
      </c>
      <c r="F76" s="694">
        <f t="shared" si="18"/>
        <v>35.016108614476828</v>
      </c>
      <c r="G76" s="694">
        <f t="shared" si="18"/>
        <v>35.016108614476828</v>
      </c>
      <c r="H76" s="694">
        <f t="shared" si="18"/>
        <v>35.016108614476828</v>
      </c>
      <c r="I76" s="694">
        <f t="shared" si="18"/>
        <v>35.016108614476828</v>
      </c>
      <c r="J76" s="694">
        <f t="shared" si="18"/>
        <v>35.016108614476828</v>
      </c>
      <c r="K76" s="694">
        <f t="shared" si="18"/>
        <v>35.016108614476828</v>
      </c>
      <c r="L76" s="694">
        <f t="shared" si="18"/>
        <v>35.016108614476828</v>
      </c>
    </row>
    <row r="77" spans="1:12">
      <c r="A77" s="309"/>
      <c r="B77" s="338" t="s">
        <v>1625</v>
      </c>
      <c r="C77" s="694">
        <f>C76-C78</f>
        <v>24.730790582699242</v>
      </c>
      <c r="D77" s="694">
        <f t="shared" ref="D77:L77" si="19">D76-D78</f>
        <v>24.730790582699242</v>
      </c>
      <c r="E77" s="694">
        <f t="shared" si="19"/>
        <v>24.730790582699242</v>
      </c>
      <c r="F77" s="694">
        <f t="shared" si="19"/>
        <v>24.730790582699242</v>
      </c>
      <c r="G77" s="694">
        <f t="shared" si="19"/>
        <v>24.730790582699242</v>
      </c>
      <c r="H77" s="694">
        <f t="shared" si="19"/>
        <v>24.730790582699242</v>
      </c>
      <c r="I77" s="694">
        <f t="shared" si="19"/>
        <v>24.730790582699242</v>
      </c>
      <c r="J77" s="694">
        <f t="shared" si="19"/>
        <v>24.730790582699242</v>
      </c>
      <c r="K77" s="694">
        <f t="shared" si="19"/>
        <v>24.730790582699242</v>
      </c>
      <c r="L77" s="694">
        <f t="shared" si="19"/>
        <v>24.730790582699242</v>
      </c>
    </row>
    <row r="78" spans="1:12" ht="25.5">
      <c r="A78" s="309"/>
      <c r="B78" s="338" t="s">
        <v>1626</v>
      </c>
      <c r="C78" s="694">
        <f>C76*$C$34</f>
        <v>10.285318031777583</v>
      </c>
      <c r="D78" s="694">
        <f t="shared" ref="D78:L78" si="20">D76*$C$34</f>
        <v>10.285318031777583</v>
      </c>
      <c r="E78" s="694">
        <f t="shared" si="20"/>
        <v>10.285318031777583</v>
      </c>
      <c r="F78" s="694">
        <f t="shared" si="20"/>
        <v>10.285318031777583</v>
      </c>
      <c r="G78" s="694">
        <f t="shared" si="20"/>
        <v>10.285318031777583</v>
      </c>
      <c r="H78" s="694">
        <f t="shared" si="20"/>
        <v>10.285318031777583</v>
      </c>
      <c r="I78" s="694">
        <f t="shared" si="20"/>
        <v>10.285318031777583</v>
      </c>
      <c r="J78" s="694">
        <f t="shared" si="20"/>
        <v>10.285318031777583</v>
      </c>
      <c r="K78" s="694">
        <f t="shared" si="20"/>
        <v>10.285318031777583</v>
      </c>
      <c r="L78" s="694">
        <f t="shared" si="20"/>
        <v>10.285318031777583</v>
      </c>
    </row>
    <row r="79" spans="1:12">
      <c r="A79" s="309"/>
      <c r="B79" s="669" t="s">
        <v>729</v>
      </c>
      <c r="C79" s="694">
        <f>C77</f>
        <v>24.730790582699242</v>
      </c>
      <c r="D79" s="694">
        <f t="shared" ref="D79:L79" si="21">D77</f>
        <v>24.730790582699242</v>
      </c>
      <c r="E79" s="694">
        <f t="shared" si="21"/>
        <v>24.730790582699242</v>
      </c>
      <c r="F79" s="694">
        <f t="shared" si="21"/>
        <v>24.730790582699242</v>
      </c>
      <c r="G79" s="694">
        <f t="shared" si="21"/>
        <v>24.730790582699242</v>
      </c>
      <c r="H79" s="694">
        <f t="shared" si="21"/>
        <v>24.730790582699242</v>
      </c>
      <c r="I79" s="694">
        <f t="shared" si="21"/>
        <v>24.730790582699242</v>
      </c>
      <c r="J79" s="694">
        <f t="shared" si="21"/>
        <v>24.730790582699242</v>
      </c>
      <c r="K79" s="694">
        <f t="shared" si="21"/>
        <v>24.730790582699242</v>
      </c>
      <c r="L79" s="694">
        <f t="shared" si="21"/>
        <v>24.730790582699242</v>
      </c>
    </row>
    <row r="80" spans="1:12">
      <c r="A80" s="309"/>
      <c r="B80" s="669" t="s">
        <v>728</v>
      </c>
      <c r="C80" s="694">
        <f>C78*$C$39</f>
        <v>6.3563265436385468</v>
      </c>
      <c r="D80" s="694">
        <f t="shared" ref="D80:L80" si="22">D78*$C$39</f>
        <v>6.3563265436385468</v>
      </c>
      <c r="E80" s="694">
        <f t="shared" si="22"/>
        <v>6.3563265436385468</v>
      </c>
      <c r="F80" s="694">
        <f t="shared" si="22"/>
        <v>6.3563265436385468</v>
      </c>
      <c r="G80" s="694">
        <f t="shared" si="22"/>
        <v>6.3563265436385468</v>
      </c>
      <c r="H80" s="694">
        <f t="shared" si="22"/>
        <v>6.3563265436385468</v>
      </c>
      <c r="I80" s="694">
        <f t="shared" si="22"/>
        <v>6.3563265436385468</v>
      </c>
      <c r="J80" s="694">
        <f t="shared" si="22"/>
        <v>6.3563265436385468</v>
      </c>
      <c r="K80" s="694">
        <f t="shared" si="22"/>
        <v>6.3563265436385468</v>
      </c>
      <c r="L80" s="694">
        <f t="shared" si="22"/>
        <v>6.3563265436385468</v>
      </c>
    </row>
    <row r="81" spans="1:12">
      <c r="A81" s="309"/>
      <c r="B81" s="669" t="s">
        <v>727</v>
      </c>
      <c r="C81" s="694">
        <f>C79+C80</f>
        <v>31.087117126337787</v>
      </c>
      <c r="D81" s="694">
        <f t="shared" ref="D81:L81" si="23">D79+D80</f>
        <v>31.087117126337787</v>
      </c>
      <c r="E81" s="694">
        <f t="shared" si="23"/>
        <v>31.087117126337787</v>
      </c>
      <c r="F81" s="694">
        <f t="shared" si="23"/>
        <v>31.087117126337787</v>
      </c>
      <c r="G81" s="694">
        <f t="shared" si="23"/>
        <v>31.087117126337787</v>
      </c>
      <c r="H81" s="694">
        <f t="shared" si="23"/>
        <v>31.087117126337787</v>
      </c>
      <c r="I81" s="694">
        <f t="shared" si="23"/>
        <v>31.087117126337787</v>
      </c>
      <c r="J81" s="694">
        <f t="shared" si="23"/>
        <v>31.087117126337787</v>
      </c>
      <c r="K81" s="694">
        <f t="shared" si="23"/>
        <v>31.087117126337787</v>
      </c>
      <c r="L81" s="694">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4">
        <f>100*C86</f>
        <v>50.224877123032854</v>
      </c>
      <c r="D87" s="694">
        <f t="shared" ref="D87:L87" si="26">100*D86</f>
        <v>50.224877123032854</v>
      </c>
      <c r="E87" s="694">
        <f t="shared" si="26"/>
        <v>50.224877123032854</v>
      </c>
      <c r="F87" s="694">
        <f t="shared" si="26"/>
        <v>50.224877123032854</v>
      </c>
      <c r="G87" s="694">
        <f t="shared" si="26"/>
        <v>50.224877123032854</v>
      </c>
      <c r="H87" s="694">
        <f t="shared" si="26"/>
        <v>50.224877123032854</v>
      </c>
      <c r="I87" s="694">
        <f t="shared" si="26"/>
        <v>50.224877123032854</v>
      </c>
      <c r="J87" s="694">
        <f t="shared" si="26"/>
        <v>50.224877123032854</v>
      </c>
      <c r="K87" s="694">
        <f t="shared" si="26"/>
        <v>50.224877123032854</v>
      </c>
      <c r="L87" s="694">
        <f t="shared" si="26"/>
        <v>50.224877123032854</v>
      </c>
    </row>
    <row r="88" spans="1:12">
      <c r="A88" s="309"/>
      <c r="B88" s="338" t="s">
        <v>1625</v>
      </c>
      <c r="C88" s="694">
        <f>C87-C89</f>
        <v>48.283022126757622</v>
      </c>
      <c r="D88" s="694">
        <f t="shared" ref="D88:L88" si="27">D87-D89</f>
        <v>48.283022126757622</v>
      </c>
      <c r="E88" s="694">
        <f t="shared" si="27"/>
        <v>48.283022126757622</v>
      </c>
      <c r="F88" s="694">
        <f t="shared" si="27"/>
        <v>48.283022126757622</v>
      </c>
      <c r="G88" s="694">
        <f t="shared" si="27"/>
        <v>48.283022126757622</v>
      </c>
      <c r="H88" s="694">
        <f t="shared" si="27"/>
        <v>48.283022126757622</v>
      </c>
      <c r="I88" s="694">
        <f t="shared" si="27"/>
        <v>48.283022126757622</v>
      </c>
      <c r="J88" s="694">
        <f t="shared" si="27"/>
        <v>48.283022126757622</v>
      </c>
      <c r="K88" s="694">
        <f t="shared" si="27"/>
        <v>48.283022126757622</v>
      </c>
      <c r="L88" s="694">
        <f t="shared" si="27"/>
        <v>48.283022126757622</v>
      </c>
    </row>
    <row r="89" spans="1:12" ht="25.5">
      <c r="A89" s="309"/>
      <c r="B89" s="338" t="s">
        <v>1626</v>
      </c>
      <c r="C89" s="694">
        <f>C87*$C$35</f>
        <v>1.9418549962752341</v>
      </c>
      <c r="D89" s="694">
        <f t="shared" ref="D89:L89" si="28">D87*$C$35</f>
        <v>1.9418549962752341</v>
      </c>
      <c r="E89" s="694">
        <f t="shared" si="28"/>
        <v>1.9418549962752341</v>
      </c>
      <c r="F89" s="694">
        <f t="shared" si="28"/>
        <v>1.9418549962752341</v>
      </c>
      <c r="G89" s="694">
        <f t="shared" si="28"/>
        <v>1.9418549962752341</v>
      </c>
      <c r="H89" s="694">
        <f t="shared" si="28"/>
        <v>1.9418549962752341</v>
      </c>
      <c r="I89" s="694">
        <f t="shared" si="28"/>
        <v>1.9418549962752341</v>
      </c>
      <c r="J89" s="694">
        <f t="shared" si="28"/>
        <v>1.9418549962752341</v>
      </c>
      <c r="K89" s="694">
        <f t="shared" si="28"/>
        <v>1.9418549962752341</v>
      </c>
      <c r="L89" s="694">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4">
        <f>C89*$C$39</f>
        <v>1.2000663876980946</v>
      </c>
      <c r="D91" s="694">
        <f t="shared" ref="D91:L91" si="30">D89*$C$39</f>
        <v>1.2000663876980946</v>
      </c>
      <c r="E91" s="694">
        <f t="shared" si="30"/>
        <v>1.2000663876980946</v>
      </c>
      <c r="F91" s="694">
        <f t="shared" si="30"/>
        <v>1.2000663876980946</v>
      </c>
      <c r="G91" s="694">
        <f t="shared" si="30"/>
        <v>1.2000663876980946</v>
      </c>
      <c r="H91" s="694">
        <f t="shared" si="30"/>
        <v>1.2000663876980946</v>
      </c>
      <c r="I91" s="694">
        <f t="shared" si="30"/>
        <v>1.2000663876980946</v>
      </c>
      <c r="J91" s="694">
        <f t="shared" si="30"/>
        <v>1.2000663876980946</v>
      </c>
      <c r="K91" s="694">
        <f t="shared" si="30"/>
        <v>1.2000663876980946</v>
      </c>
      <c r="L91" s="694">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4">
        <f>C92+C81+C70</f>
        <v>94.50732886806351</v>
      </c>
      <c r="D94" s="694">
        <f t="shared" ref="D94:L94" si="32">D92+D81+D70</f>
        <v>94.50732886806351</v>
      </c>
      <c r="E94" s="694">
        <f t="shared" si="32"/>
        <v>94.50732886806351</v>
      </c>
      <c r="F94" s="694">
        <f t="shared" si="32"/>
        <v>94.50732886806351</v>
      </c>
      <c r="G94" s="694">
        <f t="shared" si="32"/>
        <v>94.50732886806351</v>
      </c>
      <c r="H94" s="694">
        <f t="shared" si="32"/>
        <v>94.50732886806351</v>
      </c>
      <c r="I94" s="694">
        <f t="shared" si="32"/>
        <v>94.50732886806351</v>
      </c>
      <c r="J94" s="694">
        <f t="shared" si="32"/>
        <v>94.50732886806351</v>
      </c>
      <c r="K94" s="694">
        <f t="shared" si="32"/>
        <v>94.50732886806351</v>
      </c>
      <c r="L94" s="694">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3.1736638957583496</v>
      </c>
      <c r="D98" s="459">
        <f t="shared" ref="D98:L98" si="33">D57</f>
        <v>2.3903016434000151</v>
      </c>
      <c r="E98" s="459">
        <f t="shared" si="33"/>
        <v>3.5570101868728328</v>
      </c>
      <c r="F98" s="459">
        <f t="shared" si="33"/>
        <v>4.1049321095804805</v>
      </c>
      <c r="G98" s="459">
        <f t="shared" si="33"/>
        <v>4.4512194967617491</v>
      </c>
      <c r="H98" s="459">
        <f t="shared" si="33"/>
        <v>4.3178522229278489</v>
      </c>
      <c r="I98" s="459">
        <f t="shared" si="33"/>
        <v>4.4548712494140723</v>
      </c>
      <c r="J98" s="459">
        <f t="shared" si="33"/>
        <v>4.5948626531569792</v>
      </c>
      <c r="K98" s="459">
        <f t="shared" si="33"/>
        <v>4.6211971530617006</v>
      </c>
      <c r="L98" s="459">
        <f t="shared" si="33"/>
        <v>4.3429577957983687</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819</v>
      </c>
      <c r="C103" s="459">
        <f t="shared" ref="C103:L103" si="35">C65*C$98</f>
        <v>46.840150701848074</v>
      </c>
      <c r="D103" s="459">
        <f t="shared" si="35"/>
        <v>35.278496046594874</v>
      </c>
      <c r="E103" s="459">
        <f t="shared" si="35"/>
        <v>52.497964079879495</v>
      </c>
      <c r="F103" s="459">
        <f t="shared" si="35"/>
        <v>60.58475155185279</v>
      </c>
      <c r="G103" s="459">
        <f t="shared" si="35"/>
        <v>65.695612038181636</v>
      </c>
      <c r="H103" s="459">
        <f t="shared" si="35"/>
        <v>63.727242541517654</v>
      </c>
      <c r="I103" s="459">
        <f t="shared" si="35"/>
        <v>65.749508307660363</v>
      </c>
      <c r="J103" s="459">
        <f t="shared" si="35"/>
        <v>67.81564343212797</v>
      </c>
      <c r="K103" s="459">
        <f t="shared" si="35"/>
        <v>68.204314691817302</v>
      </c>
      <c r="L103" s="459">
        <f t="shared" si="35"/>
        <v>64.09777604958164</v>
      </c>
    </row>
    <row r="104" spans="1:12">
      <c r="A104" s="309"/>
      <c r="B104" s="326" t="s">
        <v>820</v>
      </c>
      <c r="C104" s="459">
        <f t="shared" ref="C104:L104" si="36">C76*C$98</f>
        <v>111.12935967971804</v>
      </c>
      <c r="D104" s="459">
        <f t="shared" si="36"/>
        <v>83.699061966657382</v>
      </c>
      <c r="E104" s="459">
        <f t="shared" si="36"/>
        <v>124.55265504633962</v>
      </c>
      <c r="F104" s="459">
        <f t="shared" si="36"/>
        <v>143.7387486041236</v>
      </c>
      <c r="G104" s="459">
        <f t="shared" si="36"/>
        <v>155.8643853654863</v>
      </c>
      <c r="H104" s="459">
        <f t="shared" si="36"/>
        <v>151.19438241930177</v>
      </c>
      <c r="I104" s="459">
        <f t="shared" si="36"/>
        <v>155.99225553299325</v>
      </c>
      <c r="J104" s="459">
        <f t="shared" si="36"/>
        <v>160.89420973154796</v>
      </c>
      <c r="K104" s="459">
        <f t="shared" si="36"/>
        <v>161.81634144051961</v>
      </c>
      <c r="L104" s="459">
        <f t="shared" si="36"/>
        <v>152.07348188576455</v>
      </c>
    </row>
    <row r="105" spans="1:12">
      <c r="A105" s="309"/>
      <c r="B105" s="326" t="s">
        <v>821</v>
      </c>
      <c r="C105" s="459">
        <f t="shared" ref="C105:L105" si="37">C87*C$98</f>
        <v>159.39687919426885</v>
      </c>
      <c r="D105" s="459">
        <f t="shared" si="37"/>
        <v>120.05260632674926</v>
      </c>
      <c r="E105" s="459">
        <f t="shared" si="37"/>
        <v>178.65039956106415</v>
      </c>
      <c r="F105" s="459">
        <f t="shared" si="37"/>
        <v>206.16971080207168</v>
      </c>
      <c r="G105" s="459">
        <f t="shared" si="37"/>
        <v>223.561952272507</v>
      </c>
      <c r="H105" s="459">
        <f t="shared" si="37"/>
        <v>216.86359733196548</v>
      </c>
      <c r="I105" s="459">
        <f t="shared" si="37"/>
        <v>223.74536110075363</v>
      </c>
      <c r="J105" s="459">
        <f t="shared" si="37"/>
        <v>230.776412152022</v>
      </c>
      <c r="K105" s="459">
        <f t="shared" si="37"/>
        <v>232.09905917383315</v>
      </c>
      <c r="L105" s="459">
        <f t="shared" si="37"/>
        <v>218.12452164449067</v>
      </c>
    </row>
    <row r="106" spans="1:12">
      <c r="A106" s="309"/>
      <c r="B106" s="326" t="s">
        <v>8</v>
      </c>
      <c r="C106" s="459">
        <f>SUM(C103:C105)</f>
        <v>317.366389575835</v>
      </c>
      <c r="D106" s="459">
        <f t="shared" ref="D106:L106" si="38">SUM(D103:D105)</f>
        <v>239.03016434000153</v>
      </c>
      <c r="E106" s="459">
        <f t="shared" si="38"/>
        <v>355.70101868728329</v>
      </c>
      <c r="F106" s="459">
        <f t="shared" si="38"/>
        <v>410.49321095804805</v>
      </c>
      <c r="G106" s="459">
        <f t="shared" si="38"/>
        <v>445.12194967617495</v>
      </c>
      <c r="H106" s="459">
        <f t="shared" si="38"/>
        <v>431.78522229278491</v>
      </c>
      <c r="I106" s="459">
        <f t="shared" si="38"/>
        <v>445.48712494140727</v>
      </c>
      <c r="J106" s="459">
        <f t="shared" si="38"/>
        <v>459.48626531569789</v>
      </c>
      <c r="K106" s="459">
        <f t="shared" si="38"/>
        <v>462.11971530617006</v>
      </c>
      <c r="L106" s="459">
        <f t="shared" si="38"/>
        <v>434.2957795798369</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317.366389575835</v>
      </c>
      <c r="D111" s="700">
        <f t="shared" ref="D111:L111" si="39">D106</f>
        <v>239.03016434000153</v>
      </c>
      <c r="E111" s="700">
        <f t="shared" si="39"/>
        <v>355.70101868728329</v>
      </c>
      <c r="F111" s="700">
        <f t="shared" si="39"/>
        <v>410.49321095804805</v>
      </c>
      <c r="G111" s="700">
        <f t="shared" si="39"/>
        <v>445.12194967617495</v>
      </c>
      <c r="H111" s="700">
        <f t="shared" si="39"/>
        <v>431.78522229278491</v>
      </c>
      <c r="I111" s="700">
        <f t="shared" si="39"/>
        <v>445.48712494140727</v>
      </c>
      <c r="J111" s="700">
        <f t="shared" si="39"/>
        <v>459.48626531569789</v>
      </c>
      <c r="K111" s="700">
        <f t="shared" si="39"/>
        <v>462.11971530617006</v>
      </c>
      <c r="L111" s="700">
        <f t="shared" si="39"/>
        <v>434.2957795798369</v>
      </c>
    </row>
    <row r="112" spans="1:12">
      <c r="A112" s="309"/>
      <c r="B112" s="700" t="s">
        <v>804</v>
      </c>
      <c r="C112" s="700">
        <f t="shared" ref="C112:L112" si="40">((C67+C78+C89)/100)*C111</f>
        <v>45.633225295028744</v>
      </c>
      <c r="D112" s="700">
        <f t="shared" si="40"/>
        <v>34.369478621265991</v>
      </c>
      <c r="E112" s="700">
        <f t="shared" si="40"/>
        <v>51.145254370262883</v>
      </c>
      <c r="F112" s="700">
        <f t="shared" si="40"/>
        <v>59.02367041060694</v>
      </c>
      <c r="G112" s="700">
        <f t="shared" si="40"/>
        <v>64.002839873759484</v>
      </c>
      <c r="H112" s="700">
        <f t="shared" si="40"/>
        <v>62.085189154040805</v>
      </c>
      <c r="I112" s="700">
        <f t="shared" si="40"/>
        <v>64.055347403535364</v>
      </c>
      <c r="J112" s="700">
        <f t="shared" si="40"/>
        <v>66.068244634053499</v>
      </c>
      <c r="K112" s="700">
        <f t="shared" si="40"/>
        <v>66.446901040861476</v>
      </c>
      <c r="L112" s="700">
        <f t="shared" si="40"/>
        <v>62.446175162827799</v>
      </c>
    </row>
    <row r="113" spans="1:12">
      <c r="A113" s="309"/>
      <c r="B113" s="700" t="s">
        <v>805</v>
      </c>
      <c r="C113" s="700">
        <f t="shared" ref="C113:L113" si="41">((C66+C77+C88)/100)*C111</f>
        <v>271.73316428080625</v>
      </c>
      <c r="D113" s="700">
        <f t="shared" si="41"/>
        <v>204.66068571873552</v>
      </c>
      <c r="E113" s="700">
        <f t="shared" si="41"/>
        <v>304.55576431702042</v>
      </c>
      <c r="F113" s="700">
        <f t="shared" si="41"/>
        <v>351.46954054744111</v>
      </c>
      <c r="G113" s="700">
        <f t="shared" si="41"/>
        <v>381.11910980241544</v>
      </c>
      <c r="H113" s="700">
        <f t="shared" si="41"/>
        <v>369.70003313874406</v>
      </c>
      <c r="I113" s="700">
        <f t="shared" si="41"/>
        <v>381.43177753787188</v>
      </c>
      <c r="J113" s="700">
        <f t="shared" si="41"/>
        <v>393.41802068164435</v>
      </c>
      <c r="K113" s="700">
        <f t="shared" si="41"/>
        <v>395.67281426530855</v>
      </c>
      <c r="L113" s="700">
        <f t="shared" si="41"/>
        <v>371.84960441700906</v>
      </c>
    </row>
    <row r="114" spans="1:12">
      <c r="A114" s="309"/>
      <c r="B114" s="700" t="s">
        <v>799</v>
      </c>
      <c r="C114" s="700">
        <f>C112*$C$39</f>
        <v>28.201333232327762</v>
      </c>
      <c r="D114" s="700">
        <f t="shared" ref="D114:L114" si="42">D112*$C$39</f>
        <v>21.240337787942384</v>
      </c>
      <c r="E114" s="700">
        <f t="shared" si="42"/>
        <v>31.607767200822462</v>
      </c>
      <c r="F114" s="700">
        <f t="shared" si="42"/>
        <v>36.476628313755086</v>
      </c>
      <c r="G114" s="700">
        <f t="shared" si="42"/>
        <v>39.553755041983358</v>
      </c>
      <c r="H114" s="700">
        <f t="shared" si="42"/>
        <v>38.368646897197216</v>
      </c>
      <c r="I114" s="700">
        <f t="shared" si="42"/>
        <v>39.586204695384858</v>
      </c>
      <c r="J114" s="700">
        <f t="shared" si="42"/>
        <v>40.830175183845064</v>
      </c>
      <c r="K114" s="700">
        <f t="shared" si="42"/>
        <v>41.064184843252391</v>
      </c>
      <c r="L114" s="700">
        <f t="shared" si="42"/>
        <v>38.591736250627577</v>
      </c>
    </row>
    <row r="115" spans="1:12">
      <c r="A115" s="309"/>
      <c r="B115" s="700" t="s">
        <v>800</v>
      </c>
      <c r="C115" s="700">
        <f>C113</f>
        <v>271.73316428080625</v>
      </c>
      <c r="D115" s="700">
        <f t="shared" ref="D115:L115" si="43">D113</f>
        <v>204.66068571873552</v>
      </c>
      <c r="E115" s="700">
        <f t="shared" si="43"/>
        <v>304.55576431702042</v>
      </c>
      <c r="F115" s="700">
        <f t="shared" si="43"/>
        <v>351.46954054744111</v>
      </c>
      <c r="G115" s="700">
        <f t="shared" si="43"/>
        <v>381.11910980241544</v>
      </c>
      <c r="H115" s="700">
        <f t="shared" si="43"/>
        <v>369.70003313874406</v>
      </c>
      <c r="I115" s="700">
        <f t="shared" si="43"/>
        <v>381.43177753787188</v>
      </c>
      <c r="J115" s="700">
        <f t="shared" si="43"/>
        <v>393.41802068164435</v>
      </c>
      <c r="K115" s="700">
        <f t="shared" si="43"/>
        <v>395.67281426530855</v>
      </c>
      <c r="L115" s="700">
        <f t="shared" si="43"/>
        <v>371.84960441700906</v>
      </c>
    </row>
    <row r="116" spans="1:12">
      <c r="A116" s="309"/>
      <c r="B116" s="700" t="s">
        <v>724</v>
      </c>
      <c r="C116" s="700">
        <f>C115+C114</f>
        <v>299.93449751313403</v>
      </c>
      <c r="D116" s="700">
        <f t="shared" ref="D116:L116" si="44">D115+D114</f>
        <v>225.90102350667792</v>
      </c>
      <c r="E116" s="700">
        <f t="shared" si="44"/>
        <v>336.1635315178429</v>
      </c>
      <c r="F116" s="700">
        <f t="shared" si="44"/>
        <v>387.94616886119621</v>
      </c>
      <c r="G116" s="700">
        <f t="shared" si="44"/>
        <v>420.67286484439882</v>
      </c>
      <c r="H116" s="700">
        <f t="shared" si="44"/>
        <v>408.06868003594127</v>
      </c>
      <c r="I116" s="700">
        <f t="shared" si="44"/>
        <v>421.01798223325676</v>
      </c>
      <c r="J116" s="700">
        <f t="shared" si="44"/>
        <v>434.24819586548944</v>
      </c>
      <c r="K116" s="700">
        <f t="shared" si="44"/>
        <v>436.73699910856095</v>
      </c>
      <c r="L116" s="700">
        <f t="shared" si="44"/>
        <v>410.44134066763661</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row r="133" spans="1:12">
      <c r="A133" s="309"/>
      <c r="B133" s="309"/>
      <c r="C133" s="309"/>
      <c r="D133" s="309"/>
      <c r="E133" s="309"/>
      <c r="F133" s="309"/>
      <c r="G133" s="309"/>
      <c r="H133" s="309"/>
      <c r="I133" s="309"/>
      <c r="J133" s="309"/>
      <c r="K133" s="309"/>
      <c r="L133" s="309"/>
    </row>
    <row r="134" spans="1:12">
      <c r="A134" s="309"/>
      <c r="B134" s="309"/>
      <c r="C134" s="309"/>
      <c r="D134" s="309"/>
      <c r="E134" s="309"/>
      <c r="F134" s="309"/>
      <c r="G134" s="309"/>
      <c r="H134" s="309"/>
      <c r="I134" s="309"/>
      <c r="J134" s="309"/>
      <c r="K134" s="309"/>
      <c r="L134" s="309"/>
    </row>
    <row r="135" spans="1:12">
      <c r="A135" s="309"/>
      <c r="B135" s="309"/>
      <c r="C135" s="309"/>
      <c r="D135" s="309"/>
      <c r="E135" s="309"/>
      <c r="F135" s="309"/>
      <c r="G135" s="309"/>
      <c r="H135" s="309"/>
      <c r="I135" s="309"/>
      <c r="J135" s="309"/>
      <c r="K135" s="309"/>
      <c r="L135" s="309"/>
    </row>
    <row r="136" spans="1:12">
      <c r="A136" s="309"/>
      <c r="B136" s="309"/>
      <c r="C136" s="309"/>
      <c r="D136" s="309"/>
      <c r="E136" s="309"/>
      <c r="F136" s="309"/>
      <c r="G136" s="309"/>
      <c r="H136" s="309"/>
      <c r="I136" s="309"/>
      <c r="J136" s="309"/>
      <c r="K136" s="309"/>
      <c r="L136" s="309"/>
    </row>
    <row r="137" spans="1:12">
      <c r="A137" s="309"/>
      <c r="B137" s="309"/>
      <c r="C137" s="309"/>
      <c r="D137" s="309"/>
      <c r="E137" s="309"/>
      <c r="F137" s="309"/>
      <c r="G137" s="309"/>
      <c r="H137" s="309"/>
      <c r="I137" s="309"/>
      <c r="J137" s="309"/>
      <c r="K137" s="309"/>
      <c r="L137" s="309"/>
    </row>
    <row r="138" spans="1:12">
      <c r="A138" s="309"/>
      <c r="B138" s="309"/>
      <c r="C138" s="309"/>
      <c r="D138" s="309"/>
      <c r="E138" s="309"/>
      <c r="F138" s="309"/>
      <c r="G138" s="309"/>
      <c r="H138" s="309"/>
      <c r="I138" s="309"/>
      <c r="J138" s="309"/>
      <c r="K138" s="309"/>
      <c r="L138" s="309"/>
    </row>
    <row r="139" spans="1:12">
      <c r="A139" s="309"/>
      <c r="B139" s="309"/>
      <c r="C139" s="309"/>
      <c r="D139" s="309"/>
      <c r="E139" s="309"/>
      <c r="F139" s="309"/>
      <c r="G139" s="309"/>
      <c r="H139" s="309"/>
      <c r="I139" s="309"/>
      <c r="J139" s="309"/>
      <c r="K139" s="309"/>
      <c r="L139" s="309"/>
    </row>
    <row r="140" spans="1:12">
      <c r="A140" s="309"/>
      <c r="B140" s="309"/>
      <c r="C140" s="309"/>
      <c r="D140" s="309"/>
      <c r="E140" s="309"/>
      <c r="F140" s="309"/>
      <c r="G140" s="309"/>
      <c r="H140" s="309"/>
      <c r="I140" s="309"/>
      <c r="J140" s="309"/>
      <c r="K140" s="309"/>
      <c r="L140" s="309"/>
    </row>
    <row r="141" spans="1:12">
      <c r="A141" s="309"/>
      <c r="B141" s="309"/>
      <c r="C141" s="309"/>
      <c r="D141" s="309"/>
      <c r="E141" s="309"/>
      <c r="F141" s="309"/>
      <c r="G141" s="309"/>
      <c r="H141" s="309"/>
      <c r="I141" s="309"/>
      <c r="J141" s="309"/>
      <c r="K141" s="309"/>
      <c r="L141" s="309"/>
    </row>
    <row r="142" spans="1:12">
      <c r="A142" s="309"/>
      <c r="B142" s="309"/>
      <c r="C142" s="309"/>
      <c r="D142" s="309"/>
      <c r="E142" s="309"/>
      <c r="F142" s="309"/>
      <c r="G142" s="309"/>
      <c r="H142" s="309"/>
      <c r="I142" s="309"/>
      <c r="J142" s="309"/>
      <c r="K142" s="309"/>
      <c r="L142" s="309"/>
    </row>
    <row r="143" spans="1:12">
      <c r="A143" s="309"/>
      <c r="B143" s="309"/>
      <c r="C143" s="309"/>
      <c r="D143" s="309"/>
      <c r="E143" s="309"/>
      <c r="F143" s="309"/>
      <c r="G143" s="309"/>
      <c r="H143" s="309"/>
      <c r="I143" s="309"/>
      <c r="J143" s="309"/>
      <c r="K143" s="309"/>
      <c r="L143" s="309"/>
    </row>
    <row r="144" spans="1:12">
      <c r="A144" s="309"/>
      <c r="B144" s="309"/>
      <c r="C144" s="309"/>
      <c r="D144" s="309"/>
      <c r="E144" s="309"/>
      <c r="F144" s="309"/>
      <c r="G144" s="309"/>
      <c r="H144" s="309"/>
      <c r="I144" s="309"/>
      <c r="J144" s="309"/>
      <c r="K144" s="309"/>
      <c r="L144" s="309"/>
    </row>
    <row r="145" spans="1:12">
      <c r="A145" s="309"/>
      <c r="B145" s="309"/>
      <c r="C145" s="309"/>
      <c r="D145" s="309"/>
      <c r="E145" s="309"/>
      <c r="F145" s="309"/>
      <c r="G145" s="309"/>
      <c r="H145" s="309"/>
      <c r="I145" s="309"/>
      <c r="J145" s="309"/>
      <c r="K145" s="309"/>
      <c r="L145" s="309"/>
    </row>
    <row r="146" spans="1:12">
      <c r="A146" s="309"/>
      <c r="B146" s="309"/>
      <c r="C146" s="309"/>
      <c r="D146" s="309"/>
      <c r="E146" s="309"/>
      <c r="F146" s="309"/>
      <c r="G146" s="309"/>
      <c r="H146" s="309"/>
      <c r="I146" s="309"/>
      <c r="J146" s="309"/>
      <c r="K146" s="309"/>
      <c r="L146" s="309"/>
    </row>
    <row r="147" spans="1:12">
      <c r="A147" s="309"/>
      <c r="B147" s="309"/>
      <c r="C147" s="309"/>
      <c r="D147" s="309"/>
      <c r="E147" s="309"/>
      <c r="F147" s="309"/>
      <c r="G147" s="309"/>
      <c r="H147" s="309"/>
      <c r="I147" s="309"/>
      <c r="J147" s="309"/>
      <c r="K147" s="309"/>
      <c r="L147" s="309"/>
    </row>
    <row r="148" spans="1:12">
      <c r="A148" s="309"/>
      <c r="B148" s="309"/>
      <c r="C148" s="309"/>
      <c r="D148" s="309"/>
      <c r="E148" s="309"/>
      <c r="F148" s="309"/>
      <c r="G148" s="309"/>
      <c r="H148" s="309"/>
      <c r="I148" s="309"/>
      <c r="J148" s="309"/>
      <c r="K148" s="309"/>
      <c r="L148" s="309"/>
    </row>
    <row r="149" spans="1:12">
      <c r="A149" s="309"/>
      <c r="B149" s="309"/>
      <c r="C149" s="309"/>
      <c r="D149" s="309"/>
      <c r="E149" s="309"/>
      <c r="F149" s="309"/>
      <c r="G149" s="309"/>
      <c r="H149" s="309"/>
      <c r="I149" s="309"/>
      <c r="J149" s="309"/>
      <c r="K149" s="309"/>
      <c r="L149" s="309"/>
    </row>
    <row r="150" spans="1:12">
      <c r="A150" s="309"/>
      <c r="B150" s="309"/>
      <c r="C150" s="309"/>
      <c r="D150" s="309"/>
      <c r="E150" s="309"/>
      <c r="F150" s="309"/>
      <c r="G150" s="309"/>
      <c r="H150" s="309"/>
      <c r="I150" s="309"/>
      <c r="J150" s="309"/>
      <c r="K150" s="309"/>
      <c r="L150" s="309"/>
    </row>
    <row r="151" spans="1:12">
      <c r="A151" s="309"/>
      <c r="B151" s="309"/>
      <c r="C151" s="309"/>
      <c r="D151" s="309"/>
      <c r="E151" s="309"/>
      <c r="F151" s="309"/>
      <c r="G151" s="309"/>
      <c r="H151" s="309"/>
      <c r="I151" s="309"/>
      <c r="J151" s="309"/>
      <c r="K151" s="309"/>
      <c r="L151" s="309"/>
    </row>
    <row r="152" spans="1:12">
      <c r="A152" s="309"/>
      <c r="B152" s="309"/>
      <c r="C152" s="309"/>
      <c r="D152" s="309"/>
      <c r="E152" s="309"/>
      <c r="F152" s="309"/>
      <c r="G152" s="309"/>
      <c r="H152" s="309"/>
      <c r="I152" s="309"/>
      <c r="J152" s="309"/>
      <c r="K152" s="309"/>
      <c r="L152" s="309"/>
    </row>
    <row r="153" spans="1:12">
      <c r="A153" s="309"/>
      <c r="B153" s="309"/>
      <c r="C153" s="309"/>
      <c r="D153" s="309"/>
      <c r="E153" s="309"/>
      <c r="F153" s="309"/>
      <c r="G153" s="309"/>
      <c r="H153" s="309"/>
      <c r="I153" s="309"/>
      <c r="J153" s="309"/>
      <c r="K153" s="309"/>
      <c r="L153" s="309"/>
    </row>
    <row r="154" spans="1:12">
      <c r="A154" s="309"/>
      <c r="B154" s="309"/>
      <c r="C154" s="309"/>
      <c r="D154" s="309"/>
      <c r="E154" s="309"/>
      <c r="F154" s="309"/>
      <c r="G154" s="309"/>
      <c r="H154" s="309"/>
      <c r="I154" s="309"/>
      <c r="J154" s="309"/>
      <c r="K154" s="309"/>
      <c r="L154" s="309"/>
    </row>
    <row r="155" spans="1:12">
      <c r="A155" s="309"/>
      <c r="B155" s="309"/>
      <c r="C155" s="309"/>
      <c r="D155" s="309"/>
      <c r="E155" s="309"/>
      <c r="F155" s="309"/>
      <c r="G155" s="309"/>
      <c r="H155" s="309"/>
      <c r="I155" s="309"/>
      <c r="J155" s="309"/>
      <c r="K155" s="309"/>
      <c r="L155" s="309"/>
    </row>
    <row r="156" spans="1:12">
      <c r="A156" s="309"/>
      <c r="B156" s="309"/>
      <c r="C156" s="309"/>
      <c r="D156" s="309"/>
      <c r="E156" s="309"/>
      <c r="F156" s="309"/>
      <c r="G156" s="309"/>
      <c r="H156" s="309"/>
      <c r="I156" s="309"/>
      <c r="J156" s="309"/>
      <c r="K156" s="309"/>
      <c r="L156" s="309"/>
    </row>
    <row r="157" spans="1:12">
      <c r="A157" s="309"/>
      <c r="B157" s="309"/>
      <c r="C157" s="309"/>
      <c r="D157" s="309"/>
      <c r="E157" s="309"/>
      <c r="F157" s="309"/>
      <c r="G157" s="309"/>
      <c r="H157" s="309"/>
      <c r="I157" s="309"/>
      <c r="J157" s="309"/>
      <c r="K157" s="309"/>
      <c r="L157" s="309"/>
    </row>
    <row r="158" spans="1:12">
      <c r="A158" s="309"/>
      <c r="B158" s="309"/>
      <c r="C158" s="309"/>
      <c r="D158" s="309"/>
      <c r="E158" s="309"/>
      <c r="F158" s="309"/>
      <c r="G158" s="309"/>
      <c r="H158" s="309"/>
      <c r="I158" s="309"/>
      <c r="J158" s="309"/>
      <c r="K158" s="309"/>
      <c r="L158" s="309"/>
    </row>
    <row r="159" spans="1:12">
      <c r="A159" s="309"/>
      <c r="B159" s="309"/>
      <c r="C159" s="309"/>
      <c r="D159" s="309"/>
      <c r="E159" s="309"/>
      <c r="F159" s="309"/>
      <c r="G159" s="309"/>
      <c r="H159" s="309"/>
      <c r="I159" s="309"/>
      <c r="J159" s="309"/>
      <c r="K159" s="309"/>
      <c r="L159" s="309"/>
    </row>
    <row r="160" spans="1:12">
      <c r="A160" s="309"/>
      <c r="B160" s="309"/>
      <c r="C160" s="309"/>
      <c r="D160" s="309"/>
      <c r="E160" s="309"/>
      <c r="F160" s="309"/>
      <c r="G160" s="309"/>
      <c r="H160" s="309"/>
      <c r="I160" s="309"/>
      <c r="J160" s="309"/>
      <c r="K160" s="309"/>
      <c r="L160" s="309"/>
    </row>
    <row r="161" spans="1:12">
      <c r="A161" s="309"/>
      <c r="B161" s="309"/>
      <c r="C161" s="309"/>
      <c r="D161" s="309"/>
      <c r="E161" s="309"/>
      <c r="F161" s="309"/>
      <c r="G161" s="309"/>
      <c r="H161" s="309"/>
      <c r="I161" s="309"/>
      <c r="J161" s="309"/>
      <c r="K161" s="309"/>
      <c r="L161" s="309"/>
    </row>
    <row r="162" spans="1:12">
      <c r="A162" s="309"/>
      <c r="B162" s="309"/>
      <c r="C162" s="309"/>
      <c r="D162" s="309"/>
      <c r="E162" s="309"/>
      <c r="F162" s="309"/>
      <c r="G162" s="309"/>
      <c r="H162" s="309"/>
      <c r="I162" s="309"/>
      <c r="J162" s="309"/>
      <c r="K162" s="309"/>
      <c r="L162" s="309"/>
    </row>
    <row r="163" spans="1:12">
      <c r="A163" s="309"/>
      <c r="B163" s="309"/>
      <c r="C163" s="309"/>
      <c r="D163" s="309"/>
      <c r="E163" s="309"/>
      <c r="F163" s="309"/>
      <c r="G163" s="309"/>
      <c r="H163" s="309"/>
      <c r="I163" s="309"/>
      <c r="J163" s="309"/>
      <c r="K163" s="309"/>
      <c r="L163" s="309"/>
    </row>
    <row r="164" spans="1:12">
      <c r="A164" s="309"/>
      <c r="B164" s="309"/>
      <c r="C164" s="309"/>
      <c r="D164" s="309"/>
      <c r="E164" s="309"/>
      <c r="F164" s="309"/>
      <c r="G164" s="309"/>
      <c r="H164" s="309"/>
      <c r="I164" s="309"/>
      <c r="J164" s="309"/>
      <c r="K164" s="309"/>
      <c r="L164" s="309"/>
    </row>
    <row r="165" spans="1:12">
      <c r="A165" s="309"/>
      <c r="B165" s="309"/>
      <c r="C165" s="309"/>
      <c r="D165" s="309"/>
      <c r="E165" s="309"/>
      <c r="F165" s="309"/>
      <c r="G165" s="309"/>
      <c r="H165" s="309"/>
      <c r="I165" s="309"/>
      <c r="J165" s="309"/>
      <c r="K165" s="309"/>
      <c r="L165" s="309"/>
    </row>
    <row r="166" spans="1:12">
      <c r="A166" s="309"/>
      <c r="B166" s="309"/>
      <c r="C166" s="309"/>
      <c r="D166" s="309"/>
      <c r="E166" s="309"/>
      <c r="F166" s="309"/>
      <c r="G166" s="309"/>
      <c r="H166" s="309"/>
      <c r="I166" s="309"/>
      <c r="J166" s="309"/>
      <c r="K166" s="309"/>
      <c r="L166" s="309"/>
    </row>
    <row r="167" spans="1:12">
      <c r="A167" s="309"/>
      <c r="B167" s="309"/>
      <c r="C167" s="309"/>
      <c r="D167" s="309"/>
      <c r="E167" s="309"/>
      <c r="F167" s="309"/>
      <c r="G167" s="309"/>
      <c r="H167" s="309"/>
      <c r="I167" s="309"/>
      <c r="J167" s="309"/>
      <c r="K167" s="309"/>
      <c r="L167" s="309"/>
    </row>
    <row r="168" spans="1:12">
      <c r="A168" s="309"/>
      <c r="B168" s="309"/>
      <c r="C168" s="309"/>
      <c r="D168" s="309"/>
      <c r="E168" s="309"/>
      <c r="F168" s="309"/>
      <c r="G168" s="309"/>
      <c r="H168" s="309"/>
      <c r="I168" s="309"/>
      <c r="J168" s="309"/>
      <c r="K168" s="309"/>
      <c r="L168" s="309"/>
    </row>
    <row r="169" spans="1:12">
      <c r="A169" s="309"/>
      <c r="B169" s="309"/>
      <c r="C169" s="309"/>
      <c r="D169" s="309"/>
      <c r="E169" s="309"/>
      <c r="F169" s="309"/>
      <c r="G169" s="309"/>
      <c r="H169" s="309"/>
      <c r="I169" s="309"/>
      <c r="J169" s="309"/>
      <c r="K169" s="309"/>
      <c r="L169" s="309"/>
    </row>
    <row r="170" spans="1:12">
      <c r="A170" s="309"/>
      <c r="B170" s="309"/>
      <c r="C170" s="309"/>
      <c r="D170" s="309"/>
      <c r="E170" s="309"/>
      <c r="F170" s="309"/>
      <c r="G170" s="309"/>
      <c r="H170" s="309"/>
      <c r="I170" s="309"/>
      <c r="J170" s="309"/>
      <c r="K170" s="309"/>
      <c r="L170" s="309"/>
    </row>
    <row r="171" spans="1:12">
      <c r="A171" s="309"/>
      <c r="B171" s="309"/>
      <c r="C171" s="309"/>
      <c r="D171" s="309"/>
      <c r="E171" s="309"/>
      <c r="F171" s="309"/>
      <c r="G171" s="309"/>
      <c r="H171" s="309"/>
      <c r="I171" s="309"/>
      <c r="J171" s="309"/>
      <c r="K171" s="309"/>
      <c r="L171" s="309"/>
    </row>
    <row r="172" spans="1:12">
      <c r="A172" s="309"/>
      <c r="B172" s="309"/>
      <c r="C172" s="309"/>
      <c r="D172" s="309"/>
      <c r="E172" s="309"/>
      <c r="F172" s="309"/>
      <c r="G172" s="309"/>
      <c r="H172" s="309"/>
      <c r="I172" s="309"/>
      <c r="J172" s="309"/>
      <c r="K172" s="309"/>
      <c r="L172" s="309"/>
    </row>
    <row r="173" spans="1:12">
      <c r="A173" s="309"/>
      <c r="B173" s="309"/>
      <c r="C173" s="309"/>
      <c r="D173" s="309"/>
      <c r="E173" s="309"/>
      <c r="F173" s="309"/>
      <c r="G173" s="309"/>
      <c r="H173" s="309"/>
      <c r="I173" s="309"/>
      <c r="J173" s="309"/>
      <c r="K173" s="309"/>
      <c r="L173" s="309"/>
    </row>
    <row r="174" spans="1:12">
      <c r="A174" s="309"/>
      <c r="B174" s="309"/>
      <c r="C174" s="309"/>
      <c r="D174" s="309"/>
      <c r="E174" s="309"/>
      <c r="F174" s="309"/>
      <c r="G174" s="309"/>
      <c r="H174" s="309"/>
      <c r="I174" s="309"/>
      <c r="J174" s="309"/>
      <c r="K174" s="309"/>
      <c r="L174" s="309"/>
    </row>
    <row r="175" spans="1:12">
      <c r="A175" s="309"/>
      <c r="B175" s="309"/>
      <c r="C175" s="309"/>
      <c r="D175" s="309"/>
      <c r="E175" s="309"/>
      <c r="F175" s="309"/>
      <c r="G175" s="309"/>
      <c r="H175" s="309"/>
      <c r="I175" s="309"/>
      <c r="J175" s="309"/>
      <c r="K175" s="309"/>
      <c r="L175" s="309"/>
    </row>
    <row r="176" spans="1:12">
      <c r="A176" s="309"/>
      <c r="B176" s="309"/>
      <c r="C176" s="309"/>
      <c r="D176" s="309"/>
      <c r="E176" s="309"/>
      <c r="F176" s="309"/>
      <c r="G176" s="309"/>
      <c r="H176" s="309"/>
      <c r="I176" s="309"/>
      <c r="J176" s="309"/>
      <c r="K176" s="309"/>
      <c r="L176" s="309"/>
    </row>
    <row r="177" spans="1:12">
      <c r="A177" s="309"/>
      <c r="B177" s="309"/>
      <c r="C177" s="309"/>
      <c r="D177" s="309"/>
      <c r="E177" s="309"/>
      <c r="F177" s="309"/>
      <c r="G177" s="309"/>
      <c r="H177" s="309"/>
      <c r="I177" s="309"/>
      <c r="J177" s="309"/>
      <c r="K177" s="309"/>
      <c r="L177" s="309"/>
    </row>
    <row r="178" spans="1:12">
      <c r="A178" s="309"/>
      <c r="B178" s="309"/>
      <c r="C178" s="309"/>
      <c r="D178" s="309"/>
      <c r="E178" s="309"/>
      <c r="F178" s="309"/>
      <c r="G178" s="309"/>
      <c r="H178" s="309"/>
      <c r="I178" s="309"/>
      <c r="J178" s="309"/>
      <c r="K178" s="309"/>
      <c r="L178" s="309"/>
    </row>
    <row r="179" spans="1:12">
      <c r="A179" s="309"/>
      <c r="B179" s="309"/>
      <c r="C179" s="309"/>
      <c r="D179" s="309"/>
      <c r="E179" s="309"/>
      <c r="F179" s="309"/>
      <c r="G179" s="309"/>
      <c r="H179" s="309"/>
      <c r="I179" s="309"/>
      <c r="J179" s="309"/>
      <c r="K179" s="309"/>
      <c r="L179" s="309"/>
    </row>
    <row r="180" spans="1:12">
      <c r="A180" s="309"/>
      <c r="B180" s="309"/>
      <c r="C180" s="309"/>
      <c r="D180" s="309"/>
      <c r="E180" s="309"/>
      <c r="F180" s="309"/>
      <c r="G180" s="309"/>
      <c r="H180" s="309"/>
      <c r="I180" s="309"/>
      <c r="J180" s="309"/>
      <c r="K180" s="309"/>
      <c r="L180" s="309"/>
    </row>
    <row r="181" spans="1:12">
      <c r="A181" s="309"/>
      <c r="B181" s="309"/>
      <c r="C181" s="309"/>
      <c r="D181" s="309"/>
      <c r="E181" s="309"/>
      <c r="F181" s="309"/>
      <c r="G181" s="309"/>
      <c r="H181" s="309"/>
      <c r="I181" s="309"/>
      <c r="J181" s="309"/>
      <c r="K181" s="309"/>
      <c r="L181" s="309"/>
    </row>
    <row r="182" spans="1:12">
      <c r="A182" s="309"/>
      <c r="B182" s="309"/>
      <c r="C182" s="309"/>
      <c r="D182" s="309"/>
      <c r="E182" s="309"/>
      <c r="F182" s="309"/>
      <c r="G182" s="309"/>
      <c r="H182" s="309"/>
      <c r="I182" s="309"/>
      <c r="J182" s="309"/>
      <c r="K182" s="309"/>
      <c r="L182" s="309"/>
    </row>
    <row r="183" spans="1:12">
      <c r="A183" s="309"/>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5" spans="1:12">
      <c r="A185" s="309"/>
      <c r="B185" s="309"/>
      <c r="C185" s="309"/>
      <c r="D185" s="309"/>
      <c r="E185" s="309"/>
      <c r="F185" s="309"/>
      <c r="G185" s="309"/>
      <c r="H185" s="309"/>
      <c r="I185" s="309"/>
      <c r="J185" s="309"/>
      <c r="K185" s="309"/>
      <c r="L185" s="309"/>
    </row>
    <row r="186" spans="1:12">
      <c r="A186" s="309"/>
      <c r="B186" s="309"/>
      <c r="C186" s="309"/>
      <c r="D186" s="309"/>
      <c r="E186" s="309"/>
      <c r="F186" s="309"/>
      <c r="G186" s="309"/>
      <c r="H186" s="309"/>
      <c r="I186" s="309"/>
      <c r="J186" s="309"/>
      <c r="K186" s="309"/>
      <c r="L186" s="309"/>
    </row>
    <row r="187" spans="1:12">
      <c r="A187" s="309"/>
      <c r="B187" s="309"/>
      <c r="C187" s="309"/>
      <c r="D187" s="309"/>
      <c r="E187" s="309"/>
      <c r="F187" s="309"/>
      <c r="G187" s="309"/>
      <c r="H187" s="309"/>
      <c r="I187" s="309"/>
      <c r="J187" s="309"/>
      <c r="K187" s="309"/>
      <c r="L187" s="309"/>
    </row>
    <row r="188" spans="1:12">
      <c r="A188" s="309"/>
      <c r="B188" s="309"/>
      <c r="C188" s="309"/>
      <c r="D188" s="309"/>
      <c r="E188" s="309"/>
      <c r="F188" s="309"/>
      <c r="G188" s="309"/>
      <c r="H188" s="309"/>
      <c r="I188" s="309"/>
      <c r="J188" s="309"/>
      <c r="K188" s="309"/>
      <c r="L188" s="309"/>
    </row>
    <row r="189" spans="1:12">
      <c r="A189" s="309"/>
      <c r="B189" s="309"/>
      <c r="C189" s="309"/>
      <c r="D189" s="309"/>
      <c r="E189" s="309"/>
      <c r="F189" s="309"/>
      <c r="G189" s="309"/>
      <c r="H189" s="309"/>
      <c r="I189" s="309"/>
      <c r="J189" s="309"/>
      <c r="K189" s="309"/>
      <c r="L189" s="309"/>
    </row>
    <row r="190" spans="1:12">
      <c r="A190" s="309"/>
      <c r="B190" s="309"/>
      <c r="C190" s="309"/>
      <c r="D190" s="309"/>
      <c r="E190" s="309"/>
      <c r="F190" s="309"/>
      <c r="G190" s="309"/>
      <c r="H190" s="309"/>
      <c r="I190" s="309"/>
      <c r="J190" s="309"/>
      <c r="K190" s="309"/>
      <c r="L190" s="309"/>
    </row>
    <row r="191" spans="1:12">
      <c r="A191" s="309"/>
      <c r="B191" s="309"/>
      <c r="C191" s="309"/>
      <c r="D191" s="309"/>
      <c r="E191" s="309"/>
      <c r="F191" s="309"/>
      <c r="G191" s="309"/>
      <c r="H191" s="309"/>
      <c r="I191" s="309"/>
      <c r="J191" s="309"/>
      <c r="K191" s="309"/>
      <c r="L191" s="309"/>
    </row>
    <row r="192" spans="1:12">
      <c r="A192" s="309"/>
      <c r="B192" s="309"/>
      <c r="C192" s="309"/>
      <c r="D192" s="309"/>
      <c r="E192" s="309"/>
      <c r="F192" s="309"/>
      <c r="G192" s="309"/>
      <c r="H192" s="309"/>
      <c r="I192" s="309"/>
      <c r="J192" s="309"/>
      <c r="K192" s="309"/>
      <c r="L192" s="309"/>
    </row>
    <row r="193" spans="1:12">
      <c r="A193" s="309"/>
      <c r="B193" s="309"/>
      <c r="C193" s="309"/>
      <c r="D193" s="309"/>
      <c r="E193" s="309"/>
      <c r="F193" s="309"/>
      <c r="G193" s="309"/>
      <c r="H193" s="309"/>
      <c r="I193" s="309"/>
      <c r="J193" s="309"/>
      <c r="K193" s="309"/>
      <c r="L193" s="309"/>
    </row>
    <row r="194" spans="1:12">
      <c r="A194" s="309"/>
      <c r="B194" s="309"/>
      <c r="C194" s="309"/>
      <c r="D194" s="309"/>
      <c r="E194" s="309"/>
      <c r="F194" s="309"/>
      <c r="G194" s="309"/>
      <c r="H194" s="309"/>
      <c r="I194" s="309"/>
      <c r="J194" s="309"/>
      <c r="K194" s="309"/>
      <c r="L194" s="309"/>
    </row>
    <row r="195" spans="1:12">
      <c r="A195" s="309"/>
      <c r="B195" s="309"/>
      <c r="C195" s="309"/>
      <c r="D195" s="309"/>
      <c r="E195" s="309"/>
      <c r="F195" s="309"/>
      <c r="G195" s="309"/>
      <c r="H195" s="309"/>
      <c r="I195" s="309"/>
      <c r="J195" s="309"/>
      <c r="K195" s="309"/>
      <c r="L195" s="309"/>
    </row>
    <row r="196" spans="1:12">
      <c r="A196" s="309"/>
      <c r="B196" s="309"/>
      <c r="C196" s="309"/>
      <c r="D196" s="309"/>
      <c r="E196" s="309"/>
      <c r="F196" s="309"/>
      <c r="G196" s="309"/>
      <c r="H196" s="309"/>
      <c r="I196" s="309"/>
      <c r="J196" s="309"/>
      <c r="K196" s="309"/>
      <c r="L196" s="309"/>
    </row>
    <row r="197" spans="1:12">
      <c r="A197" s="309"/>
      <c r="B197" s="309"/>
      <c r="C197" s="309"/>
      <c r="D197" s="309"/>
      <c r="E197" s="309"/>
      <c r="F197" s="309"/>
      <c r="G197" s="309"/>
      <c r="H197" s="309"/>
      <c r="I197" s="309"/>
      <c r="J197" s="309"/>
      <c r="K197" s="309"/>
      <c r="L197" s="309"/>
    </row>
    <row r="198" spans="1:12">
      <c r="A198" s="309"/>
      <c r="B198" s="309"/>
      <c r="C198" s="309"/>
      <c r="D198" s="309"/>
      <c r="E198" s="309"/>
      <c r="F198" s="309"/>
      <c r="G198" s="309"/>
      <c r="H198" s="309"/>
      <c r="I198" s="309"/>
      <c r="J198" s="309"/>
      <c r="K198" s="309"/>
      <c r="L198" s="309"/>
    </row>
    <row r="199" spans="1:12">
      <c r="A199" s="309"/>
      <c r="B199" s="309"/>
      <c r="C199" s="309"/>
      <c r="D199" s="309"/>
      <c r="E199" s="309"/>
      <c r="F199" s="309"/>
      <c r="G199" s="309"/>
      <c r="H199" s="309"/>
      <c r="I199" s="309"/>
      <c r="J199" s="309"/>
      <c r="K199" s="309"/>
      <c r="L199" s="309"/>
    </row>
    <row r="200" spans="1:12">
      <c r="A200" s="309"/>
      <c r="B200" s="309"/>
      <c r="C200" s="309"/>
      <c r="D200" s="309"/>
      <c r="E200" s="309"/>
      <c r="F200" s="309"/>
      <c r="G200" s="309"/>
      <c r="H200" s="309"/>
      <c r="I200" s="309"/>
      <c r="J200" s="309"/>
      <c r="K200" s="309"/>
      <c r="L200" s="309"/>
    </row>
    <row r="201" spans="1:12">
      <c r="A201" s="309"/>
      <c r="B201" s="309"/>
      <c r="C201" s="309"/>
      <c r="D201" s="309"/>
      <c r="E201" s="309"/>
      <c r="F201" s="309"/>
      <c r="G201" s="309"/>
      <c r="H201" s="309"/>
      <c r="I201" s="309"/>
      <c r="J201" s="309"/>
      <c r="K201" s="309"/>
      <c r="L201" s="309"/>
    </row>
    <row r="202" spans="1:12">
      <c r="A202" s="309"/>
      <c r="B202" s="309"/>
      <c r="C202" s="309"/>
      <c r="D202" s="309"/>
      <c r="E202" s="309"/>
      <c r="F202" s="309"/>
      <c r="G202" s="309"/>
      <c r="H202" s="309"/>
      <c r="I202" s="309"/>
      <c r="J202" s="309"/>
      <c r="K202" s="309"/>
      <c r="L202" s="309"/>
    </row>
    <row r="203" spans="1:12">
      <c r="A203" s="309"/>
      <c r="B203" s="309"/>
      <c r="C203" s="309"/>
      <c r="D203" s="309"/>
      <c r="E203" s="309"/>
      <c r="F203" s="309"/>
      <c r="G203" s="309"/>
      <c r="H203" s="309"/>
      <c r="I203" s="309"/>
      <c r="J203" s="309"/>
      <c r="K203" s="309"/>
      <c r="L203" s="309"/>
    </row>
    <row r="204" spans="1:12">
      <c r="A204" s="309"/>
      <c r="B204" s="309"/>
      <c r="C204" s="309"/>
      <c r="D204" s="309"/>
      <c r="E204" s="309"/>
      <c r="F204" s="309"/>
      <c r="G204" s="309"/>
      <c r="H204" s="309"/>
      <c r="I204" s="309"/>
      <c r="J204" s="309"/>
      <c r="K204" s="309"/>
      <c r="L204" s="309"/>
    </row>
    <row r="205" spans="1:12">
      <c r="A205" s="309"/>
      <c r="B205" s="309"/>
      <c r="C205" s="309"/>
      <c r="D205" s="309"/>
      <c r="E205" s="309"/>
      <c r="F205" s="309"/>
      <c r="G205" s="309"/>
      <c r="H205" s="309"/>
      <c r="I205" s="309"/>
      <c r="J205" s="309"/>
      <c r="K205" s="309"/>
      <c r="L205" s="309"/>
    </row>
    <row r="206" spans="1:12">
      <c r="A206" s="309"/>
      <c r="B206" s="309"/>
      <c r="C206" s="309"/>
      <c r="D206" s="309"/>
      <c r="E206" s="309"/>
      <c r="F206" s="309"/>
      <c r="G206" s="309"/>
      <c r="H206" s="309"/>
      <c r="I206" s="309"/>
      <c r="J206" s="309"/>
      <c r="K206" s="309"/>
      <c r="L206" s="309"/>
    </row>
    <row r="207" spans="1:12">
      <c r="A207" s="309"/>
      <c r="B207" s="309"/>
      <c r="C207" s="309"/>
      <c r="D207" s="309"/>
      <c r="E207" s="309"/>
      <c r="F207" s="309"/>
      <c r="G207" s="309"/>
      <c r="H207" s="309"/>
      <c r="I207" s="309"/>
      <c r="J207" s="309"/>
      <c r="K207" s="309"/>
      <c r="L207" s="309"/>
    </row>
    <row r="208" spans="1:12">
      <c r="A208" s="309"/>
      <c r="B208" s="309"/>
      <c r="C208" s="309"/>
      <c r="D208" s="309"/>
      <c r="E208" s="309"/>
      <c r="F208" s="309"/>
      <c r="G208" s="309"/>
      <c r="H208" s="309"/>
      <c r="I208" s="309"/>
      <c r="J208" s="309"/>
      <c r="K208" s="309"/>
      <c r="L208" s="309"/>
    </row>
    <row r="209" spans="1:12">
      <c r="A209" s="309"/>
      <c r="B209" s="309"/>
      <c r="C209" s="309"/>
      <c r="D209" s="309"/>
      <c r="E209" s="309"/>
      <c r="F209" s="309"/>
      <c r="G209" s="309"/>
      <c r="H209" s="309"/>
      <c r="I209" s="309"/>
      <c r="J209" s="309"/>
      <c r="K209" s="309"/>
      <c r="L209" s="309"/>
    </row>
    <row r="210" spans="1:12">
      <c r="A210" s="309"/>
      <c r="B210" s="309"/>
      <c r="C210" s="309"/>
      <c r="D210" s="309"/>
      <c r="E210" s="309"/>
      <c r="F210" s="309"/>
      <c r="G210" s="309"/>
      <c r="H210" s="309"/>
      <c r="I210" s="309"/>
      <c r="J210" s="309"/>
      <c r="K210" s="309"/>
      <c r="L210" s="309"/>
    </row>
    <row r="211" spans="1:12">
      <c r="A211" s="309"/>
      <c r="B211" s="309"/>
      <c r="C211" s="309"/>
      <c r="D211" s="309"/>
      <c r="E211" s="309"/>
      <c r="F211" s="309"/>
      <c r="G211" s="309"/>
      <c r="H211" s="309"/>
      <c r="I211" s="309"/>
      <c r="J211" s="309"/>
      <c r="K211" s="309"/>
      <c r="L211" s="309"/>
    </row>
    <row r="212" spans="1:12">
      <c r="A212" s="309"/>
      <c r="B212" s="309"/>
      <c r="C212" s="309"/>
      <c r="D212" s="309"/>
      <c r="E212" s="309"/>
      <c r="F212" s="309"/>
      <c r="G212" s="309"/>
      <c r="H212" s="309"/>
      <c r="I212" s="309"/>
      <c r="J212" s="309"/>
      <c r="K212" s="309"/>
      <c r="L212" s="309"/>
    </row>
    <row r="213" spans="1:12">
      <c r="A213" s="309"/>
      <c r="B213" s="309"/>
      <c r="C213" s="309"/>
      <c r="D213" s="309"/>
      <c r="E213" s="309"/>
      <c r="F213" s="309"/>
      <c r="G213" s="309"/>
      <c r="H213" s="309"/>
      <c r="I213" s="309"/>
      <c r="J213" s="309"/>
      <c r="K213" s="309"/>
      <c r="L213" s="309"/>
    </row>
    <row r="214" spans="1:12">
      <c r="A214" s="309"/>
      <c r="B214" s="309"/>
      <c r="C214" s="309"/>
      <c r="D214" s="309"/>
      <c r="E214" s="309"/>
      <c r="F214" s="309"/>
      <c r="G214" s="309"/>
      <c r="H214" s="309"/>
      <c r="I214" s="309"/>
      <c r="J214" s="309"/>
      <c r="K214" s="309"/>
      <c r="L214" s="309"/>
    </row>
    <row r="215" spans="1:12">
      <c r="A215" s="309"/>
      <c r="B215" s="309"/>
      <c r="C215" s="309"/>
      <c r="D215" s="309"/>
      <c r="E215" s="309"/>
      <c r="F215" s="309"/>
      <c r="G215" s="309"/>
      <c r="H215" s="309"/>
      <c r="I215" s="309"/>
      <c r="J215" s="309"/>
      <c r="K215" s="309"/>
      <c r="L215" s="309"/>
    </row>
    <row r="216" spans="1:12">
      <c r="A216" s="309"/>
      <c r="B216" s="309"/>
      <c r="C216" s="309"/>
      <c r="D216" s="309"/>
      <c r="E216" s="309"/>
      <c r="F216" s="309"/>
      <c r="G216" s="309"/>
      <c r="H216" s="309"/>
      <c r="I216" s="309"/>
      <c r="J216" s="309"/>
      <c r="K216" s="309"/>
      <c r="L216" s="309"/>
    </row>
    <row r="217" spans="1:12">
      <c r="A217" s="309"/>
      <c r="B217" s="309"/>
      <c r="C217" s="309"/>
      <c r="D217" s="309"/>
      <c r="E217" s="309"/>
      <c r="F217" s="309"/>
      <c r="G217" s="309"/>
      <c r="H217" s="309"/>
      <c r="I217" s="309"/>
      <c r="J217" s="309"/>
      <c r="K217" s="309"/>
      <c r="L217" s="309"/>
    </row>
    <row r="218" spans="1:12">
      <c r="A218" s="309"/>
      <c r="B218" s="309"/>
      <c r="C218" s="309"/>
      <c r="D218" s="309"/>
      <c r="E218" s="309"/>
      <c r="F218" s="309"/>
      <c r="G218" s="309"/>
      <c r="H218" s="309"/>
      <c r="I218" s="309"/>
      <c r="J218" s="309"/>
      <c r="K218" s="309"/>
      <c r="L218" s="309"/>
    </row>
    <row r="219" spans="1:12">
      <c r="A219" s="309"/>
      <c r="B219" s="309"/>
      <c r="C219" s="309"/>
      <c r="D219" s="309"/>
      <c r="E219" s="309"/>
      <c r="F219" s="309"/>
      <c r="G219" s="309"/>
      <c r="H219" s="309"/>
      <c r="I219" s="309"/>
      <c r="J219" s="309"/>
      <c r="K219" s="309"/>
      <c r="L219" s="309"/>
    </row>
    <row r="220" spans="1:12">
      <c r="A220" s="309"/>
      <c r="B220" s="309"/>
      <c r="C220" s="309"/>
      <c r="D220" s="309"/>
      <c r="E220" s="309"/>
      <c r="F220" s="309"/>
      <c r="G220" s="309"/>
      <c r="H220" s="309"/>
      <c r="I220" s="309"/>
      <c r="J220" s="309"/>
      <c r="K220" s="309"/>
      <c r="L220" s="309"/>
    </row>
    <row r="221" spans="1:12">
      <c r="A221" s="309"/>
      <c r="B221" s="309"/>
      <c r="C221" s="309"/>
      <c r="D221" s="309"/>
      <c r="E221" s="309"/>
      <c r="F221" s="309"/>
      <c r="G221" s="309"/>
      <c r="H221" s="309"/>
      <c r="I221" s="309"/>
      <c r="J221" s="309"/>
      <c r="K221" s="309"/>
      <c r="L221" s="309"/>
    </row>
    <row r="222" spans="1:12">
      <c r="A222" s="309"/>
      <c r="B222" s="309"/>
      <c r="C222" s="309"/>
      <c r="D222" s="309"/>
      <c r="E222" s="309"/>
      <c r="F222" s="309"/>
      <c r="G222" s="309"/>
      <c r="H222" s="309"/>
      <c r="I222" s="309"/>
      <c r="J222" s="309"/>
      <c r="K222" s="309"/>
      <c r="L222" s="309"/>
    </row>
    <row r="223" spans="1:12">
      <c r="A223" s="309"/>
      <c r="B223" s="309"/>
      <c r="C223" s="309"/>
      <c r="D223" s="309"/>
      <c r="E223" s="309"/>
      <c r="F223" s="309"/>
      <c r="G223" s="309"/>
      <c r="H223" s="309"/>
      <c r="I223" s="309"/>
      <c r="J223" s="309"/>
      <c r="K223" s="309"/>
      <c r="L223" s="309"/>
    </row>
    <row r="224" spans="1:12">
      <c r="A224" s="309"/>
      <c r="B224" s="309"/>
      <c r="C224" s="309"/>
      <c r="D224" s="309"/>
      <c r="E224" s="309"/>
      <c r="F224" s="309"/>
      <c r="G224" s="309"/>
      <c r="H224" s="309"/>
      <c r="I224" s="309"/>
      <c r="J224" s="309"/>
      <c r="K224" s="309"/>
      <c r="L224" s="309"/>
    </row>
    <row r="225" spans="1:12">
      <c r="A225" s="309"/>
      <c r="B225" s="309"/>
      <c r="C225" s="309"/>
      <c r="D225" s="309"/>
      <c r="E225" s="309"/>
      <c r="F225" s="309"/>
      <c r="G225" s="309"/>
      <c r="H225" s="309"/>
      <c r="I225" s="309"/>
      <c r="J225" s="309"/>
      <c r="K225" s="309"/>
      <c r="L225" s="309"/>
    </row>
    <row r="226" spans="1:12">
      <c r="A226" s="309"/>
      <c r="B226" s="309"/>
      <c r="C226" s="309"/>
      <c r="D226" s="309"/>
      <c r="E226" s="309"/>
      <c r="F226" s="309"/>
      <c r="G226" s="309"/>
      <c r="H226" s="309"/>
      <c r="I226" s="309"/>
      <c r="J226" s="309"/>
      <c r="K226" s="309"/>
      <c r="L226" s="309"/>
    </row>
    <row r="227" spans="1:12">
      <c r="A227" s="309"/>
      <c r="B227" s="309"/>
      <c r="C227" s="309"/>
      <c r="D227" s="309"/>
      <c r="E227" s="309"/>
      <c r="F227" s="309"/>
      <c r="G227" s="309"/>
      <c r="H227" s="309"/>
      <c r="I227" s="309"/>
      <c r="J227" s="309"/>
      <c r="K227" s="309"/>
      <c r="L227" s="309"/>
    </row>
    <row r="228" spans="1:12">
      <c r="A228" s="309"/>
      <c r="B228" s="309"/>
      <c r="C228" s="309"/>
      <c r="D228" s="309"/>
      <c r="E228" s="309"/>
      <c r="F228" s="309"/>
      <c r="G228" s="309"/>
      <c r="H228" s="309"/>
      <c r="I228" s="309"/>
      <c r="J228" s="309"/>
      <c r="K228" s="309"/>
      <c r="L228" s="309"/>
    </row>
    <row r="229" spans="1:12">
      <c r="A229" s="309"/>
      <c r="B229" s="309"/>
      <c r="C229" s="309"/>
      <c r="D229" s="309"/>
      <c r="E229" s="309"/>
      <c r="F229" s="309"/>
      <c r="G229" s="309"/>
      <c r="H229" s="309"/>
      <c r="I229" s="309"/>
      <c r="J229" s="309"/>
      <c r="K229" s="309"/>
      <c r="L229" s="309"/>
    </row>
    <row r="230" spans="1:12">
      <c r="A230" s="309"/>
      <c r="B230" s="309"/>
      <c r="C230" s="309"/>
      <c r="D230" s="309"/>
      <c r="E230" s="309"/>
      <c r="F230" s="309"/>
      <c r="G230" s="309"/>
      <c r="H230" s="309"/>
      <c r="I230" s="309"/>
      <c r="J230" s="309"/>
      <c r="K230" s="309"/>
      <c r="L230" s="309"/>
    </row>
    <row r="231" spans="1:12">
      <c r="A231" s="309"/>
      <c r="B231" s="309"/>
      <c r="C231" s="309"/>
      <c r="D231" s="309"/>
      <c r="E231" s="309"/>
      <c r="F231" s="309"/>
      <c r="G231" s="309"/>
      <c r="H231" s="309"/>
      <c r="I231" s="309"/>
      <c r="J231" s="309"/>
      <c r="K231" s="309"/>
      <c r="L231"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1"/>
  <sheetViews>
    <sheetView showGridLines="0" workbookViewId="0"/>
  </sheetViews>
  <sheetFormatPr defaultRowHeight="12.75"/>
  <cols>
    <col min="2" max="2" width="35.7109375" customWidth="1"/>
    <col min="3" max="12"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6.45" customHeight="1">
      <c r="A5" s="1100" t="s">
        <v>1713</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SUM(A12:A1746)</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OUTPUTS_FOR_SECTION_2_OF_MODEL!B68</f>
        <v>Chemistry</v>
      </c>
      <c r="C15" s="307">
        <f>OUTPUTS_FOR_SECTION_2_OF_MODEL!E68</f>
        <v>1369.3635969078512</v>
      </c>
      <c r="D15" s="307">
        <f>OUTPUTS_FOR_SECTION_2_OF_MODEL!F68</f>
        <v>1370.3546697869631</v>
      </c>
      <c r="E15" s="307">
        <f>OUTPUTS_FOR_SECTION_2_OF_MODEL!G68</f>
        <v>1350.5794286394669</v>
      </c>
      <c r="F15" s="307">
        <f>OUTPUTS_FOR_SECTION_2_OF_MODEL!H68</f>
        <v>1375.8173502548311</v>
      </c>
      <c r="G15" s="307">
        <f>OUTPUTS_FOR_SECTION_2_OF_MODEL!I68</f>
        <v>1411.6156893113766</v>
      </c>
      <c r="H15" s="307">
        <f>OUTPUTS_FOR_SECTION_2_OF_MODEL!J68</f>
        <v>1375.2824750734162</v>
      </c>
      <c r="I15" s="307">
        <f>OUTPUTS_FOR_SECTION_2_OF_MODEL!K68</f>
        <v>1334.3803130509314</v>
      </c>
      <c r="J15" s="307">
        <f>OUTPUTS_FOR_SECTION_2_OF_MODEL!L68</f>
        <v>1353.9948822402539</v>
      </c>
      <c r="K15" s="307">
        <f>OUTPUTS_FOR_SECTION_2_OF_MODEL!M68</f>
        <v>1344.5024695298421</v>
      </c>
      <c r="L15" s="307">
        <f>OUTPUTS_FOR_SECTION_2_OF_MODEL!N68</f>
        <v>1283.2001953735639</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1274.8775087212096</v>
      </c>
      <c r="D44" s="459">
        <f t="shared" si="4"/>
        <v>1275.8001975716627</v>
      </c>
      <c r="E44" s="459">
        <f t="shared" si="4"/>
        <v>1257.3894480633437</v>
      </c>
      <c r="F44" s="459">
        <f t="shared" si="4"/>
        <v>1280.8859530872478</v>
      </c>
      <c r="G44" s="459">
        <f t="shared" si="4"/>
        <v>1314.2142067488917</v>
      </c>
      <c r="H44" s="459">
        <f t="shared" si="4"/>
        <v>1280.3879842933507</v>
      </c>
      <c r="I44" s="459">
        <f t="shared" si="4"/>
        <v>1242.3080714504172</v>
      </c>
      <c r="J44" s="459">
        <f t="shared" si="4"/>
        <v>1260.5692353656764</v>
      </c>
      <c r="K44" s="459">
        <f t="shared" si="4"/>
        <v>1251.731799132283</v>
      </c>
      <c r="L44" s="459">
        <f t="shared" si="4"/>
        <v>1194.6593818927881</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13.489721104074331</v>
      </c>
      <c r="D57" s="459">
        <f t="shared" ref="D57:L57" si="7">D44/$J$50</f>
        <v>13.499484250081148</v>
      </c>
      <c r="E57" s="459">
        <f t="shared" si="7"/>
        <v>13.304676612103979</v>
      </c>
      <c r="F57" s="459">
        <f t="shared" si="7"/>
        <v>13.553297595315833</v>
      </c>
      <c r="G57" s="459">
        <f t="shared" si="7"/>
        <v>13.905950178568627</v>
      </c>
      <c r="H57" s="459">
        <f t="shared" si="7"/>
        <v>13.548028492910111</v>
      </c>
      <c r="I57" s="459">
        <f t="shared" si="7"/>
        <v>13.145097701202996</v>
      </c>
      <c r="J57" s="459">
        <f t="shared" si="7"/>
        <v>13.338322545603715</v>
      </c>
      <c r="K57" s="459">
        <f t="shared" si="7"/>
        <v>13.244811953999429</v>
      </c>
      <c r="L57" s="459">
        <f t="shared" si="7"/>
        <v>12.640917865328587</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13.489721104074331</v>
      </c>
      <c r="D98" s="459">
        <f t="shared" ref="D98:L98" si="33">D57</f>
        <v>13.499484250081148</v>
      </c>
      <c r="E98" s="459">
        <f t="shared" si="33"/>
        <v>13.304676612103979</v>
      </c>
      <c r="F98" s="459">
        <f t="shared" si="33"/>
        <v>13.553297595315833</v>
      </c>
      <c r="G98" s="459">
        <f t="shared" si="33"/>
        <v>13.905950178568627</v>
      </c>
      <c r="H98" s="459">
        <f t="shared" si="33"/>
        <v>13.548028492910111</v>
      </c>
      <c r="I98" s="459">
        <f t="shared" si="33"/>
        <v>13.145097701202996</v>
      </c>
      <c r="J98" s="459">
        <f t="shared" si="33"/>
        <v>13.338322545603715</v>
      </c>
      <c r="K98" s="459">
        <f t="shared" si="33"/>
        <v>13.244811953999429</v>
      </c>
      <c r="L98" s="459">
        <f t="shared" si="33"/>
        <v>12.640917865328587</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840</v>
      </c>
      <c r="C103" s="459">
        <f t="shared" ref="C103:L103" si="35">C65*C$98</f>
        <v>199.09498617204972</v>
      </c>
      <c r="D103" s="459">
        <f t="shared" si="35"/>
        <v>199.23908058321109</v>
      </c>
      <c r="E103" s="459">
        <f t="shared" si="35"/>
        <v>196.36391187586401</v>
      </c>
      <c r="F103" s="459">
        <f t="shared" si="35"/>
        <v>200.03331251304212</v>
      </c>
      <c r="G103" s="459">
        <f t="shared" si="35"/>
        <v>205.23811701897418</v>
      </c>
      <c r="H103" s="459">
        <f t="shared" si="35"/>
        <v>199.95554575548556</v>
      </c>
      <c r="I103" s="459">
        <f t="shared" si="35"/>
        <v>194.00868445388375</v>
      </c>
      <c r="J103" s="459">
        <f t="shared" si="35"/>
        <v>196.86049268826142</v>
      </c>
      <c r="K103" s="459">
        <f t="shared" si="35"/>
        <v>195.48036853307985</v>
      </c>
      <c r="L103" s="459">
        <f t="shared" si="35"/>
        <v>186.5674870653533</v>
      </c>
    </row>
    <row r="104" spans="1:12">
      <c r="A104" s="309"/>
      <c r="B104" s="326" t="s">
        <v>841</v>
      </c>
      <c r="C104" s="459">
        <f t="shared" ref="C104:L104" si="36">C76*C$98</f>
        <v>472.35753935926704</v>
      </c>
      <c r="D104" s="459">
        <f t="shared" si="36"/>
        <v>472.69940674026071</v>
      </c>
      <c r="E104" s="459">
        <f t="shared" si="36"/>
        <v>465.87800132992248</v>
      </c>
      <c r="F104" s="459">
        <f t="shared" si="36"/>
        <v>474.58374068190682</v>
      </c>
      <c r="G104" s="459">
        <f t="shared" si="36"/>
        <v>486.93226184026247</v>
      </c>
      <c r="H104" s="459">
        <f t="shared" si="36"/>
        <v>474.39923721976726</v>
      </c>
      <c r="I104" s="459">
        <f t="shared" si="36"/>
        <v>460.29016885323375</v>
      </c>
      <c r="J104" s="459">
        <f t="shared" si="36"/>
        <v>467.0561509917847</v>
      </c>
      <c r="K104" s="459">
        <f t="shared" si="36"/>
        <v>463.7817739595651</v>
      </c>
      <c r="L104" s="459">
        <f t="shared" si="36"/>
        <v>442.63575295902638</v>
      </c>
    </row>
    <row r="105" spans="1:12">
      <c r="A105" s="309"/>
      <c r="B105" s="326" t="s">
        <v>842</v>
      </c>
      <c r="C105" s="459">
        <f t="shared" ref="C105:L105" si="37">C87*C$98</f>
        <v>677.51958487611637</v>
      </c>
      <c r="D105" s="459">
        <f t="shared" si="37"/>
        <v>678.00993768464298</v>
      </c>
      <c r="E105" s="459">
        <f t="shared" si="37"/>
        <v>668.22574800461143</v>
      </c>
      <c r="F105" s="459">
        <f t="shared" si="37"/>
        <v>680.71270633663437</v>
      </c>
      <c r="G105" s="459">
        <f t="shared" si="37"/>
        <v>698.42463899762606</v>
      </c>
      <c r="H105" s="459">
        <f t="shared" si="37"/>
        <v>680.4480663157583</v>
      </c>
      <c r="I105" s="459">
        <f t="shared" si="37"/>
        <v>660.21091681318217</v>
      </c>
      <c r="J105" s="459">
        <f t="shared" si="37"/>
        <v>669.9156108803254</v>
      </c>
      <c r="K105" s="459">
        <f t="shared" si="37"/>
        <v>665.21905290729796</v>
      </c>
      <c r="L105" s="459">
        <f t="shared" si="37"/>
        <v>634.88854650847907</v>
      </c>
    </row>
    <row r="106" spans="1:12">
      <c r="A106" s="309"/>
      <c r="B106" s="326" t="s">
        <v>8</v>
      </c>
      <c r="C106" s="459">
        <f>SUM(C103:C105)</f>
        <v>1348.9721104074331</v>
      </c>
      <c r="D106" s="459">
        <f t="shared" ref="D106:L106" si="38">SUM(D103:D105)</f>
        <v>1349.9484250081148</v>
      </c>
      <c r="E106" s="459">
        <f t="shared" si="38"/>
        <v>1330.4676612103979</v>
      </c>
      <c r="F106" s="459">
        <f t="shared" si="38"/>
        <v>1355.3297595315835</v>
      </c>
      <c r="G106" s="459">
        <f t="shared" si="38"/>
        <v>1390.5950178568628</v>
      </c>
      <c r="H106" s="459">
        <f t="shared" si="38"/>
        <v>1354.8028492910112</v>
      </c>
      <c r="I106" s="459">
        <f t="shared" si="38"/>
        <v>1314.5097701202997</v>
      </c>
      <c r="J106" s="459">
        <f t="shared" si="38"/>
        <v>1333.8322545603714</v>
      </c>
      <c r="K106" s="459">
        <f t="shared" si="38"/>
        <v>1324.4811953999429</v>
      </c>
      <c r="L106" s="459">
        <f t="shared" si="38"/>
        <v>1264.0917865328588</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1348.9721104074331</v>
      </c>
      <c r="D111" s="700">
        <f t="shared" ref="D111:L111" si="39">D106</f>
        <v>1349.9484250081148</v>
      </c>
      <c r="E111" s="700">
        <f t="shared" si="39"/>
        <v>1330.4676612103979</v>
      </c>
      <c r="F111" s="700">
        <f t="shared" si="39"/>
        <v>1355.3297595315835</v>
      </c>
      <c r="G111" s="700">
        <f t="shared" si="39"/>
        <v>1390.5950178568628</v>
      </c>
      <c r="H111" s="700">
        <f t="shared" si="39"/>
        <v>1354.8028492910112</v>
      </c>
      <c r="I111" s="700">
        <f t="shared" si="39"/>
        <v>1314.5097701202997</v>
      </c>
      <c r="J111" s="700">
        <f t="shared" si="39"/>
        <v>1333.8322545603714</v>
      </c>
      <c r="K111" s="700">
        <f t="shared" si="39"/>
        <v>1324.4811953999429</v>
      </c>
      <c r="L111" s="700">
        <f t="shared" si="39"/>
        <v>1264.0917865328588</v>
      </c>
    </row>
    <row r="112" spans="1:12">
      <c r="A112" s="309"/>
      <c r="B112" s="700" t="s">
        <v>804</v>
      </c>
      <c r="C112" s="700">
        <f t="shared" ref="C112:L112" si="40">((C67+C78+C89)/100)*C111</f>
        <v>193.96492588016616</v>
      </c>
      <c r="D112" s="700">
        <f t="shared" si="40"/>
        <v>194.10530742526703</v>
      </c>
      <c r="E112" s="700">
        <f t="shared" si="40"/>
        <v>191.3042228980473</v>
      </c>
      <c r="F112" s="700">
        <f t="shared" si="40"/>
        <v>194.87907446161125</v>
      </c>
      <c r="G112" s="700">
        <f t="shared" si="40"/>
        <v>199.94976729835327</v>
      </c>
      <c r="H112" s="700">
        <f t="shared" si="40"/>
        <v>194.80331151219991</v>
      </c>
      <c r="I112" s="700">
        <f t="shared" si="40"/>
        <v>189.00968238189105</v>
      </c>
      <c r="J112" s="700">
        <f t="shared" si="40"/>
        <v>191.78800836307624</v>
      </c>
      <c r="K112" s="700">
        <f t="shared" si="40"/>
        <v>190.44344572685853</v>
      </c>
      <c r="L112" s="700">
        <f t="shared" si="40"/>
        <v>181.7602215708653</v>
      </c>
    </row>
    <row r="113" spans="1:12">
      <c r="A113" s="309"/>
      <c r="B113" s="700" t="s">
        <v>805</v>
      </c>
      <c r="C113" s="700">
        <f t="shared" ref="C113:L113" si="41">((C66+C77+C88)/100)*C111</f>
        <v>1155.0071845272669</v>
      </c>
      <c r="D113" s="700">
        <f t="shared" si="41"/>
        <v>1155.8431175828478</v>
      </c>
      <c r="E113" s="700">
        <f t="shared" si="41"/>
        <v>1139.1634383123505</v>
      </c>
      <c r="F113" s="700">
        <f t="shared" si="41"/>
        <v>1160.4506850699722</v>
      </c>
      <c r="G113" s="700">
        <f t="shared" si="41"/>
        <v>1190.6452505585094</v>
      </c>
      <c r="H113" s="700">
        <f t="shared" si="41"/>
        <v>1159.9995377788111</v>
      </c>
      <c r="I113" s="700">
        <f t="shared" si="41"/>
        <v>1125.5000877384086</v>
      </c>
      <c r="J113" s="700">
        <f t="shared" si="41"/>
        <v>1142.044246197295</v>
      </c>
      <c r="K113" s="700">
        <f t="shared" si="41"/>
        <v>1134.0377496730844</v>
      </c>
      <c r="L113" s="700">
        <f t="shared" si="41"/>
        <v>1082.3315649619935</v>
      </c>
    </row>
    <row r="114" spans="1:12">
      <c r="A114" s="309"/>
      <c r="B114" s="700" t="s">
        <v>799</v>
      </c>
      <c r="C114" s="700">
        <f>C112*$C$39</f>
        <v>119.87032419394269</v>
      </c>
      <c r="D114" s="700">
        <f t="shared" ref="D114:L114" si="42">D112*$C$39</f>
        <v>119.95707998881502</v>
      </c>
      <c r="E114" s="700">
        <f t="shared" si="42"/>
        <v>118.22600975099323</v>
      </c>
      <c r="F114" s="700">
        <f t="shared" si="42"/>
        <v>120.43526801727576</v>
      </c>
      <c r="G114" s="700">
        <f t="shared" si="42"/>
        <v>123.56895619038232</v>
      </c>
      <c r="H114" s="700">
        <f t="shared" si="42"/>
        <v>120.38844651453954</v>
      </c>
      <c r="I114" s="700">
        <f t="shared" si="42"/>
        <v>116.80798371200866</v>
      </c>
      <c r="J114" s="700">
        <f t="shared" si="42"/>
        <v>118.52498916838111</v>
      </c>
      <c r="K114" s="700">
        <f t="shared" si="42"/>
        <v>117.69404945919857</v>
      </c>
      <c r="L114" s="700">
        <f t="shared" si="42"/>
        <v>112.32781693079475</v>
      </c>
    </row>
    <row r="115" spans="1:12">
      <c r="A115" s="309"/>
      <c r="B115" s="700" t="s">
        <v>800</v>
      </c>
      <c r="C115" s="700">
        <f>C113</f>
        <v>1155.0071845272669</v>
      </c>
      <c r="D115" s="700">
        <f t="shared" ref="D115:L115" si="43">D113</f>
        <v>1155.8431175828478</v>
      </c>
      <c r="E115" s="700">
        <f t="shared" si="43"/>
        <v>1139.1634383123505</v>
      </c>
      <c r="F115" s="700">
        <f t="shared" si="43"/>
        <v>1160.4506850699722</v>
      </c>
      <c r="G115" s="700">
        <f t="shared" si="43"/>
        <v>1190.6452505585094</v>
      </c>
      <c r="H115" s="700">
        <f t="shared" si="43"/>
        <v>1159.9995377788111</v>
      </c>
      <c r="I115" s="700">
        <f t="shared" si="43"/>
        <v>1125.5000877384086</v>
      </c>
      <c r="J115" s="700">
        <f t="shared" si="43"/>
        <v>1142.044246197295</v>
      </c>
      <c r="K115" s="700">
        <f t="shared" si="43"/>
        <v>1134.0377496730844</v>
      </c>
      <c r="L115" s="700">
        <f t="shared" si="43"/>
        <v>1082.3315649619935</v>
      </c>
    </row>
    <row r="116" spans="1:12">
      <c r="A116" s="309"/>
      <c r="B116" s="700" t="s">
        <v>724</v>
      </c>
      <c r="C116" s="700">
        <f>C115+C114</f>
        <v>1274.8775087212096</v>
      </c>
      <c r="D116" s="700">
        <f t="shared" ref="D116:L116" si="44">D115+D114</f>
        <v>1275.8001975716627</v>
      </c>
      <c r="E116" s="700">
        <f t="shared" si="44"/>
        <v>1257.3894480633437</v>
      </c>
      <c r="F116" s="700">
        <f t="shared" si="44"/>
        <v>1280.885953087248</v>
      </c>
      <c r="G116" s="700">
        <f t="shared" si="44"/>
        <v>1314.2142067488917</v>
      </c>
      <c r="H116" s="700">
        <f t="shared" si="44"/>
        <v>1280.3879842933507</v>
      </c>
      <c r="I116" s="700">
        <f t="shared" si="44"/>
        <v>1242.3080714504174</v>
      </c>
      <c r="J116" s="700">
        <f t="shared" si="44"/>
        <v>1260.5692353656761</v>
      </c>
      <c r="K116" s="700">
        <f t="shared" si="44"/>
        <v>1251.731799132283</v>
      </c>
      <c r="L116" s="700">
        <f t="shared" si="44"/>
        <v>1194.6593818927884</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row r="133" spans="1:12">
      <c r="A133" s="309"/>
      <c r="B133" s="309"/>
      <c r="C133" s="309"/>
      <c r="D133" s="309"/>
      <c r="E133" s="309"/>
      <c r="F133" s="309"/>
      <c r="G133" s="309"/>
      <c r="H133" s="309"/>
      <c r="I133" s="309"/>
      <c r="J133" s="309"/>
      <c r="K133" s="309"/>
      <c r="L133" s="309"/>
    </row>
    <row r="134" spans="1:12">
      <c r="A134" s="309"/>
      <c r="B134" s="309"/>
      <c r="C134" s="309"/>
      <c r="D134" s="309"/>
      <c r="E134" s="309"/>
      <c r="F134" s="309"/>
      <c r="G134" s="309"/>
      <c r="H134" s="309"/>
      <c r="I134" s="309"/>
      <c r="J134" s="309"/>
      <c r="K134" s="309"/>
      <c r="L134" s="309"/>
    </row>
    <row r="135" spans="1:12">
      <c r="A135" s="309"/>
      <c r="B135" s="309"/>
      <c r="C135" s="309"/>
      <c r="D135" s="309"/>
      <c r="E135" s="309"/>
      <c r="F135" s="309"/>
      <c r="G135" s="309"/>
      <c r="H135" s="309"/>
      <c r="I135" s="309"/>
      <c r="J135" s="309"/>
      <c r="K135" s="309"/>
      <c r="L135" s="309"/>
    </row>
    <row r="136" spans="1:12">
      <c r="A136" s="309"/>
      <c r="B136" s="309"/>
      <c r="C136" s="309"/>
      <c r="D136" s="309"/>
      <c r="E136" s="309"/>
      <c r="F136" s="309"/>
      <c r="G136" s="309"/>
      <c r="H136" s="309"/>
      <c r="I136" s="309"/>
      <c r="J136" s="309"/>
      <c r="K136" s="309"/>
      <c r="L136" s="309"/>
    </row>
    <row r="137" spans="1:12">
      <c r="A137" s="309"/>
      <c r="B137" s="309"/>
      <c r="C137" s="309"/>
      <c r="D137" s="309"/>
      <c r="E137" s="309"/>
      <c r="F137" s="309"/>
      <c r="G137" s="309"/>
      <c r="H137" s="309"/>
      <c r="I137" s="309"/>
      <c r="J137" s="309"/>
      <c r="K137" s="309"/>
      <c r="L137" s="309"/>
    </row>
    <row r="138" spans="1:12">
      <c r="A138" s="309"/>
      <c r="B138" s="309"/>
      <c r="C138" s="309"/>
      <c r="D138" s="309"/>
      <c r="E138" s="309"/>
      <c r="F138" s="309"/>
      <c r="G138" s="309"/>
      <c r="H138" s="309"/>
      <c r="I138" s="309"/>
      <c r="J138" s="309"/>
      <c r="K138" s="309"/>
      <c r="L138" s="309"/>
    </row>
    <row r="139" spans="1:12">
      <c r="A139" s="309"/>
      <c r="B139" s="309"/>
      <c r="C139" s="309"/>
      <c r="D139" s="309"/>
      <c r="E139" s="309"/>
      <c r="F139" s="309"/>
      <c r="G139" s="309"/>
      <c r="H139" s="309"/>
      <c r="I139" s="309"/>
      <c r="J139" s="309"/>
      <c r="K139" s="309"/>
      <c r="L139" s="309"/>
    </row>
    <row r="140" spans="1:12">
      <c r="A140" s="309"/>
      <c r="B140" s="309"/>
      <c r="C140" s="309"/>
      <c r="D140" s="309"/>
      <c r="E140" s="309"/>
      <c r="F140" s="309"/>
      <c r="G140" s="309"/>
      <c r="H140" s="309"/>
      <c r="I140" s="309"/>
      <c r="J140" s="309"/>
      <c r="K140" s="309"/>
      <c r="L140" s="309"/>
    </row>
    <row r="141" spans="1:12">
      <c r="A141" s="309"/>
      <c r="B141" s="309"/>
      <c r="C141" s="309"/>
      <c r="D141" s="309"/>
      <c r="E141" s="309"/>
      <c r="F141" s="309"/>
      <c r="G141" s="309"/>
      <c r="H141" s="309"/>
      <c r="I141" s="309"/>
      <c r="J141" s="309"/>
      <c r="K141" s="309"/>
      <c r="L141" s="309"/>
    </row>
    <row r="142" spans="1:12">
      <c r="A142" s="309"/>
      <c r="B142" s="309"/>
      <c r="C142" s="309"/>
      <c r="D142" s="309"/>
      <c r="E142" s="309"/>
      <c r="F142" s="309"/>
      <c r="G142" s="309"/>
      <c r="H142" s="309"/>
      <c r="I142" s="309"/>
      <c r="J142" s="309"/>
      <c r="K142" s="309"/>
      <c r="L142" s="309"/>
    </row>
    <row r="143" spans="1:12">
      <c r="A143" s="309"/>
      <c r="B143" s="309"/>
      <c r="C143" s="309"/>
      <c r="D143" s="309"/>
      <c r="E143" s="309"/>
      <c r="F143" s="309"/>
      <c r="G143" s="309"/>
      <c r="H143" s="309"/>
      <c r="I143" s="309"/>
      <c r="J143" s="309"/>
      <c r="K143" s="309"/>
      <c r="L143" s="309"/>
    </row>
    <row r="144" spans="1:12">
      <c r="A144" s="309"/>
      <c r="B144" s="309"/>
      <c r="C144" s="309"/>
      <c r="D144" s="309"/>
      <c r="E144" s="309"/>
      <c r="F144" s="309"/>
      <c r="G144" s="309"/>
      <c r="H144" s="309"/>
      <c r="I144" s="309"/>
      <c r="J144" s="309"/>
      <c r="K144" s="309"/>
      <c r="L144" s="309"/>
    </row>
    <row r="145" spans="1:12">
      <c r="A145" s="309"/>
      <c r="B145" s="309"/>
      <c r="C145" s="309"/>
      <c r="D145" s="309"/>
      <c r="E145" s="309"/>
      <c r="F145" s="309"/>
      <c r="G145" s="309"/>
      <c r="H145" s="309"/>
      <c r="I145" s="309"/>
      <c r="J145" s="309"/>
      <c r="K145" s="309"/>
      <c r="L145" s="309"/>
    </row>
    <row r="146" spans="1:12">
      <c r="A146" s="309"/>
      <c r="B146" s="309"/>
      <c r="C146" s="309"/>
      <c r="D146" s="309"/>
      <c r="E146" s="309"/>
      <c r="F146" s="309"/>
      <c r="G146" s="309"/>
      <c r="H146" s="309"/>
      <c r="I146" s="309"/>
      <c r="J146" s="309"/>
      <c r="K146" s="309"/>
      <c r="L146" s="309"/>
    </row>
    <row r="147" spans="1:12">
      <c r="A147" s="309"/>
      <c r="B147" s="309"/>
      <c r="C147" s="309"/>
      <c r="D147" s="309"/>
      <c r="E147" s="309"/>
      <c r="F147" s="309"/>
      <c r="G147" s="309"/>
      <c r="H147" s="309"/>
      <c r="I147" s="309"/>
      <c r="J147" s="309"/>
      <c r="K147" s="309"/>
      <c r="L147" s="309"/>
    </row>
    <row r="148" spans="1:12">
      <c r="A148" s="309"/>
      <c r="B148" s="309"/>
      <c r="C148" s="309"/>
      <c r="D148" s="309"/>
      <c r="E148" s="309"/>
      <c r="F148" s="309"/>
      <c r="G148" s="309"/>
      <c r="H148" s="309"/>
      <c r="I148" s="309"/>
      <c r="J148" s="309"/>
      <c r="K148" s="309"/>
      <c r="L148" s="309"/>
    </row>
    <row r="149" spans="1:12">
      <c r="A149" s="309"/>
      <c r="B149" s="309"/>
      <c r="C149" s="309"/>
      <c r="D149" s="309"/>
      <c r="E149" s="309"/>
      <c r="F149" s="309"/>
      <c r="G149" s="309"/>
      <c r="H149" s="309"/>
      <c r="I149" s="309"/>
      <c r="J149" s="309"/>
      <c r="K149" s="309"/>
      <c r="L149" s="309"/>
    </row>
    <row r="150" spans="1:12">
      <c r="A150" s="309"/>
      <c r="B150" s="309"/>
      <c r="C150" s="309"/>
      <c r="D150" s="309"/>
      <c r="E150" s="309"/>
      <c r="F150" s="309"/>
      <c r="G150" s="309"/>
      <c r="H150" s="309"/>
      <c r="I150" s="309"/>
      <c r="J150" s="309"/>
      <c r="K150" s="309"/>
      <c r="L150" s="309"/>
    </row>
    <row r="151" spans="1:12">
      <c r="A151" s="309"/>
      <c r="B151" s="309"/>
      <c r="C151" s="309"/>
      <c r="D151" s="309"/>
      <c r="E151" s="309"/>
      <c r="F151" s="309"/>
      <c r="G151" s="309"/>
      <c r="H151" s="309"/>
      <c r="I151" s="309"/>
      <c r="J151" s="309"/>
      <c r="K151" s="309"/>
      <c r="L151" s="309"/>
    </row>
    <row r="152" spans="1:12">
      <c r="A152" s="309"/>
      <c r="B152" s="309"/>
      <c r="C152" s="309"/>
      <c r="D152" s="309"/>
      <c r="E152" s="309"/>
      <c r="F152" s="309"/>
      <c r="G152" s="309"/>
      <c r="H152" s="309"/>
      <c r="I152" s="309"/>
      <c r="J152" s="309"/>
      <c r="K152" s="309"/>
      <c r="L152" s="309"/>
    </row>
    <row r="153" spans="1:12">
      <c r="A153" s="309"/>
      <c r="B153" s="309"/>
      <c r="C153" s="309"/>
      <c r="D153" s="309"/>
      <c r="E153" s="309"/>
      <c r="F153" s="309"/>
      <c r="G153" s="309"/>
      <c r="H153" s="309"/>
      <c r="I153" s="309"/>
      <c r="J153" s="309"/>
      <c r="K153" s="309"/>
      <c r="L153" s="309"/>
    </row>
    <row r="154" spans="1:12">
      <c r="A154" s="309"/>
      <c r="B154" s="309"/>
      <c r="C154" s="309"/>
      <c r="D154" s="309"/>
      <c r="E154" s="309"/>
      <c r="F154" s="309"/>
      <c r="G154" s="309"/>
      <c r="H154" s="309"/>
      <c r="I154" s="309"/>
      <c r="J154" s="309"/>
      <c r="K154" s="309"/>
      <c r="L154" s="309"/>
    </row>
    <row r="155" spans="1:12">
      <c r="A155" s="309"/>
      <c r="B155" s="309"/>
      <c r="C155" s="309"/>
      <c r="D155" s="309"/>
      <c r="E155" s="309"/>
      <c r="F155" s="309"/>
      <c r="G155" s="309"/>
      <c r="H155" s="309"/>
      <c r="I155" s="309"/>
      <c r="J155" s="309"/>
      <c r="K155" s="309"/>
      <c r="L155" s="309"/>
    </row>
    <row r="156" spans="1:12">
      <c r="A156" s="309"/>
      <c r="B156" s="309"/>
      <c r="C156" s="309"/>
      <c r="D156" s="309"/>
      <c r="E156" s="309"/>
      <c r="F156" s="309"/>
      <c r="G156" s="309"/>
      <c r="H156" s="309"/>
      <c r="I156" s="309"/>
      <c r="J156" s="309"/>
      <c r="K156" s="309"/>
      <c r="L156" s="309"/>
    </row>
    <row r="157" spans="1:12">
      <c r="A157" s="309"/>
      <c r="B157" s="309"/>
      <c r="C157" s="309"/>
      <c r="D157" s="309"/>
      <c r="E157" s="309"/>
      <c r="F157" s="309"/>
      <c r="G157" s="309"/>
      <c r="H157" s="309"/>
      <c r="I157" s="309"/>
      <c r="J157" s="309"/>
      <c r="K157" s="309"/>
      <c r="L157" s="309"/>
    </row>
    <row r="158" spans="1:12">
      <c r="A158" s="309"/>
      <c r="B158" s="309"/>
      <c r="C158" s="309"/>
      <c r="D158" s="309"/>
      <c r="E158" s="309"/>
      <c r="F158" s="309"/>
      <c r="G158" s="309"/>
      <c r="H158" s="309"/>
      <c r="I158" s="309"/>
      <c r="J158" s="309"/>
      <c r="K158" s="309"/>
      <c r="L158" s="309"/>
    </row>
    <row r="159" spans="1:12">
      <c r="A159" s="309"/>
      <c r="B159" s="309"/>
      <c r="C159" s="309"/>
      <c r="D159" s="309"/>
      <c r="E159" s="309"/>
      <c r="F159" s="309"/>
      <c r="G159" s="309"/>
      <c r="H159" s="309"/>
      <c r="I159" s="309"/>
      <c r="J159" s="309"/>
      <c r="K159" s="309"/>
      <c r="L159" s="309"/>
    </row>
    <row r="160" spans="1:12">
      <c r="A160" s="309"/>
      <c r="B160" s="309"/>
      <c r="C160" s="309"/>
      <c r="D160" s="309"/>
      <c r="E160" s="309"/>
      <c r="F160" s="309"/>
      <c r="G160" s="309"/>
      <c r="H160" s="309"/>
      <c r="I160" s="309"/>
      <c r="J160" s="309"/>
      <c r="K160" s="309"/>
      <c r="L160" s="309"/>
    </row>
    <row r="161" spans="1:12">
      <c r="A161" s="309"/>
      <c r="B161" s="309"/>
      <c r="C161" s="309"/>
      <c r="D161" s="309"/>
      <c r="E161" s="309"/>
      <c r="F161" s="309"/>
      <c r="G161" s="309"/>
      <c r="H161" s="309"/>
      <c r="I161" s="309"/>
      <c r="J161" s="309"/>
      <c r="K161" s="309"/>
      <c r="L161" s="309"/>
    </row>
    <row r="162" spans="1:12">
      <c r="A162" s="309"/>
      <c r="B162" s="309"/>
      <c r="C162" s="309"/>
      <c r="D162" s="309"/>
      <c r="E162" s="309"/>
      <c r="F162" s="309"/>
      <c r="G162" s="309"/>
      <c r="H162" s="309"/>
      <c r="I162" s="309"/>
      <c r="J162" s="309"/>
      <c r="K162" s="309"/>
      <c r="L162" s="309"/>
    </row>
    <row r="163" spans="1:12">
      <c r="A163" s="309"/>
      <c r="B163" s="309"/>
      <c r="C163" s="309"/>
      <c r="D163" s="309"/>
      <c r="E163" s="309"/>
      <c r="F163" s="309"/>
      <c r="G163" s="309"/>
      <c r="H163" s="309"/>
      <c r="I163" s="309"/>
      <c r="J163" s="309"/>
      <c r="K163" s="309"/>
      <c r="L163" s="309"/>
    </row>
    <row r="164" spans="1:12">
      <c r="A164" s="309"/>
      <c r="B164" s="309"/>
      <c r="C164" s="309"/>
      <c r="D164" s="309"/>
      <c r="E164" s="309"/>
      <c r="F164" s="309"/>
      <c r="G164" s="309"/>
      <c r="H164" s="309"/>
      <c r="I164" s="309"/>
      <c r="J164" s="309"/>
      <c r="K164" s="309"/>
      <c r="L164" s="309"/>
    </row>
    <row r="165" spans="1:12">
      <c r="A165" s="309"/>
      <c r="B165" s="309"/>
      <c r="C165" s="309"/>
      <c r="D165" s="309"/>
      <c r="E165" s="309"/>
      <c r="F165" s="309"/>
      <c r="G165" s="309"/>
      <c r="H165" s="309"/>
      <c r="I165" s="309"/>
      <c r="J165" s="309"/>
      <c r="K165" s="309"/>
      <c r="L165" s="309"/>
    </row>
    <row r="166" spans="1:12">
      <c r="A166" s="309"/>
      <c r="B166" s="309"/>
      <c r="C166" s="309"/>
      <c r="D166" s="309"/>
      <c r="E166" s="309"/>
      <c r="F166" s="309"/>
      <c r="G166" s="309"/>
      <c r="H166" s="309"/>
      <c r="I166" s="309"/>
      <c r="J166" s="309"/>
      <c r="K166" s="309"/>
      <c r="L166" s="309"/>
    </row>
    <row r="167" spans="1:12">
      <c r="A167" s="309"/>
      <c r="B167" s="309"/>
      <c r="C167" s="309"/>
      <c r="D167" s="309"/>
      <c r="E167" s="309"/>
      <c r="F167" s="309"/>
      <c r="G167" s="309"/>
      <c r="H167" s="309"/>
      <c r="I167" s="309"/>
      <c r="J167" s="309"/>
      <c r="K167" s="309"/>
      <c r="L167" s="309"/>
    </row>
    <row r="168" spans="1:12">
      <c r="A168" s="309"/>
      <c r="B168" s="309"/>
      <c r="C168" s="309"/>
      <c r="D168" s="309"/>
      <c r="E168" s="309"/>
      <c r="F168" s="309"/>
      <c r="G168" s="309"/>
      <c r="H168" s="309"/>
      <c r="I168" s="309"/>
      <c r="J168" s="309"/>
      <c r="K168" s="309"/>
      <c r="L168" s="309"/>
    </row>
    <row r="169" spans="1:12">
      <c r="A169" s="309"/>
      <c r="B169" s="309"/>
      <c r="C169" s="309"/>
      <c r="D169" s="309"/>
      <c r="E169" s="309"/>
      <c r="F169" s="309"/>
      <c r="G169" s="309"/>
      <c r="H169" s="309"/>
      <c r="I169" s="309"/>
      <c r="J169" s="309"/>
      <c r="K169" s="309"/>
      <c r="L169" s="309"/>
    </row>
    <row r="170" spans="1:12">
      <c r="A170" s="309"/>
      <c r="B170" s="309"/>
      <c r="C170" s="309"/>
      <c r="D170" s="309"/>
      <c r="E170" s="309"/>
      <c r="F170" s="309"/>
      <c r="G170" s="309"/>
      <c r="H170" s="309"/>
      <c r="I170" s="309"/>
      <c r="J170" s="309"/>
      <c r="K170" s="309"/>
      <c r="L170" s="309"/>
    </row>
    <row r="171" spans="1:12">
      <c r="A171" s="309"/>
      <c r="B171" s="309"/>
      <c r="C171" s="309"/>
      <c r="D171" s="309"/>
      <c r="E171" s="309"/>
      <c r="F171" s="309"/>
      <c r="G171" s="309"/>
      <c r="H171" s="309"/>
      <c r="I171" s="309"/>
      <c r="J171" s="309"/>
      <c r="K171" s="309"/>
      <c r="L171" s="309"/>
    </row>
    <row r="172" spans="1:12">
      <c r="A172" s="309"/>
      <c r="B172" s="309"/>
      <c r="C172" s="309"/>
      <c r="D172" s="309"/>
      <c r="E172" s="309"/>
      <c r="F172" s="309"/>
      <c r="G172" s="309"/>
      <c r="H172" s="309"/>
      <c r="I172" s="309"/>
      <c r="J172" s="309"/>
      <c r="K172" s="309"/>
      <c r="L172" s="309"/>
    </row>
    <row r="173" spans="1:12">
      <c r="A173" s="309"/>
      <c r="B173" s="309"/>
      <c r="C173" s="309"/>
      <c r="D173" s="309"/>
      <c r="E173" s="309"/>
      <c r="F173" s="309"/>
      <c r="G173" s="309"/>
      <c r="H173" s="309"/>
      <c r="I173" s="309"/>
      <c r="J173" s="309"/>
      <c r="K173" s="309"/>
      <c r="L173" s="309"/>
    </row>
    <row r="174" spans="1:12">
      <c r="A174" s="309"/>
      <c r="B174" s="309"/>
      <c r="C174" s="309"/>
      <c r="D174" s="309"/>
      <c r="E174" s="309"/>
      <c r="F174" s="309"/>
      <c r="G174" s="309"/>
      <c r="H174" s="309"/>
      <c r="I174" s="309"/>
      <c r="J174" s="309"/>
      <c r="K174" s="309"/>
      <c r="L174" s="309"/>
    </row>
    <row r="175" spans="1:12">
      <c r="A175" s="309"/>
      <c r="B175" s="309"/>
      <c r="C175" s="309"/>
      <c r="D175" s="309"/>
      <c r="E175" s="309"/>
      <c r="F175" s="309"/>
      <c r="G175" s="309"/>
      <c r="H175" s="309"/>
      <c r="I175" s="309"/>
      <c r="J175" s="309"/>
      <c r="K175" s="309"/>
      <c r="L175" s="309"/>
    </row>
    <row r="176" spans="1:12">
      <c r="A176" s="309"/>
      <c r="B176" s="309"/>
      <c r="C176" s="309"/>
      <c r="D176" s="309"/>
      <c r="E176" s="309"/>
      <c r="F176" s="309"/>
      <c r="G176" s="309"/>
      <c r="H176" s="309"/>
      <c r="I176" s="309"/>
      <c r="J176" s="309"/>
      <c r="K176" s="309"/>
      <c r="L176" s="309"/>
    </row>
    <row r="177" spans="1:12">
      <c r="A177" s="309"/>
      <c r="B177" s="309"/>
      <c r="C177" s="309"/>
      <c r="D177" s="309"/>
      <c r="E177" s="309"/>
      <c r="F177" s="309"/>
      <c r="G177" s="309"/>
      <c r="H177" s="309"/>
      <c r="I177" s="309"/>
      <c r="J177" s="309"/>
      <c r="K177" s="309"/>
      <c r="L177" s="309"/>
    </row>
    <row r="178" spans="1:12">
      <c r="A178" s="309"/>
      <c r="B178" s="309"/>
      <c r="C178" s="309"/>
      <c r="D178" s="309"/>
      <c r="E178" s="309"/>
      <c r="F178" s="309"/>
      <c r="G178" s="309"/>
      <c r="H178" s="309"/>
      <c r="I178" s="309"/>
      <c r="J178" s="309"/>
      <c r="K178" s="309"/>
      <c r="L178" s="309"/>
    </row>
    <row r="179" spans="1:12">
      <c r="A179" s="309"/>
      <c r="B179" s="309"/>
      <c r="C179" s="309"/>
      <c r="D179" s="309"/>
      <c r="E179" s="309"/>
      <c r="F179" s="309"/>
      <c r="G179" s="309"/>
      <c r="H179" s="309"/>
      <c r="I179" s="309"/>
      <c r="J179" s="309"/>
      <c r="K179" s="309"/>
      <c r="L179" s="309"/>
    </row>
    <row r="180" spans="1:12">
      <c r="A180" s="309"/>
      <c r="B180" s="309"/>
      <c r="C180" s="309"/>
      <c r="D180" s="309"/>
      <c r="E180" s="309"/>
      <c r="F180" s="309"/>
      <c r="G180" s="309"/>
      <c r="H180" s="309"/>
      <c r="I180" s="309"/>
      <c r="J180" s="309"/>
      <c r="K180" s="309"/>
      <c r="L180" s="309"/>
    </row>
    <row r="181" spans="1:12">
      <c r="A181" s="309"/>
      <c r="B181" s="309"/>
      <c r="C181" s="309"/>
      <c r="D181" s="309"/>
      <c r="E181" s="309"/>
      <c r="F181" s="309"/>
      <c r="G181" s="309"/>
      <c r="H181" s="309"/>
      <c r="I181" s="309"/>
      <c r="J181" s="309"/>
      <c r="K181" s="309"/>
      <c r="L181" s="309"/>
    </row>
    <row r="182" spans="1:12">
      <c r="A182" s="309"/>
      <c r="B182" s="309"/>
      <c r="C182" s="309"/>
      <c r="D182" s="309"/>
      <c r="E182" s="309"/>
      <c r="F182" s="309"/>
      <c r="G182" s="309"/>
      <c r="H182" s="309"/>
      <c r="I182" s="309"/>
      <c r="J182" s="309"/>
      <c r="K182" s="309"/>
      <c r="L182" s="309"/>
    </row>
    <row r="183" spans="1:12">
      <c r="A183" s="309"/>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5" spans="1:12">
      <c r="A185" s="309"/>
      <c r="B185" s="309"/>
      <c r="C185" s="309"/>
      <c r="D185" s="309"/>
      <c r="E185" s="309"/>
      <c r="F185" s="309"/>
      <c r="G185" s="309"/>
      <c r="H185" s="309"/>
      <c r="I185" s="309"/>
      <c r="J185" s="309"/>
      <c r="K185" s="309"/>
      <c r="L185" s="309"/>
    </row>
    <row r="186" spans="1:12">
      <c r="A186" s="309"/>
      <c r="B186" s="309"/>
      <c r="C186" s="309"/>
      <c r="D186" s="309"/>
      <c r="E186" s="309"/>
      <c r="F186" s="309"/>
      <c r="G186" s="309"/>
      <c r="H186" s="309"/>
      <c r="I186" s="309"/>
      <c r="J186" s="309"/>
      <c r="K186" s="309"/>
      <c r="L186" s="309"/>
    </row>
    <row r="187" spans="1:12">
      <c r="A187" s="309"/>
      <c r="B187" s="309"/>
      <c r="C187" s="309"/>
      <c r="D187" s="309"/>
      <c r="E187" s="309"/>
      <c r="F187" s="309"/>
      <c r="G187" s="309"/>
      <c r="H187" s="309"/>
      <c r="I187" s="309"/>
      <c r="J187" s="309"/>
      <c r="K187" s="309"/>
      <c r="L187" s="309"/>
    </row>
    <row r="188" spans="1:12">
      <c r="A188" s="309"/>
      <c r="B188" s="309"/>
      <c r="C188" s="309"/>
      <c r="D188" s="309"/>
      <c r="E188" s="309"/>
      <c r="F188" s="309"/>
      <c r="G188" s="309"/>
      <c r="H188" s="309"/>
      <c r="I188" s="309"/>
      <c r="J188" s="309"/>
      <c r="K188" s="309"/>
      <c r="L188" s="309"/>
    </row>
    <row r="189" spans="1:12">
      <c r="A189" s="309"/>
      <c r="B189" s="309"/>
      <c r="C189" s="309"/>
      <c r="D189" s="309"/>
      <c r="E189" s="309"/>
      <c r="F189" s="309"/>
      <c r="G189" s="309"/>
      <c r="H189" s="309"/>
      <c r="I189" s="309"/>
      <c r="J189" s="309"/>
      <c r="K189" s="309"/>
      <c r="L189" s="309"/>
    </row>
    <row r="190" spans="1:12">
      <c r="A190" s="309"/>
      <c r="B190" s="309"/>
      <c r="C190" s="309"/>
      <c r="D190" s="309"/>
      <c r="E190" s="309"/>
      <c r="F190" s="309"/>
      <c r="G190" s="309"/>
      <c r="H190" s="309"/>
      <c r="I190" s="309"/>
      <c r="J190" s="309"/>
      <c r="K190" s="309"/>
      <c r="L190" s="309"/>
    </row>
    <row r="191" spans="1:12">
      <c r="A191" s="309"/>
      <c r="B191" s="309"/>
      <c r="C191" s="309"/>
      <c r="D191" s="309"/>
      <c r="E191" s="309"/>
      <c r="F191" s="309"/>
      <c r="G191" s="309"/>
      <c r="H191" s="309"/>
      <c r="I191" s="309"/>
      <c r="J191" s="309"/>
      <c r="K191" s="309"/>
      <c r="L191" s="309"/>
    </row>
    <row r="192" spans="1:12">
      <c r="A192" s="309"/>
      <c r="B192" s="309"/>
      <c r="C192" s="309"/>
      <c r="D192" s="309"/>
      <c r="E192" s="309"/>
      <c r="F192" s="309"/>
      <c r="G192" s="309"/>
      <c r="H192" s="309"/>
      <c r="I192" s="309"/>
      <c r="J192" s="309"/>
      <c r="K192" s="309"/>
      <c r="L192" s="309"/>
    </row>
    <row r="193" spans="1:12">
      <c r="A193" s="309"/>
      <c r="B193" s="309"/>
      <c r="C193" s="309"/>
      <c r="D193" s="309"/>
      <c r="E193" s="309"/>
      <c r="F193" s="309"/>
      <c r="G193" s="309"/>
      <c r="H193" s="309"/>
      <c r="I193" s="309"/>
      <c r="J193" s="309"/>
      <c r="K193" s="309"/>
      <c r="L193" s="309"/>
    </row>
    <row r="194" spans="1:12">
      <c r="A194" s="309"/>
      <c r="B194" s="309"/>
      <c r="C194" s="309"/>
      <c r="D194" s="309"/>
      <c r="E194" s="309"/>
      <c r="F194" s="309"/>
      <c r="G194" s="309"/>
      <c r="H194" s="309"/>
      <c r="I194" s="309"/>
      <c r="J194" s="309"/>
      <c r="K194" s="309"/>
      <c r="L194" s="309"/>
    </row>
    <row r="195" spans="1:12">
      <c r="A195" s="309"/>
      <c r="B195" s="309"/>
      <c r="C195" s="309"/>
      <c r="D195" s="309"/>
      <c r="E195" s="309"/>
      <c r="F195" s="309"/>
      <c r="G195" s="309"/>
      <c r="H195" s="309"/>
      <c r="I195" s="309"/>
      <c r="J195" s="309"/>
      <c r="K195" s="309"/>
      <c r="L195" s="309"/>
    </row>
    <row r="196" spans="1:12">
      <c r="A196" s="309"/>
      <c r="B196" s="309"/>
      <c r="C196" s="309"/>
      <c r="D196" s="309"/>
      <c r="E196" s="309"/>
      <c r="F196" s="309"/>
      <c r="G196" s="309"/>
      <c r="H196" s="309"/>
      <c r="I196" s="309"/>
      <c r="J196" s="309"/>
      <c r="K196" s="309"/>
      <c r="L196" s="309"/>
    </row>
    <row r="197" spans="1:12">
      <c r="A197" s="309"/>
      <c r="B197" s="309"/>
      <c r="C197" s="309"/>
      <c r="D197" s="309"/>
      <c r="E197" s="309"/>
      <c r="F197" s="309"/>
      <c r="G197" s="309"/>
      <c r="H197" s="309"/>
      <c r="I197" s="309"/>
      <c r="J197" s="309"/>
      <c r="K197" s="309"/>
      <c r="L197" s="309"/>
    </row>
    <row r="198" spans="1:12">
      <c r="A198" s="309"/>
      <c r="B198" s="309"/>
      <c r="C198" s="309"/>
      <c r="D198" s="309"/>
      <c r="E198" s="309"/>
      <c r="F198" s="309"/>
      <c r="G198" s="309"/>
      <c r="H198" s="309"/>
      <c r="I198" s="309"/>
      <c r="J198" s="309"/>
      <c r="K198" s="309"/>
      <c r="L198" s="309"/>
    </row>
    <row r="199" spans="1:12">
      <c r="A199" s="309"/>
      <c r="B199" s="309"/>
      <c r="C199" s="309"/>
      <c r="D199" s="309"/>
      <c r="E199" s="309"/>
      <c r="F199" s="309"/>
      <c r="G199" s="309"/>
      <c r="H199" s="309"/>
      <c r="I199" s="309"/>
      <c r="J199" s="309"/>
      <c r="K199" s="309"/>
      <c r="L199" s="309"/>
    </row>
    <row r="200" spans="1:12">
      <c r="A200" s="309"/>
      <c r="B200" s="309"/>
      <c r="C200" s="309"/>
      <c r="D200" s="309"/>
      <c r="E200" s="309"/>
      <c r="F200" s="309"/>
      <c r="G200" s="309"/>
      <c r="H200" s="309"/>
      <c r="I200" s="309"/>
      <c r="J200" s="309"/>
      <c r="K200" s="309"/>
      <c r="L200" s="309"/>
    </row>
    <row r="201" spans="1:12">
      <c r="A201" s="309"/>
      <c r="B201" s="309"/>
      <c r="C201" s="309"/>
      <c r="D201" s="309"/>
      <c r="E201" s="309"/>
      <c r="F201" s="309"/>
      <c r="G201" s="309"/>
      <c r="H201" s="309"/>
      <c r="I201" s="309"/>
      <c r="J201" s="309"/>
      <c r="K201" s="309"/>
      <c r="L201" s="309"/>
    </row>
    <row r="202" spans="1:12">
      <c r="A202" s="309"/>
      <c r="B202" s="309"/>
      <c r="C202" s="309"/>
      <c r="D202" s="309"/>
      <c r="E202" s="309"/>
      <c r="F202" s="309"/>
      <c r="G202" s="309"/>
      <c r="H202" s="309"/>
      <c r="I202" s="309"/>
      <c r="J202" s="309"/>
      <c r="K202" s="309"/>
      <c r="L202" s="309"/>
    </row>
    <row r="203" spans="1:12">
      <c r="A203" s="309"/>
      <c r="B203" s="309"/>
      <c r="C203" s="309"/>
      <c r="D203" s="309"/>
      <c r="E203" s="309"/>
      <c r="F203" s="309"/>
      <c r="G203" s="309"/>
      <c r="H203" s="309"/>
      <c r="I203" s="309"/>
      <c r="J203" s="309"/>
      <c r="K203" s="309"/>
      <c r="L203" s="309"/>
    </row>
    <row r="204" spans="1:12">
      <c r="A204" s="309"/>
      <c r="B204" s="309"/>
      <c r="C204" s="309"/>
      <c r="D204" s="309"/>
      <c r="E204" s="309"/>
      <c r="F204" s="309"/>
      <c r="G204" s="309"/>
      <c r="H204" s="309"/>
      <c r="I204" s="309"/>
      <c r="J204" s="309"/>
      <c r="K204" s="309"/>
      <c r="L204" s="309"/>
    </row>
    <row r="205" spans="1:12">
      <c r="A205" s="309"/>
      <c r="B205" s="309"/>
      <c r="C205" s="309"/>
      <c r="D205" s="309"/>
      <c r="E205" s="309"/>
      <c r="F205" s="309"/>
      <c r="G205" s="309"/>
      <c r="H205" s="309"/>
      <c r="I205" s="309"/>
      <c r="J205" s="309"/>
      <c r="K205" s="309"/>
      <c r="L205" s="309"/>
    </row>
    <row r="206" spans="1:12">
      <c r="A206" s="309"/>
      <c r="B206" s="309"/>
      <c r="C206" s="309"/>
      <c r="D206" s="309"/>
      <c r="E206" s="309"/>
      <c r="F206" s="309"/>
      <c r="G206" s="309"/>
      <c r="H206" s="309"/>
      <c r="I206" s="309"/>
      <c r="J206" s="309"/>
      <c r="K206" s="309"/>
      <c r="L206" s="309"/>
    </row>
    <row r="207" spans="1:12">
      <c r="A207" s="309"/>
      <c r="B207" s="309"/>
      <c r="C207" s="309"/>
      <c r="D207" s="309"/>
      <c r="E207" s="309"/>
      <c r="F207" s="309"/>
      <c r="G207" s="309"/>
      <c r="H207" s="309"/>
      <c r="I207" s="309"/>
      <c r="J207" s="309"/>
      <c r="K207" s="309"/>
      <c r="L207" s="309"/>
    </row>
    <row r="208" spans="1:12">
      <c r="A208" s="309"/>
      <c r="B208" s="309"/>
      <c r="C208" s="309"/>
      <c r="D208" s="309"/>
      <c r="E208" s="309"/>
      <c r="F208" s="309"/>
      <c r="G208" s="309"/>
      <c r="H208" s="309"/>
      <c r="I208" s="309"/>
      <c r="J208" s="309"/>
      <c r="K208" s="309"/>
      <c r="L208" s="309"/>
    </row>
    <row r="209" spans="1:12">
      <c r="A209" s="309"/>
      <c r="B209" s="309"/>
      <c r="C209" s="309"/>
      <c r="D209" s="309"/>
      <c r="E209" s="309"/>
      <c r="F209" s="309"/>
      <c r="G209" s="309"/>
      <c r="H209" s="309"/>
      <c r="I209" s="309"/>
      <c r="J209" s="309"/>
      <c r="K209" s="309"/>
      <c r="L209" s="309"/>
    </row>
    <row r="210" spans="1:12">
      <c r="A210" s="309"/>
      <c r="B210" s="309"/>
      <c r="C210" s="309"/>
      <c r="D210" s="309"/>
      <c r="E210" s="309"/>
      <c r="F210" s="309"/>
      <c r="G210" s="309"/>
      <c r="H210" s="309"/>
      <c r="I210" s="309"/>
      <c r="J210" s="309"/>
      <c r="K210" s="309"/>
      <c r="L210" s="309"/>
    </row>
    <row r="211" spans="1:12">
      <c r="A211" s="309"/>
      <c r="B211" s="309"/>
      <c r="C211" s="309"/>
      <c r="D211" s="309"/>
      <c r="E211" s="309"/>
      <c r="F211" s="309"/>
      <c r="G211" s="309"/>
      <c r="H211" s="309"/>
      <c r="I211" s="309"/>
      <c r="J211" s="309"/>
      <c r="K211" s="309"/>
      <c r="L211" s="309"/>
    </row>
    <row r="212" spans="1:12">
      <c r="A212" s="309"/>
      <c r="B212" s="309"/>
      <c r="C212" s="309"/>
      <c r="D212" s="309"/>
      <c r="E212" s="309"/>
      <c r="F212" s="309"/>
      <c r="G212" s="309"/>
      <c r="H212" s="309"/>
      <c r="I212" s="309"/>
      <c r="J212" s="309"/>
      <c r="K212" s="309"/>
      <c r="L212" s="309"/>
    </row>
    <row r="213" spans="1:12">
      <c r="A213" s="309"/>
      <c r="B213" s="309"/>
      <c r="C213" s="309"/>
      <c r="D213" s="309"/>
      <c r="E213" s="309"/>
      <c r="F213" s="309"/>
      <c r="G213" s="309"/>
      <c r="H213" s="309"/>
      <c r="I213" s="309"/>
      <c r="J213" s="309"/>
      <c r="K213" s="309"/>
      <c r="L213" s="309"/>
    </row>
    <row r="214" spans="1:12">
      <c r="A214" s="309"/>
      <c r="B214" s="309"/>
      <c r="C214" s="309"/>
      <c r="D214" s="309"/>
      <c r="E214" s="309"/>
      <c r="F214" s="309"/>
      <c r="G214" s="309"/>
      <c r="H214" s="309"/>
      <c r="I214" s="309"/>
      <c r="J214" s="309"/>
      <c r="K214" s="309"/>
      <c r="L214" s="309"/>
    </row>
    <row r="215" spans="1:12">
      <c r="A215" s="309"/>
      <c r="B215" s="309"/>
      <c r="C215" s="309"/>
      <c r="D215" s="309"/>
      <c r="E215" s="309"/>
      <c r="F215" s="309"/>
      <c r="G215" s="309"/>
      <c r="H215" s="309"/>
      <c r="I215" s="309"/>
      <c r="J215" s="309"/>
      <c r="K215" s="309"/>
      <c r="L215" s="309"/>
    </row>
    <row r="216" spans="1:12">
      <c r="A216" s="309"/>
      <c r="B216" s="309"/>
      <c r="C216" s="309"/>
      <c r="D216" s="309"/>
      <c r="E216" s="309"/>
      <c r="F216" s="309"/>
      <c r="G216" s="309"/>
      <c r="H216" s="309"/>
      <c r="I216" s="309"/>
      <c r="J216" s="309"/>
      <c r="K216" s="309"/>
      <c r="L216" s="309"/>
    </row>
    <row r="217" spans="1:12">
      <c r="A217" s="309"/>
      <c r="B217" s="309"/>
      <c r="C217" s="309"/>
      <c r="D217" s="309"/>
      <c r="E217" s="309"/>
      <c r="F217" s="309"/>
      <c r="G217" s="309"/>
      <c r="H217" s="309"/>
      <c r="I217" s="309"/>
      <c r="J217" s="309"/>
      <c r="K217" s="309"/>
      <c r="L217" s="309"/>
    </row>
    <row r="218" spans="1:12">
      <c r="A218" s="309"/>
      <c r="B218" s="309"/>
      <c r="C218" s="309"/>
      <c r="D218" s="309"/>
      <c r="E218" s="309"/>
      <c r="F218" s="309"/>
      <c r="G218" s="309"/>
      <c r="H218" s="309"/>
      <c r="I218" s="309"/>
      <c r="J218" s="309"/>
      <c r="K218" s="309"/>
      <c r="L218" s="309"/>
    </row>
    <row r="219" spans="1:12">
      <c r="A219" s="309"/>
      <c r="B219" s="309"/>
      <c r="C219" s="309"/>
      <c r="D219" s="309"/>
      <c r="E219" s="309"/>
      <c r="F219" s="309"/>
      <c r="G219" s="309"/>
      <c r="H219" s="309"/>
      <c r="I219" s="309"/>
      <c r="J219" s="309"/>
      <c r="K219" s="309"/>
      <c r="L219" s="309"/>
    </row>
    <row r="220" spans="1:12">
      <c r="A220" s="309"/>
      <c r="B220" s="309"/>
      <c r="C220" s="309"/>
      <c r="D220" s="309"/>
      <c r="E220" s="309"/>
      <c r="F220" s="309"/>
      <c r="G220" s="309"/>
      <c r="H220" s="309"/>
      <c r="I220" s="309"/>
      <c r="J220" s="309"/>
      <c r="K220" s="309"/>
      <c r="L220" s="309"/>
    </row>
    <row r="221" spans="1:12">
      <c r="A221" s="309"/>
      <c r="B221" s="309"/>
      <c r="C221" s="309"/>
      <c r="D221" s="309"/>
      <c r="E221" s="309"/>
      <c r="F221" s="309"/>
      <c r="G221" s="309"/>
      <c r="H221" s="309"/>
      <c r="I221" s="309"/>
      <c r="J221" s="309"/>
      <c r="K221" s="309"/>
      <c r="L221" s="309"/>
    </row>
    <row r="222" spans="1:12">
      <c r="A222" s="309"/>
      <c r="B222" s="309"/>
      <c r="C222" s="309"/>
      <c r="D222" s="309"/>
      <c r="E222" s="309"/>
      <c r="F222" s="309"/>
      <c r="G222" s="309"/>
      <c r="H222" s="309"/>
      <c r="I222" s="309"/>
      <c r="J222" s="309"/>
      <c r="K222" s="309"/>
      <c r="L222" s="309"/>
    </row>
    <row r="223" spans="1:12">
      <c r="A223" s="309"/>
      <c r="B223" s="309"/>
      <c r="C223" s="309"/>
      <c r="D223" s="309"/>
      <c r="E223" s="309"/>
      <c r="F223" s="309"/>
      <c r="G223" s="309"/>
      <c r="H223" s="309"/>
      <c r="I223" s="309"/>
      <c r="J223" s="309"/>
      <c r="K223" s="309"/>
      <c r="L223" s="309"/>
    </row>
    <row r="224" spans="1:12">
      <c r="A224" s="309"/>
      <c r="B224" s="309"/>
      <c r="C224" s="309"/>
      <c r="D224" s="309"/>
      <c r="E224" s="309"/>
      <c r="F224" s="309"/>
      <c r="G224" s="309"/>
      <c r="H224" s="309"/>
      <c r="I224" s="309"/>
      <c r="J224" s="309"/>
      <c r="K224" s="309"/>
      <c r="L224" s="309"/>
    </row>
    <row r="225" spans="1:12">
      <c r="A225" s="309"/>
      <c r="B225" s="309"/>
      <c r="C225" s="309"/>
      <c r="D225" s="309"/>
      <c r="E225" s="309"/>
      <c r="F225" s="309"/>
      <c r="G225" s="309"/>
      <c r="H225" s="309"/>
      <c r="I225" s="309"/>
      <c r="J225" s="309"/>
      <c r="K225" s="309"/>
      <c r="L225" s="309"/>
    </row>
    <row r="226" spans="1:12">
      <c r="A226" s="309"/>
      <c r="B226" s="309"/>
      <c r="C226" s="309"/>
      <c r="D226" s="309"/>
      <c r="E226" s="309"/>
      <c r="F226" s="309"/>
      <c r="G226" s="309"/>
      <c r="H226" s="309"/>
      <c r="I226" s="309"/>
      <c r="J226" s="309"/>
      <c r="K226" s="309"/>
      <c r="L226" s="309"/>
    </row>
    <row r="227" spans="1:12">
      <c r="A227" s="309"/>
      <c r="B227" s="309"/>
      <c r="C227" s="309"/>
      <c r="D227" s="309"/>
      <c r="E227" s="309"/>
      <c r="F227" s="309"/>
      <c r="G227" s="309"/>
      <c r="H227" s="309"/>
      <c r="I227" s="309"/>
      <c r="J227" s="309"/>
      <c r="K227" s="309"/>
      <c r="L227" s="309"/>
    </row>
    <row r="228" spans="1:12">
      <c r="A228" s="309"/>
      <c r="B228" s="309"/>
      <c r="C228" s="309"/>
      <c r="D228" s="309"/>
      <c r="E228" s="309"/>
      <c r="F228" s="309"/>
      <c r="G228" s="309"/>
      <c r="H228" s="309"/>
      <c r="I228" s="309"/>
      <c r="J228" s="309"/>
      <c r="K228" s="309"/>
      <c r="L228" s="309"/>
    </row>
    <row r="229" spans="1:12">
      <c r="A229" s="309"/>
      <c r="B229" s="309"/>
      <c r="C229" s="309"/>
      <c r="D229" s="309"/>
      <c r="E229" s="309"/>
      <c r="F229" s="309"/>
      <c r="G229" s="309"/>
      <c r="H229" s="309"/>
      <c r="I229" s="309"/>
      <c r="J229" s="309"/>
      <c r="K229" s="309"/>
      <c r="L229" s="309"/>
    </row>
    <row r="230" spans="1:12">
      <c r="A230" s="309"/>
      <c r="B230" s="309"/>
      <c r="C230" s="309"/>
      <c r="D230" s="309"/>
      <c r="E230" s="309"/>
      <c r="F230" s="309"/>
      <c r="G230" s="309"/>
      <c r="H230" s="309"/>
      <c r="I230" s="309"/>
      <c r="J230" s="309"/>
      <c r="K230" s="309"/>
      <c r="L230" s="309"/>
    </row>
    <row r="231" spans="1:12">
      <c r="A231" s="309"/>
      <c r="B231" s="309"/>
      <c r="C231" s="309"/>
      <c r="D231" s="309"/>
      <c r="E231" s="309"/>
      <c r="F231" s="309"/>
      <c r="G231" s="309"/>
      <c r="H231" s="309"/>
      <c r="I231" s="309"/>
      <c r="J231" s="309"/>
      <c r="K231" s="309"/>
      <c r="L231"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1"/>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5.9" customHeight="1">
      <c r="A5" s="1100" t="s">
        <v>1714</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SUM(A12:A1858)</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OUTPUTS_FOR_SECTION_2_OF_MODEL!B69</f>
        <v>Classics</v>
      </c>
      <c r="C15" s="307">
        <f>OUTPUTS_FOR_SECTION_2_OF_MODEL!E69</f>
        <v>38.885487227047463</v>
      </c>
      <c r="D15" s="307">
        <f>OUTPUTS_FOR_SECTION_2_OF_MODEL!F69</f>
        <v>37.79443409415417</v>
      </c>
      <c r="E15" s="307">
        <f>OUTPUTS_FOR_SECTION_2_OF_MODEL!G69</f>
        <v>37.320608334297425</v>
      </c>
      <c r="F15" s="307">
        <f>OUTPUTS_FOR_SECTION_2_OF_MODEL!H69</f>
        <v>37.508610997447512</v>
      </c>
      <c r="G15" s="307">
        <f>OUTPUTS_FOR_SECTION_2_OF_MODEL!I69</f>
        <v>38.178825260527432</v>
      </c>
      <c r="H15" s="307">
        <f>OUTPUTS_FOR_SECTION_2_OF_MODEL!J69</f>
        <v>37.964857506925505</v>
      </c>
      <c r="I15" s="307">
        <f>OUTPUTS_FOR_SECTION_2_OF_MODEL!K69</f>
        <v>37.386645759601443</v>
      </c>
      <c r="J15" s="307">
        <f>OUTPUTS_FOR_SECTION_2_OF_MODEL!L69</f>
        <v>36.484506038977038</v>
      </c>
      <c r="K15" s="307">
        <f>OUTPUTS_FOR_SECTION_2_OF_MODEL!M69</f>
        <v>35.996949863146021</v>
      </c>
      <c r="L15" s="307">
        <f>OUTPUTS_FOR_SECTION_2_OF_MODEL!N69</f>
        <v>35.965383679281501</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36.202388608381192</v>
      </c>
      <c r="D44" s="459">
        <f t="shared" si="4"/>
        <v>35.186618141657533</v>
      </c>
      <c r="E44" s="459">
        <f t="shared" si="4"/>
        <v>34.745486359230902</v>
      </c>
      <c r="F44" s="459">
        <f t="shared" si="4"/>
        <v>34.920516838623634</v>
      </c>
      <c r="G44" s="459">
        <f t="shared" si="4"/>
        <v>35.544486317551041</v>
      </c>
      <c r="H44" s="459">
        <f t="shared" si="4"/>
        <v>35.345282338947648</v>
      </c>
      <c r="I44" s="459">
        <f t="shared" si="4"/>
        <v>34.806967202188943</v>
      </c>
      <c r="J44" s="459">
        <f t="shared" si="4"/>
        <v>33.967075122287625</v>
      </c>
      <c r="K44" s="459">
        <f t="shared" si="4"/>
        <v>33.513160322588945</v>
      </c>
      <c r="L44" s="459">
        <f t="shared" si="4"/>
        <v>33.483772205411078</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0.38306435111420151</v>
      </c>
      <c r="D57" s="459">
        <f t="shared" ref="D57:L57" si="7">D44/$J$50</f>
        <v>0.37231629084321743</v>
      </c>
      <c r="E57" s="459">
        <f t="shared" si="7"/>
        <v>0.36764859165300467</v>
      </c>
      <c r="F57" s="459">
        <f t="shared" si="7"/>
        <v>0.36950062240542475</v>
      </c>
      <c r="G57" s="459">
        <f t="shared" si="7"/>
        <v>0.37610296199538923</v>
      </c>
      <c r="H57" s="459">
        <f t="shared" si="7"/>
        <v>0.37399514685566082</v>
      </c>
      <c r="I57" s="459">
        <f t="shared" si="7"/>
        <v>0.3682991321316576</v>
      </c>
      <c r="J57" s="459">
        <f t="shared" si="7"/>
        <v>0.35941207448268053</v>
      </c>
      <c r="K57" s="459">
        <f t="shared" si="7"/>
        <v>0.3546091157583644</v>
      </c>
      <c r="L57" s="459">
        <f t="shared" si="7"/>
        <v>0.35429815450774121</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0.38306435111420151</v>
      </c>
      <c r="D98" s="459">
        <f t="shared" ref="D98:L98" si="33">D57</f>
        <v>0.37231629084321743</v>
      </c>
      <c r="E98" s="459">
        <f t="shared" si="33"/>
        <v>0.36764859165300467</v>
      </c>
      <c r="F98" s="459">
        <f t="shared" si="33"/>
        <v>0.36950062240542475</v>
      </c>
      <c r="G98" s="459">
        <f t="shared" si="33"/>
        <v>0.37610296199538923</v>
      </c>
      <c r="H98" s="459">
        <f t="shared" si="33"/>
        <v>0.37399514685566082</v>
      </c>
      <c r="I98" s="459">
        <f t="shared" si="33"/>
        <v>0.3682991321316576</v>
      </c>
      <c r="J98" s="459">
        <f t="shared" si="33"/>
        <v>0.35941207448268053</v>
      </c>
      <c r="K98" s="459">
        <f t="shared" si="33"/>
        <v>0.3546091157583644</v>
      </c>
      <c r="L98" s="459">
        <f t="shared" si="33"/>
        <v>0.35429815450774121</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843</v>
      </c>
      <c r="C103" s="459">
        <f t="shared" ref="C103:L103" si="35">C65*C$98</f>
        <v>5.6536522215460998</v>
      </c>
      <c r="D103" s="459">
        <f t="shared" si="35"/>
        <v>5.4950214467125402</v>
      </c>
      <c r="E103" s="459">
        <f t="shared" si="35"/>
        <v>5.4261308077911758</v>
      </c>
      <c r="F103" s="459">
        <f t="shared" si="35"/>
        <v>5.4534649560807145</v>
      </c>
      <c r="G103" s="459">
        <f t="shared" si="35"/>
        <v>5.5509089802548042</v>
      </c>
      <c r="H103" s="459">
        <f t="shared" si="35"/>
        <v>5.5197997065448599</v>
      </c>
      <c r="I103" s="459">
        <f t="shared" si="35"/>
        <v>5.435732143993941</v>
      </c>
      <c r="J103" s="459">
        <f t="shared" si="35"/>
        <v>5.3045679334011151</v>
      </c>
      <c r="K103" s="459">
        <f t="shared" si="35"/>
        <v>5.2336809970867808</v>
      </c>
      <c r="L103" s="459">
        <f t="shared" si="35"/>
        <v>5.2290915155537512</v>
      </c>
    </row>
    <row r="104" spans="1:12">
      <c r="A104" s="309"/>
      <c r="B104" s="326" t="s">
        <v>844</v>
      </c>
      <c r="C104" s="459">
        <f t="shared" ref="C104:L104" si="36">C76*C$98</f>
        <v>13.413422924948968</v>
      </c>
      <c r="D104" s="459">
        <f t="shared" si="36"/>
        <v>13.037067679105245</v>
      </c>
      <c r="E104" s="459">
        <f t="shared" si="36"/>
        <v>12.87362301728105</v>
      </c>
      <c r="F104" s="459">
        <f t="shared" si="36"/>
        <v>12.938473927265143</v>
      </c>
      <c r="G104" s="459">
        <f t="shared" si="36"/>
        <v>13.169662167457</v>
      </c>
      <c r="H104" s="459">
        <f t="shared" si="36"/>
        <v>13.095854683585031</v>
      </c>
      <c r="I104" s="459">
        <f t="shared" si="36"/>
        <v>12.896402413339676</v>
      </c>
      <c r="J104" s="459">
        <f t="shared" si="36"/>
        <v>12.585212237439977</v>
      </c>
      <c r="K104" s="459">
        <f t="shared" si="36"/>
        <v>12.417031313078475</v>
      </c>
      <c r="L104" s="459">
        <f t="shared" si="36"/>
        <v>12.40614266015176</v>
      </c>
    </row>
    <row r="105" spans="1:12">
      <c r="A105" s="309"/>
      <c r="B105" s="326" t="s">
        <v>845</v>
      </c>
      <c r="C105" s="459">
        <f t="shared" ref="C105:L105" si="37">C87*C$98</f>
        <v>19.239359964925082</v>
      </c>
      <c r="D105" s="459">
        <f t="shared" si="37"/>
        <v>18.699539958503959</v>
      </c>
      <c r="E105" s="459">
        <f t="shared" si="37"/>
        <v>18.465105340228241</v>
      </c>
      <c r="F105" s="459">
        <f t="shared" si="37"/>
        <v>18.558123357196617</v>
      </c>
      <c r="G105" s="459">
        <f t="shared" si="37"/>
        <v>18.889725051827121</v>
      </c>
      <c r="H105" s="459">
        <f t="shared" si="37"/>
        <v>18.783860295436192</v>
      </c>
      <c r="I105" s="459">
        <f t="shared" si="37"/>
        <v>18.497778655832143</v>
      </c>
      <c r="J105" s="459">
        <f t="shared" si="37"/>
        <v>18.051427277426964</v>
      </c>
      <c r="K105" s="459">
        <f t="shared" si="37"/>
        <v>17.810199265671187</v>
      </c>
      <c r="L105" s="459">
        <f t="shared" si="37"/>
        <v>17.794581275068612</v>
      </c>
    </row>
    <row r="106" spans="1:12">
      <c r="A106" s="309"/>
      <c r="B106" s="326" t="s">
        <v>8</v>
      </c>
      <c r="C106" s="459">
        <f>SUM(C103:C105)</f>
        <v>38.30643511142015</v>
      </c>
      <c r="D106" s="459">
        <f t="shared" ref="D106:L106" si="38">SUM(D103:D105)</f>
        <v>37.231629084321739</v>
      </c>
      <c r="E106" s="459">
        <f t="shared" si="38"/>
        <v>36.764859165300464</v>
      </c>
      <c r="F106" s="459">
        <f t="shared" si="38"/>
        <v>36.950062240542479</v>
      </c>
      <c r="G106" s="459">
        <f t="shared" si="38"/>
        <v>37.610296199538922</v>
      </c>
      <c r="H106" s="459">
        <f t="shared" si="38"/>
        <v>37.399514685566082</v>
      </c>
      <c r="I106" s="459">
        <f t="shared" si="38"/>
        <v>36.82991321316576</v>
      </c>
      <c r="J106" s="459">
        <f t="shared" si="38"/>
        <v>35.941207448268059</v>
      </c>
      <c r="K106" s="459">
        <f t="shared" si="38"/>
        <v>35.460911575836441</v>
      </c>
      <c r="L106" s="459">
        <f t="shared" si="38"/>
        <v>35.429815450774129</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38.30643511142015</v>
      </c>
      <c r="D111" s="700">
        <f t="shared" ref="D111:L111" si="39">D106</f>
        <v>37.231629084321739</v>
      </c>
      <c r="E111" s="700">
        <f t="shared" si="39"/>
        <v>36.764859165300464</v>
      </c>
      <c r="F111" s="700">
        <f t="shared" si="39"/>
        <v>36.950062240542479</v>
      </c>
      <c r="G111" s="700">
        <f t="shared" si="39"/>
        <v>37.610296199538922</v>
      </c>
      <c r="H111" s="700">
        <f t="shared" si="39"/>
        <v>37.399514685566082</v>
      </c>
      <c r="I111" s="700">
        <f t="shared" si="39"/>
        <v>36.82991321316576</v>
      </c>
      <c r="J111" s="700">
        <f t="shared" si="39"/>
        <v>35.941207448268059</v>
      </c>
      <c r="K111" s="700">
        <f t="shared" si="39"/>
        <v>35.460911575836441</v>
      </c>
      <c r="L111" s="700">
        <f t="shared" si="39"/>
        <v>35.429815450774129</v>
      </c>
    </row>
    <row r="112" spans="1:12">
      <c r="A112" s="309"/>
      <c r="B112" s="700" t="s">
        <v>804</v>
      </c>
      <c r="C112" s="700">
        <f t="shared" ref="C112:L112" si="40">((C67+C78+C89)/100)*C111</f>
        <v>5.5079751388454374</v>
      </c>
      <c r="D112" s="700">
        <f t="shared" si="40"/>
        <v>5.3534317870790824</v>
      </c>
      <c r="E112" s="700">
        <f t="shared" si="40"/>
        <v>5.2863162462554047</v>
      </c>
      <c r="F112" s="700">
        <f t="shared" si="40"/>
        <v>5.3129460783215743</v>
      </c>
      <c r="G112" s="700">
        <f t="shared" si="40"/>
        <v>5.4078792722195814</v>
      </c>
      <c r="H112" s="700">
        <f t="shared" si="40"/>
        <v>5.3775715880063757</v>
      </c>
      <c r="I112" s="700">
        <f t="shared" si="40"/>
        <v>5.2956701858031874</v>
      </c>
      <c r="J112" s="700">
        <f t="shared" si="40"/>
        <v>5.1678856701058278</v>
      </c>
      <c r="K112" s="700">
        <f t="shared" si="40"/>
        <v>5.0988252702813934</v>
      </c>
      <c r="L112" s="700">
        <f t="shared" si="40"/>
        <v>5.0943540454529943</v>
      </c>
    </row>
    <row r="113" spans="1:12">
      <c r="A113" s="309"/>
      <c r="B113" s="700" t="s">
        <v>805</v>
      </c>
      <c r="C113" s="700">
        <f t="shared" ref="C113:L113" si="41">((C66+C77+C88)/100)*C111</f>
        <v>32.798459972574712</v>
      </c>
      <c r="D113" s="700">
        <f t="shared" si="41"/>
        <v>31.878197297242654</v>
      </c>
      <c r="E113" s="700">
        <f t="shared" si="41"/>
        <v>31.478542919045058</v>
      </c>
      <c r="F113" s="700">
        <f t="shared" si="41"/>
        <v>31.637116162220902</v>
      </c>
      <c r="G113" s="700">
        <f t="shared" si="41"/>
        <v>32.202416927319341</v>
      </c>
      <c r="H113" s="700">
        <f t="shared" si="41"/>
        <v>32.021943097559706</v>
      </c>
      <c r="I113" s="700">
        <f t="shared" si="41"/>
        <v>31.534243027362571</v>
      </c>
      <c r="J113" s="700">
        <f t="shared" si="41"/>
        <v>30.773321778162231</v>
      </c>
      <c r="K113" s="700">
        <f t="shared" si="41"/>
        <v>30.362086305555046</v>
      </c>
      <c r="L113" s="700">
        <f t="shared" si="41"/>
        <v>30.335461405321134</v>
      </c>
    </row>
    <row r="114" spans="1:12">
      <c r="A114" s="309"/>
      <c r="B114" s="700" t="s">
        <v>799</v>
      </c>
      <c r="C114" s="700">
        <f>C112*$C$39</f>
        <v>3.4039286358064804</v>
      </c>
      <c r="D114" s="700">
        <f t="shared" ref="D114:L114" si="42">D112*$C$39</f>
        <v>3.3084208444148731</v>
      </c>
      <c r="E114" s="700">
        <f t="shared" si="42"/>
        <v>3.2669434401858402</v>
      </c>
      <c r="F114" s="700">
        <f t="shared" si="42"/>
        <v>3.2834006764027328</v>
      </c>
      <c r="G114" s="700">
        <f t="shared" si="42"/>
        <v>3.3420693902317011</v>
      </c>
      <c r="H114" s="700">
        <f t="shared" si="42"/>
        <v>3.3233392413879401</v>
      </c>
      <c r="I114" s="700">
        <f t="shared" si="42"/>
        <v>3.2727241748263696</v>
      </c>
      <c r="J114" s="700">
        <f t="shared" si="42"/>
        <v>3.1937533441254016</v>
      </c>
      <c r="K114" s="700">
        <f t="shared" si="42"/>
        <v>3.1510740170339009</v>
      </c>
      <c r="L114" s="700">
        <f t="shared" si="42"/>
        <v>3.1483108000899502</v>
      </c>
    </row>
    <row r="115" spans="1:12">
      <c r="A115" s="309"/>
      <c r="B115" s="700" t="s">
        <v>800</v>
      </c>
      <c r="C115" s="700">
        <f>C113</f>
        <v>32.798459972574712</v>
      </c>
      <c r="D115" s="700">
        <f t="shared" ref="D115:L115" si="43">D113</f>
        <v>31.878197297242654</v>
      </c>
      <c r="E115" s="700">
        <f t="shared" si="43"/>
        <v>31.478542919045058</v>
      </c>
      <c r="F115" s="700">
        <f t="shared" si="43"/>
        <v>31.637116162220902</v>
      </c>
      <c r="G115" s="700">
        <f t="shared" si="43"/>
        <v>32.202416927319341</v>
      </c>
      <c r="H115" s="700">
        <f t="shared" si="43"/>
        <v>32.021943097559706</v>
      </c>
      <c r="I115" s="700">
        <f t="shared" si="43"/>
        <v>31.534243027362571</v>
      </c>
      <c r="J115" s="700">
        <f t="shared" si="43"/>
        <v>30.773321778162231</v>
      </c>
      <c r="K115" s="700">
        <f t="shared" si="43"/>
        <v>30.362086305555046</v>
      </c>
      <c r="L115" s="700">
        <f t="shared" si="43"/>
        <v>30.335461405321134</v>
      </c>
    </row>
    <row r="116" spans="1:12">
      <c r="A116" s="309"/>
      <c r="B116" s="700" t="s">
        <v>724</v>
      </c>
      <c r="C116" s="700">
        <f>C115+C114</f>
        <v>36.202388608381192</v>
      </c>
      <c r="D116" s="700">
        <f t="shared" ref="D116:L116" si="44">D115+D114</f>
        <v>35.186618141657526</v>
      </c>
      <c r="E116" s="700">
        <f t="shared" si="44"/>
        <v>34.745486359230895</v>
      </c>
      <c r="F116" s="700">
        <f t="shared" si="44"/>
        <v>34.920516838623634</v>
      </c>
      <c r="G116" s="700">
        <f t="shared" si="44"/>
        <v>35.544486317551041</v>
      </c>
      <c r="H116" s="700">
        <f t="shared" si="44"/>
        <v>35.345282338947648</v>
      </c>
      <c r="I116" s="700">
        <f t="shared" si="44"/>
        <v>34.806967202188943</v>
      </c>
      <c r="J116" s="700">
        <f t="shared" si="44"/>
        <v>33.967075122287632</v>
      </c>
      <c r="K116" s="700">
        <f t="shared" si="44"/>
        <v>33.513160322588945</v>
      </c>
      <c r="L116" s="700">
        <f t="shared" si="44"/>
        <v>33.483772205411086</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row r="133" spans="1:12">
      <c r="A133" s="309"/>
      <c r="B133" s="309"/>
      <c r="C133" s="309"/>
      <c r="D133" s="309"/>
      <c r="E133" s="309"/>
      <c r="F133" s="309"/>
      <c r="G133" s="309"/>
      <c r="H133" s="309"/>
      <c r="I133" s="309"/>
      <c r="J133" s="309"/>
      <c r="K133" s="309"/>
      <c r="L133" s="309"/>
    </row>
    <row r="134" spans="1:12">
      <c r="A134" s="309"/>
      <c r="B134" s="309"/>
      <c r="C134" s="309"/>
      <c r="D134" s="309"/>
      <c r="E134" s="309"/>
      <c r="F134" s="309"/>
      <c r="G134" s="309"/>
      <c r="H134" s="309"/>
      <c r="I134" s="309"/>
      <c r="J134" s="309"/>
      <c r="K134" s="309"/>
      <c r="L134" s="309"/>
    </row>
    <row r="135" spans="1:12">
      <c r="A135" s="309"/>
      <c r="B135" s="309"/>
      <c r="C135" s="309"/>
      <c r="D135" s="309"/>
      <c r="E135" s="309"/>
      <c r="F135" s="309"/>
      <c r="G135" s="309"/>
      <c r="H135" s="309"/>
      <c r="I135" s="309"/>
      <c r="J135" s="309"/>
      <c r="K135" s="309"/>
      <c r="L135" s="309"/>
    </row>
    <row r="136" spans="1:12">
      <c r="A136" s="309"/>
      <c r="B136" s="309"/>
      <c r="C136" s="309"/>
      <c r="D136" s="309"/>
      <c r="E136" s="309"/>
      <c r="F136" s="309"/>
      <c r="G136" s="309"/>
      <c r="H136" s="309"/>
      <c r="I136" s="309"/>
      <c r="J136" s="309"/>
      <c r="K136" s="309"/>
      <c r="L136" s="309"/>
    </row>
    <row r="137" spans="1:12">
      <c r="A137" s="309"/>
      <c r="B137" s="309"/>
      <c r="C137" s="309"/>
      <c r="D137" s="309"/>
      <c r="E137" s="309"/>
      <c r="F137" s="309"/>
      <c r="G137" s="309"/>
      <c r="H137" s="309"/>
      <c r="I137" s="309"/>
      <c r="J137" s="309"/>
      <c r="K137" s="309"/>
      <c r="L137" s="309"/>
    </row>
    <row r="138" spans="1:12">
      <c r="A138" s="309"/>
      <c r="B138" s="309"/>
      <c r="C138" s="309"/>
      <c r="D138" s="309"/>
      <c r="E138" s="309"/>
      <c r="F138" s="309"/>
      <c r="G138" s="309"/>
      <c r="H138" s="309"/>
      <c r="I138" s="309"/>
      <c r="J138" s="309"/>
      <c r="K138" s="309"/>
      <c r="L138" s="309"/>
    </row>
    <row r="139" spans="1:12">
      <c r="A139" s="309"/>
      <c r="B139" s="309"/>
      <c r="C139" s="309"/>
      <c r="D139" s="309"/>
      <c r="E139" s="309"/>
      <c r="F139" s="309"/>
      <c r="G139" s="309"/>
      <c r="H139" s="309"/>
      <c r="I139" s="309"/>
      <c r="J139" s="309"/>
      <c r="K139" s="309"/>
      <c r="L139" s="309"/>
    </row>
    <row r="140" spans="1:12">
      <c r="A140" s="309"/>
      <c r="B140" s="309"/>
      <c r="C140" s="309"/>
      <c r="D140" s="309"/>
      <c r="E140" s="309"/>
      <c r="F140" s="309"/>
      <c r="G140" s="309"/>
      <c r="H140" s="309"/>
      <c r="I140" s="309"/>
      <c r="J140" s="309"/>
      <c r="K140" s="309"/>
      <c r="L140" s="309"/>
    </row>
    <row r="141" spans="1:12">
      <c r="A141" s="309"/>
      <c r="B141" s="309"/>
      <c r="C141" s="309"/>
      <c r="D141" s="309"/>
      <c r="E141" s="309"/>
      <c r="F141" s="309"/>
      <c r="G141" s="309"/>
      <c r="H141" s="309"/>
      <c r="I141" s="309"/>
      <c r="J141" s="309"/>
      <c r="K141" s="309"/>
      <c r="L141" s="309"/>
    </row>
    <row r="142" spans="1:12">
      <c r="A142" s="309"/>
      <c r="B142" s="309"/>
      <c r="C142" s="309"/>
      <c r="D142" s="309"/>
      <c r="E142" s="309"/>
      <c r="F142" s="309"/>
      <c r="G142" s="309"/>
      <c r="H142" s="309"/>
      <c r="I142" s="309"/>
      <c r="J142" s="309"/>
      <c r="K142" s="309"/>
      <c r="L142" s="309"/>
    </row>
    <row r="143" spans="1:12">
      <c r="A143" s="309"/>
      <c r="B143" s="309"/>
      <c r="C143" s="309"/>
      <c r="D143" s="309"/>
      <c r="E143" s="309"/>
      <c r="F143" s="309"/>
      <c r="G143" s="309"/>
      <c r="H143" s="309"/>
      <c r="I143" s="309"/>
      <c r="J143" s="309"/>
      <c r="K143" s="309"/>
      <c r="L143" s="309"/>
    </row>
    <row r="144" spans="1:12">
      <c r="A144" s="309"/>
      <c r="B144" s="309"/>
      <c r="C144" s="309"/>
      <c r="D144" s="309"/>
      <c r="E144" s="309"/>
      <c r="F144" s="309"/>
      <c r="G144" s="309"/>
      <c r="H144" s="309"/>
      <c r="I144" s="309"/>
      <c r="J144" s="309"/>
      <c r="K144" s="309"/>
      <c r="L144" s="309"/>
    </row>
    <row r="145" spans="1:12">
      <c r="A145" s="309"/>
      <c r="B145" s="309"/>
      <c r="C145" s="309"/>
      <c r="D145" s="309"/>
      <c r="E145" s="309"/>
      <c r="F145" s="309"/>
      <c r="G145" s="309"/>
      <c r="H145" s="309"/>
      <c r="I145" s="309"/>
      <c r="J145" s="309"/>
      <c r="K145" s="309"/>
      <c r="L145" s="309"/>
    </row>
    <row r="146" spans="1:12">
      <c r="A146" s="309"/>
      <c r="B146" s="309"/>
      <c r="C146" s="309"/>
      <c r="D146" s="309"/>
      <c r="E146" s="309"/>
      <c r="F146" s="309"/>
      <c r="G146" s="309"/>
      <c r="H146" s="309"/>
      <c r="I146" s="309"/>
      <c r="J146" s="309"/>
      <c r="K146" s="309"/>
      <c r="L146" s="309"/>
    </row>
    <row r="147" spans="1:12">
      <c r="A147" s="309"/>
      <c r="B147" s="309"/>
      <c r="C147" s="309"/>
      <c r="D147" s="309"/>
      <c r="E147" s="309"/>
      <c r="F147" s="309"/>
      <c r="G147" s="309"/>
      <c r="H147" s="309"/>
      <c r="I147" s="309"/>
      <c r="J147" s="309"/>
      <c r="K147" s="309"/>
      <c r="L147" s="309"/>
    </row>
    <row r="148" spans="1:12">
      <c r="A148" s="309"/>
      <c r="B148" s="309"/>
      <c r="C148" s="309"/>
      <c r="D148" s="309"/>
      <c r="E148" s="309"/>
      <c r="F148" s="309"/>
      <c r="G148" s="309"/>
      <c r="H148" s="309"/>
      <c r="I148" s="309"/>
      <c r="J148" s="309"/>
      <c r="K148" s="309"/>
      <c r="L148" s="309"/>
    </row>
    <row r="149" spans="1:12">
      <c r="A149" s="309"/>
      <c r="B149" s="309"/>
      <c r="C149" s="309"/>
      <c r="D149" s="309"/>
      <c r="E149" s="309"/>
      <c r="F149" s="309"/>
      <c r="G149" s="309"/>
      <c r="H149" s="309"/>
      <c r="I149" s="309"/>
      <c r="J149" s="309"/>
      <c r="K149" s="309"/>
      <c r="L149" s="309"/>
    </row>
    <row r="150" spans="1:12">
      <c r="A150" s="309"/>
      <c r="B150" s="309"/>
      <c r="C150" s="309"/>
      <c r="D150" s="309"/>
      <c r="E150" s="309"/>
      <c r="F150" s="309"/>
      <c r="G150" s="309"/>
      <c r="H150" s="309"/>
      <c r="I150" s="309"/>
      <c r="J150" s="309"/>
      <c r="K150" s="309"/>
      <c r="L150" s="309"/>
    </row>
    <row r="151" spans="1:12">
      <c r="A151" s="309"/>
      <c r="B151" s="309"/>
      <c r="C151" s="309"/>
      <c r="D151" s="309"/>
      <c r="E151" s="309"/>
      <c r="F151" s="309"/>
      <c r="G151" s="309"/>
      <c r="H151" s="309"/>
      <c r="I151" s="309"/>
      <c r="J151" s="309"/>
      <c r="K151" s="309"/>
      <c r="L151" s="309"/>
    </row>
    <row r="152" spans="1:12">
      <c r="A152" s="309"/>
      <c r="B152" s="309"/>
      <c r="C152" s="309"/>
      <c r="D152" s="309"/>
      <c r="E152" s="309"/>
      <c r="F152" s="309"/>
      <c r="G152" s="309"/>
      <c r="H152" s="309"/>
      <c r="I152" s="309"/>
      <c r="J152" s="309"/>
      <c r="K152" s="309"/>
      <c r="L152" s="309"/>
    </row>
    <row r="153" spans="1:12">
      <c r="A153" s="309"/>
      <c r="B153" s="309"/>
      <c r="C153" s="309"/>
      <c r="D153" s="309"/>
      <c r="E153" s="309"/>
      <c r="F153" s="309"/>
      <c r="G153" s="309"/>
      <c r="H153" s="309"/>
      <c r="I153" s="309"/>
      <c r="J153" s="309"/>
      <c r="K153" s="309"/>
      <c r="L153" s="309"/>
    </row>
    <row r="154" spans="1:12">
      <c r="A154" s="309"/>
      <c r="B154" s="309"/>
      <c r="C154" s="309"/>
      <c r="D154" s="309"/>
      <c r="E154" s="309"/>
      <c r="F154" s="309"/>
      <c r="G154" s="309"/>
      <c r="H154" s="309"/>
      <c r="I154" s="309"/>
      <c r="J154" s="309"/>
      <c r="K154" s="309"/>
      <c r="L154" s="309"/>
    </row>
    <row r="155" spans="1:12">
      <c r="A155" s="309"/>
      <c r="B155" s="309"/>
      <c r="C155" s="309"/>
      <c r="D155" s="309"/>
      <c r="E155" s="309"/>
      <c r="F155" s="309"/>
      <c r="G155" s="309"/>
      <c r="H155" s="309"/>
      <c r="I155" s="309"/>
      <c r="J155" s="309"/>
      <c r="K155" s="309"/>
      <c r="L155" s="309"/>
    </row>
    <row r="156" spans="1:12">
      <c r="A156" s="309"/>
      <c r="B156" s="309"/>
      <c r="C156" s="309"/>
      <c r="D156" s="309"/>
      <c r="E156" s="309"/>
      <c r="F156" s="309"/>
      <c r="G156" s="309"/>
      <c r="H156" s="309"/>
      <c r="I156" s="309"/>
      <c r="J156" s="309"/>
      <c r="K156" s="309"/>
      <c r="L156" s="309"/>
    </row>
    <row r="157" spans="1:12">
      <c r="A157" s="309"/>
      <c r="B157" s="309"/>
      <c r="C157" s="309"/>
      <c r="D157" s="309"/>
      <c r="E157" s="309"/>
      <c r="F157" s="309"/>
      <c r="G157" s="309"/>
      <c r="H157" s="309"/>
      <c r="I157" s="309"/>
      <c r="J157" s="309"/>
      <c r="K157" s="309"/>
      <c r="L157" s="309"/>
    </row>
    <row r="158" spans="1:12">
      <c r="A158" s="309"/>
      <c r="B158" s="309"/>
      <c r="C158" s="309"/>
      <c r="D158" s="309"/>
      <c r="E158" s="309"/>
      <c r="F158" s="309"/>
      <c r="G158" s="309"/>
      <c r="H158" s="309"/>
      <c r="I158" s="309"/>
      <c r="J158" s="309"/>
      <c r="K158" s="309"/>
      <c r="L158" s="309"/>
    </row>
    <row r="159" spans="1:12">
      <c r="A159" s="309"/>
      <c r="B159" s="309"/>
      <c r="C159" s="309"/>
      <c r="D159" s="309"/>
      <c r="E159" s="309"/>
      <c r="F159" s="309"/>
      <c r="G159" s="309"/>
      <c r="H159" s="309"/>
      <c r="I159" s="309"/>
      <c r="J159" s="309"/>
      <c r="K159" s="309"/>
      <c r="L159" s="309"/>
    </row>
    <row r="160" spans="1:12">
      <c r="A160" s="309"/>
      <c r="B160" s="309"/>
      <c r="C160" s="309"/>
      <c r="D160" s="309"/>
      <c r="E160" s="309"/>
      <c r="F160" s="309"/>
      <c r="G160" s="309"/>
      <c r="H160" s="309"/>
      <c r="I160" s="309"/>
      <c r="J160" s="309"/>
      <c r="K160" s="309"/>
      <c r="L160" s="309"/>
    </row>
    <row r="161" spans="1:12">
      <c r="A161" s="309"/>
      <c r="B161" s="309"/>
      <c r="C161" s="309"/>
      <c r="D161" s="309"/>
      <c r="E161" s="309"/>
      <c r="F161" s="309"/>
      <c r="G161" s="309"/>
      <c r="H161" s="309"/>
      <c r="I161" s="309"/>
      <c r="J161" s="309"/>
      <c r="K161" s="309"/>
      <c r="L161" s="309"/>
    </row>
    <row r="162" spans="1:12">
      <c r="A162" s="309"/>
      <c r="B162" s="309"/>
      <c r="C162" s="309"/>
      <c r="D162" s="309"/>
      <c r="E162" s="309"/>
      <c r="F162" s="309"/>
      <c r="G162" s="309"/>
      <c r="H162" s="309"/>
      <c r="I162" s="309"/>
      <c r="J162" s="309"/>
      <c r="K162" s="309"/>
      <c r="L162" s="309"/>
    </row>
    <row r="163" spans="1:12">
      <c r="A163" s="309"/>
      <c r="B163" s="309"/>
      <c r="C163" s="309"/>
      <c r="D163" s="309"/>
      <c r="E163" s="309"/>
      <c r="F163" s="309"/>
      <c r="G163" s="309"/>
      <c r="H163" s="309"/>
      <c r="I163" s="309"/>
      <c r="J163" s="309"/>
      <c r="K163" s="309"/>
      <c r="L163" s="309"/>
    </row>
    <row r="164" spans="1:12">
      <c r="A164" s="309"/>
      <c r="B164" s="309"/>
      <c r="C164" s="309"/>
      <c r="D164" s="309"/>
      <c r="E164" s="309"/>
      <c r="F164" s="309"/>
      <c r="G164" s="309"/>
      <c r="H164" s="309"/>
      <c r="I164" s="309"/>
      <c r="J164" s="309"/>
      <c r="K164" s="309"/>
      <c r="L164" s="309"/>
    </row>
    <row r="165" spans="1:12">
      <c r="A165" s="309"/>
      <c r="B165" s="309"/>
      <c r="C165" s="309"/>
      <c r="D165" s="309"/>
      <c r="E165" s="309"/>
      <c r="F165" s="309"/>
      <c r="G165" s="309"/>
      <c r="H165" s="309"/>
      <c r="I165" s="309"/>
      <c r="J165" s="309"/>
      <c r="K165" s="309"/>
      <c r="L165" s="309"/>
    </row>
    <row r="166" spans="1:12">
      <c r="A166" s="309"/>
      <c r="B166" s="309"/>
      <c r="C166" s="309"/>
      <c r="D166" s="309"/>
      <c r="E166" s="309"/>
      <c r="F166" s="309"/>
      <c r="G166" s="309"/>
      <c r="H166" s="309"/>
      <c r="I166" s="309"/>
      <c r="J166" s="309"/>
      <c r="K166" s="309"/>
      <c r="L166" s="309"/>
    </row>
    <row r="167" spans="1:12">
      <c r="A167" s="309"/>
      <c r="B167" s="309"/>
      <c r="C167" s="309"/>
      <c r="D167" s="309"/>
      <c r="E167" s="309"/>
      <c r="F167" s="309"/>
      <c r="G167" s="309"/>
      <c r="H167" s="309"/>
      <c r="I167" s="309"/>
      <c r="J167" s="309"/>
      <c r="K167" s="309"/>
      <c r="L167" s="309"/>
    </row>
    <row r="168" spans="1:12">
      <c r="A168" s="309"/>
      <c r="B168" s="309"/>
      <c r="C168" s="309"/>
      <c r="D168" s="309"/>
      <c r="E168" s="309"/>
      <c r="F168" s="309"/>
      <c r="G168" s="309"/>
      <c r="H168" s="309"/>
      <c r="I168" s="309"/>
      <c r="J168" s="309"/>
      <c r="K168" s="309"/>
      <c r="L168" s="309"/>
    </row>
    <row r="169" spans="1:12">
      <c r="A169" s="309"/>
      <c r="B169" s="309"/>
      <c r="C169" s="309"/>
      <c r="D169" s="309"/>
      <c r="E169" s="309"/>
      <c r="F169" s="309"/>
      <c r="G169" s="309"/>
      <c r="H169" s="309"/>
      <c r="I169" s="309"/>
      <c r="J169" s="309"/>
      <c r="K169" s="309"/>
      <c r="L169" s="309"/>
    </row>
    <row r="170" spans="1:12">
      <c r="A170" s="309"/>
      <c r="B170" s="309"/>
      <c r="C170" s="309"/>
      <c r="D170" s="309"/>
      <c r="E170" s="309"/>
      <c r="F170" s="309"/>
      <c r="G170" s="309"/>
      <c r="H170" s="309"/>
      <c r="I170" s="309"/>
      <c r="J170" s="309"/>
      <c r="K170" s="309"/>
      <c r="L170" s="309"/>
    </row>
    <row r="171" spans="1:12">
      <c r="A171" s="309"/>
      <c r="B171" s="309"/>
      <c r="C171" s="309"/>
      <c r="D171" s="309"/>
      <c r="E171" s="309"/>
      <c r="F171" s="309"/>
      <c r="G171" s="309"/>
      <c r="H171" s="309"/>
      <c r="I171" s="309"/>
      <c r="J171" s="309"/>
      <c r="K171" s="309"/>
      <c r="L171" s="309"/>
    </row>
    <row r="172" spans="1:12">
      <c r="A172" s="309"/>
      <c r="B172" s="309"/>
      <c r="C172" s="309"/>
      <c r="D172" s="309"/>
      <c r="E172" s="309"/>
      <c r="F172" s="309"/>
      <c r="G172" s="309"/>
      <c r="H172" s="309"/>
      <c r="I172" s="309"/>
      <c r="J172" s="309"/>
      <c r="K172" s="309"/>
      <c r="L172" s="309"/>
    </row>
    <row r="173" spans="1:12">
      <c r="A173" s="309"/>
      <c r="B173" s="309"/>
      <c r="C173" s="309"/>
      <c r="D173" s="309"/>
      <c r="E173" s="309"/>
      <c r="F173" s="309"/>
      <c r="G173" s="309"/>
      <c r="H173" s="309"/>
      <c r="I173" s="309"/>
      <c r="J173" s="309"/>
      <c r="K173" s="309"/>
      <c r="L173" s="309"/>
    </row>
    <row r="174" spans="1:12">
      <c r="A174" s="309"/>
      <c r="B174" s="309"/>
      <c r="C174" s="309"/>
      <c r="D174" s="309"/>
      <c r="E174" s="309"/>
      <c r="F174" s="309"/>
      <c r="G174" s="309"/>
      <c r="H174" s="309"/>
      <c r="I174" s="309"/>
      <c r="J174" s="309"/>
      <c r="K174" s="309"/>
      <c r="L174" s="309"/>
    </row>
    <row r="175" spans="1:12">
      <c r="A175" s="309"/>
      <c r="B175" s="309"/>
      <c r="C175" s="309"/>
      <c r="D175" s="309"/>
      <c r="E175" s="309"/>
      <c r="F175" s="309"/>
      <c r="G175" s="309"/>
      <c r="H175" s="309"/>
      <c r="I175" s="309"/>
      <c r="J175" s="309"/>
      <c r="K175" s="309"/>
      <c r="L175" s="309"/>
    </row>
    <row r="176" spans="1:12">
      <c r="A176" s="309"/>
      <c r="B176" s="309"/>
      <c r="C176" s="309"/>
      <c r="D176" s="309"/>
      <c r="E176" s="309"/>
      <c r="F176" s="309"/>
      <c r="G176" s="309"/>
      <c r="H176" s="309"/>
      <c r="I176" s="309"/>
      <c r="J176" s="309"/>
      <c r="K176" s="309"/>
      <c r="L176" s="309"/>
    </row>
    <row r="177" spans="1:12">
      <c r="A177" s="309"/>
      <c r="B177" s="309"/>
      <c r="C177" s="309"/>
      <c r="D177" s="309"/>
      <c r="E177" s="309"/>
      <c r="F177" s="309"/>
      <c r="G177" s="309"/>
      <c r="H177" s="309"/>
      <c r="I177" s="309"/>
      <c r="J177" s="309"/>
      <c r="K177" s="309"/>
      <c r="L177" s="309"/>
    </row>
    <row r="178" spans="1:12">
      <c r="A178" s="309"/>
      <c r="B178" s="309"/>
      <c r="C178" s="309"/>
      <c r="D178" s="309"/>
      <c r="E178" s="309"/>
      <c r="F178" s="309"/>
      <c r="G178" s="309"/>
      <c r="H178" s="309"/>
      <c r="I178" s="309"/>
      <c r="J178" s="309"/>
      <c r="K178" s="309"/>
      <c r="L178" s="309"/>
    </row>
    <row r="179" spans="1:12">
      <c r="A179" s="309"/>
      <c r="B179" s="309"/>
      <c r="C179" s="309"/>
      <c r="D179" s="309"/>
      <c r="E179" s="309"/>
      <c r="F179" s="309"/>
      <c r="G179" s="309"/>
      <c r="H179" s="309"/>
      <c r="I179" s="309"/>
      <c r="J179" s="309"/>
      <c r="K179" s="309"/>
      <c r="L179" s="309"/>
    </row>
    <row r="180" spans="1:12">
      <c r="A180" s="309"/>
      <c r="B180" s="309"/>
      <c r="C180" s="309"/>
      <c r="D180" s="309"/>
      <c r="E180" s="309"/>
      <c r="F180" s="309"/>
      <c r="G180" s="309"/>
      <c r="H180" s="309"/>
      <c r="I180" s="309"/>
      <c r="J180" s="309"/>
      <c r="K180" s="309"/>
      <c r="L180" s="309"/>
    </row>
    <row r="181" spans="1:12">
      <c r="A181" s="309"/>
      <c r="B181" s="309"/>
      <c r="C181" s="309"/>
      <c r="D181" s="309"/>
      <c r="E181" s="309"/>
      <c r="F181" s="309"/>
      <c r="G181" s="309"/>
      <c r="H181" s="309"/>
      <c r="I181" s="309"/>
      <c r="J181" s="309"/>
      <c r="K181" s="309"/>
      <c r="L181" s="309"/>
    </row>
    <row r="182" spans="1:12">
      <c r="A182" s="309"/>
      <c r="B182" s="309"/>
      <c r="C182" s="309"/>
      <c r="D182" s="309"/>
      <c r="E182" s="309"/>
      <c r="F182" s="309"/>
      <c r="G182" s="309"/>
      <c r="H182" s="309"/>
      <c r="I182" s="309"/>
      <c r="J182" s="309"/>
      <c r="K182" s="309"/>
      <c r="L182" s="309"/>
    </row>
    <row r="183" spans="1:12">
      <c r="A183" s="309"/>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5" spans="1:12">
      <c r="A185" s="309"/>
      <c r="B185" s="309"/>
      <c r="C185" s="309"/>
      <c r="D185" s="309"/>
      <c r="E185" s="309"/>
      <c r="F185" s="309"/>
      <c r="G185" s="309"/>
      <c r="H185" s="309"/>
      <c r="I185" s="309"/>
      <c r="J185" s="309"/>
      <c r="K185" s="309"/>
      <c r="L185" s="309"/>
    </row>
    <row r="186" spans="1:12">
      <c r="A186" s="309"/>
      <c r="B186" s="309"/>
      <c r="C186" s="309"/>
      <c r="D186" s="309"/>
      <c r="E186" s="309"/>
      <c r="F186" s="309"/>
      <c r="G186" s="309"/>
      <c r="H186" s="309"/>
      <c r="I186" s="309"/>
      <c r="J186" s="309"/>
      <c r="K186" s="309"/>
      <c r="L186" s="309"/>
    </row>
    <row r="187" spans="1:12">
      <c r="A187" s="309"/>
      <c r="B187" s="309"/>
      <c r="C187" s="309"/>
      <c r="D187" s="309"/>
      <c r="E187" s="309"/>
      <c r="F187" s="309"/>
      <c r="G187" s="309"/>
      <c r="H187" s="309"/>
      <c r="I187" s="309"/>
      <c r="J187" s="309"/>
      <c r="K187" s="309"/>
      <c r="L187" s="309"/>
    </row>
    <row r="188" spans="1:12">
      <c r="A188" s="309"/>
      <c r="B188" s="309"/>
      <c r="C188" s="309"/>
      <c r="D188" s="309"/>
      <c r="E188" s="309"/>
      <c r="F188" s="309"/>
      <c r="G188" s="309"/>
      <c r="H188" s="309"/>
      <c r="I188" s="309"/>
      <c r="J188" s="309"/>
      <c r="K188" s="309"/>
      <c r="L188" s="309"/>
    </row>
    <row r="189" spans="1:12">
      <c r="A189" s="309"/>
      <c r="B189" s="309"/>
      <c r="C189" s="309"/>
      <c r="D189" s="309"/>
      <c r="E189" s="309"/>
      <c r="F189" s="309"/>
      <c r="G189" s="309"/>
      <c r="H189" s="309"/>
      <c r="I189" s="309"/>
      <c r="J189" s="309"/>
      <c r="K189" s="309"/>
      <c r="L189" s="309"/>
    </row>
    <row r="190" spans="1:12">
      <c r="A190" s="309"/>
      <c r="B190" s="309"/>
      <c r="C190" s="309"/>
      <c r="D190" s="309"/>
      <c r="E190" s="309"/>
      <c r="F190" s="309"/>
      <c r="G190" s="309"/>
      <c r="H190" s="309"/>
      <c r="I190" s="309"/>
      <c r="J190" s="309"/>
      <c r="K190" s="309"/>
      <c r="L190" s="309"/>
    </row>
    <row r="191" spans="1:12">
      <c r="A191" s="309"/>
      <c r="B191" s="309"/>
      <c r="C191" s="309"/>
      <c r="D191" s="309"/>
      <c r="E191" s="309"/>
      <c r="F191" s="309"/>
      <c r="G191" s="309"/>
      <c r="H191" s="309"/>
      <c r="I191" s="309"/>
      <c r="J191" s="309"/>
      <c r="K191" s="309"/>
      <c r="L191" s="309"/>
    </row>
    <row r="192" spans="1:12">
      <c r="A192" s="309"/>
      <c r="B192" s="309"/>
      <c r="C192" s="309"/>
      <c r="D192" s="309"/>
      <c r="E192" s="309"/>
      <c r="F192" s="309"/>
      <c r="G192" s="309"/>
      <c r="H192" s="309"/>
      <c r="I192" s="309"/>
      <c r="J192" s="309"/>
      <c r="K192" s="309"/>
      <c r="L192" s="309"/>
    </row>
    <row r="193" spans="1:12">
      <c r="A193" s="309"/>
      <c r="B193" s="309"/>
      <c r="C193" s="309"/>
      <c r="D193" s="309"/>
      <c r="E193" s="309"/>
      <c r="F193" s="309"/>
      <c r="G193" s="309"/>
      <c r="H193" s="309"/>
      <c r="I193" s="309"/>
      <c r="J193" s="309"/>
      <c r="K193" s="309"/>
      <c r="L193" s="309"/>
    </row>
    <row r="194" spans="1:12">
      <c r="A194" s="309"/>
      <c r="B194" s="309"/>
      <c r="C194" s="309"/>
      <c r="D194" s="309"/>
      <c r="E194" s="309"/>
      <c r="F194" s="309"/>
      <c r="G194" s="309"/>
      <c r="H194" s="309"/>
      <c r="I194" s="309"/>
      <c r="J194" s="309"/>
      <c r="K194" s="309"/>
      <c r="L194" s="309"/>
    </row>
    <row r="195" spans="1:12">
      <c r="A195" s="309"/>
      <c r="B195" s="309"/>
      <c r="C195" s="309"/>
      <c r="D195" s="309"/>
      <c r="E195" s="309"/>
      <c r="F195" s="309"/>
      <c r="G195" s="309"/>
      <c r="H195" s="309"/>
      <c r="I195" s="309"/>
      <c r="J195" s="309"/>
      <c r="K195" s="309"/>
      <c r="L195" s="309"/>
    </row>
    <row r="196" spans="1:12">
      <c r="A196" s="309"/>
      <c r="B196" s="309"/>
      <c r="C196" s="309"/>
      <c r="D196" s="309"/>
      <c r="E196" s="309"/>
      <c r="F196" s="309"/>
      <c r="G196" s="309"/>
      <c r="H196" s="309"/>
      <c r="I196" s="309"/>
      <c r="J196" s="309"/>
      <c r="K196" s="309"/>
      <c r="L196" s="309"/>
    </row>
    <row r="197" spans="1:12">
      <c r="A197" s="309"/>
      <c r="B197" s="309"/>
      <c r="C197" s="309"/>
      <c r="D197" s="309"/>
      <c r="E197" s="309"/>
      <c r="F197" s="309"/>
      <c r="G197" s="309"/>
      <c r="H197" s="309"/>
      <c r="I197" s="309"/>
      <c r="J197" s="309"/>
      <c r="K197" s="309"/>
      <c r="L197" s="309"/>
    </row>
    <row r="198" spans="1:12">
      <c r="A198" s="309"/>
      <c r="B198" s="309"/>
      <c r="C198" s="309"/>
      <c r="D198" s="309"/>
      <c r="E198" s="309"/>
      <c r="F198" s="309"/>
      <c r="G198" s="309"/>
      <c r="H198" s="309"/>
      <c r="I198" s="309"/>
      <c r="J198" s="309"/>
      <c r="K198" s="309"/>
      <c r="L198" s="309"/>
    </row>
    <row r="199" spans="1:12">
      <c r="A199" s="309"/>
      <c r="B199" s="309"/>
      <c r="C199" s="309"/>
      <c r="D199" s="309"/>
      <c r="E199" s="309"/>
      <c r="F199" s="309"/>
      <c r="G199" s="309"/>
      <c r="H199" s="309"/>
      <c r="I199" s="309"/>
      <c r="J199" s="309"/>
      <c r="K199" s="309"/>
      <c r="L199" s="309"/>
    </row>
    <row r="200" spans="1:12">
      <c r="A200" s="309"/>
      <c r="B200" s="309"/>
      <c r="C200" s="309"/>
      <c r="D200" s="309"/>
      <c r="E200" s="309"/>
      <c r="F200" s="309"/>
      <c r="G200" s="309"/>
      <c r="H200" s="309"/>
      <c r="I200" s="309"/>
      <c r="J200" s="309"/>
      <c r="K200" s="309"/>
      <c r="L200" s="309"/>
    </row>
    <row r="201" spans="1:12">
      <c r="A201" s="309"/>
      <c r="B201" s="309"/>
      <c r="C201" s="309"/>
      <c r="D201" s="309"/>
      <c r="E201" s="309"/>
      <c r="F201" s="309"/>
      <c r="G201" s="309"/>
      <c r="H201" s="309"/>
      <c r="I201" s="309"/>
      <c r="J201" s="309"/>
      <c r="K201" s="309"/>
      <c r="L201" s="309"/>
    </row>
    <row r="202" spans="1:12">
      <c r="A202" s="309"/>
      <c r="B202" s="309"/>
      <c r="C202" s="309"/>
      <c r="D202" s="309"/>
      <c r="E202" s="309"/>
      <c r="F202" s="309"/>
      <c r="G202" s="309"/>
      <c r="H202" s="309"/>
      <c r="I202" s="309"/>
      <c r="J202" s="309"/>
      <c r="K202" s="309"/>
      <c r="L202" s="309"/>
    </row>
    <row r="203" spans="1:12">
      <c r="A203" s="309"/>
      <c r="B203" s="309"/>
      <c r="C203" s="309"/>
      <c r="D203" s="309"/>
      <c r="E203" s="309"/>
      <c r="F203" s="309"/>
      <c r="G203" s="309"/>
      <c r="H203" s="309"/>
      <c r="I203" s="309"/>
      <c r="J203" s="309"/>
      <c r="K203" s="309"/>
      <c r="L203" s="309"/>
    </row>
    <row r="204" spans="1:12">
      <c r="A204" s="309"/>
      <c r="B204" s="309"/>
      <c r="C204" s="309"/>
      <c r="D204" s="309"/>
      <c r="E204" s="309"/>
      <c r="F204" s="309"/>
      <c r="G204" s="309"/>
      <c r="H204" s="309"/>
      <c r="I204" s="309"/>
      <c r="J204" s="309"/>
      <c r="K204" s="309"/>
      <c r="L204" s="309"/>
    </row>
    <row r="205" spans="1:12">
      <c r="A205" s="309"/>
      <c r="B205" s="309"/>
      <c r="C205" s="309"/>
      <c r="D205" s="309"/>
      <c r="E205" s="309"/>
      <c r="F205" s="309"/>
      <c r="G205" s="309"/>
      <c r="H205" s="309"/>
      <c r="I205" s="309"/>
      <c r="J205" s="309"/>
      <c r="K205" s="309"/>
      <c r="L205" s="309"/>
    </row>
    <row r="206" spans="1:12">
      <c r="A206" s="309"/>
      <c r="B206" s="309"/>
      <c r="C206" s="309"/>
      <c r="D206" s="309"/>
      <c r="E206" s="309"/>
      <c r="F206" s="309"/>
      <c r="G206" s="309"/>
      <c r="H206" s="309"/>
      <c r="I206" s="309"/>
      <c r="J206" s="309"/>
      <c r="K206" s="309"/>
      <c r="L206" s="309"/>
    </row>
    <row r="207" spans="1:12">
      <c r="A207" s="309"/>
      <c r="B207" s="309"/>
      <c r="C207" s="309"/>
      <c r="D207" s="309"/>
      <c r="E207" s="309"/>
      <c r="F207" s="309"/>
      <c r="G207" s="309"/>
      <c r="H207" s="309"/>
      <c r="I207" s="309"/>
      <c r="J207" s="309"/>
      <c r="K207" s="309"/>
      <c r="L207" s="309"/>
    </row>
    <row r="208" spans="1:12">
      <c r="A208" s="309"/>
      <c r="B208" s="309"/>
      <c r="C208" s="309"/>
      <c r="D208" s="309"/>
      <c r="E208" s="309"/>
      <c r="F208" s="309"/>
      <c r="G208" s="309"/>
      <c r="H208" s="309"/>
      <c r="I208" s="309"/>
      <c r="J208" s="309"/>
      <c r="K208" s="309"/>
      <c r="L208" s="309"/>
    </row>
    <row r="209" spans="1:12">
      <c r="A209" s="309"/>
      <c r="B209" s="309"/>
      <c r="C209" s="309"/>
      <c r="D209" s="309"/>
      <c r="E209" s="309"/>
      <c r="F209" s="309"/>
      <c r="G209" s="309"/>
      <c r="H209" s="309"/>
      <c r="I209" s="309"/>
      <c r="J209" s="309"/>
      <c r="K209" s="309"/>
      <c r="L209" s="309"/>
    </row>
    <row r="210" spans="1:12">
      <c r="A210" s="309"/>
      <c r="B210" s="309"/>
      <c r="C210" s="309"/>
      <c r="D210" s="309"/>
      <c r="E210" s="309"/>
      <c r="F210" s="309"/>
      <c r="G210" s="309"/>
      <c r="H210" s="309"/>
      <c r="I210" s="309"/>
      <c r="J210" s="309"/>
      <c r="K210" s="309"/>
      <c r="L210" s="309"/>
    </row>
    <row r="211" spans="1:12">
      <c r="A211" s="309"/>
      <c r="B211" s="309"/>
      <c r="C211" s="309"/>
      <c r="D211" s="309"/>
      <c r="E211" s="309"/>
      <c r="F211" s="309"/>
      <c r="G211" s="309"/>
      <c r="H211" s="309"/>
      <c r="I211" s="309"/>
      <c r="J211" s="309"/>
      <c r="K211" s="309"/>
      <c r="L211" s="309"/>
    </row>
    <row r="212" spans="1:12">
      <c r="A212" s="309"/>
      <c r="B212" s="309"/>
      <c r="C212" s="309"/>
      <c r="D212" s="309"/>
      <c r="E212" s="309"/>
      <c r="F212" s="309"/>
      <c r="G212" s="309"/>
      <c r="H212" s="309"/>
      <c r="I212" s="309"/>
      <c r="J212" s="309"/>
      <c r="K212" s="309"/>
      <c r="L212" s="309"/>
    </row>
    <row r="213" spans="1:12">
      <c r="A213" s="309"/>
      <c r="B213" s="309"/>
      <c r="C213" s="309"/>
      <c r="D213" s="309"/>
      <c r="E213" s="309"/>
      <c r="F213" s="309"/>
      <c r="G213" s="309"/>
      <c r="H213" s="309"/>
      <c r="I213" s="309"/>
      <c r="J213" s="309"/>
      <c r="K213" s="309"/>
      <c r="L213" s="309"/>
    </row>
    <row r="214" spans="1:12">
      <c r="A214" s="309"/>
      <c r="B214" s="309"/>
      <c r="C214" s="309"/>
      <c r="D214" s="309"/>
      <c r="E214" s="309"/>
      <c r="F214" s="309"/>
      <c r="G214" s="309"/>
      <c r="H214" s="309"/>
      <c r="I214" s="309"/>
      <c r="J214" s="309"/>
      <c r="K214" s="309"/>
      <c r="L214" s="309"/>
    </row>
    <row r="215" spans="1:12">
      <c r="A215" s="309"/>
      <c r="B215" s="309"/>
      <c r="C215" s="309"/>
      <c r="D215" s="309"/>
      <c r="E215" s="309"/>
      <c r="F215" s="309"/>
      <c r="G215" s="309"/>
      <c r="H215" s="309"/>
      <c r="I215" s="309"/>
      <c r="J215" s="309"/>
      <c r="K215" s="309"/>
      <c r="L215" s="309"/>
    </row>
    <row r="216" spans="1:12">
      <c r="A216" s="309"/>
      <c r="B216" s="309"/>
      <c r="C216" s="309"/>
      <c r="D216" s="309"/>
      <c r="E216" s="309"/>
      <c r="F216" s="309"/>
      <c r="G216" s="309"/>
      <c r="H216" s="309"/>
      <c r="I216" s="309"/>
      <c r="J216" s="309"/>
      <c r="K216" s="309"/>
      <c r="L216" s="309"/>
    </row>
    <row r="217" spans="1:12">
      <c r="A217" s="309"/>
      <c r="B217" s="309"/>
      <c r="C217" s="309"/>
      <c r="D217" s="309"/>
      <c r="E217" s="309"/>
      <c r="F217" s="309"/>
      <c r="G217" s="309"/>
      <c r="H217" s="309"/>
      <c r="I217" s="309"/>
      <c r="J217" s="309"/>
      <c r="K217" s="309"/>
      <c r="L217" s="309"/>
    </row>
    <row r="218" spans="1:12">
      <c r="A218" s="309"/>
      <c r="B218" s="309"/>
      <c r="C218" s="309"/>
      <c r="D218" s="309"/>
      <c r="E218" s="309"/>
      <c r="F218" s="309"/>
      <c r="G218" s="309"/>
      <c r="H218" s="309"/>
      <c r="I218" s="309"/>
      <c r="J218" s="309"/>
      <c r="K218" s="309"/>
      <c r="L218" s="309"/>
    </row>
    <row r="219" spans="1:12">
      <c r="A219" s="309"/>
      <c r="B219" s="309"/>
      <c r="C219" s="309"/>
      <c r="D219" s="309"/>
      <c r="E219" s="309"/>
      <c r="F219" s="309"/>
      <c r="G219" s="309"/>
      <c r="H219" s="309"/>
      <c r="I219" s="309"/>
      <c r="J219" s="309"/>
      <c r="K219" s="309"/>
      <c r="L219" s="309"/>
    </row>
    <row r="220" spans="1:12">
      <c r="A220" s="309"/>
      <c r="B220" s="309"/>
      <c r="C220" s="309"/>
      <c r="D220" s="309"/>
      <c r="E220" s="309"/>
      <c r="F220" s="309"/>
      <c r="G220" s="309"/>
      <c r="H220" s="309"/>
      <c r="I220" s="309"/>
      <c r="J220" s="309"/>
      <c r="K220" s="309"/>
      <c r="L220" s="309"/>
    </row>
    <row r="221" spans="1:12">
      <c r="A221" s="309"/>
      <c r="B221" s="309"/>
      <c r="C221" s="309"/>
      <c r="D221" s="309"/>
      <c r="E221" s="309"/>
      <c r="F221" s="309"/>
      <c r="G221" s="309"/>
      <c r="H221" s="309"/>
      <c r="I221" s="309"/>
      <c r="J221" s="309"/>
      <c r="K221" s="309"/>
      <c r="L221" s="309"/>
    </row>
    <row r="222" spans="1:12">
      <c r="A222" s="309"/>
      <c r="B222" s="309"/>
      <c r="C222" s="309"/>
      <c r="D222" s="309"/>
      <c r="E222" s="309"/>
      <c r="F222" s="309"/>
      <c r="G222" s="309"/>
      <c r="H222" s="309"/>
      <c r="I222" s="309"/>
      <c r="J222" s="309"/>
      <c r="K222" s="309"/>
      <c r="L222" s="309"/>
    </row>
    <row r="223" spans="1:12">
      <c r="A223" s="309"/>
      <c r="B223" s="309"/>
      <c r="C223" s="309"/>
      <c r="D223" s="309"/>
      <c r="E223" s="309"/>
      <c r="F223" s="309"/>
      <c r="G223" s="309"/>
      <c r="H223" s="309"/>
      <c r="I223" s="309"/>
      <c r="J223" s="309"/>
      <c r="K223" s="309"/>
      <c r="L223" s="309"/>
    </row>
    <row r="224" spans="1:12">
      <c r="A224" s="309"/>
      <c r="B224" s="309"/>
      <c r="C224" s="309"/>
      <c r="D224" s="309"/>
      <c r="E224" s="309"/>
      <c r="F224" s="309"/>
      <c r="G224" s="309"/>
      <c r="H224" s="309"/>
      <c r="I224" s="309"/>
      <c r="J224" s="309"/>
      <c r="K224" s="309"/>
      <c r="L224" s="309"/>
    </row>
    <row r="225" spans="1:12">
      <c r="A225" s="309"/>
      <c r="B225" s="309"/>
      <c r="C225" s="309"/>
      <c r="D225" s="309"/>
      <c r="E225" s="309"/>
      <c r="F225" s="309"/>
      <c r="G225" s="309"/>
      <c r="H225" s="309"/>
      <c r="I225" s="309"/>
      <c r="J225" s="309"/>
      <c r="K225" s="309"/>
      <c r="L225" s="309"/>
    </row>
    <row r="226" spans="1:12">
      <c r="A226" s="309"/>
      <c r="B226" s="309"/>
      <c r="C226" s="309"/>
      <c r="D226" s="309"/>
      <c r="E226" s="309"/>
      <c r="F226" s="309"/>
      <c r="G226" s="309"/>
      <c r="H226" s="309"/>
      <c r="I226" s="309"/>
      <c r="J226" s="309"/>
      <c r="K226" s="309"/>
      <c r="L226" s="309"/>
    </row>
    <row r="227" spans="1:12">
      <c r="A227" s="309"/>
      <c r="B227" s="309"/>
      <c r="C227" s="309"/>
      <c r="D227" s="309"/>
      <c r="E227" s="309"/>
      <c r="F227" s="309"/>
      <c r="G227" s="309"/>
      <c r="H227" s="309"/>
      <c r="I227" s="309"/>
      <c r="J227" s="309"/>
      <c r="K227" s="309"/>
      <c r="L227" s="309"/>
    </row>
    <row r="228" spans="1:12">
      <c r="A228" s="309"/>
      <c r="B228" s="309"/>
      <c r="C228" s="309"/>
      <c r="D228" s="309"/>
      <c r="E228" s="309"/>
      <c r="F228" s="309"/>
      <c r="G228" s="309"/>
      <c r="H228" s="309"/>
      <c r="I228" s="309"/>
      <c r="J228" s="309"/>
      <c r="K228" s="309"/>
      <c r="L228" s="309"/>
    </row>
    <row r="229" spans="1:12">
      <c r="A229" s="309"/>
      <c r="B229" s="309"/>
      <c r="C229" s="309"/>
      <c r="D229" s="309"/>
      <c r="E229" s="309"/>
      <c r="F229" s="309"/>
      <c r="G229" s="309"/>
      <c r="H229" s="309"/>
      <c r="I229" s="309"/>
      <c r="J229" s="309"/>
      <c r="K229" s="309"/>
      <c r="L229" s="309"/>
    </row>
    <row r="230" spans="1:12">
      <c r="A230" s="309"/>
      <c r="B230" s="309"/>
      <c r="C230" s="309"/>
      <c r="D230" s="309"/>
      <c r="E230" s="309"/>
      <c r="F230" s="309"/>
      <c r="G230" s="309"/>
      <c r="H230" s="309"/>
      <c r="I230" s="309"/>
      <c r="J230" s="309"/>
      <c r="K230" s="309"/>
      <c r="L230" s="309"/>
    </row>
    <row r="231" spans="1:12">
      <c r="A231" s="309"/>
      <c r="B231" s="309"/>
      <c r="C231" s="309"/>
      <c r="D231" s="309"/>
      <c r="E231" s="309"/>
      <c r="F231" s="309"/>
      <c r="G231" s="309"/>
      <c r="H231" s="309"/>
      <c r="I231" s="309"/>
      <c r="J231" s="309"/>
      <c r="K231" s="309"/>
      <c r="L231"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1"/>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9.45" customHeight="1">
      <c r="A5" s="1100" t="s">
        <v>1715</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SUM(A12:A1873)</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OUTPUTS_FOR_SECTION_2_OF_MODEL!B70</f>
        <v>Computing</v>
      </c>
      <c r="C15" s="307">
        <f>OUTPUTS_FOR_SECTION_2_OF_MODEL!E70</f>
        <v>606.54529199878812</v>
      </c>
      <c r="D15" s="307">
        <f>OUTPUTS_FOR_SECTION_2_OF_MODEL!F70</f>
        <v>583.35086242820535</v>
      </c>
      <c r="E15" s="307">
        <f>OUTPUTS_FOR_SECTION_2_OF_MODEL!G70</f>
        <v>773.9857188455577</v>
      </c>
      <c r="F15" s="307">
        <f>OUTPUTS_FOR_SECTION_2_OF_MODEL!H70</f>
        <v>832.54281536747317</v>
      </c>
      <c r="G15" s="307">
        <f>OUTPUTS_FOR_SECTION_2_OF_MODEL!I70</f>
        <v>846.49492966501373</v>
      </c>
      <c r="H15" s="307">
        <f>OUTPUTS_FOR_SECTION_2_OF_MODEL!J70</f>
        <v>853.1581471224514</v>
      </c>
      <c r="I15" s="307">
        <f>OUTPUTS_FOR_SECTION_2_OF_MODEL!K70</f>
        <v>827.13041414329996</v>
      </c>
      <c r="J15" s="307">
        <f>OUTPUTS_FOR_SECTION_2_OF_MODEL!L70</f>
        <v>808.33190401463776</v>
      </c>
      <c r="K15" s="307">
        <f>OUTPUTS_FOR_SECTION_2_OF_MODEL!M70</f>
        <v>796.29075672587828</v>
      </c>
      <c r="L15" s="307">
        <f>OUTPUTS_FOR_SECTION_2_OF_MODEL!N70</f>
        <v>800.54945796281163</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564.69366685087175</v>
      </c>
      <c r="D44" s="459">
        <f t="shared" si="4"/>
        <v>543.0996529206592</v>
      </c>
      <c r="E44" s="459">
        <f t="shared" si="4"/>
        <v>720.58070424521429</v>
      </c>
      <c r="F44" s="459">
        <f t="shared" si="4"/>
        <v>775.09736110711754</v>
      </c>
      <c r="G44" s="459">
        <f t="shared" si="4"/>
        <v>788.08677951812786</v>
      </c>
      <c r="H44" s="459">
        <f t="shared" si="4"/>
        <v>794.29023497100229</v>
      </c>
      <c r="I44" s="459">
        <f t="shared" si="4"/>
        <v>770.05841556741234</v>
      </c>
      <c r="J44" s="459">
        <f t="shared" si="4"/>
        <v>752.55700263762776</v>
      </c>
      <c r="K44" s="459">
        <f t="shared" si="4"/>
        <v>741.34669451179275</v>
      </c>
      <c r="L44" s="459">
        <f t="shared" si="4"/>
        <v>745.31154536337772</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5.9751309619512112</v>
      </c>
      <c r="D57" s="459">
        <f t="shared" ref="D57:L57" si="7">D44/$J$50</f>
        <v>5.7466405984116937</v>
      </c>
      <c r="E57" s="459">
        <f t="shared" si="7"/>
        <v>7.6246013179695034</v>
      </c>
      <c r="F57" s="459">
        <f t="shared" si="7"/>
        <v>8.2014524205756398</v>
      </c>
      <c r="G57" s="459">
        <f t="shared" si="7"/>
        <v>8.3388959243397149</v>
      </c>
      <c r="H57" s="459">
        <f t="shared" si="7"/>
        <v>8.4045358649366477</v>
      </c>
      <c r="I57" s="459">
        <f t="shared" si="7"/>
        <v>8.1481343805880773</v>
      </c>
      <c r="J57" s="459">
        <f t="shared" si="7"/>
        <v>7.9629486056920653</v>
      </c>
      <c r="K57" s="459">
        <f t="shared" si="7"/>
        <v>7.8443302058271707</v>
      </c>
      <c r="L57" s="459">
        <f t="shared" si="7"/>
        <v>7.8862830458774917</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5.9751309619512112</v>
      </c>
      <c r="D98" s="459">
        <f t="shared" ref="D98:L98" si="33">D57</f>
        <v>5.7466405984116937</v>
      </c>
      <c r="E98" s="459">
        <f t="shared" si="33"/>
        <v>7.6246013179695034</v>
      </c>
      <c r="F98" s="459">
        <f t="shared" si="33"/>
        <v>8.2014524205756398</v>
      </c>
      <c r="G98" s="459">
        <f t="shared" si="33"/>
        <v>8.3388959243397149</v>
      </c>
      <c r="H98" s="459">
        <f t="shared" si="33"/>
        <v>8.4045358649366477</v>
      </c>
      <c r="I98" s="459">
        <f t="shared" si="33"/>
        <v>8.1481343805880773</v>
      </c>
      <c r="J98" s="459">
        <f t="shared" si="33"/>
        <v>7.9629486056920653</v>
      </c>
      <c r="K98" s="459">
        <f t="shared" si="33"/>
        <v>7.8443302058271707</v>
      </c>
      <c r="L98" s="459">
        <f t="shared" si="33"/>
        <v>7.8862830458774917</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846</v>
      </c>
      <c r="C103" s="459">
        <f t="shared" ref="C103:L103" si="35">C65*C$98</f>
        <v>88.187043087685424</v>
      </c>
      <c r="D103" s="459">
        <f t="shared" si="35"/>
        <v>84.814750553364092</v>
      </c>
      <c r="E103" s="459">
        <f t="shared" si="35"/>
        <v>112.53159959771439</v>
      </c>
      <c r="F103" s="459">
        <f t="shared" si="35"/>
        <v>121.04535324841163</v>
      </c>
      <c r="G103" s="459">
        <f t="shared" si="35"/>
        <v>123.07388388075225</v>
      </c>
      <c r="H103" s="459">
        <f t="shared" si="35"/>
        <v>124.0426647002114</v>
      </c>
      <c r="I103" s="459">
        <f t="shared" si="35"/>
        <v>120.25843153578715</v>
      </c>
      <c r="J103" s="459">
        <f t="shared" si="35"/>
        <v>117.5252720428866</v>
      </c>
      <c r="K103" s="459">
        <f t="shared" si="35"/>
        <v>115.77458138748683</v>
      </c>
      <c r="L103" s="459">
        <f t="shared" si="35"/>
        <v>116.3937639521415</v>
      </c>
    </row>
    <row r="104" spans="1:12">
      <c r="A104" s="309"/>
      <c r="B104" s="326" t="s">
        <v>847</v>
      </c>
      <c r="C104" s="459">
        <f t="shared" ref="C104:L104" si="36">C76*C$98</f>
        <v>209.22583474940703</v>
      </c>
      <c r="D104" s="459">
        <f t="shared" si="36"/>
        <v>201.22499136234597</v>
      </c>
      <c r="E104" s="459">
        <f t="shared" si="36"/>
        <v>266.98386789210332</v>
      </c>
      <c r="F104" s="459">
        <f t="shared" si="36"/>
        <v>287.18294875534048</v>
      </c>
      <c r="G104" s="459">
        <f t="shared" si="36"/>
        <v>291.99568541149762</v>
      </c>
      <c r="H104" s="459">
        <f t="shared" si="36"/>
        <v>294.29414070088762</v>
      </c>
      <c r="I104" s="459">
        <f t="shared" si="36"/>
        <v>285.315958476025</v>
      </c>
      <c r="J104" s="459">
        <f t="shared" si="36"/>
        <v>278.83147326841015</v>
      </c>
      <c r="K104" s="459">
        <f t="shared" si="36"/>
        <v>274.67791849506557</v>
      </c>
      <c r="L104" s="459">
        <f t="shared" si="36"/>
        <v>276.14694369895341</v>
      </c>
    </row>
    <row r="105" spans="1:12">
      <c r="A105" s="309"/>
      <c r="B105" s="326" t="s">
        <v>848</v>
      </c>
      <c r="C105" s="459">
        <f t="shared" ref="C105:L105" si="37">C87*C$98</f>
        <v>300.10021835802866</v>
      </c>
      <c r="D105" s="459">
        <f t="shared" si="37"/>
        <v>288.62431792545931</v>
      </c>
      <c r="E105" s="459">
        <f t="shared" si="37"/>
        <v>382.94466430713265</v>
      </c>
      <c r="F105" s="459">
        <f t="shared" si="37"/>
        <v>411.91694005381186</v>
      </c>
      <c r="G105" s="459">
        <f t="shared" si="37"/>
        <v>418.82002314172166</v>
      </c>
      <c r="H105" s="459">
        <f t="shared" si="37"/>
        <v>422.11678109256576</v>
      </c>
      <c r="I105" s="459">
        <f t="shared" si="37"/>
        <v>409.23904804699561</v>
      </c>
      <c r="J105" s="459">
        <f t="shared" si="37"/>
        <v>399.93811525790977</v>
      </c>
      <c r="K105" s="459">
        <f t="shared" si="37"/>
        <v>393.98052070016467</v>
      </c>
      <c r="L105" s="459">
        <f t="shared" si="37"/>
        <v>396.08759693665428</v>
      </c>
    </row>
    <row r="106" spans="1:12">
      <c r="A106" s="309"/>
      <c r="B106" s="326" t="s">
        <v>8</v>
      </c>
      <c r="C106" s="459">
        <f>SUM(C103:C105)</f>
        <v>597.51309619512108</v>
      </c>
      <c r="D106" s="459">
        <f t="shared" ref="D106:L106" si="38">SUM(D103:D105)</f>
        <v>574.66405984116932</v>
      </c>
      <c r="E106" s="459">
        <f t="shared" si="38"/>
        <v>762.46013179695035</v>
      </c>
      <c r="F106" s="459">
        <f t="shared" si="38"/>
        <v>820.14524205756402</v>
      </c>
      <c r="G106" s="459">
        <f t="shared" si="38"/>
        <v>833.88959243397153</v>
      </c>
      <c r="H106" s="459">
        <f t="shared" si="38"/>
        <v>840.45358649366472</v>
      </c>
      <c r="I106" s="459">
        <f t="shared" si="38"/>
        <v>814.81343805880783</v>
      </c>
      <c r="J106" s="459">
        <f t="shared" si="38"/>
        <v>796.29486056920655</v>
      </c>
      <c r="K106" s="459">
        <f t="shared" si="38"/>
        <v>784.43302058271706</v>
      </c>
      <c r="L106" s="459">
        <f t="shared" si="38"/>
        <v>788.6283045877492</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597.51309619512108</v>
      </c>
      <c r="D111" s="700">
        <f t="shared" ref="D111:L111" si="39">D106</f>
        <v>574.66405984116932</v>
      </c>
      <c r="E111" s="700">
        <f t="shared" si="39"/>
        <v>762.46013179695035</v>
      </c>
      <c r="F111" s="700">
        <f t="shared" si="39"/>
        <v>820.14524205756402</v>
      </c>
      <c r="G111" s="700">
        <f t="shared" si="39"/>
        <v>833.88959243397153</v>
      </c>
      <c r="H111" s="700">
        <f t="shared" si="39"/>
        <v>840.45358649366472</v>
      </c>
      <c r="I111" s="700">
        <f t="shared" si="39"/>
        <v>814.81343805880783</v>
      </c>
      <c r="J111" s="700">
        <f t="shared" si="39"/>
        <v>796.29486056920655</v>
      </c>
      <c r="K111" s="700">
        <f t="shared" si="39"/>
        <v>784.43302058271706</v>
      </c>
      <c r="L111" s="700">
        <f t="shared" si="39"/>
        <v>788.6283045877492</v>
      </c>
    </row>
    <row r="112" spans="1:12">
      <c r="A112" s="309"/>
      <c r="B112" s="700" t="s">
        <v>804</v>
      </c>
      <c r="C112" s="700">
        <f t="shared" ref="C112:L112" si="40">((C67+C78+C89)/100)*C111</f>
        <v>85.914736503270447</v>
      </c>
      <c r="D112" s="700">
        <f t="shared" si="40"/>
        <v>82.629337488246406</v>
      </c>
      <c r="E112" s="700">
        <f t="shared" si="40"/>
        <v>109.63200929773818</v>
      </c>
      <c r="F112" s="700">
        <f t="shared" si="40"/>
        <v>117.92638992263468</v>
      </c>
      <c r="G112" s="700">
        <f t="shared" si="40"/>
        <v>119.90265161215598</v>
      </c>
      <c r="H112" s="700">
        <f t="shared" si="40"/>
        <v>120.84646995461355</v>
      </c>
      <c r="I112" s="700">
        <f t="shared" si="40"/>
        <v>117.15974474187259</v>
      </c>
      <c r="J112" s="700">
        <f t="shared" si="40"/>
        <v>114.49701029209086</v>
      </c>
      <c r="K112" s="700">
        <f t="shared" si="40"/>
        <v>112.79142950503744</v>
      </c>
      <c r="L112" s="700">
        <f t="shared" si="40"/>
        <v>113.39465765542265</v>
      </c>
    </row>
    <row r="113" spans="1:12">
      <c r="A113" s="309"/>
      <c r="B113" s="700" t="s">
        <v>805</v>
      </c>
      <c r="C113" s="700">
        <f t="shared" ref="C113:L113" si="41">((C66+C77+C88)/100)*C111</f>
        <v>511.59835969185059</v>
      </c>
      <c r="D113" s="700">
        <f t="shared" si="41"/>
        <v>492.03472235292287</v>
      </c>
      <c r="E113" s="700">
        <f t="shared" si="41"/>
        <v>652.8281224992121</v>
      </c>
      <c r="F113" s="700">
        <f t="shared" si="41"/>
        <v>702.21885213492931</v>
      </c>
      <c r="G113" s="700">
        <f t="shared" si="41"/>
        <v>713.98694082181555</v>
      </c>
      <c r="H113" s="700">
        <f t="shared" si="41"/>
        <v>719.60711653905116</v>
      </c>
      <c r="I113" s="700">
        <f t="shared" si="41"/>
        <v>697.65369331693523</v>
      </c>
      <c r="J113" s="700">
        <f t="shared" si="41"/>
        <v>681.79785027711569</v>
      </c>
      <c r="K113" s="700">
        <f t="shared" si="41"/>
        <v>671.64159107767955</v>
      </c>
      <c r="L113" s="700">
        <f t="shared" si="41"/>
        <v>675.23364693232645</v>
      </c>
    </row>
    <row r="114" spans="1:12">
      <c r="A114" s="309"/>
      <c r="B114" s="700" t="s">
        <v>799</v>
      </c>
      <c r="C114" s="700">
        <f>C112*$C$39</f>
        <v>53.095307159021132</v>
      </c>
      <c r="D114" s="700">
        <f t="shared" ref="D114:L114" si="42">D112*$C$39</f>
        <v>51.064930567736276</v>
      </c>
      <c r="E114" s="700">
        <f t="shared" si="42"/>
        <v>67.752581746002193</v>
      </c>
      <c r="F114" s="700">
        <f t="shared" si="42"/>
        <v>72.878508972188229</v>
      </c>
      <c r="G114" s="700">
        <f t="shared" si="42"/>
        <v>74.099838696312389</v>
      </c>
      <c r="H114" s="700">
        <f t="shared" si="42"/>
        <v>74.683118431951172</v>
      </c>
      <c r="I114" s="700">
        <f t="shared" si="42"/>
        <v>72.404722250477263</v>
      </c>
      <c r="J114" s="700">
        <f t="shared" si="42"/>
        <v>70.759152360512147</v>
      </c>
      <c r="K114" s="700">
        <f t="shared" si="42"/>
        <v>69.705103434113141</v>
      </c>
      <c r="L114" s="700">
        <f t="shared" si="42"/>
        <v>70.077898431051196</v>
      </c>
    </row>
    <row r="115" spans="1:12">
      <c r="A115" s="309"/>
      <c r="B115" s="700" t="s">
        <v>800</v>
      </c>
      <c r="C115" s="700">
        <f>C113</f>
        <v>511.59835969185059</v>
      </c>
      <c r="D115" s="700">
        <f t="shared" ref="D115:L115" si="43">D113</f>
        <v>492.03472235292287</v>
      </c>
      <c r="E115" s="700">
        <f t="shared" si="43"/>
        <v>652.8281224992121</v>
      </c>
      <c r="F115" s="700">
        <f t="shared" si="43"/>
        <v>702.21885213492931</v>
      </c>
      <c r="G115" s="700">
        <f t="shared" si="43"/>
        <v>713.98694082181555</v>
      </c>
      <c r="H115" s="700">
        <f t="shared" si="43"/>
        <v>719.60711653905116</v>
      </c>
      <c r="I115" s="700">
        <f t="shared" si="43"/>
        <v>697.65369331693523</v>
      </c>
      <c r="J115" s="700">
        <f t="shared" si="43"/>
        <v>681.79785027711569</v>
      </c>
      <c r="K115" s="700">
        <f t="shared" si="43"/>
        <v>671.64159107767955</v>
      </c>
      <c r="L115" s="700">
        <f t="shared" si="43"/>
        <v>675.23364693232645</v>
      </c>
    </row>
    <row r="116" spans="1:12">
      <c r="A116" s="309"/>
      <c r="B116" s="700" t="s">
        <v>724</v>
      </c>
      <c r="C116" s="700">
        <f>C115+C114</f>
        <v>564.69366685087175</v>
      </c>
      <c r="D116" s="700">
        <f t="shared" ref="D116:L116" si="44">D115+D114</f>
        <v>543.0996529206592</v>
      </c>
      <c r="E116" s="700">
        <f t="shared" si="44"/>
        <v>720.58070424521429</v>
      </c>
      <c r="F116" s="700">
        <f t="shared" si="44"/>
        <v>775.09736110711754</v>
      </c>
      <c r="G116" s="700">
        <f t="shared" si="44"/>
        <v>788.08677951812797</v>
      </c>
      <c r="H116" s="700">
        <f t="shared" si="44"/>
        <v>794.29023497100229</v>
      </c>
      <c r="I116" s="700">
        <f t="shared" si="44"/>
        <v>770.05841556741245</v>
      </c>
      <c r="J116" s="700">
        <f t="shared" si="44"/>
        <v>752.55700263762787</v>
      </c>
      <c r="K116" s="700">
        <f t="shared" si="44"/>
        <v>741.34669451179275</v>
      </c>
      <c r="L116" s="700">
        <f t="shared" si="44"/>
        <v>745.3115453633776</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row r="133" spans="1:12">
      <c r="A133" s="309"/>
      <c r="B133" s="309"/>
      <c r="C133" s="309"/>
      <c r="D133" s="309"/>
      <c r="E133" s="309"/>
      <c r="F133" s="309"/>
      <c r="G133" s="309"/>
      <c r="H133" s="309"/>
      <c r="I133" s="309"/>
      <c r="J133" s="309"/>
      <c r="K133" s="309"/>
      <c r="L133" s="309"/>
    </row>
    <row r="134" spans="1:12">
      <c r="A134" s="309"/>
      <c r="B134" s="309"/>
      <c r="C134" s="309"/>
      <c r="D134" s="309"/>
      <c r="E134" s="309"/>
      <c r="F134" s="309"/>
      <c r="G134" s="309"/>
      <c r="H134" s="309"/>
      <c r="I134" s="309"/>
      <c r="J134" s="309"/>
      <c r="K134" s="309"/>
      <c r="L134" s="309"/>
    </row>
    <row r="135" spans="1:12">
      <c r="A135" s="309"/>
      <c r="B135" s="309"/>
      <c r="C135" s="309"/>
      <c r="D135" s="309"/>
      <c r="E135" s="309"/>
      <c r="F135" s="309"/>
      <c r="G135" s="309"/>
      <c r="H135" s="309"/>
      <c r="I135" s="309"/>
      <c r="J135" s="309"/>
      <c r="K135" s="309"/>
      <c r="L135" s="309"/>
    </row>
    <row r="136" spans="1:12">
      <c r="A136" s="309"/>
      <c r="B136" s="309"/>
      <c r="C136" s="309"/>
      <c r="D136" s="309"/>
      <c r="E136" s="309"/>
      <c r="F136" s="309"/>
      <c r="G136" s="309"/>
      <c r="H136" s="309"/>
      <c r="I136" s="309"/>
      <c r="J136" s="309"/>
      <c r="K136" s="309"/>
      <c r="L136" s="309"/>
    </row>
    <row r="137" spans="1:12">
      <c r="A137" s="309"/>
      <c r="B137" s="309"/>
      <c r="C137" s="309"/>
      <c r="D137" s="309"/>
      <c r="E137" s="309"/>
      <c r="F137" s="309"/>
      <c r="G137" s="309"/>
      <c r="H137" s="309"/>
      <c r="I137" s="309"/>
      <c r="J137" s="309"/>
      <c r="K137" s="309"/>
      <c r="L137" s="309"/>
    </row>
    <row r="138" spans="1:12">
      <c r="A138" s="309"/>
      <c r="B138" s="309"/>
      <c r="C138" s="309"/>
      <c r="D138" s="309"/>
      <c r="E138" s="309"/>
      <c r="F138" s="309"/>
      <c r="G138" s="309"/>
      <c r="H138" s="309"/>
      <c r="I138" s="309"/>
      <c r="J138" s="309"/>
      <c r="K138" s="309"/>
      <c r="L138" s="309"/>
    </row>
    <row r="139" spans="1:12">
      <c r="A139" s="309"/>
      <c r="B139" s="309"/>
      <c r="C139" s="309"/>
      <c r="D139" s="309"/>
      <c r="E139" s="309"/>
      <c r="F139" s="309"/>
      <c r="G139" s="309"/>
      <c r="H139" s="309"/>
      <c r="I139" s="309"/>
      <c r="J139" s="309"/>
      <c r="K139" s="309"/>
      <c r="L139" s="309"/>
    </row>
    <row r="140" spans="1:12">
      <c r="A140" s="309"/>
      <c r="B140" s="309"/>
      <c r="C140" s="309"/>
      <c r="D140" s="309"/>
      <c r="E140" s="309"/>
      <c r="F140" s="309"/>
      <c r="G140" s="309"/>
      <c r="H140" s="309"/>
      <c r="I140" s="309"/>
      <c r="J140" s="309"/>
      <c r="K140" s="309"/>
      <c r="L140" s="309"/>
    </row>
    <row r="141" spans="1:12">
      <c r="A141" s="309"/>
      <c r="B141" s="309"/>
      <c r="C141" s="309"/>
      <c r="D141" s="309"/>
      <c r="E141" s="309"/>
      <c r="F141" s="309"/>
      <c r="G141" s="309"/>
      <c r="H141" s="309"/>
      <c r="I141" s="309"/>
      <c r="J141" s="309"/>
      <c r="K141" s="309"/>
      <c r="L141" s="309"/>
    </row>
    <row r="142" spans="1:12">
      <c r="A142" s="309"/>
      <c r="B142" s="309"/>
      <c r="C142" s="309"/>
      <c r="D142" s="309"/>
      <c r="E142" s="309"/>
      <c r="F142" s="309"/>
      <c r="G142" s="309"/>
      <c r="H142" s="309"/>
      <c r="I142" s="309"/>
      <c r="J142" s="309"/>
      <c r="K142" s="309"/>
      <c r="L142" s="309"/>
    </row>
    <row r="143" spans="1:12">
      <c r="A143" s="309"/>
      <c r="B143" s="309"/>
      <c r="C143" s="309"/>
      <c r="D143" s="309"/>
      <c r="E143" s="309"/>
      <c r="F143" s="309"/>
      <c r="G143" s="309"/>
      <c r="H143" s="309"/>
      <c r="I143" s="309"/>
      <c r="J143" s="309"/>
      <c r="K143" s="309"/>
      <c r="L143" s="309"/>
    </row>
    <row r="144" spans="1:12">
      <c r="A144" s="309"/>
      <c r="B144" s="309"/>
      <c r="C144" s="309"/>
      <c r="D144" s="309"/>
      <c r="E144" s="309"/>
      <c r="F144" s="309"/>
      <c r="G144" s="309"/>
      <c r="H144" s="309"/>
      <c r="I144" s="309"/>
      <c r="J144" s="309"/>
      <c r="K144" s="309"/>
      <c r="L144" s="309"/>
    </row>
    <row r="145" spans="1:12">
      <c r="A145" s="309"/>
      <c r="B145" s="309"/>
      <c r="C145" s="309"/>
      <c r="D145" s="309"/>
      <c r="E145" s="309"/>
      <c r="F145" s="309"/>
      <c r="G145" s="309"/>
      <c r="H145" s="309"/>
      <c r="I145" s="309"/>
      <c r="J145" s="309"/>
      <c r="K145" s="309"/>
      <c r="L145" s="309"/>
    </row>
    <row r="146" spans="1:12">
      <c r="A146" s="309"/>
      <c r="B146" s="309"/>
      <c r="C146" s="309"/>
      <c r="D146" s="309"/>
      <c r="E146" s="309"/>
      <c r="F146" s="309"/>
      <c r="G146" s="309"/>
      <c r="H146" s="309"/>
      <c r="I146" s="309"/>
      <c r="J146" s="309"/>
      <c r="K146" s="309"/>
      <c r="L146" s="309"/>
    </row>
    <row r="147" spans="1:12">
      <c r="A147" s="309"/>
      <c r="B147" s="309"/>
      <c r="C147" s="309"/>
      <c r="D147" s="309"/>
      <c r="E147" s="309"/>
      <c r="F147" s="309"/>
      <c r="G147" s="309"/>
      <c r="H147" s="309"/>
      <c r="I147" s="309"/>
      <c r="J147" s="309"/>
      <c r="K147" s="309"/>
      <c r="L147" s="309"/>
    </row>
    <row r="148" spans="1:12">
      <c r="A148" s="309"/>
      <c r="B148" s="309"/>
      <c r="C148" s="309"/>
      <c r="D148" s="309"/>
      <c r="E148" s="309"/>
      <c r="F148" s="309"/>
      <c r="G148" s="309"/>
      <c r="H148" s="309"/>
      <c r="I148" s="309"/>
      <c r="J148" s="309"/>
      <c r="K148" s="309"/>
      <c r="L148" s="309"/>
    </row>
    <row r="149" spans="1:12">
      <c r="A149" s="309"/>
      <c r="B149" s="309"/>
      <c r="C149" s="309"/>
      <c r="D149" s="309"/>
      <c r="E149" s="309"/>
      <c r="F149" s="309"/>
      <c r="G149" s="309"/>
      <c r="H149" s="309"/>
      <c r="I149" s="309"/>
      <c r="J149" s="309"/>
      <c r="K149" s="309"/>
      <c r="L149" s="309"/>
    </row>
    <row r="150" spans="1:12">
      <c r="A150" s="309"/>
      <c r="B150" s="309"/>
      <c r="C150" s="309"/>
      <c r="D150" s="309"/>
      <c r="E150" s="309"/>
      <c r="F150" s="309"/>
      <c r="G150" s="309"/>
      <c r="H150" s="309"/>
      <c r="I150" s="309"/>
      <c r="J150" s="309"/>
      <c r="K150" s="309"/>
      <c r="L150" s="309"/>
    </row>
    <row r="151" spans="1:12">
      <c r="A151" s="309"/>
      <c r="B151" s="309"/>
      <c r="C151" s="309"/>
      <c r="D151" s="309"/>
      <c r="E151" s="309"/>
      <c r="F151" s="309"/>
      <c r="G151" s="309"/>
      <c r="H151" s="309"/>
      <c r="I151" s="309"/>
      <c r="J151" s="309"/>
      <c r="K151" s="309"/>
      <c r="L151" s="309"/>
    </row>
    <row r="152" spans="1:12">
      <c r="A152" s="309"/>
      <c r="B152" s="309"/>
      <c r="C152" s="309"/>
      <c r="D152" s="309"/>
      <c r="E152" s="309"/>
      <c r="F152" s="309"/>
      <c r="G152" s="309"/>
      <c r="H152" s="309"/>
      <c r="I152" s="309"/>
      <c r="J152" s="309"/>
      <c r="K152" s="309"/>
      <c r="L152" s="309"/>
    </row>
    <row r="153" spans="1:12">
      <c r="A153" s="309"/>
      <c r="B153" s="309"/>
      <c r="C153" s="309"/>
      <c r="D153" s="309"/>
      <c r="E153" s="309"/>
      <c r="F153" s="309"/>
      <c r="G153" s="309"/>
      <c r="H153" s="309"/>
      <c r="I153" s="309"/>
      <c r="J153" s="309"/>
      <c r="K153" s="309"/>
      <c r="L153" s="309"/>
    </row>
    <row r="154" spans="1:12">
      <c r="A154" s="309"/>
      <c r="B154" s="309"/>
      <c r="C154" s="309"/>
      <c r="D154" s="309"/>
      <c r="E154" s="309"/>
      <c r="F154" s="309"/>
      <c r="G154" s="309"/>
      <c r="H154" s="309"/>
      <c r="I154" s="309"/>
      <c r="J154" s="309"/>
      <c r="K154" s="309"/>
      <c r="L154" s="309"/>
    </row>
    <row r="155" spans="1:12">
      <c r="A155" s="309"/>
      <c r="B155" s="309"/>
      <c r="C155" s="309"/>
      <c r="D155" s="309"/>
      <c r="E155" s="309"/>
      <c r="F155" s="309"/>
      <c r="G155" s="309"/>
      <c r="H155" s="309"/>
      <c r="I155" s="309"/>
      <c r="J155" s="309"/>
      <c r="K155" s="309"/>
      <c r="L155" s="309"/>
    </row>
    <row r="156" spans="1:12">
      <c r="A156" s="309"/>
      <c r="B156" s="309"/>
      <c r="C156" s="309"/>
      <c r="D156" s="309"/>
      <c r="E156" s="309"/>
      <c r="F156" s="309"/>
      <c r="G156" s="309"/>
      <c r="H156" s="309"/>
      <c r="I156" s="309"/>
      <c r="J156" s="309"/>
      <c r="K156" s="309"/>
      <c r="L156" s="309"/>
    </row>
    <row r="157" spans="1:12">
      <c r="A157" s="309"/>
      <c r="B157" s="309"/>
      <c r="C157" s="309"/>
      <c r="D157" s="309"/>
      <c r="E157" s="309"/>
      <c r="F157" s="309"/>
      <c r="G157" s="309"/>
      <c r="H157" s="309"/>
      <c r="I157" s="309"/>
      <c r="J157" s="309"/>
      <c r="K157" s="309"/>
      <c r="L157" s="309"/>
    </row>
    <row r="158" spans="1:12">
      <c r="A158" s="309"/>
      <c r="B158" s="309"/>
      <c r="C158" s="309"/>
      <c r="D158" s="309"/>
      <c r="E158" s="309"/>
      <c r="F158" s="309"/>
      <c r="G158" s="309"/>
      <c r="H158" s="309"/>
      <c r="I158" s="309"/>
      <c r="J158" s="309"/>
      <c r="K158" s="309"/>
      <c r="L158" s="309"/>
    </row>
    <row r="159" spans="1:12">
      <c r="A159" s="309"/>
      <c r="B159" s="309"/>
      <c r="C159" s="309"/>
      <c r="D159" s="309"/>
      <c r="E159" s="309"/>
      <c r="F159" s="309"/>
      <c r="G159" s="309"/>
      <c r="H159" s="309"/>
      <c r="I159" s="309"/>
      <c r="J159" s="309"/>
      <c r="K159" s="309"/>
      <c r="L159" s="309"/>
    </row>
    <row r="160" spans="1:12">
      <c r="A160" s="309"/>
      <c r="B160" s="309"/>
      <c r="C160" s="309"/>
      <c r="D160" s="309"/>
      <c r="E160" s="309"/>
      <c r="F160" s="309"/>
      <c r="G160" s="309"/>
      <c r="H160" s="309"/>
      <c r="I160" s="309"/>
      <c r="J160" s="309"/>
      <c r="K160" s="309"/>
      <c r="L160" s="309"/>
    </row>
    <row r="161" spans="1:12">
      <c r="A161" s="309"/>
      <c r="B161" s="309"/>
      <c r="C161" s="309"/>
      <c r="D161" s="309"/>
      <c r="E161" s="309"/>
      <c r="F161" s="309"/>
      <c r="G161" s="309"/>
      <c r="H161" s="309"/>
      <c r="I161" s="309"/>
      <c r="J161" s="309"/>
      <c r="K161" s="309"/>
      <c r="L161" s="309"/>
    </row>
    <row r="162" spans="1:12">
      <c r="A162" s="309"/>
      <c r="B162" s="309"/>
      <c r="C162" s="309"/>
      <c r="D162" s="309"/>
      <c r="E162" s="309"/>
      <c r="F162" s="309"/>
      <c r="G162" s="309"/>
      <c r="H162" s="309"/>
      <c r="I162" s="309"/>
      <c r="J162" s="309"/>
      <c r="K162" s="309"/>
      <c r="L162" s="309"/>
    </row>
    <row r="163" spans="1:12">
      <c r="A163" s="309"/>
      <c r="B163" s="309"/>
      <c r="C163" s="309"/>
      <c r="D163" s="309"/>
      <c r="E163" s="309"/>
      <c r="F163" s="309"/>
      <c r="G163" s="309"/>
      <c r="H163" s="309"/>
      <c r="I163" s="309"/>
      <c r="J163" s="309"/>
      <c r="K163" s="309"/>
      <c r="L163" s="309"/>
    </row>
    <row r="164" spans="1:12">
      <c r="A164" s="309"/>
      <c r="B164" s="309"/>
      <c r="C164" s="309"/>
      <c r="D164" s="309"/>
      <c r="E164" s="309"/>
      <c r="F164" s="309"/>
      <c r="G164" s="309"/>
      <c r="H164" s="309"/>
      <c r="I164" s="309"/>
      <c r="J164" s="309"/>
      <c r="K164" s="309"/>
      <c r="L164" s="309"/>
    </row>
    <row r="165" spans="1:12">
      <c r="A165" s="309"/>
      <c r="B165" s="309"/>
      <c r="C165" s="309"/>
      <c r="D165" s="309"/>
      <c r="E165" s="309"/>
      <c r="F165" s="309"/>
      <c r="G165" s="309"/>
      <c r="H165" s="309"/>
      <c r="I165" s="309"/>
      <c r="J165" s="309"/>
      <c r="K165" s="309"/>
      <c r="L165" s="309"/>
    </row>
    <row r="166" spans="1:12">
      <c r="A166" s="309"/>
      <c r="B166" s="309"/>
      <c r="C166" s="309"/>
      <c r="D166" s="309"/>
      <c r="E166" s="309"/>
      <c r="F166" s="309"/>
      <c r="G166" s="309"/>
      <c r="H166" s="309"/>
      <c r="I166" s="309"/>
      <c r="J166" s="309"/>
      <c r="K166" s="309"/>
      <c r="L166" s="309"/>
    </row>
    <row r="167" spans="1:12">
      <c r="A167" s="309"/>
      <c r="B167" s="309"/>
      <c r="C167" s="309"/>
      <c r="D167" s="309"/>
      <c r="E167" s="309"/>
      <c r="F167" s="309"/>
      <c r="G167" s="309"/>
      <c r="H167" s="309"/>
      <c r="I167" s="309"/>
      <c r="J167" s="309"/>
      <c r="K167" s="309"/>
      <c r="L167" s="309"/>
    </row>
    <row r="168" spans="1:12">
      <c r="A168" s="309"/>
      <c r="B168" s="309"/>
      <c r="C168" s="309"/>
      <c r="D168" s="309"/>
      <c r="E168" s="309"/>
      <c r="F168" s="309"/>
      <c r="G168" s="309"/>
      <c r="H168" s="309"/>
      <c r="I168" s="309"/>
      <c r="J168" s="309"/>
      <c r="K168" s="309"/>
      <c r="L168" s="309"/>
    </row>
    <row r="169" spans="1:12">
      <c r="A169" s="309"/>
      <c r="B169" s="309"/>
      <c r="C169" s="309"/>
      <c r="D169" s="309"/>
      <c r="E169" s="309"/>
      <c r="F169" s="309"/>
      <c r="G169" s="309"/>
      <c r="H169" s="309"/>
      <c r="I169" s="309"/>
      <c r="J169" s="309"/>
      <c r="K169" s="309"/>
      <c r="L169" s="309"/>
    </row>
    <row r="170" spans="1:12">
      <c r="A170" s="309"/>
      <c r="B170" s="309"/>
      <c r="C170" s="309"/>
      <c r="D170" s="309"/>
      <c r="E170" s="309"/>
      <c r="F170" s="309"/>
      <c r="G170" s="309"/>
      <c r="H170" s="309"/>
      <c r="I170" s="309"/>
      <c r="J170" s="309"/>
      <c r="K170" s="309"/>
      <c r="L170" s="309"/>
    </row>
    <row r="171" spans="1:12">
      <c r="A171" s="309"/>
      <c r="B171" s="309"/>
      <c r="C171" s="309"/>
      <c r="D171" s="309"/>
      <c r="E171" s="309"/>
      <c r="F171" s="309"/>
      <c r="G171" s="309"/>
      <c r="H171" s="309"/>
      <c r="I171" s="309"/>
      <c r="J171" s="309"/>
      <c r="K171" s="309"/>
      <c r="L171" s="309"/>
    </row>
    <row r="172" spans="1:12">
      <c r="A172" s="309"/>
      <c r="B172" s="309"/>
      <c r="C172" s="309"/>
      <c r="D172" s="309"/>
      <c r="E172" s="309"/>
      <c r="F172" s="309"/>
      <c r="G172" s="309"/>
      <c r="H172" s="309"/>
      <c r="I172" s="309"/>
      <c r="J172" s="309"/>
      <c r="K172" s="309"/>
      <c r="L172" s="309"/>
    </row>
    <row r="173" spans="1:12">
      <c r="A173" s="309"/>
      <c r="B173" s="309"/>
      <c r="C173" s="309"/>
      <c r="D173" s="309"/>
      <c r="E173" s="309"/>
      <c r="F173" s="309"/>
      <c r="G173" s="309"/>
      <c r="H173" s="309"/>
      <c r="I173" s="309"/>
      <c r="J173" s="309"/>
      <c r="K173" s="309"/>
      <c r="L173" s="309"/>
    </row>
    <row r="174" spans="1:12">
      <c r="A174" s="309"/>
      <c r="B174" s="309"/>
      <c r="C174" s="309"/>
      <c r="D174" s="309"/>
      <c r="E174" s="309"/>
      <c r="F174" s="309"/>
      <c r="G174" s="309"/>
      <c r="H174" s="309"/>
      <c r="I174" s="309"/>
      <c r="J174" s="309"/>
      <c r="K174" s="309"/>
      <c r="L174" s="309"/>
    </row>
    <row r="175" spans="1:12">
      <c r="A175" s="309"/>
      <c r="B175" s="309"/>
      <c r="C175" s="309"/>
      <c r="D175" s="309"/>
      <c r="E175" s="309"/>
      <c r="F175" s="309"/>
      <c r="G175" s="309"/>
      <c r="H175" s="309"/>
      <c r="I175" s="309"/>
      <c r="J175" s="309"/>
      <c r="K175" s="309"/>
      <c r="L175" s="309"/>
    </row>
    <row r="176" spans="1:12">
      <c r="A176" s="309"/>
      <c r="B176" s="309"/>
      <c r="C176" s="309"/>
      <c r="D176" s="309"/>
      <c r="E176" s="309"/>
      <c r="F176" s="309"/>
      <c r="G176" s="309"/>
      <c r="H176" s="309"/>
      <c r="I176" s="309"/>
      <c r="J176" s="309"/>
      <c r="K176" s="309"/>
      <c r="L176" s="309"/>
    </row>
    <row r="177" spans="1:12">
      <c r="A177" s="309"/>
      <c r="B177" s="309"/>
      <c r="C177" s="309"/>
      <c r="D177" s="309"/>
      <c r="E177" s="309"/>
      <c r="F177" s="309"/>
      <c r="G177" s="309"/>
      <c r="H177" s="309"/>
      <c r="I177" s="309"/>
      <c r="J177" s="309"/>
      <c r="K177" s="309"/>
      <c r="L177" s="309"/>
    </row>
    <row r="178" spans="1:12">
      <c r="A178" s="309"/>
      <c r="B178" s="309"/>
      <c r="C178" s="309"/>
      <c r="D178" s="309"/>
      <c r="E178" s="309"/>
      <c r="F178" s="309"/>
      <c r="G178" s="309"/>
      <c r="H178" s="309"/>
      <c r="I178" s="309"/>
      <c r="J178" s="309"/>
      <c r="K178" s="309"/>
      <c r="L178" s="309"/>
    </row>
    <row r="179" spans="1:12">
      <c r="A179" s="309"/>
      <c r="B179" s="309"/>
      <c r="C179" s="309"/>
      <c r="D179" s="309"/>
      <c r="E179" s="309"/>
      <c r="F179" s="309"/>
      <c r="G179" s="309"/>
      <c r="H179" s="309"/>
      <c r="I179" s="309"/>
      <c r="J179" s="309"/>
      <c r="K179" s="309"/>
      <c r="L179" s="309"/>
    </row>
    <row r="180" spans="1:12">
      <c r="A180" s="309"/>
      <c r="B180" s="309"/>
      <c r="C180" s="309"/>
      <c r="D180" s="309"/>
      <c r="E180" s="309"/>
      <c r="F180" s="309"/>
      <c r="G180" s="309"/>
      <c r="H180" s="309"/>
      <c r="I180" s="309"/>
      <c r="J180" s="309"/>
      <c r="K180" s="309"/>
      <c r="L180" s="309"/>
    </row>
    <row r="181" spans="1:12">
      <c r="A181" s="309"/>
      <c r="B181" s="309"/>
      <c r="C181" s="309"/>
      <c r="D181" s="309"/>
      <c r="E181" s="309"/>
      <c r="F181" s="309"/>
      <c r="G181" s="309"/>
      <c r="H181" s="309"/>
      <c r="I181" s="309"/>
      <c r="J181" s="309"/>
      <c r="K181" s="309"/>
      <c r="L181" s="309"/>
    </row>
    <row r="182" spans="1:12">
      <c r="A182" s="309"/>
      <c r="B182" s="309"/>
      <c r="C182" s="309"/>
      <c r="D182" s="309"/>
      <c r="E182" s="309"/>
      <c r="F182" s="309"/>
      <c r="G182" s="309"/>
      <c r="H182" s="309"/>
      <c r="I182" s="309"/>
      <c r="J182" s="309"/>
      <c r="K182" s="309"/>
      <c r="L182" s="309"/>
    </row>
    <row r="183" spans="1:12">
      <c r="A183" s="309"/>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5" spans="1:12">
      <c r="A185" s="309"/>
      <c r="B185" s="309"/>
      <c r="C185" s="309"/>
      <c r="D185" s="309"/>
      <c r="E185" s="309"/>
      <c r="F185" s="309"/>
      <c r="G185" s="309"/>
      <c r="H185" s="309"/>
      <c r="I185" s="309"/>
      <c r="J185" s="309"/>
      <c r="K185" s="309"/>
      <c r="L185" s="309"/>
    </row>
    <row r="186" spans="1:12">
      <c r="A186" s="309"/>
      <c r="B186" s="309"/>
      <c r="C186" s="309"/>
      <c r="D186" s="309"/>
      <c r="E186" s="309"/>
      <c r="F186" s="309"/>
      <c r="G186" s="309"/>
      <c r="H186" s="309"/>
      <c r="I186" s="309"/>
      <c r="J186" s="309"/>
      <c r="K186" s="309"/>
      <c r="L186" s="309"/>
    </row>
    <row r="187" spans="1:12">
      <c r="A187" s="309"/>
      <c r="B187" s="309"/>
      <c r="C187" s="309"/>
      <c r="D187" s="309"/>
      <c r="E187" s="309"/>
      <c r="F187" s="309"/>
      <c r="G187" s="309"/>
      <c r="H187" s="309"/>
      <c r="I187" s="309"/>
      <c r="J187" s="309"/>
      <c r="K187" s="309"/>
      <c r="L187" s="309"/>
    </row>
    <row r="188" spans="1:12">
      <c r="A188" s="309"/>
      <c r="B188" s="309"/>
      <c r="C188" s="309"/>
      <c r="D188" s="309"/>
      <c r="E188" s="309"/>
      <c r="F188" s="309"/>
      <c r="G188" s="309"/>
      <c r="H188" s="309"/>
      <c r="I188" s="309"/>
      <c r="J188" s="309"/>
      <c r="K188" s="309"/>
      <c r="L188" s="309"/>
    </row>
    <row r="189" spans="1:12">
      <c r="A189" s="309"/>
      <c r="B189" s="309"/>
      <c r="C189" s="309"/>
      <c r="D189" s="309"/>
      <c r="E189" s="309"/>
      <c r="F189" s="309"/>
      <c r="G189" s="309"/>
      <c r="H189" s="309"/>
      <c r="I189" s="309"/>
      <c r="J189" s="309"/>
      <c r="K189" s="309"/>
      <c r="L189" s="309"/>
    </row>
    <row r="190" spans="1:12">
      <c r="A190" s="309"/>
      <c r="B190" s="309"/>
      <c r="C190" s="309"/>
      <c r="D190" s="309"/>
      <c r="E190" s="309"/>
      <c r="F190" s="309"/>
      <c r="G190" s="309"/>
      <c r="H190" s="309"/>
      <c r="I190" s="309"/>
      <c r="J190" s="309"/>
      <c r="K190" s="309"/>
      <c r="L190" s="309"/>
    </row>
    <row r="191" spans="1:12">
      <c r="A191" s="309"/>
      <c r="B191" s="309"/>
      <c r="C191" s="309"/>
      <c r="D191" s="309"/>
      <c r="E191" s="309"/>
      <c r="F191" s="309"/>
      <c r="G191" s="309"/>
      <c r="H191" s="309"/>
      <c r="I191" s="309"/>
      <c r="J191" s="309"/>
      <c r="K191" s="309"/>
      <c r="L191" s="309"/>
    </row>
    <row r="192" spans="1:12">
      <c r="A192" s="309"/>
      <c r="B192" s="309"/>
      <c r="C192" s="309"/>
      <c r="D192" s="309"/>
      <c r="E192" s="309"/>
      <c r="F192" s="309"/>
      <c r="G192" s="309"/>
      <c r="H192" s="309"/>
      <c r="I192" s="309"/>
      <c r="J192" s="309"/>
      <c r="K192" s="309"/>
      <c r="L192" s="309"/>
    </row>
    <row r="193" spans="1:12">
      <c r="A193" s="309"/>
      <c r="B193" s="309"/>
      <c r="C193" s="309"/>
      <c r="D193" s="309"/>
      <c r="E193" s="309"/>
      <c r="F193" s="309"/>
      <c r="G193" s="309"/>
      <c r="H193" s="309"/>
      <c r="I193" s="309"/>
      <c r="J193" s="309"/>
      <c r="K193" s="309"/>
      <c r="L193" s="309"/>
    </row>
    <row r="194" spans="1:12">
      <c r="A194" s="309"/>
      <c r="B194" s="309"/>
      <c r="C194" s="309"/>
      <c r="D194" s="309"/>
      <c r="E194" s="309"/>
      <c r="F194" s="309"/>
      <c r="G194" s="309"/>
      <c r="H194" s="309"/>
      <c r="I194" s="309"/>
      <c r="J194" s="309"/>
      <c r="K194" s="309"/>
      <c r="L194" s="309"/>
    </row>
    <row r="195" spans="1:12">
      <c r="A195" s="309"/>
      <c r="B195" s="309"/>
      <c r="C195" s="309"/>
      <c r="D195" s="309"/>
      <c r="E195" s="309"/>
      <c r="F195" s="309"/>
      <c r="G195" s="309"/>
      <c r="H195" s="309"/>
      <c r="I195" s="309"/>
      <c r="J195" s="309"/>
      <c r="K195" s="309"/>
      <c r="L195" s="309"/>
    </row>
    <row r="196" spans="1:12">
      <c r="A196" s="309"/>
      <c r="B196" s="309"/>
      <c r="C196" s="309"/>
      <c r="D196" s="309"/>
      <c r="E196" s="309"/>
      <c r="F196" s="309"/>
      <c r="G196" s="309"/>
      <c r="H196" s="309"/>
      <c r="I196" s="309"/>
      <c r="J196" s="309"/>
      <c r="K196" s="309"/>
      <c r="L196" s="309"/>
    </row>
    <row r="197" spans="1:12">
      <c r="A197" s="309"/>
      <c r="B197" s="309"/>
      <c r="C197" s="309"/>
      <c r="D197" s="309"/>
      <c r="E197" s="309"/>
      <c r="F197" s="309"/>
      <c r="G197" s="309"/>
      <c r="H197" s="309"/>
      <c r="I197" s="309"/>
      <c r="J197" s="309"/>
      <c r="K197" s="309"/>
      <c r="L197" s="309"/>
    </row>
    <row r="198" spans="1:12">
      <c r="A198" s="309"/>
      <c r="B198" s="309"/>
      <c r="C198" s="309"/>
      <c r="D198" s="309"/>
      <c r="E198" s="309"/>
      <c r="F198" s="309"/>
      <c r="G198" s="309"/>
      <c r="H198" s="309"/>
      <c r="I198" s="309"/>
      <c r="J198" s="309"/>
      <c r="K198" s="309"/>
      <c r="L198" s="309"/>
    </row>
    <row r="199" spans="1:12">
      <c r="A199" s="309"/>
      <c r="B199" s="309"/>
      <c r="C199" s="309"/>
      <c r="D199" s="309"/>
      <c r="E199" s="309"/>
      <c r="F199" s="309"/>
      <c r="G199" s="309"/>
      <c r="H199" s="309"/>
      <c r="I199" s="309"/>
      <c r="J199" s="309"/>
      <c r="K199" s="309"/>
      <c r="L199" s="309"/>
    </row>
    <row r="200" spans="1:12">
      <c r="A200" s="309"/>
      <c r="B200" s="309"/>
      <c r="C200" s="309"/>
      <c r="D200" s="309"/>
      <c r="E200" s="309"/>
      <c r="F200" s="309"/>
      <c r="G200" s="309"/>
      <c r="H200" s="309"/>
      <c r="I200" s="309"/>
      <c r="J200" s="309"/>
      <c r="K200" s="309"/>
      <c r="L200" s="309"/>
    </row>
    <row r="201" spans="1:12">
      <c r="A201" s="309"/>
      <c r="B201" s="309"/>
      <c r="C201" s="309"/>
      <c r="D201" s="309"/>
      <c r="E201" s="309"/>
      <c r="F201" s="309"/>
      <c r="G201" s="309"/>
      <c r="H201" s="309"/>
      <c r="I201" s="309"/>
      <c r="J201" s="309"/>
      <c r="K201" s="309"/>
      <c r="L201" s="309"/>
    </row>
    <row r="202" spans="1:12">
      <c r="A202" s="309"/>
      <c r="B202" s="309"/>
      <c r="C202" s="309"/>
      <c r="D202" s="309"/>
      <c r="E202" s="309"/>
      <c r="F202" s="309"/>
      <c r="G202" s="309"/>
      <c r="H202" s="309"/>
      <c r="I202" s="309"/>
      <c r="J202" s="309"/>
      <c r="K202" s="309"/>
      <c r="L202" s="309"/>
    </row>
    <row r="203" spans="1:12">
      <c r="A203" s="309"/>
      <c r="B203" s="309"/>
      <c r="C203" s="309"/>
      <c r="D203" s="309"/>
      <c r="E203" s="309"/>
      <c r="F203" s="309"/>
      <c r="G203" s="309"/>
      <c r="H203" s="309"/>
      <c r="I203" s="309"/>
      <c r="J203" s="309"/>
      <c r="K203" s="309"/>
      <c r="L203" s="309"/>
    </row>
    <row r="204" spans="1:12">
      <c r="A204" s="309"/>
      <c r="B204" s="309"/>
      <c r="C204" s="309"/>
      <c r="D204" s="309"/>
      <c r="E204" s="309"/>
      <c r="F204" s="309"/>
      <c r="G204" s="309"/>
      <c r="H204" s="309"/>
      <c r="I204" s="309"/>
      <c r="J204" s="309"/>
      <c r="K204" s="309"/>
      <c r="L204" s="309"/>
    </row>
    <row r="205" spans="1:12">
      <c r="A205" s="309"/>
      <c r="B205" s="309"/>
      <c r="C205" s="309"/>
      <c r="D205" s="309"/>
      <c r="E205" s="309"/>
      <c r="F205" s="309"/>
      <c r="G205" s="309"/>
      <c r="H205" s="309"/>
      <c r="I205" s="309"/>
      <c r="J205" s="309"/>
      <c r="K205" s="309"/>
      <c r="L205" s="309"/>
    </row>
    <row r="206" spans="1:12">
      <c r="A206" s="309"/>
      <c r="B206" s="309"/>
      <c r="C206" s="309"/>
      <c r="D206" s="309"/>
      <c r="E206" s="309"/>
      <c r="F206" s="309"/>
      <c r="G206" s="309"/>
      <c r="H206" s="309"/>
      <c r="I206" s="309"/>
      <c r="J206" s="309"/>
      <c r="K206" s="309"/>
      <c r="L206" s="309"/>
    </row>
    <row r="207" spans="1:12">
      <c r="A207" s="309"/>
      <c r="B207" s="309"/>
      <c r="C207" s="309"/>
      <c r="D207" s="309"/>
      <c r="E207" s="309"/>
      <c r="F207" s="309"/>
      <c r="G207" s="309"/>
      <c r="H207" s="309"/>
      <c r="I207" s="309"/>
      <c r="J207" s="309"/>
      <c r="K207" s="309"/>
      <c r="L207" s="309"/>
    </row>
    <row r="208" spans="1:12">
      <c r="A208" s="309"/>
      <c r="B208" s="309"/>
      <c r="C208" s="309"/>
      <c r="D208" s="309"/>
      <c r="E208" s="309"/>
      <c r="F208" s="309"/>
      <c r="G208" s="309"/>
      <c r="H208" s="309"/>
      <c r="I208" s="309"/>
      <c r="J208" s="309"/>
      <c r="K208" s="309"/>
      <c r="L208" s="309"/>
    </row>
    <row r="209" spans="1:12">
      <c r="A209" s="309"/>
      <c r="B209" s="309"/>
      <c r="C209" s="309"/>
      <c r="D209" s="309"/>
      <c r="E209" s="309"/>
      <c r="F209" s="309"/>
      <c r="G209" s="309"/>
      <c r="H209" s="309"/>
      <c r="I209" s="309"/>
      <c r="J209" s="309"/>
      <c r="K209" s="309"/>
      <c r="L209" s="309"/>
    </row>
    <row r="210" spans="1:12">
      <c r="A210" s="309"/>
      <c r="B210" s="309"/>
      <c r="C210" s="309"/>
      <c r="D210" s="309"/>
      <c r="E210" s="309"/>
      <c r="F210" s="309"/>
      <c r="G210" s="309"/>
      <c r="H210" s="309"/>
      <c r="I210" s="309"/>
      <c r="J210" s="309"/>
      <c r="K210" s="309"/>
      <c r="L210" s="309"/>
    </row>
    <row r="211" spans="1:12">
      <c r="A211" s="309"/>
      <c r="B211" s="309"/>
      <c r="C211" s="309"/>
      <c r="D211" s="309"/>
      <c r="E211" s="309"/>
      <c r="F211" s="309"/>
      <c r="G211" s="309"/>
      <c r="H211" s="309"/>
      <c r="I211" s="309"/>
      <c r="J211" s="309"/>
      <c r="K211" s="309"/>
      <c r="L211" s="309"/>
    </row>
    <row r="212" spans="1:12">
      <c r="A212" s="309"/>
      <c r="B212" s="309"/>
      <c r="C212" s="309"/>
      <c r="D212" s="309"/>
      <c r="E212" s="309"/>
      <c r="F212" s="309"/>
      <c r="G212" s="309"/>
      <c r="H212" s="309"/>
      <c r="I212" s="309"/>
      <c r="J212" s="309"/>
      <c r="K212" s="309"/>
      <c r="L212" s="309"/>
    </row>
    <row r="213" spans="1:12">
      <c r="A213" s="309"/>
      <c r="B213" s="309"/>
      <c r="C213" s="309"/>
      <c r="D213" s="309"/>
      <c r="E213" s="309"/>
      <c r="F213" s="309"/>
      <c r="G213" s="309"/>
      <c r="H213" s="309"/>
      <c r="I213" s="309"/>
      <c r="J213" s="309"/>
      <c r="K213" s="309"/>
      <c r="L213" s="309"/>
    </row>
    <row r="214" spans="1:12">
      <c r="A214" s="309"/>
      <c r="B214" s="309"/>
      <c r="C214" s="309"/>
      <c r="D214" s="309"/>
      <c r="E214" s="309"/>
      <c r="F214" s="309"/>
      <c r="G214" s="309"/>
      <c r="H214" s="309"/>
      <c r="I214" s="309"/>
      <c r="J214" s="309"/>
      <c r="K214" s="309"/>
      <c r="L214" s="309"/>
    </row>
    <row r="215" spans="1:12">
      <c r="A215" s="309"/>
      <c r="B215" s="309"/>
      <c r="C215" s="309"/>
      <c r="D215" s="309"/>
      <c r="E215" s="309"/>
      <c r="F215" s="309"/>
      <c r="G215" s="309"/>
      <c r="H215" s="309"/>
      <c r="I215" s="309"/>
      <c r="J215" s="309"/>
      <c r="K215" s="309"/>
      <c r="L215" s="309"/>
    </row>
    <row r="216" spans="1:12">
      <c r="A216" s="309"/>
      <c r="B216" s="309"/>
      <c r="C216" s="309"/>
      <c r="D216" s="309"/>
      <c r="E216" s="309"/>
      <c r="F216" s="309"/>
      <c r="G216" s="309"/>
      <c r="H216" s="309"/>
      <c r="I216" s="309"/>
      <c r="J216" s="309"/>
      <c r="K216" s="309"/>
      <c r="L216" s="309"/>
    </row>
    <row r="217" spans="1:12">
      <c r="A217" s="309"/>
      <c r="B217" s="309"/>
      <c r="C217" s="309"/>
      <c r="D217" s="309"/>
      <c r="E217" s="309"/>
      <c r="F217" s="309"/>
      <c r="G217" s="309"/>
      <c r="H217" s="309"/>
      <c r="I217" s="309"/>
      <c r="J217" s="309"/>
      <c r="K217" s="309"/>
      <c r="L217" s="309"/>
    </row>
    <row r="218" spans="1:12">
      <c r="A218" s="309"/>
      <c r="B218" s="309"/>
      <c r="C218" s="309"/>
      <c r="D218" s="309"/>
      <c r="E218" s="309"/>
      <c r="F218" s="309"/>
      <c r="G218" s="309"/>
      <c r="H218" s="309"/>
      <c r="I218" s="309"/>
      <c r="J218" s="309"/>
      <c r="K218" s="309"/>
      <c r="L218" s="309"/>
    </row>
    <row r="219" spans="1:12">
      <c r="A219" s="309"/>
      <c r="B219" s="309"/>
      <c r="C219" s="309"/>
      <c r="D219" s="309"/>
      <c r="E219" s="309"/>
      <c r="F219" s="309"/>
      <c r="G219" s="309"/>
      <c r="H219" s="309"/>
      <c r="I219" s="309"/>
      <c r="J219" s="309"/>
      <c r="K219" s="309"/>
      <c r="L219" s="309"/>
    </row>
    <row r="220" spans="1:12">
      <c r="A220" s="309"/>
      <c r="B220" s="309"/>
      <c r="C220" s="309"/>
      <c r="D220" s="309"/>
      <c r="E220" s="309"/>
      <c r="F220" s="309"/>
      <c r="G220" s="309"/>
      <c r="H220" s="309"/>
      <c r="I220" s="309"/>
      <c r="J220" s="309"/>
      <c r="K220" s="309"/>
      <c r="L220" s="309"/>
    </row>
    <row r="221" spans="1:12">
      <c r="A221" s="309"/>
      <c r="B221" s="309"/>
      <c r="C221" s="309"/>
      <c r="D221" s="309"/>
      <c r="E221" s="309"/>
      <c r="F221" s="309"/>
      <c r="G221" s="309"/>
      <c r="H221" s="309"/>
      <c r="I221" s="309"/>
      <c r="J221" s="309"/>
      <c r="K221" s="309"/>
      <c r="L221" s="309"/>
    </row>
    <row r="222" spans="1:12">
      <c r="A222" s="309"/>
      <c r="B222" s="309"/>
      <c r="C222" s="309"/>
      <c r="D222" s="309"/>
      <c r="E222" s="309"/>
      <c r="F222" s="309"/>
      <c r="G222" s="309"/>
      <c r="H222" s="309"/>
      <c r="I222" s="309"/>
      <c r="J222" s="309"/>
      <c r="K222" s="309"/>
      <c r="L222" s="309"/>
    </row>
    <row r="223" spans="1:12">
      <c r="A223" s="309"/>
      <c r="B223" s="309"/>
      <c r="C223" s="309"/>
      <c r="D223" s="309"/>
      <c r="E223" s="309"/>
      <c r="F223" s="309"/>
      <c r="G223" s="309"/>
      <c r="H223" s="309"/>
      <c r="I223" s="309"/>
      <c r="J223" s="309"/>
      <c r="K223" s="309"/>
      <c r="L223" s="309"/>
    </row>
    <row r="224" spans="1:12">
      <c r="A224" s="309"/>
      <c r="B224" s="309"/>
      <c r="C224" s="309"/>
      <c r="D224" s="309"/>
      <c r="E224" s="309"/>
      <c r="F224" s="309"/>
      <c r="G224" s="309"/>
      <c r="H224" s="309"/>
      <c r="I224" s="309"/>
      <c r="J224" s="309"/>
      <c r="K224" s="309"/>
      <c r="L224" s="309"/>
    </row>
    <row r="225" spans="1:12">
      <c r="A225" s="309"/>
      <c r="B225" s="309"/>
      <c r="C225" s="309"/>
      <c r="D225" s="309"/>
      <c r="E225" s="309"/>
      <c r="F225" s="309"/>
      <c r="G225" s="309"/>
      <c r="H225" s="309"/>
      <c r="I225" s="309"/>
      <c r="J225" s="309"/>
      <c r="K225" s="309"/>
      <c r="L225" s="309"/>
    </row>
    <row r="226" spans="1:12">
      <c r="A226" s="309"/>
      <c r="B226" s="309"/>
      <c r="C226" s="309"/>
      <c r="D226" s="309"/>
      <c r="E226" s="309"/>
      <c r="F226" s="309"/>
      <c r="G226" s="309"/>
      <c r="H226" s="309"/>
      <c r="I226" s="309"/>
      <c r="J226" s="309"/>
      <c r="K226" s="309"/>
      <c r="L226" s="309"/>
    </row>
    <row r="227" spans="1:12">
      <c r="A227" s="309"/>
      <c r="B227" s="309"/>
      <c r="C227" s="309"/>
      <c r="D227" s="309"/>
      <c r="E227" s="309"/>
      <c r="F227" s="309"/>
      <c r="G227" s="309"/>
      <c r="H227" s="309"/>
      <c r="I227" s="309"/>
      <c r="J227" s="309"/>
      <c r="K227" s="309"/>
      <c r="L227" s="309"/>
    </row>
    <row r="228" spans="1:12">
      <c r="A228" s="309"/>
      <c r="B228" s="309"/>
      <c r="C228" s="309"/>
      <c r="D228" s="309"/>
      <c r="E228" s="309"/>
      <c r="F228" s="309"/>
      <c r="G228" s="309"/>
      <c r="H228" s="309"/>
      <c r="I228" s="309"/>
      <c r="J228" s="309"/>
      <c r="K228" s="309"/>
      <c r="L228" s="309"/>
    </row>
    <row r="229" spans="1:12">
      <c r="A229" s="309"/>
      <c r="B229" s="309"/>
      <c r="C229" s="309"/>
      <c r="D229" s="309"/>
      <c r="E229" s="309"/>
      <c r="F229" s="309"/>
      <c r="G229" s="309"/>
      <c r="H229" s="309"/>
      <c r="I229" s="309"/>
      <c r="J229" s="309"/>
      <c r="K229" s="309"/>
      <c r="L229" s="309"/>
    </row>
    <row r="230" spans="1:12">
      <c r="A230" s="309"/>
      <c r="B230" s="309"/>
      <c r="C230" s="309"/>
      <c r="D230" s="309"/>
      <c r="E230" s="309"/>
      <c r="F230" s="309"/>
      <c r="G230" s="309"/>
      <c r="H230" s="309"/>
      <c r="I230" s="309"/>
      <c r="J230" s="309"/>
      <c r="K230" s="309"/>
      <c r="L230" s="309"/>
    </row>
    <row r="231" spans="1:12">
      <c r="A231" s="309"/>
      <c r="B231" s="309"/>
      <c r="C231" s="309"/>
      <c r="D231" s="309"/>
      <c r="E231" s="309"/>
      <c r="F231" s="309"/>
      <c r="G231" s="309"/>
      <c r="H231" s="309"/>
      <c r="I231" s="309"/>
      <c r="J231" s="309"/>
      <c r="K231" s="309"/>
      <c r="L231"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31"/>
  <sheetViews>
    <sheetView showGridLines="0" workbookViewId="0"/>
  </sheetViews>
  <sheetFormatPr defaultRowHeight="12.75"/>
  <cols>
    <col min="2" max="2" width="45.7109375" customWidth="1"/>
    <col min="3" max="12"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6" customHeight="1">
      <c r="A5" s="1100" t="s">
        <v>1716</v>
      </c>
      <c r="B5" s="1100"/>
      <c r="C5" s="1100"/>
      <c r="D5" s="1100"/>
      <c r="E5" s="1100"/>
      <c r="F5" s="1100"/>
      <c r="G5" s="1100"/>
      <c r="H5" s="1100"/>
      <c r="I5" s="1100"/>
      <c r="J5" s="1100"/>
      <c r="K5" s="1100"/>
      <c r="L5" s="1100"/>
      <c r="M5" s="59"/>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SUM(A12:A1872)</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OUTPUTS_FOR_SECTION_2_OF_MODEL!B71</f>
        <v>Design &amp; Technology</v>
      </c>
      <c r="C15" s="307">
        <f>OUTPUTS_FOR_SECTION_2_OF_MODEL!E71</f>
        <v>1012.1564823549604</v>
      </c>
      <c r="D15" s="307">
        <f>OUTPUTS_FOR_SECTION_2_OF_MODEL!F71</f>
        <v>918.40314532993511</v>
      </c>
      <c r="E15" s="307">
        <f>OUTPUTS_FOR_SECTION_2_OF_MODEL!G71</f>
        <v>1109.0705573766031</v>
      </c>
      <c r="F15" s="307">
        <f>OUTPUTS_FOR_SECTION_2_OF_MODEL!H71</f>
        <v>1164.802208393276</v>
      </c>
      <c r="G15" s="307">
        <f>OUTPUTS_FOR_SECTION_2_OF_MODEL!I71</f>
        <v>1142.0498555740651</v>
      </c>
      <c r="H15" s="307">
        <f>OUTPUTS_FOR_SECTION_2_OF_MODEL!J71</f>
        <v>1162.780409032571</v>
      </c>
      <c r="I15" s="307">
        <f>OUTPUTS_FOR_SECTION_2_OF_MODEL!K71</f>
        <v>1093.2713559971535</v>
      </c>
      <c r="J15" s="307">
        <f>OUTPUTS_FOR_SECTION_2_OF_MODEL!L71</f>
        <v>1024.9326813218624</v>
      </c>
      <c r="K15" s="307">
        <f>OUTPUTS_FOR_SECTION_2_OF_MODEL!M71</f>
        <v>991.48896928915133</v>
      </c>
      <c r="L15" s="307">
        <f>OUTPUTS_FOR_SECTION_2_OF_MODEL!N71</f>
        <v>1034.7806866282249</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942.31768507246818</v>
      </c>
      <c r="D44" s="459">
        <f t="shared" si="4"/>
        <v>855.03332830216959</v>
      </c>
      <c r="E44" s="459">
        <f t="shared" si="4"/>
        <v>1032.5446889176176</v>
      </c>
      <c r="F44" s="459">
        <f t="shared" si="4"/>
        <v>1084.4308560141401</v>
      </c>
      <c r="G44" s="459">
        <f t="shared" si="4"/>
        <v>1063.2484155394548</v>
      </c>
      <c r="H44" s="459">
        <f t="shared" si="4"/>
        <v>1082.5485608093236</v>
      </c>
      <c r="I44" s="459">
        <f t="shared" si="4"/>
        <v>1017.8356324333499</v>
      </c>
      <c r="J44" s="459">
        <f t="shared" si="4"/>
        <v>954.21232631065402</v>
      </c>
      <c r="K44" s="459">
        <f t="shared" si="4"/>
        <v>923.07623040819999</v>
      </c>
      <c r="L44" s="459">
        <f t="shared" si="4"/>
        <v>963.38081925087738</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9.9708424347490148</v>
      </c>
      <c r="D57" s="459">
        <f t="shared" ref="D57:L57" si="7">D44/$J$50</f>
        <v>9.0472700746397638</v>
      </c>
      <c r="E57" s="459">
        <f t="shared" si="7"/>
        <v>10.925551502562266</v>
      </c>
      <c r="F57" s="459">
        <f t="shared" si="7"/>
        <v>11.474568893255405</v>
      </c>
      <c r="G57" s="459">
        <f t="shared" si="7"/>
        <v>11.25043346663408</v>
      </c>
      <c r="H57" s="459">
        <f t="shared" si="7"/>
        <v>11.4546519701198</v>
      </c>
      <c r="I57" s="459">
        <f t="shared" si="7"/>
        <v>10.769912181671057</v>
      </c>
      <c r="J57" s="459">
        <f t="shared" si="7"/>
        <v>10.096701893276208</v>
      </c>
      <c r="K57" s="459">
        <f t="shared" si="7"/>
        <v>9.7672449477104148</v>
      </c>
      <c r="L57" s="459">
        <f t="shared" si="7"/>
        <v>10.193715458785217</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9.9708424347490148</v>
      </c>
      <c r="D98" s="459">
        <f t="shared" ref="D98:L98" si="33">D57</f>
        <v>9.0472700746397638</v>
      </c>
      <c r="E98" s="459">
        <f t="shared" si="33"/>
        <v>10.925551502562266</v>
      </c>
      <c r="F98" s="459">
        <f t="shared" si="33"/>
        <v>11.474568893255405</v>
      </c>
      <c r="G98" s="459">
        <f t="shared" si="33"/>
        <v>11.25043346663408</v>
      </c>
      <c r="H98" s="459">
        <f t="shared" si="33"/>
        <v>11.4546519701198</v>
      </c>
      <c r="I98" s="459">
        <f t="shared" si="33"/>
        <v>10.769912181671057</v>
      </c>
      <c r="J98" s="459">
        <f t="shared" si="33"/>
        <v>10.096701893276208</v>
      </c>
      <c r="K98" s="459">
        <f t="shared" si="33"/>
        <v>9.7672449477104148</v>
      </c>
      <c r="L98" s="459">
        <f t="shared" si="33"/>
        <v>10.193715458785217</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849</v>
      </c>
      <c r="C103" s="459">
        <f t="shared" ref="C103:L103" si="35">C65*C$98</f>
        <v>147.15980570350442</v>
      </c>
      <c r="D103" s="459">
        <f t="shared" si="35"/>
        <v>133.52878806821013</v>
      </c>
      <c r="E103" s="459">
        <f t="shared" si="35"/>
        <v>161.25037045188904</v>
      </c>
      <c r="F103" s="459">
        <f t="shared" si="35"/>
        <v>169.35332595148429</v>
      </c>
      <c r="G103" s="459">
        <f t="shared" si="35"/>
        <v>166.04530799325079</v>
      </c>
      <c r="H103" s="459">
        <f t="shared" si="35"/>
        <v>169.05937179886095</v>
      </c>
      <c r="I103" s="459">
        <f t="shared" si="35"/>
        <v>158.95328749505137</v>
      </c>
      <c r="J103" s="459">
        <f t="shared" si="35"/>
        <v>149.01736724697656</v>
      </c>
      <c r="K103" s="459">
        <f t="shared" si="35"/>
        <v>144.15490748849453</v>
      </c>
      <c r="L103" s="459">
        <f t="shared" si="35"/>
        <v>150.44919184397907</v>
      </c>
    </row>
    <row r="104" spans="1:12">
      <c r="A104" s="309"/>
      <c r="B104" s="326" t="s">
        <v>850</v>
      </c>
      <c r="C104" s="459">
        <f t="shared" ref="C104:L104" si="36">C76*C$98</f>
        <v>349.14010167300609</v>
      </c>
      <c r="D104" s="459">
        <f t="shared" si="36"/>
        <v>316.80019159809183</v>
      </c>
      <c r="E104" s="459">
        <f t="shared" si="36"/>
        <v>382.57029808678084</v>
      </c>
      <c r="F104" s="459">
        <f t="shared" si="36"/>
        <v>401.79475067052846</v>
      </c>
      <c r="G104" s="459">
        <f t="shared" si="36"/>
        <v>393.94640022760399</v>
      </c>
      <c r="H104" s="459">
        <f t="shared" si="36"/>
        <v>401.09733752674589</v>
      </c>
      <c r="I104" s="459">
        <f t="shared" si="36"/>
        <v>377.12041472177083</v>
      </c>
      <c r="J104" s="459">
        <f t="shared" si="36"/>
        <v>353.54721014295353</v>
      </c>
      <c r="K104" s="459">
        <f t="shared" si="36"/>
        <v>342.01090995322795</v>
      </c>
      <c r="L104" s="459">
        <f t="shared" si="36"/>
        <v>356.94424768989467</v>
      </c>
    </row>
    <row r="105" spans="1:12">
      <c r="A105" s="309"/>
      <c r="B105" s="326" t="s">
        <v>851</v>
      </c>
      <c r="C105" s="459">
        <f t="shared" ref="C105:L105" si="37">C87*C$98</f>
        <v>500.78433609839101</v>
      </c>
      <c r="D105" s="459">
        <f t="shared" si="37"/>
        <v>454.39802779767444</v>
      </c>
      <c r="E105" s="459">
        <f t="shared" si="37"/>
        <v>548.73448171755683</v>
      </c>
      <c r="F105" s="459">
        <f t="shared" si="37"/>
        <v>576.30881270352779</v>
      </c>
      <c r="G105" s="459">
        <f t="shared" si="37"/>
        <v>565.05163844255321</v>
      </c>
      <c r="H105" s="459">
        <f t="shared" si="37"/>
        <v>575.30848768637316</v>
      </c>
      <c r="I105" s="459">
        <f t="shared" si="37"/>
        <v>540.91751595028347</v>
      </c>
      <c r="J105" s="459">
        <f t="shared" si="37"/>
        <v>507.10561193769075</v>
      </c>
      <c r="K105" s="459">
        <f t="shared" si="37"/>
        <v>490.55867732931904</v>
      </c>
      <c r="L105" s="459">
        <f t="shared" si="37"/>
        <v>511.97810634464798</v>
      </c>
    </row>
    <row r="106" spans="1:12">
      <c r="A106" s="309"/>
      <c r="B106" s="326" t="s">
        <v>8</v>
      </c>
      <c r="C106" s="459">
        <f>SUM(C103:C105)</f>
        <v>997.08424347490154</v>
      </c>
      <c r="D106" s="459">
        <f t="shared" ref="D106:L106" si="38">SUM(D103:D105)</f>
        <v>904.72700746397641</v>
      </c>
      <c r="E106" s="459">
        <f t="shared" si="38"/>
        <v>1092.5551502562266</v>
      </c>
      <c r="F106" s="459">
        <f t="shared" si="38"/>
        <v>1147.4568893255405</v>
      </c>
      <c r="G106" s="459">
        <f t="shared" si="38"/>
        <v>1125.0433466634081</v>
      </c>
      <c r="H106" s="459">
        <f t="shared" si="38"/>
        <v>1145.4651970119799</v>
      </c>
      <c r="I106" s="459">
        <f t="shared" si="38"/>
        <v>1076.9912181671057</v>
      </c>
      <c r="J106" s="459">
        <f t="shared" si="38"/>
        <v>1009.6701893276208</v>
      </c>
      <c r="K106" s="459">
        <f t="shared" si="38"/>
        <v>976.72449477104146</v>
      </c>
      <c r="L106" s="459">
        <f t="shared" si="38"/>
        <v>1019.3715458785217</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997.08424347490154</v>
      </c>
      <c r="D111" s="700">
        <f t="shared" ref="D111:L111" si="39">D106</f>
        <v>904.72700746397641</v>
      </c>
      <c r="E111" s="700">
        <f t="shared" si="39"/>
        <v>1092.5551502562266</v>
      </c>
      <c r="F111" s="700">
        <f t="shared" si="39"/>
        <v>1147.4568893255405</v>
      </c>
      <c r="G111" s="700">
        <f t="shared" si="39"/>
        <v>1125.0433466634081</v>
      </c>
      <c r="H111" s="700">
        <f t="shared" si="39"/>
        <v>1145.4651970119799</v>
      </c>
      <c r="I111" s="700">
        <f t="shared" si="39"/>
        <v>1076.9912181671057</v>
      </c>
      <c r="J111" s="700">
        <f t="shared" si="39"/>
        <v>1009.6701893276208</v>
      </c>
      <c r="K111" s="700">
        <f t="shared" si="39"/>
        <v>976.72449477104146</v>
      </c>
      <c r="L111" s="700">
        <f t="shared" si="39"/>
        <v>1019.3715458785217</v>
      </c>
    </row>
    <row r="112" spans="1:12">
      <c r="A112" s="309"/>
      <c r="B112" s="700" t="s">
        <v>804</v>
      </c>
      <c r="C112" s="700">
        <f t="shared" ref="C112:L112" si="40">((C67+C78+C89)/100)*C111</f>
        <v>143.36795393307131</v>
      </c>
      <c r="D112" s="700">
        <f t="shared" si="40"/>
        <v>130.08816534504373</v>
      </c>
      <c r="E112" s="700">
        <f t="shared" si="40"/>
        <v>157.09544853039026</v>
      </c>
      <c r="F112" s="700">
        <f t="shared" si="40"/>
        <v>164.98961599843031</v>
      </c>
      <c r="G112" s="700">
        <f t="shared" si="40"/>
        <v>161.76683540301875</v>
      </c>
      <c r="H112" s="700">
        <f t="shared" si="40"/>
        <v>164.70323613260845</v>
      </c>
      <c r="I112" s="700">
        <f t="shared" si="40"/>
        <v>154.85755427684745</v>
      </c>
      <c r="J112" s="700">
        <f t="shared" si="40"/>
        <v>145.17765187687621</v>
      </c>
      <c r="K112" s="700">
        <f t="shared" si="40"/>
        <v>140.44048262523953</v>
      </c>
      <c r="L112" s="700">
        <f t="shared" si="40"/>
        <v>146.57258279488028</v>
      </c>
    </row>
    <row r="113" spans="1:12">
      <c r="A113" s="309"/>
      <c r="B113" s="700" t="s">
        <v>805</v>
      </c>
      <c r="C113" s="700">
        <f t="shared" ref="C113:L113" si="41">((C66+C77+C88)/100)*C111</f>
        <v>853.71628954183018</v>
      </c>
      <c r="D113" s="700">
        <f t="shared" si="41"/>
        <v>774.63884211893264</v>
      </c>
      <c r="E113" s="700">
        <f t="shared" si="41"/>
        <v>935.45970172583634</v>
      </c>
      <c r="F113" s="700">
        <f t="shared" si="41"/>
        <v>982.46727332711009</v>
      </c>
      <c r="G113" s="700">
        <f t="shared" si="41"/>
        <v>963.27651126038927</v>
      </c>
      <c r="H113" s="700">
        <f t="shared" si="41"/>
        <v>980.76196087937137</v>
      </c>
      <c r="I113" s="700">
        <f t="shared" si="41"/>
        <v>922.13366389025816</v>
      </c>
      <c r="J113" s="700">
        <f t="shared" si="41"/>
        <v>864.49253745074463</v>
      </c>
      <c r="K113" s="700">
        <f t="shared" si="41"/>
        <v>836.28401214580185</v>
      </c>
      <c r="L113" s="700">
        <f t="shared" si="41"/>
        <v>872.79896308364141</v>
      </c>
    </row>
    <row r="114" spans="1:12">
      <c r="A114" s="309"/>
      <c r="B114" s="700" t="s">
        <v>799</v>
      </c>
      <c r="C114" s="700">
        <f>C112*$C$39</f>
        <v>88.601395530638072</v>
      </c>
      <c r="D114" s="700">
        <f t="shared" ref="D114:L114" si="42">D112*$C$39</f>
        <v>80.394486183237021</v>
      </c>
      <c r="E114" s="700">
        <f t="shared" si="42"/>
        <v>97.084987191781181</v>
      </c>
      <c r="F114" s="700">
        <f t="shared" si="42"/>
        <v>101.96358268702993</v>
      </c>
      <c r="G114" s="700">
        <f t="shared" si="42"/>
        <v>99.971904279065583</v>
      </c>
      <c r="H114" s="700">
        <f t="shared" si="42"/>
        <v>101.78659992995202</v>
      </c>
      <c r="I114" s="700">
        <f t="shared" si="42"/>
        <v>95.701968543091724</v>
      </c>
      <c r="J114" s="700">
        <f t="shared" si="42"/>
        <v>89.719788859909499</v>
      </c>
      <c r="K114" s="700">
        <f t="shared" si="42"/>
        <v>86.792218262398023</v>
      </c>
      <c r="L114" s="700">
        <f t="shared" si="42"/>
        <v>90.581856167236012</v>
      </c>
    </row>
    <row r="115" spans="1:12">
      <c r="A115" s="309"/>
      <c r="B115" s="700" t="s">
        <v>800</v>
      </c>
      <c r="C115" s="700">
        <f>C113</f>
        <v>853.71628954183018</v>
      </c>
      <c r="D115" s="700">
        <f t="shared" ref="D115:L115" si="43">D113</f>
        <v>774.63884211893264</v>
      </c>
      <c r="E115" s="700">
        <f t="shared" si="43"/>
        <v>935.45970172583634</v>
      </c>
      <c r="F115" s="700">
        <f t="shared" si="43"/>
        <v>982.46727332711009</v>
      </c>
      <c r="G115" s="700">
        <f t="shared" si="43"/>
        <v>963.27651126038927</v>
      </c>
      <c r="H115" s="700">
        <f t="shared" si="43"/>
        <v>980.76196087937137</v>
      </c>
      <c r="I115" s="700">
        <f t="shared" si="43"/>
        <v>922.13366389025816</v>
      </c>
      <c r="J115" s="700">
        <f t="shared" si="43"/>
        <v>864.49253745074463</v>
      </c>
      <c r="K115" s="700">
        <f t="shared" si="43"/>
        <v>836.28401214580185</v>
      </c>
      <c r="L115" s="700">
        <f t="shared" si="43"/>
        <v>872.79896308364141</v>
      </c>
    </row>
    <row r="116" spans="1:12">
      <c r="A116" s="309"/>
      <c r="B116" s="700" t="s">
        <v>724</v>
      </c>
      <c r="C116" s="700">
        <f>C115+C114</f>
        <v>942.31768507246829</v>
      </c>
      <c r="D116" s="700">
        <f t="shared" ref="D116:L116" si="44">D115+D114</f>
        <v>855.03332830216971</v>
      </c>
      <c r="E116" s="700">
        <f t="shared" si="44"/>
        <v>1032.5446889176176</v>
      </c>
      <c r="F116" s="700">
        <f t="shared" si="44"/>
        <v>1084.4308560141401</v>
      </c>
      <c r="G116" s="700">
        <f t="shared" si="44"/>
        <v>1063.2484155394548</v>
      </c>
      <c r="H116" s="700">
        <f t="shared" si="44"/>
        <v>1082.5485608093234</v>
      </c>
      <c r="I116" s="700">
        <f t="shared" si="44"/>
        <v>1017.8356324333499</v>
      </c>
      <c r="J116" s="700">
        <f t="shared" si="44"/>
        <v>954.21232631065413</v>
      </c>
      <c r="K116" s="700">
        <f t="shared" si="44"/>
        <v>923.07623040819988</v>
      </c>
      <c r="L116" s="700">
        <f t="shared" si="44"/>
        <v>963.38081925087738</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row r="133" spans="1:12">
      <c r="A133" s="309"/>
      <c r="B133" s="309"/>
      <c r="C133" s="309"/>
      <c r="D133" s="309"/>
      <c r="E133" s="309"/>
      <c r="F133" s="309"/>
      <c r="G133" s="309"/>
      <c r="H133" s="309"/>
      <c r="I133" s="309"/>
      <c r="J133" s="309"/>
      <c r="K133" s="309"/>
      <c r="L133" s="309"/>
    </row>
    <row r="134" spans="1:12">
      <c r="A134" s="309"/>
      <c r="B134" s="309"/>
      <c r="C134" s="309"/>
      <c r="D134" s="309"/>
      <c r="E134" s="309"/>
      <c r="F134" s="309"/>
      <c r="G134" s="309"/>
      <c r="H134" s="309"/>
      <c r="I134" s="309"/>
      <c r="J134" s="309"/>
      <c r="K134" s="309"/>
      <c r="L134" s="309"/>
    </row>
    <row r="135" spans="1:12">
      <c r="A135" s="309"/>
      <c r="B135" s="309"/>
      <c r="C135" s="309"/>
      <c r="D135" s="309"/>
      <c r="E135" s="309"/>
      <c r="F135" s="309"/>
      <c r="G135" s="309"/>
      <c r="H135" s="309"/>
      <c r="I135" s="309"/>
      <c r="J135" s="309"/>
      <c r="K135" s="309"/>
      <c r="L135" s="309"/>
    </row>
    <row r="136" spans="1:12">
      <c r="A136" s="309"/>
      <c r="B136" s="309"/>
      <c r="C136" s="309"/>
      <c r="D136" s="309"/>
      <c r="E136" s="309"/>
      <c r="F136" s="309"/>
      <c r="G136" s="309"/>
      <c r="H136" s="309"/>
      <c r="I136" s="309"/>
      <c r="J136" s="309"/>
      <c r="K136" s="309"/>
      <c r="L136" s="309"/>
    </row>
    <row r="137" spans="1:12">
      <c r="A137" s="309"/>
      <c r="B137" s="309"/>
      <c r="C137" s="309"/>
      <c r="D137" s="309"/>
      <c r="E137" s="309"/>
      <c r="F137" s="309"/>
      <c r="G137" s="309"/>
      <c r="H137" s="309"/>
      <c r="I137" s="309"/>
      <c r="J137" s="309"/>
      <c r="K137" s="309"/>
      <c r="L137" s="309"/>
    </row>
    <row r="138" spans="1:12">
      <c r="A138" s="309"/>
      <c r="B138" s="309"/>
      <c r="C138" s="309"/>
      <c r="D138" s="309"/>
      <c r="E138" s="309"/>
      <c r="F138" s="309"/>
      <c r="G138" s="309"/>
      <c r="H138" s="309"/>
      <c r="I138" s="309"/>
      <c r="J138" s="309"/>
      <c r="K138" s="309"/>
      <c r="L138" s="309"/>
    </row>
    <row r="139" spans="1:12">
      <c r="A139" s="309"/>
      <c r="B139" s="309"/>
      <c r="C139" s="309"/>
      <c r="D139" s="309"/>
      <c r="E139" s="309"/>
      <c r="F139" s="309"/>
      <c r="G139" s="309"/>
      <c r="H139" s="309"/>
      <c r="I139" s="309"/>
      <c r="J139" s="309"/>
      <c r="K139" s="309"/>
      <c r="L139" s="309"/>
    </row>
    <row r="140" spans="1:12">
      <c r="A140" s="309"/>
      <c r="B140" s="309"/>
      <c r="C140" s="309"/>
      <c r="D140" s="309"/>
      <c r="E140" s="309"/>
      <c r="F140" s="309"/>
      <c r="G140" s="309"/>
      <c r="H140" s="309"/>
      <c r="I140" s="309"/>
      <c r="J140" s="309"/>
      <c r="K140" s="309"/>
      <c r="L140" s="309"/>
    </row>
    <row r="141" spans="1:12">
      <c r="A141" s="309"/>
      <c r="B141" s="309"/>
      <c r="C141" s="309"/>
      <c r="D141" s="309"/>
      <c r="E141" s="309"/>
      <c r="F141" s="309"/>
      <c r="G141" s="309"/>
      <c r="H141" s="309"/>
      <c r="I141" s="309"/>
      <c r="J141" s="309"/>
      <c r="K141" s="309"/>
      <c r="L141" s="309"/>
    </row>
    <row r="142" spans="1:12">
      <c r="A142" s="309"/>
      <c r="B142" s="309"/>
      <c r="C142" s="309"/>
      <c r="D142" s="309"/>
      <c r="E142" s="309"/>
      <c r="F142" s="309"/>
      <c r="G142" s="309"/>
      <c r="H142" s="309"/>
      <c r="I142" s="309"/>
      <c r="J142" s="309"/>
      <c r="K142" s="309"/>
      <c r="L142" s="309"/>
    </row>
    <row r="143" spans="1:12">
      <c r="A143" s="309"/>
      <c r="B143" s="309"/>
      <c r="C143" s="309"/>
      <c r="D143" s="309"/>
      <c r="E143" s="309"/>
      <c r="F143" s="309"/>
      <c r="G143" s="309"/>
      <c r="H143" s="309"/>
      <c r="I143" s="309"/>
      <c r="J143" s="309"/>
      <c r="K143" s="309"/>
      <c r="L143" s="309"/>
    </row>
    <row r="144" spans="1:12">
      <c r="A144" s="309"/>
      <c r="B144" s="309"/>
      <c r="C144" s="309"/>
      <c r="D144" s="309"/>
      <c r="E144" s="309"/>
      <c r="F144" s="309"/>
      <c r="G144" s="309"/>
      <c r="H144" s="309"/>
      <c r="I144" s="309"/>
      <c r="J144" s="309"/>
      <c r="K144" s="309"/>
      <c r="L144" s="309"/>
    </row>
    <row r="145" spans="1:12">
      <c r="A145" s="309"/>
      <c r="B145" s="309"/>
      <c r="C145" s="309"/>
      <c r="D145" s="309"/>
      <c r="E145" s="309"/>
      <c r="F145" s="309"/>
      <c r="G145" s="309"/>
      <c r="H145" s="309"/>
      <c r="I145" s="309"/>
      <c r="J145" s="309"/>
      <c r="K145" s="309"/>
      <c r="L145" s="309"/>
    </row>
    <row r="146" spans="1:12">
      <c r="A146" s="309"/>
      <c r="B146" s="309"/>
      <c r="C146" s="309"/>
      <c r="D146" s="309"/>
      <c r="E146" s="309"/>
      <c r="F146" s="309"/>
      <c r="G146" s="309"/>
      <c r="H146" s="309"/>
      <c r="I146" s="309"/>
      <c r="J146" s="309"/>
      <c r="K146" s="309"/>
      <c r="L146" s="309"/>
    </row>
    <row r="147" spans="1:12">
      <c r="A147" s="309"/>
      <c r="B147" s="309"/>
      <c r="C147" s="309"/>
      <c r="D147" s="309"/>
      <c r="E147" s="309"/>
      <c r="F147" s="309"/>
      <c r="G147" s="309"/>
      <c r="H147" s="309"/>
      <c r="I147" s="309"/>
      <c r="J147" s="309"/>
      <c r="K147" s="309"/>
      <c r="L147" s="309"/>
    </row>
    <row r="148" spans="1:12">
      <c r="A148" s="309"/>
      <c r="B148" s="309"/>
      <c r="C148" s="309"/>
      <c r="D148" s="309"/>
      <c r="E148" s="309"/>
      <c r="F148" s="309"/>
      <c r="G148" s="309"/>
      <c r="H148" s="309"/>
      <c r="I148" s="309"/>
      <c r="J148" s="309"/>
      <c r="K148" s="309"/>
      <c r="L148" s="309"/>
    </row>
    <row r="149" spans="1:12">
      <c r="A149" s="309"/>
      <c r="B149" s="309"/>
      <c r="C149" s="309"/>
      <c r="D149" s="309"/>
      <c r="E149" s="309"/>
      <c r="F149" s="309"/>
      <c r="G149" s="309"/>
      <c r="H149" s="309"/>
      <c r="I149" s="309"/>
      <c r="J149" s="309"/>
      <c r="K149" s="309"/>
      <c r="L149" s="309"/>
    </row>
    <row r="150" spans="1:12">
      <c r="A150" s="309"/>
      <c r="B150" s="309"/>
      <c r="C150" s="309"/>
      <c r="D150" s="309"/>
      <c r="E150" s="309"/>
      <c r="F150" s="309"/>
      <c r="G150" s="309"/>
      <c r="H150" s="309"/>
      <c r="I150" s="309"/>
      <c r="J150" s="309"/>
      <c r="K150" s="309"/>
      <c r="L150" s="309"/>
    </row>
    <row r="151" spans="1:12">
      <c r="A151" s="309"/>
      <c r="B151" s="309"/>
      <c r="C151" s="309"/>
      <c r="D151" s="309"/>
      <c r="E151" s="309"/>
      <c r="F151" s="309"/>
      <c r="G151" s="309"/>
      <c r="H151" s="309"/>
      <c r="I151" s="309"/>
      <c r="J151" s="309"/>
      <c r="K151" s="309"/>
      <c r="L151" s="309"/>
    </row>
    <row r="152" spans="1:12">
      <c r="A152" s="309"/>
      <c r="B152" s="309"/>
      <c r="C152" s="309"/>
      <c r="D152" s="309"/>
      <c r="E152" s="309"/>
      <c r="F152" s="309"/>
      <c r="G152" s="309"/>
      <c r="H152" s="309"/>
      <c r="I152" s="309"/>
      <c r="J152" s="309"/>
      <c r="K152" s="309"/>
      <c r="L152" s="309"/>
    </row>
    <row r="153" spans="1:12">
      <c r="A153" s="309"/>
      <c r="B153" s="309"/>
      <c r="C153" s="309"/>
      <c r="D153" s="309"/>
      <c r="E153" s="309"/>
      <c r="F153" s="309"/>
      <c r="G153" s="309"/>
      <c r="H153" s="309"/>
      <c r="I153" s="309"/>
      <c r="J153" s="309"/>
      <c r="K153" s="309"/>
      <c r="L153" s="309"/>
    </row>
    <row r="154" spans="1:12">
      <c r="A154" s="309"/>
      <c r="B154" s="309"/>
      <c r="C154" s="309"/>
      <c r="D154" s="309"/>
      <c r="E154" s="309"/>
      <c r="F154" s="309"/>
      <c r="G154" s="309"/>
      <c r="H154" s="309"/>
      <c r="I154" s="309"/>
      <c r="J154" s="309"/>
      <c r="K154" s="309"/>
      <c r="L154" s="309"/>
    </row>
    <row r="155" spans="1:12">
      <c r="A155" s="309"/>
      <c r="B155" s="309"/>
      <c r="C155" s="309"/>
      <c r="D155" s="309"/>
      <c r="E155" s="309"/>
      <c r="F155" s="309"/>
      <c r="G155" s="309"/>
      <c r="H155" s="309"/>
      <c r="I155" s="309"/>
      <c r="J155" s="309"/>
      <c r="K155" s="309"/>
      <c r="L155" s="309"/>
    </row>
    <row r="156" spans="1:12">
      <c r="A156" s="309"/>
      <c r="B156" s="309"/>
      <c r="C156" s="309"/>
      <c r="D156" s="309"/>
      <c r="E156" s="309"/>
      <c r="F156" s="309"/>
      <c r="G156" s="309"/>
      <c r="H156" s="309"/>
      <c r="I156" s="309"/>
      <c r="J156" s="309"/>
      <c r="K156" s="309"/>
      <c r="L156" s="309"/>
    </row>
    <row r="157" spans="1:12">
      <c r="A157" s="309"/>
      <c r="B157" s="309"/>
      <c r="C157" s="309"/>
      <c r="D157" s="309"/>
      <c r="E157" s="309"/>
      <c r="F157" s="309"/>
      <c r="G157" s="309"/>
      <c r="H157" s="309"/>
      <c r="I157" s="309"/>
      <c r="J157" s="309"/>
      <c r="K157" s="309"/>
      <c r="L157" s="309"/>
    </row>
    <row r="158" spans="1:12">
      <c r="A158" s="309"/>
      <c r="B158" s="309"/>
      <c r="C158" s="309"/>
      <c r="D158" s="309"/>
      <c r="E158" s="309"/>
      <c r="F158" s="309"/>
      <c r="G158" s="309"/>
      <c r="H158" s="309"/>
      <c r="I158" s="309"/>
      <c r="J158" s="309"/>
      <c r="K158" s="309"/>
      <c r="L158" s="309"/>
    </row>
    <row r="159" spans="1:12">
      <c r="A159" s="309"/>
      <c r="B159" s="309"/>
      <c r="C159" s="309"/>
      <c r="D159" s="309"/>
      <c r="E159" s="309"/>
      <c r="F159" s="309"/>
      <c r="G159" s="309"/>
      <c r="H159" s="309"/>
      <c r="I159" s="309"/>
      <c r="J159" s="309"/>
      <c r="K159" s="309"/>
      <c r="L159" s="309"/>
    </row>
    <row r="160" spans="1:12">
      <c r="A160" s="309"/>
      <c r="B160" s="309"/>
      <c r="C160" s="309"/>
      <c r="D160" s="309"/>
      <c r="E160" s="309"/>
      <c r="F160" s="309"/>
      <c r="G160" s="309"/>
      <c r="H160" s="309"/>
      <c r="I160" s="309"/>
      <c r="J160" s="309"/>
      <c r="K160" s="309"/>
      <c r="L160" s="309"/>
    </row>
    <row r="161" spans="1:12">
      <c r="A161" s="309"/>
      <c r="B161" s="309"/>
      <c r="C161" s="309"/>
      <c r="D161" s="309"/>
      <c r="E161" s="309"/>
      <c r="F161" s="309"/>
      <c r="G161" s="309"/>
      <c r="H161" s="309"/>
      <c r="I161" s="309"/>
      <c r="J161" s="309"/>
      <c r="K161" s="309"/>
      <c r="L161" s="309"/>
    </row>
    <row r="162" spans="1:12">
      <c r="A162" s="309"/>
      <c r="B162" s="309"/>
      <c r="C162" s="309"/>
      <c r="D162" s="309"/>
      <c r="E162" s="309"/>
      <c r="F162" s="309"/>
      <c r="G162" s="309"/>
      <c r="H162" s="309"/>
      <c r="I162" s="309"/>
      <c r="J162" s="309"/>
      <c r="K162" s="309"/>
      <c r="L162" s="309"/>
    </row>
    <row r="163" spans="1:12">
      <c r="A163" s="309"/>
      <c r="B163" s="309"/>
      <c r="C163" s="309"/>
      <c r="D163" s="309"/>
      <c r="E163" s="309"/>
      <c r="F163" s="309"/>
      <c r="G163" s="309"/>
      <c r="H163" s="309"/>
      <c r="I163" s="309"/>
      <c r="J163" s="309"/>
      <c r="K163" s="309"/>
      <c r="L163" s="309"/>
    </row>
    <row r="164" spans="1:12">
      <c r="A164" s="309"/>
      <c r="B164" s="309"/>
      <c r="C164" s="309"/>
      <c r="D164" s="309"/>
      <c r="E164" s="309"/>
      <c r="F164" s="309"/>
      <c r="G164" s="309"/>
      <c r="H164" s="309"/>
      <c r="I164" s="309"/>
      <c r="J164" s="309"/>
      <c r="K164" s="309"/>
      <c r="L164" s="309"/>
    </row>
    <row r="165" spans="1:12">
      <c r="A165" s="309"/>
      <c r="B165" s="309"/>
      <c r="C165" s="309"/>
      <c r="D165" s="309"/>
      <c r="E165" s="309"/>
      <c r="F165" s="309"/>
      <c r="G165" s="309"/>
      <c r="H165" s="309"/>
      <c r="I165" s="309"/>
      <c r="J165" s="309"/>
      <c r="K165" s="309"/>
      <c r="L165" s="309"/>
    </row>
    <row r="166" spans="1:12">
      <c r="A166" s="309"/>
      <c r="B166" s="309"/>
      <c r="C166" s="309"/>
      <c r="D166" s="309"/>
      <c r="E166" s="309"/>
      <c r="F166" s="309"/>
      <c r="G166" s="309"/>
      <c r="H166" s="309"/>
      <c r="I166" s="309"/>
      <c r="J166" s="309"/>
      <c r="K166" s="309"/>
      <c r="L166" s="309"/>
    </row>
    <row r="167" spans="1:12">
      <c r="A167" s="309"/>
      <c r="B167" s="309"/>
      <c r="C167" s="309"/>
      <c r="D167" s="309"/>
      <c r="E167" s="309"/>
      <c r="F167" s="309"/>
      <c r="G167" s="309"/>
      <c r="H167" s="309"/>
      <c r="I167" s="309"/>
      <c r="J167" s="309"/>
      <c r="K167" s="309"/>
      <c r="L167" s="309"/>
    </row>
    <row r="168" spans="1:12">
      <c r="A168" s="309"/>
      <c r="B168" s="309"/>
      <c r="C168" s="309"/>
      <c r="D168" s="309"/>
      <c r="E168" s="309"/>
      <c r="F168" s="309"/>
      <c r="G168" s="309"/>
      <c r="H168" s="309"/>
      <c r="I168" s="309"/>
      <c r="J168" s="309"/>
      <c r="K168" s="309"/>
      <c r="L168" s="309"/>
    </row>
    <row r="169" spans="1:12">
      <c r="A169" s="309"/>
      <c r="B169" s="309"/>
      <c r="C169" s="309"/>
      <c r="D169" s="309"/>
      <c r="E169" s="309"/>
      <c r="F169" s="309"/>
      <c r="G169" s="309"/>
      <c r="H169" s="309"/>
      <c r="I169" s="309"/>
      <c r="J169" s="309"/>
      <c r="K169" s="309"/>
      <c r="L169" s="309"/>
    </row>
    <row r="170" spans="1:12">
      <c r="A170" s="309"/>
      <c r="B170" s="309"/>
      <c r="C170" s="309"/>
      <c r="D170" s="309"/>
      <c r="E170" s="309"/>
      <c r="F170" s="309"/>
      <c r="G170" s="309"/>
      <c r="H170" s="309"/>
      <c r="I170" s="309"/>
      <c r="J170" s="309"/>
      <c r="K170" s="309"/>
      <c r="L170" s="309"/>
    </row>
    <row r="171" spans="1:12">
      <c r="A171" s="309"/>
      <c r="B171" s="309"/>
      <c r="C171" s="309"/>
      <c r="D171" s="309"/>
      <c r="E171" s="309"/>
      <c r="F171" s="309"/>
      <c r="G171" s="309"/>
      <c r="H171" s="309"/>
      <c r="I171" s="309"/>
      <c r="J171" s="309"/>
      <c r="K171" s="309"/>
      <c r="L171" s="309"/>
    </row>
    <row r="172" spans="1:12">
      <c r="A172" s="309"/>
      <c r="B172" s="309"/>
      <c r="C172" s="309"/>
      <c r="D172" s="309"/>
      <c r="E172" s="309"/>
      <c r="F172" s="309"/>
      <c r="G172" s="309"/>
      <c r="H172" s="309"/>
      <c r="I172" s="309"/>
      <c r="J172" s="309"/>
      <c r="K172" s="309"/>
      <c r="L172" s="309"/>
    </row>
    <row r="173" spans="1:12">
      <c r="A173" s="309"/>
      <c r="B173" s="309"/>
      <c r="C173" s="309"/>
      <c r="D173" s="309"/>
      <c r="E173" s="309"/>
      <c r="F173" s="309"/>
      <c r="G173" s="309"/>
      <c r="H173" s="309"/>
      <c r="I173" s="309"/>
      <c r="J173" s="309"/>
      <c r="K173" s="309"/>
      <c r="L173" s="309"/>
    </row>
    <row r="174" spans="1:12">
      <c r="A174" s="309"/>
      <c r="B174" s="309"/>
      <c r="C174" s="309"/>
      <c r="D174" s="309"/>
      <c r="E174" s="309"/>
      <c r="F174" s="309"/>
      <c r="G174" s="309"/>
      <c r="H174" s="309"/>
      <c r="I174" s="309"/>
      <c r="J174" s="309"/>
      <c r="K174" s="309"/>
      <c r="L174" s="309"/>
    </row>
    <row r="175" spans="1:12">
      <c r="A175" s="309"/>
      <c r="B175" s="309"/>
      <c r="C175" s="309"/>
      <c r="D175" s="309"/>
      <c r="E175" s="309"/>
      <c r="F175" s="309"/>
      <c r="G175" s="309"/>
      <c r="H175" s="309"/>
      <c r="I175" s="309"/>
      <c r="J175" s="309"/>
      <c r="K175" s="309"/>
      <c r="L175" s="309"/>
    </row>
    <row r="176" spans="1:12">
      <c r="A176" s="309"/>
      <c r="B176" s="309"/>
      <c r="C176" s="309"/>
      <c r="D176" s="309"/>
      <c r="E176" s="309"/>
      <c r="F176" s="309"/>
      <c r="G176" s="309"/>
      <c r="H176" s="309"/>
      <c r="I176" s="309"/>
      <c r="J176" s="309"/>
      <c r="K176" s="309"/>
      <c r="L176" s="309"/>
    </row>
    <row r="177" spans="1:12">
      <c r="A177" s="309"/>
      <c r="B177" s="309"/>
      <c r="C177" s="309"/>
      <c r="D177" s="309"/>
      <c r="E177" s="309"/>
      <c r="F177" s="309"/>
      <c r="G177" s="309"/>
      <c r="H177" s="309"/>
      <c r="I177" s="309"/>
      <c r="J177" s="309"/>
      <c r="K177" s="309"/>
      <c r="L177" s="309"/>
    </row>
    <row r="178" spans="1:12">
      <c r="A178" s="309"/>
      <c r="B178" s="309"/>
      <c r="C178" s="309"/>
      <c r="D178" s="309"/>
      <c r="E178" s="309"/>
      <c r="F178" s="309"/>
      <c r="G178" s="309"/>
      <c r="H178" s="309"/>
      <c r="I178" s="309"/>
      <c r="J178" s="309"/>
      <c r="K178" s="309"/>
      <c r="L178" s="309"/>
    </row>
    <row r="179" spans="1:12">
      <c r="A179" s="309"/>
      <c r="B179" s="309"/>
      <c r="C179" s="309"/>
      <c r="D179" s="309"/>
      <c r="E179" s="309"/>
      <c r="F179" s="309"/>
      <c r="G179" s="309"/>
      <c r="H179" s="309"/>
      <c r="I179" s="309"/>
      <c r="J179" s="309"/>
      <c r="K179" s="309"/>
      <c r="L179" s="309"/>
    </row>
    <row r="180" spans="1:12">
      <c r="A180" s="309"/>
      <c r="B180" s="309"/>
      <c r="C180" s="309"/>
      <c r="D180" s="309"/>
      <c r="E180" s="309"/>
      <c r="F180" s="309"/>
      <c r="G180" s="309"/>
      <c r="H180" s="309"/>
      <c r="I180" s="309"/>
      <c r="J180" s="309"/>
      <c r="K180" s="309"/>
      <c r="L180" s="309"/>
    </row>
    <row r="181" spans="1:12">
      <c r="A181" s="309"/>
      <c r="B181" s="309"/>
      <c r="C181" s="309"/>
      <c r="D181" s="309"/>
      <c r="E181" s="309"/>
      <c r="F181" s="309"/>
      <c r="G181" s="309"/>
      <c r="H181" s="309"/>
      <c r="I181" s="309"/>
      <c r="J181" s="309"/>
      <c r="K181" s="309"/>
      <c r="L181" s="309"/>
    </row>
    <row r="182" spans="1:12">
      <c r="A182" s="309"/>
      <c r="B182" s="309"/>
      <c r="C182" s="309"/>
      <c r="D182" s="309"/>
      <c r="E182" s="309"/>
      <c r="F182" s="309"/>
      <c r="G182" s="309"/>
      <c r="H182" s="309"/>
      <c r="I182" s="309"/>
      <c r="J182" s="309"/>
      <c r="K182" s="309"/>
      <c r="L182" s="309"/>
    </row>
    <row r="183" spans="1:12">
      <c r="A183" s="309"/>
      <c r="B183" s="309"/>
      <c r="C183" s="309"/>
      <c r="D183" s="309"/>
      <c r="E183" s="309"/>
      <c r="F183" s="309"/>
      <c r="G183" s="309"/>
      <c r="H183" s="309"/>
      <c r="I183" s="309"/>
      <c r="J183" s="309"/>
      <c r="K183" s="309"/>
      <c r="L183" s="309"/>
    </row>
    <row r="184" spans="1:12">
      <c r="A184" s="309"/>
      <c r="B184" s="309"/>
      <c r="C184" s="309"/>
      <c r="D184" s="309"/>
      <c r="E184" s="309"/>
      <c r="F184" s="309"/>
      <c r="G184" s="309"/>
      <c r="H184" s="309"/>
      <c r="I184" s="309"/>
      <c r="J184" s="309"/>
      <c r="K184" s="309"/>
      <c r="L184" s="309"/>
    </row>
    <row r="185" spans="1:12">
      <c r="A185" s="309"/>
      <c r="B185" s="309"/>
      <c r="C185" s="309"/>
      <c r="D185" s="309"/>
      <c r="E185" s="309"/>
      <c r="F185" s="309"/>
      <c r="G185" s="309"/>
      <c r="H185" s="309"/>
      <c r="I185" s="309"/>
      <c r="J185" s="309"/>
      <c r="K185" s="309"/>
      <c r="L185" s="309"/>
    </row>
    <row r="186" spans="1:12">
      <c r="A186" s="309"/>
      <c r="B186" s="309"/>
      <c r="C186" s="309"/>
      <c r="D186" s="309"/>
      <c r="E186" s="309"/>
      <c r="F186" s="309"/>
      <c r="G186" s="309"/>
      <c r="H186" s="309"/>
      <c r="I186" s="309"/>
      <c r="J186" s="309"/>
      <c r="K186" s="309"/>
      <c r="L186" s="309"/>
    </row>
    <row r="187" spans="1:12">
      <c r="A187" s="309"/>
      <c r="B187" s="309"/>
      <c r="C187" s="309"/>
      <c r="D187" s="309"/>
      <c r="E187" s="309"/>
      <c r="F187" s="309"/>
      <c r="G187" s="309"/>
      <c r="H187" s="309"/>
      <c r="I187" s="309"/>
      <c r="J187" s="309"/>
      <c r="K187" s="309"/>
      <c r="L187" s="309"/>
    </row>
    <row r="188" spans="1:12">
      <c r="A188" s="309"/>
      <c r="B188" s="309"/>
      <c r="C188" s="309"/>
      <c r="D188" s="309"/>
      <c r="E188" s="309"/>
      <c r="F188" s="309"/>
      <c r="G188" s="309"/>
      <c r="H188" s="309"/>
      <c r="I188" s="309"/>
      <c r="J188" s="309"/>
      <c r="K188" s="309"/>
      <c r="L188" s="309"/>
    </row>
    <row r="189" spans="1:12">
      <c r="A189" s="309"/>
      <c r="B189" s="309"/>
      <c r="C189" s="309"/>
      <c r="D189" s="309"/>
      <c r="E189" s="309"/>
      <c r="F189" s="309"/>
      <c r="G189" s="309"/>
      <c r="H189" s="309"/>
      <c r="I189" s="309"/>
      <c r="J189" s="309"/>
      <c r="K189" s="309"/>
      <c r="L189" s="309"/>
    </row>
    <row r="190" spans="1:12">
      <c r="A190" s="309"/>
      <c r="B190" s="309"/>
      <c r="C190" s="309"/>
      <c r="D190" s="309"/>
      <c r="E190" s="309"/>
      <c r="F190" s="309"/>
      <c r="G190" s="309"/>
      <c r="H190" s="309"/>
      <c r="I190" s="309"/>
      <c r="J190" s="309"/>
      <c r="K190" s="309"/>
      <c r="L190" s="309"/>
    </row>
    <row r="191" spans="1:12">
      <c r="A191" s="309"/>
      <c r="B191" s="309"/>
      <c r="C191" s="309"/>
      <c r="D191" s="309"/>
      <c r="E191" s="309"/>
      <c r="F191" s="309"/>
      <c r="G191" s="309"/>
      <c r="H191" s="309"/>
      <c r="I191" s="309"/>
      <c r="J191" s="309"/>
      <c r="K191" s="309"/>
      <c r="L191" s="309"/>
    </row>
    <row r="192" spans="1:12">
      <c r="A192" s="309"/>
      <c r="B192" s="309"/>
      <c r="C192" s="309"/>
      <c r="D192" s="309"/>
      <c r="E192" s="309"/>
      <c r="F192" s="309"/>
      <c r="G192" s="309"/>
      <c r="H192" s="309"/>
      <c r="I192" s="309"/>
      <c r="J192" s="309"/>
      <c r="K192" s="309"/>
      <c r="L192" s="309"/>
    </row>
    <row r="193" spans="1:12">
      <c r="A193" s="309"/>
      <c r="B193" s="309"/>
      <c r="C193" s="309"/>
      <c r="D193" s="309"/>
      <c r="E193" s="309"/>
      <c r="F193" s="309"/>
      <c r="G193" s="309"/>
      <c r="H193" s="309"/>
      <c r="I193" s="309"/>
      <c r="J193" s="309"/>
      <c r="K193" s="309"/>
      <c r="L193" s="309"/>
    </row>
    <row r="194" spans="1:12">
      <c r="A194" s="309"/>
      <c r="B194" s="309"/>
      <c r="C194" s="309"/>
      <c r="D194" s="309"/>
      <c r="E194" s="309"/>
      <c r="F194" s="309"/>
      <c r="G194" s="309"/>
      <c r="H194" s="309"/>
      <c r="I194" s="309"/>
      <c r="J194" s="309"/>
      <c r="K194" s="309"/>
      <c r="L194" s="309"/>
    </row>
    <row r="195" spans="1:12">
      <c r="A195" s="309"/>
      <c r="B195" s="309"/>
      <c r="C195" s="309"/>
      <c r="D195" s="309"/>
      <c r="E195" s="309"/>
      <c r="F195" s="309"/>
      <c r="G195" s="309"/>
      <c r="H195" s="309"/>
      <c r="I195" s="309"/>
      <c r="J195" s="309"/>
      <c r="K195" s="309"/>
      <c r="L195" s="309"/>
    </row>
    <row r="196" spans="1:12">
      <c r="A196" s="309"/>
      <c r="B196" s="309"/>
      <c r="C196" s="309"/>
      <c r="D196" s="309"/>
      <c r="E196" s="309"/>
      <c r="F196" s="309"/>
      <c r="G196" s="309"/>
      <c r="H196" s="309"/>
      <c r="I196" s="309"/>
      <c r="J196" s="309"/>
      <c r="K196" s="309"/>
      <c r="L196" s="309"/>
    </row>
    <row r="197" spans="1:12">
      <c r="A197" s="309"/>
      <c r="B197" s="309"/>
      <c r="C197" s="309"/>
      <c r="D197" s="309"/>
      <c r="E197" s="309"/>
      <c r="F197" s="309"/>
      <c r="G197" s="309"/>
      <c r="H197" s="309"/>
      <c r="I197" s="309"/>
      <c r="J197" s="309"/>
      <c r="K197" s="309"/>
      <c r="L197" s="309"/>
    </row>
    <row r="198" spans="1:12">
      <c r="A198" s="309"/>
      <c r="B198" s="309"/>
      <c r="C198" s="309"/>
      <c r="D198" s="309"/>
      <c r="E198" s="309"/>
      <c r="F198" s="309"/>
      <c r="G198" s="309"/>
      <c r="H198" s="309"/>
      <c r="I198" s="309"/>
      <c r="J198" s="309"/>
      <c r="K198" s="309"/>
      <c r="L198" s="309"/>
    </row>
    <row r="199" spans="1:12">
      <c r="A199" s="309"/>
      <c r="B199" s="309"/>
      <c r="C199" s="309"/>
      <c r="D199" s="309"/>
      <c r="E199" s="309"/>
      <c r="F199" s="309"/>
      <c r="G199" s="309"/>
      <c r="H199" s="309"/>
      <c r="I199" s="309"/>
      <c r="J199" s="309"/>
      <c r="K199" s="309"/>
      <c r="L199" s="309"/>
    </row>
    <row r="200" spans="1:12">
      <c r="A200" s="309"/>
      <c r="B200" s="309"/>
      <c r="C200" s="309"/>
      <c r="D200" s="309"/>
      <c r="E200" s="309"/>
      <c r="F200" s="309"/>
      <c r="G200" s="309"/>
      <c r="H200" s="309"/>
      <c r="I200" s="309"/>
      <c r="J200" s="309"/>
      <c r="K200" s="309"/>
      <c r="L200" s="309"/>
    </row>
    <row r="201" spans="1:12">
      <c r="A201" s="309"/>
      <c r="B201" s="309"/>
      <c r="C201" s="309"/>
      <c r="D201" s="309"/>
      <c r="E201" s="309"/>
      <c r="F201" s="309"/>
      <c r="G201" s="309"/>
      <c r="H201" s="309"/>
      <c r="I201" s="309"/>
      <c r="J201" s="309"/>
      <c r="K201" s="309"/>
      <c r="L201" s="309"/>
    </row>
    <row r="202" spans="1:12">
      <c r="A202" s="309"/>
      <c r="B202" s="309"/>
      <c r="C202" s="309"/>
      <c r="D202" s="309"/>
      <c r="E202" s="309"/>
      <c r="F202" s="309"/>
      <c r="G202" s="309"/>
      <c r="H202" s="309"/>
      <c r="I202" s="309"/>
      <c r="J202" s="309"/>
      <c r="K202" s="309"/>
      <c r="L202" s="309"/>
    </row>
    <row r="203" spans="1:12">
      <c r="A203" s="309"/>
      <c r="B203" s="309"/>
      <c r="C203" s="309"/>
      <c r="D203" s="309"/>
      <c r="E203" s="309"/>
      <c r="F203" s="309"/>
      <c r="G203" s="309"/>
      <c r="H203" s="309"/>
      <c r="I203" s="309"/>
      <c r="J203" s="309"/>
      <c r="K203" s="309"/>
      <c r="L203" s="309"/>
    </row>
    <row r="204" spans="1:12">
      <c r="A204" s="309"/>
      <c r="B204" s="309"/>
      <c r="C204" s="309"/>
      <c r="D204" s="309"/>
      <c r="E204" s="309"/>
      <c r="F204" s="309"/>
      <c r="G204" s="309"/>
      <c r="H204" s="309"/>
      <c r="I204" s="309"/>
      <c r="J204" s="309"/>
      <c r="K204" s="309"/>
      <c r="L204" s="309"/>
    </row>
    <row r="205" spans="1:12">
      <c r="A205" s="309"/>
      <c r="B205" s="309"/>
      <c r="C205" s="309"/>
      <c r="D205" s="309"/>
      <c r="E205" s="309"/>
      <c r="F205" s="309"/>
      <c r="G205" s="309"/>
      <c r="H205" s="309"/>
      <c r="I205" s="309"/>
      <c r="J205" s="309"/>
      <c r="K205" s="309"/>
      <c r="L205" s="309"/>
    </row>
    <row r="206" spans="1:12">
      <c r="A206" s="309"/>
      <c r="B206" s="309"/>
      <c r="C206" s="309"/>
      <c r="D206" s="309"/>
      <c r="E206" s="309"/>
      <c r="F206" s="309"/>
      <c r="G206" s="309"/>
      <c r="H206" s="309"/>
      <c r="I206" s="309"/>
      <c r="J206" s="309"/>
      <c r="K206" s="309"/>
      <c r="L206" s="309"/>
    </row>
    <row r="207" spans="1:12">
      <c r="A207" s="309"/>
      <c r="B207" s="309"/>
      <c r="C207" s="309"/>
      <c r="D207" s="309"/>
      <c r="E207" s="309"/>
      <c r="F207" s="309"/>
      <c r="G207" s="309"/>
      <c r="H207" s="309"/>
      <c r="I207" s="309"/>
      <c r="J207" s="309"/>
      <c r="K207" s="309"/>
      <c r="L207" s="309"/>
    </row>
    <row r="208" spans="1:12">
      <c r="A208" s="309"/>
      <c r="B208" s="309"/>
      <c r="C208" s="309"/>
      <c r="D208" s="309"/>
      <c r="E208" s="309"/>
      <c r="F208" s="309"/>
      <c r="G208" s="309"/>
      <c r="H208" s="309"/>
      <c r="I208" s="309"/>
      <c r="J208" s="309"/>
      <c r="K208" s="309"/>
      <c r="L208" s="309"/>
    </row>
    <row r="209" spans="1:12">
      <c r="A209" s="309"/>
      <c r="B209" s="309"/>
      <c r="C209" s="309"/>
      <c r="D209" s="309"/>
      <c r="E209" s="309"/>
      <c r="F209" s="309"/>
      <c r="G209" s="309"/>
      <c r="H209" s="309"/>
      <c r="I209" s="309"/>
      <c r="J209" s="309"/>
      <c r="K209" s="309"/>
      <c r="L209" s="309"/>
    </row>
    <row r="210" spans="1:12">
      <c r="A210" s="309"/>
      <c r="B210" s="309"/>
      <c r="C210" s="309"/>
      <c r="D210" s="309"/>
      <c r="E210" s="309"/>
      <c r="F210" s="309"/>
      <c r="G210" s="309"/>
      <c r="H210" s="309"/>
      <c r="I210" s="309"/>
      <c r="J210" s="309"/>
      <c r="K210" s="309"/>
      <c r="L210" s="309"/>
    </row>
    <row r="211" spans="1:12">
      <c r="A211" s="309"/>
      <c r="B211" s="309"/>
      <c r="C211" s="309"/>
      <c r="D211" s="309"/>
      <c r="E211" s="309"/>
      <c r="F211" s="309"/>
      <c r="G211" s="309"/>
      <c r="H211" s="309"/>
      <c r="I211" s="309"/>
      <c r="J211" s="309"/>
      <c r="K211" s="309"/>
      <c r="L211" s="309"/>
    </row>
    <row r="212" spans="1:12">
      <c r="A212" s="309"/>
      <c r="B212" s="309"/>
      <c r="C212" s="309"/>
      <c r="D212" s="309"/>
      <c r="E212" s="309"/>
      <c r="F212" s="309"/>
      <c r="G212" s="309"/>
      <c r="H212" s="309"/>
      <c r="I212" s="309"/>
      <c r="J212" s="309"/>
      <c r="K212" s="309"/>
      <c r="L212" s="309"/>
    </row>
    <row r="213" spans="1:12">
      <c r="A213" s="309"/>
      <c r="B213" s="309"/>
      <c r="C213" s="309"/>
      <c r="D213" s="309"/>
      <c r="E213" s="309"/>
      <c r="F213" s="309"/>
      <c r="G213" s="309"/>
      <c r="H213" s="309"/>
      <c r="I213" s="309"/>
      <c r="J213" s="309"/>
      <c r="K213" s="309"/>
      <c r="L213" s="309"/>
    </row>
    <row r="214" spans="1:12">
      <c r="A214" s="309"/>
      <c r="B214" s="309"/>
      <c r="C214" s="309"/>
      <c r="D214" s="309"/>
      <c r="E214" s="309"/>
      <c r="F214" s="309"/>
      <c r="G214" s="309"/>
      <c r="H214" s="309"/>
      <c r="I214" s="309"/>
      <c r="J214" s="309"/>
      <c r="K214" s="309"/>
      <c r="L214" s="309"/>
    </row>
    <row r="215" spans="1:12">
      <c r="A215" s="309"/>
      <c r="B215" s="309"/>
      <c r="C215" s="309"/>
      <c r="D215" s="309"/>
      <c r="E215" s="309"/>
      <c r="F215" s="309"/>
      <c r="G215" s="309"/>
      <c r="H215" s="309"/>
      <c r="I215" s="309"/>
      <c r="J215" s="309"/>
      <c r="K215" s="309"/>
      <c r="L215" s="309"/>
    </row>
    <row r="216" spans="1:12">
      <c r="A216" s="309"/>
      <c r="B216" s="309"/>
      <c r="C216" s="309"/>
      <c r="D216" s="309"/>
      <c r="E216" s="309"/>
      <c r="F216" s="309"/>
      <c r="G216" s="309"/>
      <c r="H216" s="309"/>
      <c r="I216" s="309"/>
      <c r="J216" s="309"/>
      <c r="K216" s="309"/>
      <c r="L216" s="309"/>
    </row>
    <row r="217" spans="1:12">
      <c r="A217" s="309"/>
      <c r="B217" s="309"/>
      <c r="C217" s="309"/>
      <c r="D217" s="309"/>
      <c r="E217" s="309"/>
      <c r="F217" s="309"/>
      <c r="G217" s="309"/>
      <c r="H217" s="309"/>
      <c r="I217" s="309"/>
      <c r="J217" s="309"/>
      <c r="K217" s="309"/>
      <c r="L217" s="309"/>
    </row>
    <row r="218" spans="1:12">
      <c r="A218" s="309"/>
      <c r="B218" s="309"/>
      <c r="C218" s="309"/>
      <c r="D218" s="309"/>
      <c r="E218" s="309"/>
      <c r="F218" s="309"/>
      <c r="G218" s="309"/>
      <c r="H218" s="309"/>
      <c r="I218" s="309"/>
      <c r="J218" s="309"/>
      <c r="K218" s="309"/>
      <c r="L218" s="309"/>
    </row>
    <row r="219" spans="1:12">
      <c r="A219" s="309"/>
      <c r="B219" s="309"/>
      <c r="C219" s="309"/>
      <c r="D219" s="309"/>
      <c r="E219" s="309"/>
      <c r="F219" s="309"/>
      <c r="G219" s="309"/>
      <c r="H219" s="309"/>
      <c r="I219" s="309"/>
      <c r="J219" s="309"/>
      <c r="K219" s="309"/>
      <c r="L219" s="309"/>
    </row>
    <row r="220" spans="1:12">
      <c r="A220" s="309"/>
      <c r="B220" s="309"/>
      <c r="C220" s="309"/>
      <c r="D220" s="309"/>
      <c r="E220" s="309"/>
      <c r="F220" s="309"/>
      <c r="G220" s="309"/>
      <c r="H220" s="309"/>
      <c r="I220" s="309"/>
      <c r="J220" s="309"/>
      <c r="K220" s="309"/>
      <c r="L220" s="309"/>
    </row>
    <row r="221" spans="1:12">
      <c r="A221" s="309"/>
      <c r="B221" s="309"/>
      <c r="C221" s="309"/>
      <c r="D221" s="309"/>
      <c r="E221" s="309"/>
      <c r="F221" s="309"/>
      <c r="G221" s="309"/>
      <c r="H221" s="309"/>
      <c r="I221" s="309"/>
      <c r="J221" s="309"/>
      <c r="K221" s="309"/>
      <c r="L221" s="309"/>
    </row>
    <row r="222" spans="1:12">
      <c r="A222" s="309"/>
      <c r="B222" s="309"/>
      <c r="C222" s="309"/>
      <c r="D222" s="309"/>
      <c r="E222" s="309"/>
      <c r="F222" s="309"/>
      <c r="G222" s="309"/>
      <c r="H222" s="309"/>
      <c r="I222" s="309"/>
      <c r="J222" s="309"/>
      <c r="K222" s="309"/>
      <c r="L222" s="309"/>
    </row>
    <row r="223" spans="1:12">
      <c r="A223" s="309"/>
      <c r="B223" s="309"/>
      <c r="C223" s="309"/>
      <c r="D223" s="309"/>
      <c r="E223" s="309"/>
      <c r="F223" s="309"/>
      <c r="G223" s="309"/>
      <c r="H223" s="309"/>
      <c r="I223" s="309"/>
      <c r="J223" s="309"/>
      <c r="K223" s="309"/>
      <c r="L223" s="309"/>
    </row>
    <row r="224" spans="1:12">
      <c r="A224" s="309"/>
      <c r="B224" s="309"/>
      <c r="C224" s="309"/>
      <c r="D224" s="309"/>
      <c r="E224" s="309"/>
      <c r="F224" s="309"/>
      <c r="G224" s="309"/>
      <c r="H224" s="309"/>
      <c r="I224" s="309"/>
      <c r="J224" s="309"/>
      <c r="K224" s="309"/>
      <c r="L224" s="309"/>
    </row>
    <row r="225" spans="1:12">
      <c r="A225" s="309"/>
      <c r="B225" s="309"/>
      <c r="C225" s="309"/>
      <c r="D225" s="309"/>
      <c r="E225" s="309"/>
      <c r="F225" s="309"/>
      <c r="G225" s="309"/>
      <c r="H225" s="309"/>
      <c r="I225" s="309"/>
      <c r="J225" s="309"/>
      <c r="K225" s="309"/>
      <c r="L225" s="309"/>
    </row>
    <row r="226" spans="1:12">
      <c r="A226" s="309"/>
      <c r="B226" s="309"/>
      <c r="C226" s="309"/>
      <c r="D226" s="309"/>
      <c r="E226" s="309"/>
      <c r="F226" s="309"/>
      <c r="G226" s="309"/>
      <c r="H226" s="309"/>
      <c r="I226" s="309"/>
      <c r="J226" s="309"/>
      <c r="K226" s="309"/>
      <c r="L226" s="309"/>
    </row>
    <row r="227" spans="1:12">
      <c r="A227" s="309"/>
      <c r="B227" s="309"/>
      <c r="C227" s="309"/>
      <c r="D227" s="309"/>
      <c r="E227" s="309"/>
      <c r="F227" s="309"/>
      <c r="G227" s="309"/>
      <c r="H227" s="309"/>
      <c r="I227" s="309"/>
      <c r="J227" s="309"/>
      <c r="K227" s="309"/>
      <c r="L227" s="309"/>
    </row>
    <row r="228" spans="1:12">
      <c r="A228" s="309"/>
      <c r="B228" s="309"/>
      <c r="C228" s="309"/>
      <c r="D228" s="309"/>
      <c r="E228" s="309"/>
      <c r="F228" s="309"/>
      <c r="G228" s="309"/>
      <c r="H228" s="309"/>
      <c r="I228" s="309"/>
      <c r="J228" s="309"/>
      <c r="K228" s="309"/>
      <c r="L228" s="309"/>
    </row>
    <row r="229" spans="1:12">
      <c r="A229" s="309"/>
      <c r="B229" s="309"/>
      <c r="C229" s="309"/>
      <c r="D229" s="309"/>
      <c r="E229" s="309"/>
      <c r="F229" s="309"/>
      <c r="G229" s="309"/>
      <c r="H229" s="309"/>
      <c r="I229" s="309"/>
      <c r="J229" s="309"/>
      <c r="K229" s="309"/>
      <c r="L229" s="309"/>
    </row>
    <row r="230" spans="1:12">
      <c r="A230" s="309"/>
      <c r="B230" s="309"/>
      <c r="C230" s="309"/>
      <c r="D230" s="309"/>
      <c r="E230" s="309"/>
      <c r="F230" s="309"/>
      <c r="G230" s="309"/>
      <c r="H230" s="309"/>
      <c r="I230" s="309"/>
      <c r="J230" s="309"/>
      <c r="K230" s="309"/>
      <c r="L230" s="309"/>
    </row>
    <row r="231" spans="1:12">
      <c r="A231" s="309"/>
      <c r="B231" s="309"/>
      <c r="C231" s="309"/>
      <c r="D231" s="309"/>
      <c r="E231" s="309"/>
      <c r="F231" s="309"/>
      <c r="G231" s="309"/>
      <c r="H231" s="309"/>
      <c r="I231" s="309"/>
      <c r="J231" s="309"/>
      <c r="K231" s="309"/>
      <c r="L231" s="309"/>
    </row>
  </sheetData>
  <mergeCells count="4">
    <mergeCell ref="D17:L18"/>
    <mergeCell ref="B46:L47"/>
    <mergeCell ref="J50:J52"/>
    <mergeCell ref="A5:L5"/>
  </mergeCells>
  <hyperlinks>
    <hyperlink ref="A2" location="'Title_&amp;_Contents'!A1" display="Contents"/>
    <hyperlink ref="B2" location="Map_of_sheets!A1" display="Map of sheets"/>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9.45" customHeight="1">
      <c r="A5" s="1100" t="s">
        <v>1717</v>
      </c>
      <c r="B5" s="1100"/>
      <c r="C5" s="1100"/>
      <c r="D5" s="1100"/>
      <c r="E5" s="1100"/>
      <c r="F5" s="1100"/>
      <c r="G5" s="1100"/>
      <c r="H5" s="1100"/>
      <c r="I5" s="1100"/>
      <c r="J5" s="1100"/>
      <c r="K5" s="1100"/>
      <c r="L5" s="1100"/>
      <c r="M5" s="59"/>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SUM(A12:A1858)</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OUTPUTS_FOR_SECTION_2_OF_MODEL!B72</f>
        <v>Drama</v>
      </c>
      <c r="C15" s="307">
        <f>OUTPUTS_FOR_SECTION_2_OF_MODEL!E72</f>
        <v>524.0947653422545</v>
      </c>
      <c r="D15" s="307">
        <f>OUTPUTS_FOR_SECTION_2_OF_MODEL!F72</f>
        <v>506.27762177873194</v>
      </c>
      <c r="E15" s="307">
        <f>OUTPUTS_FOR_SECTION_2_OF_MODEL!G72</f>
        <v>502.59427234489328</v>
      </c>
      <c r="F15" s="307">
        <f>OUTPUTS_FOR_SECTION_2_OF_MODEL!H72</f>
        <v>542.0105294600877</v>
      </c>
      <c r="G15" s="307">
        <f>OUTPUTS_FOR_SECTION_2_OF_MODEL!I72</f>
        <v>545.64501769486344</v>
      </c>
      <c r="H15" s="307">
        <f>OUTPUTS_FOR_SECTION_2_OF_MODEL!J72</f>
        <v>558.07417897334494</v>
      </c>
      <c r="I15" s="307">
        <f>OUTPUTS_FOR_SECTION_2_OF_MODEL!K72</f>
        <v>535.94832354417588</v>
      </c>
      <c r="J15" s="307">
        <f>OUTPUTS_FOR_SECTION_2_OF_MODEL!L72</f>
        <v>515.54095619313125</v>
      </c>
      <c r="K15" s="307">
        <f>OUTPUTS_FOR_SECTION_2_OF_MODEL!M72</f>
        <v>506.49020975013286</v>
      </c>
      <c r="L15" s="307">
        <f>OUTPUTS_FOR_SECTION_2_OF_MODEL!N72</f>
        <v>522.93864569563834</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487.93222653363898</v>
      </c>
      <c r="D44" s="459">
        <f t="shared" si="4"/>
        <v>471.34446587599945</v>
      </c>
      <c r="E44" s="459">
        <f t="shared" si="4"/>
        <v>467.91526755309565</v>
      </c>
      <c r="F44" s="459">
        <f t="shared" si="4"/>
        <v>504.61180292734167</v>
      </c>
      <c r="G44" s="459">
        <f t="shared" si="4"/>
        <v>507.99551147391787</v>
      </c>
      <c r="H44" s="459">
        <f t="shared" si="4"/>
        <v>519.56706062418414</v>
      </c>
      <c r="I44" s="459">
        <f t="shared" si="4"/>
        <v>498.96788921962775</v>
      </c>
      <c r="J44" s="459">
        <f t="shared" si="4"/>
        <v>479.96863021580521</v>
      </c>
      <c r="K44" s="459">
        <f t="shared" si="4"/>
        <v>471.54238527737374</v>
      </c>
      <c r="L44" s="459">
        <f t="shared" si="4"/>
        <v>486.85587914263931</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5.162903579835743</v>
      </c>
      <c r="D57" s="459">
        <f t="shared" ref="D57:L57" si="7">D44/$J$50</f>
        <v>4.9873853331948208</v>
      </c>
      <c r="E57" s="459">
        <f t="shared" si="7"/>
        <v>4.951100334306628</v>
      </c>
      <c r="F57" s="459">
        <f t="shared" si="7"/>
        <v>5.3393933462218834</v>
      </c>
      <c r="G57" s="459">
        <f t="shared" si="7"/>
        <v>5.3751970091452117</v>
      </c>
      <c r="H57" s="459">
        <f t="shared" si="7"/>
        <v>5.4976377689133837</v>
      </c>
      <c r="I57" s="459">
        <f t="shared" si="7"/>
        <v>5.2796740231248034</v>
      </c>
      <c r="J57" s="459">
        <f t="shared" si="7"/>
        <v>5.0786392543784942</v>
      </c>
      <c r="K57" s="459">
        <f t="shared" si="7"/>
        <v>4.9894795559788614</v>
      </c>
      <c r="L57" s="459">
        <f t="shared" si="7"/>
        <v>5.1515145436213956</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5.162903579835743</v>
      </c>
      <c r="D98" s="459">
        <f t="shared" ref="D98:L98" si="33">D57</f>
        <v>4.9873853331948208</v>
      </c>
      <c r="E98" s="459">
        <f t="shared" si="33"/>
        <v>4.951100334306628</v>
      </c>
      <c r="F98" s="459">
        <f t="shared" si="33"/>
        <v>5.3393933462218834</v>
      </c>
      <c r="G98" s="459">
        <f t="shared" si="33"/>
        <v>5.3751970091452117</v>
      </c>
      <c r="H98" s="459">
        <f t="shared" si="33"/>
        <v>5.4976377689133837</v>
      </c>
      <c r="I98" s="459">
        <f t="shared" si="33"/>
        <v>5.2796740231248034</v>
      </c>
      <c r="J98" s="459">
        <f t="shared" si="33"/>
        <v>5.0786392543784942</v>
      </c>
      <c r="K98" s="459">
        <f t="shared" si="33"/>
        <v>4.9894795559788614</v>
      </c>
      <c r="L98" s="459">
        <f t="shared" si="33"/>
        <v>5.1515145436213956</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852</v>
      </c>
      <c r="C103" s="459">
        <f t="shared" ref="C103:L103" si="35">C65*C$98</f>
        <v>76.199367570658055</v>
      </c>
      <c r="D103" s="459">
        <f t="shared" si="35"/>
        <v>73.608891265157396</v>
      </c>
      <c r="E103" s="459">
        <f t="shared" si="35"/>
        <v>73.073360449052117</v>
      </c>
      <c r="F103" s="459">
        <f t="shared" si="35"/>
        <v>78.804182549934694</v>
      </c>
      <c r="G103" s="459">
        <f t="shared" si="35"/>
        <v>79.332609321669494</v>
      </c>
      <c r="H103" s="459">
        <f t="shared" si="35"/>
        <v>81.139714241398096</v>
      </c>
      <c r="I103" s="459">
        <f t="shared" si="35"/>
        <v>77.922784208598614</v>
      </c>
      <c r="J103" s="459">
        <f t="shared" si="35"/>
        <v>74.955709189415401</v>
      </c>
      <c r="K103" s="459">
        <f t="shared" si="35"/>
        <v>73.639799929095886</v>
      </c>
      <c r="L103" s="459">
        <f t="shared" si="35"/>
        <v>76.031276622734495</v>
      </c>
    </row>
    <row r="104" spans="1:12">
      <c r="A104" s="309"/>
      <c r="B104" s="326" t="s">
        <v>854</v>
      </c>
      <c r="C104" s="459">
        <f t="shared" ref="C104:L104" si="36">C76*C$98</f>
        <v>180.78479251759961</v>
      </c>
      <c r="D104" s="459">
        <f t="shared" si="36"/>
        <v>174.63882652939856</v>
      </c>
      <c r="E104" s="459">
        <f t="shared" si="36"/>
        <v>173.36826706725341</v>
      </c>
      <c r="F104" s="459">
        <f t="shared" si="36"/>
        <v>186.96477734672035</v>
      </c>
      <c r="G104" s="459">
        <f t="shared" si="36"/>
        <v>188.21848229643973</v>
      </c>
      <c r="H104" s="459">
        <f t="shared" si="36"/>
        <v>192.5058812393211</v>
      </c>
      <c r="I104" s="459">
        <f t="shared" si="36"/>
        <v>184.87363904276995</v>
      </c>
      <c r="J104" s="459">
        <f t="shared" si="36"/>
        <v>177.83418374506297</v>
      </c>
      <c r="K104" s="459">
        <f t="shared" si="36"/>
        <v>174.71215806186743</v>
      </c>
      <c r="L104" s="459">
        <f t="shared" si="36"/>
        <v>180.38599278850381</v>
      </c>
    </row>
    <row r="105" spans="1:12">
      <c r="A105" s="309"/>
      <c r="B105" s="326" t="s">
        <v>853</v>
      </c>
      <c r="C105" s="459">
        <f t="shared" ref="C105:L105" si="37">C87*C$98</f>
        <v>259.30619789531664</v>
      </c>
      <c r="D105" s="459">
        <f t="shared" si="37"/>
        <v>250.49081552492615</v>
      </c>
      <c r="E105" s="459">
        <f t="shared" si="37"/>
        <v>248.66840591435727</v>
      </c>
      <c r="F105" s="459">
        <f t="shared" si="37"/>
        <v>268.17037472553329</v>
      </c>
      <c r="G105" s="459">
        <f t="shared" si="37"/>
        <v>269.96860929641196</v>
      </c>
      <c r="H105" s="459">
        <f t="shared" si="37"/>
        <v>276.11818141061917</v>
      </c>
      <c r="I105" s="459">
        <f t="shared" si="37"/>
        <v>265.17097906111178</v>
      </c>
      <c r="J105" s="459">
        <f t="shared" si="37"/>
        <v>255.07403250337106</v>
      </c>
      <c r="K105" s="459">
        <f t="shared" si="37"/>
        <v>250.59599760692285</v>
      </c>
      <c r="L105" s="459">
        <f t="shared" si="37"/>
        <v>258.73418495090129</v>
      </c>
    </row>
    <row r="106" spans="1:12">
      <c r="A106" s="309"/>
      <c r="B106" s="326" t="s">
        <v>8</v>
      </c>
      <c r="C106" s="459">
        <f>SUM(C103:C105)</f>
        <v>516.29035798357427</v>
      </c>
      <c r="D106" s="459">
        <f t="shared" ref="D106:L106" si="38">SUM(D103:D105)</f>
        <v>498.73853331948214</v>
      </c>
      <c r="E106" s="459">
        <f t="shared" si="38"/>
        <v>495.11003343066278</v>
      </c>
      <c r="F106" s="459">
        <f t="shared" si="38"/>
        <v>533.93933462218831</v>
      </c>
      <c r="G106" s="459">
        <f t="shared" si="38"/>
        <v>537.5197009145212</v>
      </c>
      <c r="H106" s="459">
        <f t="shared" si="38"/>
        <v>549.76377689133835</v>
      </c>
      <c r="I106" s="459">
        <f t="shared" si="38"/>
        <v>527.96740231248032</v>
      </c>
      <c r="J106" s="459">
        <f t="shared" si="38"/>
        <v>507.86392543784939</v>
      </c>
      <c r="K106" s="459">
        <f t="shared" si="38"/>
        <v>498.94795559788616</v>
      </c>
      <c r="L106" s="459">
        <f t="shared" si="38"/>
        <v>515.15145436213959</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516.29035798357427</v>
      </c>
      <c r="D111" s="700">
        <f t="shared" ref="D111:L111" si="39">D106</f>
        <v>498.73853331948214</v>
      </c>
      <c r="E111" s="700">
        <f t="shared" si="39"/>
        <v>495.11003343066278</v>
      </c>
      <c r="F111" s="700">
        <f t="shared" si="39"/>
        <v>533.93933462218831</v>
      </c>
      <c r="G111" s="700">
        <f t="shared" si="39"/>
        <v>537.5197009145212</v>
      </c>
      <c r="H111" s="700">
        <f t="shared" si="39"/>
        <v>549.76377689133835</v>
      </c>
      <c r="I111" s="700">
        <f t="shared" si="39"/>
        <v>527.96740231248032</v>
      </c>
      <c r="J111" s="700">
        <f t="shared" si="39"/>
        <v>507.86392543784939</v>
      </c>
      <c r="K111" s="700">
        <f t="shared" si="39"/>
        <v>498.94795559788616</v>
      </c>
      <c r="L111" s="700">
        <f t="shared" si="39"/>
        <v>515.15145436213959</v>
      </c>
    </row>
    <row r="112" spans="1:12">
      <c r="A112" s="309"/>
      <c r="B112" s="700" t="s">
        <v>804</v>
      </c>
      <c r="C112" s="700">
        <f t="shared" ref="C112:L112" si="40">((C67+C78+C89)/100)*C111</f>
        <v>74.2359462040192</v>
      </c>
      <c r="D112" s="700">
        <f t="shared" si="40"/>
        <v>71.712218438436224</v>
      </c>
      <c r="E112" s="700">
        <f t="shared" si="40"/>
        <v>71.190486590489812</v>
      </c>
      <c r="F112" s="700">
        <f t="shared" si="40"/>
        <v>76.773643180226969</v>
      </c>
      <c r="G112" s="700">
        <f t="shared" si="40"/>
        <v>77.288454032992803</v>
      </c>
      <c r="H112" s="700">
        <f t="shared" si="40"/>
        <v>79.048995463754608</v>
      </c>
      <c r="I112" s="700">
        <f t="shared" si="40"/>
        <v>75.914955740451788</v>
      </c>
      <c r="J112" s="700">
        <f t="shared" si="40"/>
        <v>73.024333042000521</v>
      </c>
      <c r="K112" s="700">
        <f t="shared" si="40"/>
        <v>71.742330681969577</v>
      </c>
      <c r="L112" s="700">
        <f t="shared" si="40"/>
        <v>74.07218643848222</v>
      </c>
    </row>
    <row r="113" spans="1:12">
      <c r="A113" s="309"/>
      <c r="B113" s="700" t="s">
        <v>805</v>
      </c>
      <c r="C113" s="700">
        <f t="shared" ref="C113:L113" si="41">((C66+C77+C88)/100)*C111</f>
        <v>442.05441177955504</v>
      </c>
      <c r="D113" s="700">
        <f t="shared" si="41"/>
        <v>427.02631488104589</v>
      </c>
      <c r="E113" s="700">
        <f t="shared" si="41"/>
        <v>423.91954684017293</v>
      </c>
      <c r="F113" s="700">
        <f t="shared" si="41"/>
        <v>457.16569144196131</v>
      </c>
      <c r="G113" s="700">
        <f t="shared" si="41"/>
        <v>460.23124688152836</v>
      </c>
      <c r="H113" s="700">
        <f t="shared" si="41"/>
        <v>470.71478142758372</v>
      </c>
      <c r="I113" s="700">
        <f t="shared" si="41"/>
        <v>452.05244657202849</v>
      </c>
      <c r="J113" s="700">
        <f t="shared" si="41"/>
        <v>434.83959239584885</v>
      </c>
      <c r="K113" s="700">
        <f t="shared" si="41"/>
        <v>427.20562491591659</v>
      </c>
      <c r="L113" s="700">
        <f t="shared" si="41"/>
        <v>441.07926792365731</v>
      </c>
    </row>
    <row r="114" spans="1:12">
      <c r="A114" s="309"/>
      <c r="B114" s="700" t="s">
        <v>799</v>
      </c>
      <c r="C114" s="700">
        <f>C112*$C$39</f>
        <v>45.877814754083865</v>
      </c>
      <c r="D114" s="700">
        <f t="shared" ref="D114:L114" si="42">D112*$C$39</f>
        <v>44.318150994953584</v>
      </c>
      <c r="E114" s="700">
        <f t="shared" si="42"/>
        <v>43.995720712922704</v>
      </c>
      <c r="F114" s="700">
        <f t="shared" si="42"/>
        <v>47.446111485380264</v>
      </c>
      <c r="G114" s="700">
        <f t="shared" si="42"/>
        <v>47.764264592389551</v>
      </c>
      <c r="H114" s="700">
        <f t="shared" si="42"/>
        <v>48.85227919660035</v>
      </c>
      <c r="I114" s="700">
        <f t="shared" si="42"/>
        <v>46.915442647599207</v>
      </c>
      <c r="J114" s="700">
        <f t="shared" si="42"/>
        <v>45.129037819956324</v>
      </c>
      <c r="K114" s="700">
        <f t="shared" si="42"/>
        <v>44.336760361457195</v>
      </c>
      <c r="L114" s="700">
        <f t="shared" si="42"/>
        <v>45.776611218982012</v>
      </c>
    </row>
    <row r="115" spans="1:12">
      <c r="A115" s="309"/>
      <c r="B115" s="700" t="s">
        <v>800</v>
      </c>
      <c r="C115" s="700">
        <f>C113</f>
        <v>442.05441177955504</v>
      </c>
      <c r="D115" s="700">
        <f t="shared" ref="D115:L115" si="43">D113</f>
        <v>427.02631488104589</v>
      </c>
      <c r="E115" s="700">
        <f t="shared" si="43"/>
        <v>423.91954684017293</v>
      </c>
      <c r="F115" s="700">
        <f t="shared" si="43"/>
        <v>457.16569144196131</v>
      </c>
      <c r="G115" s="700">
        <f t="shared" si="43"/>
        <v>460.23124688152836</v>
      </c>
      <c r="H115" s="700">
        <f t="shared" si="43"/>
        <v>470.71478142758372</v>
      </c>
      <c r="I115" s="700">
        <f t="shared" si="43"/>
        <v>452.05244657202849</v>
      </c>
      <c r="J115" s="700">
        <f t="shared" si="43"/>
        <v>434.83959239584885</v>
      </c>
      <c r="K115" s="700">
        <f t="shared" si="43"/>
        <v>427.20562491591659</v>
      </c>
      <c r="L115" s="700">
        <f t="shared" si="43"/>
        <v>441.07926792365731</v>
      </c>
    </row>
    <row r="116" spans="1:12">
      <c r="A116" s="309"/>
      <c r="B116" s="700" t="s">
        <v>724</v>
      </c>
      <c r="C116" s="700">
        <f>C115+C114</f>
        <v>487.93222653363893</v>
      </c>
      <c r="D116" s="700">
        <f t="shared" ref="D116:L116" si="44">D115+D114</f>
        <v>471.3444658759995</v>
      </c>
      <c r="E116" s="700">
        <f t="shared" si="44"/>
        <v>467.91526755309565</v>
      </c>
      <c r="F116" s="700">
        <f t="shared" si="44"/>
        <v>504.61180292734156</v>
      </c>
      <c r="G116" s="700">
        <f t="shared" si="44"/>
        <v>507.99551147391793</v>
      </c>
      <c r="H116" s="700">
        <f t="shared" si="44"/>
        <v>519.56706062418402</v>
      </c>
      <c r="I116" s="700">
        <f t="shared" si="44"/>
        <v>498.96788921962769</v>
      </c>
      <c r="J116" s="700">
        <f t="shared" si="44"/>
        <v>479.96863021580521</v>
      </c>
      <c r="K116" s="700">
        <f t="shared" si="44"/>
        <v>471.5423852773738</v>
      </c>
      <c r="L116" s="700">
        <f t="shared" si="44"/>
        <v>486.85587914263931</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L5"/>
  </mergeCells>
  <hyperlinks>
    <hyperlink ref="A2" location="'Title_&amp;_Contents'!A1" display="Contents"/>
    <hyperlink ref="B2" location="Map_of_sheets!A1" display="Map of sheets"/>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C83"/>
  <sheetViews>
    <sheetView workbookViewId="0"/>
  </sheetViews>
  <sheetFormatPr defaultRowHeight="12.75"/>
  <cols>
    <col min="1" max="1" width="9.140625" style="1027"/>
    <col min="2" max="2" width="23.5703125" style="1027" customWidth="1"/>
    <col min="3" max="12" width="8.7109375" style="1027" customWidth="1"/>
    <col min="13" max="13" width="3.5703125" style="1027" customWidth="1"/>
    <col min="14" max="23" width="8.7109375" style="1027" customWidth="1"/>
    <col min="24" max="257" width="9.140625" style="1027"/>
    <col min="258" max="258" width="23.5703125" style="1027" customWidth="1"/>
    <col min="259" max="268" width="8.7109375" style="1027" customWidth="1"/>
    <col min="269" max="269" width="3.5703125" style="1027" customWidth="1"/>
    <col min="270" max="279" width="8.7109375" style="1027" customWidth="1"/>
    <col min="280" max="513" width="9.140625" style="1027"/>
    <col min="514" max="514" width="23.5703125" style="1027" customWidth="1"/>
    <col min="515" max="524" width="8.7109375" style="1027" customWidth="1"/>
    <col min="525" max="525" width="3.5703125" style="1027" customWidth="1"/>
    <col min="526" max="535" width="8.7109375" style="1027" customWidth="1"/>
    <col min="536" max="769" width="9.140625" style="1027"/>
    <col min="770" max="770" width="23.5703125" style="1027" customWidth="1"/>
    <col min="771" max="780" width="8.7109375" style="1027" customWidth="1"/>
    <col min="781" max="781" width="3.5703125" style="1027" customWidth="1"/>
    <col min="782" max="791" width="8.7109375" style="1027" customWidth="1"/>
    <col min="792" max="1025" width="9.140625" style="1027"/>
    <col min="1026" max="1026" width="23.5703125" style="1027" customWidth="1"/>
    <col min="1027" max="1036" width="8.7109375" style="1027" customWidth="1"/>
    <col min="1037" max="1037" width="3.5703125" style="1027" customWidth="1"/>
    <col min="1038" max="1047" width="8.7109375" style="1027" customWidth="1"/>
    <col min="1048" max="1281" width="9.140625" style="1027"/>
    <col min="1282" max="1282" width="23.5703125" style="1027" customWidth="1"/>
    <col min="1283" max="1292" width="8.7109375" style="1027" customWidth="1"/>
    <col min="1293" max="1293" width="3.5703125" style="1027" customWidth="1"/>
    <col min="1294" max="1303" width="8.7109375" style="1027" customWidth="1"/>
    <col min="1304" max="1537" width="9.140625" style="1027"/>
    <col min="1538" max="1538" width="23.5703125" style="1027" customWidth="1"/>
    <col min="1539" max="1548" width="8.7109375" style="1027" customWidth="1"/>
    <col min="1549" max="1549" width="3.5703125" style="1027" customWidth="1"/>
    <col min="1550" max="1559" width="8.7109375" style="1027" customWidth="1"/>
    <col min="1560" max="1793" width="9.140625" style="1027"/>
    <col min="1794" max="1794" width="23.5703125" style="1027" customWidth="1"/>
    <col min="1795" max="1804" width="8.7109375" style="1027" customWidth="1"/>
    <col min="1805" max="1805" width="3.5703125" style="1027" customWidth="1"/>
    <col min="1806" max="1815" width="8.7109375" style="1027" customWidth="1"/>
    <col min="1816" max="2049" width="9.140625" style="1027"/>
    <col min="2050" max="2050" width="23.5703125" style="1027" customWidth="1"/>
    <col min="2051" max="2060" width="8.7109375" style="1027" customWidth="1"/>
    <col min="2061" max="2061" width="3.5703125" style="1027" customWidth="1"/>
    <col min="2062" max="2071" width="8.7109375" style="1027" customWidth="1"/>
    <col min="2072" max="2305" width="9.140625" style="1027"/>
    <col min="2306" max="2306" width="23.5703125" style="1027" customWidth="1"/>
    <col min="2307" max="2316" width="8.7109375" style="1027" customWidth="1"/>
    <col min="2317" max="2317" width="3.5703125" style="1027" customWidth="1"/>
    <col min="2318" max="2327" width="8.7109375" style="1027" customWidth="1"/>
    <col min="2328" max="2561" width="9.140625" style="1027"/>
    <col min="2562" max="2562" width="23.5703125" style="1027" customWidth="1"/>
    <col min="2563" max="2572" width="8.7109375" style="1027" customWidth="1"/>
    <col min="2573" max="2573" width="3.5703125" style="1027" customWidth="1"/>
    <col min="2574" max="2583" width="8.7109375" style="1027" customWidth="1"/>
    <col min="2584" max="2817" width="9.140625" style="1027"/>
    <col min="2818" max="2818" width="23.5703125" style="1027" customWidth="1"/>
    <col min="2819" max="2828" width="8.7109375" style="1027" customWidth="1"/>
    <col min="2829" max="2829" width="3.5703125" style="1027" customWidth="1"/>
    <col min="2830" max="2839" width="8.7109375" style="1027" customWidth="1"/>
    <col min="2840" max="3073" width="9.140625" style="1027"/>
    <col min="3074" max="3074" width="23.5703125" style="1027" customWidth="1"/>
    <col min="3075" max="3084" width="8.7109375" style="1027" customWidth="1"/>
    <col min="3085" max="3085" width="3.5703125" style="1027" customWidth="1"/>
    <col min="3086" max="3095" width="8.7109375" style="1027" customWidth="1"/>
    <col min="3096" max="3329" width="9.140625" style="1027"/>
    <col min="3330" max="3330" width="23.5703125" style="1027" customWidth="1"/>
    <col min="3331" max="3340" width="8.7109375" style="1027" customWidth="1"/>
    <col min="3341" max="3341" width="3.5703125" style="1027" customWidth="1"/>
    <col min="3342" max="3351" width="8.7109375" style="1027" customWidth="1"/>
    <col min="3352" max="3585" width="9.140625" style="1027"/>
    <col min="3586" max="3586" width="23.5703125" style="1027" customWidth="1"/>
    <col min="3587" max="3596" width="8.7109375" style="1027" customWidth="1"/>
    <col min="3597" max="3597" width="3.5703125" style="1027" customWidth="1"/>
    <col min="3598" max="3607" width="8.7109375" style="1027" customWidth="1"/>
    <col min="3608" max="3841" width="9.140625" style="1027"/>
    <col min="3842" max="3842" width="23.5703125" style="1027" customWidth="1"/>
    <col min="3843" max="3852" width="8.7109375" style="1027" customWidth="1"/>
    <col min="3853" max="3853" width="3.5703125" style="1027" customWidth="1"/>
    <col min="3854" max="3863" width="8.7109375" style="1027" customWidth="1"/>
    <col min="3864" max="4097" width="9.140625" style="1027"/>
    <col min="4098" max="4098" width="23.5703125" style="1027" customWidth="1"/>
    <col min="4099" max="4108" width="8.7109375" style="1027" customWidth="1"/>
    <col min="4109" max="4109" width="3.5703125" style="1027" customWidth="1"/>
    <col min="4110" max="4119" width="8.7109375" style="1027" customWidth="1"/>
    <col min="4120" max="4353" width="9.140625" style="1027"/>
    <col min="4354" max="4354" width="23.5703125" style="1027" customWidth="1"/>
    <col min="4355" max="4364" width="8.7109375" style="1027" customWidth="1"/>
    <col min="4365" max="4365" width="3.5703125" style="1027" customWidth="1"/>
    <col min="4366" max="4375" width="8.7109375" style="1027" customWidth="1"/>
    <col min="4376" max="4609" width="9.140625" style="1027"/>
    <col min="4610" max="4610" width="23.5703125" style="1027" customWidth="1"/>
    <col min="4611" max="4620" width="8.7109375" style="1027" customWidth="1"/>
    <col min="4621" max="4621" width="3.5703125" style="1027" customWidth="1"/>
    <col min="4622" max="4631" width="8.7109375" style="1027" customWidth="1"/>
    <col min="4632" max="4865" width="9.140625" style="1027"/>
    <col min="4866" max="4866" width="23.5703125" style="1027" customWidth="1"/>
    <col min="4867" max="4876" width="8.7109375" style="1027" customWidth="1"/>
    <col min="4877" max="4877" width="3.5703125" style="1027" customWidth="1"/>
    <col min="4878" max="4887" width="8.7109375" style="1027" customWidth="1"/>
    <col min="4888" max="5121" width="9.140625" style="1027"/>
    <col min="5122" max="5122" width="23.5703125" style="1027" customWidth="1"/>
    <col min="5123" max="5132" width="8.7109375" style="1027" customWidth="1"/>
    <col min="5133" max="5133" width="3.5703125" style="1027" customWidth="1"/>
    <col min="5134" max="5143" width="8.7109375" style="1027" customWidth="1"/>
    <col min="5144" max="5377" width="9.140625" style="1027"/>
    <col min="5378" max="5378" width="23.5703125" style="1027" customWidth="1"/>
    <col min="5379" max="5388" width="8.7109375" style="1027" customWidth="1"/>
    <col min="5389" max="5389" width="3.5703125" style="1027" customWidth="1"/>
    <col min="5390" max="5399" width="8.7109375" style="1027" customWidth="1"/>
    <col min="5400" max="5633" width="9.140625" style="1027"/>
    <col min="5634" max="5634" width="23.5703125" style="1027" customWidth="1"/>
    <col min="5635" max="5644" width="8.7109375" style="1027" customWidth="1"/>
    <col min="5645" max="5645" width="3.5703125" style="1027" customWidth="1"/>
    <col min="5646" max="5655" width="8.7109375" style="1027" customWidth="1"/>
    <col min="5656" max="5889" width="9.140625" style="1027"/>
    <col min="5890" max="5890" width="23.5703125" style="1027" customWidth="1"/>
    <col min="5891" max="5900" width="8.7109375" style="1027" customWidth="1"/>
    <col min="5901" max="5901" width="3.5703125" style="1027" customWidth="1"/>
    <col min="5902" max="5911" width="8.7109375" style="1027" customWidth="1"/>
    <col min="5912" max="6145" width="9.140625" style="1027"/>
    <col min="6146" max="6146" width="23.5703125" style="1027" customWidth="1"/>
    <col min="6147" max="6156" width="8.7109375" style="1027" customWidth="1"/>
    <col min="6157" max="6157" width="3.5703125" style="1027" customWidth="1"/>
    <col min="6158" max="6167" width="8.7109375" style="1027" customWidth="1"/>
    <col min="6168" max="6401" width="9.140625" style="1027"/>
    <col min="6402" max="6402" width="23.5703125" style="1027" customWidth="1"/>
    <col min="6403" max="6412" width="8.7109375" style="1027" customWidth="1"/>
    <col min="6413" max="6413" width="3.5703125" style="1027" customWidth="1"/>
    <col min="6414" max="6423" width="8.7109375" style="1027" customWidth="1"/>
    <col min="6424" max="6657" width="9.140625" style="1027"/>
    <col min="6658" max="6658" width="23.5703125" style="1027" customWidth="1"/>
    <col min="6659" max="6668" width="8.7109375" style="1027" customWidth="1"/>
    <col min="6669" max="6669" width="3.5703125" style="1027" customWidth="1"/>
    <col min="6670" max="6679" width="8.7109375" style="1027" customWidth="1"/>
    <col min="6680" max="6913" width="9.140625" style="1027"/>
    <col min="6914" max="6914" width="23.5703125" style="1027" customWidth="1"/>
    <col min="6915" max="6924" width="8.7109375" style="1027" customWidth="1"/>
    <col min="6925" max="6925" width="3.5703125" style="1027" customWidth="1"/>
    <col min="6926" max="6935" width="8.7109375" style="1027" customWidth="1"/>
    <col min="6936" max="7169" width="9.140625" style="1027"/>
    <col min="7170" max="7170" width="23.5703125" style="1027" customWidth="1"/>
    <col min="7171" max="7180" width="8.7109375" style="1027" customWidth="1"/>
    <col min="7181" max="7181" width="3.5703125" style="1027" customWidth="1"/>
    <col min="7182" max="7191" width="8.7109375" style="1027" customWidth="1"/>
    <col min="7192" max="7425" width="9.140625" style="1027"/>
    <col min="7426" max="7426" width="23.5703125" style="1027" customWidth="1"/>
    <col min="7427" max="7436" width="8.7109375" style="1027" customWidth="1"/>
    <col min="7437" max="7437" width="3.5703125" style="1027" customWidth="1"/>
    <col min="7438" max="7447" width="8.7109375" style="1027" customWidth="1"/>
    <col min="7448" max="7681" width="9.140625" style="1027"/>
    <col min="7682" max="7682" width="23.5703125" style="1027" customWidth="1"/>
    <col min="7683" max="7692" width="8.7109375" style="1027" customWidth="1"/>
    <col min="7693" max="7693" width="3.5703125" style="1027" customWidth="1"/>
    <col min="7694" max="7703" width="8.7109375" style="1027" customWidth="1"/>
    <col min="7704" max="7937" width="9.140625" style="1027"/>
    <col min="7938" max="7938" width="23.5703125" style="1027" customWidth="1"/>
    <col min="7939" max="7948" width="8.7109375" style="1027" customWidth="1"/>
    <col min="7949" max="7949" width="3.5703125" style="1027" customWidth="1"/>
    <col min="7950" max="7959" width="8.7109375" style="1027" customWidth="1"/>
    <col min="7960" max="8193" width="9.140625" style="1027"/>
    <col min="8194" max="8194" width="23.5703125" style="1027" customWidth="1"/>
    <col min="8195" max="8204" width="8.7109375" style="1027" customWidth="1"/>
    <col min="8205" max="8205" width="3.5703125" style="1027" customWidth="1"/>
    <col min="8206" max="8215" width="8.7109375" style="1027" customWidth="1"/>
    <col min="8216" max="8449" width="9.140625" style="1027"/>
    <col min="8450" max="8450" width="23.5703125" style="1027" customWidth="1"/>
    <col min="8451" max="8460" width="8.7109375" style="1027" customWidth="1"/>
    <col min="8461" max="8461" width="3.5703125" style="1027" customWidth="1"/>
    <col min="8462" max="8471" width="8.7109375" style="1027" customWidth="1"/>
    <col min="8472" max="8705" width="9.140625" style="1027"/>
    <col min="8706" max="8706" width="23.5703125" style="1027" customWidth="1"/>
    <col min="8707" max="8716" width="8.7109375" style="1027" customWidth="1"/>
    <col min="8717" max="8717" width="3.5703125" style="1027" customWidth="1"/>
    <col min="8718" max="8727" width="8.7109375" style="1027" customWidth="1"/>
    <col min="8728" max="8961" width="9.140625" style="1027"/>
    <col min="8962" max="8962" width="23.5703125" style="1027" customWidth="1"/>
    <col min="8963" max="8972" width="8.7109375" style="1027" customWidth="1"/>
    <col min="8973" max="8973" width="3.5703125" style="1027" customWidth="1"/>
    <col min="8974" max="8983" width="8.7109375" style="1027" customWidth="1"/>
    <col min="8984" max="9217" width="9.140625" style="1027"/>
    <col min="9218" max="9218" width="23.5703125" style="1027" customWidth="1"/>
    <col min="9219" max="9228" width="8.7109375" style="1027" customWidth="1"/>
    <col min="9229" max="9229" width="3.5703125" style="1027" customWidth="1"/>
    <col min="9230" max="9239" width="8.7109375" style="1027" customWidth="1"/>
    <col min="9240" max="9473" width="9.140625" style="1027"/>
    <col min="9474" max="9474" width="23.5703125" style="1027" customWidth="1"/>
    <col min="9475" max="9484" width="8.7109375" style="1027" customWidth="1"/>
    <col min="9485" max="9485" width="3.5703125" style="1027" customWidth="1"/>
    <col min="9486" max="9495" width="8.7109375" style="1027" customWidth="1"/>
    <col min="9496" max="9729" width="9.140625" style="1027"/>
    <col min="9730" max="9730" width="23.5703125" style="1027" customWidth="1"/>
    <col min="9731" max="9740" width="8.7109375" style="1027" customWidth="1"/>
    <col min="9741" max="9741" width="3.5703125" style="1027" customWidth="1"/>
    <col min="9742" max="9751" width="8.7109375" style="1027" customWidth="1"/>
    <col min="9752" max="9985" width="9.140625" style="1027"/>
    <col min="9986" max="9986" width="23.5703125" style="1027" customWidth="1"/>
    <col min="9987" max="9996" width="8.7109375" style="1027" customWidth="1"/>
    <col min="9997" max="9997" width="3.5703125" style="1027" customWidth="1"/>
    <col min="9998" max="10007" width="8.7109375" style="1027" customWidth="1"/>
    <col min="10008" max="10241" width="9.140625" style="1027"/>
    <col min="10242" max="10242" width="23.5703125" style="1027" customWidth="1"/>
    <col min="10243" max="10252" width="8.7109375" style="1027" customWidth="1"/>
    <col min="10253" max="10253" width="3.5703125" style="1027" customWidth="1"/>
    <col min="10254" max="10263" width="8.7109375" style="1027" customWidth="1"/>
    <col min="10264" max="10497" width="9.140625" style="1027"/>
    <col min="10498" max="10498" width="23.5703125" style="1027" customWidth="1"/>
    <col min="10499" max="10508" width="8.7109375" style="1027" customWidth="1"/>
    <col min="10509" max="10509" width="3.5703125" style="1027" customWidth="1"/>
    <col min="10510" max="10519" width="8.7109375" style="1027" customWidth="1"/>
    <col min="10520" max="10753" width="9.140625" style="1027"/>
    <col min="10754" max="10754" width="23.5703125" style="1027" customWidth="1"/>
    <col min="10755" max="10764" width="8.7109375" style="1027" customWidth="1"/>
    <col min="10765" max="10765" width="3.5703125" style="1027" customWidth="1"/>
    <col min="10766" max="10775" width="8.7109375" style="1027" customWidth="1"/>
    <col min="10776" max="11009" width="9.140625" style="1027"/>
    <col min="11010" max="11010" width="23.5703125" style="1027" customWidth="1"/>
    <col min="11011" max="11020" width="8.7109375" style="1027" customWidth="1"/>
    <col min="11021" max="11021" width="3.5703125" style="1027" customWidth="1"/>
    <col min="11022" max="11031" width="8.7109375" style="1027" customWidth="1"/>
    <col min="11032" max="11265" width="9.140625" style="1027"/>
    <col min="11266" max="11266" width="23.5703125" style="1027" customWidth="1"/>
    <col min="11267" max="11276" width="8.7109375" style="1027" customWidth="1"/>
    <col min="11277" max="11277" width="3.5703125" style="1027" customWidth="1"/>
    <col min="11278" max="11287" width="8.7109375" style="1027" customWidth="1"/>
    <col min="11288" max="11521" width="9.140625" style="1027"/>
    <col min="11522" max="11522" width="23.5703125" style="1027" customWidth="1"/>
    <col min="11523" max="11532" width="8.7109375" style="1027" customWidth="1"/>
    <col min="11533" max="11533" width="3.5703125" style="1027" customWidth="1"/>
    <col min="11534" max="11543" width="8.7109375" style="1027" customWidth="1"/>
    <col min="11544" max="11777" width="9.140625" style="1027"/>
    <col min="11778" max="11778" width="23.5703125" style="1027" customWidth="1"/>
    <col min="11779" max="11788" width="8.7109375" style="1027" customWidth="1"/>
    <col min="11789" max="11789" width="3.5703125" style="1027" customWidth="1"/>
    <col min="11790" max="11799" width="8.7109375" style="1027" customWidth="1"/>
    <col min="11800" max="12033" width="9.140625" style="1027"/>
    <col min="12034" max="12034" width="23.5703125" style="1027" customWidth="1"/>
    <col min="12035" max="12044" width="8.7109375" style="1027" customWidth="1"/>
    <col min="12045" max="12045" width="3.5703125" style="1027" customWidth="1"/>
    <col min="12046" max="12055" width="8.7109375" style="1027" customWidth="1"/>
    <col min="12056" max="12289" width="9.140625" style="1027"/>
    <col min="12290" max="12290" width="23.5703125" style="1027" customWidth="1"/>
    <col min="12291" max="12300" width="8.7109375" style="1027" customWidth="1"/>
    <col min="12301" max="12301" width="3.5703125" style="1027" customWidth="1"/>
    <col min="12302" max="12311" width="8.7109375" style="1027" customWidth="1"/>
    <col min="12312" max="12545" width="9.140625" style="1027"/>
    <col min="12546" max="12546" width="23.5703125" style="1027" customWidth="1"/>
    <col min="12547" max="12556" width="8.7109375" style="1027" customWidth="1"/>
    <col min="12557" max="12557" width="3.5703125" style="1027" customWidth="1"/>
    <col min="12558" max="12567" width="8.7109375" style="1027" customWidth="1"/>
    <col min="12568" max="12801" width="9.140625" style="1027"/>
    <col min="12802" max="12802" width="23.5703125" style="1027" customWidth="1"/>
    <col min="12803" max="12812" width="8.7109375" style="1027" customWidth="1"/>
    <col min="12813" max="12813" width="3.5703125" style="1027" customWidth="1"/>
    <col min="12814" max="12823" width="8.7109375" style="1027" customWidth="1"/>
    <col min="12824" max="13057" width="9.140625" style="1027"/>
    <col min="13058" max="13058" width="23.5703125" style="1027" customWidth="1"/>
    <col min="13059" max="13068" width="8.7109375" style="1027" customWidth="1"/>
    <col min="13069" max="13069" width="3.5703125" style="1027" customWidth="1"/>
    <col min="13070" max="13079" width="8.7109375" style="1027" customWidth="1"/>
    <col min="13080" max="13313" width="9.140625" style="1027"/>
    <col min="13314" max="13314" width="23.5703125" style="1027" customWidth="1"/>
    <col min="13315" max="13324" width="8.7109375" style="1027" customWidth="1"/>
    <col min="13325" max="13325" width="3.5703125" style="1027" customWidth="1"/>
    <col min="13326" max="13335" width="8.7109375" style="1027" customWidth="1"/>
    <col min="13336" max="13569" width="9.140625" style="1027"/>
    <col min="13570" max="13570" width="23.5703125" style="1027" customWidth="1"/>
    <col min="13571" max="13580" width="8.7109375" style="1027" customWidth="1"/>
    <col min="13581" max="13581" width="3.5703125" style="1027" customWidth="1"/>
    <col min="13582" max="13591" width="8.7109375" style="1027" customWidth="1"/>
    <col min="13592" max="13825" width="9.140625" style="1027"/>
    <col min="13826" max="13826" width="23.5703125" style="1027" customWidth="1"/>
    <col min="13827" max="13836" width="8.7109375" style="1027" customWidth="1"/>
    <col min="13837" max="13837" width="3.5703125" style="1027" customWidth="1"/>
    <col min="13838" max="13847" width="8.7109375" style="1027" customWidth="1"/>
    <col min="13848" max="14081" width="9.140625" style="1027"/>
    <col min="14082" max="14082" width="23.5703125" style="1027" customWidth="1"/>
    <col min="14083" max="14092" width="8.7109375" style="1027" customWidth="1"/>
    <col min="14093" max="14093" width="3.5703125" style="1027" customWidth="1"/>
    <col min="14094" max="14103" width="8.7109375" style="1027" customWidth="1"/>
    <col min="14104" max="14337" width="9.140625" style="1027"/>
    <col min="14338" max="14338" width="23.5703125" style="1027" customWidth="1"/>
    <col min="14339" max="14348" width="8.7109375" style="1027" customWidth="1"/>
    <col min="14349" max="14349" width="3.5703125" style="1027" customWidth="1"/>
    <col min="14350" max="14359" width="8.7109375" style="1027" customWidth="1"/>
    <col min="14360" max="14593" width="9.140625" style="1027"/>
    <col min="14594" max="14594" width="23.5703125" style="1027" customWidth="1"/>
    <col min="14595" max="14604" width="8.7109375" style="1027" customWidth="1"/>
    <col min="14605" max="14605" width="3.5703125" style="1027" customWidth="1"/>
    <col min="14606" max="14615" width="8.7109375" style="1027" customWidth="1"/>
    <col min="14616" max="14849" width="9.140625" style="1027"/>
    <col min="14850" max="14850" width="23.5703125" style="1027" customWidth="1"/>
    <col min="14851" max="14860" width="8.7109375" style="1027" customWidth="1"/>
    <col min="14861" max="14861" width="3.5703125" style="1027" customWidth="1"/>
    <col min="14862" max="14871" width="8.7109375" style="1027" customWidth="1"/>
    <col min="14872" max="15105" width="9.140625" style="1027"/>
    <col min="15106" max="15106" width="23.5703125" style="1027" customWidth="1"/>
    <col min="15107" max="15116" width="8.7109375" style="1027" customWidth="1"/>
    <col min="15117" max="15117" width="3.5703125" style="1027" customWidth="1"/>
    <col min="15118" max="15127" width="8.7109375" style="1027" customWidth="1"/>
    <col min="15128" max="15361" width="9.140625" style="1027"/>
    <col min="15362" max="15362" width="23.5703125" style="1027" customWidth="1"/>
    <col min="15363" max="15372" width="8.7109375" style="1027" customWidth="1"/>
    <col min="15373" max="15373" width="3.5703125" style="1027" customWidth="1"/>
    <col min="15374" max="15383" width="8.7109375" style="1027" customWidth="1"/>
    <col min="15384" max="15617" width="9.140625" style="1027"/>
    <col min="15618" max="15618" width="23.5703125" style="1027" customWidth="1"/>
    <col min="15619" max="15628" width="8.7109375" style="1027" customWidth="1"/>
    <col min="15629" max="15629" width="3.5703125" style="1027" customWidth="1"/>
    <col min="15630" max="15639" width="8.7109375" style="1027" customWidth="1"/>
    <col min="15640" max="15873" width="9.140625" style="1027"/>
    <col min="15874" max="15874" width="23.5703125" style="1027" customWidth="1"/>
    <col min="15875" max="15884" width="8.7109375" style="1027" customWidth="1"/>
    <col min="15885" max="15885" width="3.5703125" style="1027" customWidth="1"/>
    <col min="15886" max="15895" width="8.7109375" style="1027" customWidth="1"/>
    <col min="15896" max="16129" width="9.140625" style="1027"/>
    <col min="16130" max="16130" width="23.5703125" style="1027" customWidth="1"/>
    <col min="16131" max="16140" width="8.7109375" style="1027" customWidth="1"/>
    <col min="16141" max="16141" width="3.5703125" style="1027" customWidth="1"/>
    <col min="16142" max="16151" width="8.7109375" style="1027" customWidth="1"/>
    <col min="16152" max="16384" width="9.140625" style="1027"/>
  </cols>
  <sheetData>
    <row r="1" spans="1:29" s="739" customFormat="1" ht="15">
      <c r="A1" s="65" t="str">
        <f>ModelBanner</f>
        <v>TSM_201718 for publication</v>
      </c>
    </row>
    <row r="2" spans="1:29" s="739" customFormat="1" ht="15">
      <c r="A2" s="1003" t="s">
        <v>13</v>
      </c>
      <c r="B2" s="1003" t="s">
        <v>30</v>
      </c>
    </row>
    <row r="3" spans="1:29" s="739" customFormat="1" ht="15">
      <c r="A3" s="67"/>
    </row>
    <row r="4" spans="1:29" s="57" customFormat="1" ht="15">
      <c r="A4" s="1023" t="s">
        <v>26</v>
      </c>
      <c r="B4" s="1023"/>
      <c r="E4" s="739"/>
    </row>
    <row r="5" spans="1:29" s="47" customFormat="1" ht="19.5" customHeight="1">
      <c r="A5" s="60" t="s">
        <v>1539</v>
      </c>
      <c r="C5" s="59"/>
      <c r="D5" s="59"/>
      <c r="E5" s="739"/>
      <c r="F5" s="59"/>
      <c r="G5" s="59"/>
      <c r="H5" s="59"/>
      <c r="I5" s="59"/>
      <c r="J5" s="59"/>
      <c r="K5" s="59"/>
      <c r="L5" s="59"/>
      <c r="M5" s="59"/>
      <c r="N5" s="59"/>
    </row>
    <row r="6" spans="1:29" s="46" customFormat="1" ht="13.5" customHeight="1">
      <c r="A6" s="1024" t="s">
        <v>24</v>
      </c>
      <c r="B6" s="1025"/>
      <c r="C6" s="45"/>
      <c r="D6" s="45"/>
      <c r="E6" s="739"/>
      <c r="F6" s="45"/>
      <c r="G6" s="45"/>
      <c r="H6" s="45"/>
      <c r="I6" s="45"/>
      <c r="J6" s="45"/>
      <c r="K6" s="45"/>
      <c r="L6" s="45"/>
      <c r="M6" s="45"/>
      <c r="N6" s="45"/>
    </row>
    <row r="7" spans="1:29" s="46" customFormat="1" ht="15">
      <c r="A7" s="54" t="s">
        <v>119</v>
      </c>
      <c r="C7" s="45"/>
      <c r="D7" s="45"/>
      <c r="E7" s="739"/>
      <c r="F7" s="45"/>
      <c r="G7" s="45"/>
      <c r="H7" s="45"/>
      <c r="I7" s="45"/>
      <c r="J7" s="45"/>
      <c r="K7" s="45"/>
      <c r="L7" s="45"/>
      <c r="M7" s="45"/>
      <c r="N7" s="45"/>
    </row>
    <row r="8" spans="1:29" s="46" customFormat="1" ht="15.75" customHeight="1">
      <c r="B8" s="1025"/>
      <c r="C8" s="45"/>
      <c r="D8" s="45"/>
      <c r="E8" s="739"/>
      <c r="F8" s="45"/>
      <c r="G8" s="45"/>
      <c r="H8" s="45"/>
      <c r="I8" s="45"/>
      <c r="J8" s="45"/>
      <c r="K8" s="45"/>
      <c r="L8" s="45"/>
      <c r="M8" s="45"/>
      <c r="N8" s="45"/>
    </row>
    <row r="9" spans="1:29" s="50" customFormat="1" ht="13.5" customHeight="1">
      <c r="A9" s="55"/>
      <c r="B9" s="73"/>
      <c r="C9" s="71"/>
      <c r="D9" s="738"/>
      <c r="E9" s="738"/>
      <c r="F9" s="738"/>
      <c r="G9" s="72"/>
      <c r="H9" s="738"/>
      <c r="I9" s="738"/>
      <c r="J9" s="72"/>
      <c r="K9" s="49"/>
      <c r="L9" s="49"/>
      <c r="M9" s="49"/>
      <c r="N9" s="49"/>
    </row>
    <row r="10" spans="1:29" s="1026" customFormat="1"/>
    <row r="11" spans="1:29">
      <c r="B11" s="1028" t="s">
        <v>1530</v>
      </c>
    </row>
    <row r="12" spans="1:29" ht="12.75" customHeight="1">
      <c r="B12" s="1114" t="s">
        <v>1544</v>
      </c>
      <c r="C12" s="1115"/>
      <c r="D12" s="1115"/>
      <c r="E12" s="1115"/>
      <c r="F12" s="1115"/>
      <c r="G12" s="1115"/>
      <c r="H12" s="1115"/>
      <c r="I12" s="1115"/>
      <c r="J12" s="1115"/>
      <c r="K12" s="1115"/>
      <c r="L12" s="1115"/>
      <c r="M12" s="1115"/>
      <c r="N12" s="1115"/>
      <c r="O12" s="1115"/>
      <c r="P12" s="1115"/>
      <c r="Q12" s="1115"/>
      <c r="R12" s="1115"/>
      <c r="S12" s="1115"/>
      <c r="T12" s="1115"/>
      <c r="U12" s="1029"/>
      <c r="V12" s="1029"/>
      <c r="W12" s="1029"/>
      <c r="X12" s="1029"/>
      <c r="Y12" s="1029"/>
      <c r="Z12" s="1029"/>
      <c r="AA12" s="1029"/>
      <c r="AB12" s="1030"/>
      <c r="AC12" s="1030"/>
    </row>
    <row r="13" spans="1:29">
      <c r="B13" s="1116"/>
      <c r="C13" s="1117"/>
      <c r="D13" s="1117"/>
      <c r="E13" s="1117"/>
      <c r="F13" s="1117"/>
      <c r="G13" s="1117"/>
      <c r="H13" s="1117"/>
      <c r="I13" s="1117"/>
      <c r="J13" s="1117"/>
      <c r="K13" s="1117"/>
      <c r="L13" s="1117"/>
      <c r="M13" s="1117"/>
      <c r="N13" s="1117"/>
      <c r="O13" s="1117"/>
      <c r="P13" s="1117"/>
      <c r="Q13" s="1117"/>
      <c r="R13" s="1117"/>
      <c r="S13" s="1117"/>
      <c r="T13" s="1117"/>
      <c r="U13" s="1029"/>
      <c r="V13" s="1029"/>
      <c r="W13" s="1029"/>
      <c r="X13" s="1029"/>
      <c r="Y13" s="1029"/>
      <c r="Z13" s="1029"/>
      <c r="AA13" s="1029"/>
      <c r="AB13" s="1030"/>
      <c r="AC13" s="1030"/>
    </row>
    <row r="14" spans="1:29" ht="6" customHeight="1"/>
    <row r="15" spans="1:29" ht="12.75" customHeight="1">
      <c r="B15" s="1131" t="s">
        <v>1541</v>
      </c>
      <c r="C15" s="1132"/>
      <c r="D15" s="1132"/>
      <c r="E15" s="1132"/>
      <c r="F15" s="1132"/>
      <c r="G15" s="1133"/>
    </row>
    <row r="16" spans="1:29" ht="12" customHeight="1">
      <c r="B16" s="1134"/>
      <c r="C16" s="1135"/>
      <c r="D16" s="1135"/>
      <c r="E16" s="1135"/>
      <c r="F16" s="1135"/>
      <c r="G16" s="1136"/>
      <c r="N16" s="1031"/>
    </row>
    <row r="17" spans="1:14" ht="12" customHeight="1">
      <c r="B17" s="1134"/>
      <c r="C17" s="1135"/>
      <c r="D17" s="1135"/>
      <c r="E17" s="1135"/>
      <c r="F17" s="1135"/>
      <c r="G17" s="1136"/>
    </row>
    <row r="18" spans="1:14" ht="12" customHeight="1">
      <c r="B18" s="1134"/>
      <c r="C18" s="1135"/>
      <c r="D18" s="1135"/>
      <c r="E18" s="1135"/>
      <c r="F18" s="1135"/>
      <c r="G18" s="1136"/>
      <c r="N18" s="1031" t="s">
        <v>1546</v>
      </c>
    </row>
    <row r="19" spans="1:14" ht="12" customHeight="1">
      <c r="B19" s="1051" t="s">
        <v>1547</v>
      </c>
      <c r="C19" s="1050"/>
      <c r="D19" s="1050"/>
      <c r="E19" s="1050"/>
      <c r="F19" s="1050"/>
      <c r="G19" s="1049"/>
      <c r="H19" s="1042"/>
      <c r="I19" s="1042"/>
      <c r="J19" s="1042"/>
      <c r="K19" s="1042"/>
      <c r="L19" s="1042"/>
    </row>
    <row r="20" spans="1:14" s="1032" customFormat="1" ht="28.5" customHeight="1">
      <c r="C20" s="1118" t="s">
        <v>1531</v>
      </c>
      <c r="D20" s="1119"/>
      <c r="E20" s="1119"/>
      <c r="F20" s="1119"/>
      <c r="G20" s="1120"/>
      <c r="H20" s="1121" t="s">
        <v>1532</v>
      </c>
      <c r="I20" s="1122"/>
      <c r="J20" s="1122"/>
      <c r="K20" s="1122"/>
      <c r="L20" s="1123"/>
    </row>
    <row r="21" spans="1:14" ht="12" customHeight="1">
      <c r="A21" s="1033"/>
      <c r="B21" s="1011"/>
      <c r="C21" s="224" t="s">
        <v>134</v>
      </c>
      <c r="D21" s="224" t="s">
        <v>135</v>
      </c>
      <c r="E21" s="224" t="s">
        <v>136</v>
      </c>
      <c r="F21" s="224" t="s">
        <v>137</v>
      </c>
      <c r="G21" s="1034" t="s">
        <v>138</v>
      </c>
      <c r="H21" s="1009" t="s">
        <v>134</v>
      </c>
      <c r="I21" s="224" t="s">
        <v>135</v>
      </c>
      <c r="J21" s="224" t="s">
        <v>136</v>
      </c>
      <c r="K21" s="224" t="s">
        <v>137</v>
      </c>
      <c r="L21" s="224" t="s">
        <v>138</v>
      </c>
      <c r="M21" s="1035"/>
    </row>
    <row r="22" spans="1:14" ht="12" customHeight="1">
      <c r="A22" s="1033"/>
      <c r="B22" s="1010" t="s">
        <v>43</v>
      </c>
      <c r="C22" s="431">
        <f>IF($G$69=1,Teacher_need_figures!C14,IF($G$69=2,Entrant_need_figures!C15,"-"))</f>
        <v>242289.97801032916</v>
      </c>
      <c r="D22" s="431">
        <f>IF($G$69=1,Teacher_need_figures!D14,IF($G$69=2,Entrant_need_figures!D15,IF($G$69=3,FINAL_OUTPUTS_OF_ITT_PLACES!G54,"-")))</f>
        <v>243816.50498787969</v>
      </c>
      <c r="E22" s="431">
        <f>IF($G$69=1,Teacher_need_figures!E14,IF($G$69=2,Entrant_need_figures!E15,"-"))</f>
        <v>244473.00051685341</v>
      </c>
      <c r="F22" s="431">
        <f>IF($G$69=1,Teacher_need_figures!F14,IF($G$69=2,Entrant_need_figures!F15,"-"))</f>
        <v>244493.08548462985</v>
      </c>
      <c r="G22" s="1036">
        <f>IF($G$69=1,Teacher_need_figures!G14,IF($G$69=2,Entrant_need_figures!G15,"-"))</f>
        <v>244756.56223781532</v>
      </c>
      <c r="H22" s="1037">
        <f>IF($G$69=1,C22-Teacher_need_figures!C39,IF($G$69=2,C22-Entrant_need_figures!C43,"-"))</f>
        <v>0</v>
      </c>
      <c r="I22" s="563">
        <f>IF($G$69=1,D22-Teacher_need_figures!D39,IF($G$69=2,D22-Entrant_need_figures!D43,IF($G$69=3,D22-FINAL_OUTPUTS_OF_ITT_PLACES!H54,"-")))</f>
        <v>0</v>
      </c>
      <c r="J22" s="563">
        <f>IF($G$69=1,E22-Teacher_need_figures!E39,IF($G$69=2,E22-Entrant_need_figures!E43,"-"))</f>
        <v>0</v>
      </c>
      <c r="K22" s="563">
        <f>IF($G$69=1,F22-Teacher_need_figures!F39,IF($G$69=2,F22-Entrant_need_figures!F43,"-"))</f>
        <v>0</v>
      </c>
      <c r="L22" s="563">
        <f>IF($G$69=1,G22-Teacher_need_figures!G39,IF($G$69=2,G22-Entrant_need_figures!G43,"-"))</f>
        <v>0</v>
      </c>
      <c r="M22" s="1035"/>
    </row>
    <row r="23" spans="1:14" ht="12" customHeight="1">
      <c r="A23" s="1033"/>
      <c r="B23" s="1010" t="s">
        <v>558</v>
      </c>
      <c r="C23" s="431">
        <f>IF($G$69=1,Teacher_need_figures!C15,IF($G$69=2,Entrant_need_figures!C16,"-"))</f>
        <v>8310.5880067254166</v>
      </c>
      <c r="D23" s="431">
        <f>IF($G$69=1,Teacher_need_figures!D15,IF($G$69=2,Entrant_need_figures!D16,IF($G$69=3,FINAL_OUTPUTS_OF_ITT_PLACES!G55,"-")))</f>
        <v>8341.9492808008581</v>
      </c>
      <c r="E23" s="431">
        <f>IF($G$69=1,Teacher_need_figures!E15,IF($G$69=2,Entrant_need_figures!E16,"-"))</f>
        <v>8263.3569449253591</v>
      </c>
      <c r="F23" s="431">
        <f>IF($G$69=1,Teacher_need_figures!F15,IF($G$69=2,Entrant_need_figures!F16,"-"))</f>
        <v>8200.1412123163773</v>
      </c>
      <c r="G23" s="1036">
        <f>IF($G$69=1,Teacher_need_figures!G15,IF($G$69=2,Entrant_need_figures!G16,"-"))</f>
        <v>8247.0972917838062</v>
      </c>
      <c r="H23" s="1037">
        <f>IF($G$69=1,C23-Teacher_need_figures!C40,IF($G$69=2,C23-Entrant_need_figures!C44,"-"))</f>
        <v>0</v>
      </c>
      <c r="I23" s="563">
        <f>IF($G$69=1,D23-Teacher_need_figures!D40,IF($G$69=2,D23-Entrant_need_figures!D44,IF($G$69=3,D23-FINAL_OUTPUTS_OF_ITT_PLACES!H55,"-")))</f>
        <v>0</v>
      </c>
      <c r="J23" s="563">
        <f>IF($G$69=1,E23-Teacher_need_figures!E40,IF($G$69=2,E23-Entrant_need_figures!E44,"-"))</f>
        <v>0</v>
      </c>
      <c r="K23" s="563">
        <f>IF($G$69=1,F23-Teacher_need_figures!F40,IF($G$69=2,F23-Entrant_need_figures!F44,"-"))</f>
        <v>0</v>
      </c>
      <c r="L23" s="563">
        <f>IF($G$69=1,G23-Teacher_need_figures!G40,IF($G$69=2,G23-Entrant_need_figures!G44,"-"))</f>
        <v>0</v>
      </c>
      <c r="M23" s="1035"/>
    </row>
    <row r="24" spans="1:14" ht="12" customHeight="1">
      <c r="A24" s="1033"/>
      <c r="B24" s="1010" t="s">
        <v>7</v>
      </c>
      <c r="C24" s="431">
        <f>IF($G$69=1,Teacher_need_figures!C16,IF($G$69=2,Entrant_need_figures!C17,"-"))</f>
        <v>12786.987412851919</v>
      </c>
      <c r="D24" s="431">
        <f>IF($G$69=1,Teacher_need_figures!D16,IF($G$69=2,Entrant_need_figures!D17,IF($G$69=3,FINAL_OUTPUTS_OF_ITT_PLACES!G56,"-")))</f>
        <v>12855.738513404587</v>
      </c>
      <c r="E24" s="431">
        <f>IF($G$69=1,Teacher_need_figures!E16,IF($G$69=2,Entrant_need_figures!E17,"-"))</f>
        <v>12998.316050469002</v>
      </c>
      <c r="F24" s="431">
        <f>IF($G$69=1,Teacher_need_figures!F16,IF($G$69=2,Entrant_need_figures!F17,"-"))</f>
        <v>13138.105245734181</v>
      </c>
      <c r="G24" s="1036">
        <f>IF($G$69=1,Teacher_need_figures!G16,IF($G$69=2,Entrant_need_figures!G17,"-"))</f>
        <v>13246.541294911551</v>
      </c>
      <c r="H24" s="1037">
        <f>IF($G$69=1,C24-Teacher_need_figures!C41,IF($G$69=2,C24-Entrant_need_figures!C45,"-"))</f>
        <v>0</v>
      </c>
      <c r="I24" s="563">
        <f>IF($G$69=1,D24-Teacher_need_figures!D41,IF($G$69=2,D24-Entrant_need_figures!D45,IF($G$69=3,D24-FINAL_OUTPUTS_OF_ITT_PLACES!H56,"-")))</f>
        <v>0</v>
      </c>
      <c r="J24" s="563">
        <f>IF($G$69=1,E24-Teacher_need_figures!E41,IF($G$69=2,E24-Entrant_need_figures!E45,"-"))</f>
        <v>0</v>
      </c>
      <c r="K24" s="563">
        <f>IF($G$69=1,F24-Teacher_need_figures!F41,IF($G$69=2,F24-Entrant_need_figures!F45,"-"))</f>
        <v>0</v>
      </c>
      <c r="L24" s="563">
        <f>IF($G$69=1,G24-Teacher_need_figures!G41,IF($G$69=2,G24-Entrant_need_figures!G45,"-"))</f>
        <v>0</v>
      </c>
      <c r="M24" s="1035"/>
    </row>
    <row r="25" spans="1:14" ht="12" customHeight="1">
      <c r="A25" s="1033"/>
      <c r="B25" s="1010" t="s">
        <v>427</v>
      </c>
      <c r="C25" s="431">
        <f>IF($G$69=1,Teacher_need_figures!C17,IF($G$69=2,Entrant_need_figures!C18,"-"))</f>
        <v>4112.7854114647489</v>
      </c>
      <c r="D25" s="431">
        <f>IF($G$69=1,Teacher_need_figures!D17,IF($G$69=2,Entrant_need_figures!D18,IF($G$69=3,FINAL_OUTPUTS_OF_ITT_PLACES!G57,"-")))</f>
        <v>4055.1181721093221</v>
      </c>
      <c r="E25" s="431">
        <f>IF($G$69=1,Teacher_need_figures!E17,IF($G$69=2,Entrant_need_figures!E18,"-"))</f>
        <v>3888.3058629551306</v>
      </c>
      <c r="F25" s="431">
        <f>IF($G$69=1,Teacher_need_figures!F17,IF($G$69=2,Entrant_need_figures!F18,"-"))</f>
        <v>3726.3896860129285</v>
      </c>
      <c r="G25" s="1036">
        <f>IF($G$69=1,Teacher_need_figures!G17,IF($G$69=2,Entrant_need_figures!G18,"-"))</f>
        <v>3700.1602214135623</v>
      </c>
      <c r="H25" s="1037">
        <f>IF($G$69=1,C25-Teacher_need_figures!C42,IF($G$69=2,C25-Entrant_need_figures!C46,"-"))</f>
        <v>0</v>
      </c>
      <c r="I25" s="563">
        <f>IF($G$69=1,D25-Teacher_need_figures!D42,IF($G$69=2,D25-Entrant_need_figures!D46,IF($G$69=3,D25-FINAL_OUTPUTS_OF_ITT_PLACES!H57,"-")))</f>
        <v>0</v>
      </c>
      <c r="J25" s="563">
        <f>IF($G$69=1,E25-Teacher_need_figures!E42,IF($G$69=2,E25-Entrant_need_figures!E46,"-"))</f>
        <v>0</v>
      </c>
      <c r="K25" s="563">
        <f>IF($G$69=1,F25-Teacher_need_figures!F42,IF($G$69=2,F25-Entrant_need_figures!F46,"-"))</f>
        <v>0</v>
      </c>
      <c r="L25" s="563">
        <f>IF($G$69=1,G25-Teacher_need_figures!G42,IF($G$69=2,G25-Entrant_need_figures!G46,"-"))</f>
        <v>0</v>
      </c>
      <c r="M25" s="1035"/>
    </row>
    <row r="26" spans="1:14" ht="12" customHeight="1">
      <c r="A26" s="1033"/>
      <c r="B26" s="1010" t="s">
        <v>3</v>
      </c>
      <c r="C26" s="431">
        <f>IF($G$69=1,Teacher_need_figures!C18,IF($G$69=2,Entrant_need_figures!C19,"-"))</f>
        <v>11068.508981061603</v>
      </c>
      <c r="D26" s="431">
        <f>IF($G$69=1,Teacher_need_figures!D18,IF($G$69=2,Entrant_need_figures!D19,IF($G$69=3,FINAL_OUTPUTS_OF_ITT_PLACES!G58,"-")))</f>
        <v>11129.85258610651</v>
      </c>
      <c r="E26" s="431">
        <f>IF($G$69=1,Teacher_need_figures!E18,IF($G$69=2,Entrant_need_figures!E19,"-"))</f>
        <v>11260.285419513875</v>
      </c>
      <c r="F26" s="431">
        <f>IF($G$69=1,Teacher_need_figures!F18,IF($G$69=2,Entrant_need_figures!F19,"-"))</f>
        <v>11383.268474585764</v>
      </c>
      <c r="G26" s="1036">
        <f>IF($G$69=1,Teacher_need_figures!G18,IF($G$69=2,Entrant_need_figures!G19,"-"))</f>
        <v>11478.037676404865</v>
      </c>
      <c r="H26" s="1037">
        <f>IF($G$69=1,C26-Teacher_need_figures!C43,IF($G$69=2,C26-Entrant_need_figures!C47,"-"))</f>
        <v>0</v>
      </c>
      <c r="I26" s="563">
        <f>IF($G$69=1,D26-Teacher_need_figures!D43,IF($G$69=2,D26-Entrant_need_figures!D47,IF($G$69=3,D26-FINAL_OUTPUTS_OF_ITT_PLACES!H58,"-")))</f>
        <v>0</v>
      </c>
      <c r="J26" s="563">
        <f>IF($G$69=1,E26-Teacher_need_figures!E43,IF($G$69=2,E26-Entrant_need_figures!E47,"-"))</f>
        <v>0</v>
      </c>
      <c r="K26" s="563">
        <f>IF($G$69=1,F26-Teacher_need_figures!F43,IF($G$69=2,F26-Entrant_need_figures!F47,"-"))</f>
        <v>0</v>
      </c>
      <c r="L26" s="563">
        <f>IF($G$69=1,G26-Teacher_need_figures!G43,IF($G$69=2,G26-Entrant_need_figures!G47,"-"))</f>
        <v>0</v>
      </c>
      <c r="M26" s="1035"/>
    </row>
    <row r="27" spans="1:14" ht="12" customHeight="1">
      <c r="A27" s="1033"/>
      <c r="B27" s="1010" t="s">
        <v>85</v>
      </c>
      <c r="C27" s="431">
        <f>IF($G$69=1,Teacher_need_figures!C19,IF($G$69=2,Entrant_need_figures!C20,"-"))</f>
        <v>318.24964480117319</v>
      </c>
      <c r="D27" s="431">
        <f>IF($G$69=1,Teacher_need_figures!D19,IF($G$69=2,Entrant_need_figures!D20,IF($G$69=3,FINAL_OUTPUTS_OF_ITT_PLACES!G59,"-")))</f>
        <v>316.66378192264295</v>
      </c>
      <c r="E27" s="431">
        <f>IF($G$69=1,Teacher_need_figures!E19,IF($G$69=2,Entrant_need_figures!E20,"-"))</f>
        <v>316.17539575582185</v>
      </c>
      <c r="F27" s="431">
        <f>IF($G$69=1,Teacher_need_figures!F19,IF($G$69=2,Entrant_need_figures!F20,"-"))</f>
        <v>316.8320077141023</v>
      </c>
      <c r="G27" s="1036">
        <f>IF($G$69=1,Teacher_need_figures!G19,IF($G$69=2,Entrant_need_figures!G20,"-"))</f>
        <v>318.22126343422786</v>
      </c>
      <c r="H27" s="1037">
        <f>IF($G$69=1,C27-Teacher_need_figures!C44,IF($G$69=2,C27-Entrant_need_figures!C48,"-"))</f>
        <v>0</v>
      </c>
      <c r="I27" s="563">
        <f>IF($G$69=1,D27-Teacher_need_figures!D44,IF($G$69=2,D27-Entrant_need_figures!D48,IF($G$69=3,D27-FINAL_OUTPUTS_OF_ITT_PLACES!H59,"-")))</f>
        <v>0</v>
      </c>
      <c r="J27" s="563">
        <f>IF($G$69=1,E27-Teacher_need_figures!E44,IF($G$69=2,E27-Entrant_need_figures!E48,"-"))</f>
        <v>0</v>
      </c>
      <c r="K27" s="563">
        <f>IF($G$69=1,F27-Teacher_need_figures!F44,IF($G$69=2,F27-Entrant_need_figures!F48,"-"))</f>
        <v>0</v>
      </c>
      <c r="L27" s="563">
        <f>IF($G$69=1,G27-Teacher_need_figures!G44,IF($G$69=2,G27-Entrant_need_figures!G48,"-"))</f>
        <v>0</v>
      </c>
      <c r="M27" s="1035"/>
    </row>
    <row r="28" spans="1:14" ht="12" customHeight="1">
      <c r="A28" s="1033"/>
      <c r="B28" s="1010" t="s">
        <v>103</v>
      </c>
      <c r="C28" s="431">
        <f>IF($G$69=1,Teacher_need_figures!C20,IF($G$69=2,Entrant_need_figures!C21,"-"))</f>
        <v>7510.2346856737895</v>
      </c>
      <c r="D28" s="431">
        <f>IF($G$69=1,Teacher_need_figures!D20,IF($G$69=2,Entrant_need_figures!D21,IF($G$69=3,FINAL_OUTPUTS_OF_ITT_PLACES!G60,"-")))</f>
        <v>7534.6411432498553</v>
      </c>
      <c r="E28" s="431">
        <f>IF($G$69=1,Teacher_need_figures!E20,IF($G$69=2,Entrant_need_figures!E21,"-"))</f>
        <v>7318.2295859772075</v>
      </c>
      <c r="F28" s="431">
        <f>IF($G$69=1,Teacher_need_figures!F20,IF($G$69=2,Entrant_need_figures!F21,"-"))</f>
        <v>7103.8364078234217</v>
      </c>
      <c r="G28" s="1036">
        <f>IF($G$69=1,Teacher_need_figures!G20,IF($G$69=2,Entrant_need_figures!G21,"-"))</f>
        <v>7103.7888064980007</v>
      </c>
      <c r="H28" s="1037">
        <f>IF($G$69=1,C28-Teacher_need_figures!C45,IF($G$69=2,C28-Entrant_need_figures!C49,"-"))</f>
        <v>0</v>
      </c>
      <c r="I28" s="563">
        <f>IF($G$69=1,D28-Teacher_need_figures!D45,IF($G$69=2,D28-Entrant_need_figures!D49,IF($G$69=3,D28-FINAL_OUTPUTS_OF_ITT_PLACES!H60,"-")))</f>
        <v>0</v>
      </c>
      <c r="J28" s="563">
        <f>IF($G$69=1,E28-Teacher_need_figures!E45,IF($G$69=2,E28-Entrant_need_figures!E49,"-"))</f>
        <v>0</v>
      </c>
      <c r="K28" s="563">
        <f>IF($G$69=1,F28-Teacher_need_figures!F45,IF($G$69=2,F28-Entrant_need_figures!F49,"-"))</f>
        <v>0</v>
      </c>
      <c r="L28" s="563">
        <f>IF($G$69=1,G28-Teacher_need_figures!G45,IF($G$69=2,G28-Entrant_need_figures!G49,"-"))</f>
        <v>0</v>
      </c>
      <c r="M28" s="1035"/>
    </row>
    <row r="29" spans="1:14" ht="12" customHeight="1">
      <c r="A29" s="1033"/>
      <c r="B29" s="1010" t="s">
        <v>559</v>
      </c>
      <c r="C29" s="431">
        <f>IF($G$69=1,Teacher_need_figures!C21,IF($G$69=2,Entrant_need_figures!C22,"-"))</f>
        <v>10441.074820779617</v>
      </c>
      <c r="D29" s="431">
        <f>IF($G$69=1,Teacher_need_figures!D21,IF($G$69=2,Entrant_need_figures!D22,IF($G$69=3,FINAL_OUTPUTS_OF_ITT_PLACES!G61,"-")))</f>
        <v>10527.780594865922</v>
      </c>
      <c r="E29" s="431">
        <f>IF($G$69=1,Teacher_need_figures!E21,IF($G$69=2,Entrant_need_figures!E22,"-"))</f>
        <v>10281.479861267137</v>
      </c>
      <c r="F29" s="431">
        <f>IF($G$69=1,Teacher_need_figures!F21,IF($G$69=2,Entrant_need_figures!F22,"-"))</f>
        <v>10046.130655005754</v>
      </c>
      <c r="G29" s="1036">
        <f>IF($G$69=1,Teacher_need_figures!G21,IF($G$69=2,Entrant_need_figures!G22,"-"))</f>
        <v>10046.550813318294</v>
      </c>
      <c r="H29" s="1037">
        <f>IF($G$69=1,C29-Teacher_need_figures!C46,IF($G$69=2,C29-Entrant_need_figures!C50,"-"))</f>
        <v>0</v>
      </c>
      <c r="I29" s="563">
        <f>IF($G$69=1,D29-Teacher_need_figures!D46,IF($G$69=2,D29-Entrant_need_figures!D50,IF($G$69=3,D29-FINAL_OUTPUTS_OF_ITT_PLACES!H61,"-")))</f>
        <v>0</v>
      </c>
      <c r="J29" s="563">
        <f>IF($G$69=1,E29-Teacher_need_figures!E46,IF($G$69=2,E29-Entrant_need_figures!E50,"-"))</f>
        <v>0</v>
      </c>
      <c r="K29" s="563">
        <f>IF($G$69=1,F29-Teacher_need_figures!F46,IF($G$69=2,F29-Entrant_need_figures!F50,"-"))</f>
        <v>0</v>
      </c>
      <c r="L29" s="563">
        <f>IF($G$69=1,G29-Teacher_need_figures!G46,IF($G$69=2,G29-Entrant_need_figures!G50,"-"))</f>
        <v>0</v>
      </c>
      <c r="M29" s="1035"/>
    </row>
    <row r="30" spans="1:14" ht="12" customHeight="1">
      <c r="A30" s="1033"/>
      <c r="B30" s="1010" t="s">
        <v>6</v>
      </c>
      <c r="C30" s="431">
        <f>IF($G$69=1,Teacher_need_figures!C22,IF($G$69=2,Entrant_need_figures!C23,"-"))</f>
        <v>4997.2888230103827</v>
      </c>
      <c r="D30" s="431">
        <f>IF($G$69=1,Teacher_need_figures!D22,IF($G$69=2,Entrant_need_figures!D23,IF($G$69=3,FINAL_OUTPUTS_OF_ITT_PLACES!G62,"-")))</f>
        <v>5025.8114145193067</v>
      </c>
      <c r="E30" s="431">
        <f>IF($G$69=1,Teacher_need_figures!E22,IF($G$69=2,Entrant_need_figures!E23,"-"))</f>
        <v>5018.1325596308079</v>
      </c>
      <c r="F30" s="431">
        <f>IF($G$69=1,Teacher_need_figures!F22,IF($G$69=2,Entrant_need_figures!F23,"-"))</f>
        <v>5020.895461785487</v>
      </c>
      <c r="G30" s="1036">
        <f>IF($G$69=1,Teacher_need_figures!G22,IF($G$69=2,Entrant_need_figures!G23,"-"))</f>
        <v>5020.0737628608276</v>
      </c>
      <c r="H30" s="1037">
        <f>IF($G$69=1,C30-Teacher_need_figures!C47,IF($G$69=2,C30-Entrant_need_figures!C51,"-"))</f>
        <v>0</v>
      </c>
      <c r="I30" s="563">
        <f>IF($G$69=1,D30-Teacher_need_figures!D47,IF($G$69=2,D30-Entrant_need_figures!D51,IF($G$69=3,D30-FINAL_OUTPUTS_OF_ITT_PLACES!H62,"-")))</f>
        <v>0</v>
      </c>
      <c r="J30" s="563">
        <f>IF($G$69=1,E30-Teacher_need_figures!E47,IF($G$69=2,E30-Entrant_need_figures!E51,"-"))</f>
        <v>0</v>
      </c>
      <c r="K30" s="563">
        <f>IF($G$69=1,F30-Teacher_need_figures!F47,IF($G$69=2,F30-Entrant_need_figures!F51,"-"))</f>
        <v>0</v>
      </c>
      <c r="L30" s="563">
        <f>IF($G$69=1,G30-Teacher_need_figures!G47,IF($G$69=2,G30-Entrant_need_figures!G51,"-"))</f>
        <v>0</v>
      </c>
      <c r="M30" s="1035"/>
    </row>
    <row r="31" spans="1:14" ht="12" customHeight="1">
      <c r="A31" s="1033"/>
      <c r="B31" s="1010" t="s">
        <v>1</v>
      </c>
      <c r="C31" s="431">
        <f>IF($G$69=1,Teacher_need_figures!C23,IF($G$69=2,Entrant_need_figures!C24,"-"))</f>
        <v>30045.430109827248</v>
      </c>
      <c r="D31" s="431">
        <f>IF($G$69=1,Teacher_need_figures!D23,IF($G$69=2,Entrant_need_figures!D24,IF($G$69=3,FINAL_OUTPUTS_OF_ITT_PLACES!G63,"-")))</f>
        <v>30333.400701627972</v>
      </c>
      <c r="E31" s="431">
        <f>IF($G$69=1,Teacher_need_figures!E23,IF($G$69=2,Entrant_need_figures!E24,"-"))</f>
        <v>30740.580743117873</v>
      </c>
      <c r="F31" s="431">
        <f>IF($G$69=1,Teacher_need_figures!F23,IF($G$69=2,Entrant_need_figures!F24,"-"))</f>
        <v>31138.164239620182</v>
      </c>
      <c r="G31" s="1036">
        <f>IF($G$69=1,Teacher_need_figures!G23,IF($G$69=2,Entrant_need_figures!G24,"-"))</f>
        <v>31431.480605286102</v>
      </c>
      <c r="H31" s="1037">
        <f>IF($G$69=1,C31-Teacher_need_figures!C48,IF($G$69=2,C31-Entrant_need_figures!C52,"-"))</f>
        <v>0</v>
      </c>
      <c r="I31" s="563">
        <f>IF($G$69=1,D31-Teacher_need_figures!D48,IF($G$69=2,D31-Entrant_need_figures!D52,IF($G$69=3,D31-FINAL_OUTPUTS_OF_ITT_PLACES!H63,"-")))</f>
        <v>0</v>
      </c>
      <c r="J31" s="563">
        <f>IF($G$69=1,E31-Teacher_need_figures!E48,IF($G$69=2,E31-Entrant_need_figures!E52,"-"))</f>
        <v>0</v>
      </c>
      <c r="K31" s="563">
        <f>IF($G$69=1,F31-Teacher_need_figures!F48,IF($G$69=2,F31-Entrant_need_figures!F52,"-"))</f>
        <v>0</v>
      </c>
      <c r="L31" s="563">
        <f>IF($G$69=1,G31-Teacher_need_figures!G48,IF($G$69=2,G31-Entrant_need_figures!G52,"-"))</f>
        <v>0</v>
      </c>
      <c r="M31" s="1035"/>
    </row>
    <row r="32" spans="1:14" ht="12" customHeight="1">
      <c r="A32" s="1033"/>
      <c r="B32" s="1010" t="s">
        <v>396</v>
      </c>
      <c r="C32" s="431">
        <f>IF($G$69=1,Teacher_need_figures!C24,IF($G$69=2,Entrant_need_figures!C25,"-"))</f>
        <v>2075.8992087342663</v>
      </c>
      <c r="D32" s="431">
        <f>IF($G$69=1,Teacher_need_figures!D24,IF($G$69=2,Entrant_need_figures!D25,IF($G$69=3,FINAL_OUTPUTS_OF_ITT_PLACES!G64,"-")))</f>
        <v>2088.5494776737537</v>
      </c>
      <c r="E32" s="431">
        <f>IF($G$69=1,Teacher_need_figures!E24,IF($G$69=2,Entrant_need_figures!E25,"-"))</f>
        <v>2020.5594005340956</v>
      </c>
      <c r="F32" s="431">
        <f>IF($G$69=1,Teacher_need_figures!F24,IF($G$69=2,Entrant_need_figures!F25,"-"))</f>
        <v>1945.3740580544352</v>
      </c>
      <c r="G32" s="1036">
        <f>IF($G$69=1,Teacher_need_figures!G24,IF($G$69=2,Entrant_need_figures!G25,"-"))</f>
        <v>1944.7047009758676</v>
      </c>
      <c r="H32" s="1037">
        <f>IF($G$69=1,C32-Teacher_need_figures!C49,IF($G$69=2,C32-Entrant_need_figures!C53,"-"))</f>
        <v>0</v>
      </c>
      <c r="I32" s="563">
        <f>IF($G$69=1,D32-Teacher_need_figures!D49,IF($G$69=2,D32-Entrant_need_figures!D53,IF($G$69=3,D32-FINAL_OUTPUTS_OF_ITT_PLACES!H64,"-")))</f>
        <v>0</v>
      </c>
      <c r="J32" s="563">
        <f>IF($G$69=1,E32-Teacher_need_figures!E49,IF($G$69=2,E32-Entrant_need_figures!E53,"-"))</f>
        <v>0</v>
      </c>
      <c r="K32" s="563">
        <f>IF($G$69=1,F32-Teacher_need_figures!F49,IF($G$69=2,F32-Entrant_need_figures!F53,"-"))</f>
        <v>0</v>
      </c>
      <c r="L32" s="563">
        <f>IF($G$69=1,G32-Teacher_need_figures!G49,IF($G$69=2,G32-Entrant_need_figures!G53,"-"))</f>
        <v>0</v>
      </c>
      <c r="M32" s="1035"/>
    </row>
    <row r="33" spans="1:26" ht="12" customHeight="1">
      <c r="A33" s="1033"/>
      <c r="B33" s="1010" t="s">
        <v>4</v>
      </c>
      <c r="C33" s="431">
        <f>IF($G$69=1,Teacher_need_figures!C25,IF($G$69=2,Entrant_need_figures!C26,"-"))</f>
        <v>10518.362186302702</v>
      </c>
      <c r="D33" s="431">
        <f>IF($G$69=1,Teacher_need_figures!D25,IF($G$69=2,Entrant_need_figures!D26,IF($G$69=3,FINAL_OUTPUTS_OF_ITT_PLACES!G65,"-")))</f>
        <v>10592.197160123502</v>
      </c>
      <c r="E33" s="431">
        <f>IF($G$69=1,Teacher_need_figures!E25,IF($G$69=2,Entrant_need_figures!E26,"-"))</f>
        <v>10991.644935793051</v>
      </c>
      <c r="F33" s="431">
        <f>IF($G$69=1,Teacher_need_figures!F25,IF($G$69=2,Entrant_need_figures!F26,"-"))</f>
        <v>11415.269146232955</v>
      </c>
      <c r="G33" s="1036">
        <f>IF($G$69=1,Teacher_need_figures!G25,IF($G$69=2,Entrant_need_figures!G26,"-"))</f>
        <v>11567.794354132981</v>
      </c>
      <c r="H33" s="1037">
        <f>IF($G$69=1,C33-Teacher_need_figures!C50,IF($G$69=2,C33-Entrant_need_figures!C54,"-"))</f>
        <v>0</v>
      </c>
      <c r="I33" s="563">
        <f>IF($G$69=1,D33-Teacher_need_figures!D50,IF($G$69=2,D33-Entrant_need_figures!D54,IF($G$69=3,D33-FINAL_OUTPUTS_OF_ITT_PLACES!H65,"-")))</f>
        <v>0</v>
      </c>
      <c r="J33" s="563">
        <f>IF($G$69=1,E33-Teacher_need_figures!E50,IF($G$69=2,E33-Entrant_need_figures!E54,"-"))</f>
        <v>0</v>
      </c>
      <c r="K33" s="563">
        <f>IF($G$69=1,F33-Teacher_need_figures!F50,IF($G$69=2,F33-Entrant_need_figures!F54,"-"))</f>
        <v>0</v>
      </c>
      <c r="L33" s="563">
        <f>IF($G$69=1,G33-Teacher_need_figures!G50,IF($G$69=2,G33-Entrant_need_figures!G54,"-"))</f>
        <v>0</v>
      </c>
      <c r="M33" s="1035"/>
    </row>
    <row r="34" spans="1:26" ht="12" customHeight="1">
      <c r="A34" s="1033"/>
      <c r="B34" s="1010" t="s">
        <v>0</v>
      </c>
      <c r="C34" s="431">
        <f>IF($G$69=1,Teacher_need_figures!C26,IF($G$69=2,Entrant_need_figures!C27,"-"))</f>
        <v>11192.678423023735</v>
      </c>
      <c r="D34" s="431">
        <f>IF($G$69=1,Teacher_need_figures!D26,IF($G$69=2,Entrant_need_figures!D27,IF($G$69=3,FINAL_OUTPUTS_OF_ITT_PLACES!G66,"-")))</f>
        <v>11256.687485244267</v>
      </c>
      <c r="E34" s="431">
        <f>IF($G$69=1,Teacher_need_figures!E26,IF($G$69=2,Entrant_need_figures!E27,"-"))</f>
        <v>11599.369617515154</v>
      </c>
      <c r="F34" s="431">
        <f>IF($G$69=1,Teacher_need_figures!F26,IF($G$69=2,Entrant_need_figures!F27,"-"))</f>
        <v>11967.19602921409</v>
      </c>
      <c r="G34" s="1036">
        <f>IF($G$69=1,Teacher_need_figures!G26,IF($G$69=2,Entrant_need_figures!G27,"-"))</f>
        <v>12089.537654010986</v>
      </c>
      <c r="H34" s="1037">
        <f>IF($G$69=1,C34-Teacher_need_figures!C51,IF($G$69=2,C34-Entrant_need_figures!C55,"-"))</f>
        <v>0</v>
      </c>
      <c r="I34" s="563">
        <f>IF($G$69=1,D34-Teacher_need_figures!D51,IF($G$69=2,D34-Entrant_need_figures!D55,IF($G$69=3,D34-FINAL_OUTPUTS_OF_ITT_PLACES!H66,"-")))</f>
        <v>0</v>
      </c>
      <c r="J34" s="563">
        <f>IF($G$69=1,E34-Teacher_need_figures!E51,IF($G$69=2,E34-Entrant_need_figures!E55,"-"))</f>
        <v>0</v>
      </c>
      <c r="K34" s="563">
        <f>IF($G$69=1,F34-Teacher_need_figures!F51,IF($G$69=2,F34-Entrant_need_figures!F55,"-"))</f>
        <v>0</v>
      </c>
      <c r="L34" s="563">
        <f>IF($G$69=1,G34-Teacher_need_figures!G51,IF($G$69=2,G34-Entrant_need_figures!G55,"-"))</f>
        <v>0</v>
      </c>
      <c r="M34" s="1035"/>
    </row>
    <row r="35" spans="1:26" ht="12" customHeight="1">
      <c r="A35" s="1033"/>
      <c r="B35" s="1010" t="s">
        <v>560</v>
      </c>
      <c r="C35" s="431">
        <f>IF($G$69=1,Teacher_need_figures!C27,IF($G$69=2,Entrant_need_figures!C28,"-"))</f>
        <v>31128.110157317467</v>
      </c>
      <c r="D35" s="431">
        <f>IF($G$69=1,Teacher_need_figures!D27,IF($G$69=2,Entrant_need_figures!D28,IF($G$69=3,FINAL_OUTPUTS_OF_ITT_PLACES!G67,"-")))</f>
        <v>31665.531388362488</v>
      </c>
      <c r="E35" s="431">
        <f>IF($G$69=1,Teacher_need_figures!E27,IF($G$69=2,Entrant_need_figures!E28,"-"))</f>
        <v>32100.361692253198</v>
      </c>
      <c r="F35" s="431">
        <f>IF($G$69=1,Teacher_need_figures!F27,IF($G$69=2,Entrant_need_figures!F28,"-"))</f>
        <v>32582.828012347269</v>
      </c>
      <c r="G35" s="1036">
        <f>IF($G$69=1,Teacher_need_figures!G27,IF($G$69=2,Entrant_need_figures!G28,"-"))</f>
        <v>33003.668201745655</v>
      </c>
      <c r="H35" s="1037">
        <f>IF($G$69=1,C35-Teacher_need_figures!C52,IF($G$69=2,C35-Entrant_need_figures!C56,"-"))</f>
        <v>0</v>
      </c>
      <c r="I35" s="563">
        <f>IF($G$69=1,D35-Teacher_need_figures!D52,IF($G$69=2,D35-Entrant_need_figures!D56,IF($G$69=3,D35-FINAL_OUTPUTS_OF_ITT_PLACES!H67,"-")))</f>
        <v>0</v>
      </c>
      <c r="J35" s="563">
        <f>IF($G$69=1,E35-Teacher_need_figures!E52,IF($G$69=2,E35-Entrant_need_figures!E56,"-"))</f>
        <v>0</v>
      </c>
      <c r="K35" s="563">
        <f>IF($G$69=1,F35-Teacher_need_figures!F52,IF($G$69=2,F35-Entrant_need_figures!F56,"-"))</f>
        <v>0</v>
      </c>
      <c r="L35" s="563">
        <f>IF($G$69=1,G35-Teacher_need_figures!G52,IF($G$69=2,G35-Entrant_need_figures!G56,"-"))</f>
        <v>0</v>
      </c>
      <c r="M35" s="1035"/>
    </row>
    <row r="36" spans="1:26" ht="12" customHeight="1">
      <c r="A36" s="1033"/>
      <c r="B36" s="1010" t="s">
        <v>561</v>
      </c>
      <c r="C36" s="431">
        <f>IF($G$69=1,Teacher_need_figures!C28,IF($G$69=2,Entrant_need_figures!C29,"-"))</f>
        <v>14939.764306075618</v>
      </c>
      <c r="D36" s="431">
        <f>IF($G$69=1,Teacher_need_figures!D28,IF($G$69=2,Entrant_need_figures!D29,IF($G$69=3,FINAL_OUTPUTS_OF_ITT_PLACES!G68,"-")))</f>
        <v>15070.257443396837</v>
      </c>
      <c r="E36" s="431">
        <f>IF($G$69=1,Teacher_need_figures!E28,IF($G$69=2,Entrant_need_figures!E29,"-"))</f>
        <v>16557.230196768789</v>
      </c>
      <c r="F36" s="431">
        <f>IF($G$69=1,Teacher_need_figures!F28,IF($G$69=2,Entrant_need_figures!F29,"-"))</f>
        <v>18106.97526873889</v>
      </c>
      <c r="G36" s="1036">
        <f>IF($G$69=1,Teacher_need_figures!G28,IF($G$69=2,Entrant_need_figures!G29,"-"))</f>
        <v>18695.254319919968</v>
      </c>
      <c r="H36" s="1037">
        <f>IF($G$69=1,C36-Teacher_need_figures!C53,IF($G$69=2,C36-Entrant_need_figures!C57,"-"))</f>
        <v>0</v>
      </c>
      <c r="I36" s="563">
        <f>IF($G$69=1,D36-Teacher_need_figures!D53,IF($G$69=2,D36-Entrant_need_figures!D57,IF($G$69=3,D36-FINAL_OUTPUTS_OF_ITT_PLACES!H68,"-")))</f>
        <v>0</v>
      </c>
      <c r="J36" s="563">
        <f>IF($G$69=1,E36-Teacher_need_figures!E53,IF($G$69=2,E36-Entrant_need_figures!E57,"-"))</f>
        <v>0</v>
      </c>
      <c r="K36" s="563">
        <f>IF($G$69=1,F36-Teacher_need_figures!F53,IF($G$69=2,F36-Entrant_need_figures!F57,"-"))</f>
        <v>0</v>
      </c>
      <c r="L36" s="563">
        <f>IF($G$69=1,G36-Teacher_need_figures!G53,IF($G$69=2,G36-Entrant_need_figures!G57,"-"))</f>
        <v>0</v>
      </c>
      <c r="M36" s="1035"/>
    </row>
    <row r="37" spans="1:26" ht="12" customHeight="1">
      <c r="A37" s="1033"/>
      <c r="B37" s="1010" t="s">
        <v>5</v>
      </c>
      <c r="C37" s="431">
        <f>IF($G$69=1,Teacher_need_figures!C29,IF($G$69=2,Entrant_need_figures!C30,"-"))</f>
        <v>5182.1227072399643</v>
      </c>
      <c r="D37" s="431">
        <f>IF($G$69=1,Teacher_need_figures!D29,IF($G$69=2,Entrant_need_figures!D30,IF($G$69=3,FINAL_OUTPUTS_OF_ITT_PLACES!G69,"-")))</f>
        <v>5224.0051096452526</v>
      </c>
      <c r="E37" s="431">
        <f>IF($G$69=1,Teacher_need_figures!E29,IF($G$69=2,Entrant_need_figures!E30,"-"))</f>
        <v>5274.0985798285237</v>
      </c>
      <c r="F37" s="431">
        <f>IF($G$69=1,Teacher_need_figures!F29,IF($G$69=2,Entrant_need_figures!F30,"-"))</f>
        <v>5340.7515597968822</v>
      </c>
      <c r="G37" s="1036">
        <f>IF($G$69=1,Teacher_need_figures!G29,IF($G$69=2,Entrant_need_figures!G30,"-"))</f>
        <v>5392.9701813324909</v>
      </c>
      <c r="H37" s="1037">
        <f>IF($G$69=1,C37-Teacher_need_figures!C54,IF($G$69=2,C37-Entrant_need_figures!C58,"-"))</f>
        <v>0</v>
      </c>
      <c r="I37" s="563">
        <f>IF($G$69=1,D37-Teacher_need_figures!D54,IF($G$69=2,D37-Entrant_need_figures!D58,IF($G$69=3,D37-FINAL_OUTPUTS_OF_ITT_PLACES!H69,"-")))</f>
        <v>0</v>
      </c>
      <c r="J37" s="563">
        <f>IF($G$69=1,E37-Teacher_need_figures!E54,IF($G$69=2,E37-Entrant_need_figures!E58,"-"))</f>
        <v>0</v>
      </c>
      <c r="K37" s="563">
        <f>IF($G$69=1,F37-Teacher_need_figures!F54,IF($G$69=2,F37-Entrant_need_figures!F58,"-"))</f>
        <v>0</v>
      </c>
      <c r="L37" s="563">
        <f>IF($G$69=1,G37-Teacher_need_figures!G54,IF($G$69=2,G37-Entrant_need_figures!G58,"-"))</f>
        <v>0</v>
      </c>
      <c r="M37" s="1035"/>
    </row>
    <row r="38" spans="1:26" ht="12" customHeight="1">
      <c r="A38" s="1033"/>
      <c r="B38" s="1010" t="s">
        <v>44</v>
      </c>
      <c r="C38" s="431">
        <f>IF($G$69=1,Teacher_need_figures!C30,IF($G$69=2,Entrant_need_figures!C31,"-"))</f>
        <v>14320.519643904654</v>
      </c>
      <c r="D38" s="431">
        <f>IF($G$69=1,Teacher_need_figures!D30,IF($G$69=2,Entrant_need_figures!D31,IF($G$69=3,FINAL_OUTPUTS_OF_ITT_PLACES!G70,"-")))</f>
        <v>14167.017824214381</v>
      </c>
      <c r="E38" s="431">
        <f>IF($G$69=1,Teacher_need_figures!E30,IF($G$69=2,Entrant_need_figures!E31,"-"))</f>
        <v>13644.45192629548</v>
      </c>
      <c r="F38" s="431">
        <f>IF($G$69=1,Teacher_need_figures!F30,IF($G$69=2,Entrant_need_figures!F31,"-"))</f>
        <v>13168.958005566721</v>
      </c>
      <c r="G38" s="1036">
        <f>IF($G$69=1,Teacher_need_figures!G30,IF($G$69=2,Entrant_need_figures!G31,"-"))</f>
        <v>13028.336477663877</v>
      </c>
      <c r="H38" s="1037">
        <f>IF($G$69=1,C38-Teacher_need_figures!C55,IF($G$69=2,C38-Entrant_need_figures!C59,"-"))</f>
        <v>0</v>
      </c>
      <c r="I38" s="563">
        <f>IF($G$69=1,D38-Teacher_need_figures!D55,IF($G$69=2,D38-Entrant_need_figures!D59,IF($G$69=3,D38-FINAL_OUTPUTS_OF_ITT_PLACES!H70,"-")))</f>
        <v>0</v>
      </c>
      <c r="J38" s="563">
        <f>IF($G$69=1,E38-Teacher_need_figures!E55,IF($G$69=2,E38-Entrant_need_figures!E59,"-"))</f>
        <v>0</v>
      </c>
      <c r="K38" s="563">
        <f>IF($G$69=1,F38-Teacher_need_figures!F55,IF($G$69=2,F38-Entrant_need_figures!F59,"-"))</f>
        <v>0</v>
      </c>
      <c r="L38" s="563">
        <f>IF($G$69=1,G38-Teacher_need_figures!G55,IF($G$69=2,G38-Entrant_need_figures!G59,"-"))</f>
        <v>0</v>
      </c>
      <c r="M38" s="1035"/>
    </row>
    <row r="39" spans="1:26" ht="12" customHeight="1">
      <c r="A39" s="1033"/>
      <c r="B39" s="1010" t="s">
        <v>562</v>
      </c>
      <c r="C39" s="431">
        <f>IF($G$69=1,Teacher_need_figures!C31,IF($G$69=2,Entrant_need_figures!C32,"-"))</f>
        <v>16924.886854184697</v>
      </c>
      <c r="D39" s="431">
        <f>IF($G$69=1,Teacher_need_figures!D31,IF($G$69=2,Entrant_need_figures!D32,IF($G$69=3,FINAL_OUTPUTS_OF_ITT_PLACES!G71,"-")))</f>
        <v>17045.013299898539</v>
      </c>
      <c r="E39" s="431">
        <f>IF($G$69=1,Teacher_need_figures!E31,IF($G$69=2,Entrant_need_figures!E32,"-"))</f>
        <v>16956.087003196979</v>
      </c>
      <c r="F39" s="431">
        <f>IF($G$69=1,Teacher_need_figures!F31,IF($G$69=2,Entrant_need_figures!F32,"-"))</f>
        <v>16863.039703106369</v>
      </c>
      <c r="G39" s="1036">
        <f>IF($G$69=1,Teacher_need_figures!G31,IF($G$69=2,Entrant_need_figures!G32,"-"))</f>
        <v>16951.559238171318</v>
      </c>
      <c r="H39" s="1037">
        <f>IF($G$69=1,C39-Teacher_need_figures!C56,IF($G$69=2,C39-Entrant_need_figures!C60,"-"))</f>
        <v>0</v>
      </c>
      <c r="I39" s="563">
        <f>IF($G$69=1,D39-Teacher_need_figures!D56,IF($G$69=2,D39-Entrant_need_figures!D60,IF($G$69=3,D39-FINAL_OUTPUTS_OF_ITT_PLACES!H71,"-")))</f>
        <v>0</v>
      </c>
      <c r="J39" s="563">
        <f>IF($G$69=1,E39-Teacher_need_figures!E56,IF($G$69=2,E39-Entrant_need_figures!E60,"-"))</f>
        <v>0</v>
      </c>
      <c r="K39" s="563">
        <f>IF($G$69=1,F39-Teacher_need_figures!F56,IF($G$69=2,F39-Entrant_need_figures!F60,"-"))</f>
        <v>0</v>
      </c>
      <c r="L39" s="563">
        <f>IF($G$69=1,G39-Teacher_need_figures!G56,IF($G$69=2,G39-Entrant_need_figures!G60,"-"))</f>
        <v>0</v>
      </c>
      <c r="M39" s="1035"/>
    </row>
    <row r="40" spans="1:26">
      <c r="A40" s="1033"/>
      <c r="B40" s="1010" t="s">
        <v>2</v>
      </c>
      <c r="C40" s="431">
        <f>IF($G$69=1,Teacher_need_figures!C32,IF($G$69=2,Entrant_need_figures!C33,"-"))</f>
        <v>10725.251800299693</v>
      </c>
      <c r="D40" s="431">
        <f>IF($G$69=1,Teacher_need_figures!D32,IF($G$69=2,Entrant_need_figures!D33,IF($G$69=3,FINAL_OUTPUTS_OF_ITT_PLACES!G72,"-")))</f>
        <v>10795.237162264597</v>
      </c>
      <c r="E40" s="431">
        <f>IF($G$69=1,Teacher_need_figures!E32,IF($G$69=2,Entrant_need_figures!E33,"-"))</f>
        <v>10936.738865252666</v>
      </c>
      <c r="F40" s="431">
        <f>IF($G$69=1,Teacher_need_figures!F32,IF($G$69=2,Entrant_need_figures!F33,"-"))</f>
        <v>11065.944998845214</v>
      </c>
      <c r="G40" s="1036">
        <f>IF($G$69=1,Teacher_need_figures!G32,IF($G$69=2,Entrant_need_figures!G33,"-"))</f>
        <v>11162.671456202223</v>
      </c>
      <c r="H40" s="1037">
        <f>IF($G$69=1,C40-Teacher_need_figures!C57,IF($G$69=2,C40-Entrant_need_figures!C61,"-"))</f>
        <v>0</v>
      </c>
      <c r="I40" s="563">
        <f>IF($G$69=1,D40-Teacher_need_figures!D57,IF($G$69=2,D40-Entrant_need_figures!D61,IF($G$69=3,D40-FINAL_OUTPUTS_OF_ITT_PLACES!H72,"-")))</f>
        <v>0</v>
      </c>
      <c r="J40" s="563">
        <f>IF($G$69=1,E40-Teacher_need_figures!E57,IF($G$69=2,E40-Entrant_need_figures!E61,"-"))</f>
        <v>0</v>
      </c>
      <c r="K40" s="563">
        <f>IF($G$69=1,F40-Teacher_need_figures!F57,IF($G$69=2,F40-Entrant_need_figures!F61,"-"))</f>
        <v>0</v>
      </c>
      <c r="L40" s="563">
        <f>IF($G$69=1,G40-Teacher_need_figures!G57,IF($G$69=2,G40-Entrant_need_figures!G61,"-"))</f>
        <v>0</v>
      </c>
      <c r="M40" s="1035"/>
    </row>
    <row r="41" spans="1:26">
      <c r="A41" s="1033"/>
      <c r="B41" s="1010" t="s">
        <v>563</v>
      </c>
      <c r="C41" s="431">
        <f>IF($G$69=1,Teacher_need_figures!C33,IF($G$69=2,Entrant_need_figures!C34,"-"))</f>
        <v>7377.2618621307392</v>
      </c>
      <c r="D41" s="431">
        <f>IF($G$69=1,Teacher_need_figures!D33,IF($G$69=2,Entrant_need_figures!D34,IF($G$69=3,FINAL_OUTPUTS_OF_ITT_PLACES!G73,"-")))</f>
        <v>7422.7824256240674</v>
      </c>
      <c r="E41" s="431">
        <f>IF($G$69=1,Teacher_need_figures!E33,IF($G$69=2,Entrant_need_figures!E34,"-"))</f>
        <v>7500.1802969344735</v>
      </c>
      <c r="F41" s="431">
        <f>IF($G$69=1,Teacher_need_figures!F33,IF($G$69=2,Entrant_need_figures!F34,"-"))</f>
        <v>7582.9020625192106</v>
      </c>
      <c r="G41" s="1036">
        <f>IF($G$69=1,Teacher_need_figures!G33,IF($G$69=2,Entrant_need_figures!G34,"-"))</f>
        <v>7654.767656974067</v>
      </c>
      <c r="H41" s="1037">
        <f>IF($G$69=1,C41-Teacher_need_figures!C58,IF($G$69=2,C41-Entrant_need_figures!C62,"-"))</f>
        <v>0</v>
      </c>
      <c r="I41" s="563">
        <f>IF($G$69=1,D41-Teacher_need_figures!D58,IF($G$69=2,D41-Entrant_need_figures!D62,IF($G$69=3,D41-FINAL_OUTPUTS_OF_ITT_PLACES!H73,"-")))</f>
        <v>0</v>
      </c>
      <c r="J41" s="563">
        <f>IF($G$69=1,E41-Teacher_need_figures!E58,IF($G$69=2,E41-Entrant_need_figures!E62,"-"))</f>
        <v>0</v>
      </c>
      <c r="K41" s="563">
        <f>IF($G$69=1,F41-Teacher_need_figures!F58,IF($G$69=2,F41-Entrant_need_figures!F62,"-"))</f>
        <v>0</v>
      </c>
      <c r="L41" s="563">
        <f>IF($G$69=1,G41-Teacher_need_figures!G58,IF($G$69=2,G41-Entrant_need_figures!G62,"-"))</f>
        <v>0</v>
      </c>
      <c r="M41" s="1035"/>
    </row>
    <row r="42" spans="1:26">
      <c r="A42" s="1033"/>
      <c r="B42" s="1010" t="s">
        <v>245</v>
      </c>
      <c r="C42" s="431">
        <f>IF($G$69=1,Teacher_need_figures!C34,IF($G$69=2,Entrant_need_figures!C35,"-"))</f>
        <v>213976.00504540943</v>
      </c>
      <c r="D42" s="431">
        <f>IF($G$69=1,Teacher_need_figures!D34,IF($G$69=2,Entrant_need_figures!D35,IF($G$69=3,FINAL_OUTPUTS_OF_ITT_PLACES!G74,"-")))</f>
        <v>215448.23496505464</v>
      </c>
      <c r="E42" s="431">
        <f>IF($G$69=1,Teacher_need_figures!E34,IF($G$69=2,Entrant_need_figures!E35,"-"))</f>
        <v>217665.58493798462</v>
      </c>
      <c r="F42" s="431">
        <f>IF($G$69=1,Teacher_need_figures!F34,IF($G$69=2,Entrant_need_figures!F35,"-"))</f>
        <v>220113.00223502028</v>
      </c>
      <c r="G42" s="1036">
        <f>IF($G$69=1,Teacher_need_figures!G34,IF($G$69=2,Entrant_need_figures!G35,"-"))</f>
        <v>222083.21597704067</v>
      </c>
      <c r="H42" s="1037">
        <f>IF($G$69=1,C42-Teacher_need_figures!C59,IF($G$69=2,C42-Entrant_need_figures!C63,"-"))</f>
        <v>0</v>
      </c>
      <c r="I42" s="563">
        <f>IF($G$69=1,D42-Teacher_need_figures!D59,IF($G$69=2,D42-Entrant_need_figures!D63,IF($G$69=3,D42-FINAL_OUTPUTS_OF_ITT_PLACES!H74,"-")))</f>
        <v>0</v>
      </c>
      <c r="J42" s="563">
        <f>IF($G$69=1,E42-Teacher_need_figures!E59,IF($G$69=2,E42-Entrant_need_figures!E63,"-"))</f>
        <v>0</v>
      </c>
      <c r="K42" s="563">
        <f>IF($G$69=1,F42-Teacher_need_figures!F59,IF($G$69=2,F42-Entrant_need_figures!F63,"-"))</f>
        <v>0</v>
      </c>
      <c r="L42" s="563">
        <f>IF($G$69=1,G42-Teacher_need_figures!G59,IF($G$69=2,G42-Entrant_need_figures!G63,"-"))</f>
        <v>0</v>
      </c>
      <c r="M42" s="1035"/>
    </row>
    <row r="43" spans="1:26" s="1038" customFormat="1"/>
    <row r="44" spans="1:26" ht="20.25">
      <c r="B44" s="1124" t="s">
        <v>1533</v>
      </c>
      <c r="C44" s="1125"/>
      <c r="D44" s="1126"/>
      <c r="E44" s="1039"/>
      <c r="F44" s="1040"/>
      <c r="G44" s="1127" t="s">
        <v>1543</v>
      </c>
      <c r="H44" s="1128"/>
      <c r="I44" s="1128"/>
      <c r="J44" s="1128"/>
      <c r="K44" s="1129"/>
      <c r="N44" s="1130" t="s">
        <v>1534</v>
      </c>
      <c r="O44" s="1130"/>
      <c r="P44" s="1130"/>
      <c r="Q44" s="1130"/>
      <c r="R44" s="1130"/>
      <c r="S44" s="1041"/>
      <c r="T44" s="1130" t="s">
        <v>1535</v>
      </c>
      <c r="U44" s="1130"/>
      <c r="V44" s="1130"/>
      <c r="W44" s="1130"/>
      <c r="X44" s="1130"/>
      <c r="Y44" s="1041"/>
      <c r="Z44" s="1040"/>
    </row>
    <row r="45" spans="1:26">
      <c r="C45" s="1042"/>
      <c r="D45" s="1042"/>
      <c r="E45" s="1042"/>
      <c r="F45" s="1042"/>
      <c r="N45" s="1040"/>
      <c r="O45" s="1040"/>
      <c r="P45" s="1040"/>
      <c r="Q45" s="1040"/>
      <c r="R45" s="1040"/>
      <c r="S45" s="1040"/>
      <c r="T45" s="1042"/>
      <c r="U45" s="1040"/>
      <c r="V45" s="1040"/>
      <c r="W45" s="1040"/>
      <c r="X45" s="1040"/>
      <c r="Y45" s="1040"/>
      <c r="Z45" s="1040"/>
    </row>
    <row r="69" spans="2:14">
      <c r="B69" s="1027" t="str">
        <f>INDEX($B$22:$B$42,C69,1)</f>
        <v>Modern Foreign Languages</v>
      </c>
      <c r="C69" s="1027">
        <v>15</v>
      </c>
      <c r="E69" s="1043" t="s">
        <v>1536</v>
      </c>
      <c r="G69" s="1027">
        <v>1</v>
      </c>
    </row>
    <row r="70" spans="2:14">
      <c r="B70" s="1027" t="str">
        <f>INDEX($B$22:$B$42,C70,1)</f>
        <v>Geography</v>
      </c>
      <c r="C70" s="1027">
        <v>12</v>
      </c>
      <c r="E70" s="1043" t="s">
        <v>801</v>
      </c>
    </row>
    <row r="71" spans="2:14">
      <c r="B71" s="1027" t="str">
        <f>INDEX($B$22:$B$42,C71,1)</f>
        <v>History</v>
      </c>
      <c r="C71" s="1027">
        <v>13</v>
      </c>
      <c r="E71" s="1043" t="s">
        <v>1542</v>
      </c>
    </row>
    <row r="74" spans="2:14">
      <c r="C74" s="1044">
        <v>1</v>
      </c>
      <c r="D74" s="1044">
        <v>2</v>
      </c>
      <c r="E74" s="1044">
        <v>3</v>
      </c>
      <c r="F74" s="1044">
        <v>4</v>
      </c>
      <c r="G74" s="1044">
        <v>5</v>
      </c>
      <c r="H74" s="1044">
        <v>6</v>
      </c>
      <c r="I74" s="1044">
        <v>7</v>
      </c>
      <c r="J74" s="1044">
        <v>8</v>
      </c>
      <c r="K74" s="1044">
        <v>9</v>
      </c>
      <c r="L74" s="1044">
        <v>10</v>
      </c>
      <c r="M74" s="1044">
        <v>11</v>
      </c>
      <c r="N74" s="1044">
        <v>12</v>
      </c>
    </row>
    <row r="75" spans="2:14">
      <c r="C75" s="1045" t="str">
        <f>Entrant_need_figures!C$14</f>
        <v>2016/17</v>
      </c>
      <c r="D75" s="1045" t="str">
        <f>Entrant_need_figures!D$14</f>
        <v>2017/18</v>
      </c>
      <c r="E75" s="1045" t="str">
        <f>Entrant_need_figures!E$14</f>
        <v>2018/19</v>
      </c>
      <c r="F75" s="1045" t="str">
        <f>Entrant_need_figures!F$14</f>
        <v>2019/20</v>
      </c>
      <c r="G75" s="1045" t="str">
        <f>Entrant_need_figures!G$14</f>
        <v>2020/21</v>
      </c>
      <c r="H75" s="1045" t="str">
        <f>Entrant_need_figures!H$14</f>
        <v>2021/22</v>
      </c>
      <c r="I75" s="1045" t="str">
        <f>Entrant_need_figures!I$14</f>
        <v>2022/23</v>
      </c>
      <c r="J75" s="1045" t="str">
        <f>Entrant_need_figures!J$14</f>
        <v>2023/24</v>
      </c>
      <c r="K75" s="1045" t="str">
        <f>Entrant_need_figures!K$14</f>
        <v>2024/25</v>
      </c>
      <c r="L75" s="1045" t="str">
        <f>Entrant_need_figures!L$14</f>
        <v>2025/26</v>
      </c>
      <c r="M75" s="1045" t="str">
        <f>Entrant_need_figures!M$14</f>
        <v>2026/27</v>
      </c>
      <c r="N75" s="1045" t="str">
        <f>Entrant_need_figures!N$14</f>
        <v>2027/28</v>
      </c>
    </row>
    <row r="76" spans="2:14">
      <c r="B76" s="1027" t="str">
        <f>IF(ISBLANK(B69),,CONCATENATE(B69," Scenario Selected"))</f>
        <v>Modern Foreign Languages Scenario Selected</v>
      </c>
      <c r="C76" s="1046">
        <f>IF($G$69=1,IF($B76=" ","-",INDEX(Teacher_need_figures!$C$14:$N$59,MATCH($B76,Teacher_need_figures!$B$14:$B$59,0),C$74)),IF($G$69=2,IF($B76=" ","-",INDEX(Entrant_need_figures!$C$88:$N$129,MATCH($B76,Entrant_need_figures!$B$88:$B$129,0),C$74)),NA()))</f>
        <v>14939.764306075618</v>
      </c>
      <c r="D76" s="1046">
        <f>IF($G$69=1,IF($B76=" ","-",INDEX(Teacher_need_figures!$C$14:$N$59,MATCH($B76,Teacher_need_figures!$B$14:$B$59,0),D$74)),IF($G$69=2,IF($B76=" ","-",INDEX(Entrant_need_figures!$C$88:$N$129,MATCH($B76,Entrant_need_figures!$B$88:$B$129,0),D$74)),IF($G$69=3,VLOOKUP($B69,FINAL_OUTPUTS_OF_ITT_PLACES!$A$54:$K$76,7,FALSE),"-")))</f>
        <v>15070.257443396837</v>
      </c>
      <c r="E76" s="1046">
        <f>IF($G$69=1,IF($B76=" ","-",INDEX(Teacher_need_figures!$C$14:$N$59,MATCH($B76,Teacher_need_figures!$B$14:$B$59,0),E$74)),IF($G$69=2,IF($B76=" ","-",INDEX(Entrant_need_figures!$C$88:$N$129,MATCH($B76,Entrant_need_figures!$B$88:$B$129,0),E$74)),NA()))</f>
        <v>16557.230196768789</v>
      </c>
      <c r="F76" s="1046">
        <f>IF($G$69=1,IF($B76=" ","-",INDEX(Teacher_need_figures!$C$14:$N$59,MATCH($B76,Teacher_need_figures!$B$14:$B$59,0),F$74)),IF($G$69=2,IF($B76=" ","-",INDEX(Entrant_need_figures!$C$88:$N$129,MATCH($B76,Entrant_need_figures!$B$88:$B$129,0),F$74)),NA()))</f>
        <v>18106.97526873889</v>
      </c>
      <c r="G76" s="1046">
        <f>IF($G$69=1,IF($B76=" ","-",INDEX(Teacher_need_figures!$C$14:$N$59,MATCH($B76,Teacher_need_figures!$B$14:$B$59,0),G$74)),IF($G$69=2,IF($B76=" ","-",INDEX(Entrant_need_figures!$C$88:$N$129,MATCH($B76,Entrant_need_figures!$B$88:$B$129,0),G$74)),NA()))</f>
        <v>18695.254319919968</v>
      </c>
      <c r="H76" s="1046">
        <f>IF($G$69=1,IF($B76=" ","-",INDEX(Teacher_need_figures!$C$14:$N$59,MATCH($B76,Teacher_need_figures!$B$14:$B$59,0),H$74)),IF($G$69=2,IF($B76=" ","-",INDEX(Entrant_need_figures!$C$88:$N$129,MATCH($B76,Entrant_need_figures!$B$88:$B$129,0),H$74)),NA()))</f>
        <v>18855.304901959025</v>
      </c>
      <c r="I76" s="1046">
        <f>IF($G$69=1,IF($B76=" ","-",INDEX(Teacher_need_figures!$C$14:$N$59,MATCH($B76,Teacher_need_figures!$B$14:$B$59,0),I$74)),IF($G$69=2,IF($B76=" ","-",INDEX(Entrant_need_figures!$C$88:$N$129,MATCH($B76,Entrant_need_figures!$B$88:$B$129,0),I$74)),NA()))</f>
        <v>18999.002831661492</v>
      </c>
      <c r="J76" s="1046">
        <f>IF($G$69=1,IF($B76=" ","-",INDEX(Teacher_need_figures!$C$14:$N$59,MATCH($B76,Teacher_need_figures!$B$14:$B$59,0),J$74)),IF($G$69=2,IF($B76=" ","-",INDEX(Entrant_need_figures!$C$88:$N$129,MATCH($B76,Entrant_need_figures!$B$88:$B$129,0),J$74)),NA()))</f>
        <v>19138.350839311574</v>
      </c>
      <c r="K76" s="1046">
        <f>IF($G$69=1,IF($B76=" ","-",INDEX(Teacher_need_figures!$C$14:$N$59,MATCH($B76,Teacher_need_figures!$B$14:$B$59,0),K$74)),IF($G$69=2,IF($B76=" ","-",INDEX(Entrant_need_figures!$C$88:$N$129,MATCH($B76,Entrant_need_figures!$B$88:$B$129,0),K$74)),NA()))</f>
        <v>19151.937836517376</v>
      </c>
      <c r="L76" s="1046">
        <f>IF($G$69=1,IF($B76=" ","-",INDEX(Teacher_need_figures!$C$14:$N$59,MATCH($B76,Teacher_need_figures!$B$14:$B$59,0),L$74)),IF($G$69=2,IF($B76=" ","-",INDEX(Entrant_need_figures!$C$88:$N$129,MATCH($B76,Entrant_need_figures!$B$88:$B$129,0),L$74)),NA()))</f>
        <v>19109.119672158304</v>
      </c>
      <c r="M76" s="1046">
        <f>IF($G$69=1,IF($B76=" ","-",INDEX(Teacher_need_figures!$C$14:$N$59,MATCH($B76,Teacher_need_figures!$B$14:$B$59,0),M$74)),IF($G$69=2,IF($B76=" ","-",INDEX(Entrant_need_figures!$C$88:$N$129,MATCH($B76,Entrant_need_figures!$B$88:$B$129,0),M$74)),NA()))</f>
        <v>19031.45661965046</v>
      </c>
      <c r="N76" s="1046">
        <f>IF($G$69=1,IF($B76=" ","-",INDEX(Teacher_need_figures!$C$14:$N$59,MATCH($B76,Teacher_need_figures!$B$14:$B$59,0),N$74)),IF($G$69=2,IF($B76=" ","-",INDEX(Entrant_need_figures!$C$88:$N$129,MATCH($B76,Entrant_need_figures!$B$88:$B$129,0),N$74)),NA()))</f>
        <v>18975.956019871268</v>
      </c>
    </row>
    <row r="77" spans="2:14">
      <c r="B77" s="1027" t="str">
        <f>IF(ISBLANK(B70),,CONCATENATE(B70," Scenario Selected"))</f>
        <v>Geography Scenario Selected</v>
      </c>
      <c r="C77" s="1046">
        <f>IF($G$69=1,IF($B77=" ","-",INDEX(Teacher_need_figures!$C$14:$N$59,MATCH($B77,Teacher_need_figures!$B$14:$B$59,0),C$74)),IF($G$69=2,IF($B77=" ","-",INDEX(Entrant_need_figures!$C$88:$N$129,MATCH($B77,Entrant_need_figures!$B$88:$B$129,0),C$74)),NA()))</f>
        <v>10518.362186302702</v>
      </c>
      <c r="D77" s="1046">
        <f>IF($G$69=1,IF($B77=" ","-",INDEX(Teacher_need_figures!$C$14:$N$59,MATCH($B77,Teacher_need_figures!$B$14:$B$59,0),D$74)),IF($G$69=2,IF($B77=" ","-",INDEX(Entrant_need_figures!$C$88:$N$129,MATCH($B77,Entrant_need_figures!$B$88:$B$129,0),D$74)),IF($G$69=3,VLOOKUP($B70,FINAL_OUTPUTS_OF_ITT_PLACES!$A$54:$K$76,7,FALSE),"-")))</f>
        <v>10592.197160123502</v>
      </c>
      <c r="E77" s="1046">
        <f>IF($G$69=1,IF($B77=" ","-",INDEX(Teacher_need_figures!$C$14:$N$59,MATCH($B77,Teacher_need_figures!$B$14:$B$59,0),E$74)),IF($G$69=2,IF($B77=" ","-",INDEX(Entrant_need_figures!$C$88:$N$129,MATCH($B77,Entrant_need_figures!$B$88:$B$129,0),E$74)),NA()))</f>
        <v>10991.644935793051</v>
      </c>
      <c r="F77" s="1046">
        <f>IF($G$69=1,IF($B77=" ","-",INDEX(Teacher_need_figures!$C$14:$N$59,MATCH($B77,Teacher_need_figures!$B$14:$B$59,0),F$74)),IF($G$69=2,IF($B77=" ","-",INDEX(Entrant_need_figures!$C$88:$N$129,MATCH($B77,Entrant_need_figures!$B$88:$B$129,0),F$74)),NA()))</f>
        <v>11415.269146232955</v>
      </c>
      <c r="G77" s="1046">
        <f>IF($G$69=1,IF($B77=" ","-",INDEX(Teacher_need_figures!$C$14:$N$59,MATCH($B77,Teacher_need_figures!$B$14:$B$59,0),G$74)),IF($G$69=2,IF($B77=" ","-",INDEX(Entrant_need_figures!$C$88:$N$129,MATCH($B77,Entrant_need_figures!$B$88:$B$129,0),G$74)),NA()))</f>
        <v>11567.794354132981</v>
      </c>
      <c r="H77" s="1046">
        <f>IF($G$69=1,IF($B77=" ","-",INDEX(Teacher_need_figures!$C$14:$N$59,MATCH($B77,Teacher_need_figures!$B$14:$B$59,0),H$74)),IF($G$69=2,IF($B77=" ","-",INDEX(Entrant_need_figures!$C$88:$N$129,MATCH($B77,Entrant_need_figures!$B$88:$B$129,0),H$74)),NA()))</f>
        <v>11664.678552531093</v>
      </c>
      <c r="I77" s="1046">
        <f>IF($G$69=1,IF($B77=" ","-",INDEX(Teacher_need_figures!$C$14:$N$59,MATCH($B77,Teacher_need_figures!$B$14:$B$59,0),I$74)),IF($G$69=2,IF($B77=" ","-",INDEX(Entrant_need_figures!$C$88:$N$129,MATCH($B77,Entrant_need_figures!$B$88:$B$129,0),I$74)),NA()))</f>
        <v>11757.312130654836</v>
      </c>
      <c r="J77" s="1046">
        <f>IF($G$69=1,IF($B77=" ","-",INDEX(Teacher_need_figures!$C$14:$N$59,MATCH($B77,Teacher_need_figures!$B$14:$B$59,0),J$74)),IF($G$69=2,IF($B77=" ","-",INDEX(Entrant_need_figures!$C$88:$N$129,MATCH($B77,Entrant_need_figures!$B$88:$B$129,0),J$74)),NA()))</f>
        <v>11847.832710968347</v>
      </c>
      <c r="K77" s="1046">
        <f>IF($G$69=1,IF($B77=" ","-",INDEX(Teacher_need_figures!$C$14:$N$59,MATCH($B77,Teacher_need_figures!$B$14:$B$59,0),K$74)),IF($G$69=2,IF($B77=" ","-",INDEX(Entrant_need_figures!$C$88:$N$129,MATCH($B77,Entrant_need_figures!$B$88:$B$129,0),K$74)),NA()))</f>
        <v>11867.451639056904</v>
      </c>
      <c r="L77" s="1046">
        <f>IF($G$69=1,IF($B77=" ","-",INDEX(Teacher_need_figures!$C$14:$N$59,MATCH($B77,Teacher_need_figures!$B$14:$B$59,0),L$74)),IF($G$69=2,IF($B77=" ","-",INDEX(Entrant_need_figures!$C$88:$N$129,MATCH($B77,Entrant_need_figures!$B$88:$B$129,0),L$74)),NA()))</f>
        <v>11851.220190458745</v>
      </c>
      <c r="M77" s="1046">
        <f>IF($G$69=1,IF($B77=" ","-",INDEX(Teacher_need_figures!$C$14:$N$59,MATCH($B77,Teacher_need_figures!$B$14:$B$59,0),M$74)),IF($G$69=2,IF($B77=" ","-",INDEX(Entrant_need_figures!$C$88:$N$129,MATCH($B77,Entrant_need_figures!$B$88:$B$129,0),M$74)),NA()))</f>
        <v>11813.654322341292</v>
      </c>
      <c r="N77" s="1046">
        <f>IF($G$69=1,IF($B77=" ","-",INDEX(Teacher_need_figures!$C$14:$N$59,MATCH($B77,Teacher_need_figures!$B$14:$B$59,0),N$74)),IF($G$69=2,IF($B77=" ","-",INDEX(Entrant_need_figures!$C$88:$N$129,MATCH($B77,Entrant_need_figures!$B$88:$B$129,0),N$74)),NA()))</f>
        <v>11789.047949016856</v>
      </c>
    </row>
    <row r="78" spans="2:14">
      <c r="B78" s="1027" t="str">
        <f>IF(ISBLANK(B71),,CONCATENATE(B71," Scenario Selected"))</f>
        <v>History Scenario Selected</v>
      </c>
      <c r="C78" s="1046">
        <f>IF($G$69=1,IF($B78=" ","-",INDEX(Teacher_need_figures!$C$14:$N$59,MATCH($B78,Teacher_need_figures!$B$14:$B$59,0),C$74)),IF($G$69=2,IF($B78=" ","-",INDEX(Entrant_need_figures!$C$88:$N$129,MATCH($B78,Entrant_need_figures!$B$88:$B$129,0),C$74)),NA()))</f>
        <v>11192.678423023735</v>
      </c>
      <c r="D78" s="1046">
        <f>IF($G$69=1,IF($B78=" ","-",INDEX(Teacher_need_figures!$C$14:$N$59,MATCH($B78,Teacher_need_figures!$B$14:$B$59,0),D$74)),IF($G$69=2,IF($B78=" ","-",INDEX(Entrant_need_figures!$C$88:$N$129,MATCH($B78,Entrant_need_figures!$B$88:$B$129,0),D$74)),IF($G$69=3,VLOOKUP($B71,FINAL_OUTPUTS_OF_ITT_PLACES!$A$54:$K$76,7,FALSE),"-")))</f>
        <v>11256.687485244267</v>
      </c>
      <c r="E78" s="1046">
        <f>IF($G$69=1,IF($B78=" ","-",INDEX(Teacher_need_figures!$C$14:$N$59,MATCH($B78,Teacher_need_figures!$B$14:$B$59,0),E$74)),IF($G$69=2,IF($B78=" ","-",INDEX(Entrant_need_figures!$C$88:$N$129,MATCH($B78,Entrant_need_figures!$B$88:$B$129,0),E$74)),NA()))</f>
        <v>11599.369617515154</v>
      </c>
      <c r="F78" s="1046">
        <f>IF($G$69=1,IF($B78=" ","-",INDEX(Teacher_need_figures!$C$14:$N$59,MATCH($B78,Teacher_need_figures!$B$14:$B$59,0),F$74)),IF($G$69=2,IF($B78=" ","-",INDEX(Entrant_need_figures!$C$88:$N$129,MATCH($B78,Entrant_need_figures!$B$88:$B$129,0),F$74)),NA()))</f>
        <v>11967.19602921409</v>
      </c>
      <c r="G78" s="1046">
        <f>IF($G$69=1,IF($B78=" ","-",INDEX(Teacher_need_figures!$C$14:$N$59,MATCH($B78,Teacher_need_figures!$B$14:$B$59,0),G$74)),IF($G$69=2,IF($B78=" ","-",INDEX(Entrant_need_figures!$C$88:$N$129,MATCH($B78,Entrant_need_figures!$B$88:$B$129,0),G$74)),NA()))</f>
        <v>12089.537654010986</v>
      </c>
      <c r="H78" s="1046">
        <f>IF($G$69=1,IF($B78=" ","-",INDEX(Teacher_need_figures!$C$14:$N$59,MATCH($B78,Teacher_need_figures!$B$14:$B$59,0),H$74)),IF($G$69=2,IF($B78=" ","-",INDEX(Entrant_need_figures!$C$88:$N$129,MATCH($B78,Entrant_need_figures!$B$88:$B$129,0),H$74)),NA()))</f>
        <v>12190.325841181235</v>
      </c>
      <c r="I78" s="1046">
        <f>IF($G$69=1,IF($B78=" ","-",INDEX(Teacher_need_figures!$C$14:$N$59,MATCH($B78,Teacher_need_figures!$B$14:$B$59,0),I$74)),IF($G$69=2,IF($B78=" ","-",INDEX(Entrant_need_figures!$C$88:$N$129,MATCH($B78,Entrant_need_figures!$B$88:$B$129,0),I$74)),NA()))</f>
        <v>12292.037124641112</v>
      </c>
      <c r="J78" s="1046">
        <f>IF($G$69=1,IF($B78=" ","-",INDEX(Teacher_need_figures!$C$14:$N$59,MATCH($B78,Teacher_need_figures!$B$14:$B$59,0),J$74)),IF($G$69=2,IF($B78=" ","-",INDEX(Entrant_need_figures!$C$88:$N$129,MATCH($B78,Entrant_need_figures!$B$88:$B$129,0),J$74)),NA()))</f>
        <v>12389.451752886342</v>
      </c>
      <c r="K78" s="1046">
        <f>IF($G$69=1,IF($B78=" ","-",INDEX(Teacher_need_figures!$C$14:$N$59,MATCH($B78,Teacher_need_figures!$B$14:$B$59,0),K$74)),IF($G$69=2,IF($B78=" ","-",INDEX(Entrant_need_figures!$C$88:$N$129,MATCH($B78,Entrant_need_figures!$B$88:$B$129,0),K$74)),NA()))</f>
        <v>12418.332954775977</v>
      </c>
      <c r="L78" s="1046">
        <f>IF($G$69=1,IF($B78=" ","-",INDEX(Teacher_need_figures!$C$14:$N$59,MATCH($B78,Teacher_need_figures!$B$14:$B$59,0),L$74)),IF($G$69=2,IF($B78=" ","-",INDEX(Entrant_need_figures!$C$88:$N$129,MATCH($B78,Entrant_need_figures!$B$88:$B$129,0),L$74)),NA()))</f>
        <v>12411.854918401496</v>
      </c>
      <c r="M78" s="1046">
        <f>IF($G$69=1,IF($B78=" ","-",INDEX(Teacher_need_figures!$C$14:$N$59,MATCH($B78,Teacher_need_figures!$B$14:$B$59,0),M$74)),IF($G$69=2,IF($B78=" ","-",INDEX(Entrant_need_figures!$C$88:$N$129,MATCH($B78,Entrant_need_figures!$B$88:$B$129,0),M$74)),NA()))</f>
        <v>12383.558824959737</v>
      </c>
      <c r="N78" s="1046">
        <f>IF($G$69=1,IF($B78=" ","-",INDEX(Teacher_need_figures!$C$14:$N$59,MATCH($B78,Teacher_need_figures!$B$14:$B$59,0),N$74)),IF($G$69=2,IF($B78=" ","-",INDEX(Entrant_need_figures!$C$88:$N$129,MATCH($B78,Entrant_need_figures!$B$88:$B$129,0),N$74)),NA()))</f>
        <v>12364.268616074811</v>
      </c>
    </row>
    <row r="80" spans="2:14">
      <c r="C80" s="1045" t="str">
        <f>Entrant_need_figures!C$14</f>
        <v>2016/17</v>
      </c>
      <c r="D80" s="1045" t="str">
        <f>Entrant_need_figures!D$14</f>
        <v>2017/18</v>
      </c>
      <c r="E80" s="1045" t="str">
        <f>Entrant_need_figures!E$14</f>
        <v>2018/19</v>
      </c>
      <c r="F80" s="1045" t="str">
        <f>Entrant_need_figures!F$14</f>
        <v>2019/20</v>
      </c>
      <c r="G80" s="1045" t="str">
        <f>Entrant_need_figures!G$14</f>
        <v>2020/21</v>
      </c>
      <c r="H80" s="1045" t="str">
        <f>Entrant_need_figures!H$14</f>
        <v>2021/22</v>
      </c>
      <c r="I80" s="1045" t="str">
        <f>Entrant_need_figures!I$14</f>
        <v>2022/23</v>
      </c>
      <c r="J80" s="1045" t="str">
        <f>Entrant_need_figures!J$14</f>
        <v>2023/24</v>
      </c>
      <c r="K80" s="1045" t="str">
        <f>Entrant_need_figures!K$14</f>
        <v>2024/25</v>
      </c>
      <c r="L80" s="1045" t="str">
        <f>Entrant_need_figures!L$14</f>
        <v>2025/26</v>
      </c>
      <c r="M80" s="1045" t="str">
        <f>Entrant_need_figures!M$14</f>
        <v>2026/27</v>
      </c>
      <c r="N80" s="1045" t="str">
        <f>Entrant_need_figures!N$14</f>
        <v>2027/28</v>
      </c>
    </row>
    <row r="81" spans="2:14">
      <c r="B81" s="1027" t="str">
        <f>IF(ISBLANK(B69)," ",CONCATENATE(B69," All Central Scenario"))</f>
        <v>Modern Foreign Languages All Central Scenario</v>
      </c>
      <c r="C81" s="1046">
        <f>IF($G$69=1,IF($B81=" ","-",INDEX(Teacher_need_figures!$C$14:$N$59,MATCH($B81,Teacher_need_figures!$B$14:$B$59,0),C$74)),IF($G$69=2,IF($B81=" ","-",INDEX(Entrant_need_figures!$C$88:$N$129,MATCH($B81,Entrant_need_figures!$B$88:$B$129,0),C$74)),NA()))</f>
        <v>14939.764306075618</v>
      </c>
      <c r="D81" s="1046">
        <f>IF($G$69=1,IF($B81=" ","-",INDEX(Teacher_need_figures!$C$14:$N$59,MATCH($B81,Teacher_need_figures!$B$14:$B$59,0),D$74)),IF($G$69=2,IF($B81=" ","-",INDEX(Entrant_need_figures!$C$88:$N$129,MATCH($B81,Entrant_need_figures!$B$88:$B$129,0),D$74)),IF($G$69=3,VLOOKUP($B69,FINAL_OUTPUTS_OF_ITT_PLACES!$A$54:$K$76,11,FALSE),"-")))</f>
        <v>15070.257443396837</v>
      </c>
      <c r="E81" s="1046">
        <f>IF($G$69=1,IF($B81=" ","-",INDEX(Teacher_need_figures!$C$14:$N$59,MATCH($B81,Teacher_need_figures!$B$14:$B$59,0),E$74)),IF($G$69=2,IF($B81=" ","-",INDEX(Entrant_need_figures!$C$88:$N$129,MATCH($B81,Entrant_need_figures!$B$88:$B$129,0),E$74)),NA()))</f>
        <v>16557.230196768789</v>
      </c>
      <c r="F81" s="1046">
        <f>IF($G$69=1,IF($B81=" ","-",INDEX(Teacher_need_figures!$C$14:$N$59,MATCH($B81,Teacher_need_figures!$B$14:$B$59,0),F$74)),IF($G$69=2,IF($B81=" ","-",INDEX(Entrant_need_figures!$C$88:$N$129,MATCH($B81,Entrant_need_figures!$B$88:$B$129,0),F$74)),NA()))</f>
        <v>18106.97526873889</v>
      </c>
      <c r="G81" s="1046">
        <f>IF($G$69=1,IF($B81=" ","-",INDEX(Teacher_need_figures!$C$14:$N$59,MATCH($B81,Teacher_need_figures!$B$14:$B$59,0),G$74)),IF($G$69=2,IF($B81=" ","-",INDEX(Entrant_need_figures!$C$88:$N$129,MATCH($B81,Entrant_need_figures!$B$88:$B$129,0),G$74)),NA()))</f>
        <v>18695.254319919968</v>
      </c>
      <c r="H81" s="1046">
        <f>IF($G$69=1,IF($B81=" ","-",INDEX(Teacher_need_figures!$C$14:$N$59,MATCH($B81,Teacher_need_figures!$B$14:$B$59,0),H$74)),IF($G$69=2,IF($B81=" ","-",INDEX(Entrant_need_figures!$C$88:$N$129,MATCH($B81,Entrant_need_figures!$B$88:$B$129,0),H$74)),NA()))</f>
        <v>18855.304901959025</v>
      </c>
      <c r="I81" s="1046">
        <f>IF($G$69=1,IF($B81=" ","-",INDEX(Teacher_need_figures!$C$14:$N$59,MATCH($B81,Teacher_need_figures!$B$14:$B$59,0),I$74)),IF($G$69=2,IF($B81=" ","-",INDEX(Entrant_need_figures!$C$88:$N$129,MATCH($B81,Entrant_need_figures!$B$88:$B$129,0),I$74)),NA()))</f>
        <v>18999.002831661492</v>
      </c>
      <c r="J81" s="1046">
        <f>IF($G$69=1,IF($B81=" ","-",INDEX(Teacher_need_figures!$C$14:$N$59,MATCH($B81,Teacher_need_figures!$B$14:$B$59,0),J$74)),IF($G$69=2,IF($B81=" ","-",INDEX(Entrant_need_figures!$C$88:$N$129,MATCH($B81,Entrant_need_figures!$B$88:$B$129,0),J$74)),NA()))</f>
        <v>19138.350839311574</v>
      </c>
      <c r="K81" s="1046">
        <f>IF($G$69=1,IF($B81=" ","-",INDEX(Teacher_need_figures!$C$14:$N$59,MATCH($B81,Teacher_need_figures!$B$14:$B$59,0),K$74)),IF($G$69=2,IF($B81=" ","-",INDEX(Entrant_need_figures!$C$88:$N$129,MATCH($B81,Entrant_need_figures!$B$88:$B$129,0),K$74)),NA()))</f>
        <v>19151.937836517376</v>
      </c>
      <c r="L81" s="1046">
        <f>IF($G$69=1,IF($B81=" ","-",INDEX(Teacher_need_figures!$C$14:$N$59,MATCH($B81,Teacher_need_figures!$B$14:$B$59,0),L$74)),IF($G$69=2,IF($B81=" ","-",INDEX(Entrant_need_figures!$C$88:$N$129,MATCH($B81,Entrant_need_figures!$B$88:$B$129,0),L$74)),NA()))</f>
        <v>19109.119672158304</v>
      </c>
      <c r="M81" s="1046">
        <f>IF($G$69=1,IF($B81=" ","-",INDEX(Teacher_need_figures!$C$14:$N$59,MATCH($B81,Teacher_need_figures!$B$14:$B$59,0),M$74)),IF($G$69=2,IF($B81=" ","-",INDEX(Entrant_need_figures!$C$88:$N$129,MATCH($B81,Entrant_need_figures!$B$88:$B$129,0),M$74)),NA()))</f>
        <v>19031.45661965046</v>
      </c>
      <c r="N81" s="1046">
        <f>IF($G$69=1,IF($B81=" ","-",INDEX(Teacher_need_figures!$C$14:$N$59,MATCH($B81,Teacher_need_figures!$B$14:$B$59,0),N$74)),IF($G$69=2,IF($B81=" ","-",INDEX(Entrant_need_figures!$C$88:$N$129,MATCH($B81,Entrant_need_figures!$B$88:$B$129,0),N$74)),NA()))</f>
        <v>18975.956019871268</v>
      </c>
    </row>
    <row r="82" spans="2:14">
      <c r="B82" s="1027" t="str">
        <f>IF(ISBLANK(B70)," ",CONCATENATE(B70," All Central Scenario"))</f>
        <v>Geography All Central Scenario</v>
      </c>
      <c r="C82" s="1046">
        <f>IF($G$69=1,IF($B82=" ","-",INDEX(Teacher_need_figures!$C$14:$N$59,MATCH($B82,Teacher_need_figures!$B$14:$B$59,0),C$74)),IF($G$69=2,IF($B82=" ","-",INDEX(Entrant_need_figures!$C$88:$N$129,MATCH($B82,Entrant_need_figures!$B$88:$B$129,0),C$74)),NA()))</f>
        <v>10518.362186302702</v>
      </c>
      <c r="D82" s="1046">
        <f>IF($G$69=1,IF($B82=" ","-",INDEX(Teacher_need_figures!$C$14:$N$59,MATCH($B82,Teacher_need_figures!$B$14:$B$59,0),D$74)),IF($G$69=2,IF($B82=" ","-",INDEX(Entrant_need_figures!$C$88:$N$129,MATCH($B82,Entrant_need_figures!$B$88:$B$129,0),D$74)),IF($G$69=3,VLOOKUP($B70,FINAL_OUTPUTS_OF_ITT_PLACES!$A$54:$K$76,11,FALSE),"-")))</f>
        <v>10592.197160123502</v>
      </c>
      <c r="E82" s="1046">
        <f>IF($G$69=1,IF($B82=" ","-",INDEX(Teacher_need_figures!$C$14:$N$59,MATCH($B82,Teacher_need_figures!$B$14:$B$59,0),E$74)),IF($G$69=2,IF($B82=" ","-",INDEX(Entrant_need_figures!$C$88:$N$129,MATCH($B82,Entrant_need_figures!$B$88:$B$129,0),E$74)),NA()))</f>
        <v>10991.644935793051</v>
      </c>
      <c r="F82" s="1046">
        <f>IF($G$69=1,IF($B82=" ","-",INDEX(Teacher_need_figures!$C$14:$N$59,MATCH($B82,Teacher_need_figures!$B$14:$B$59,0),F$74)),IF($G$69=2,IF($B82=" ","-",INDEX(Entrant_need_figures!$C$88:$N$129,MATCH($B82,Entrant_need_figures!$B$88:$B$129,0),F$74)),NA()))</f>
        <v>11415.269146232955</v>
      </c>
      <c r="G82" s="1046">
        <f>IF($G$69=1,IF($B82=" ","-",INDEX(Teacher_need_figures!$C$14:$N$59,MATCH($B82,Teacher_need_figures!$B$14:$B$59,0),G$74)),IF($G$69=2,IF($B82=" ","-",INDEX(Entrant_need_figures!$C$88:$N$129,MATCH($B82,Entrant_need_figures!$B$88:$B$129,0),G$74)),NA()))</f>
        <v>11567.794354132981</v>
      </c>
      <c r="H82" s="1046">
        <f>IF($G$69=1,IF($B82=" ","-",INDEX(Teacher_need_figures!$C$14:$N$59,MATCH($B82,Teacher_need_figures!$B$14:$B$59,0),H$74)),IF($G$69=2,IF($B82=" ","-",INDEX(Entrant_need_figures!$C$88:$N$129,MATCH($B82,Entrant_need_figures!$B$88:$B$129,0),H$74)),NA()))</f>
        <v>11664.678552531093</v>
      </c>
      <c r="I82" s="1046">
        <f>IF($G$69=1,IF($B82=" ","-",INDEX(Teacher_need_figures!$C$14:$N$59,MATCH($B82,Teacher_need_figures!$B$14:$B$59,0),I$74)),IF($G$69=2,IF($B82=" ","-",INDEX(Entrant_need_figures!$C$88:$N$129,MATCH($B82,Entrant_need_figures!$B$88:$B$129,0),I$74)),NA()))</f>
        <v>11757.312130654836</v>
      </c>
      <c r="J82" s="1046">
        <f>IF($G$69=1,IF($B82=" ","-",INDEX(Teacher_need_figures!$C$14:$N$59,MATCH($B82,Teacher_need_figures!$B$14:$B$59,0),J$74)),IF($G$69=2,IF($B82=" ","-",INDEX(Entrant_need_figures!$C$88:$N$129,MATCH($B82,Entrant_need_figures!$B$88:$B$129,0),J$74)),NA()))</f>
        <v>11847.832710968347</v>
      </c>
      <c r="K82" s="1046">
        <f>IF($G$69=1,IF($B82=" ","-",INDEX(Teacher_need_figures!$C$14:$N$59,MATCH($B82,Teacher_need_figures!$B$14:$B$59,0),K$74)),IF($G$69=2,IF($B82=" ","-",INDEX(Entrant_need_figures!$C$88:$N$129,MATCH($B82,Entrant_need_figures!$B$88:$B$129,0),K$74)),NA()))</f>
        <v>11867.451639056904</v>
      </c>
      <c r="L82" s="1046">
        <f>IF($G$69=1,IF($B82=" ","-",INDEX(Teacher_need_figures!$C$14:$N$59,MATCH($B82,Teacher_need_figures!$B$14:$B$59,0),L$74)),IF($G$69=2,IF($B82=" ","-",INDEX(Entrant_need_figures!$C$88:$N$129,MATCH($B82,Entrant_need_figures!$B$88:$B$129,0),L$74)),NA()))</f>
        <v>11851.220190458745</v>
      </c>
      <c r="M82" s="1046">
        <f>IF($G$69=1,IF($B82=" ","-",INDEX(Teacher_need_figures!$C$14:$N$59,MATCH($B82,Teacher_need_figures!$B$14:$B$59,0),M$74)),IF($G$69=2,IF($B82=" ","-",INDEX(Entrant_need_figures!$C$88:$N$129,MATCH($B82,Entrant_need_figures!$B$88:$B$129,0),M$74)),NA()))</f>
        <v>11813.654322341292</v>
      </c>
      <c r="N82" s="1046">
        <f>IF($G$69=1,IF($B82=" ","-",INDEX(Teacher_need_figures!$C$14:$N$59,MATCH($B82,Teacher_need_figures!$B$14:$B$59,0),N$74)),IF($G$69=2,IF($B82=" ","-",INDEX(Entrant_need_figures!$C$88:$N$129,MATCH($B82,Entrant_need_figures!$B$88:$B$129,0),N$74)),NA()))</f>
        <v>11789.047949016856</v>
      </c>
    </row>
    <row r="83" spans="2:14">
      <c r="B83" s="1027" t="str">
        <f>IF(ISBLANK(B71)," ",CONCATENATE(B71," All Central Scenario"))</f>
        <v>History All Central Scenario</v>
      </c>
      <c r="C83" s="1046">
        <f>IF($G$69=1,IF($B83=" ","-",INDEX(Teacher_need_figures!$C$14:$N$59,MATCH($B83,Teacher_need_figures!$B$14:$B$59,0),C$74)),IF($G$69=2,IF($B83=" ","-",INDEX(Entrant_need_figures!$C$88:$N$129,MATCH($B83,Entrant_need_figures!$B$88:$B$129,0),C$74)),NA()))</f>
        <v>11192.678423023735</v>
      </c>
      <c r="D83" s="1046">
        <f>IF($G$69=1,IF($B83=" ","-",INDEX(Teacher_need_figures!$C$14:$N$59,MATCH($B83,Teacher_need_figures!$B$14:$B$59,0),D$74)),IF($G$69=2,IF($B83=" ","-",INDEX(Entrant_need_figures!$C$88:$N$129,MATCH($B83,Entrant_need_figures!$B$88:$B$129,0),D$74)),IF($G$69=3,VLOOKUP($B71,FINAL_OUTPUTS_OF_ITT_PLACES!$A$54:$K$76,11,FALSE),"-")))</f>
        <v>11256.687485244267</v>
      </c>
      <c r="E83" s="1046">
        <f>IF($G$69=1,IF($B83=" ","-",INDEX(Teacher_need_figures!$C$14:$N$59,MATCH($B83,Teacher_need_figures!$B$14:$B$59,0),E$74)),IF($G$69=2,IF($B83=" ","-",INDEX(Entrant_need_figures!$C$88:$N$129,MATCH($B83,Entrant_need_figures!$B$88:$B$129,0),E$74)),NA()))</f>
        <v>11599.369617515154</v>
      </c>
      <c r="F83" s="1046">
        <f>IF($G$69=1,IF($B83=" ","-",INDEX(Teacher_need_figures!$C$14:$N$59,MATCH($B83,Teacher_need_figures!$B$14:$B$59,0),F$74)),IF($G$69=2,IF($B83=" ","-",INDEX(Entrant_need_figures!$C$88:$N$129,MATCH($B83,Entrant_need_figures!$B$88:$B$129,0),F$74)),NA()))</f>
        <v>11967.19602921409</v>
      </c>
      <c r="G83" s="1046">
        <f>IF($G$69=1,IF($B83=" ","-",INDEX(Teacher_need_figures!$C$14:$N$59,MATCH($B83,Teacher_need_figures!$B$14:$B$59,0),G$74)),IF($G$69=2,IF($B83=" ","-",INDEX(Entrant_need_figures!$C$88:$N$129,MATCH($B83,Entrant_need_figures!$B$88:$B$129,0),G$74)),NA()))</f>
        <v>12089.537654010986</v>
      </c>
      <c r="H83" s="1046">
        <f>IF($G$69=1,IF($B83=" ","-",INDEX(Teacher_need_figures!$C$14:$N$59,MATCH($B83,Teacher_need_figures!$B$14:$B$59,0),H$74)),IF($G$69=2,IF($B83=" ","-",INDEX(Entrant_need_figures!$C$88:$N$129,MATCH($B83,Entrant_need_figures!$B$88:$B$129,0),H$74)),NA()))</f>
        <v>12190.325841181235</v>
      </c>
      <c r="I83" s="1046">
        <f>IF($G$69=1,IF($B83=" ","-",INDEX(Teacher_need_figures!$C$14:$N$59,MATCH($B83,Teacher_need_figures!$B$14:$B$59,0),I$74)),IF($G$69=2,IF($B83=" ","-",INDEX(Entrant_need_figures!$C$88:$N$129,MATCH($B83,Entrant_need_figures!$B$88:$B$129,0),I$74)),NA()))</f>
        <v>12292.037124641112</v>
      </c>
      <c r="J83" s="1046">
        <f>IF($G$69=1,IF($B83=" ","-",INDEX(Teacher_need_figures!$C$14:$N$59,MATCH($B83,Teacher_need_figures!$B$14:$B$59,0),J$74)),IF($G$69=2,IF($B83=" ","-",INDEX(Entrant_need_figures!$C$88:$N$129,MATCH($B83,Entrant_need_figures!$B$88:$B$129,0),J$74)),NA()))</f>
        <v>12389.451752886342</v>
      </c>
      <c r="K83" s="1046">
        <f>IF($G$69=1,IF($B83=" ","-",INDEX(Teacher_need_figures!$C$14:$N$59,MATCH($B83,Teacher_need_figures!$B$14:$B$59,0),K$74)),IF($G$69=2,IF($B83=" ","-",INDEX(Entrant_need_figures!$C$88:$N$129,MATCH($B83,Entrant_need_figures!$B$88:$B$129,0),K$74)),NA()))</f>
        <v>12418.332954775977</v>
      </c>
      <c r="L83" s="1046">
        <f>IF($G$69=1,IF($B83=" ","-",INDEX(Teacher_need_figures!$C$14:$N$59,MATCH($B83,Teacher_need_figures!$B$14:$B$59,0),L$74)),IF($G$69=2,IF($B83=" ","-",INDEX(Entrant_need_figures!$C$88:$N$129,MATCH($B83,Entrant_need_figures!$B$88:$B$129,0),L$74)),NA()))</f>
        <v>12411.854918401496</v>
      </c>
      <c r="M83" s="1046">
        <f>IF($G$69=1,IF($B83=" ","-",INDEX(Teacher_need_figures!$C$14:$N$59,MATCH($B83,Teacher_need_figures!$B$14:$B$59,0),M$74)),IF($G$69=2,IF($B83=" ","-",INDEX(Entrant_need_figures!$C$88:$N$129,MATCH($B83,Entrant_need_figures!$B$88:$B$129,0),M$74)),NA()))</f>
        <v>12383.558824959737</v>
      </c>
      <c r="N83" s="1046">
        <f>IF($G$69=1,IF($B83=" ","-",INDEX(Teacher_need_figures!$C$14:$N$59,MATCH($B83,Teacher_need_figures!$B$14:$B$59,0),N$74)),IF($G$69=2,IF($B83=" ","-",INDEX(Entrant_need_figures!$C$88:$N$129,MATCH($B83,Entrant_need_figures!$B$88:$B$129,0),N$74)),NA()))</f>
        <v>12364.268616074811</v>
      </c>
    </row>
  </sheetData>
  <mergeCells count="8">
    <mergeCell ref="B12:T13"/>
    <mergeCell ref="C20:G20"/>
    <mergeCell ref="H20:L20"/>
    <mergeCell ref="B44:D44"/>
    <mergeCell ref="G44:K44"/>
    <mergeCell ref="N44:R44"/>
    <mergeCell ref="T44:X44"/>
    <mergeCell ref="B15:G18"/>
  </mergeCells>
  <hyperlinks>
    <hyperlink ref="A2" location="'Title_&amp;_Contents'!A1" display="Contents"/>
    <hyperlink ref="B2" location="Map_of_sheets!A1" display="Map of sheets"/>
    <hyperlink ref="B44" location="USER_TESTING_TAB!B141" display="Back to scenario selection"/>
    <hyperlink ref="G44" location="FINAL_OUTPUTS_OF_ITT_PLACES!A1" display="See detailed allocation results"/>
    <hyperlink ref="N44" location="Teacher_need_charts_over_time!A1" display="See all teacher need charts"/>
    <hyperlink ref="T44" location="Entrant_need_charts_over_time!A1" display="See all entrant need charts"/>
    <hyperlink ref="B44:D44" location="USER_TESTING_TAB!B141" display="Back to scenario selection"/>
    <hyperlink ref="G44:K44" location="FINAL_OUTPUTS_OF_ITT_PLACES!A1" display="See detailed ITT place output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79457" r:id="rId4" name="Drop Down 1">
              <controlPr defaultSize="0" autoLine="0" autoPict="0">
                <anchor moveWithCells="1">
                  <from>
                    <xdr:col>7</xdr:col>
                    <xdr:colOff>161925</xdr:colOff>
                    <xdr:row>14</xdr:row>
                    <xdr:rowOff>28575</xdr:rowOff>
                  </from>
                  <to>
                    <xdr:col>11</xdr:col>
                    <xdr:colOff>552450</xdr:colOff>
                    <xdr:row>16</xdr:row>
                    <xdr:rowOff>66675</xdr:rowOff>
                  </to>
                </anchor>
              </controlPr>
            </control>
          </mc:Choice>
        </mc:AlternateContent>
        <mc:AlternateContent xmlns:mc="http://schemas.openxmlformats.org/markup-compatibility/2006">
          <mc:Choice Requires="x14">
            <control shapeId="12179458" r:id="rId5" name="Drop Down 2">
              <controlPr defaultSize="0" autoLine="0" autoPict="0">
                <anchor moveWithCells="1">
                  <from>
                    <xdr:col>13</xdr:col>
                    <xdr:colOff>9525</xdr:colOff>
                    <xdr:row>18</xdr:row>
                    <xdr:rowOff>66675</xdr:rowOff>
                  </from>
                  <to>
                    <xdr:col>16</xdr:col>
                    <xdr:colOff>219075</xdr:colOff>
                    <xdr:row>20</xdr:row>
                    <xdr:rowOff>0</xdr:rowOff>
                  </to>
                </anchor>
              </controlPr>
            </control>
          </mc:Choice>
        </mc:AlternateContent>
        <mc:AlternateContent xmlns:mc="http://schemas.openxmlformats.org/markup-compatibility/2006">
          <mc:Choice Requires="x14">
            <control shapeId="12179459" r:id="rId6" name="Drop Down 3">
              <controlPr defaultSize="0" autoLine="0" autoPict="0">
                <anchor moveWithCells="1">
                  <from>
                    <xdr:col>16</xdr:col>
                    <xdr:colOff>266700</xdr:colOff>
                    <xdr:row>18</xdr:row>
                    <xdr:rowOff>57150</xdr:rowOff>
                  </from>
                  <to>
                    <xdr:col>19</xdr:col>
                    <xdr:colOff>428625</xdr:colOff>
                    <xdr:row>20</xdr:row>
                    <xdr:rowOff>0</xdr:rowOff>
                  </to>
                </anchor>
              </controlPr>
            </control>
          </mc:Choice>
        </mc:AlternateContent>
        <mc:AlternateContent xmlns:mc="http://schemas.openxmlformats.org/markup-compatibility/2006">
          <mc:Choice Requires="x14">
            <control shapeId="12179460" r:id="rId7" name="Drop Down 4">
              <controlPr defaultSize="0" autoLine="0" autoPict="0">
                <anchor moveWithCells="1">
                  <from>
                    <xdr:col>19</xdr:col>
                    <xdr:colOff>504825</xdr:colOff>
                    <xdr:row>18</xdr:row>
                    <xdr:rowOff>57150</xdr:rowOff>
                  </from>
                  <to>
                    <xdr:col>23</xdr:col>
                    <xdr:colOff>66675</xdr:colOff>
                    <xdr:row>20</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6.45" customHeight="1">
      <c r="A5" s="1100" t="s">
        <v>1718</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SUM(A12:A1874)</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OUTPUTS_FOR_SECTION_2_OF_MODEL!B73</f>
        <v>English</v>
      </c>
      <c r="C15" s="307">
        <f>OUTPUTS_FOR_SECTION_2_OF_MODEL!E73</f>
        <v>3862.8994883252717</v>
      </c>
      <c r="D15" s="307">
        <f>OUTPUTS_FOR_SECTION_2_OF_MODEL!F73</f>
        <v>3701.4082860658532</v>
      </c>
      <c r="E15" s="307">
        <f>OUTPUTS_FOR_SECTION_2_OF_MODEL!G73</f>
        <v>3615.2957762173473</v>
      </c>
      <c r="F15" s="307">
        <f>OUTPUTS_FOR_SECTION_2_OF_MODEL!H73</f>
        <v>3630.9258555009756</v>
      </c>
      <c r="G15" s="307">
        <f>OUTPUTS_FOR_SECTION_2_OF_MODEL!I73</f>
        <v>3661.6593030373506</v>
      </c>
      <c r="H15" s="307">
        <f>OUTPUTS_FOR_SECTION_2_OF_MODEL!J73</f>
        <v>3620.3691206946369</v>
      </c>
      <c r="I15" s="307">
        <f>OUTPUTS_FOR_SECTION_2_OF_MODEL!K73</f>
        <v>3455.9903259364196</v>
      </c>
      <c r="J15" s="307">
        <f>OUTPUTS_FOR_SECTION_2_OF_MODEL!L73</f>
        <v>3435.1827295512644</v>
      </c>
      <c r="K15" s="307">
        <f>OUTPUTS_FOR_SECTION_2_OF_MODEL!M73</f>
        <v>3388.9169995444304</v>
      </c>
      <c r="L15" s="307">
        <f>OUTPUTS_FOR_SECTION_2_OF_MODEL!N73</f>
        <v>3324.7251138627344</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3596.3594236308281</v>
      </c>
      <c r="D44" s="459">
        <f t="shared" si="4"/>
        <v>3446.0111143273093</v>
      </c>
      <c r="E44" s="459">
        <f t="shared" si="4"/>
        <v>3365.8403676583507</v>
      </c>
      <c r="F44" s="459">
        <f t="shared" si="4"/>
        <v>3380.3919714714084</v>
      </c>
      <c r="G44" s="459">
        <f t="shared" si="4"/>
        <v>3409.0048111277738</v>
      </c>
      <c r="H44" s="459">
        <f t="shared" si="4"/>
        <v>3370.5636513667073</v>
      </c>
      <c r="I44" s="459">
        <f t="shared" si="4"/>
        <v>3217.526993446807</v>
      </c>
      <c r="J44" s="459">
        <f t="shared" si="4"/>
        <v>3198.1551212122272</v>
      </c>
      <c r="K44" s="459">
        <f t="shared" si="4"/>
        <v>3155.0817265758646</v>
      </c>
      <c r="L44" s="459">
        <f t="shared" si="4"/>
        <v>3095.319081006206</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38.053762250031511</v>
      </c>
      <c r="D57" s="459">
        <f t="shared" ref="D57:L57" si="7">D44/$J$50</f>
        <v>36.462898228116217</v>
      </c>
      <c r="E57" s="459">
        <f t="shared" si="7"/>
        <v>35.614596327838399</v>
      </c>
      <c r="F57" s="459">
        <f t="shared" si="7"/>
        <v>35.76856961210477</v>
      </c>
      <c r="G57" s="459">
        <f t="shared" si="7"/>
        <v>36.071327503995995</v>
      </c>
      <c r="H57" s="459">
        <f t="shared" si="7"/>
        <v>35.664574290023225</v>
      </c>
      <c r="I57" s="459">
        <f t="shared" si="7"/>
        <v>34.045264340701237</v>
      </c>
      <c r="J57" s="459">
        <f t="shared" si="7"/>
        <v>33.840286880576173</v>
      </c>
      <c r="K57" s="459">
        <f t="shared" si="7"/>
        <v>33.38451910941744</v>
      </c>
      <c r="L57" s="459">
        <f t="shared" si="7"/>
        <v>32.752159203731289</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38.053762250031511</v>
      </c>
      <c r="D98" s="459">
        <f t="shared" ref="D98:L98" si="33">D57</f>
        <v>36.462898228116217</v>
      </c>
      <c r="E98" s="459">
        <f t="shared" si="33"/>
        <v>35.614596327838399</v>
      </c>
      <c r="F98" s="459">
        <f t="shared" si="33"/>
        <v>35.76856961210477</v>
      </c>
      <c r="G98" s="459">
        <f t="shared" si="33"/>
        <v>36.071327503995995</v>
      </c>
      <c r="H98" s="459">
        <f t="shared" si="33"/>
        <v>35.664574290023225</v>
      </c>
      <c r="I98" s="459">
        <f t="shared" si="33"/>
        <v>34.045264340701237</v>
      </c>
      <c r="J98" s="459">
        <f t="shared" si="33"/>
        <v>33.840286880576173</v>
      </c>
      <c r="K98" s="459">
        <f t="shared" si="33"/>
        <v>33.38451910941744</v>
      </c>
      <c r="L98" s="459">
        <f t="shared" si="33"/>
        <v>32.752159203731289</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855</v>
      </c>
      <c r="C103" s="459">
        <f t="shared" ref="C103:L103" si="35">C65*C$98</f>
        <v>561.63601978963084</v>
      </c>
      <c r="D103" s="459">
        <f t="shared" si="35"/>
        <v>538.15643500050021</v>
      </c>
      <c r="E103" s="459">
        <f t="shared" si="35"/>
        <v>525.63633515540232</v>
      </c>
      <c r="F103" s="459">
        <f t="shared" si="35"/>
        <v>527.9088290539321</v>
      </c>
      <c r="G103" s="459">
        <f t="shared" si="35"/>
        <v>532.37723709843624</v>
      </c>
      <c r="H103" s="459">
        <f t="shared" si="35"/>
        <v>526.37396061209836</v>
      </c>
      <c r="I103" s="459">
        <f t="shared" si="35"/>
        <v>502.47454197466266</v>
      </c>
      <c r="J103" s="459">
        <f t="shared" si="35"/>
        <v>499.44927671718779</v>
      </c>
      <c r="K103" s="459">
        <f t="shared" si="35"/>
        <v>492.72259368227265</v>
      </c>
      <c r="L103" s="459">
        <f t="shared" si="35"/>
        <v>483.38958481522366</v>
      </c>
    </row>
    <row r="104" spans="1:12">
      <c r="A104" s="309"/>
      <c r="B104" s="326" t="s">
        <v>856</v>
      </c>
      <c r="C104" s="459">
        <f t="shared" ref="C104:L104" si="36">C76*C$98</f>
        <v>1332.4946721365816</v>
      </c>
      <c r="D104" s="459">
        <f t="shared" si="36"/>
        <v>1276.7888047543322</v>
      </c>
      <c r="E104" s="459">
        <f t="shared" si="36"/>
        <v>1247.0845732763369</v>
      </c>
      <c r="F104" s="459">
        <f t="shared" si="36"/>
        <v>1252.4761185219359</v>
      </c>
      <c r="G104" s="459">
        <f t="shared" si="36"/>
        <v>1263.0775217482892</v>
      </c>
      <c r="H104" s="459">
        <f t="shared" si="36"/>
        <v>1248.8346070285311</v>
      </c>
      <c r="I104" s="459">
        <f t="shared" si="36"/>
        <v>1192.1326739625692</v>
      </c>
      <c r="J104" s="459">
        <f t="shared" si="36"/>
        <v>1184.9551609553105</v>
      </c>
      <c r="K104" s="459">
        <f t="shared" si="36"/>
        <v>1168.9959471774382</v>
      </c>
      <c r="L104" s="459">
        <f t="shared" si="36"/>
        <v>1146.8531640364918</v>
      </c>
    </row>
    <row r="105" spans="1:12">
      <c r="A105" s="309"/>
      <c r="B105" s="326" t="s">
        <v>857</v>
      </c>
      <c r="C105" s="459">
        <f t="shared" ref="C105:L105" si="37">C87*C$98</f>
        <v>1911.245533076939</v>
      </c>
      <c r="D105" s="459">
        <f t="shared" si="37"/>
        <v>1831.3445830567894</v>
      </c>
      <c r="E105" s="459">
        <f t="shared" si="37"/>
        <v>1788.7387243521007</v>
      </c>
      <c r="F105" s="459">
        <f t="shared" si="37"/>
        <v>1796.4720136346091</v>
      </c>
      <c r="G105" s="459">
        <f t="shared" si="37"/>
        <v>1811.6779915528743</v>
      </c>
      <c r="H105" s="459">
        <f t="shared" si="37"/>
        <v>1791.2488613616931</v>
      </c>
      <c r="I105" s="459">
        <f t="shared" si="37"/>
        <v>1709.9192181328917</v>
      </c>
      <c r="J105" s="459">
        <f t="shared" si="37"/>
        <v>1699.624250385119</v>
      </c>
      <c r="K105" s="459">
        <f t="shared" si="37"/>
        <v>1676.7333700820332</v>
      </c>
      <c r="L105" s="459">
        <f t="shared" si="37"/>
        <v>1644.9731715214136</v>
      </c>
    </row>
    <row r="106" spans="1:12">
      <c r="A106" s="309"/>
      <c r="B106" s="326" t="s">
        <v>8</v>
      </c>
      <c r="C106" s="459">
        <f>SUM(C103:C105)</f>
        <v>3805.3762250031514</v>
      </c>
      <c r="D106" s="459">
        <f t="shared" ref="D106:L106" si="38">SUM(D103:D105)</f>
        <v>3646.2898228116219</v>
      </c>
      <c r="E106" s="459">
        <f t="shared" si="38"/>
        <v>3561.4596327838399</v>
      </c>
      <c r="F106" s="459">
        <f t="shared" si="38"/>
        <v>3576.856961210477</v>
      </c>
      <c r="G106" s="459">
        <f t="shared" si="38"/>
        <v>3607.1327503995999</v>
      </c>
      <c r="H106" s="459">
        <f t="shared" si="38"/>
        <v>3566.4574290023229</v>
      </c>
      <c r="I106" s="459">
        <f t="shared" si="38"/>
        <v>3404.5264340701237</v>
      </c>
      <c r="J106" s="459">
        <f t="shared" si="38"/>
        <v>3384.0286880576173</v>
      </c>
      <c r="K106" s="459">
        <f t="shared" si="38"/>
        <v>3338.4519109417442</v>
      </c>
      <c r="L106" s="459">
        <f t="shared" si="38"/>
        <v>3275.2159203731289</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3805.3762250031514</v>
      </c>
      <c r="D111" s="700">
        <f t="shared" ref="D111:L111" si="39">D106</f>
        <v>3646.2898228116219</v>
      </c>
      <c r="E111" s="700">
        <f t="shared" si="39"/>
        <v>3561.4596327838399</v>
      </c>
      <c r="F111" s="700">
        <f t="shared" si="39"/>
        <v>3576.856961210477</v>
      </c>
      <c r="G111" s="700">
        <f t="shared" si="39"/>
        <v>3607.1327503995999</v>
      </c>
      <c r="H111" s="700">
        <f t="shared" si="39"/>
        <v>3566.4574290023229</v>
      </c>
      <c r="I111" s="700">
        <f t="shared" si="39"/>
        <v>3404.5264340701237</v>
      </c>
      <c r="J111" s="700">
        <f t="shared" si="39"/>
        <v>3384.0286880576173</v>
      </c>
      <c r="K111" s="700">
        <f t="shared" si="39"/>
        <v>3338.4519109417442</v>
      </c>
      <c r="L111" s="700">
        <f t="shared" si="39"/>
        <v>3275.2159203731289</v>
      </c>
    </row>
    <row r="112" spans="1:12">
      <c r="A112" s="309"/>
      <c r="B112" s="700" t="s">
        <v>804</v>
      </c>
      <c r="C112" s="700">
        <f t="shared" ref="C112:L112" si="40">((C67+C78+C89)/100)*C111</f>
        <v>547.16440149822665</v>
      </c>
      <c r="D112" s="700">
        <f t="shared" si="40"/>
        <v>524.2898127861572</v>
      </c>
      <c r="E112" s="700">
        <f t="shared" si="40"/>
        <v>512.09231708243249</v>
      </c>
      <c r="F112" s="700">
        <f t="shared" si="40"/>
        <v>514.30625586143606</v>
      </c>
      <c r="G112" s="700">
        <f t="shared" si="40"/>
        <v>518.65952688959544</v>
      </c>
      <c r="H112" s="700">
        <f t="shared" si="40"/>
        <v>512.81093621888704</v>
      </c>
      <c r="I112" s="700">
        <f t="shared" si="40"/>
        <v>489.52733147465028</v>
      </c>
      <c r="J112" s="700">
        <f t="shared" si="40"/>
        <v>486.58001791986857</v>
      </c>
      <c r="K112" s="700">
        <f t="shared" si="40"/>
        <v>480.02666064366281</v>
      </c>
      <c r="L112" s="700">
        <f t="shared" si="40"/>
        <v>470.93413446838429</v>
      </c>
    </row>
    <row r="113" spans="1:12">
      <c r="A113" s="309"/>
      <c r="B113" s="700" t="s">
        <v>805</v>
      </c>
      <c r="C113" s="700">
        <f t="shared" ref="C113:L113" si="41">((C66+C77+C88)/100)*C111</f>
        <v>3258.2118235049247</v>
      </c>
      <c r="D113" s="700">
        <f t="shared" si="41"/>
        <v>3122.0000100254647</v>
      </c>
      <c r="E113" s="700">
        <f t="shared" si="41"/>
        <v>3049.3673157014073</v>
      </c>
      <c r="F113" s="700">
        <f t="shared" si="41"/>
        <v>3062.550705349041</v>
      </c>
      <c r="G113" s="700">
        <f t="shared" si="41"/>
        <v>3088.4732235100041</v>
      </c>
      <c r="H113" s="700">
        <f t="shared" si="41"/>
        <v>3053.6464927834359</v>
      </c>
      <c r="I113" s="700">
        <f t="shared" si="41"/>
        <v>2914.9991025954732</v>
      </c>
      <c r="J113" s="700">
        <f t="shared" si="41"/>
        <v>2897.4486701377486</v>
      </c>
      <c r="K113" s="700">
        <f t="shared" si="41"/>
        <v>2858.4252502980812</v>
      </c>
      <c r="L113" s="700">
        <f t="shared" si="41"/>
        <v>2804.2817859047445</v>
      </c>
    </row>
    <row r="114" spans="1:12">
      <c r="A114" s="309"/>
      <c r="B114" s="700" t="s">
        <v>799</v>
      </c>
      <c r="C114" s="700">
        <f>C112*$C$39</f>
        <v>338.14760012590409</v>
      </c>
      <c r="D114" s="700">
        <f t="shared" ref="D114:L114" si="42">D112*$C$39</f>
        <v>324.01110430184514</v>
      </c>
      <c r="E114" s="700">
        <f t="shared" si="42"/>
        <v>316.47305195694327</v>
      </c>
      <c r="F114" s="700">
        <f t="shared" si="42"/>
        <v>317.84126612236747</v>
      </c>
      <c r="G114" s="700">
        <f t="shared" si="42"/>
        <v>320.53158761776996</v>
      </c>
      <c r="H114" s="700">
        <f t="shared" si="42"/>
        <v>316.91715858327217</v>
      </c>
      <c r="I114" s="700">
        <f t="shared" si="42"/>
        <v>302.52789085133389</v>
      </c>
      <c r="J114" s="700">
        <f t="shared" si="42"/>
        <v>300.70645107447876</v>
      </c>
      <c r="K114" s="700">
        <f t="shared" si="42"/>
        <v>296.65647627778361</v>
      </c>
      <c r="L114" s="700">
        <f t="shared" si="42"/>
        <v>291.0372951014615</v>
      </c>
    </row>
    <row r="115" spans="1:12">
      <c r="A115" s="309"/>
      <c r="B115" s="700" t="s">
        <v>800</v>
      </c>
      <c r="C115" s="700">
        <f>C113</f>
        <v>3258.2118235049247</v>
      </c>
      <c r="D115" s="700">
        <f t="shared" ref="D115:L115" si="43">D113</f>
        <v>3122.0000100254647</v>
      </c>
      <c r="E115" s="700">
        <f t="shared" si="43"/>
        <v>3049.3673157014073</v>
      </c>
      <c r="F115" s="700">
        <f t="shared" si="43"/>
        <v>3062.550705349041</v>
      </c>
      <c r="G115" s="700">
        <f t="shared" si="43"/>
        <v>3088.4732235100041</v>
      </c>
      <c r="H115" s="700">
        <f t="shared" si="43"/>
        <v>3053.6464927834359</v>
      </c>
      <c r="I115" s="700">
        <f t="shared" si="43"/>
        <v>2914.9991025954732</v>
      </c>
      <c r="J115" s="700">
        <f t="shared" si="43"/>
        <v>2897.4486701377486</v>
      </c>
      <c r="K115" s="700">
        <f t="shared" si="43"/>
        <v>2858.4252502980812</v>
      </c>
      <c r="L115" s="700">
        <f t="shared" si="43"/>
        <v>2804.2817859047445</v>
      </c>
    </row>
    <row r="116" spans="1:12">
      <c r="A116" s="309"/>
      <c r="B116" s="700" t="s">
        <v>724</v>
      </c>
      <c r="C116" s="700">
        <f>C115+C114</f>
        <v>3596.359423630829</v>
      </c>
      <c r="D116" s="700">
        <f t="shared" ref="D116:L116" si="44">D115+D114</f>
        <v>3446.0111143273098</v>
      </c>
      <c r="E116" s="700">
        <f t="shared" si="44"/>
        <v>3365.8403676583507</v>
      </c>
      <c r="F116" s="700">
        <f t="shared" si="44"/>
        <v>3380.3919714714084</v>
      </c>
      <c r="G116" s="700">
        <f t="shared" si="44"/>
        <v>3409.0048111277742</v>
      </c>
      <c r="H116" s="700">
        <f t="shared" si="44"/>
        <v>3370.5636513667082</v>
      </c>
      <c r="I116" s="700">
        <f t="shared" si="44"/>
        <v>3217.526993446807</v>
      </c>
      <c r="J116" s="700">
        <f t="shared" si="44"/>
        <v>3198.1551212122276</v>
      </c>
      <c r="K116" s="700">
        <f t="shared" si="44"/>
        <v>3155.0817265758646</v>
      </c>
      <c r="L116" s="700">
        <f t="shared" si="44"/>
        <v>3095.319081006206</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35.7109375" customWidth="1"/>
    <col min="3" max="12"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6" customHeight="1">
      <c r="A5" s="1100" t="s">
        <v>1719</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SUM(A12:A1530)</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OUTPUTS_FOR_SECTION_2_OF_MODEL!B74</f>
        <v>Food</v>
      </c>
      <c r="C15" s="307">
        <f>OUTPUTS_FOR_SECTION_2_OF_MODEL!E74</f>
        <v>194.17053582383005</v>
      </c>
      <c r="D15" s="307">
        <f>OUTPUTS_FOR_SECTION_2_OF_MODEL!F74</f>
        <v>170.8270791023503</v>
      </c>
      <c r="E15" s="307">
        <f>OUTPUTS_FOR_SECTION_2_OF_MODEL!G74</f>
        <v>230.37708101191996</v>
      </c>
      <c r="F15" s="307">
        <f>OUTPUTS_FOR_SECTION_2_OF_MODEL!H74</f>
        <v>245.70104364650734</v>
      </c>
      <c r="G15" s="307">
        <f>OUTPUTS_FOR_SECTION_2_OF_MODEL!I74</f>
        <v>246.34790451003173</v>
      </c>
      <c r="H15" s="307">
        <f>OUTPUTS_FOR_SECTION_2_OF_MODEL!J74</f>
        <v>236.46023169056463</v>
      </c>
      <c r="I15" s="307">
        <f>OUTPUTS_FOR_SECTION_2_OF_MODEL!K74</f>
        <v>224.73956387035648</v>
      </c>
      <c r="J15" s="307">
        <f>OUTPUTS_FOR_SECTION_2_OF_MODEL!L74</f>
        <v>226.24983913949038</v>
      </c>
      <c r="K15" s="307">
        <f>OUTPUTS_FOR_SECTION_2_OF_MODEL!M74</f>
        <v>222.57327350751743</v>
      </c>
      <c r="L15" s="307">
        <f>OUTPUTS_FOR_SECTION_2_OF_MODEL!N74</f>
        <v>210.23572617202188</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180.77276885198577</v>
      </c>
      <c r="D44" s="459">
        <f t="shared" si="4"/>
        <v>159.04001064428815</v>
      </c>
      <c r="E44" s="459">
        <f t="shared" si="4"/>
        <v>214.48106242209749</v>
      </c>
      <c r="F44" s="459">
        <f t="shared" si="4"/>
        <v>228.74767163489835</v>
      </c>
      <c r="G44" s="459">
        <f t="shared" si="4"/>
        <v>229.34989909883956</v>
      </c>
      <c r="H44" s="459">
        <f t="shared" si="4"/>
        <v>220.14447570391567</v>
      </c>
      <c r="I44" s="459">
        <f t="shared" si="4"/>
        <v>209.2325339633019</v>
      </c>
      <c r="J44" s="459">
        <f t="shared" si="4"/>
        <v>210.63860023886556</v>
      </c>
      <c r="K44" s="459">
        <f t="shared" si="4"/>
        <v>207.21571763549875</v>
      </c>
      <c r="L44" s="459">
        <f t="shared" si="4"/>
        <v>195.7294610661524</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1.9127910080323263</v>
      </c>
      <c r="D57" s="459">
        <f t="shared" ref="D57:L57" si="7">D44/$J$50</f>
        <v>1.6828325649359444</v>
      </c>
      <c r="E57" s="459">
        <f t="shared" si="7"/>
        <v>2.2694648657515515</v>
      </c>
      <c r="F57" s="459">
        <f t="shared" si="7"/>
        <v>2.4204225680131159</v>
      </c>
      <c r="G57" s="459">
        <f t="shared" si="7"/>
        <v>2.4267948512122519</v>
      </c>
      <c r="H57" s="459">
        <f t="shared" si="7"/>
        <v>2.3293905175464995</v>
      </c>
      <c r="I57" s="459">
        <f t="shared" si="7"/>
        <v>2.2139291890833137</v>
      </c>
      <c r="J57" s="459">
        <f t="shared" si="7"/>
        <v>2.2288070434508476</v>
      </c>
      <c r="K57" s="459">
        <f t="shared" si="7"/>
        <v>2.1925888723908518</v>
      </c>
      <c r="L57" s="459">
        <f t="shared" si="7"/>
        <v>2.0710506096241441</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1.9127910080323263</v>
      </c>
      <c r="D98" s="459">
        <f t="shared" ref="D98:L98" si="33">D57</f>
        <v>1.6828325649359444</v>
      </c>
      <c r="E98" s="459">
        <f t="shared" si="33"/>
        <v>2.2694648657515515</v>
      </c>
      <c r="F98" s="459">
        <f t="shared" si="33"/>
        <v>2.4204225680131159</v>
      </c>
      <c r="G98" s="459">
        <f t="shared" si="33"/>
        <v>2.4267948512122519</v>
      </c>
      <c r="H98" s="459">
        <f t="shared" si="33"/>
        <v>2.3293905175464995</v>
      </c>
      <c r="I98" s="459">
        <f t="shared" si="33"/>
        <v>2.2139291890833137</v>
      </c>
      <c r="J98" s="459">
        <f t="shared" si="33"/>
        <v>2.2288070434508476</v>
      </c>
      <c r="K98" s="459">
        <f t="shared" si="33"/>
        <v>2.1925888723908518</v>
      </c>
      <c r="L98" s="459">
        <f t="shared" si="33"/>
        <v>2.0710506096241441</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858</v>
      </c>
      <c r="C103" s="459">
        <f t="shared" ref="C103:L103" si="35">C65*C$98</f>
        <v>28.23090976871234</v>
      </c>
      <c r="D103" s="459">
        <f t="shared" si="35"/>
        <v>24.836949827272768</v>
      </c>
      <c r="E103" s="459">
        <f t="shared" si="35"/>
        <v>33.495064321847828</v>
      </c>
      <c r="F103" s="459">
        <f t="shared" si="35"/>
        <v>35.723051202559027</v>
      </c>
      <c r="G103" s="459">
        <f t="shared" si="35"/>
        <v>35.817099821179703</v>
      </c>
      <c r="H103" s="459">
        <f t="shared" si="35"/>
        <v>34.379507871378493</v>
      </c>
      <c r="I103" s="459">
        <f t="shared" si="35"/>
        <v>32.675412477824253</v>
      </c>
      <c r="J103" s="459">
        <f t="shared" si="35"/>
        <v>32.894994942629943</v>
      </c>
      <c r="K103" s="459">
        <f t="shared" si="35"/>
        <v>32.36045043939415</v>
      </c>
      <c r="L103" s="459">
        <f t="shared" si="35"/>
        <v>30.566665485782014</v>
      </c>
    </row>
    <row r="104" spans="1:12">
      <c r="A104" s="309"/>
      <c r="B104" s="326" t="s">
        <v>859</v>
      </c>
      <c r="C104" s="459">
        <f t="shared" ref="C104:L104" si="36">C76*C$98</f>
        <v>66.978497694054553</v>
      </c>
      <c r="D104" s="459">
        <f t="shared" si="36"/>
        <v>58.926247873775658</v>
      </c>
      <c r="E104" s="459">
        <f t="shared" si="36"/>
        <v>79.467828235895396</v>
      </c>
      <c r="F104" s="459">
        <f t="shared" si="36"/>
        <v>84.753779534478198</v>
      </c>
      <c r="G104" s="459">
        <f t="shared" si="36"/>
        <v>84.976912095101341</v>
      </c>
      <c r="H104" s="459">
        <f t="shared" si="36"/>
        <v>81.566191367940618</v>
      </c>
      <c r="I104" s="459">
        <f t="shared" si="36"/>
        <v>77.523184949701914</v>
      </c>
      <c r="J104" s="459">
        <f t="shared" si="36"/>
        <v>78.044149514185847</v>
      </c>
      <c r="K104" s="459">
        <f t="shared" si="36"/>
        <v>76.775930102531333</v>
      </c>
      <c r="L104" s="459">
        <f t="shared" si="36"/>
        <v>72.520133092677483</v>
      </c>
    </row>
    <row r="105" spans="1:12">
      <c r="A105" s="309"/>
      <c r="B105" s="326" t="s">
        <v>860</v>
      </c>
      <c r="C105" s="459">
        <f t="shared" ref="C105:L105" si="37">C87*C$98</f>
        <v>96.069693340465733</v>
      </c>
      <c r="D105" s="459">
        <f t="shared" si="37"/>
        <v>84.52005879254601</v>
      </c>
      <c r="E105" s="459">
        <f t="shared" si="37"/>
        <v>113.98359401741193</v>
      </c>
      <c r="F105" s="459">
        <f t="shared" si="37"/>
        <v>121.56542606427438</v>
      </c>
      <c r="G105" s="459">
        <f t="shared" si="37"/>
        <v>121.88547320494415</v>
      </c>
      <c r="H105" s="459">
        <f t="shared" si="37"/>
        <v>116.99335251533084</v>
      </c>
      <c r="I105" s="459">
        <f t="shared" si="37"/>
        <v>111.1943214808052</v>
      </c>
      <c r="J105" s="459">
        <f t="shared" si="37"/>
        <v>111.94155988826897</v>
      </c>
      <c r="K105" s="459">
        <f t="shared" si="37"/>
        <v>110.12250669715969</v>
      </c>
      <c r="L105" s="459">
        <f t="shared" si="37"/>
        <v>104.01826238395492</v>
      </c>
    </row>
    <row r="106" spans="1:12">
      <c r="A106" s="309"/>
      <c r="B106" s="326" t="s">
        <v>8</v>
      </c>
      <c r="C106" s="459">
        <f>SUM(C103:C105)</f>
        <v>191.27910080323261</v>
      </c>
      <c r="D106" s="459">
        <f t="shared" ref="D106:L106" si="38">SUM(D103:D105)</f>
        <v>168.28325649359442</v>
      </c>
      <c r="E106" s="459">
        <f t="shared" si="38"/>
        <v>226.94648657515518</v>
      </c>
      <c r="F106" s="459">
        <f t="shared" si="38"/>
        <v>242.04225680131162</v>
      </c>
      <c r="G106" s="459">
        <f t="shared" si="38"/>
        <v>242.67948512122518</v>
      </c>
      <c r="H106" s="459">
        <f t="shared" si="38"/>
        <v>232.93905175464994</v>
      </c>
      <c r="I106" s="459">
        <f t="shared" si="38"/>
        <v>221.39291890833135</v>
      </c>
      <c r="J106" s="459">
        <f t="shared" si="38"/>
        <v>222.88070434508478</v>
      </c>
      <c r="K106" s="459">
        <f t="shared" si="38"/>
        <v>219.2588872390852</v>
      </c>
      <c r="L106" s="459">
        <f t="shared" si="38"/>
        <v>207.10506096241443</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191.27910080323261</v>
      </c>
      <c r="D111" s="700">
        <f t="shared" ref="D111:L111" si="39">D106</f>
        <v>168.28325649359442</v>
      </c>
      <c r="E111" s="700">
        <f t="shared" si="39"/>
        <v>226.94648657515518</v>
      </c>
      <c r="F111" s="700">
        <f t="shared" si="39"/>
        <v>242.04225680131162</v>
      </c>
      <c r="G111" s="700">
        <f t="shared" si="39"/>
        <v>242.67948512122518</v>
      </c>
      <c r="H111" s="700">
        <f t="shared" si="39"/>
        <v>232.93905175464994</v>
      </c>
      <c r="I111" s="700">
        <f t="shared" si="39"/>
        <v>221.39291890833135</v>
      </c>
      <c r="J111" s="700">
        <f t="shared" si="39"/>
        <v>222.88070434508478</v>
      </c>
      <c r="K111" s="700">
        <f t="shared" si="39"/>
        <v>219.2588872390852</v>
      </c>
      <c r="L111" s="700">
        <f t="shared" si="39"/>
        <v>207.10506096241443</v>
      </c>
    </row>
    <row r="112" spans="1:12">
      <c r="A112" s="309"/>
      <c r="B112" s="700" t="s">
        <v>804</v>
      </c>
      <c r="C112" s="700">
        <f t="shared" ref="C112:L112" si="40">((C67+C78+C89)/100)*C111</f>
        <v>27.503486783368722</v>
      </c>
      <c r="D112" s="700">
        <f t="shared" si="40"/>
        <v>24.196978663105487</v>
      </c>
      <c r="E112" s="700">
        <f t="shared" si="40"/>
        <v>32.632000400674514</v>
      </c>
      <c r="F112" s="700">
        <f t="shared" si="40"/>
        <v>34.802578969668126</v>
      </c>
      <c r="G112" s="700">
        <f t="shared" si="40"/>
        <v>34.894204247082826</v>
      </c>
      <c r="H112" s="700">
        <f t="shared" si="40"/>
        <v>33.493654583073955</v>
      </c>
      <c r="I112" s="700">
        <f t="shared" si="40"/>
        <v>31.833468442485533</v>
      </c>
      <c r="J112" s="700">
        <f t="shared" si="40"/>
        <v>32.047392948217762</v>
      </c>
      <c r="K112" s="700">
        <f t="shared" si="40"/>
        <v>31.526621998917296</v>
      </c>
      <c r="L112" s="700">
        <f t="shared" si="40"/>
        <v>29.779057320057593</v>
      </c>
    </row>
    <row r="113" spans="1:12">
      <c r="A113" s="309"/>
      <c r="B113" s="700" t="s">
        <v>805</v>
      </c>
      <c r="C113" s="700">
        <f t="shared" ref="C113:L113" si="41">((C66+C77+C88)/100)*C111</f>
        <v>163.77561401986387</v>
      </c>
      <c r="D113" s="700">
        <f t="shared" si="41"/>
        <v>144.08627783048894</v>
      </c>
      <c r="E113" s="700">
        <f t="shared" si="41"/>
        <v>194.31448617448066</v>
      </c>
      <c r="F113" s="700">
        <f t="shared" si="41"/>
        <v>207.23967783164349</v>
      </c>
      <c r="G113" s="700">
        <f t="shared" si="41"/>
        <v>207.78528087414236</v>
      </c>
      <c r="H113" s="700">
        <f t="shared" si="41"/>
        <v>199.44539717157596</v>
      </c>
      <c r="I113" s="700">
        <f t="shared" si="41"/>
        <v>189.5594504658458</v>
      </c>
      <c r="J113" s="700">
        <f t="shared" si="41"/>
        <v>190.833311396867</v>
      </c>
      <c r="K113" s="700">
        <f t="shared" si="41"/>
        <v>187.73226524016789</v>
      </c>
      <c r="L113" s="700">
        <f t="shared" si="41"/>
        <v>177.32600364235682</v>
      </c>
    </row>
    <row r="114" spans="1:12">
      <c r="A114" s="309"/>
      <c r="B114" s="700" t="s">
        <v>799</v>
      </c>
      <c r="C114" s="700">
        <f>C112*$C$39</f>
        <v>16.997154832121868</v>
      </c>
      <c r="D114" s="700">
        <f t="shared" ref="D114:L114" si="42">D112*$C$39</f>
        <v>14.95373281379919</v>
      </c>
      <c r="E114" s="700">
        <f t="shared" si="42"/>
        <v>20.166576247616849</v>
      </c>
      <c r="F114" s="700">
        <f t="shared" si="42"/>
        <v>21.507993803254902</v>
      </c>
      <c r="G114" s="700">
        <f t="shared" si="42"/>
        <v>21.564618224697185</v>
      </c>
      <c r="H114" s="700">
        <f t="shared" si="42"/>
        <v>20.699078532339705</v>
      </c>
      <c r="I114" s="700">
        <f t="shared" si="42"/>
        <v>19.673083497456059</v>
      </c>
      <c r="J114" s="700">
        <f t="shared" si="42"/>
        <v>19.805288841998578</v>
      </c>
      <c r="K114" s="700">
        <f t="shared" si="42"/>
        <v>19.48345239533089</v>
      </c>
      <c r="L114" s="700">
        <f t="shared" si="42"/>
        <v>18.403457423795594</v>
      </c>
    </row>
    <row r="115" spans="1:12">
      <c r="A115" s="309"/>
      <c r="B115" s="700" t="s">
        <v>800</v>
      </c>
      <c r="C115" s="700">
        <f>C113</f>
        <v>163.77561401986387</v>
      </c>
      <c r="D115" s="700">
        <f t="shared" ref="D115:L115" si="43">D113</f>
        <v>144.08627783048894</v>
      </c>
      <c r="E115" s="700">
        <f t="shared" si="43"/>
        <v>194.31448617448066</v>
      </c>
      <c r="F115" s="700">
        <f t="shared" si="43"/>
        <v>207.23967783164349</v>
      </c>
      <c r="G115" s="700">
        <f t="shared" si="43"/>
        <v>207.78528087414236</v>
      </c>
      <c r="H115" s="700">
        <f t="shared" si="43"/>
        <v>199.44539717157596</v>
      </c>
      <c r="I115" s="700">
        <f t="shared" si="43"/>
        <v>189.5594504658458</v>
      </c>
      <c r="J115" s="700">
        <f t="shared" si="43"/>
        <v>190.833311396867</v>
      </c>
      <c r="K115" s="700">
        <f t="shared" si="43"/>
        <v>187.73226524016789</v>
      </c>
      <c r="L115" s="700">
        <f t="shared" si="43"/>
        <v>177.32600364235682</v>
      </c>
    </row>
    <row r="116" spans="1:12">
      <c r="A116" s="309"/>
      <c r="B116" s="700" t="s">
        <v>724</v>
      </c>
      <c r="C116" s="700">
        <f>C115+C114</f>
        <v>180.77276885198575</v>
      </c>
      <c r="D116" s="700">
        <f t="shared" ref="D116:L116" si="44">D115+D114</f>
        <v>159.04001064428812</v>
      </c>
      <c r="E116" s="700">
        <f t="shared" si="44"/>
        <v>214.48106242209752</v>
      </c>
      <c r="F116" s="700">
        <f t="shared" si="44"/>
        <v>228.74767163489838</v>
      </c>
      <c r="G116" s="700">
        <f t="shared" si="44"/>
        <v>229.34989909883956</v>
      </c>
      <c r="H116" s="700">
        <f t="shared" si="44"/>
        <v>220.14447570391567</v>
      </c>
      <c r="I116" s="700">
        <f t="shared" si="44"/>
        <v>209.23253396330185</v>
      </c>
      <c r="J116" s="700">
        <f t="shared" si="44"/>
        <v>210.63860023886559</v>
      </c>
      <c r="K116" s="700">
        <f t="shared" si="44"/>
        <v>207.21571763549878</v>
      </c>
      <c r="L116" s="700">
        <f t="shared" si="44"/>
        <v>195.72946106615242</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58"/>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5.9" customHeight="1">
      <c r="A5" s="1100" t="s">
        <v>1720</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SUM(A12:A1744)</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OUTPUTS_FOR_SECTION_2_OF_MODEL!B75</f>
        <v>Geography</v>
      </c>
      <c r="C15" s="307">
        <f>OUTPUTS_FOR_SECTION_2_OF_MODEL!E75</f>
        <v>1578.1307391323012</v>
      </c>
      <c r="D15" s="307">
        <f>OUTPUTS_FOR_SECTION_2_OF_MODEL!F75</f>
        <v>1559.9435854724363</v>
      </c>
      <c r="E15" s="307">
        <f>OUTPUTS_FOR_SECTION_2_OF_MODEL!G75</f>
        <v>1330.3897823669502</v>
      </c>
      <c r="F15" s="307">
        <f>OUTPUTS_FOR_SECTION_2_OF_MODEL!H75</f>
        <v>1288.7634130233025</v>
      </c>
      <c r="G15" s="307">
        <f>OUTPUTS_FOR_SECTION_2_OF_MODEL!I75</f>
        <v>1294.644023061835</v>
      </c>
      <c r="H15" s="307">
        <f>OUTPUTS_FOR_SECTION_2_OF_MODEL!J75</f>
        <v>1303.7414380971634</v>
      </c>
      <c r="I15" s="307">
        <f>OUTPUTS_FOR_SECTION_2_OF_MODEL!K75</f>
        <v>1244.6928236847466</v>
      </c>
      <c r="J15" s="307">
        <f>OUTPUTS_FOR_SECTION_2_OF_MODEL!L75</f>
        <v>1213.3361672022436</v>
      </c>
      <c r="K15" s="307">
        <f>OUTPUTS_FOR_SECTION_2_OF_MODEL!M75</f>
        <v>1192.8208878862974</v>
      </c>
      <c r="L15" s="307">
        <f>OUTPUTS_FOR_SECTION_2_OF_MODEL!N75</f>
        <v>1204.3424150166754</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1469.2397181321726</v>
      </c>
      <c r="D44" s="459">
        <f t="shared" si="4"/>
        <v>1452.3074780748384</v>
      </c>
      <c r="E44" s="459">
        <f t="shared" si="4"/>
        <v>1238.5928873836306</v>
      </c>
      <c r="F44" s="459">
        <f t="shared" si="4"/>
        <v>1199.8387375246948</v>
      </c>
      <c r="G44" s="459">
        <f t="shared" si="4"/>
        <v>1205.3135854705686</v>
      </c>
      <c r="H44" s="459">
        <f t="shared" si="4"/>
        <v>1213.7832788684591</v>
      </c>
      <c r="I44" s="459">
        <f t="shared" si="4"/>
        <v>1158.8090188504991</v>
      </c>
      <c r="J44" s="459">
        <f t="shared" si="4"/>
        <v>1129.615971665289</v>
      </c>
      <c r="K44" s="459">
        <f t="shared" si="4"/>
        <v>1110.5162466221429</v>
      </c>
      <c r="L44" s="459">
        <f t="shared" si="4"/>
        <v>1121.2427883805249</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15.546304564202607</v>
      </c>
      <c r="D57" s="459">
        <f t="shared" ref="D57:L57" si="7">D44/$J$50</f>
        <v>15.367141315593896</v>
      </c>
      <c r="E57" s="459">
        <f t="shared" si="7"/>
        <v>13.105786632831006</v>
      </c>
      <c r="F57" s="459">
        <f t="shared" si="7"/>
        <v>12.695721611174978</v>
      </c>
      <c r="G57" s="459">
        <f t="shared" si="7"/>
        <v>12.753652017329161</v>
      </c>
      <c r="H57" s="459">
        <f t="shared" si="7"/>
        <v>12.843271452132091</v>
      </c>
      <c r="I57" s="459">
        <f t="shared" si="7"/>
        <v>12.261578363602348</v>
      </c>
      <c r="J57" s="459">
        <f t="shared" si="7"/>
        <v>11.952681185628299</v>
      </c>
      <c r="K57" s="459">
        <f t="shared" si="7"/>
        <v>11.750583366634705</v>
      </c>
      <c r="L57" s="459">
        <f t="shared" si="7"/>
        <v>11.864082942666069</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15.546304564202607</v>
      </c>
      <c r="D98" s="459">
        <f t="shared" ref="D98:L98" si="33">D57</f>
        <v>15.367141315593896</v>
      </c>
      <c r="E98" s="459">
        <f t="shared" si="33"/>
        <v>13.105786632831006</v>
      </c>
      <c r="F98" s="459">
        <f t="shared" si="33"/>
        <v>12.695721611174978</v>
      </c>
      <c r="G98" s="459">
        <f t="shared" si="33"/>
        <v>12.753652017329161</v>
      </c>
      <c r="H98" s="459">
        <f t="shared" si="33"/>
        <v>12.843271452132091</v>
      </c>
      <c r="I98" s="459">
        <f t="shared" si="33"/>
        <v>12.261578363602348</v>
      </c>
      <c r="J98" s="459">
        <f t="shared" si="33"/>
        <v>11.952681185628299</v>
      </c>
      <c r="K98" s="459">
        <f t="shared" si="33"/>
        <v>11.750583366634705</v>
      </c>
      <c r="L98" s="459">
        <f t="shared" si="33"/>
        <v>11.864082942666069</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861</v>
      </c>
      <c r="C103" s="459">
        <f t="shared" ref="C103:L103" si="35">C65*C$98</f>
        <v>229.44813079208464</v>
      </c>
      <c r="D103" s="459">
        <f t="shared" si="35"/>
        <v>226.80385785055458</v>
      </c>
      <c r="E103" s="459">
        <f t="shared" si="35"/>
        <v>193.42849183510779</v>
      </c>
      <c r="F103" s="459">
        <f t="shared" si="35"/>
        <v>187.37633633193809</v>
      </c>
      <c r="G103" s="459">
        <f t="shared" si="35"/>
        <v>188.23133202259953</v>
      </c>
      <c r="H103" s="459">
        <f t="shared" si="35"/>
        <v>189.5540265390523</v>
      </c>
      <c r="I103" s="459">
        <f t="shared" si="35"/>
        <v>180.96880994904978</v>
      </c>
      <c r="J103" s="459">
        <f t="shared" si="35"/>
        <v>176.40979209368777</v>
      </c>
      <c r="K103" s="459">
        <f t="shared" si="35"/>
        <v>173.42702750074315</v>
      </c>
      <c r="L103" s="459">
        <f t="shared" si="35"/>
        <v>175.10216936217665</v>
      </c>
    </row>
    <row r="104" spans="1:12">
      <c r="A104" s="309"/>
      <c r="B104" s="326" t="s">
        <v>862</v>
      </c>
      <c r="C104" s="459">
        <f t="shared" ref="C104:L104" si="36">C76*C$98</f>
        <v>544.37108917385535</v>
      </c>
      <c r="D104" s="459">
        <f t="shared" si="36"/>
        <v>538.09748940085024</v>
      </c>
      <c r="E104" s="459">
        <f t="shared" si="36"/>
        <v>458.91364821336902</v>
      </c>
      <c r="F104" s="459">
        <f t="shared" si="36"/>
        <v>444.55476687606375</v>
      </c>
      <c r="G104" s="459">
        <f t="shared" si="36"/>
        <v>446.58326427003942</v>
      </c>
      <c r="H104" s="459">
        <f t="shared" si="36"/>
        <v>449.72138813306685</v>
      </c>
      <c r="I104" s="459">
        <f t="shared" si="36"/>
        <v>429.35275976481887</v>
      </c>
      <c r="J104" s="459">
        <f t="shared" si="36"/>
        <v>418.53638263017416</v>
      </c>
      <c r="K104" s="459">
        <f t="shared" si="36"/>
        <v>411.45970344954566</v>
      </c>
      <c r="L104" s="459">
        <f t="shared" si="36"/>
        <v>415.43401693155693</v>
      </c>
    </row>
    <row r="105" spans="1:12">
      <c r="A105" s="309"/>
      <c r="B105" s="326" t="s">
        <v>863</v>
      </c>
      <c r="C105" s="459">
        <f t="shared" ref="C105:L105" si="37">C87*C$98</f>
        <v>780.81123645432081</v>
      </c>
      <c r="D105" s="459">
        <f t="shared" si="37"/>
        <v>771.81278430798488</v>
      </c>
      <c r="E105" s="459">
        <f t="shared" si="37"/>
        <v>658.23652323462375</v>
      </c>
      <c r="F105" s="459">
        <f t="shared" si="37"/>
        <v>637.641057909496</v>
      </c>
      <c r="G105" s="459">
        <f t="shared" si="37"/>
        <v>640.5506054402772</v>
      </c>
      <c r="H105" s="459">
        <f t="shared" si="37"/>
        <v>645.05173054109002</v>
      </c>
      <c r="I105" s="459">
        <f t="shared" si="37"/>
        <v>615.8362666463662</v>
      </c>
      <c r="J105" s="459">
        <f t="shared" si="37"/>
        <v>600.32194383896797</v>
      </c>
      <c r="K105" s="459">
        <f t="shared" si="37"/>
        <v>590.17160571318175</v>
      </c>
      <c r="L105" s="459">
        <f t="shared" si="37"/>
        <v>595.87210797287332</v>
      </c>
    </row>
    <row r="106" spans="1:12">
      <c r="A106" s="309"/>
      <c r="B106" s="326" t="s">
        <v>8</v>
      </c>
      <c r="C106" s="459">
        <f>SUM(C103:C105)</f>
        <v>1554.6304564202608</v>
      </c>
      <c r="D106" s="459">
        <f t="shared" ref="D106:L106" si="38">SUM(D103:D105)</f>
        <v>1536.7141315593897</v>
      </c>
      <c r="E106" s="459">
        <f t="shared" si="38"/>
        <v>1310.5786632831005</v>
      </c>
      <c r="F106" s="459">
        <f t="shared" si="38"/>
        <v>1269.5721611174977</v>
      </c>
      <c r="G106" s="459">
        <f t="shared" si="38"/>
        <v>1275.3652017329161</v>
      </c>
      <c r="H106" s="459">
        <f t="shared" si="38"/>
        <v>1284.3271452132092</v>
      </c>
      <c r="I106" s="459">
        <f t="shared" si="38"/>
        <v>1226.1578363602348</v>
      </c>
      <c r="J106" s="459">
        <f t="shared" si="38"/>
        <v>1195.2681185628298</v>
      </c>
      <c r="K106" s="459">
        <f t="shared" si="38"/>
        <v>1175.0583366634705</v>
      </c>
      <c r="L106" s="459">
        <f t="shared" si="38"/>
        <v>1186.4082942666068</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1554.6304564202608</v>
      </c>
      <c r="D111" s="700">
        <f t="shared" ref="D111:L111" si="39">D106</f>
        <v>1536.7141315593897</v>
      </c>
      <c r="E111" s="700">
        <f t="shared" si="39"/>
        <v>1310.5786632831005</v>
      </c>
      <c r="F111" s="700">
        <f t="shared" si="39"/>
        <v>1269.5721611174977</v>
      </c>
      <c r="G111" s="700">
        <f t="shared" si="39"/>
        <v>1275.3652017329161</v>
      </c>
      <c r="H111" s="700">
        <f t="shared" si="39"/>
        <v>1284.3271452132092</v>
      </c>
      <c r="I111" s="700">
        <f t="shared" si="39"/>
        <v>1226.1578363602348</v>
      </c>
      <c r="J111" s="700">
        <f t="shared" si="39"/>
        <v>1195.2681185628298</v>
      </c>
      <c r="K111" s="700">
        <f t="shared" si="39"/>
        <v>1175.0583366634705</v>
      </c>
      <c r="L111" s="700">
        <f t="shared" si="39"/>
        <v>1186.4082942666068</v>
      </c>
    </row>
    <row r="112" spans="1:12">
      <c r="A112" s="309"/>
      <c r="B112" s="700" t="s">
        <v>804</v>
      </c>
      <c r="C112" s="700">
        <f t="shared" ref="C112:L112" si="40">((C67+C78+C89)/100)*C111</f>
        <v>223.53596410494271</v>
      </c>
      <c r="D112" s="700">
        <f t="shared" si="40"/>
        <v>220.9598258757882</v>
      </c>
      <c r="E112" s="700">
        <f t="shared" si="40"/>
        <v>188.44443952740826</v>
      </c>
      <c r="F112" s="700">
        <f t="shared" si="40"/>
        <v>182.54822930053137</v>
      </c>
      <c r="G112" s="700">
        <f t="shared" si="40"/>
        <v>183.38119440405086</v>
      </c>
      <c r="H112" s="700">
        <f t="shared" si="40"/>
        <v>184.66980718520929</v>
      </c>
      <c r="I112" s="700">
        <f t="shared" si="40"/>
        <v>176.30580499930798</v>
      </c>
      <c r="J112" s="700">
        <f t="shared" si="40"/>
        <v>171.86425889408625</v>
      </c>
      <c r="K112" s="700">
        <f t="shared" si="40"/>
        <v>168.95835089352749</v>
      </c>
      <c r="L112" s="700">
        <f t="shared" si="40"/>
        <v>170.59032954471729</v>
      </c>
    </row>
    <row r="113" spans="1:12">
      <c r="A113" s="309"/>
      <c r="B113" s="700" t="s">
        <v>805</v>
      </c>
      <c r="C113" s="700">
        <f t="shared" ref="C113:L113" si="41">((C66+C77+C88)/100)*C111</f>
        <v>1331.0944923153179</v>
      </c>
      <c r="D113" s="700">
        <f t="shared" si="41"/>
        <v>1315.7543056836014</v>
      </c>
      <c r="E113" s="700">
        <f t="shared" si="41"/>
        <v>1122.1342237556921</v>
      </c>
      <c r="F113" s="700">
        <f t="shared" si="41"/>
        <v>1087.0239318169663</v>
      </c>
      <c r="G113" s="700">
        <f t="shared" si="41"/>
        <v>1091.9840073288651</v>
      </c>
      <c r="H113" s="700">
        <f t="shared" si="41"/>
        <v>1099.6573380279999</v>
      </c>
      <c r="I113" s="700">
        <f t="shared" si="41"/>
        <v>1049.8520313609267</v>
      </c>
      <c r="J113" s="700">
        <f t="shared" si="41"/>
        <v>1023.4038596687435</v>
      </c>
      <c r="K113" s="700">
        <f t="shared" si="41"/>
        <v>1006.0999857699429</v>
      </c>
      <c r="L113" s="700">
        <f t="shared" si="41"/>
        <v>1015.8179647218894</v>
      </c>
    </row>
    <row r="114" spans="1:12">
      <c r="A114" s="309"/>
      <c r="B114" s="700" t="s">
        <v>799</v>
      </c>
      <c r="C114" s="700">
        <f>C112*$C$39</f>
        <v>138.14522581685461</v>
      </c>
      <c r="D114" s="700">
        <f t="shared" ref="D114:L114" si="42">D112*$C$39</f>
        <v>136.5531723912371</v>
      </c>
      <c r="E114" s="700">
        <f t="shared" si="42"/>
        <v>116.45866362793831</v>
      </c>
      <c r="F114" s="700">
        <f t="shared" si="42"/>
        <v>112.81480570772838</v>
      </c>
      <c r="G114" s="700">
        <f t="shared" si="42"/>
        <v>113.32957814170344</v>
      </c>
      <c r="H114" s="700">
        <f t="shared" si="42"/>
        <v>114.12594084045934</v>
      </c>
      <c r="I114" s="700">
        <f t="shared" si="42"/>
        <v>108.95698748957233</v>
      </c>
      <c r="J114" s="700">
        <f t="shared" si="42"/>
        <v>106.2121119965453</v>
      </c>
      <c r="K114" s="700">
        <f t="shared" si="42"/>
        <v>104.4162608522</v>
      </c>
      <c r="L114" s="700">
        <f t="shared" si="42"/>
        <v>105.42482365863529</v>
      </c>
    </row>
    <row r="115" spans="1:12">
      <c r="A115" s="309"/>
      <c r="B115" s="700" t="s">
        <v>800</v>
      </c>
      <c r="C115" s="700">
        <f>C113</f>
        <v>1331.0944923153179</v>
      </c>
      <c r="D115" s="700">
        <f t="shared" ref="D115:L115" si="43">D113</f>
        <v>1315.7543056836014</v>
      </c>
      <c r="E115" s="700">
        <f t="shared" si="43"/>
        <v>1122.1342237556921</v>
      </c>
      <c r="F115" s="700">
        <f t="shared" si="43"/>
        <v>1087.0239318169663</v>
      </c>
      <c r="G115" s="700">
        <f t="shared" si="43"/>
        <v>1091.9840073288651</v>
      </c>
      <c r="H115" s="700">
        <f t="shared" si="43"/>
        <v>1099.6573380279999</v>
      </c>
      <c r="I115" s="700">
        <f t="shared" si="43"/>
        <v>1049.8520313609267</v>
      </c>
      <c r="J115" s="700">
        <f t="shared" si="43"/>
        <v>1023.4038596687435</v>
      </c>
      <c r="K115" s="700">
        <f t="shared" si="43"/>
        <v>1006.0999857699429</v>
      </c>
      <c r="L115" s="700">
        <f t="shared" si="43"/>
        <v>1015.8179647218894</v>
      </c>
    </row>
    <row r="116" spans="1:12">
      <c r="A116" s="309"/>
      <c r="B116" s="700" t="s">
        <v>724</v>
      </c>
      <c r="C116" s="700">
        <f>C115+C114</f>
        <v>1469.2397181321726</v>
      </c>
      <c r="D116" s="700">
        <f t="shared" ref="D116:L116" si="44">D115+D114</f>
        <v>1452.3074780748384</v>
      </c>
      <c r="E116" s="700">
        <f t="shared" si="44"/>
        <v>1238.5928873836303</v>
      </c>
      <c r="F116" s="700">
        <f t="shared" si="44"/>
        <v>1199.8387375246946</v>
      </c>
      <c r="G116" s="700">
        <f t="shared" si="44"/>
        <v>1205.3135854705686</v>
      </c>
      <c r="H116" s="700">
        <f t="shared" si="44"/>
        <v>1213.7832788684593</v>
      </c>
      <c r="I116" s="700">
        <f t="shared" si="44"/>
        <v>1158.8090188504991</v>
      </c>
      <c r="J116" s="700">
        <f t="shared" si="44"/>
        <v>1129.6159716652887</v>
      </c>
      <c r="K116" s="700">
        <f t="shared" si="44"/>
        <v>1110.5162466221429</v>
      </c>
      <c r="L116" s="700">
        <f t="shared" si="44"/>
        <v>1121.2427883805246</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858" t="s">
        <v>1558</v>
      </c>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1064" t="s">
        <v>1556</v>
      </c>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25" t="s">
        <v>1332</v>
      </c>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25" t="s">
        <v>1208</v>
      </c>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25" t="s">
        <v>1209</v>
      </c>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25" t="s">
        <v>1331</v>
      </c>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41" t="s">
        <v>1214</v>
      </c>
      <c r="C132" s="309"/>
      <c r="E132" s="309"/>
      <c r="F132" s="705"/>
      <c r="G132" s="309"/>
      <c r="H132" s="309"/>
      <c r="I132" s="309"/>
      <c r="J132" s="309"/>
      <c r="K132" s="309"/>
      <c r="L132" s="309"/>
    </row>
    <row r="134" spans="1:12">
      <c r="B134" s="150" t="s">
        <v>1226</v>
      </c>
      <c r="D134" s="12" t="s">
        <v>1222</v>
      </c>
      <c r="F134" s="872">
        <v>160.60274566990125</v>
      </c>
    </row>
    <row r="135" spans="1:12">
      <c r="B135" s="150"/>
      <c r="D135" s="12" t="s">
        <v>699</v>
      </c>
      <c r="F135" s="872">
        <v>356.41554210985925</v>
      </c>
    </row>
    <row r="136" spans="1:12">
      <c r="B136" s="150" t="s">
        <v>1223</v>
      </c>
      <c r="D136" s="12" t="s">
        <v>1222</v>
      </c>
      <c r="F136" s="873">
        <f>F134</f>
        <v>160.60274566990125</v>
      </c>
      <c r="G136" s="426">
        <v>0</v>
      </c>
      <c r="H136" s="262" t="s">
        <v>1225</v>
      </c>
    </row>
    <row r="137" spans="1:12">
      <c r="B137" s="150"/>
      <c r="D137" s="12" t="s">
        <v>699</v>
      </c>
      <c r="F137" s="873">
        <f>F135+G136</f>
        <v>356.41554210985925</v>
      </c>
      <c r="G137" s="262" t="s">
        <v>1224</v>
      </c>
    </row>
    <row r="139" spans="1:12">
      <c r="B139" s="326"/>
      <c r="C139" s="326" t="str">
        <f t="shared" ref="C139:L139" si="47">C102</f>
        <v>2018/19</v>
      </c>
      <c r="D139" s="326" t="str">
        <f t="shared" si="47"/>
        <v>2019/20</v>
      </c>
      <c r="E139" s="326" t="str">
        <f t="shared" si="47"/>
        <v>2020/21</v>
      </c>
      <c r="F139" s="326" t="str">
        <f t="shared" si="47"/>
        <v>2021/22</v>
      </c>
      <c r="G139" s="326" t="str">
        <f t="shared" si="47"/>
        <v>2022/23</v>
      </c>
      <c r="H139" s="326" t="str">
        <f t="shared" si="47"/>
        <v>2023/24</v>
      </c>
      <c r="I139" s="326" t="str">
        <f t="shared" si="47"/>
        <v>2024/25</v>
      </c>
      <c r="J139" s="326" t="str">
        <f t="shared" si="47"/>
        <v>2025/26</v>
      </c>
      <c r="K139" s="326" t="str">
        <f t="shared" si="47"/>
        <v>2026/27</v>
      </c>
      <c r="L139" s="326" t="str">
        <f t="shared" si="47"/>
        <v>2027/28</v>
      </c>
    </row>
    <row r="140" spans="1:12">
      <c r="B140" s="326" t="str">
        <f>B103</f>
        <v xml:space="preserve">Geography New to SF Sector </v>
      </c>
      <c r="C140" s="307">
        <f>IF(C103&gt;$F$136,$F$136,C103)</f>
        <v>160.60274566990125</v>
      </c>
      <c r="D140" s="307">
        <f t="shared" ref="D140:L140" si="48">IF(D103&gt;$F$136,$F$136,D103)</f>
        <v>160.60274566990125</v>
      </c>
      <c r="E140" s="307">
        <f t="shared" si="48"/>
        <v>160.60274566990125</v>
      </c>
      <c r="F140" s="307">
        <f t="shared" si="48"/>
        <v>160.60274566990125</v>
      </c>
      <c r="G140" s="307">
        <f t="shared" si="48"/>
        <v>160.60274566990125</v>
      </c>
      <c r="H140" s="307">
        <f t="shared" si="48"/>
        <v>160.60274566990125</v>
      </c>
      <c r="I140" s="307">
        <f t="shared" si="48"/>
        <v>160.60274566990125</v>
      </c>
      <c r="J140" s="307">
        <f t="shared" si="48"/>
        <v>160.60274566990125</v>
      </c>
      <c r="K140" s="307">
        <f t="shared" si="48"/>
        <v>160.60274566990125</v>
      </c>
      <c r="L140" s="307">
        <f t="shared" si="48"/>
        <v>160.60274566990125</v>
      </c>
    </row>
    <row r="141" spans="1:12">
      <c r="B141" s="326" t="str">
        <f>B104</f>
        <v>Geography Re-entrants</v>
      </c>
      <c r="C141" s="307">
        <f>IF(C104&gt;$F$137,$F$137,C104)</f>
        <v>356.41554210985925</v>
      </c>
      <c r="D141" s="307">
        <f t="shared" ref="D141:L141" si="49">IF(D104&gt;$F$137,$F$137,D104)</f>
        <v>356.41554210985925</v>
      </c>
      <c r="E141" s="307">
        <f t="shared" si="49"/>
        <v>356.41554210985925</v>
      </c>
      <c r="F141" s="307">
        <f t="shared" si="49"/>
        <v>356.41554210985925</v>
      </c>
      <c r="G141" s="307">
        <f t="shared" si="49"/>
        <v>356.41554210985925</v>
      </c>
      <c r="H141" s="307">
        <f t="shared" si="49"/>
        <v>356.41554210985925</v>
      </c>
      <c r="I141" s="307">
        <f t="shared" si="49"/>
        <v>356.41554210985925</v>
      </c>
      <c r="J141" s="307">
        <f t="shared" si="49"/>
        <v>356.41554210985925</v>
      </c>
      <c r="K141" s="307">
        <f t="shared" si="49"/>
        <v>356.41554210985925</v>
      </c>
      <c r="L141" s="307">
        <f t="shared" si="49"/>
        <v>356.41554210985925</v>
      </c>
    </row>
    <row r="143" spans="1:12">
      <c r="B143" s="76" t="s">
        <v>1210</v>
      </c>
      <c r="C143" s="309"/>
    </row>
    <row r="145" spans="1:12">
      <c r="B145" s="326"/>
      <c r="C145" s="326" t="str">
        <f t="shared" ref="C145:L145" si="50">C139</f>
        <v>2018/19</v>
      </c>
      <c r="D145" s="326" t="str">
        <f t="shared" si="50"/>
        <v>2019/20</v>
      </c>
      <c r="E145" s="326" t="str">
        <f t="shared" si="50"/>
        <v>2020/21</v>
      </c>
      <c r="F145" s="326" t="str">
        <f t="shared" si="50"/>
        <v>2021/22</v>
      </c>
      <c r="G145" s="326" t="str">
        <f t="shared" si="50"/>
        <v>2022/23</v>
      </c>
      <c r="H145" s="326" t="str">
        <f t="shared" si="50"/>
        <v>2023/24</v>
      </c>
      <c r="I145" s="326" t="str">
        <f t="shared" si="50"/>
        <v>2024/25</v>
      </c>
      <c r="J145" s="326" t="str">
        <f t="shared" si="50"/>
        <v>2025/26</v>
      </c>
      <c r="K145" s="326" t="str">
        <f t="shared" si="50"/>
        <v>2026/27</v>
      </c>
      <c r="L145" s="326" t="str">
        <f t="shared" si="50"/>
        <v>2027/28</v>
      </c>
    </row>
    <row r="146" spans="1:12">
      <c r="B146" s="233" t="s">
        <v>1211</v>
      </c>
      <c r="C146" s="851"/>
      <c r="D146" s="851"/>
      <c r="E146" s="851"/>
      <c r="F146" s="851"/>
      <c r="G146" s="851"/>
      <c r="H146" s="851"/>
      <c r="I146" s="851"/>
      <c r="J146" s="851"/>
      <c r="K146" s="851"/>
      <c r="L146" s="851"/>
    </row>
    <row r="147" spans="1:12">
      <c r="B147" s="326" t="str">
        <f>B103</f>
        <v xml:space="preserve">Geography New to SF Sector </v>
      </c>
      <c r="C147" s="307">
        <f t="shared" ref="C147:L147" si="51">C103</f>
        <v>229.44813079208464</v>
      </c>
      <c r="D147" s="307">
        <f t="shared" si="51"/>
        <v>226.80385785055458</v>
      </c>
      <c r="E147" s="307">
        <f t="shared" si="51"/>
        <v>193.42849183510779</v>
      </c>
      <c r="F147" s="307">
        <f t="shared" si="51"/>
        <v>187.37633633193809</v>
      </c>
      <c r="G147" s="307">
        <f t="shared" si="51"/>
        <v>188.23133202259953</v>
      </c>
      <c r="H147" s="307">
        <f t="shared" si="51"/>
        <v>189.5540265390523</v>
      </c>
      <c r="I147" s="307">
        <f t="shared" si="51"/>
        <v>180.96880994904978</v>
      </c>
      <c r="J147" s="307">
        <f t="shared" si="51"/>
        <v>176.40979209368777</v>
      </c>
      <c r="K147" s="307">
        <f t="shared" si="51"/>
        <v>173.42702750074315</v>
      </c>
      <c r="L147" s="307">
        <f t="shared" si="51"/>
        <v>175.10216936217665</v>
      </c>
    </row>
    <row r="148" spans="1:12">
      <c r="B148" s="326" t="str">
        <f>B104</f>
        <v>Geography Re-entrants</v>
      </c>
      <c r="C148" s="307">
        <f t="shared" ref="C148:L148" si="52">C104</f>
        <v>544.37108917385535</v>
      </c>
      <c r="D148" s="307">
        <f t="shared" si="52"/>
        <v>538.09748940085024</v>
      </c>
      <c r="E148" s="307">
        <f t="shared" si="52"/>
        <v>458.91364821336902</v>
      </c>
      <c r="F148" s="307">
        <f t="shared" si="52"/>
        <v>444.55476687606375</v>
      </c>
      <c r="G148" s="307">
        <f t="shared" si="52"/>
        <v>446.58326427003942</v>
      </c>
      <c r="H148" s="307">
        <f t="shared" si="52"/>
        <v>449.72138813306685</v>
      </c>
      <c r="I148" s="307">
        <f t="shared" si="52"/>
        <v>429.35275976481887</v>
      </c>
      <c r="J148" s="307">
        <f t="shared" si="52"/>
        <v>418.53638263017416</v>
      </c>
      <c r="K148" s="307">
        <f t="shared" si="52"/>
        <v>411.45970344954566</v>
      </c>
      <c r="L148" s="307">
        <f t="shared" si="52"/>
        <v>415.43401693155693</v>
      </c>
    </row>
    <row r="149" spans="1:12">
      <c r="B149" s="326" t="str">
        <f>B105</f>
        <v>Geography NQTs</v>
      </c>
      <c r="C149" s="307">
        <f t="shared" ref="C149:L149" si="53">C105</f>
        <v>780.81123645432081</v>
      </c>
      <c r="D149" s="307">
        <f t="shared" si="53"/>
        <v>771.81278430798488</v>
      </c>
      <c r="E149" s="307">
        <f t="shared" si="53"/>
        <v>658.23652323462375</v>
      </c>
      <c r="F149" s="307">
        <f t="shared" si="53"/>
        <v>637.641057909496</v>
      </c>
      <c r="G149" s="307">
        <f t="shared" si="53"/>
        <v>640.5506054402772</v>
      </c>
      <c r="H149" s="307">
        <f t="shared" si="53"/>
        <v>645.05173054109002</v>
      </c>
      <c r="I149" s="307">
        <f t="shared" si="53"/>
        <v>615.8362666463662</v>
      </c>
      <c r="J149" s="307">
        <f t="shared" si="53"/>
        <v>600.32194383896797</v>
      </c>
      <c r="K149" s="307">
        <f t="shared" si="53"/>
        <v>590.17160571318175</v>
      </c>
      <c r="L149" s="307">
        <f t="shared" si="53"/>
        <v>595.87210797287332</v>
      </c>
    </row>
    <row r="150" spans="1:12">
      <c r="B150" s="326" t="str">
        <f>B106</f>
        <v>Total</v>
      </c>
      <c r="C150" s="307">
        <f t="shared" ref="C150:L150" si="54">C106</f>
        <v>1554.6304564202608</v>
      </c>
      <c r="D150" s="307">
        <f t="shared" si="54"/>
        <v>1536.7141315593897</v>
      </c>
      <c r="E150" s="307">
        <f t="shared" si="54"/>
        <v>1310.5786632831005</v>
      </c>
      <c r="F150" s="307">
        <f t="shared" si="54"/>
        <v>1269.5721611174977</v>
      </c>
      <c r="G150" s="307">
        <f t="shared" si="54"/>
        <v>1275.3652017329161</v>
      </c>
      <c r="H150" s="307">
        <f t="shared" si="54"/>
        <v>1284.3271452132092</v>
      </c>
      <c r="I150" s="307">
        <f t="shared" si="54"/>
        <v>1226.1578363602348</v>
      </c>
      <c r="J150" s="307">
        <f t="shared" si="54"/>
        <v>1195.2681185628298</v>
      </c>
      <c r="K150" s="307">
        <f t="shared" si="54"/>
        <v>1175.0583366634705</v>
      </c>
      <c r="L150" s="307">
        <f t="shared" si="54"/>
        <v>1186.4082942666068</v>
      </c>
    </row>
    <row r="151" spans="1:12">
      <c r="B151" s="233" t="s">
        <v>1212</v>
      </c>
      <c r="C151" s="859"/>
      <c r="D151" s="859"/>
      <c r="E151" s="859"/>
      <c r="F151" s="859"/>
      <c r="G151" s="859"/>
      <c r="H151" s="859"/>
      <c r="I151" s="859"/>
      <c r="J151" s="859"/>
      <c r="K151" s="859"/>
      <c r="L151" s="859"/>
    </row>
    <row r="152" spans="1:12">
      <c r="B152" s="326" t="str">
        <f>B147</f>
        <v xml:space="preserve">Geography New to SF Sector </v>
      </c>
      <c r="C152" s="459">
        <f>IF(C140&gt;0,C140,C147)</f>
        <v>160.60274566990125</v>
      </c>
      <c r="D152" s="459">
        <f t="shared" ref="D152:L153" si="55">IF(D140&gt;0,D140,D147)</f>
        <v>160.60274566990125</v>
      </c>
      <c r="E152" s="459">
        <f t="shared" si="55"/>
        <v>160.60274566990125</v>
      </c>
      <c r="F152" s="459">
        <f t="shared" si="55"/>
        <v>160.60274566990125</v>
      </c>
      <c r="G152" s="459">
        <f t="shared" si="55"/>
        <v>160.60274566990125</v>
      </c>
      <c r="H152" s="459">
        <f t="shared" si="55"/>
        <v>160.60274566990125</v>
      </c>
      <c r="I152" s="459">
        <f t="shared" si="55"/>
        <v>160.60274566990125</v>
      </c>
      <c r="J152" s="459">
        <f t="shared" si="55"/>
        <v>160.60274566990125</v>
      </c>
      <c r="K152" s="459">
        <f t="shared" si="55"/>
        <v>160.60274566990125</v>
      </c>
      <c r="L152" s="459">
        <f t="shared" si="55"/>
        <v>160.60274566990125</v>
      </c>
    </row>
    <row r="153" spans="1:12">
      <c r="B153" s="326" t="str">
        <f>B148</f>
        <v>Geography Re-entrants</v>
      </c>
      <c r="C153" s="459">
        <f>IF(C141&gt;0,C141,C148)</f>
        <v>356.41554210985925</v>
      </c>
      <c r="D153" s="459">
        <f t="shared" si="55"/>
        <v>356.41554210985925</v>
      </c>
      <c r="E153" s="459">
        <f t="shared" si="55"/>
        <v>356.41554210985925</v>
      </c>
      <c r="F153" s="459">
        <f t="shared" si="55"/>
        <v>356.41554210985925</v>
      </c>
      <c r="G153" s="459">
        <f t="shared" si="55"/>
        <v>356.41554210985925</v>
      </c>
      <c r="H153" s="459">
        <f t="shared" si="55"/>
        <v>356.41554210985925</v>
      </c>
      <c r="I153" s="459">
        <f t="shared" si="55"/>
        <v>356.41554210985925</v>
      </c>
      <c r="J153" s="459">
        <f t="shared" si="55"/>
        <v>356.41554210985925</v>
      </c>
      <c r="K153" s="459">
        <f t="shared" si="55"/>
        <v>356.41554210985925</v>
      </c>
      <c r="L153" s="459">
        <f t="shared" si="55"/>
        <v>356.41554210985925</v>
      </c>
    </row>
    <row r="154" spans="1:12">
      <c r="B154" s="326" t="str">
        <f>B149</f>
        <v>Geography NQTs</v>
      </c>
      <c r="C154" s="459">
        <f>C149+(C147-C152)+(C148-C153)</f>
        <v>1037.6121686405004</v>
      </c>
      <c r="D154" s="459">
        <f t="shared" ref="D154:L154" si="56">D149+(D147-D152)+(D148-D153)</f>
        <v>1019.6958437796293</v>
      </c>
      <c r="E154" s="459">
        <f t="shared" si="56"/>
        <v>793.56037550334008</v>
      </c>
      <c r="F154" s="459">
        <f t="shared" si="56"/>
        <v>752.55387333773729</v>
      </c>
      <c r="G154" s="459">
        <f t="shared" si="56"/>
        <v>758.34691395315554</v>
      </c>
      <c r="H154" s="459">
        <f t="shared" si="56"/>
        <v>767.30885743344857</v>
      </c>
      <c r="I154" s="459">
        <f t="shared" si="56"/>
        <v>709.13954858047441</v>
      </c>
      <c r="J154" s="459">
        <f t="shared" si="56"/>
        <v>678.24983078306946</v>
      </c>
      <c r="K154" s="459">
        <f t="shared" si="56"/>
        <v>658.04004888371003</v>
      </c>
      <c r="L154" s="459">
        <f t="shared" si="56"/>
        <v>669.39000648684646</v>
      </c>
    </row>
    <row r="155" spans="1:12">
      <c r="B155" s="326" t="str">
        <f>B150</f>
        <v>Total</v>
      </c>
      <c r="C155" s="860">
        <f>SUM(C152:C154)</f>
        <v>1554.630456420261</v>
      </c>
      <c r="D155" s="459">
        <f t="shared" ref="D155:L155" si="57">SUM(D152:D154)</f>
        <v>1536.7141315593899</v>
      </c>
      <c r="E155" s="459">
        <f t="shared" si="57"/>
        <v>1310.5786632831005</v>
      </c>
      <c r="F155" s="459">
        <f t="shared" si="57"/>
        <v>1269.5721611174977</v>
      </c>
      <c r="G155" s="459">
        <f t="shared" si="57"/>
        <v>1275.3652017329159</v>
      </c>
      <c r="H155" s="459">
        <f t="shared" si="57"/>
        <v>1284.327145213209</v>
      </c>
      <c r="I155" s="459">
        <f t="shared" si="57"/>
        <v>1226.1578363602348</v>
      </c>
      <c r="J155" s="459">
        <f t="shared" si="57"/>
        <v>1195.2681185628298</v>
      </c>
      <c r="K155" s="459">
        <f t="shared" si="57"/>
        <v>1175.0583366634705</v>
      </c>
      <c r="L155" s="459">
        <f t="shared" si="57"/>
        <v>1186.4082942666068</v>
      </c>
    </row>
    <row r="156" spans="1:12">
      <c r="A156" s="309">
        <f>SUM(C156:L156)</f>
        <v>0</v>
      </c>
      <c r="C156" s="329">
        <f>C155-C150</f>
        <v>0</v>
      </c>
      <c r="D156" s="329">
        <f t="shared" ref="D156:L156" si="58">D155-D150</f>
        <v>0</v>
      </c>
      <c r="E156" s="329">
        <f t="shared" si="58"/>
        <v>0</v>
      </c>
      <c r="F156" s="329">
        <f t="shared" si="58"/>
        <v>0</v>
      </c>
      <c r="G156" s="329">
        <f t="shared" si="58"/>
        <v>0</v>
      </c>
      <c r="H156" s="329">
        <f t="shared" si="58"/>
        <v>0</v>
      </c>
      <c r="I156" s="329">
        <f t="shared" si="58"/>
        <v>0</v>
      </c>
      <c r="J156" s="329">
        <f t="shared" si="58"/>
        <v>0</v>
      </c>
      <c r="K156" s="329">
        <f t="shared" si="58"/>
        <v>0</v>
      </c>
      <c r="L156" s="329">
        <f t="shared" si="58"/>
        <v>0</v>
      </c>
    </row>
    <row r="158" spans="1:12">
      <c r="B158" s="8" t="s">
        <v>1215</v>
      </c>
      <c r="C158" s="655" t="b">
        <f>IF(C154=C149,FALSE, TRUE)</f>
        <v>1</v>
      </c>
      <c r="D158" s="655" t="b">
        <f t="shared" ref="D158:L158" si="59">IF(D154=D149,FALSE, TRUE)</f>
        <v>1</v>
      </c>
      <c r="E158" s="655" t="b">
        <f t="shared" si="59"/>
        <v>1</v>
      </c>
      <c r="F158" s="655" t="b">
        <f t="shared" si="59"/>
        <v>1</v>
      </c>
      <c r="G158" s="655" t="b">
        <f t="shared" si="59"/>
        <v>1</v>
      </c>
      <c r="H158" s="655" t="b">
        <f t="shared" si="59"/>
        <v>1</v>
      </c>
      <c r="I158" s="655" t="b">
        <f t="shared" si="59"/>
        <v>1</v>
      </c>
      <c r="J158" s="655" t="b">
        <f t="shared" si="59"/>
        <v>1</v>
      </c>
      <c r="K158" s="655" t="b">
        <f t="shared" si="59"/>
        <v>1</v>
      </c>
      <c r="L158" s="655" t="b">
        <f t="shared" si="59"/>
        <v>1</v>
      </c>
    </row>
  </sheetData>
  <mergeCells count="4">
    <mergeCell ref="D17:L18"/>
    <mergeCell ref="B46:L47"/>
    <mergeCell ref="J50:J52"/>
    <mergeCell ref="A5:M5"/>
  </mergeCells>
  <conditionalFormatting sqref="C158:L158">
    <cfRule type="cellIs" dxfId="5" priority="1" stopIfTrue="1" operator="equal">
      <formula>TRUE</formula>
    </cfRule>
    <cfRule type="cellIs" dxfId="4"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58"/>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6" customHeight="1">
      <c r="A5" s="1100" t="s">
        <v>1721</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SUM(A12:A1819)</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OUTPUTS_FOR_SECTION_2_OF_MODEL!B76</f>
        <v>History</v>
      </c>
      <c r="C15" s="307">
        <f>OUTPUTS_FOR_SECTION_2_OF_MODEL!E76</f>
        <v>1516.6921585404023</v>
      </c>
      <c r="D15" s="307">
        <f>OUTPUTS_FOR_SECTION_2_OF_MODEL!F76</f>
        <v>1571.7216952093804</v>
      </c>
      <c r="E15" s="307">
        <f>OUTPUTS_FOR_SECTION_2_OF_MODEL!G76</f>
        <v>1361.6441528973978</v>
      </c>
      <c r="F15" s="307">
        <f>OUTPUTS_FOR_SECTION_2_OF_MODEL!H76</f>
        <v>1350.7580453005312</v>
      </c>
      <c r="G15" s="307">
        <f>OUTPUTS_FOR_SECTION_2_OF_MODEL!I76</f>
        <v>1362.0636501364806</v>
      </c>
      <c r="H15" s="307">
        <f>OUTPUTS_FOR_SECTION_2_OF_MODEL!J76</f>
        <v>1369.6103235530522</v>
      </c>
      <c r="I15" s="307">
        <f>OUTPUTS_FOR_SECTION_2_OF_MODEL!K76</f>
        <v>1313.2053394274715</v>
      </c>
      <c r="J15" s="307">
        <f>OUTPUTS_FOR_SECTION_2_OF_MODEL!L76</f>
        <v>1282.8334505470709</v>
      </c>
      <c r="K15" s="307">
        <f>OUTPUTS_FOR_SECTION_2_OF_MODEL!M76</f>
        <v>1262.3868850136987</v>
      </c>
      <c r="L15" s="307">
        <f>OUTPUTS_FOR_SECTION_2_OF_MODEL!N76</f>
        <v>1270.4926074627915</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1412.0403996011146</v>
      </c>
      <c r="D44" s="459">
        <f t="shared" si="4"/>
        <v>1463.2728982399333</v>
      </c>
      <c r="E44" s="459">
        <f t="shared" si="4"/>
        <v>1267.6907063474775</v>
      </c>
      <c r="F44" s="459">
        <f t="shared" si="4"/>
        <v>1257.5557401747947</v>
      </c>
      <c r="G44" s="459">
        <f t="shared" si="4"/>
        <v>1268.0812582770636</v>
      </c>
      <c r="H44" s="459">
        <f t="shared" si="4"/>
        <v>1275.1072112278916</v>
      </c>
      <c r="I44" s="459">
        <f t="shared" si="4"/>
        <v>1222.594171006976</v>
      </c>
      <c r="J44" s="459">
        <f t="shared" si="4"/>
        <v>1194.3179424593231</v>
      </c>
      <c r="K44" s="459">
        <f t="shared" si="4"/>
        <v>1175.2821899477535</v>
      </c>
      <c r="L44" s="459">
        <f t="shared" si="4"/>
        <v>1182.828617547859</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14.941067708858712</v>
      </c>
      <c r="D57" s="459">
        <f t="shared" ref="D57:L57" si="7">D44/$J$50</f>
        <v>15.483168509425637</v>
      </c>
      <c r="E57" s="459">
        <f t="shared" si="7"/>
        <v>13.413676182904618</v>
      </c>
      <c r="F57" s="459">
        <f t="shared" si="7"/>
        <v>13.306436180525207</v>
      </c>
      <c r="G57" s="459">
        <f t="shared" si="7"/>
        <v>13.417808687063436</v>
      </c>
      <c r="H57" s="459">
        <f t="shared" si="7"/>
        <v>13.492151629933366</v>
      </c>
      <c r="I57" s="459">
        <f t="shared" si="7"/>
        <v>12.936501175625994</v>
      </c>
      <c r="J57" s="459">
        <f t="shared" si="7"/>
        <v>12.637305029820965</v>
      </c>
      <c r="K57" s="459">
        <f t="shared" si="7"/>
        <v>12.435884116336632</v>
      </c>
      <c r="L57" s="459">
        <f t="shared" si="7"/>
        <v>12.515734300343427</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14.941067708858712</v>
      </c>
      <c r="D98" s="459">
        <f t="shared" ref="D98:L98" si="33">D57</f>
        <v>15.483168509425637</v>
      </c>
      <c r="E98" s="459">
        <f t="shared" si="33"/>
        <v>13.413676182904618</v>
      </c>
      <c r="F98" s="459">
        <f t="shared" si="33"/>
        <v>13.306436180525207</v>
      </c>
      <c r="G98" s="459">
        <f t="shared" si="33"/>
        <v>13.417808687063436</v>
      </c>
      <c r="H98" s="459">
        <f t="shared" si="33"/>
        <v>13.492151629933366</v>
      </c>
      <c r="I98" s="459">
        <f t="shared" si="33"/>
        <v>12.936501175625994</v>
      </c>
      <c r="J98" s="459">
        <f t="shared" si="33"/>
        <v>12.637305029820965</v>
      </c>
      <c r="K98" s="459">
        <f t="shared" si="33"/>
        <v>12.435884116336632</v>
      </c>
      <c r="L98" s="459">
        <f t="shared" si="33"/>
        <v>12.515734300343427</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864</v>
      </c>
      <c r="C103" s="459">
        <f t="shared" ref="C103:L103" si="35">C65*C$98</f>
        <v>220.51543141187929</v>
      </c>
      <c r="D103" s="459">
        <f t="shared" si="35"/>
        <v>228.51630485915396</v>
      </c>
      <c r="E103" s="459">
        <f t="shared" si="35"/>
        <v>197.97263809591598</v>
      </c>
      <c r="F103" s="459">
        <f t="shared" si="35"/>
        <v>196.38988137128874</v>
      </c>
      <c r="G103" s="459">
        <f t="shared" si="35"/>
        <v>198.03362978373576</v>
      </c>
      <c r="H103" s="459">
        <f t="shared" si="35"/>
        <v>199.13085833786855</v>
      </c>
      <c r="I103" s="459">
        <f t="shared" si="35"/>
        <v>190.93000535778683</v>
      </c>
      <c r="J103" s="459">
        <f t="shared" si="35"/>
        <v>186.51416517456826</v>
      </c>
      <c r="K103" s="459">
        <f t="shared" si="35"/>
        <v>183.54139103968919</v>
      </c>
      <c r="L103" s="459">
        <f t="shared" si="35"/>
        <v>184.71990104430793</v>
      </c>
    </row>
    <row r="104" spans="1:12">
      <c r="A104" s="309"/>
      <c r="B104" s="326" t="s">
        <v>865</v>
      </c>
      <c r="C104" s="459">
        <f t="shared" ref="C104:L104" si="36">C76*C$98</f>
        <v>523.17804970964914</v>
      </c>
      <c r="D104" s="459">
        <f t="shared" si="36"/>
        <v>542.16031022229538</v>
      </c>
      <c r="E104" s="459">
        <f t="shared" si="36"/>
        <v>469.69474214000905</v>
      </c>
      <c r="F104" s="459">
        <f t="shared" si="36"/>
        <v>465.93961456887484</v>
      </c>
      <c r="G104" s="459">
        <f t="shared" si="36"/>
        <v>469.83944635448398</v>
      </c>
      <c r="H104" s="459">
        <f t="shared" si="36"/>
        <v>472.44264691673732</v>
      </c>
      <c r="I104" s="459">
        <f t="shared" si="36"/>
        <v>452.98593025702695</v>
      </c>
      <c r="J104" s="459">
        <f t="shared" si="36"/>
        <v>442.50924551848522</v>
      </c>
      <c r="K104" s="459">
        <f t="shared" si="36"/>
        <v>435.45626893469068</v>
      </c>
      <c r="L104" s="459">
        <f t="shared" si="36"/>
        <v>438.2523116507586</v>
      </c>
    </row>
    <row r="105" spans="1:12">
      <c r="A105" s="309"/>
      <c r="B105" s="326" t="s">
        <v>866</v>
      </c>
      <c r="C105" s="459">
        <f t="shared" ref="C105:L105" si="37">C87*C$98</f>
        <v>750.41328976434284</v>
      </c>
      <c r="D105" s="459">
        <f t="shared" si="37"/>
        <v>777.64023586111432</v>
      </c>
      <c r="E105" s="459">
        <f t="shared" si="37"/>
        <v>673.70023805453684</v>
      </c>
      <c r="F105" s="459">
        <f t="shared" si="37"/>
        <v>668.31412211235715</v>
      </c>
      <c r="G105" s="459">
        <f t="shared" si="37"/>
        <v>673.90779256812391</v>
      </c>
      <c r="H105" s="459">
        <f t="shared" si="37"/>
        <v>677.64165773873071</v>
      </c>
      <c r="I105" s="459">
        <f t="shared" si="37"/>
        <v>649.7341819477856</v>
      </c>
      <c r="J105" s="459">
        <f t="shared" si="37"/>
        <v>634.70709228904298</v>
      </c>
      <c r="K105" s="459">
        <f t="shared" si="37"/>
        <v>624.59075165928334</v>
      </c>
      <c r="L105" s="459">
        <f t="shared" si="37"/>
        <v>628.60121733927622</v>
      </c>
    </row>
    <row r="106" spans="1:12">
      <c r="A106" s="309"/>
      <c r="B106" s="326" t="s">
        <v>8</v>
      </c>
      <c r="C106" s="459">
        <f>SUM(C103:C105)</f>
        <v>1494.1067708858714</v>
      </c>
      <c r="D106" s="459">
        <f t="shared" ref="D106:L106" si="38">SUM(D103:D105)</f>
        <v>1548.3168509425636</v>
      </c>
      <c r="E106" s="459">
        <f t="shared" si="38"/>
        <v>1341.3676182904619</v>
      </c>
      <c r="F106" s="459">
        <f t="shared" si="38"/>
        <v>1330.6436180525207</v>
      </c>
      <c r="G106" s="459">
        <f t="shared" si="38"/>
        <v>1341.7808687063437</v>
      </c>
      <c r="H106" s="459">
        <f t="shared" si="38"/>
        <v>1349.2151629933364</v>
      </c>
      <c r="I106" s="459">
        <f t="shared" si="38"/>
        <v>1293.6501175625995</v>
      </c>
      <c r="J106" s="459">
        <f t="shared" si="38"/>
        <v>1263.7305029820964</v>
      </c>
      <c r="K106" s="459">
        <f t="shared" si="38"/>
        <v>1243.5884116336633</v>
      </c>
      <c r="L106" s="459">
        <f t="shared" si="38"/>
        <v>1251.5734300343429</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1494.1067708858714</v>
      </c>
      <c r="D111" s="700">
        <f t="shared" ref="D111:L111" si="39">D106</f>
        <v>1548.3168509425636</v>
      </c>
      <c r="E111" s="700">
        <f t="shared" si="39"/>
        <v>1341.3676182904619</v>
      </c>
      <c r="F111" s="700">
        <f t="shared" si="39"/>
        <v>1330.6436180525207</v>
      </c>
      <c r="G111" s="700">
        <f t="shared" si="39"/>
        <v>1341.7808687063437</v>
      </c>
      <c r="H111" s="700">
        <f t="shared" si="39"/>
        <v>1349.2151629933364</v>
      </c>
      <c r="I111" s="700">
        <f t="shared" si="39"/>
        <v>1293.6501175625995</v>
      </c>
      <c r="J111" s="700">
        <f t="shared" si="39"/>
        <v>1263.7305029820964</v>
      </c>
      <c r="K111" s="700">
        <f t="shared" si="39"/>
        <v>1243.5884116336633</v>
      </c>
      <c r="L111" s="700">
        <f t="shared" si="39"/>
        <v>1251.5734300343429</v>
      </c>
    </row>
    <row r="112" spans="1:12">
      <c r="A112" s="309"/>
      <c r="B112" s="700" t="s">
        <v>804</v>
      </c>
      <c r="C112" s="700">
        <f t="shared" ref="C112:L112" si="40">((C67+C78+C89)/100)*C111</f>
        <v>214.83343268260913</v>
      </c>
      <c r="D112" s="700">
        <f t="shared" si="40"/>
        <v>222.62814843620495</v>
      </c>
      <c r="E112" s="700">
        <f t="shared" si="40"/>
        <v>192.87149723294297</v>
      </c>
      <c r="F112" s="700">
        <f t="shared" si="40"/>
        <v>191.32952324012047</v>
      </c>
      <c r="G112" s="700">
        <f t="shared" si="40"/>
        <v>192.93091735413603</v>
      </c>
      <c r="H112" s="700">
        <f t="shared" si="40"/>
        <v>193.99987373153093</v>
      </c>
      <c r="I112" s="700">
        <f t="shared" si="40"/>
        <v>186.01033129744329</v>
      </c>
      <c r="J112" s="700">
        <f t="shared" si="40"/>
        <v>181.7082736198256</v>
      </c>
      <c r="K112" s="700">
        <f t="shared" si="40"/>
        <v>178.81209865421394</v>
      </c>
      <c r="L112" s="700">
        <f t="shared" si="40"/>
        <v>179.96024211121377</v>
      </c>
    </row>
    <row r="113" spans="1:12">
      <c r="A113" s="309"/>
      <c r="B113" s="700" t="s">
        <v>805</v>
      </c>
      <c r="C113" s="700">
        <f t="shared" ref="C113:L113" si="41">((C66+C77+C88)/100)*C111</f>
        <v>1279.273338203262</v>
      </c>
      <c r="D113" s="700">
        <f t="shared" si="41"/>
        <v>1325.6887025063586</v>
      </c>
      <c r="E113" s="700">
        <f t="shared" si="41"/>
        <v>1148.4961210575188</v>
      </c>
      <c r="F113" s="700">
        <f t="shared" si="41"/>
        <v>1139.3140948124001</v>
      </c>
      <c r="G113" s="700">
        <f t="shared" si="41"/>
        <v>1148.8499513522077</v>
      </c>
      <c r="H113" s="700">
        <f t="shared" si="41"/>
        <v>1155.2152892618055</v>
      </c>
      <c r="I113" s="700">
        <f t="shared" si="41"/>
        <v>1107.6397862651561</v>
      </c>
      <c r="J113" s="700">
        <f t="shared" si="41"/>
        <v>1082.0222293622708</v>
      </c>
      <c r="K113" s="700">
        <f t="shared" si="41"/>
        <v>1064.7763129794494</v>
      </c>
      <c r="L113" s="700">
        <f t="shared" si="41"/>
        <v>1071.6131879231291</v>
      </c>
    </row>
    <row r="114" spans="1:12">
      <c r="A114" s="309"/>
      <c r="B114" s="700" t="s">
        <v>799</v>
      </c>
      <c r="C114" s="700">
        <f>C112*$C$39</f>
        <v>132.76706139785244</v>
      </c>
      <c r="D114" s="700">
        <f t="shared" ref="D114:L114" si="42">D112*$C$39</f>
        <v>137.58419573357466</v>
      </c>
      <c r="E114" s="700">
        <f t="shared" si="42"/>
        <v>119.19458528995875</v>
      </c>
      <c r="F114" s="700">
        <f t="shared" si="42"/>
        <v>118.24164536239445</v>
      </c>
      <c r="G114" s="700">
        <f t="shared" si="42"/>
        <v>119.23130692485607</v>
      </c>
      <c r="H114" s="700">
        <f t="shared" si="42"/>
        <v>119.89192196608612</v>
      </c>
      <c r="I114" s="700">
        <f t="shared" si="42"/>
        <v>114.95438474181995</v>
      </c>
      <c r="J114" s="700">
        <f t="shared" si="42"/>
        <v>112.29571309705223</v>
      </c>
      <c r="K114" s="700">
        <f t="shared" si="42"/>
        <v>110.50587696830421</v>
      </c>
      <c r="L114" s="700">
        <f t="shared" si="42"/>
        <v>111.21542962473011</v>
      </c>
    </row>
    <row r="115" spans="1:12">
      <c r="A115" s="309"/>
      <c r="B115" s="700" t="s">
        <v>800</v>
      </c>
      <c r="C115" s="700">
        <f>C113</f>
        <v>1279.273338203262</v>
      </c>
      <c r="D115" s="700">
        <f t="shared" ref="D115:L115" si="43">D113</f>
        <v>1325.6887025063586</v>
      </c>
      <c r="E115" s="700">
        <f t="shared" si="43"/>
        <v>1148.4961210575188</v>
      </c>
      <c r="F115" s="700">
        <f t="shared" si="43"/>
        <v>1139.3140948124001</v>
      </c>
      <c r="G115" s="700">
        <f t="shared" si="43"/>
        <v>1148.8499513522077</v>
      </c>
      <c r="H115" s="700">
        <f t="shared" si="43"/>
        <v>1155.2152892618055</v>
      </c>
      <c r="I115" s="700">
        <f t="shared" si="43"/>
        <v>1107.6397862651561</v>
      </c>
      <c r="J115" s="700">
        <f t="shared" si="43"/>
        <v>1082.0222293622708</v>
      </c>
      <c r="K115" s="700">
        <f t="shared" si="43"/>
        <v>1064.7763129794494</v>
      </c>
      <c r="L115" s="700">
        <f t="shared" si="43"/>
        <v>1071.6131879231291</v>
      </c>
    </row>
    <row r="116" spans="1:12">
      <c r="A116" s="309"/>
      <c r="B116" s="700" t="s">
        <v>724</v>
      </c>
      <c r="C116" s="700">
        <f>C115+C114</f>
        <v>1412.0403996011146</v>
      </c>
      <c r="D116" s="700">
        <f t="shared" ref="D116:L116" si="44">D115+D114</f>
        <v>1463.2728982399333</v>
      </c>
      <c r="E116" s="700">
        <f t="shared" si="44"/>
        <v>1267.6907063474775</v>
      </c>
      <c r="F116" s="700">
        <f t="shared" si="44"/>
        <v>1257.5557401747944</v>
      </c>
      <c r="G116" s="700">
        <f t="shared" si="44"/>
        <v>1268.0812582770636</v>
      </c>
      <c r="H116" s="700">
        <f t="shared" si="44"/>
        <v>1275.1072112278916</v>
      </c>
      <c r="I116" s="700">
        <f t="shared" si="44"/>
        <v>1222.594171006976</v>
      </c>
      <c r="J116" s="700">
        <f t="shared" si="44"/>
        <v>1194.3179424593229</v>
      </c>
      <c r="K116" s="700">
        <f t="shared" si="44"/>
        <v>1175.2821899477535</v>
      </c>
      <c r="L116" s="700">
        <f t="shared" si="44"/>
        <v>1182.8286175478593</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858" t="s">
        <v>1558</v>
      </c>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1064" t="s">
        <v>1557</v>
      </c>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25" t="s">
        <v>1332</v>
      </c>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25" t="s">
        <v>1208</v>
      </c>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25" t="s">
        <v>1209</v>
      </c>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25" t="s">
        <v>1333</v>
      </c>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41" t="s">
        <v>1214</v>
      </c>
      <c r="C132" s="309"/>
      <c r="E132" s="309"/>
      <c r="F132" s="705"/>
      <c r="G132" s="309"/>
      <c r="H132" s="309"/>
      <c r="I132" s="309"/>
      <c r="J132" s="309"/>
      <c r="K132" s="309"/>
      <c r="L132" s="309"/>
    </row>
    <row r="134" spans="1:12">
      <c r="B134" s="150" t="s">
        <v>1226</v>
      </c>
      <c r="D134" s="12" t="s">
        <v>1222</v>
      </c>
      <c r="F134" s="872">
        <v>171.27477110611306</v>
      </c>
    </row>
    <row r="135" spans="1:12">
      <c r="B135" s="150"/>
      <c r="D135" s="12" t="s">
        <v>699</v>
      </c>
      <c r="F135" s="872">
        <v>380.0992949335851</v>
      </c>
    </row>
    <row r="136" spans="1:12">
      <c r="B136" s="150" t="s">
        <v>1223</v>
      </c>
      <c r="D136" s="12" t="s">
        <v>1222</v>
      </c>
      <c r="F136" s="873">
        <f>F134</f>
        <v>171.27477110611306</v>
      </c>
      <c r="G136" s="426">
        <v>0</v>
      </c>
      <c r="H136" s="262" t="s">
        <v>1225</v>
      </c>
    </row>
    <row r="137" spans="1:12">
      <c r="B137" s="150"/>
      <c r="D137" s="12" t="s">
        <v>699</v>
      </c>
      <c r="F137" s="873">
        <f>F135+G136</f>
        <v>380.0992949335851</v>
      </c>
      <c r="G137" s="262" t="s">
        <v>1224</v>
      </c>
    </row>
    <row r="139" spans="1:12">
      <c r="B139" s="326"/>
      <c r="C139" s="326" t="str">
        <f t="shared" ref="C139:L139" si="47">C102</f>
        <v>2018/19</v>
      </c>
      <c r="D139" s="326" t="str">
        <f t="shared" si="47"/>
        <v>2019/20</v>
      </c>
      <c r="E139" s="326" t="str">
        <f t="shared" si="47"/>
        <v>2020/21</v>
      </c>
      <c r="F139" s="326" t="str">
        <f t="shared" si="47"/>
        <v>2021/22</v>
      </c>
      <c r="G139" s="326" t="str">
        <f t="shared" si="47"/>
        <v>2022/23</v>
      </c>
      <c r="H139" s="326" t="str">
        <f t="shared" si="47"/>
        <v>2023/24</v>
      </c>
      <c r="I139" s="326" t="str">
        <f t="shared" si="47"/>
        <v>2024/25</v>
      </c>
      <c r="J139" s="326" t="str">
        <f t="shared" si="47"/>
        <v>2025/26</v>
      </c>
      <c r="K139" s="326" t="str">
        <f t="shared" si="47"/>
        <v>2026/27</v>
      </c>
      <c r="L139" s="326" t="str">
        <f t="shared" si="47"/>
        <v>2027/28</v>
      </c>
    </row>
    <row r="140" spans="1:12">
      <c r="B140" s="326" t="str">
        <f>B103</f>
        <v xml:space="preserve">History New to SF Sector </v>
      </c>
      <c r="C140" s="307">
        <f>IF(C103&gt;$F$136,$F$136,C103)</f>
        <v>171.27477110611306</v>
      </c>
      <c r="D140" s="307">
        <f t="shared" ref="D140:L140" si="48">IF(D103&gt;$F$136,$F$136,D103)</f>
        <v>171.27477110611306</v>
      </c>
      <c r="E140" s="307">
        <f t="shared" si="48"/>
        <v>171.27477110611306</v>
      </c>
      <c r="F140" s="307">
        <f t="shared" si="48"/>
        <v>171.27477110611306</v>
      </c>
      <c r="G140" s="307">
        <f t="shared" si="48"/>
        <v>171.27477110611306</v>
      </c>
      <c r="H140" s="307">
        <f t="shared" si="48"/>
        <v>171.27477110611306</v>
      </c>
      <c r="I140" s="307">
        <f t="shared" si="48"/>
        <v>171.27477110611306</v>
      </c>
      <c r="J140" s="307">
        <f t="shared" si="48"/>
        <v>171.27477110611306</v>
      </c>
      <c r="K140" s="307">
        <f t="shared" si="48"/>
        <v>171.27477110611306</v>
      </c>
      <c r="L140" s="307">
        <f t="shared" si="48"/>
        <v>171.27477110611306</v>
      </c>
    </row>
    <row r="141" spans="1:12">
      <c r="B141" s="326" t="str">
        <f>B104</f>
        <v>History Re-entrants</v>
      </c>
      <c r="C141" s="307">
        <f>IF(C104&gt;$F$137,$F$137,C104)</f>
        <v>380.0992949335851</v>
      </c>
      <c r="D141" s="307">
        <f t="shared" ref="D141:L141" si="49">IF(D104&gt;$F$137,$F$137,D104)</f>
        <v>380.0992949335851</v>
      </c>
      <c r="E141" s="307">
        <f t="shared" si="49"/>
        <v>380.0992949335851</v>
      </c>
      <c r="F141" s="307">
        <f t="shared" si="49"/>
        <v>380.0992949335851</v>
      </c>
      <c r="G141" s="307">
        <f t="shared" si="49"/>
        <v>380.0992949335851</v>
      </c>
      <c r="H141" s="307">
        <f t="shared" si="49"/>
        <v>380.0992949335851</v>
      </c>
      <c r="I141" s="307">
        <f t="shared" si="49"/>
        <v>380.0992949335851</v>
      </c>
      <c r="J141" s="307">
        <f t="shared" si="49"/>
        <v>380.0992949335851</v>
      </c>
      <c r="K141" s="307">
        <f t="shared" si="49"/>
        <v>380.0992949335851</v>
      </c>
      <c r="L141" s="307">
        <f t="shared" si="49"/>
        <v>380.0992949335851</v>
      </c>
    </row>
    <row r="143" spans="1:12">
      <c r="B143" s="76" t="s">
        <v>1210</v>
      </c>
      <c r="C143" s="309"/>
    </row>
    <row r="145" spans="1:12">
      <c r="B145" s="326"/>
      <c r="C145" s="326" t="str">
        <f t="shared" ref="C145:L145" si="50">C139</f>
        <v>2018/19</v>
      </c>
      <c r="D145" s="326" t="str">
        <f t="shared" si="50"/>
        <v>2019/20</v>
      </c>
      <c r="E145" s="326" t="str">
        <f t="shared" si="50"/>
        <v>2020/21</v>
      </c>
      <c r="F145" s="326" t="str">
        <f t="shared" si="50"/>
        <v>2021/22</v>
      </c>
      <c r="G145" s="326" t="str">
        <f t="shared" si="50"/>
        <v>2022/23</v>
      </c>
      <c r="H145" s="326" t="str">
        <f t="shared" si="50"/>
        <v>2023/24</v>
      </c>
      <c r="I145" s="326" t="str">
        <f t="shared" si="50"/>
        <v>2024/25</v>
      </c>
      <c r="J145" s="326" t="str">
        <f t="shared" si="50"/>
        <v>2025/26</v>
      </c>
      <c r="K145" s="326" t="str">
        <f t="shared" si="50"/>
        <v>2026/27</v>
      </c>
      <c r="L145" s="326" t="str">
        <f t="shared" si="50"/>
        <v>2027/28</v>
      </c>
    </row>
    <row r="146" spans="1:12">
      <c r="B146" s="233" t="s">
        <v>1211</v>
      </c>
      <c r="C146" s="851"/>
      <c r="D146" s="851"/>
      <c r="E146" s="851"/>
      <c r="F146" s="851"/>
      <c r="G146" s="851"/>
      <c r="H146" s="851"/>
      <c r="I146" s="851"/>
      <c r="J146" s="851"/>
      <c r="K146" s="851"/>
      <c r="L146" s="851"/>
    </row>
    <row r="147" spans="1:12">
      <c r="B147" s="326" t="str">
        <f>B103</f>
        <v xml:space="preserve">History New to SF Sector </v>
      </c>
      <c r="C147" s="307">
        <f t="shared" ref="C147:L147" si="51">C103</f>
        <v>220.51543141187929</v>
      </c>
      <c r="D147" s="307">
        <f t="shared" si="51"/>
        <v>228.51630485915396</v>
      </c>
      <c r="E147" s="307">
        <f t="shared" si="51"/>
        <v>197.97263809591598</v>
      </c>
      <c r="F147" s="307">
        <f t="shared" si="51"/>
        <v>196.38988137128874</v>
      </c>
      <c r="G147" s="307">
        <f t="shared" si="51"/>
        <v>198.03362978373576</v>
      </c>
      <c r="H147" s="307">
        <f t="shared" si="51"/>
        <v>199.13085833786855</v>
      </c>
      <c r="I147" s="307">
        <f t="shared" si="51"/>
        <v>190.93000535778683</v>
      </c>
      <c r="J147" s="307">
        <f t="shared" si="51"/>
        <v>186.51416517456826</v>
      </c>
      <c r="K147" s="307">
        <f t="shared" si="51"/>
        <v>183.54139103968919</v>
      </c>
      <c r="L147" s="307">
        <f t="shared" si="51"/>
        <v>184.71990104430793</v>
      </c>
    </row>
    <row r="148" spans="1:12">
      <c r="B148" s="326" t="str">
        <f>B104</f>
        <v>History Re-entrants</v>
      </c>
      <c r="C148" s="307">
        <f t="shared" ref="C148:L148" si="52">C104</f>
        <v>523.17804970964914</v>
      </c>
      <c r="D148" s="307">
        <f t="shared" si="52"/>
        <v>542.16031022229538</v>
      </c>
      <c r="E148" s="307">
        <f t="shared" si="52"/>
        <v>469.69474214000905</v>
      </c>
      <c r="F148" s="307">
        <f t="shared" si="52"/>
        <v>465.93961456887484</v>
      </c>
      <c r="G148" s="307">
        <f t="shared" si="52"/>
        <v>469.83944635448398</v>
      </c>
      <c r="H148" s="307">
        <f t="shared" si="52"/>
        <v>472.44264691673732</v>
      </c>
      <c r="I148" s="307">
        <f t="shared" si="52"/>
        <v>452.98593025702695</v>
      </c>
      <c r="J148" s="307">
        <f t="shared" si="52"/>
        <v>442.50924551848522</v>
      </c>
      <c r="K148" s="307">
        <f t="shared" si="52"/>
        <v>435.45626893469068</v>
      </c>
      <c r="L148" s="307">
        <f t="shared" si="52"/>
        <v>438.2523116507586</v>
      </c>
    </row>
    <row r="149" spans="1:12">
      <c r="B149" s="326" t="str">
        <f>B105</f>
        <v>History NQTs</v>
      </c>
      <c r="C149" s="307">
        <f t="shared" ref="C149:L149" si="53">C105</f>
        <v>750.41328976434284</v>
      </c>
      <c r="D149" s="307">
        <f t="shared" si="53"/>
        <v>777.64023586111432</v>
      </c>
      <c r="E149" s="307">
        <f t="shared" si="53"/>
        <v>673.70023805453684</v>
      </c>
      <c r="F149" s="307">
        <f t="shared" si="53"/>
        <v>668.31412211235715</v>
      </c>
      <c r="G149" s="307">
        <f t="shared" si="53"/>
        <v>673.90779256812391</v>
      </c>
      <c r="H149" s="307">
        <f t="shared" si="53"/>
        <v>677.64165773873071</v>
      </c>
      <c r="I149" s="307">
        <f t="shared" si="53"/>
        <v>649.7341819477856</v>
      </c>
      <c r="J149" s="307">
        <f t="shared" si="53"/>
        <v>634.70709228904298</v>
      </c>
      <c r="K149" s="307">
        <f t="shared" si="53"/>
        <v>624.59075165928334</v>
      </c>
      <c r="L149" s="307">
        <f t="shared" si="53"/>
        <v>628.60121733927622</v>
      </c>
    </row>
    <row r="150" spans="1:12">
      <c r="B150" s="326" t="str">
        <f>B106</f>
        <v>Total</v>
      </c>
      <c r="C150" s="307">
        <f t="shared" ref="C150:L150" si="54">C106</f>
        <v>1494.1067708858714</v>
      </c>
      <c r="D150" s="307">
        <f t="shared" si="54"/>
        <v>1548.3168509425636</v>
      </c>
      <c r="E150" s="307">
        <f t="shared" si="54"/>
        <v>1341.3676182904619</v>
      </c>
      <c r="F150" s="307">
        <f t="shared" si="54"/>
        <v>1330.6436180525207</v>
      </c>
      <c r="G150" s="307">
        <f t="shared" si="54"/>
        <v>1341.7808687063437</v>
      </c>
      <c r="H150" s="307">
        <f t="shared" si="54"/>
        <v>1349.2151629933364</v>
      </c>
      <c r="I150" s="307">
        <f t="shared" si="54"/>
        <v>1293.6501175625995</v>
      </c>
      <c r="J150" s="307">
        <f t="shared" si="54"/>
        <v>1263.7305029820964</v>
      </c>
      <c r="K150" s="307">
        <f t="shared" si="54"/>
        <v>1243.5884116336633</v>
      </c>
      <c r="L150" s="307">
        <f t="shared" si="54"/>
        <v>1251.5734300343429</v>
      </c>
    </row>
    <row r="151" spans="1:12">
      <c r="B151" s="233" t="s">
        <v>1212</v>
      </c>
      <c r="C151" s="859"/>
      <c r="D151" s="859"/>
      <c r="E151" s="859"/>
      <c r="F151" s="859"/>
      <c r="G151" s="859"/>
      <c r="H151" s="859"/>
      <c r="I151" s="859"/>
      <c r="J151" s="859"/>
      <c r="K151" s="859"/>
      <c r="L151" s="859"/>
    </row>
    <row r="152" spans="1:12">
      <c r="B152" s="326" t="str">
        <f>B147</f>
        <v xml:space="preserve">History New to SF Sector </v>
      </c>
      <c r="C152" s="459">
        <f>IF(C140&gt;0,C140,C147)</f>
        <v>171.27477110611306</v>
      </c>
      <c r="D152" s="459">
        <f t="shared" ref="D152:L153" si="55">IF(D140&gt;0,D140,D147)</f>
        <v>171.27477110611306</v>
      </c>
      <c r="E152" s="459">
        <f t="shared" si="55"/>
        <v>171.27477110611306</v>
      </c>
      <c r="F152" s="459">
        <f t="shared" si="55"/>
        <v>171.27477110611306</v>
      </c>
      <c r="G152" s="459">
        <f t="shared" si="55"/>
        <v>171.27477110611306</v>
      </c>
      <c r="H152" s="459">
        <f t="shared" si="55"/>
        <v>171.27477110611306</v>
      </c>
      <c r="I152" s="459">
        <f t="shared" si="55"/>
        <v>171.27477110611306</v>
      </c>
      <c r="J152" s="459">
        <f t="shared" si="55"/>
        <v>171.27477110611306</v>
      </c>
      <c r="K152" s="459">
        <f t="shared" si="55"/>
        <v>171.27477110611306</v>
      </c>
      <c r="L152" s="459">
        <f t="shared" si="55"/>
        <v>171.27477110611306</v>
      </c>
    </row>
    <row r="153" spans="1:12">
      <c r="B153" s="326" t="str">
        <f>B148</f>
        <v>History Re-entrants</v>
      </c>
      <c r="C153" s="459">
        <f>IF(C141&gt;0,C141,C148)</f>
        <v>380.0992949335851</v>
      </c>
      <c r="D153" s="459">
        <f t="shared" si="55"/>
        <v>380.0992949335851</v>
      </c>
      <c r="E153" s="459">
        <f t="shared" si="55"/>
        <v>380.0992949335851</v>
      </c>
      <c r="F153" s="459">
        <f t="shared" si="55"/>
        <v>380.0992949335851</v>
      </c>
      <c r="G153" s="459">
        <f t="shared" si="55"/>
        <v>380.0992949335851</v>
      </c>
      <c r="H153" s="459">
        <f t="shared" si="55"/>
        <v>380.0992949335851</v>
      </c>
      <c r="I153" s="459">
        <f t="shared" si="55"/>
        <v>380.0992949335851</v>
      </c>
      <c r="J153" s="459">
        <f t="shared" si="55"/>
        <v>380.0992949335851</v>
      </c>
      <c r="K153" s="459">
        <f t="shared" si="55"/>
        <v>380.0992949335851</v>
      </c>
      <c r="L153" s="459">
        <f t="shared" si="55"/>
        <v>380.0992949335851</v>
      </c>
    </row>
    <row r="154" spans="1:12">
      <c r="B154" s="326" t="str">
        <f>B149</f>
        <v>History NQTs</v>
      </c>
      <c r="C154" s="459">
        <f>C149+(C147-C152)+(C148-C153)</f>
        <v>942.73270484617319</v>
      </c>
      <c r="D154" s="459">
        <f t="shared" ref="D154:L154" si="56">D149+(D147-D152)+(D148-D153)</f>
        <v>996.94278490286547</v>
      </c>
      <c r="E154" s="459">
        <f t="shared" si="56"/>
        <v>789.99355225076374</v>
      </c>
      <c r="F154" s="459">
        <f t="shared" si="56"/>
        <v>779.26955201282249</v>
      </c>
      <c r="G154" s="459">
        <f t="shared" si="56"/>
        <v>790.40680266664549</v>
      </c>
      <c r="H154" s="459">
        <f t="shared" si="56"/>
        <v>797.8410969536385</v>
      </c>
      <c r="I154" s="459">
        <f t="shared" si="56"/>
        <v>742.27605152290118</v>
      </c>
      <c r="J154" s="459">
        <f t="shared" si="56"/>
        <v>712.35643694239832</v>
      </c>
      <c r="K154" s="459">
        <f t="shared" si="56"/>
        <v>692.21434559396494</v>
      </c>
      <c r="L154" s="459">
        <f t="shared" si="56"/>
        <v>700.19936399464461</v>
      </c>
    </row>
    <row r="155" spans="1:12">
      <c r="B155" s="326" t="str">
        <f>B150</f>
        <v>Total</v>
      </c>
      <c r="C155" s="860">
        <f>SUM(C152:C154)</f>
        <v>1494.1067708858714</v>
      </c>
      <c r="D155" s="459">
        <f t="shared" ref="D155:L155" si="57">SUM(D152:D154)</f>
        <v>1548.3168509425636</v>
      </c>
      <c r="E155" s="459">
        <f t="shared" si="57"/>
        <v>1341.3676182904619</v>
      </c>
      <c r="F155" s="459">
        <f t="shared" si="57"/>
        <v>1330.6436180525207</v>
      </c>
      <c r="G155" s="459">
        <f t="shared" si="57"/>
        <v>1341.7808687063437</v>
      </c>
      <c r="H155" s="459">
        <f t="shared" si="57"/>
        <v>1349.2151629933367</v>
      </c>
      <c r="I155" s="459">
        <f t="shared" si="57"/>
        <v>1293.6501175625995</v>
      </c>
      <c r="J155" s="459">
        <f t="shared" si="57"/>
        <v>1263.7305029820964</v>
      </c>
      <c r="K155" s="459">
        <f t="shared" si="57"/>
        <v>1243.5884116336631</v>
      </c>
      <c r="L155" s="459">
        <f t="shared" si="57"/>
        <v>1251.5734300343429</v>
      </c>
    </row>
    <row r="156" spans="1:12">
      <c r="A156" s="309">
        <f>SUM(C156:L156)</f>
        <v>0</v>
      </c>
      <c r="C156" s="329">
        <f>C155-C150</f>
        <v>0</v>
      </c>
      <c r="D156" s="329">
        <f t="shared" ref="D156:L156" si="58">D155-D150</f>
        <v>0</v>
      </c>
      <c r="E156" s="329">
        <f t="shared" si="58"/>
        <v>0</v>
      </c>
      <c r="F156" s="329">
        <f t="shared" si="58"/>
        <v>0</v>
      </c>
      <c r="G156" s="329">
        <f t="shared" si="58"/>
        <v>0</v>
      </c>
      <c r="H156" s="329">
        <f t="shared" si="58"/>
        <v>0</v>
      </c>
      <c r="I156" s="329">
        <f t="shared" si="58"/>
        <v>0</v>
      </c>
      <c r="J156" s="329">
        <f t="shared" si="58"/>
        <v>0</v>
      </c>
      <c r="K156" s="329">
        <f t="shared" si="58"/>
        <v>0</v>
      </c>
      <c r="L156" s="329">
        <f t="shared" si="58"/>
        <v>0</v>
      </c>
    </row>
    <row r="158" spans="1:12">
      <c r="B158" s="8" t="s">
        <v>1215</v>
      </c>
      <c r="C158" s="655" t="b">
        <f>IF(C154=C149,FALSE, TRUE)</f>
        <v>1</v>
      </c>
      <c r="D158" s="655" t="b">
        <f t="shared" ref="D158:L158" si="59">IF(D154=D149,FALSE, TRUE)</f>
        <v>1</v>
      </c>
      <c r="E158" s="655" t="b">
        <f t="shared" si="59"/>
        <v>1</v>
      </c>
      <c r="F158" s="655" t="b">
        <f t="shared" si="59"/>
        <v>1</v>
      </c>
      <c r="G158" s="655" t="b">
        <f t="shared" si="59"/>
        <v>1</v>
      </c>
      <c r="H158" s="655" t="b">
        <f t="shared" si="59"/>
        <v>1</v>
      </c>
      <c r="I158" s="655" t="b">
        <f t="shared" si="59"/>
        <v>1</v>
      </c>
      <c r="J158" s="655" t="b">
        <f t="shared" si="59"/>
        <v>1</v>
      </c>
      <c r="K158" s="655" t="b">
        <f t="shared" si="59"/>
        <v>1</v>
      </c>
      <c r="L158" s="655" t="b">
        <f t="shared" si="59"/>
        <v>1</v>
      </c>
    </row>
  </sheetData>
  <mergeCells count="4">
    <mergeCell ref="D17:L18"/>
    <mergeCell ref="B46:L47"/>
    <mergeCell ref="J50:J52"/>
    <mergeCell ref="A5:M5"/>
  </mergeCells>
  <conditionalFormatting sqref="C158:L158">
    <cfRule type="cellIs" dxfId="3" priority="1" stopIfTrue="1" operator="equal">
      <formula>TRUE</formula>
    </cfRule>
    <cfRule type="cellIs" dxfId="2"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40.7109375" customWidth="1"/>
    <col min="3" max="12"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2"/>
      <c r="B3" s="292"/>
      <c r="C3" s="292"/>
      <c r="D3" s="292"/>
      <c r="E3" s="292"/>
      <c r="F3" s="292"/>
      <c r="G3" s="292"/>
      <c r="H3" s="292"/>
      <c r="I3" s="292"/>
    </row>
    <row r="4" spans="1:13" s="589" customFormat="1">
      <c r="A4" s="590" t="s">
        <v>26</v>
      </c>
      <c r="B4" s="590"/>
      <c r="C4" s="590"/>
      <c r="D4" s="590"/>
      <c r="E4" s="292"/>
      <c r="F4" s="590"/>
      <c r="G4" s="590"/>
      <c r="H4" s="590"/>
      <c r="I4" s="590"/>
    </row>
    <row r="5" spans="1:13" s="588" customFormat="1" ht="26.45" customHeight="1">
      <c r="A5" s="1100" t="s">
        <v>1722</v>
      </c>
      <c r="B5" s="1100"/>
      <c r="C5" s="1100"/>
      <c r="D5" s="1100"/>
      <c r="E5" s="1100"/>
      <c r="F5" s="1100"/>
      <c r="G5" s="1100"/>
      <c r="H5" s="1100"/>
      <c r="I5" s="1100"/>
      <c r="J5" s="1100"/>
      <c r="K5" s="1100"/>
      <c r="L5" s="1100"/>
      <c r="M5" s="59"/>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SUM(A12:A1759)</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OUTPUTS_FOR_SECTION_2_OF_MODEL!B77</f>
        <v>Mathematics</v>
      </c>
      <c r="C15" s="307">
        <f>OUTPUTS_FOR_SECTION_2_OF_MODEL!E77</f>
        <v>4253.0396385280801</v>
      </c>
      <c r="D15" s="307">
        <f>OUTPUTS_FOR_SECTION_2_OF_MODEL!F77</f>
        <v>4116.8985425687888</v>
      </c>
      <c r="E15" s="307">
        <f>OUTPUTS_FOR_SECTION_2_OF_MODEL!G77</f>
        <v>4076.1032526889899</v>
      </c>
      <c r="F15" s="307">
        <f>OUTPUTS_FOR_SECTION_2_OF_MODEL!H77</f>
        <v>3972.780827279938</v>
      </c>
      <c r="G15" s="307">
        <f>OUTPUTS_FOR_SECTION_2_OF_MODEL!I77</f>
        <v>3999.0652238733483</v>
      </c>
      <c r="H15" s="307">
        <f>OUTPUTS_FOR_SECTION_2_OF_MODEL!J77</f>
        <v>3952.3341882604354</v>
      </c>
      <c r="I15" s="307">
        <f>OUTPUTS_FOR_SECTION_2_OF_MODEL!K77</f>
        <v>3780.3366397170557</v>
      </c>
      <c r="J15" s="307">
        <f>OUTPUTS_FOR_SECTION_2_OF_MODEL!L77</f>
        <v>3737.8028243573672</v>
      </c>
      <c r="K15" s="307">
        <f>OUTPUTS_FOR_SECTION_2_OF_MODEL!M77</f>
        <v>3678.4063194105711</v>
      </c>
      <c r="L15" s="307">
        <f>OUTPUTS_FOR_SECTION_2_OF_MODEL!N77</f>
        <v>3612.9428403986103</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3959.5799034696429</v>
      </c>
      <c r="D44" s="459">
        <f t="shared" si="4"/>
        <v>3832.8325431315425</v>
      </c>
      <c r="E44" s="459">
        <f t="shared" si="4"/>
        <v>3794.8521282534498</v>
      </c>
      <c r="F44" s="459">
        <f t="shared" si="4"/>
        <v>3698.6589501976223</v>
      </c>
      <c r="G44" s="459">
        <f t="shared" si="4"/>
        <v>3723.1297234260874</v>
      </c>
      <c r="H44" s="459">
        <f t="shared" si="4"/>
        <v>3679.6231292704656</v>
      </c>
      <c r="I44" s="459">
        <f t="shared" si="4"/>
        <v>3519.4934115765791</v>
      </c>
      <c r="J44" s="459">
        <f t="shared" si="4"/>
        <v>3479.8944294767089</v>
      </c>
      <c r="K44" s="459">
        <f t="shared" si="4"/>
        <v>3424.596283371242</v>
      </c>
      <c r="L44" s="459">
        <f t="shared" si="4"/>
        <v>3363.6497844111063</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41.897067147008194</v>
      </c>
      <c r="D57" s="459">
        <f t="shared" ref="D57:L57" si="7">D44/$J$50</f>
        <v>40.555929249490795</v>
      </c>
      <c r="E57" s="459">
        <f t="shared" si="7"/>
        <v>40.15405126465096</v>
      </c>
      <c r="F57" s="459">
        <f t="shared" si="7"/>
        <v>39.136212974139994</v>
      </c>
      <c r="G57" s="459">
        <f t="shared" si="7"/>
        <v>39.395142874302842</v>
      </c>
      <c r="H57" s="459">
        <f t="shared" si="7"/>
        <v>38.934791336737334</v>
      </c>
      <c r="I57" s="459">
        <f t="shared" si="7"/>
        <v>37.240428374501519</v>
      </c>
      <c r="J57" s="459">
        <f t="shared" si="7"/>
        <v>36.821424022414156</v>
      </c>
      <c r="K57" s="459">
        <f t="shared" si="7"/>
        <v>36.236303833664927</v>
      </c>
      <c r="L57" s="459">
        <f t="shared" si="7"/>
        <v>35.591417350361397</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41.897067147008194</v>
      </c>
      <c r="D98" s="459">
        <f t="shared" ref="D98:L98" si="33">D57</f>
        <v>40.555929249490795</v>
      </c>
      <c r="E98" s="459">
        <f t="shared" si="33"/>
        <v>40.15405126465096</v>
      </c>
      <c r="F98" s="459">
        <f t="shared" si="33"/>
        <v>39.136212974139994</v>
      </c>
      <c r="G98" s="459">
        <f t="shared" si="33"/>
        <v>39.395142874302842</v>
      </c>
      <c r="H98" s="459">
        <f t="shared" si="33"/>
        <v>38.934791336737334</v>
      </c>
      <c r="I98" s="459">
        <f t="shared" si="33"/>
        <v>37.240428374501519</v>
      </c>
      <c r="J98" s="459">
        <f t="shared" si="33"/>
        <v>36.821424022414156</v>
      </c>
      <c r="K98" s="459">
        <f t="shared" si="33"/>
        <v>36.236303833664927</v>
      </c>
      <c r="L98" s="459">
        <f t="shared" si="33"/>
        <v>35.591417350361397</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867</v>
      </c>
      <c r="C103" s="459">
        <f t="shared" ref="C103:L103" si="35">C65*C$98</f>
        <v>618.35941157920854</v>
      </c>
      <c r="D103" s="459">
        <f t="shared" si="35"/>
        <v>598.56553822178296</v>
      </c>
      <c r="E103" s="459">
        <f t="shared" si="35"/>
        <v>592.63421531175095</v>
      </c>
      <c r="F103" s="459">
        <f t="shared" si="35"/>
        <v>577.61192546519089</v>
      </c>
      <c r="G103" s="459">
        <f t="shared" si="35"/>
        <v>581.43347555467949</v>
      </c>
      <c r="H103" s="459">
        <f t="shared" si="35"/>
        <v>574.63914064599089</v>
      </c>
      <c r="I103" s="459">
        <f t="shared" si="35"/>
        <v>549.63201352051715</v>
      </c>
      <c r="J103" s="459">
        <f t="shared" si="35"/>
        <v>543.44792231201416</v>
      </c>
      <c r="K103" s="459">
        <f t="shared" si="35"/>
        <v>534.81212510099328</v>
      </c>
      <c r="L103" s="459">
        <f t="shared" si="35"/>
        <v>525.29423629622931</v>
      </c>
    </row>
    <row r="104" spans="1:12">
      <c r="A104" s="309"/>
      <c r="B104" s="326" t="s">
        <v>868</v>
      </c>
      <c r="C104" s="459">
        <f t="shared" ref="C104:L104" si="36">C76*C$98</f>
        <v>1467.0722538476678</v>
      </c>
      <c r="D104" s="459">
        <f t="shared" si="36"/>
        <v>1420.1108235612073</v>
      </c>
      <c r="E104" s="459">
        <f t="shared" si="36"/>
        <v>1406.0386203942887</v>
      </c>
      <c r="F104" s="459">
        <f t="shared" si="36"/>
        <v>1370.3978842617832</v>
      </c>
      <c r="G104" s="459">
        <f t="shared" si="36"/>
        <v>1379.4646017694211</v>
      </c>
      <c r="H104" s="459">
        <f t="shared" si="36"/>
        <v>1363.344882329186</v>
      </c>
      <c r="I104" s="459">
        <f t="shared" si="36"/>
        <v>1304.0148848111899</v>
      </c>
      <c r="J104" s="459">
        <f t="shared" si="36"/>
        <v>1289.3429829085603</v>
      </c>
      <c r="K104" s="459">
        <f t="shared" si="36"/>
        <v>1268.8543508267942</v>
      </c>
      <c r="L104" s="459">
        <f t="shared" si="36"/>
        <v>1246.2729356834298</v>
      </c>
    </row>
    <row r="105" spans="1:12">
      <c r="A105" s="309"/>
      <c r="B105" s="326" t="s">
        <v>869</v>
      </c>
      <c r="C105" s="459">
        <f t="shared" ref="C105:L105" si="37">C87*C$98</f>
        <v>2104.2750492739433</v>
      </c>
      <c r="D105" s="459">
        <f t="shared" si="37"/>
        <v>2036.9165631660892</v>
      </c>
      <c r="E105" s="459">
        <f t="shared" si="37"/>
        <v>2016.7322907590565</v>
      </c>
      <c r="F105" s="459">
        <f t="shared" si="37"/>
        <v>1965.6114876870254</v>
      </c>
      <c r="G105" s="459">
        <f t="shared" si="37"/>
        <v>1978.6162101061836</v>
      </c>
      <c r="H105" s="459">
        <f t="shared" si="37"/>
        <v>1955.4951106985566</v>
      </c>
      <c r="I105" s="459">
        <f t="shared" si="37"/>
        <v>1870.3959391184449</v>
      </c>
      <c r="J105" s="459">
        <f t="shared" si="37"/>
        <v>1849.3514970208412</v>
      </c>
      <c r="K105" s="459">
        <f t="shared" si="37"/>
        <v>1819.9639074387053</v>
      </c>
      <c r="L105" s="459">
        <f t="shared" si="37"/>
        <v>1787.5745630564807</v>
      </c>
    </row>
    <row r="106" spans="1:12">
      <c r="A106" s="309"/>
      <c r="B106" s="326" t="s">
        <v>8</v>
      </c>
      <c r="C106" s="459">
        <f>SUM(C103:C105)</f>
        <v>4189.7067147008202</v>
      </c>
      <c r="D106" s="459">
        <f t="shared" ref="D106:L106" si="38">SUM(D103:D105)</f>
        <v>4055.5929249490791</v>
      </c>
      <c r="E106" s="459">
        <f t="shared" si="38"/>
        <v>4015.4051264650961</v>
      </c>
      <c r="F106" s="459">
        <f t="shared" si="38"/>
        <v>3913.6212974139999</v>
      </c>
      <c r="G106" s="459">
        <f t="shared" si="38"/>
        <v>3939.5142874302842</v>
      </c>
      <c r="H106" s="459">
        <f t="shared" si="38"/>
        <v>3893.4791336737335</v>
      </c>
      <c r="I106" s="459">
        <f t="shared" si="38"/>
        <v>3724.0428374501516</v>
      </c>
      <c r="J106" s="459">
        <f t="shared" si="38"/>
        <v>3682.1424022414158</v>
      </c>
      <c r="K106" s="459">
        <f t="shared" si="38"/>
        <v>3623.6303833664924</v>
      </c>
      <c r="L106" s="459">
        <f t="shared" si="38"/>
        <v>3559.1417350361398</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4189.7067147008202</v>
      </c>
      <c r="D111" s="700">
        <f t="shared" ref="D111:L111" si="39">D106</f>
        <v>4055.5929249490791</v>
      </c>
      <c r="E111" s="700">
        <f t="shared" si="39"/>
        <v>4015.4051264650961</v>
      </c>
      <c r="F111" s="700">
        <f t="shared" si="39"/>
        <v>3913.6212974139999</v>
      </c>
      <c r="G111" s="700">
        <f t="shared" si="39"/>
        <v>3939.5142874302842</v>
      </c>
      <c r="H111" s="700">
        <f t="shared" si="39"/>
        <v>3893.4791336737335</v>
      </c>
      <c r="I111" s="700">
        <f t="shared" si="39"/>
        <v>3724.0428374501516</v>
      </c>
      <c r="J111" s="700">
        <f t="shared" si="39"/>
        <v>3682.1424022414158</v>
      </c>
      <c r="K111" s="700">
        <f t="shared" si="39"/>
        <v>3623.6303833664924</v>
      </c>
      <c r="L111" s="700">
        <f t="shared" si="39"/>
        <v>3559.1417350361398</v>
      </c>
    </row>
    <row r="112" spans="1:12">
      <c r="A112" s="309"/>
      <c r="B112" s="700" t="s">
        <v>804</v>
      </c>
      <c r="C112" s="700">
        <f t="shared" ref="C112:L112" si="40">((C67+C78+C89)/100)*C111</f>
        <v>602.42620741145697</v>
      </c>
      <c r="D112" s="700">
        <f t="shared" si="40"/>
        <v>583.14236077889188</v>
      </c>
      <c r="E112" s="700">
        <f t="shared" si="40"/>
        <v>577.36386966399516</v>
      </c>
      <c r="F112" s="700">
        <f t="shared" si="40"/>
        <v>562.72865763449477</v>
      </c>
      <c r="G112" s="700">
        <f t="shared" si="40"/>
        <v>566.45173823088123</v>
      </c>
      <c r="H112" s="700">
        <f t="shared" si="40"/>
        <v>559.83247225986383</v>
      </c>
      <c r="I112" s="700">
        <f t="shared" si="40"/>
        <v>535.46970123971971</v>
      </c>
      <c r="J112" s="700">
        <f t="shared" si="40"/>
        <v>529.44495488143184</v>
      </c>
      <c r="K112" s="700">
        <f t="shared" si="40"/>
        <v>521.03167538023774</v>
      </c>
      <c r="L112" s="700">
        <f t="shared" si="40"/>
        <v>511.75903304982586</v>
      </c>
    </row>
    <row r="113" spans="1:12">
      <c r="A113" s="309"/>
      <c r="B113" s="700" t="s">
        <v>805</v>
      </c>
      <c r="C113" s="700">
        <f t="shared" ref="C113:L113" si="41">((C66+C77+C88)/100)*C111</f>
        <v>3587.280507289363</v>
      </c>
      <c r="D113" s="700">
        <f t="shared" si="41"/>
        <v>3472.4505641701871</v>
      </c>
      <c r="E113" s="700">
        <f t="shared" si="41"/>
        <v>3438.0412568011006</v>
      </c>
      <c r="F113" s="700">
        <f t="shared" si="41"/>
        <v>3350.8926397795049</v>
      </c>
      <c r="G113" s="700">
        <f t="shared" si="41"/>
        <v>3373.0625491994028</v>
      </c>
      <c r="H113" s="700">
        <f t="shared" si="41"/>
        <v>3333.6466614138694</v>
      </c>
      <c r="I113" s="700">
        <f t="shared" si="41"/>
        <v>3188.5731362104316</v>
      </c>
      <c r="J113" s="700">
        <f t="shared" si="41"/>
        <v>3152.6974473599839</v>
      </c>
      <c r="K113" s="700">
        <f t="shared" si="41"/>
        <v>3102.5987079862543</v>
      </c>
      <c r="L113" s="700">
        <f t="shared" si="41"/>
        <v>3047.3827019863138</v>
      </c>
    </row>
    <row r="114" spans="1:12">
      <c r="A114" s="309"/>
      <c r="B114" s="700" t="s">
        <v>799</v>
      </c>
      <c r="C114" s="700">
        <f>C112*$C$39</f>
        <v>372.29939618028038</v>
      </c>
      <c r="D114" s="700">
        <f t="shared" ref="D114:L114" si="42">D112*$C$39</f>
        <v>360.38197896135517</v>
      </c>
      <c r="E114" s="700">
        <f t="shared" si="42"/>
        <v>356.81087145234903</v>
      </c>
      <c r="F114" s="700">
        <f t="shared" si="42"/>
        <v>347.76631041811777</v>
      </c>
      <c r="G114" s="700">
        <f t="shared" si="42"/>
        <v>350.06717422668459</v>
      </c>
      <c r="H114" s="700">
        <f t="shared" si="42"/>
        <v>345.97646785659583</v>
      </c>
      <c r="I114" s="700">
        <f t="shared" si="42"/>
        <v>330.92027536614677</v>
      </c>
      <c r="J114" s="700">
        <f t="shared" si="42"/>
        <v>327.19698211672488</v>
      </c>
      <c r="K114" s="700">
        <f t="shared" si="42"/>
        <v>321.99757538498693</v>
      </c>
      <c r="L114" s="700">
        <f t="shared" si="42"/>
        <v>316.26708242479236</v>
      </c>
    </row>
    <row r="115" spans="1:12">
      <c r="A115" s="309"/>
      <c r="B115" s="700" t="s">
        <v>800</v>
      </c>
      <c r="C115" s="700">
        <f>C113</f>
        <v>3587.280507289363</v>
      </c>
      <c r="D115" s="700">
        <f t="shared" ref="D115:L115" si="43">D113</f>
        <v>3472.4505641701871</v>
      </c>
      <c r="E115" s="700">
        <f t="shared" si="43"/>
        <v>3438.0412568011006</v>
      </c>
      <c r="F115" s="700">
        <f t="shared" si="43"/>
        <v>3350.8926397795049</v>
      </c>
      <c r="G115" s="700">
        <f t="shared" si="43"/>
        <v>3373.0625491994028</v>
      </c>
      <c r="H115" s="700">
        <f t="shared" si="43"/>
        <v>3333.6466614138694</v>
      </c>
      <c r="I115" s="700">
        <f t="shared" si="43"/>
        <v>3188.5731362104316</v>
      </c>
      <c r="J115" s="700">
        <f t="shared" si="43"/>
        <v>3152.6974473599839</v>
      </c>
      <c r="K115" s="700">
        <f t="shared" si="43"/>
        <v>3102.5987079862543</v>
      </c>
      <c r="L115" s="700">
        <f t="shared" si="43"/>
        <v>3047.3827019863138</v>
      </c>
    </row>
    <row r="116" spans="1:12">
      <c r="A116" s="309"/>
      <c r="B116" s="700" t="s">
        <v>724</v>
      </c>
      <c r="C116" s="700">
        <f>C115+C114</f>
        <v>3959.5799034696433</v>
      </c>
      <c r="D116" s="700">
        <f t="shared" ref="D116:L116" si="44">D115+D114</f>
        <v>3832.8325431315425</v>
      </c>
      <c r="E116" s="700">
        <f t="shared" si="44"/>
        <v>3794.8521282534498</v>
      </c>
      <c r="F116" s="700">
        <f t="shared" si="44"/>
        <v>3698.6589501976227</v>
      </c>
      <c r="G116" s="700">
        <f t="shared" si="44"/>
        <v>3723.1297234260874</v>
      </c>
      <c r="H116" s="700">
        <f t="shared" si="44"/>
        <v>3679.6231292704651</v>
      </c>
      <c r="I116" s="700">
        <f t="shared" si="44"/>
        <v>3519.4934115765782</v>
      </c>
      <c r="J116" s="700">
        <f t="shared" si="44"/>
        <v>3479.8944294767089</v>
      </c>
      <c r="K116" s="700">
        <f t="shared" si="44"/>
        <v>3424.596283371241</v>
      </c>
      <c r="L116" s="700">
        <f t="shared" si="44"/>
        <v>3363.6497844111063</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L5"/>
  </mergeCells>
  <hyperlinks>
    <hyperlink ref="A2" location="'Title_&amp;_Contents'!A1" display="Contents"/>
    <hyperlink ref="B2" location="Map_of_sheets!A1" display="Map of sheets"/>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58"/>
  <sheetViews>
    <sheetView showGridLines="0" workbookViewId="0"/>
  </sheetViews>
  <sheetFormatPr defaultRowHeight="12.75"/>
  <cols>
    <col min="2" max="2" width="4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6" customHeight="1">
      <c r="A5" s="1100" t="s">
        <v>1723</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SUM(A12:A1878)</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OUTPUTS_FOR_SECTION_2_OF_MODEL!B78</f>
        <v>Modern Foreign Languages</v>
      </c>
      <c r="C15" s="307">
        <f>OUTPUTS_FOR_SECTION_2_OF_MODEL!E78</f>
        <v>3169.8238040684982</v>
      </c>
      <c r="D15" s="307">
        <f>OUTPUTS_FOR_SECTION_2_OF_MODEL!F78</f>
        <v>3382.5455067966113</v>
      </c>
      <c r="E15" s="307">
        <f>OUTPUTS_FOR_SECTION_2_OF_MODEL!G78</f>
        <v>2577.6234451171326</v>
      </c>
      <c r="F15" s="307">
        <f>OUTPUTS_FOR_SECTION_2_OF_MODEL!H78</f>
        <v>2200.730093337505</v>
      </c>
      <c r="G15" s="307">
        <f>OUTPUTS_FOR_SECTION_2_OF_MODEL!I78</f>
        <v>2191.2039640264884</v>
      </c>
      <c r="H15" s="307">
        <f>OUTPUTS_FOR_SECTION_2_OF_MODEL!J78</f>
        <v>2194.4925909694066</v>
      </c>
      <c r="I15" s="307">
        <f>OUTPUTS_FOR_SECTION_2_OF_MODEL!K78</f>
        <v>2077.6440279294093</v>
      </c>
      <c r="J15" s="307">
        <f>OUTPUTS_FOR_SECTION_2_OF_MODEL!L78</f>
        <v>2017.5374365779689</v>
      </c>
      <c r="K15" s="307">
        <f>OUTPUTS_FOR_SECTION_2_OF_MODEL!M78</f>
        <v>1973.8877271487099</v>
      </c>
      <c r="L15" s="307">
        <f>OUTPUTS_FOR_SECTION_2_OF_MODEL!N78</f>
        <v>1984.3324489999882</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2951.1059615877721</v>
      </c>
      <c r="D44" s="459">
        <f t="shared" si="4"/>
        <v>3149.1498668276454</v>
      </c>
      <c r="E44" s="459">
        <f t="shared" si="4"/>
        <v>2399.7674274040505</v>
      </c>
      <c r="F44" s="459">
        <f t="shared" si="4"/>
        <v>2048.8797168972173</v>
      </c>
      <c r="G44" s="459">
        <f t="shared" si="4"/>
        <v>2040.0108905086609</v>
      </c>
      <c r="H44" s="459">
        <f t="shared" si="4"/>
        <v>2043.0726021925177</v>
      </c>
      <c r="I44" s="459">
        <f t="shared" si="4"/>
        <v>1934.28659000228</v>
      </c>
      <c r="J44" s="459">
        <f t="shared" si="4"/>
        <v>1878.3273534540892</v>
      </c>
      <c r="K44" s="459">
        <f t="shared" si="4"/>
        <v>1837.6894739754491</v>
      </c>
      <c r="L44" s="459">
        <f t="shared" si="4"/>
        <v>1847.4135100189892</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31.226212791471962</v>
      </c>
      <c r="D57" s="459">
        <f t="shared" ref="D57:L57" si="7">D44/$J$50</f>
        <v>33.321752974565605</v>
      </c>
      <c r="E57" s="459">
        <f t="shared" si="7"/>
        <v>25.392395025302577</v>
      </c>
      <c r="F57" s="459">
        <f t="shared" si="7"/>
        <v>21.679585503443292</v>
      </c>
      <c r="G57" s="459">
        <f t="shared" si="7"/>
        <v>21.585742766644142</v>
      </c>
      <c r="H57" s="459">
        <f t="shared" si="7"/>
        <v>21.618139319594349</v>
      </c>
      <c r="I57" s="459">
        <f t="shared" si="7"/>
        <v>20.467053858887827</v>
      </c>
      <c r="J57" s="459">
        <f t="shared" si="7"/>
        <v>19.874938546578953</v>
      </c>
      <c r="K57" s="459">
        <f t="shared" si="7"/>
        <v>19.444941423970899</v>
      </c>
      <c r="L57" s="459">
        <f t="shared" si="7"/>
        <v>19.547833296590806</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31.226212791471962</v>
      </c>
      <c r="D98" s="459">
        <f t="shared" ref="D98:L98" si="33">D57</f>
        <v>33.321752974565605</v>
      </c>
      <c r="E98" s="459">
        <f t="shared" si="33"/>
        <v>25.392395025302577</v>
      </c>
      <c r="F98" s="459">
        <f t="shared" si="33"/>
        <v>21.679585503443292</v>
      </c>
      <c r="G98" s="459">
        <f t="shared" si="33"/>
        <v>21.585742766644142</v>
      </c>
      <c r="H98" s="459">
        <f t="shared" si="33"/>
        <v>21.618139319594349</v>
      </c>
      <c r="I98" s="459">
        <f t="shared" si="33"/>
        <v>20.467053858887827</v>
      </c>
      <c r="J98" s="459">
        <f t="shared" si="33"/>
        <v>19.874938546578953</v>
      </c>
      <c r="K98" s="459">
        <f t="shared" si="33"/>
        <v>19.444941423970899</v>
      </c>
      <c r="L98" s="459">
        <f t="shared" si="33"/>
        <v>19.547833296590806</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870</v>
      </c>
      <c r="C103" s="459">
        <f t="shared" ref="C103:L103" si="35">C65*C$98</f>
        <v>460.86811995289236</v>
      </c>
      <c r="D103" s="459">
        <f t="shared" si="35"/>
        <v>491.79622740279302</v>
      </c>
      <c r="E103" s="459">
        <f t="shared" si="35"/>
        <v>374.76672033722895</v>
      </c>
      <c r="F103" s="459">
        <f t="shared" si="35"/>
        <v>319.96931165019794</v>
      </c>
      <c r="G103" s="459">
        <f t="shared" si="35"/>
        <v>318.58428535934814</v>
      </c>
      <c r="H103" s="459">
        <f t="shared" si="35"/>
        <v>319.06242654639578</v>
      </c>
      <c r="I103" s="459">
        <f t="shared" si="35"/>
        <v>302.07353981448296</v>
      </c>
      <c r="J103" s="459">
        <f t="shared" si="35"/>
        <v>293.33450147507739</v>
      </c>
      <c r="K103" s="459">
        <f t="shared" si="35"/>
        <v>286.9881678096753</v>
      </c>
      <c r="L103" s="459">
        <f t="shared" si="35"/>
        <v>288.50675042516684</v>
      </c>
    </row>
    <row r="104" spans="1:12">
      <c r="A104" s="309"/>
      <c r="B104" s="326" t="s">
        <v>871</v>
      </c>
      <c r="C104" s="459">
        <f t="shared" ref="C104:L104" si="36">C76*C$98</f>
        <v>1093.4204587249478</v>
      </c>
      <c r="D104" s="459">
        <f t="shared" si="36"/>
        <v>1166.7981213821556</v>
      </c>
      <c r="E104" s="459">
        <f t="shared" si="36"/>
        <v>889.1428621876961</v>
      </c>
      <c r="F104" s="459">
        <f t="shared" si="36"/>
        <v>759.13472070540763</v>
      </c>
      <c r="G104" s="459">
        <f t="shared" si="36"/>
        <v>755.84871324096878</v>
      </c>
      <c r="H104" s="459">
        <f t="shared" si="36"/>
        <v>756.98311445780791</v>
      </c>
      <c r="I104" s="459">
        <f t="shared" si="36"/>
        <v>716.67658094116325</v>
      </c>
      <c r="J104" s="459">
        <f t="shared" si="36"/>
        <v>695.94300685306087</v>
      </c>
      <c r="K104" s="459">
        <f t="shared" si="36"/>
        <v>680.88618090390469</v>
      </c>
      <c r="L104" s="459">
        <f t="shared" si="36"/>
        <v>684.4890538911103</v>
      </c>
    </row>
    <row r="105" spans="1:12">
      <c r="A105" s="309"/>
      <c r="B105" s="326" t="s">
        <v>872</v>
      </c>
      <c r="C105" s="459">
        <f t="shared" ref="C105:L105" si="37">C87*C$98</f>
        <v>1568.332700469356</v>
      </c>
      <c r="D105" s="459">
        <f t="shared" si="37"/>
        <v>1673.5809486716121</v>
      </c>
      <c r="E105" s="459">
        <f t="shared" si="37"/>
        <v>1275.3299200053327</v>
      </c>
      <c r="F105" s="459">
        <f t="shared" si="37"/>
        <v>1088.8545179887237</v>
      </c>
      <c r="G105" s="459">
        <f t="shared" si="37"/>
        <v>1084.1412780640974</v>
      </c>
      <c r="H105" s="459">
        <f t="shared" si="37"/>
        <v>1085.7683909552313</v>
      </c>
      <c r="I105" s="459">
        <f t="shared" si="37"/>
        <v>1027.9552651331364</v>
      </c>
      <c r="J105" s="459">
        <f t="shared" si="37"/>
        <v>998.21634632975713</v>
      </c>
      <c r="K105" s="459">
        <f t="shared" si="37"/>
        <v>976.6197936835099</v>
      </c>
      <c r="L105" s="459">
        <f t="shared" si="37"/>
        <v>981.78752534280352</v>
      </c>
    </row>
    <row r="106" spans="1:12">
      <c r="A106" s="309"/>
      <c r="B106" s="326" t="s">
        <v>8</v>
      </c>
      <c r="C106" s="459">
        <f>SUM(C103:C105)</f>
        <v>3122.6212791471962</v>
      </c>
      <c r="D106" s="459">
        <f t="shared" ref="D106:L106" si="38">SUM(D103:D105)</f>
        <v>3332.1752974565607</v>
      </c>
      <c r="E106" s="459">
        <f t="shared" si="38"/>
        <v>2539.2395025302576</v>
      </c>
      <c r="F106" s="459">
        <f t="shared" si="38"/>
        <v>2167.9585503443295</v>
      </c>
      <c r="G106" s="459">
        <f t="shared" si="38"/>
        <v>2158.5742766644144</v>
      </c>
      <c r="H106" s="459">
        <f t="shared" si="38"/>
        <v>2161.8139319594347</v>
      </c>
      <c r="I106" s="459">
        <f t="shared" si="38"/>
        <v>2046.7053858887825</v>
      </c>
      <c r="J106" s="459">
        <f t="shared" si="38"/>
        <v>1987.4938546578956</v>
      </c>
      <c r="K106" s="459">
        <f t="shared" si="38"/>
        <v>1944.4941423970899</v>
      </c>
      <c r="L106" s="459">
        <f t="shared" si="38"/>
        <v>1954.7833296590807</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3122.6212791471962</v>
      </c>
      <c r="D111" s="700">
        <f t="shared" ref="D111:L111" si="39">D106</f>
        <v>3332.1752974565607</v>
      </c>
      <c r="E111" s="700">
        <f t="shared" si="39"/>
        <v>2539.2395025302576</v>
      </c>
      <c r="F111" s="700">
        <f t="shared" si="39"/>
        <v>2167.9585503443295</v>
      </c>
      <c r="G111" s="700">
        <f t="shared" si="39"/>
        <v>2158.5742766644144</v>
      </c>
      <c r="H111" s="700">
        <f t="shared" si="39"/>
        <v>2161.8139319594347</v>
      </c>
      <c r="I111" s="700">
        <f t="shared" si="39"/>
        <v>2046.7053858887825</v>
      </c>
      <c r="J111" s="700">
        <f t="shared" si="39"/>
        <v>1987.4938546578956</v>
      </c>
      <c r="K111" s="700">
        <f t="shared" si="39"/>
        <v>1944.4941423970899</v>
      </c>
      <c r="L111" s="700">
        <f t="shared" si="39"/>
        <v>1954.7833296590807</v>
      </c>
    </row>
    <row r="112" spans="1:12">
      <c r="A112" s="309"/>
      <c r="B112" s="700" t="s">
        <v>804</v>
      </c>
      <c r="C112" s="700">
        <f t="shared" ref="C112:L112" si="40">((C67+C78+C89)/100)*C111</f>
        <v>448.99297790425112</v>
      </c>
      <c r="D112" s="700">
        <f t="shared" si="40"/>
        <v>479.12416395004004</v>
      </c>
      <c r="E112" s="700">
        <f t="shared" si="40"/>
        <v>365.11014430944277</v>
      </c>
      <c r="F112" s="700">
        <f t="shared" si="40"/>
        <v>311.72469488772708</v>
      </c>
      <c r="G112" s="700">
        <f t="shared" si="40"/>
        <v>310.37535642867311</v>
      </c>
      <c r="H112" s="700">
        <f t="shared" si="40"/>
        <v>310.84117740030621</v>
      </c>
      <c r="I112" s="700">
        <f t="shared" si="40"/>
        <v>294.29004158770272</v>
      </c>
      <c r="J112" s="700">
        <f t="shared" si="40"/>
        <v>285.77618116179571</v>
      </c>
      <c r="K112" s="700">
        <f t="shared" si="40"/>
        <v>279.59337283152075</v>
      </c>
      <c r="L112" s="700">
        <f t="shared" si="40"/>
        <v>281.07282628296122</v>
      </c>
    </row>
    <row r="113" spans="1:12">
      <c r="A113" s="309"/>
      <c r="B113" s="700" t="s">
        <v>805</v>
      </c>
      <c r="C113" s="700">
        <f t="shared" ref="C113:L113" si="41">((C66+C77+C88)/100)*C111</f>
        <v>2673.6283012429449</v>
      </c>
      <c r="D113" s="700">
        <f t="shared" si="41"/>
        <v>2853.0511335065203</v>
      </c>
      <c r="E113" s="700">
        <f t="shared" si="41"/>
        <v>2174.1293582208145</v>
      </c>
      <c r="F113" s="700">
        <f t="shared" si="41"/>
        <v>1856.2338554566022</v>
      </c>
      <c r="G113" s="700">
        <f t="shared" si="41"/>
        <v>1848.1989202357411</v>
      </c>
      <c r="H113" s="700">
        <f t="shared" si="41"/>
        <v>1850.9727545591284</v>
      </c>
      <c r="I113" s="700">
        <f t="shared" si="41"/>
        <v>1752.4153443010796</v>
      </c>
      <c r="J113" s="700">
        <f t="shared" si="41"/>
        <v>1701.7176734960997</v>
      </c>
      <c r="K113" s="700">
        <f t="shared" si="41"/>
        <v>1664.9007695655691</v>
      </c>
      <c r="L113" s="700">
        <f t="shared" si="41"/>
        <v>1673.7105033761193</v>
      </c>
    </row>
    <row r="114" spans="1:12">
      <c r="A114" s="309"/>
      <c r="B114" s="700" t="s">
        <v>799</v>
      </c>
      <c r="C114" s="700">
        <f>C112*$C$39</f>
        <v>277.4776603448272</v>
      </c>
      <c r="D114" s="700">
        <f t="shared" ref="D114:L114" si="42">D112*$C$39</f>
        <v>296.09873332112477</v>
      </c>
      <c r="E114" s="700">
        <f t="shared" si="42"/>
        <v>225.63806918323564</v>
      </c>
      <c r="F114" s="700">
        <f t="shared" si="42"/>
        <v>192.64586144061533</v>
      </c>
      <c r="G114" s="700">
        <f t="shared" si="42"/>
        <v>191.81197027291998</v>
      </c>
      <c r="H114" s="700">
        <f t="shared" si="42"/>
        <v>192.09984763338923</v>
      </c>
      <c r="I114" s="700">
        <f t="shared" si="42"/>
        <v>181.87124570120028</v>
      </c>
      <c r="J114" s="700">
        <f t="shared" si="42"/>
        <v>176.60967995798975</v>
      </c>
      <c r="K114" s="700">
        <f t="shared" si="42"/>
        <v>172.78870440987981</v>
      </c>
      <c r="L114" s="700">
        <f t="shared" si="42"/>
        <v>173.70300664287004</v>
      </c>
    </row>
    <row r="115" spans="1:12">
      <c r="A115" s="309"/>
      <c r="B115" s="700" t="s">
        <v>800</v>
      </c>
      <c r="C115" s="700">
        <f>C113</f>
        <v>2673.6283012429449</v>
      </c>
      <c r="D115" s="700">
        <f t="shared" ref="D115:L115" si="43">D113</f>
        <v>2853.0511335065203</v>
      </c>
      <c r="E115" s="700">
        <f t="shared" si="43"/>
        <v>2174.1293582208145</v>
      </c>
      <c r="F115" s="700">
        <f t="shared" si="43"/>
        <v>1856.2338554566022</v>
      </c>
      <c r="G115" s="700">
        <f t="shared" si="43"/>
        <v>1848.1989202357411</v>
      </c>
      <c r="H115" s="700">
        <f t="shared" si="43"/>
        <v>1850.9727545591284</v>
      </c>
      <c r="I115" s="700">
        <f t="shared" si="43"/>
        <v>1752.4153443010796</v>
      </c>
      <c r="J115" s="700">
        <f t="shared" si="43"/>
        <v>1701.7176734960997</v>
      </c>
      <c r="K115" s="700">
        <f t="shared" si="43"/>
        <v>1664.9007695655691</v>
      </c>
      <c r="L115" s="700">
        <f t="shared" si="43"/>
        <v>1673.7105033761193</v>
      </c>
    </row>
    <row r="116" spans="1:12">
      <c r="A116" s="309"/>
      <c r="B116" s="700" t="s">
        <v>724</v>
      </c>
      <c r="C116" s="700">
        <f>C115+C114</f>
        <v>2951.1059615877721</v>
      </c>
      <c r="D116" s="700">
        <f t="shared" ref="D116:L116" si="44">D115+D114</f>
        <v>3149.1498668276449</v>
      </c>
      <c r="E116" s="700">
        <f t="shared" si="44"/>
        <v>2399.7674274040501</v>
      </c>
      <c r="F116" s="700">
        <f t="shared" si="44"/>
        <v>2048.8797168972173</v>
      </c>
      <c r="G116" s="700">
        <f t="shared" si="44"/>
        <v>2040.0108905086611</v>
      </c>
      <c r="H116" s="700">
        <f t="shared" si="44"/>
        <v>2043.0726021925175</v>
      </c>
      <c r="I116" s="700">
        <f t="shared" si="44"/>
        <v>1934.2865900022798</v>
      </c>
      <c r="J116" s="700">
        <f t="shared" si="44"/>
        <v>1878.3273534540895</v>
      </c>
      <c r="K116" s="700">
        <f t="shared" si="44"/>
        <v>1837.6894739754489</v>
      </c>
      <c r="L116" s="700">
        <f t="shared" si="44"/>
        <v>1847.4135100189892</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858" t="s">
        <v>1558</v>
      </c>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1064" t="s">
        <v>1559</v>
      </c>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25" t="s">
        <v>1332</v>
      </c>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25" t="s">
        <v>1208</v>
      </c>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25" t="s">
        <v>1209</v>
      </c>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25" t="s">
        <v>1334</v>
      </c>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41" t="s">
        <v>1214</v>
      </c>
      <c r="C132" s="309"/>
      <c r="E132" s="309"/>
      <c r="F132" s="705" t="s">
        <v>1213</v>
      </c>
      <c r="G132" s="309"/>
      <c r="H132" s="309"/>
      <c r="I132" s="309"/>
      <c r="J132" s="309"/>
      <c r="K132" s="309"/>
      <c r="L132" s="309"/>
    </row>
    <row r="134" spans="1:12">
      <c r="B134" s="150" t="s">
        <v>1226</v>
      </c>
      <c r="D134" s="12" t="s">
        <v>1222</v>
      </c>
      <c r="F134" s="872">
        <v>254.68283777808733</v>
      </c>
    </row>
    <row r="135" spans="1:12">
      <c r="B135" s="150"/>
      <c r="D135" s="12" t="s">
        <v>699</v>
      </c>
      <c r="F135" s="872">
        <v>565.20155564044137</v>
      </c>
    </row>
    <row r="136" spans="1:12">
      <c r="B136" s="150" t="s">
        <v>1223</v>
      </c>
      <c r="D136" s="12" t="s">
        <v>1222</v>
      </c>
      <c r="F136" s="873">
        <f>F134</f>
        <v>254.68283777808733</v>
      </c>
      <c r="G136" s="426">
        <v>52</v>
      </c>
      <c r="H136" s="262" t="s">
        <v>1225</v>
      </c>
    </row>
    <row r="137" spans="1:12">
      <c r="B137" s="150"/>
      <c r="D137" s="12" t="s">
        <v>699</v>
      </c>
      <c r="F137" s="873">
        <f>F135+G136</f>
        <v>617.20155564044137</v>
      </c>
      <c r="G137" s="262" t="s">
        <v>1224</v>
      </c>
    </row>
    <row r="139" spans="1:12">
      <c r="B139" s="326"/>
      <c r="C139" s="326" t="str">
        <f t="shared" ref="C139:L139" si="47">C102</f>
        <v>2018/19</v>
      </c>
      <c r="D139" s="326" t="str">
        <f t="shared" si="47"/>
        <v>2019/20</v>
      </c>
      <c r="E139" s="326" t="str">
        <f t="shared" si="47"/>
        <v>2020/21</v>
      </c>
      <c r="F139" s="326" t="str">
        <f t="shared" si="47"/>
        <v>2021/22</v>
      </c>
      <c r="G139" s="326" t="str">
        <f t="shared" si="47"/>
        <v>2022/23</v>
      </c>
      <c r="H139" s="326" t="str">
        <f t="shared" si="47"/>
        <v>2023/24</v>
      </c>
      <c r="I139" s="326" t="str">
        <f t="shared" si="47"/>
        <v>2024/25</v>
      </c>
      <c r="J139" s="326" t="str">
        <f t="shared" si="47"/>
        <v>2025/26</v>
      </c>
      <c r="K139" s="326" t="str">
        <f t="shared" si="47"/>
        <v>2026/27</v>
      </c>
      <c r="L139" s="326" t="str">
        <f t="shared" si="47"/>
        <v>2027/28</v>
      </c>
    </row>
    <row r="140" spans="1:12">
      <c r="B140" s="326" t="str">
        <f>B103</f>
        <v xml:space="preserve">Modern Foreign Languages New to SF Sector </v>
      </c>
      <c r="C140" s="307">
        <f>IF(C103&gt;$F$136,$F$136,C103)</f>
        <v>254.68283777808733</v>
      </c>
      <c r="D140" s="307">
        <f t="shared" ref="D140:L140" si="48">IF(D103&gt;$F$136,$F$136,D103)</f>
        <v>254.68283777808733</v>
      </c>
      <c r="E140" s="307">
        <f t="shared" si="48"/>
        <v>254.68283777808733</v>
      </c>
      <c r="F140" s="307">
        <f t="shared" si="48"/>
        <v>254.68283777808733</v>
      </c>
      <c r="G140" s="307">
        <f t="shared" si="48"/>
        <v>254.68283777808733</v>
      </c>
      <c r="H140" s="307">
        <f t="shared" si="48"/>
        <v>254.68283777808733</v>
      </c>
      <c r="I140" s="307">
        <f t="shared" si="48"/>
        <v>254.68283777808733</v>
      </c>
      <c r="J140" s="307">
        <f t="shared" si="48"/>
        <v>254.68283777808733</v>
      </c>
      <c r="K140" s="307">
        <f t="shared" si="48"/>
        <v>254.68283777808733</v>
      </c>
      <c r="L140" s="307">
        <f t="shared" si="48"/>
        <v>254.68283777808733</v>
      </c>
    </row>
    <row r="141" spans="1:12">
      <c r="B141" s="326" t="str">
        <f>B104</f>
        <v>Modern Foreign Languages Re-entrants</v>
      </c>
      <c r="C141" s="307">
        <f>IF(C104&gt;$F$137,$F$137,C104)</f>
        <v>617.20155564044137</v>
      </c>
      <c r="D141" s="307">
        <f t="shared" ref="D141:L141" si="49">IF(D104&gt;$F$137,$F$137,D104)</f>
        <v>617.20155564044137</v>
      </c>
      <c r="E141" s="307">
        <f t="shared" si="49"/>
        <v>617.20155564044137</v>
      </c>
      <c r="F141" s="307">
        <f t="shared" si="49"/>
        <v>617.20155564044137</v>
      </c>
      <c r="G141" s="307">
        <f t="shared" si="49"/>
        <v>617.20155564044137</v>
      </c>
      <c r="H141" s="307">
        <f t="shared" si="49"/>
        <v>617.20155564044137</v>
      </c>
      <c r="I141" s="307">
        <f t="shared" si="49"/>
        <v>617.20155564044137</v>
      </c>
      <c r="J141" s="307">
        <f t="shared" si="49"/>
        <v>617.20155564044137</v>
      </c>
      <c r="K141" s="307">
        <f t="shared" si="49"/>
        <v>617.20155564044137</v>
      </c>
      <c r="L141" s="307">
        <f t="shared" si="49"/>
        <v>617.20155564044137</v>
      </c>
    </row>
    <row r="143" spans="1:12">
      <c r="B143" s="76" t="s">
        <v>1210</v>
      </c>
      <c r="C143" s="309"/>
    </row>
    <row r="145" spans="1:12">
      <c r="B145" s="326"/>
      <c r="C145" s="326" t="str">
        <f t="shared" ref="C145:L145" si="50">C139</f>
        <v>2018/19</v>
      </c>
      <c r="D145" s="326" t="str">
        <f t="shared" si="50"/>
        <v>2019/20</v>
      </c>
      <c r="E145" s="326" t="str">
        <f t="shared" si="50"/>
        <v>2020/21</v>
      </c>
      <c r="F145" s="326" t="str">
        <f t="shared" si="50"/>
        <v>2021/22</v>
      </c>
      <c r="G145" s="326" t="str">
        <f t="shared" si="50"/>
        <v>2022/23</v>
      </c>
      <c r="H145" s="326" t="str">
        <f t="shared" si="50"/>
        <v>2023/24</v>
      </c>
      <c r="I145" s="326" t="str">
        <f t="shared" si="50"/>
        <v>2024/25</v>
      </c>
      <c r="J145" s="326" t="str">
        <f t="shared" si="50"/>
        <v>2025/26</v>
      </c>
      <c r="K145" s="326" t="str">
        <f t="shared" si="50"/>
        <v>2026/27</v>
      </c>
      <c r="L145" s="326" t="str">
        <f t="shared" si="50"/>
        <v>2027/28</v>
      </c>
    </row>
    <row r="146" spans="1:12">
      <c r="B146" s="233" t="s">
        <v>1211</v>
      </c>
      <c r="C146" s="851"/>
      <c r="D146" s="851"/>
      <c r="E146" s="851"/>
      <c r="F146" s="851"/>
      <c r="G146" s="851"/>
      <c r="H146" s="851"/>
      <c r="I146" s="851"/>
      <c r="J146" s="851"/>
      <c r="K146" s="851"/>
      <c r="L146" s="851"/>
    </row>
    <row r="147" spans="1:12">
      <c r="B147" s="326" t="str">
        <f>B103</f>
        <v xml:space="preserve">Modern Foreign Languages New to SF Sector </v>
      </c>
      <c r="C147" s="307">
        <f t="shared" ref="C147:L147" si="51">C103</f>
        <v>460.86811995289236</v>
      </c>
      <c r="D147" s="307">
        <f t="shared" si="51"/>
        <v>491.79622740279302</v>
      </c>
      <c r="E147" s="307">
        <f t="shared" si="51"/>
        <v>374.76672033722895</v>
      </c>
      <c r="F147" s="307">
        <f t="shared" si="51"/>
        <v>319.96931165019794</v>
      </c>
      <c r="G147" s="307">
        <f t="shared" si="51"/>
        <v>318.58428535934814</v>
      </c>
      <c r="H147" s="307">
        <f t="shared" si="51"/>
        <v>319.06242654639578</v>
      </c>
      <c r="I147" s="307">
        <f t="shared" si="51"/>
        <v>302.07353981448296</v>
      </c>
      <c r="J147" s="307">
        <f t="shared" si="51"/>
        <v>293.33450147507739</v>
      </c>
      <c r="K147" s="307">
        <f t="shared" si="51"/>
        <v>286.9881678096753</v>
      </c>
      <c r="L147" s="307">
        <f t="shared" si="51"/>
        <v>288.50675042516684</v>
      </c>
    </row>
    <row r="148" spans="1:12">
      <c r="B148" s="326" t="str">
        <f>B104</f>
        <v>Modern Foreign Languages Re-entrants</v>
      </c>
      <c r="C148" s="307">
        <f t="shared" ref="C148:L148" si="52">C104</f>
        <v>1093.4204587249478</v>
      </c>
      <c r="D148" s="307">
        <f t="shared" si="52"/>
        <v>1166.7981213821556</v>
      </c>
      <c r="E148" s="307">
        <f t="shared" si="52"/>
        <v>889.1428621876961</v>
      </c>
      <c r="F148" s="307">
        <f t="shared" si="52"/>
        <v>759.13472070540763</v>
      </c>
      <c r="G148" s="307">
        <f t="shared" si="52"/>
        <v>755.84871324096878</v>
      </c>
      <c r="H148" s="307">
        <f t="shared" si="52"/>
        <v>756.98311445780791</v>
      </c>
      <c r="I148" s="307">
        <f t="shared" si="52"/>
        <v>716.67658094116325</v>
      </c>
      <c r="J148" s="307">
        <f t="shared" si="52"/>
        <v>695.94300685306087</v>
      </c>
      <c r="K148" s="307">
        <f t="shared" si="52"/>
        <v>680.88618090390469</v>
      </c>
      <c r="L148" s="307">
        <f t="shared" si="52"/>
        <v>684.4890538911103</v>
      </c>
    </row>
    <row r="149" spans="1:12">
      <c r="B149" s="326" t="str">
        <f>B105</f>
        <v>Modern Foreign Languages NQTs</v>
      </c>
      <c r="C149" s="307">
        <f t="shared" ref="C149:L149" si="53">C105</f>
        <v>1568.332700469356</v>
      </c>
      <c r="D149" s="307">
        <f t="shared" si="53"/>
        <v>1673.5809486716121</v>
      </c>
      <c r="E149" s="307">
        <f t="shared" si="53"/>
        <v>1275.3299200053327</v>
      </c>
      <c r="F149" s="307">
        <f t="shared" si="53"/>
        <v>1088.8545179887237</v>
      </c>
      <c r="G149" s="307">
        <f t="shared" si="53"/>
        <v>1084.1412780640974</v>
      </c>
      <c r="H149" s="307">
        <f t="shared" si="53"/>
        <v>1085.7683909552313</v>
      </c>
      <c r="I149" s="307">
        <f t="shared" si="53"/>
        <v>1027.9552651331364</v>
      </c>
      <c r="J149" s="307">
        <f t="shared" si="53"/>
        <v>998.21634632975713</v>
      </c>
      <c r="K149" s="307">
        <f t="shared" si="53"/>
        <v>976.6197936835099</v>
      </c>
      <c r="L149" s="307">
        <f t="shared" si="53"/>
        <v>981.78752534280352</v>
      </c>
    </row>
    <row r="150" spans="1:12">
      <c r="B150" s="326" t="str">
        <f>B106</f>
        <v>Total</v>
      </c>
      <c r="C150" s="307">
        <f t="shared" ref="C150:L150" si="54">C106</f>
        <v>3122.6212791471962</v>
      </c>
      <c r="D150" s="307">
        <f t="shared" si="54"/>
        <v>3332.1752974565607</v>
      </c>
      <c r="E150" s="307">
        <f t="shared" si="54"/>
        <v>2539.2395025302576</v>
      </c>
      <c r="F150" s="307">
        <f t="shared" si="54"/>
        <v>2167.9585503443295</v>
      </c>
      <c r="G150" s="307">
        <f t="shared" si="54"/>
        <v>2158.5742766644144</v>
      </c>
      <c r="H150" s="307">
        <f t="shared" si="54"/>
        <v>2161.8139319594347</v>
      </c>
      <c r="I150" s="307">
        <f t="shared" si="54"/>
        <v>2046.7053858887825</v>
      </c>
      <c r="J150" s="307">
        <f t="shared" si="54"/>
        <v>1987.4938546578956</v>
      </c>
      <c r="K150" s="307">
        <f t="shared" si="54"/>
        <v>1944.4941423970899</v>
      </c>
      <c r="L150" s="307">
        <f t="shared" si="54"/>
        <v>1954.7833296590807</v>
      </c>
    </row>
    <row r="151" spans="1:12">
      <c r="B151" s="233" t="s">
        <v>1212</v>
      </c>
      <c r="C151" s="859"/>
      <c r="D151" s="859"/>
      <c r="E151" s="859"/>
      <c r="F151" s="859"/>
      <c r="G151" s="859"/>
      <c r="H151" s="859"/>
      <c r="I151" s="859"/>
      <c r="J151" s="859"/>
      <c r="K151" s="859"/>
      <c r="L151" s="859"/>
    </row>
    <row r="152" spans="1:12">
      <c r="B152" s="326" t="str">
        <f>B147</f>
        <v xml:space="preserve">Modern Foreign Languages New to SF Sector </v>
      </c>
      <c r="C152" s="459">
        <f>IF(C140&gt;0,C140,C147)</f>
        <v>254.68283777808733</v>
      </c>
      <c r="D152" s="459">
        <f t="shared" ref="D152:L152" si="55">IF(D140&gt;0,D140,D147)</f>
        <v>254.68283777808733</v>
      </c>
      <c r="E152" s="459">
        <f t="shared" si="55"/>
        <v>254.68283777808733</v>
      </c>
      <c r="F152" s="459">
        <f t="shared" si="55"/>
        <v>254.68283777808733</v>
      </c>
      <c r="G152" s="459">
        <f t="shared" si="55"/>
        <v>254.68283777808733</v>
      </c>
      <c r="H152" s="459">
        <f t="shared" si="55"/>
        <v>254.68283777808733</v>
      </c>
      <c r="I152" s="459">
        <f t="shared" si="55"/>
        <v>254.68283777808733</v>
      </c>
      <c r="J152" s="459">
        <f t="shared" si="55"/>
        <v>254.68283777808733</v>
      </c>
      <c r="K152" s="459">
        <f t="shared" si="55"/>
        <v>254.68283777808733</v>
      </c>
      <c r="L152" s="459">
        <f t="shared" si="55"/>
        <v>254.68283777808733</v>
      </c>
    </row>
    <row r="153" spans="1:12">
      <c r="B153" s="326" t="str">
        <f>B148</f>
        <v>Modern Foreign Languages Re-entrants</v>
      </c>
      <c r="C153" s="459">
        <f>IF(C141&gt;0,C141,C148)</f>
        <v>617.20155564044137</v>
      </c>
      <c r="D153" s="459">
        <f t="shared" ref="D153:L153" si="56">IF(D141&gt;0,D141,D148)</f>
        <v>617.20155564044137</v>
      </c>
      <c r="E153" s="459">
        <f t="shared" si="56"/>
        <v>617.20155564044137</v>
      </c>
      <c r="F153" s="459">
        <f t="shared" si="56"/>
        <v>617.20155564044137</v>
      </c>
      <c r="G153" s="459">
        <f t="shared" si="56"/>
        <v>617.20155564044137</v>
      </c>
      <c r="H153" s="459">
        <f t="shared" si="56"/>
        <v>617.20155564044137</v>
      </c>
      <c r="I153" s="459">
        <f t="shared" si="56"/>
        <v>617.20155564044137</v>
      </c>
      <c r="J153" s="459">
        <f t="shared" si="56"/>
        <v>617.20155564044137</v>
      </c>
      <c r="K153" s="459">
        <f t="shared" si="56"/>
        <v>617.20155564044137</v>
      </c>
      <c r="L153" s="459">
        <f t="shared" si="56"/>
        <v>617.20155564044137</v>
      </c>
    </row>
    <row r="154" spans="1:12">
      <c r="B154" s="326" t="str">
        <f>B149</f>
        <v>Modern Foreign Languages NQTs</v>
      </c>
      <c r="C154" s="459">
        <f>C149+(C147-C152)+(C148-C153)</f>
        <v>2250.7368857286674</v>
      </c>
      <c r="D154" s="459">
        <f t="shared" ref="D154:L154" si="57">D149+(D147-D152)+(D148-D153)</f>
        <v>2460.2909040380318</v>
      </c>
      <c r="E154" s="459">
        <f t="shared" si="57"/>
        <v>1667.355109111729</v>
      </c>
      <c r="F154" s="459">
        <f t="shared" si="57"/>
        <v>1296.0741569258005</v>
      </c>
      <c r="G154" s="459">
        <f t="shared" si="57"/>
        <v>1286.6898832458855</v>
      </c>
      <c r="H154" s="459">
        <f t="shared" si="57"/>
        <v>1289.9295385409064</v>
      </c>
      <c r="I154" s="459">
        <f t="shared" si="57"/>
        <v>1174.8209924702539</v>
      </c>
      <c r="J154" s="459">
        <f t="shared" si="57"/>
        <v>1115.6094612393667</v>
      </c>
      <c r="K154" s="459">
        <f t="shared" si="57"/>
        <v>1072.6097489785611</v>
      </c>
      <c r="L154" s="459">
        <f t="shared" si="57"/>
        <v>1082.8989362405518</v>
      </c>
    </row>
    <row r="155" spans="1:12">
      <c r="B155" s="326" t="str">
        <f>B150</f>
        <v>Total</v>
      </c>
      <c r="C155" s="860">
        <f>SUM(C152:C154)</f>
        <v>3122.6212791471962</v>
      </c>
      <c r="D155" s="459">
        <f t="shared" ref="D155:L155" si="58">SUM(D152:D154)</f>
        <v>3332.1752974565607</v>
      </c>
      <c r="E155" s="459">
        <f t="shared" si="58"/>
        <v>2539.2395025302576</v>
      </c>
      <c r="F155" s="459">
        <f t="shared" si="58"/>
        <v>2167.9585503443291</v>
      </c>
      <c r="G155" s="459">
        <f t="shared" si="58"/>
        <v>2158.5742766644144</v>
      </c>
      <c r="H155" s="459">
        <f t="shared" si="58"/>
        <v>2161.8139319594352</v>
      </c>
      <c r="I155" s="459">
        <f t="shared" si="58"/>
        <v>2046.7053858887825</v>
      </c>
      <c r="J155" s="459">
        <f t="shared" si="58"/>
        <v>1987.4938546578956</v>
      </c>
      <c r="K155" s="459">
        <f t="shared" si="58"/>
        <v>1944.4941423970899</v>
      </c>
      <c r="L155" s="459">
        <f t="shared" si="58"/>
        <v>1954.7833296590807</v>
      </c>
    </row>
    <row r="156" spans="1:12">
      <c r="A156" s="309">
        <f>SUM(C156:L156)</f>
        <v>0</v>
      </c>
      <c r="C156" s="329">
        <f>C155-C150</f>
        <v>0</v>
      </c>
      <c r="D156" s="329">
        <f t="shared" ref="D156:L156" si="59">D155-D150</f>
        <v>0</v>
      </c>
      <c r="E156" s="329">
        <f t="shared" si="59"/>
        <v>0</v>
      </c>
      <c r="F156" s="329">
        <f t="shared" si="59"/>
        <v>0</v>
      </c>
      <c r="G156" s="329">
        <f t="shared" si="59"/>
        <v>0</v>
      </c>
      <c r="H156" s="329">
        <f t="shared" si="59"/>
        <v>0</v>
      </c>
      <c r="I156" s="329">
        <f t="shared" si="59"/>
        <v>0</v>
      </c>
      <c r="J156" s="329">
        <f t="shared" si="59"/>
        <v>0</v>
      </c>
      <c r="K156" s="329">
        <f t="shared" si="59"/>
        <v>0</v>
      </c>
      <c r="L156" s="329">
        <f t="shared" si="59"/>
        <v>0</v>
      </c>
    </row>
    <row r="158" spans="1:12">
      <c r="B158" s="8" t="s">
        <v>1215</v>
      </c>
      <c r="C158" s="655" t="b">
        <f>IF(C154=C149,FALSE, TRUE)</f>
        <v>1</v>
      </c>
      <c r="D158" s="655" t="b">
        <f t="shared" ref="D158:L158" si="60">IF(D154=D149,FALSE, TRUE)</f>
        <v>1</v>
      </c>
      <c r="E158" s="655" t="b">
        <f t="shared" si="60"/>
        <v>1</v>
      </c>
      <c r="F158" s="655" t="b">
        <f t="shared" si="60"/>
        <v>1</v>
      </c>
      <c r="G158" s="655" t="b">
        <f t="shared" si="60"/>
        <v>1</v>
      </c>
      <c r="H158" s="655" t="b">
        <f t="shared" si="60"/>
        <v>1</v>
      </c>
      <c r="I158" s="655" t="b">
        <f t="shared" si="60"/>
        <v>1</v>
      </c>
      <c r="J158" s="655" t="b">
        <f t="shared" si="60"/>
        <v>1</v>
      </c>
      <c r="K158" s="655" t="b">
        <f t="shared" si="60"/>
        <v>1</v>
      </c>
      <c r="L158" s="655" t="b">
        <f t="shared" si="60"/>
        <v>1</v>
      </c>
    </row>
  </sheetData>
  <mergeCells count="4">
    <mergeCell ref="D17:L18"/>
    <mergeCell ref="B46:L47"/>
    <mergeCell ref="J50:J52"/>
    <mergeCell ref="A5:M5"/>
  </mergeCells>
  <conditionalFormatting sqref="C158:L158">
    <cfRule type="cellIs" dxfId="1" priority="1" stopIfTrue="1" operator="equal">
      <formula>TRUE</formula>
    </cfRule>
    <cfRule type="cellIs" dxfId="0" priority="2" stopIfTrue="1" operator="equal">
      <formula>FALSE</formula>
    </cfRule>
  </conditionalFormatting>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8.15" customHeight="1">
      <c r="A5" s="1100" t="s">
        <v>1724</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SUM(A12:A1875)</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OUTPUTS_FOR_SECTION_2_OF_MODEL!B79</f>
        <v>Music</v>
      </c>
      <c r="C15" s="307">
        <f>OUTPUTS_FOR_SECTION_2_OF_MODEL!E79</f>
        <v>572.59936089012535</v>
      </c>
      <c r="D15" s="307">
        <f>OUTPUTS_FOR_SECTION_2_OF_MODEL!F79</f>
        <v>592.16071758430417</v>
      </c>
      <c r="E15" s="307">
        <f>OUTPUTS_FOR_SECTION_2_OF_MODEL!G79</f>
        <v>583.48353399109374</v>
      </c>
      <c r="F15" s="307">
        <f>OUTPUTS_FOR_SECTION_2_OF_MODEL!H79</f>
        <v>573.27595593338151</v>
      </c>
      <c r="G15" s="307">
        <f>OUTPUTS_FOR_SECTION_2_OF_MODEL!I79</f>
        <v>567.32244580792019</v>
      </c>
      <c r="H15" s="307">
        <f>OUTPUTS_FOR_SECTION_2_OF_MODEL!J79</f>
        <v>588.9684862115779</v>
      </c>
      <c r="I15" s="307">
        <f>OUTPUTS_FOR_SECTION_2_OF_MODEL!K79</f>
        <v>557.81099730005849</v>
      </c>
      <c r="J15" s="307">
        <f>OUTPUTS_FOR_SECTION_2_OF_MODEL!L79</f>
        <v>522.11676448490664</v>
      </c>
      <c r="K15" s="307">
        <f>OUTPUTS_FOR_SECTION_2_OF_MODEL!M79</f>
        <v>508.07188932545034</v>
      </c>
      <c r="L15" s="307">
        <f>OUTPUTS_FOR_SECTION_2_OF_MODEL!N79</f>
        <v>541.22773670326114</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533.09000498870671</v>
      </c>
      <c r="D44" s="459">
        <f t="shared" si="4"/>
        <v>551.30162807098725</v>
      </c>
      <c r="E44" s="459">
        <f t="shared" si="4"/>
        <v>543.22317014570831</v>
      </c>
      <c r="F44" s="459">
        <f t="shared" si="4"/>
        <v>533.71991497397823</v>
      </c>
      <c r="G44" s="459">
        <f t="shared" si="4"/>
        <v>528.17719704717376</v>
      </c>
      <c r="H44" s="459">
        <f t="shared" si="4"/>
        <v>548.32966066297899</v>
      </c>
      <c r="I44" s="459">
        <f t="shared" si="4"/>
        <v>519.32203848635447</v>
      </c>
      <c r="J44" s="459">
        <f t="shared" si="4"/>
        <v>486.09070773544812</v>
      </c>
      <c r="K44" s="459">
        <f t="shared" si="4"/>
        <v>473.01492896199431</v>
      </c>
      <c r="L44" s="459">
        <f t="shared" si="4"/>
        <v>503.88302287073617</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5.6407266121437454</v>
      </c>
      <c r="D57" s="459">
        <f t="shared" ref="D57:L57" si="7">D44/$J$50</f>
        <v>5.8334272555796085</v>
      </c>
      <c r="E57" s="459">
        <f t="shared" si="7"/>
        <v>5.7479475576340997</v>
      </c>
      <c r="F57" s="459">
        <f t="shared" si="7"/>
        <v>5.6473918093598359</v>
      </c>
      <c r="G57" s="459">
        <f t="shared" si="7"/>
        <v>5.5887432580443885</v>
      </c>
      <c r="H57" s="459">
        <f t="shared" si="7"/>
        <v>5.8019803038605815</v>
      </c>
      <c r="I57" s="459">
        <f t="shared" si="7"/>
        <v>5.4950451431269576</v>
      </c>
      <c r="J57" s="459">
        <f t="shared" si="7"/>
        <v>5.1434181196048048</v>
      </c>
      <c r="K57" s="459">
        <f t="shared" si="7"/>
        <v>5.0050608204401215</v>
      </c>
      <c r="L57" s="459">
        <f t="shared" si="7"/>
        <v>5.3316819859989861</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5.6407266121437454</v>
      </c>
      <c r="D98" s="459">
        <f t="shared" ref="D98:L98" si="33">D57</f>
        <v>5.8334272555796085</v>
      </c>
      <c r="E98" s="459">
        <f t="shared" si="33"/>
        <v>5.7479475576340997</v>
      </c>
      <c r="F98" s="459">
        <f t="shared" si="33"/>
        <v>5.6473918093598359</v>
      </c>
      <c r="G98" s="459">
        <f t="shared" si="33"/>
        <v>5.5887432580443885</v>
      </c>
      <c r="H98" s="459">
        <f t="shared" si="33"/>
        <v>5.8019803038605815</v>
      </c>
      <c r="I98" s="459">
        <f t="shared" si="33"/>
        <v>5.4950451431269576</v>
      </c>
      <c r="J98" s="459">
        <f t="shared" si="33"/>
        <v>5.1434181196048048</v>
      </c>
      <c r="K98" s="459">
        <f t="shared" si="33"/>
        <v>5.0050608204401215</v>
      </c>
      <c r="L98" s="459">
        <f t="shared" si="33"/>
        <v>5.3316819859989861</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873</v>
      </c>
      <c r="C103" s="459">
        <f t="shared" ref="C103:L103" si="35">C65*C$98</f>
        <v>83.251564519438247</v>
      </c>
      <c r="D103" s="459">
        <f t="shared" si="35"/>
        <v>86.0956360642992</v>
      </c>
      <c r="E103" s="459">
        <f t="shared" si="35"/>
        <v>84.834039983168083</v>
      </c>
      <c r="F103" s="459">
        <f t="shared" si="35"/>
        <v>83.349936260212829</v>
      </c>
      <c r="G103" s="459">
        <f t="shared" si="35"/>
        <v>82.484341454873743</v>
      </c>
      <c r="H103" s="459">
        <f t="shared" si="35"/>
        <v>85.631510055366235</v>
      </c>
      <c r="I103" s="459">
        <f t="shared" si="35"/>
        <v>81.101449640438929</v>
      </c>
      <c r="J103" s="459">
        <f t="shared" si="35"/>
        <v>75.911781385198452</v>
      </c>
      <c r="K103" s="459">
        <f t="shared" si="35"/>
        <v>73.869764033507252</v>
      </c>
      <c r="L103" s="459">
        <f t="shared" si="35"/>
        <v>78.690370474421755</v>
      </c>
    </row>
    <row r="104" spans="1:12">
      <c r="A104" s="309"/>
      <c r="B104" s="326" t="s">
        <v>874</v>
      </c>
      <c r="C104" s="459">
        <f t="shared" ref="C104:L104" si="36">C76*C$98</f>
        <v>197.5162957153953</v>
      </c>
      <c r="D104" s="459">
        <f t="shared" si="36"/>
        <v>204.26392237602505</v>
      </c>
      <c r="E104" s="459">
        <f t="shared" si="36"/>
        <v>201.27075598843243</v>
      </c>
      <c r="F104" s="459">
        <f t="shared" si="36"/>
        <v>197.74968498505083</v>
      </c>
      <c r="G104" s="459">
        <f t="shared" si="36"/>
        <v>195.6960409421074</v>
      </c>
      <c r="H104" s="459">
        <f t="shared" si="36"/>
        <v>203.1627724990374</v>
      </c>
      <c r="I104" s="459">
        <f t="shared" si="36"/>
        <v>192.4150975731869</v>
      </c>
      <c r="J104" s="459">
        <f t="shared" si="36"/>
        <v>180.10248752575001</v>
      </c>
      <c r="K104" s="459">
        <f t="shared" si="36"/>
        <v>175.25775331059378</v>
      </c>
      <c r="L104" s="459">
        <f t="shared" si="36"/>
        <v>186.69475551959002</v>
      </c>
    </row>
    <row r="105" spans="1:12">
      <c r="A105" s="309"/>
      <c r="B105" s="326" t="s">
        <v>875</v>
      </c>
      <c r="C105" s="459">
        <f t="shared" ref="C105:L105" si="37">C87*C$98</f>
        <v>283.30480097954103</v>
      </c>
      <c r="D105" s="459">
        <f t="shared" si="37"/>
        <v>292.98316711763658</v>
      </c>
      <c r="E105" s="459">
        <f t="shared" si="37"/>
        <v>288.68995979180949</v>
      </c>
      <c r="F105" s="459">
        <f t="shared" si="37"/>
        <v>283.63955969071992</v>
      </c>
      <c r="G105" s="459">
        <f t="shared" si="37"/>
        <v>280.69394340745771</v>
      </c>
      <c r="H105" s="459">
        <f t="shared" si="37"/>
        <v>291.40374783165453</v>
      </c>
      <c r="I105" s="459">
        <f t="shared" si="37"/>
        <v>275.98796709906992</v>
      </c>
      <c r="J105" s="459">
        <f t="shared" si="37"/>
        <v>258.32754304953204</v>
      </c>
      <c r="K105" s="459">
        <f t="shared" si="37"/>
        <v>251.3785646999111</v>
      </c>
      <c r="L105" s="459">
        <f t="shared" si="37"/>
        <v>267.78307260588684</v>
      </c>
    </row>
    <row r="106" spans="1:12">
      <c r="A106" s="309"/>
      <c r="B106" s="326" t="s">
        <v>8</v>
      </c>
      <c r="C106" s="459">
        <f>SUM(C103:C105)</f>
        <v>564.07266121437465</v>
      </c>
      <c r="D106" s="459">
        <f t="shared" ref="D106:L106" si="38">SUM(D103:D105)</f>
        <v>583.34272555796088</v>
      </c>
      <c r="E106" s="459">
        <f t="shared" si="38"/>
        <v>574.79475576340997</v>
      </c>
      <c r="F106" s="459">
        <f t="shared" si="38"/>
        <v>564.73918093598354</v>
      </c>
      <c r="G106" s="459">
        <f t="shared" si="38"/>
        <v>558.87432580443885</v>
      </c>
      <c r="H106" s="459">
        <f t="shared" si="38"/>
        <v>580.19803038605824</v>
      </c>
      <c r="I106" s="459">
        <f t="shared" si="38"/>
        <v>549.50451431269573</v>
      </c>
      <c r="J106" s="459">
        <f t="shared" si="38"/>
        <v>514.34181196048053</v>
      </c>
      <c r="K106" s="459">
        <f t="shared" si="38"/>
        <v>500.50608204401215</v>
      </c>
      <c r="L106" s="459">
        <f t="shared" si="38"/>
        <v>533.16819859989869</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564.07266121437465</v>
      </c>
      <c r="D111" s="700">
        <f t="shared" ref="D111:L111" si="39">D106</f>
        <v>583.34272555796088</v>
      </c>
      <c r="E111" s="700">
        <f t="shared" si="39"/>
        <v>574.79475576340997</v>
      </c>
      <c r="F111" s="700">
        <f t="shared" si="39"/>
        <v>564.73918093598354</v>
      </c>
      <c r="G111" s="700">
        <f t="shared" si="39"/>
        <v>558.87432580443885</v>
      </c>
      <c r="H111" s="700">
        <f t="shared" si="39"/>
        <v>580.19803038605824</v>
      </c>
      <c r="I111" s="700">
        <f t="shared" si="39"/>
        <v>549.50451431269573</v>
      </c>
      <c r="J111" s="700">
        <f t="shared" si="39"/>
        <v>514.34181196048053</v>
      </c>
      <c r="K111" s="700">
        <f t="shared" si="39"/>
        <v>500.50608204401215</v>
      </c>
      <c r="L111" s="700">
        <f t="shared" si="39"/>
        <v>533.16819859989869</v>
      </c>
    </row>
    <row r="112" spans="1:12">
      <c r="A112" s="309"/>
      <c r="B112" s="700" t="s">
        <v>804</v>
      </c>
      <c r="C112" s="700">
        <f t="shared" ref="C112:L112" si="40">((C67+C78+C89)/100)*C111</f>
        <v>81.106429910125286</v>
      </c>
      <c r="D112" s="700">
        <f t="shared" si="40"/>
        <v>83.877218552286934</v>
      </c>
      <c r="E112" s="700">
        <f t="shared" si="40"/>
        <v>82.64812988927136</v>
      </c>
      <c r="F112" s="700">
        <f t="shared" si="40"/>
        <v>81.202266916244326</v>
      </c>
      <c r="G112" s="700">
        <f t="shared" si="40"/>
        <v>80.358975804358863</v>
      </c>
      <c r="H112" s="700">
        <f t="shared" si="40"/>
        <v>83.425051631097148</v>
      </c>
      <c r="I112" s="700">
        <f t="shared" si="40"/>
        <v>79.011716822882832</v>
      </c>
      <c r="J112" s="700">
        <f t="shared" si="40"/>
        <v>73.95577022259782</v>
      </c>
      <c r="K112" s="700">
        <f t="shared" si="40"/>
        <v>71.96636932465394</v>
      </c>
      <c r="L112" s="700">
        <f t="shared" si="40"/>
        <v>76.662763688906892</v>
      </c>
    </row>
    <row r="113" spans="1:12">
      <c r="A113" s="309"/>
      <c r="B113" s="700" t="s">
        <v>805</v>
      </c>
      <c r="C113" s="700">
        <f t="shared" ref="C113:L113" si="41">((C66+C77+C88)/100)*C111</f>
        <v>482.96623130424933</v>
      </c>
      <c r="D113" s="700">
        <f t="shared" si="41"/>
        <v>499.46550700567389</v>
      </c>
      <c r="E113" s="700">
        <f t="shared" si="41"/>
        <v>492.14662587413858</v>
      </c>
      <c r="F113" s="700">
        <f t="shared" si="41"/>
        <v>483.53691401973919</v>
      </c>
      <c r="G113" s="700">
        <f t="shared" si="41"/>
        <v>478.51535000007999</v>
      </c>
      <c r="H113" s="700">
        <f t="shared" si="41"/>
        <v>496.77297875496106</v>
      </c>
      <c r="I113" s="700">
        <f t="shared" si="41"/>
        <v>470.49279748981286</v>
      </c>
      <c r="J113" s="700">
        <f t="shared" si="41"/>
        <v>440.38604173788269</v>
      </c>
      <c r="K113" s="700">
        <f t="shared" si="41"/>
        <v>428.53971271935819</v>
      </c>
      <c r="L113" s="700">
        <f t="shared" si="41"/>
        <v>456.50543491099177</v>
      </c>
    </row>
    <row r="114" spans="1:12">
      <c r="A114" s="309"/>
      <c r="B114" s="700" t="s">
        <v>799</v>
      </c>
      <c r="C114" s="700">
        <f>C112*$C$39</f>
        <v>50.123773684457426</v>
      </c>
      <c r="D114" s="700">
        <f t="shared" ref="D114:L114" si="42">D112*$C$39</f>
        <v>51.836121065313321</v>
      </c>
      <c r="E114" s="700">
        <f t="shared" si="42"/>
        <v>51.076544271569702</v>
      </c>
      <c r="F114" s="700">
        <f t="shared" si="42"/>
        <v>50.183000954238992</v>
      </c>
      <c r="G114" s="700">
        <f t="shared" si="42"/>
        <v>49.661847047093779</v>
      </c>
      <c r="H114" s="700">
        <f t="shared" si="42"/>
        <v>51.556681908018035</v>
      </c>
      <c r="I114" s="700">
        <f t="shared" si="42"/>
        <v>48.829240996541593</v>
      </c>
      <c r="J114" s="700">
        <f t="shared" si="42"/>
        <v>45.704665997565449</v>
      </c>
      <c r="K114" s="700">
        <f t="shared" si="42"/>
        <v>44.475216242636137</v>
      </c>
      <c r="L114" s="700">
        <f t="shared" si="42"/>
        <v>47.37758795974446</v>
      </c>
    </row>
    <row r="115" spans="1:12">
      <c r="A115" s="309"/>
      <c r="B115" s="700" t="s">
        <v>800</v>
      </c>
      <c r="C115" s="700">
        <f>C113</f>
        <v>482.96623130424933</v>
      </c>
      <c r="D115" s="700">
        <f t="shared" ref="D115:L115" si="43">D113</f>
        <v>499.46550700567389</v>
      </c>
      <c r="E115" s="700">
        <f t="shared" si="43"/>
        <v>492.14662587413858</v>
      </c>
      <c r="F115" s="700">
        <f t="shared" si="43"/>
        <v>483.53691401973919</v>
      </c>
      <c r="G115" s="700">
        <f t="shared" si="43"/>
        <v>478.51535000007999</v>
      </c>
      <c r="H115" s="700">
        <f t="shared" si="43"/>
        <v>496.77297875496106</v>
      </c>
      <c r="I115" s="700">
        <f t="shared" si="43"/>
        <v>470.49279748981286</v>
      </c>
      <c r="J115" s="700">
        <f t="shared" si="43"/>
        <v>440.38604173788269</v>
      </c>
      <c r="K115" s="700">
        <f t="shared" si="43"/>
        <v>428.53971271935819</v>
      </c>
      <c r="L115" s="700">
        <f t="shared" si="43"/>
        <v>456.50543491099177</v>
      </c>
    </row>
    <row r="116" spans="1:12">
      <c r="A116" s="309"/>
      <c r="B116" s="700" t="s">
        <v>724</v>
      </c>
      <c r="C116" s="700">
        <f>C115+C114</f>
        <v>533.09000498870671</v>
      </c>
      <c r="D116" s="700">
        <f t="shared" ref="D116:L116" si="44">D115+D114</f>
        <v>551.30162807098725</v>
      </c>
      <c r="E116" s="700">
        <f t="shared" si="44"/>
        <v>543.22317014570831</v>
      </c>
      <c r="F116" s="700">
        <f t="shared" si="44"/>
        <v>533.71991497397812</v>
      </c>
      <c r="G116" s="700">
        <f t="shared" si="44"/>
        <v>528.17719704717376</v>
      </c>
      <c r="H116" s="700">
        <f t="shared" si="44"/>
        <v>548.32966066297911</v>
      </c>
      <c r="I116" s="700">
        <f t="shared" si="44"/>
        <v>519.32203848635447</v>
      </c>
      <c r="J116" s="700">
        <f t="shared" si="44"/>
        <v>486.09070773544812</v>
      </c>
      <c r="K116" s="700">
        <f t="shared" si="44"/>
        <v>473.01492896199431</v>
      </c>
      <c r="L116" s="700">
        <f t="shared" si="44"/>
        <v>503.88302287073623</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 customHeight="1">
      <c r="A5" s="1100" t="s">
        <v>1725</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SUM(A12:A1873)</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OUTPUTS_FOR_SECTION_2_OF_MODEL!B80</f>
        <v>Others</v>
      </c>
      <c r="C15" s="307">
        <f>OUTPUTS_FOR_SECTION_2_OF_MODEL!E80</f>
        <v>1185.3582393233153</v>
      </c>
      <c r="D15" s="307">
        <f>OUTPUTS_FOR_SECTION_2_OF_MODEL!F80</f>
        <v>976.81158309329089</v>
      </c>
      <c r="E15" s="307">
        <f>OUTPUTS_FOR_SECTION_2_OF_MODEL!G80</f>
        <v>1246.1324373362588</v>
      </c>
      <c r="F15" s="307">
        <f>OUTPUTS_FOR_SECTION_2_OF_MODEL!H80</f>
        <v>1453.4041357684314</v>
      </c>
      <c r="G15" s="307">
        <f>OUTPUTS_FOR_SECTION_2_OF_MODEL!I80</f>
        <v>1534.617368578306</v>
      </c>
      <c r="H15" s="307">
        <f>OUTPUTS_FOR_SECTION_2_OF_MODEL!J80</f>
        <v>1533.1794714305215</v>
      </c>
      <c r="I15" s="307">
        <f>OUTPUTS_FOR_SECTION_2_OF_MODEL!K80</f>
        <v>1557.5545323627464</v>
      </c>
      <c r="J15" s="307">
        <f>OUTPUTS_FOR_SECTION_2_OF_MODEL!L80</f>
        <v>1542.6215110310686</v>
      </c>
      <c r="K15" s="307">
        <f>OUTPUTS_FOR_SECTION_2_OF_MODEL!M80</f>
        <v>1536.1819899927011</v>
      </c>
      <c r="L15" s="307">
        <f>OUTPUTS_FOR_SECTION_2_OF_MODEL!N80</f>
        <v>1520.0108002949419</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1103.5685208100065</v>
      </c>
      <c r="D44" s="459">
        <f t="shared" si="4"/>
        <v>909.41158385985386</v>
      </c>
      <c r="E44" s="459">
        <f t="shared" si="4"/>
        <v>1160.1492991600571</v>
      </c>
      <c r="F44" s="459">
        <f t="shared" si="4"/>
        <v>1353.1192504004098</v>
      </c>
      <c r="G44" s="459">
        <f t="shared" si="4"/>
        <v>1428.7287701464029</v>
      </c>
      <c r="H44" s="459">
        <f t="shared" si="4"/>
        <v>1427.3900879018156</v>
      </c>
      <c r="I44" s="459">
        <f t="shared" si="4"/>
        <v>1450.0832696297171</v>
      </c>
      <c r="J44" s="459">
        <f t="shared" si="4"/>
        <v>1436.1806267699249</v>
      </c>
      <c r="K44" s="459">
        <f t="shared" si="4"/>
        <v>1430.1854326832049</v>
      </c>
      <c r="L44" s="459">
        <f t="shared" si="4"/>
        <v>1415.1300550745909</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11.677068159979823</v>
      </c>
      <c r="D57" s="459">
        <f t="shared" ref="D57:L57" si="7">D44/$J$50</f>
        <v>9.6226567267543182</v>
      </c>
      <c r="E57" s="459">
        <f t="shared" si="7"/>
        <v>12.275760124166432</v>
      </c>
      <c r="F57" s="459">
        <f t="shared" si="7"/>
        <v>14.317611836108766</v>
      </c>
      <c r="G57" s="459">
        <f t="shared" si="7"/>
        <v>15.117650527833376</v>
      </c>
      <c r="H57" s="459">
        <f t="shared" si="7"/>
        <v>15.103485676698329</v>
      </c>
      <c r="I57" s="459">
        <f t="shared" si="7"/>
        <v>15.343606543510489</v>
      </c>
      <c r="J57" s="459">
        <f t="shared" si="7"/>
        <v>15.196500038371603</v>
      </c>
      <c r="K57" s="459">
        <f t="shared" si="7"/>
        <v>15.13306375085268</v>
      </c>
      <c r="L57" s="459">
        <f t="shared" si="7"/>
        <v>14.973759940355274</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11.677068159979823</v>
      </c>
      <c r="D98" s="459">
        <f t="shared" ref="D98:L98" si="33">D57</f>
        <v>9.6226567267543182</v>
      </c>
      <c r="E98" s="459">
        <f t="shared" si="33"/>
        <v>12.275760124166432</v>
      </c>
      <c r="F98" s="459">
        <f t="shared" si="33"/>
        <v>14.317611836108766</v>
      </c>
      <c r="G98" s="459">
        <f t="shared" si="33"/>
        <v>15.117650527833376</v>
      </c>
      <c r="H98" s="459">
        <f t="shared" si="33"/>
        <v>15.103485676698329</v>
      </c>
      <c r="I98" s="459">
        <f t="shared" si="33"/>
        <v>15.343606543510489</v>
      </c>
      <c r="J98" s="459">
        <f t="shared" si="33"/>
        <v>15.196500038371603</v>
      </c>
      <c r="K98" s="459">
        <f t="shared" si="33"/>
        <v>15.13306375085268</v>
      </c>
      <c r="L98" s="459">
        <f t="shared" si="33"/>
        <v>14.973759940355274</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876</v>
      </c>
      <c r="C103" s="459">
        <f t="shared" ref="C103:L103" si="35">C65*C$98</f>
        <v>172.34201551721381</v>
      </c>
      <c r="D103" s="459">
        <f t="shared" si="35"/>
        <v>142.02092787321538</v>
      </c>
      <c r="E103" s="459">
        <f t="shared" si="35"/>
        <v>181.1781187554823</v>
      </c>
      <c r="F103" s="459">
        <f t="shared" si="35"/>
        <v>211.31383729392948</v>
      </c>
      <c r="G103" s="459">
        <f t="shared" si="35"/>
        <v>223.12161975563711</v>
      </c>
      <c r="H103" s="459">
        <f t="shared" si="35"/>
        <v>222.91256051570889</v>
      </c>
      <c r="I103" s="459">
        <f t="shared" si="35"/>
        <v>226.45650781371111</v>
      </c>
      <c r="J103" s="459">
        <f t="shared" si="35"/>
        <v>224.2853608062612</v>
      </c>
      <c r="K103" s="459">
        <f t="shared" si="35"/>
        <v>223.34910373400996</v>
      </c>
      <c r="L103" s="459">
        <f t="shared" si="35"/>
        <v>220.99793652280968</v>
      </c>
    </row>
    <row r="104" spans="1:12">
      <c r="A104" s="309"/>
      <c r="B104" s="326" t="s">
        <v>877</v>
      </c>
      <c r="C104" s="459">
        <f t="shared" ref="C104:L104" si="36">C76*C$98</f>
        <v>408.88548698850258</v>
      </c>
      <c r="D104" s="459">
        <f t="shared" si="36"/>
        <v>336.94799310385525</v>
      </c>
      <c r="E104" s="459">
        <f t="shared" si="36"/>
        <v>429.84934983307534</v>
      </c>
      <c r="F104" s="459">
        <f t="shared" si="36"/>
        <v>501.34705115310356</v>
      </c>
      <c r="G104" s="459">
        <f t="shared" si="36"/>
        <v>529.36129287831648</v>
      </c>
      <c r="H104" s="459">
        <f t="shared" si="36"/>
        <v>528.8652949124637</v>
      </c>
      <c r="I104" s="459">
        <f t="shared" si="36"/>
        <v>537.27339326536071</v>
      </c>
      <c r="J104" s="459">
        <f t="shared" si="36"/>
        <v>532.12229590352138</v>
      </c>
      <c r="K104" s="459">
        <f t="shared" si="36"/>
        <v>529.90100396965954</v>
      </c>
      <c r="L104" s="459">
        <f t="shared" si="36"/>
        <v>524.32280443858235</v>
      </c>
    </row>
    <row r="105" spans="1:12">
      <c r="A105" s="309"/>
      <c r="B105" s="326" t="s">
        <v>878</v>
      </c>
      <c r="C105" s="459">
        <f t="shared" ref="C105:L105" si="37">C87*C$98</f>
        <v>586.47931349226599</v>
      </c>
      <c r="D105" s="459">
        <f t="shared" si="37"/>
        <v>483.29675169836116</v>
      </c>
      <c r="E105" s="459">
        <f t="shared" si="37"/>
        <v>616.5485438280856</v>
      </c>
      <c r="F105" s="459">
        <f t="shared" si="37"/>
        <v>719.10029516384361</v>
      </c>
      <c r="G105" s="459">
        <f t="shared" si="37"/>
        <v>759.28214014938408</v>
      </c>
      <c r="H105" s="459">
        <f t="shared" si="37"/>
        <v>758.57071224166032</v>
      </c>
      <c r="I105" s="459">
        <f t="shared" si="37"/>
        <v>770.63075327197714</v>
      </c>
      <c r="J105" s="459">
        <f t="shared" si="37"/>
        <v>763.2423471273778</v>
      </c>
      <c r="K105" s="459">
        <f t="shared" si="37"/>
        <v>760.05626738159845</v>
      </c>
      <c r="L105" s="459">
        <f t="shared" si="37"/>
        <v>752.05525307413541</v>
      </c>
    </row>
    <row r="106" spans="1:12">
      <c r="A106" s="309"/>
      <c r="B106" s="326" t="s">
        <v>8</v>
      </c>
      <c r="C106" s="459">
        <f>SUM(C103:C105)</f>
        <v>1167.7068159979824</v>
      </c>
      <c r="D106" s="459">
        <f t="shared" ref="D106:L106" si="38">SUM(D103:D105)</f>
        <v>962.2656726754318</v>
      </c>
      <c r="E106" s="459">
        <f t="shared" si="38"/>
        <v>1227.5760124166432</v>
      </c>
      <c r="F106" s="459">
        <f t="shared" si="38"/>
        <v>1431.7611836108767</v>
      </c>
      <c r="G106" s="459">
        <f t="shared" si="38"/>
        <v>1511.7650527833375</v>
      </c>
      <c r="H106" s="459">
        <f t="shared" si="38"/>
        <v>1510.3485676698328</v>
      </c>
      <c r="I106" s="459">
        <f t="shared" si="38"/>
        <v>1534.3606543510491</v>
      </c>
      <c r="J106" s="459">
        <f t="shared" si="38"/>
        <v>1519.6500038371605</v>
      </c>
      <c r="K106" s="459">
        <f t="shared" si="38"/>
        <v>1513.306375085268</v>
      </c>
      <c r="L106" s="459">
        <f t="shared" si="38"/>
        <v>1497.3759940355276</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1167.7068159979824</v>
      </c>
      <c r="D111" s="700">
        <f t="shared" ref="D111:L111" si="39">D106</f>
        <v>962.2656726754318</v>
      </c>
      <c r="E111" s="700">
        <f t="shared" si="39"/>
        <v>1227.5760124166432</v>
      </c>
      <c r="F111" s="700">
        <f t="shared" si="39"/>
        <v>1431.7611836108767</v>
      </c>
      <c r="G111" s="700">
        <f t="shared" si="39"/>
        <v>1511.7650527833375</v>
      </c>
      <c r="H111" s="700">
        <f t="shared" si="39"/>
        <v>1510.3485676698328</v>
      </c>
      <c r="I111" s="700">
        <f t="shared" si="39"/>
        <v>1534.3606543510491</v>
      </c>
      <c r="J111" s="700">
        <f t="shared" si="39"/>
        <v>1519.6500038371605</v>
      </c>
      <c r="K111" s="700">
        <f t="shared" si="39"/>
        <v>1513.306375085268</v>
      </c>
      <c r="L111" s="700">
        <f t="shared" si="39"/>
        <v>1497.3759940355276</v>
      </c>
    </row>
    <row r="112" spans="1:12">
      <c r="A112" s="309"/>
      <c r="B112" s="700" t="s">
        <v>804</v>
      </c>
      <c r="C112" s="700">
        <f t="shared" ref="C112:L112" si="40">((C67+C78+C89)/100)*C111</f>
        <v>167.90129630360181</v>
      </c>
      <c r="D112" s="700">
        <f t="shared" si="40"/>
        <v>138.36148904601544</v>
      </c>
      <c r="E112" s="700">
        <f t="shared" si="40"/>
        <v>176.50972056697913</v>
      </c>
      <c r="F112" s="700">
        <f t="shared" si="40"/>
        <v>205.86893510593401</v>
      </c>
      <c r="G112" s="700">
        <f t="shared" si="40"/>
        <v>217.37246763595493</v>
      </c>
      <c r="H112" s="700">
        <f t="shared" si="40"/>
        <v>217.16879520423333</v>
      </c>
      <c r="I112" s="700">
        <f t="shared" si="40"/>
        <v>220.62142597207296</v>
      </c>
      <c r="J112" s="700">
        <f t="shared" si="40"/>
        <v>218.506222689098</v>
      </c>
      <c r="K112" s="700">
        <f t="shared" si="40"/>
        <v>217.59409005775657</v>
      </c>
      <c r="L112" s="700">
        <f t="shared" si="40"/>
        <v>215.30350513334147</v>
      </c>
    </row>
    <row r="113" spans="1:12">
      <c r="A113" s="309"/>
      <c r="B113" s="700" t="s">
        <v>805</v>
      </c>
      <c r="C113" s="700">
        <f t="shared" ref="C113:L113" si="41">((C66+C77+C88)/100)*C111</f>
        <v>999.80551969438056</v>
      </c>
      <c r="D113" s="700">
        <f t="shared" si="41"/>
        <v>823.90418362941637</v>
      </c>
      <c r="E113" s="700">
        <f t="shared" si="41"/>
        <v>1051.0662918496639</v>
      </c>
      <c r="F113" s="700">
        <f t="shared" si="41"/>
        <v>1225.8922485049427</v>
      </c>
      <c r="G113" s="700">
        <f t="shared" si="41"/>
        <v>1294.3925851473825</v>
      </c>
      <c r="H113" s="700">
        <f t="shared" si="41"/>
        <v>1293.1797724655994</v>
      </c>
      <c r="I113" s="700">
        <f t="shared" si="41"/>
        <v>1313.7392283789761</v>
      </c>
      <c r="J113" s="700">
        <f t="shared" si="41"/>
        <v>1301.1437811480623</v>
      </c>
      <c r="K113" s="700">
        <f t="shared" si="41"/>
        <v>1295.7122850275114</v>
      </c>
      <c r="L113" s="700">
        <f t="shared" si="41"/>
        <v>1282.072488902186</v>
      </c>
    </row>
    <row r="114" spans="1:12">
      <c r="A114" s="309"/>
      <c r="B114" s="700" t="s">
        <v>799</v>
      </c>
      <c r="C114" s="700">
        <f>C112*$C$39</f>
        <v>103.76300111562591</v>
      </c>
      <c r="D114" s="700">
        <f t="shared" ref="D114:L114" si="42">D112*$C$39</f>
        <v>85.50740023043754</v>
      </c>
      <c r="E114" s="700">
        <f t="shared" si="42"/>
        <v>109.0830073103931</v>
      </c>
      <c r="F114" s="700">
        <f t="shared" si="42"/>
        <v>127.22700189546723</v>
      </c>
      <c r="G114" s="700">
        <f t="shared" si="42"/>
        <v>134.33618499902013</v>
      </c>
      <c r="H114" s="700">
        <f t="shared" si="42"/>
        <v>134.21031543621621</v>
      </c>
      <c r="I114" s="700">
        <f t="shared" si="42"/>
        <v>136.34404125074107</v>
      </c>
      <c r="J114" s="700">
        <f t="shared" si="42"/>
        <v>135.03684562186257</v>
      </c>
      <c r="K114" s="700">
        <f t="shared" si="42"/>
        <v>134.47314765569357</v>
      </c>
      <c r="L114" s="700">
        <f t="shared" si="42"/>
        <v>133.05756617240502</v>
      </c>
    </row>
    <row r="115" spans="1:12">
      <c r="A115" s="309"/>
      <c r="B115" s="700" t="s">
        <v>800</v>
      </c>
      <c r="C115" s="700">
        <f>C113</f>
        <v>999.80551969438056</v>
      </c>
      <c r="D115" s="700">
        <f t="shared" ref="D115:L115" si="43">D113</f>
        <v>823.90418362941637</v>
      </c>
      <c r="E115" s="700">
        <f t="shared" si="43"/>
        <v>1051.0662918496639</v>
      </c>
      <c r="F115" s="700">
        <f t="shared" si="43"/>
        <v>1225.8922485049427</v>
      </c>
      <c r="G115" s="700">
        <f t="shared" si="43"/>
        <v>1294.3925851473825</v>
      </c>
      <c r="H115" s="700">
        <f t="shared" si="43"/>
        <v>1293.1797724655994</v>
      </c>
      <c r="I115" s="700">
        <f t="shared" si="43"/>
        <v>1313.7392283789761</v>
      </c>
      <c r="J115" s="700">
        <f t="shared" si="43"/>
        <v>1301.1437811480623</v>
      </c>
      <c r="K115" s="700">
        <f t="shared" si="43"/>
        <v>1295.7122850275114</v>
      </c>
      <c r="L115" s="700">
        <f t="shared" si="43"/>
        <v>1282.072488902186</v>
      </c>
    </row>
    <row r="116" spans="1:12">
      <c r="A116" s="309"/>
      <c r="B116" s="700" t="s">
        <v>724</v>
      </c>
      <c r="C116" s="700">
        <f>C115+C114</f>
        <v>1103.5685208100065</v>
      </c>
      <c r="D116" s="700">
        <f t="shared" ref="D116:L116" si="44">D115+D114</f>
        <v>909.41158385985386</v>
      </c>
      <c r="E116" s="700">
        <f t="shared" si="44"/>
        <v>1160.1492991600571</v>
      </c>
      <c r="F116" s="700">
        <f t="shared" si="44"/>
        <v>1353.11925040041</v>
      </c>
      <c r="G116" s="700">
        <f t="shared" si="44"/>
        <v>1428.7287701464027</v>
      </c>
      <c r="H116" s="700">
        <f t="shared" si="44"/>
        <v>1427.3900879018156</v>
      </c>
      <c r="I116" s="700">
        <f t="shared" si="44"/>
        <v>1450.0832696297173</v>
      </c>
      <c r="J116" s="700">
        <f t="shared" si="44"/>
        <v>1436.1806267699249</v>
      </c>
      <c r="K116" s="700">
        <f t="shared" si="44"/>
        <v>1430.1854326832049</v>
      </c>
      <c r="L116" s="700">
        <f t="shared" si="44"/>
        <v>1415.1300550745909</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40.7109375" customWidth="1"/>
    <col min="3" max="14"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 customHeight="1">
      <c r="A5" s="1100" t="s">
        <v>1726</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SUM(A12:A1874)</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OUTPUTS_FOR_SECTION_2_OF_MODEL!B81</f>
        <v>Physical Education</v>
      </c>
      <c r="C15" s="307">
        <f>OUTPUTS_FOR_SECTION_2_OF_MODEL!E81</f>
        <v>1515.9865558265149</v>
      </c>
      <c r="D15" s="307">
        <f>OUTPUTS_FOR_SECTION_2_OF_MODEL!F81</f>
        <v>1482.5629363650601</v>
      </c>
      <c r="E15" s="307">
        <f>OUTPUTS_FOR_SECTION_2_OF_MODEL!G81</f>
        <v>1662.3140725742633</v>
      </c>
      <c r="F15" s="307">
        <f>OUTPUTS_FOR_SECTION_2_OF_MODEL!H81</f>
        <v>1742.4954335829016</v>
      </c>
      <c r="G15" s="307">
        <f>OUTPUTS_FOR_SECTION_2_OF_MODEL!I81</f>
        <v>1768.7514463063585</v>
      </c>
      <c r="H15" s="307">
        <f>OUTPUTS_FOR_SECTION_2_OF_MODEL!J81</f>
        <v>1780.1332561342128</v>
      </c>
      <c r="I15" s="307">
        <f>OUTPUTS_FOR_SECTION_2_OF_MODEL!K81</f>
        <v>1704.1827534635227</v>
      </c>
      <c r="J15" s="307">
        <f>OUTPUTS_FOR_SECTION_2_OF_MODEL!L81</f>
        <v>1683.241480888559</v>
      </c>
      <c r="K15" s="307">
        <f>OUTPUTS_FOR_SECTION_2_OF_MODEL!M81</f>
        <v>1664.9481247333433</v>
      </c>
      <c r="L15" s="307">
        <f>OUTPUTS_FOR_SECTION_2_OF_MODEL!N81</f>
        <v>1669.1868353152549</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1411.3834834744855</v>
      </c>
      <c r="D44" s="459">
        <f t="shared" si="4"/>
        <v>1380.266093755871</v>
      </c>
      <c r="E44" s="459">
        <f t="shared" si="4"/>
        <v>1547.6144015666391</v>
      </c>
      <c r="F44" s="459">
        <f t="shared" si="4"/>
        <v>1622.2632486656814</v>
      </c>
      <c r="G44" s="459">
        <f t="shared" si="4"/>
        <v>1646.7075965112199</v>
      </c>
      <c r="H44" s="459">
        <f t="shared" si="4"/>
        <v>1657.3040614609522</v>
      </c>
      <c r="I44" s="459">
        <f t="shared" si="4"/>
        <v>1586.5941434745396</v>
      </c>
      <c r="J44" s="459">
        <f t="shared" si="4"/>
        <v>1567.0978187072485</v>
      </c>
      <c r="K44" s="459">
        <f t="shared" si="4"/>
        <v>1550.0667041267427</v>
      </c>
      <c r="L44" s="459">
        <f t="shared" si="4"/>
        <v>1554.0129436785023</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14.934116754530651</v>
      </c>
      <c r="D57" s="459">
        <f t="shared" ref="D57:L57" si="7">D44/$J$50</f>
        <v>14.604857742649617</v>
      </c>
      <c r="E57" s="459">
        <f t="shared" si="7"/>
        <v>16.375601978204024</v>
      </c>
      <c r="F57" s="459">
        <f t="shared" si="7"/>
        <v>17.165475610155418</v>
      </c>
      <c r="G57" s="459">
        <f t="shared" si="7"/>
        <v>17.424125898321577</v>
      </c>
      <c r="H57" s="459">
        <f t="shared" si="7"/>
        <v>17.536249106930356</v>
      </c>
      <c r="I57" s="459">
        <f t="shared" si="7"/>
        <v>16.78805403218513</v>
      </c>
      <c r="J57" s="459">
        <f t="shared" si="7"/>
        <v>16.581759716169607</v>
      </c>
      <c r="K57" s="459">
        <f t="shared" si="7"/>
        <v>16.401550257448349</v>
      </c>
      <c r="L57" s="459">
        <f t="shared" si="7"/>
        <v>16.44330616779969</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14.934116754530651</v>
      </c>
      <c r="D98" s="459">
        <f t="shared" ref="D98:L98" si="33">D57</f>
        <v>14.604857742649617</v>
      </c>
      <c r="E98" s="459">
        <f t="shared" si="33"/>
        <v>16.375601978204024</v>
      </c>
      <c r="F98" s="459">
        <f t="shared" si="33"/>
        <v>17.165475610155418</v>
      </c>
      <c r="G98" s="459">
        <f t="shared" si="33"/>
        <v>17.424125898321577</v>
      </c>
      <c r="H98" s="459">
        <f t="shared" si="33"/>
        <v>17.536249106930356</v>
      </c>
      <c r="I98" s="459">
        <f t="shared" si="33"/>
        <v>16.78805403218513</v>
      </c>
      <c r="J98" s="459">
        <f t="shared" si="33"/>
        <v>16.581759716169607</v>
      </c>
      <c r="K98" s="459">
        <f t="shared" si="33"/>
        <v>16.401550257448349</v>
      </c>
      <c r="L98" s="459">
        <f t="shared" si="33"/>
        <v>16.44330616779969</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879</v>
      </c>
      <c r="C103" s="459">
        <f t="shared" ref="C103:L103" si="35">C65*C$98</f>
        <v>220.41284217781353</v>
      </c>
      <c r="D103" s="459">
        <f t="shared" si="35"/>
        <v>215.55330372540789</v>
      </c>
      <c r="E103" s="459">
        <f t="shared" si="35"/>
        <v>241.68774315317788</v>
      </c>
      <c r="F103" s="459">
        <f t="shared" si="35"/>
        <v>253.34549935271355</v>
      </c>
      <c r="G103" s="459">
        <f t="shared" si="35"/>
        <v>257.1629226447551</v>
      </c>
      <c r="H103" s="459">
        <f t="shared" si="35"/>
        <v>258.81775067976827</v>
      </c>
      <c r="I103" s="459">
        <f t="shared" si="35"/>
        <v>247.77512890047845</v>
      </c>
      <c r="J103" s="459">
        <f t="shared" si="35"/>
        <v>244.73042814813468</v>
      </c>
      <c r="K103" s="459">
        <f t="shared" si="35"/>
        <v>242.07071417663195</v>
      </c>
      <c r="L103" s="459">
        <f t="shared" si="35"/>
        <v>242.68699025305068</v>
      </c>
    </row>
    <row r="104" spans="1:12">
      <c r="A104" s="309"/>
      <c r="B104" s="326" t="s">
        <v>880</v>
      </c>
      <c r="C104" s="459">
        <f t="shared" ref="C104:L104" si="36">C76*C$98</f>
        <v>522.93465433792346</v>
      </c>
      <c r="D104" s="459">
        <f t="shared" si="36"/>
        <v>511.40528501560186</v>
      </c>
      <c r="E104" s="459">
        <f t="shared" si="36"/>
        <v>573.40985749623371</v>
      </c>
      <c r="F104" s="459">
        <f t="shared" si="36"/>
        <v>601.068158384355</v>
      </c>
      <c r="G104" s="459">
        <f t="shared" si="36"/>
        <v>610.12508496794692</v>
      </c>
      <c r="H104" s="459">
        <f t="shared" si="36"/>
        <v>614.05120341879558</v>
      </c>
      <c r="I104" s="459">
        <f t="shared" si="36"/>
        <v>587.85232341670019</v>
      </c>
      <c r="J104" s="459">
        <f t="shared" si="36"/>
        <v>580.62869924055144</v>
      </c>
      <c r="K104" s="459">
        <f t="shared" si="36"/>
        <v>574.31846526061179</v>
      </c>
      <c r="L104" s="459">
        <f t="shared" si="36"/>
        <v>575.78059475277064</v>
      </c>
    </row>
    <row r="105" spans="1:12">
      <c r="A105" s="309"/>
      <c r="B105" s="326" t="s">
        <v>881</v>
      </c>
      <c r="C105" s="459">
        <f t="shared" ref="C105:L105" si="37">C87*C$98</f>
        <v>750.06417893732817</v>
      </c>
      <c r="D105" s="459">
        <f t="shared" si="37"/>
        <v>733.52718552395197</v>
      </c>
      <c r="E105" s="459">
        <f t="shared" si="37"/>
        <v>822.46259717099088</v>
      </c>
      <c r="F105" s="459">
        <f t="shared" si="37"/>
        <v>862.13390327847333</v>
      </c>
      <c r="G105" s="459">
        <f t="shared" si="37"/>
        <v>875.12458221945565</v>
      </c>
      <c r="H105" s="459">
        <f t="shared" si="37"/>
        <v>880.75595659447174</v>
      </c>
      <c r="I105" s="459">
        <f t="shared" si="37"/>
        <v>843.17795090133438</v>
      </c>
      <c r="J105" s="459">
        <f t="shared" si="37"/>
        <v>832.8168442282747</v>
      </c>
      <c r="K105" s="459">
        <f t="shared" si="37"/>
        <v>823.76584630759123</v>
      </c>
      <c r="L105" s="459">
        <f t="shared" si="37"/>
        <v>825.86303177414766</v>
      </c>
    </row>
    <row r="106" spans="1:12">
      <c r="A106" s="309"/>
      <c r="B106" s="326" t="s">
        <v>8</v>
      </c>
      <c r="C106" s="459">
        <f>SUM(C103:C105)</f>
        <v>1493.4116754530651</v>
      </c>
      <c r="D106" s="459">
        <f t="shared" ref="D106:L106" si="38">SUM(D103:D105)</f>
        <v>1460.4857742649617</v>
      </c>
      <c r="E106" s="459">
        <f t="shared" si="38"/>
        <v>1637.5601978204024</v>
      </c>
      <c r="F106" s="459">
        <f t="shared" si="38"/>
        <v>1716.5475610155418</v>
      </c>
      <c r="G106" s="459">
        <f t="shared" si="38"/>
        <v>1742.4125898321577</v>
      </c>
      <c r="H106" s="459">
        <f t="shared" si="38"/>
        <v>1753.6249106930354</v>
      </c>
      <c r="I106" s="459">
        <f t="shared" si="38"/>
        <v>1678.805403218513</v>
      </c>
      <c r="J106" s="459">
        <f t="shared" si="38"/>
        <v>1658.1759716169609</v>
      </c>
      <c r="K106" s="459">
        <f t="shared" si="38"/>
        <v>1640.1550257448348</v>
      </c>
      <c r="L106" s="459">
        <f t="shared" si="38"/>
        <v>1644.330616779969</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1493.4116754530651</v>
      </c>
      <c r="D111" s="700">
        <f t="shared" ref="D111:L111" si="39">D106</f>
        <v>1460.4857742649617</v>
      </c>
      <c r="E111" s="700">
        <f t="shared" si="39"/>
        <v>1637.5601978204024</v>
      </c>
      <c r="F111" s="700">
        <f t="shared" si="39"/>
        <v>1716.5475610155418</v>
      </c>
      <c r="G111" s="700">
        <f t="shared" si="39"/>
        <v>1742.4125898321577</v>
      </c>
      <c r="H111" s="700">
        <f t="shared" si="39"/>
        <v>1753.6249106930354</v>
      </c>
      <c r="I111" s="700">
        <f t="shared" si="39"/>
        <v>1678.805403218513</v>
      </c>
      <c r="J111" s="700">
        <f t="shared" si="39"/>
        <v>1658.1759716169609</v>
      </c>
      <c r="K111" s="700">
        <f t="shared" si="39"/>
        <v>1640.1550257448348</v>
      </c>
      <c r="L111" s="700">
        <f t="shared" si="39"/>
        <v>1644.330616779969</v>
      </c>
    </row>
    <row r="112" spans="1:12">
      <c r="A112" s="309"/>
      <c r="B112" s="700" t="s">
        <v>804</v>
      </c>
      <c r="C112" s="700">
        <f t="shared" ref="C112:L112" si="40">((C67+C78+C89)/100)*C111</f>
        <v>214.73348685492024</v>
      </c>
      <c r="D112" s="700">
        <f t="shared" si="40"/>
        <v>209.99916363636294</v>
      </c>
      <c r="E112" s="700">
        <f t="shared" si="40"/>
        <v>235.46019961718136</v>
      </c>
      <c r="F112" s="700">
        <f t="shared" si="40"/>
        <v>246.81757159649354</v>
      </c>
      <c r="G112" s="700">
        <f t="shared" si="40"/>
        <v>250.53663173020377</v>
      </c>
      <c r="H112" s="700">
        <f t="shared" si="40"/>
        <v>252.14881997927583</v>
      </c>
      <c r="I112" s="700">
        <f t="shared" si="40"/>
        <v>241.39073231406599</v>
      </c>
      <c r="J112" s="700">
        <f t="shared" si="40"/>
        <v>238.42448405683814</v>
      </c>
      <c r="K112" s="700">
        <f t="shared" si="40"/>
        <v>235.83330266516231</v>
      </c>
      <c r="L112" s="700">
        <f t="shared" si="40"/>
        <v>236.43369921849882</v>
      </c>
    </row>
    <row r="113" spans="1:12">
      <c r="A113" s="309"/>
      <c r="B113" s="700" t="s">
        <v>805</v>
      </c>
      <c r="C113" s="700">
        <f t="shared" ref="C113:L113" si="41">((C66+C77+C88)/100)*C111</f>
        <v>1278.6781885981447</v>
      </c>
      <c r="D113" s="700">
        <f t="shared" si="41"/>
        <v>1250.4866106285988</v>
      </c>
      <c r="E113" s="700">
        <f t="shared" si="41"/>
        <v>1402.099998203221</v>
      </c>
      <c r="F113" s="700">
        <f t="shared" si="41"/>
        <v>1469.7299894190483</v>
      </c>
      <c r="G113" s="700">
        <f t="shared" si="41"/>
        <v>1491.8759581019538</v>
      </c>
      <c r="H113" s="700">
        <f t="shared" si="41"/>
        <v>1501.4760907137595</v>
      </c>
      <c r="I113" s="700">
        <f t="shared" si="41"/>
        <v>1437.4146709044469</v>
      </c>
      <c r="J113" s="700">
        <f t="shared" si="41"/>
        <v>1419.7514875601225</v>
      </c>
      <c r="K113" s="700">
        <f t="shared" si="41"/>
        <v>1404.3217230796724</v>
      </c>
      <c r="L113" s="700">
        <f t="shared" si="41"/>
        <v>1407.89691756147</v>
      </c>
    </row>
    <row r="114" spans="1:12">
      <c r="A114" s="309"/>
      <c r="B114" s="700" t="s">
        <v>799</v>
      </c>
      <c r="C114" s="700">
        <f>C112*$C$39</f>
        <v>132.7052948763407</v>
      </c>
      <c r="D114" s="700">
        <f t="shared" ref="D114:L114" si="42">D112*$C$39</f>
        <v>129.7794831272723</v>
      </c>
      <c r="E114" s="700">
        <f t="shared" si="42"/>
        <v>145.51440336341807</v>
      </c>
      <c r="F114" s="700">
        <f t="shared" si="42"/>
        <v>152.53325924663301</v>
      </c>
      <c r="G114" s="700">
        <f t="shared" si="42"/>
        <v>154.83163840926593</v>
      </c>
      <c r="H114" s="700">
        <f t="shared" si="42"/>
        <v>155.82797074719247</v>
      </c>
      <c r="I114" s="700">
        <f t="shared" si="42"/>
        <v>149.17947257009277</v>
      </c>
      <c r="J114" s="700">
        <f t="shared" si="42"/>
        <v>147.34633114712597</v>
      </c>
      <c r="K114" s="700">
        <f t="shared" si="42"/>
        <v>145.7449810470703</v>
      </c>
      <c r="L114" s="700">
        <f t="shared" si="42"/>
        <v>146.11602611703228</v>
      </c>
    </row>
    <row r="115" spans="1:12">
      <c r="A115" s="309"/>
      <c r="B115" s="700" t="s">
        <v>800</v>
      </c>
      <c r="C115" s="700">
        <f>C113</f>
        <v>1278.6781885981447</v>
      </c>
      <c r="D115" s="700">
        <f t="shared" ref="D115:L115" si="43">D113</f>
        <v>1250.4866106285988</v>
      </c>
      <c r="E115" s="700">
        <f t="shared" si="43"/>
        <v>1402.099998203221</v>
      </c>
      <c r="F115" s="700">
        <f t="shared" si="43"/>
        <v>1469.7299894190483</v>
      </c>
      <c r="G115" s="700">
        <f t="shared" si="43"/>
        <v>1491.8759581019538</v>
      </c>
      <c r="H115" s="700">
        <f t="shared" si="43"/>
        <v>1501.4760907137595</v>
      </c>
      <c r="I115" s="700">
        <f t="shared" si="43"/>
        <v>1437.4146709044469</v>
      </c>
      <c r="J115" s="700">
        <f t="shared" si="43"/>
        <v>1419.7514875601225</v>
      </c>
      <c r="K115" s="700">
        <f t="shared" si="43"/>
        <v>1404.3217230796724</v>
      </c>
      <c r="L115" s="700">
        <f t="shared" si="43"/>
        <v>1407.89691756147</v>
      </c>
    </row>
    <row r="116" spans="1:12">
      <c r="A116" s="309"/>
      <c r="B116" s="700" t="s">
        <v>724</v>
      </c>
      <c r="C116" s="700">
        <f>C115+C114</f>
        <v>1411.3834834744855</v>
      </c>
      <c r="D116" s="700">
        <f t="shared" ref="D116:L116" si="44">D115+D114</f>
        <v>1380.266093755871</v>
      </c>
      <c r="E116" s="700">
        <f t="shared" si="44"/>
        <v>1547.6144015666391</v>
      </c>
      <c r="F116" s="700">
        <f t="shared" si="44"/>
        <v>1622.2632486656812</v>
      </c>
      <c r="G116" s="700">
        <f t="shared" si="44"/>
        <v>1646.7075965112197</v>
      </c>
      <c r="H116" s="700">
        <f t="shared" si="44"/>
        <v>1657.304061460952</v>
      </c>
      <c r="I116" s="700">
        <f t="shared" si="44"/>
        <v>1586.5941434745396</v>
      </c>
      <c r="J116" s="700">
        <f t="shared" si="44"/>
        <v>1567.0978187072485</v>
      </c>
      <c r="K116" s="700">
        <f t="shared" si="44"/>
        <v>1550.0667041267427</v>
      </c>
      <c r="L116" s="700">
        <f t="shared" si="44"/>
        <v>1554.0129436785023</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35.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6.45" customHeight="1">
      <c r="A5" s="1100" t="s">
        <v>1727</v>
      </c>
      <c r="B5" s="1100"/>
      <c r="C5" s="1100"/>
      <c r="D5" s="1100"/>
      <c r="E5" s="1100"/>
      <c r="F5" s="1100"/>
      <c r="G5" s="1100"/>
      <c r="H5" s="1100"/>
      <c r="I5" s="1100"/>
      <c r="J5" s="1100"/>
      <c r="K5" s="1100"/>
      <c r="L5" s="1100"/>
      <c r="M5" s="1100"/>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SUM(A12:A1874)</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OUTPUTS_FOR_SECTION_2_OF_MODEL!B82</f>
        <v>Physics</v>
      </c>
      <c r="C15" s="307">
        <f>OUTPUTS_FOR_SECTION_2_OF_MODEL!E82</f>
        <v>1355.7186393380998</v>
      </c>
      <c r="D15" s="307">
        <f>OUTPUTS_FOR_SECTION_2_OF_MODEL!F82</f>
        <v>1351.3681617479645</v>
      </c>
      <c r="E15" s="307">
        <f>OUTPUTS_FOR_SECTION_2_OF_MODEL!G82</f>
        <v>1326.0834198792879</v>
      </c>
      <c r="F15" s="307">
        <f>OUTPUTS_FOR_SECTION_2_OF_MODEL!H82</f>
        <v>1347.1957044035869</v>
      </c>
      <c r="G15" s="307">
        <f>OUTPUTS_FOR_SECTION_2_OF_MODEL!I82</f>
        <v>1378.2996306252403</v>
      </c>
      <c r="H15" s="307">
        <f>OUTPUTS_FOR_SECTION_2_OF_MODEL!J82</f>
        <v>1336.4078717100294</v>
      </c>
      <c r="I15" s="307">
        <f>OUTPUTS_FOR_SECTION_2_OF_MODEL!K82</f>
        <v>1290.9992024313312</v>
      </c>
      <c r="J15" s="307">
        <f>OUTPUTS_FOR_SECTION_2_OF_MODEL!L82</f>
        <v>1312.4413665041593</v>
      </c>
      <c r="K15" s="307">
        <f>OUTPUTS_FOR_SECTION_2_OF_MODEL!M82</f>
        <v>1301.8671056283961</v>
      </c>
      <c r="L15" s="307">
        <f>OUTPUTS_FOR_SECTION_2_OF_MODEL!N82</f>
        <v>1234.9691066198673</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1262.1740532237709</v>
      </c>
      <c r="D44" s="459">
        <f t="shared" si="4"/>
        <v>1258.123758587355</v>
      </c>
      <c r="E44" s="459">
        <f t="shared" si="4"/>
        <v>1234.5836639076172</v>
      </c>
      <c r="F44" s="459">
        <f t="shared" si="4"/>
        <v>1254.2392007997394</v>
      </c>
      <c r="G44" s="459">
        <f t="shared" si="4"/>
        <v>1283.1969561120989</v>
      </c>
      <c r="H44" s="459">
        <f t="shared" si="4"/>
        <v>1244.1957285620374</v>
      </c>
      <c r="I44" s="459">
        <f t="shared" si="4"/>
        <v>1201.9202574635694</v>
      </c>
      <c r="J44" s="459">
        <f t="shared" si="4"/>
        <v>1221.8829122153725</v>
      </c>
      <c r="K44" s="459">
        <f t="shared" si="4"/>
        <v>1212.0382753400368</v>
      </c>
      <c r="L44" s="459">
        <f t="shared" si="4"/>
        <v>1149.7562382630965</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13.355303428222193</v>
      </c>
      <c r="D57" s="459">
        <f t="shared" ref="D57:L57" si="7">D44/$J$50</f>
        <v>13.312446491253102</v>
      </c>
      <c r="E57" s="459">
        <f t="shared" si="7"/>
        <v>13.063364277612285</v>
      </c>
      <c r="F57" s="459">
        <f t="shared" si="7"/>
        <v>13.27134324736565</v>
      </c>
      <c r="G57" s="459">
        <f t="shared" si="7"/>
        <v>13.577750757335441</v>
      </c>
      <c r="H57" s="459">
        <f t="shared" si="7"/>
        <v>13.165071359693075</v>
      </c>
      <c r="I57" s="459">
        <f t="shared" si="7"/>
        <v>12.717746569067721</v>
      </c>
      <c r="J57" s="459">
        <f t="shared" si="7"/>
        <v>12.928975211236539</v>
      </c>
      <c r="K57" s="459">
        <f t="shared" si="7"/>
        <v>12.824807238305262</v>
      </c>
      <c r="L57" s="459">
        <f t="shared" si="7"/>
        <v>12.16578917248003</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ht="25.5">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ht="25.5">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ht="25.5">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13.355303428222193</v>
      </c>
      <c r="D98" s="459">
        <f t="shared" ref="D98:L98" si="33">D57</f>
        <v>13.312446491253102</v>
      </c>
      <c r="E98" s="459">
        <f t="shared" si="33"/>
        <v>13.063364277612285</v>
      </c>
      <c r="F98" s="459">
        <f t="shared" si="33"/>
        <v>13.27134324736565</v>
      </c>
      <c r="G98" s="459">
        <f t="shared" si="33"/>
        <v>13.577750757335441</v>
      </c>
      <c r="H98" s="459">
        <f t="shared" si="33"/>
        <v>13.165071359693075</v>
      </c>
      <c r="I98" s="459">
        <f t="shared" si="33"/>
        <v>12.717746569067721</v>
      </c>
      <c r="J98" s="459">
        <f t="shared" si="33"/>
        <v>12.928975211236539</v>
      </c>
      <c r="K98" s="459">
        <f t="shared" si="33"/>
        <v>12.824807238305262</v>
      </c>
      <c r="L98" s="459">
        <f t="shared" si="33"/>
        <v>12.16578917248003</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882</v>
      </c>
      <c r="C103" s="459">
        <f t="shared" ref="C103:L103" si="35">C65*C$98</f>
        <v>197.11111377701721</v>
      </c>
      <c r="D103" s="459">
        <f t="shared" si="35"/>
        <v>196.47858763304373</v>
      </c>
      <c r="E103" s="459">
        <f t="shared" si="35"/>
        <v>192.80237968938627</v>
      </c>
      <c r="F103" s="459">
        <f t="shared" si="35"/>
        <v>195.87194427027421</v>
      </c>
      <c r="G103" s="459">
        <f t="shared" si="35"/>
        <v>200.3942170800525</v>
      </c>
      <c r="H103" s="459">
        <f t="shared" si="35"/>
        <v>194.30347596441291</v>
      </c>
      <c r="I103" s="459">
        <f t="shared" si="35"/>
        <v>187.70140299960784</v>
      </c>
      <c r="J103" s="459">
        <f t="shared" si="35"/>
        <v>190.81892954202388</v>
      </c>
      <c r="K103" s="459">
        <f t="shared" si="35"/>
        <v>189.28151294383645</v>
      </c>
      <c r="L103" s="459">
        <f t="shared" si="35"/>
        <v>179.55505591108309</v>
      </c>
    </row>
    <row r="104" spans="1:12">
      <c r="A104" s="309"/>
      <c r="B104" s="326" t="s">
        <v>883</v>
      </c>
      <c r="C104" s="459">
        <f t="shared" ref="C104:L104" si="36">C76*C$98</f>
        <v>467.65075542192307</v>
      </c>
      <c r="D104" s="459">
        <f t="shared" si="36"/>
        <v>466.15007226212953</v>
      </c>
      <c r="E104" s="459">
        <f t="shared" si="36"/>
        <v>457.42818241534837</v>
      </c>
      <c r="F104" s="459">
        <f t="shared" si="36"/>
        <v>464.7107966097592</v>
      </c>
      <c r="G104" s="459">
        <f t="shared" si="36"/>
        <v>475.43999525915279</v>
      </c>
      <c r="H104" s="459">
        <f t="shared" si="36"/>
        <v>460.98956864835083</v>
      </c>
      <c r="I104" s="459">
        <f t="shared" si="36"/>
        <v>445.32599519386537</v>
      </c>
      <c r="J104" s="459">
        <f t="shared" si="36"/>
        <v>452.72240027053715</v>
      </c>
      <c r="K104" s="459">
        <f t="shared" si="36"/>
        <v>449.07484321622564</v>
      </c>
      <c r="L104" s="459">
        <f t="shared" si="36"/>
        <v>425.99859504438689</v>
      </c>
    </row>
    <row r="105" spans="1:12">
      <c r="A105" s="309"/>
      <c r="B105" s="326" t="s">
        <v>884</v>
      </c>
      <c r="C105" s="459">
        <f t="shared" ref="C105:L105" si="37">C87*C$98</f>
        <v>670.76847362327908</v>
      </c>
      <c r="D105" s="459">
        <f t="shared" si="37"/>
        <v>668.61598923013685</v>
      </c>
      <c r="E105" s="459">
        <f t="shared" si="37"/>
        <v>656.10586565649385</v>
      </c>
      <c r="F105" s="459">
        <f t="shared" si="37"/>
        <v>666.55158385653158</v>
      </c>
      <c r="G105" s="459">
        <f t="shared" si="37"/>
        <v>681.94086339433875</v>
      </c>
      <c r="H105" s="459">
        <f t="shared" si="37"/>
        <v>661.21409135654369</v>
      </c>
      <c r="I105" s="459">
        <f t="shared" si="37"/>
        <v>638.74725871329895</v>
      </c>
      <c r="J105" s="459">
        <f t="shared" si="37"/>
        <v>649.35619131109286</v>
      </c>
      <c r="K105" s="459">
        <f t="shared" si="37"/>
        <v>644.12436767046404</v>
      </c>
      <c r="L105" s="459">
        <f t="shared" si="37"/>
        <v>611.02526629253305</v>
      </c>
    </row>
    <row r="106" spans="1:12">
      <c r="A106" s="309"/>
      <c r="B106" s="326" t="s">
        <v>8</v>
      </c>
      <c r="C106" s="459">
        <f>SUM(C103:C105)</f>
        <v>1335.5303428222194</v>
      </c>
      <c r="D106" s="459">
        <f t="shared" ref="D106:L106" si="38">SUM(D103:D105)</f>
        <v>1331.2446491253102</v>
      </c>
      <c r="E106" s="459">
        <f t="shared" si="38"/>
        <v>1306.3364277612286</v>
      </c>
      <c r="F106" s="459">
        <f t="shared" si="38"/>
        <v>1327.1343247365648</v>
      </c>
      <c r="G106" s="459">
        <f t="shared" si="38"/>
        <v>1357.7750757335441</v>
      </c>
      <c r="H106" s="459">
        <f t="shared" si="38"/>
        <v>1316.5071359693075</v>
      </c>
      <c r="I106" s="459">
        <f t="shared" si="38"/>
        <v>1271.7746569067722</v>
      </c>
      <c r="J106" s="459">
        <f t="shared" si="38"/>
        <v>1292.8975211236539</v>
      </c>
      <c r="K106" s="459">
        <f t="shared" si="38"/>
        <v>1282.4807238305261</v>
      </c>
      <c r="L106" s="459">
        <f t="shared" si="38"/>
        <v>1216.5789172480031</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1335.5303428222194</v>
      </c>
      <c r="D111" s="700">
        <f t="shared" ref="D111:L111" si="39">D106</f>
        <v>1331.2446491253102</v>
      </c>
      <c r="E111" s="700">
        <f t="shared" si="39"/>
        <v>1306.3364277612286</v>
      </c>
      <c r="F111" s="700">
        <f t="shared" si="39"/>
        <v>1327.1343247365648</v>
      </c>
      <c r="G111" s="700">
        <f t="shared" si="39"/>
        <v>1357.7750757335441</v>
      </c>
      <c r="H111" s="700">
        <f t="shared" si="39"/>
        <v>1316.5071359693075</v>
      </c>
      <c r="I111" s="700">
        <f t="shared" si="39"/>
        <v>1271.7746569067722</v>
      </c>
      <c r="J111" s="700">
        <f t="shared" si="39"/>
        <v>1292.8975211236539</v>
      </c>
      <c r="K111" s="700">
        <f t="shared" si="39"/>
        <v>1282.4807238305261</v>
      </c>
      <c r="L111" s="700">
        <f t="shared" si="39"/>
        <v>1216.5789172480031</v>
      </c>
    </row>
    <row r="112" spans="1:12">
      <c r="A112" s="309"/>
      <c r="B112" s="700" t="s">
        <v>804</v>
      </c>
      <c r="C112" s="700">
        <f t="shared" ref="C112:L112" si="40">((C67+C78+C89)/100)*C111</f>
        <v>192.03217172368704</v>
      </c>
      <c r="D112" s="700">
        <f t="shared" si="40"/>
        <v>191.41594381663637</v>
      </c>
      <c r="E112" s="700">
        <f t="shared" si="40"/>
        <v>187.83446034976794</v>
      </c>
      <c r="F112" s="700">
        <f t="shared" si="40"/>
        <v>190.82493177179461</v>
      </c>
      <c r="G112" s="700">
        <f t="shared" si="40"/>
        <v>195.23067963729099</v>
      </c>
      <c r="H112" s="700">
        <f t="shared" si="40"/>
        <v>189.29687802950261</v>
      </c>
      <c r="I112" s="700">
        <f t="shared" si="40"/>
        <v>182.86492000838373</v>
      </c>
      <c r="J112" s="700">
        <f t="shared" si="40"/>
        <v>185.90211756094604</v>
      </c>
      <c r="K112" s="700">
        <f t="shared" si="40"/>
        <v>184.40431542012936</v>
      </c>
      <c r="L112" s="700">
        <f t="shared" si="40"/>
        <v>174.92847901808</v>
      </c>
    </row>
    <row r="113" spans="1:12">
      <c r="A113" s="309"/>
      <c r="B113" s="700" t="s">
        <v>805</v>
      </c>
      <c r="C113" s="700">
        <f t="shared" ref="C113:L113" si="41">((C66+C77+C88)/100)*C111</f>
        <v>1143.4981710985323</v>
      </c>
      <c r="D113" s="700">
        <f t="shared" si="41"/>
        <v>1139.8287053086738</v>
      </c>
      <c r="E113" s="700">
        <f t="shared" si="41"/>
        <v>1118.5019674114606</v>
      </c>
      <c r="F113" s="700">
        <f t="shared" si="41"/>
        <v>1136.3093929647703</v>
      </c>
      <c r="G113" s="700">
        <f t="shared" si="41"/>
        <v>1162.544396096253</v>
      </c>
      <c r="H113" s="700">
        <f t="shared" si="41"/>
        <v>1127.2102579398047</v>
      </c>
      <c r="I113" s="700">
        <f t="shared" si="41"/>
        <v>1088.9097368983885</v>
      </c>
      <c r="J113" s="700">
        <f t="shared" si="41"/>
        <v>1106.9954035627077</v>
      </c>
      <c r="K113" s="700">
        <f t="shared" si="41"/>
        <v>1098.0764084103967</v>
      </c>
      <c r="L113" s="700">
        <f t="shared" si="41"/>
        <v>1041.6504382299231</v>
      </c>
    </row>
    <row r="114" spans="1:12">
      <c r="A114" s="309"/>
      <c r="B114" s="700" t="s">
        <v>799</v>
      </c>
      <c r="C114" s="700">
        <f>C112*$C$39</f>
        <v>118.67588212523859</v>
      </c>
      <c r="D114" s="700">
        <f t="shared" ref="D114:L114" si="42">D112*$C$39</f>
        <v>118.29505327868128</v>
      </c>
      <c r="E114" s="700">
        <f t="shared" si="42"/>
        <v>116.08169649615658</v>
      </c>
      <c r="F114" s="700">
        <f t="shared" si="42"/>
        <v>117.92980783496907</v>
      </c>
      <c r="G114" s="700">
        <f t="shared" si="42"/>
        <v>120.65256001584584</v>
      </c>
      <c r="H114" s="700">
        <f t="shared" si="42"/>
        <v>116.98547062223261</v>
      </c>
      <c r="I114" s="700">
        <f t="shared" si="42"/>
        <v>113.01052056518115</v>
      </c>
      <c r="J114" s="700">
        <f t="shared" si="42"/>
        <v>114.88750865266465</v>
      </c>
      <c r="K114" s="700">
        <f t="shared" si="42"/>
        <v>113.96186692963995</v>
      </c>
      <c r="L114" s="700">
        <f t="shared" si="42"/>
        <v>108.10580003317344</v>
      </c>
    </row>
    <row r="115" spans="1:12">
      <c r="A115" s="309"/>
      <c r="B115" s="700" t="s">
        <v>800</v>
      </c>
      <c r="C115" s="700">
        <f>C113</f>
        <v>1143.4981710985323</v>
      </c>
      <c r="D115" s="700">
        <f t="shared" ref="D115:L115" si="43">D113</f>
        <v>1139.8287053086738</v>
      </c>
      <c r="E115" s="700">
        <f t="shared" si="43"/>
        <v>1118.5019674114606</v>
      </c>
      <c r="F115" s="700">
        <f t="shared" si="43"/>
        <v>1136.3093929647703</v>
      </c>
      <c r="G115" s="700">
        <f t="shared" si="43"/>
        <v>1162.544396096253</v>
      </c>
      <c r="H115" s="700">
        <f t="shared" si="43"/>
        <v>1127.2102579398047</v>
      </c>
      <c r="I115" s="700">
        <f t="shared" si="43"/>
        <v>1088.9097368983885</v>
      </c>
      <c r="J115" s="700">
        <f t="shared" si="43"/>
        <v>1106.9954035627077</v>
      </c>
      <c r="K115" s="700">
        <f t="shared" si="43"/>
        <v>1098.0764084103967</v>
      </c>
      <c r="L115" s="700">
        <f t="shared" si="43"/>
        <v>1041.6504382299231</v>
      </c>
    </row>
    <row r="116" spans="1:12">
      <c r="A116" s="309"/>
      <c r="B116" s="700" t="s">
        <v>724</v>
      </c>
      <c r="C116" s="700">
        <f>C115+C114</f>
        <v>1262.1740532237709</v>
      </c>
      <c r="D116" s="700">
        <f t="shared" ref="D116:L116" si="44">D115+D114</f>
        <v>1258.123758587355</v>
      </c>
      <c r="E116" s="700">
        <f t="shared" si="44"/>
        <v>1234.5836639076172</v>
      </c>
      <c r="F116" s="700">
        <f t="shared" si="44"/>
        <v>1254.2392007997394</v>
      </c>
      <c r="G116" s="700">
        <f t="shared" si="44"/>
        <v>1283.1969561120989</v>
      </c>
      <c r="H116" s="700">
        <f t="shared" si="44"/>
        <v>1244.1957285620374</v>
      </c>
      <c r="I116" s="700">
        <f t="shared" si="44"/>
        <v>1201.9202574635697</v>
      </c>
      <c r="J116" s="700">
        <f t="shared" si="44"/>
        <v>1221.8829122153722</v>
      </c>
      <c r="K116" s="700">
        <f t="shared" si="44"/>
        <v>1212.0382753400365</v>
      </c>
      <c r="L116" s="700">
        <f t="shared" si="44"/>
        <v>1149.7562382630965</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M5"/>
  </mergeCells>
  <hyperlinks>
    <hyperlink ref="A2" location="'Title_&amp;_Contents'!A1" display="Contents"/>
    <hyperlink ref="B2" location="Map_of_sheets!A1" display="Map of sheets"/>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sheetPr>
  <dimension ref="A1:AQ361"/>
  <sheetViews>
    <sheetView showGridLines="0" zoomScaleNormal="100" workbookViewId="0"/>
  </sheetViews>
  <sheetFormatPr defaultRowHeight="12.75"/>
  <cols>
    <col min="1" max="1" width="8.42578125" customWidth="1"/>
    <col min="2" max="2" width="16.7109375" customWidth="1"/>
    <col min="3" max="22" width="10.85546875" customWidth="1"/>
    <col min="23" max="23" width="10.7109375" customWidth="1"/>
    <col min="31" max="43" width="9.14062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ht="15">
      <c r="A4" s="58" t="s">
        <v>26</v>
      </c>
      <c r="B4" s="58"/>
      <c r="E4" s="66"/>
    </row>
    <row r="5" spans="1:17" s="47" customFormat="1" ht="19.5" customHeight="1">
      <c r="A5" s="60" t="s">
        <v>1297</v>
      </c>
      <c r="C5" s="59"/>
      <c r="D5" s="59"/>
      <c r="E5" s="66"/>
      <c r="F5" s="59"/>
      <c r="G5" s="59"/>
      <c r="H5" s="59"/>
      <c r="I5" s="59"/>
      <c r="J5" s="59"/>
      <c r="K5" s="59"/>
      <c r="L5" s="59"/>
      <c r="M5" s="59"/>
      <c r="N5" s="59"/>
      <c r="O5" s="59"/>
      <c r="P5" s="59"/>
      <c r="Q5" s="59"/>
    </row>
    <row r="6" spans="1:17" s="46" customFormat="1" ht="13.5" customHeight="1">
      <c r="A6" s="56" t="s">
        <v>24</v>
      </c>
      <c r="B6" s="61"/>
      <c r="C6" s="45"/>
      <c r="D6" s="45"/>
      <c r="E6" s="66"/>
      <c r="F6" s="45"/>
      <c r="G6" s="45"/>
      <c r="H6" s="45"/>
      <c r="I6" s="45"/>
      <c r="J6" s="45"/>
      <c r="K6" s="45"/>
      <c r="L6" s="45"/>
      <c r="M6" s="45"/>
      <c r="N6" s="45"/>
      <c r="O6" s="45"/>
      <c r="P6" s="45"/>
      <c r="Q6" s="45"/>
    </row>
    <row r="7" spans="1:17" s="46" customFormat="1" ht="15">
      <c r="A7" s="54" t="s">
        <v>1320</v>
      </c>
      <c r="C7" s="45"/>
      <c r="D7" s="45"/>
      <c r="E7" s="66"/>
      <c r="F7" s="45"/>
      <c r="G7" s="45"/>
      <c r="H7" s="45"/>
      <c r="I7" s="45"/>
      <c r="J7" s="45"/>
      <c r="K7" s="45"/>
      <c r="L7" s="45"/>
      <c r="M7" s="45"/>
      <c r="N7" s="45"/>
      <c r="O7" s="45"/>
      <c r="P7" s="45"/>
      <c r="Q7" s="45"/>
    </row>
    <row r="8" spans="1:17" s="46" customFormat="1" ht="15.75" customHeight="1">
      <c r="B8" s="61"/>
      <c r="C8" s="45"/>
      <c r="D8" s="45"/>
      <c r="E8" s="66"/>
      <c r="F8" s="45"/>
      <c r="G8" s="45"/>
      <c r="H8" s="45"/>
      <c r="I8" s="45"/>
      <c r="J8" s="45"/>
      <c r="K8" s="45"/>
      <c r="L8" s="45"/>
      <c r="M8" s="45"/>
      <c r="N8" s="45"/>
      <c r="O8" s="45"/>
      <c r="P8" s="45"/>
      <c r="Q8" s="45"/>
    </row>
    <row r="9" spans="1:17" s="50" customFormat="1" ht="13.5" customHeight="1">
      <c r="A9" s="55"/>
      <c r="B9" s="73"/>
      <c r="C9" s="71"/>
      <c r="D9" s="48"/>
      <c r="E9" s="48"/>
      <c r="F9" s="48"/>
      <c r="G9" s="72"/>
      <c r="H9" s="48"/>
      <c r="I9" s="48"/>
      <c r="J9" s="72"/>
      <c r="K9" s="49"/>
      <c r="L9" s="49"/>
      <c r="M9" s="49"/>
      <c r="N9" s="49"/>
      <c r="O9" s="49"/>
      <c r="P9" s="49"/>
      <c r="Q9" s="49"/>
    </row>
    <row r="11" spans="1:17" ht="23.25">
      <c r="B11" s="845" t="s">
        <v>1177</v>
      </c>
    </row>
    <row r="13" spans="1:17">
      <c r="B13" s="426" t="s">
        <v>1321</v>
      </c>
    </row>
    <row r="15" spans="1:17">
      <c r="B15" s="426" t="s">
        <v>1176</v>
      </c>
    </row>
    <row r="17" spans="2:39">
      <c r="B17" s="426" t="s">
        <v>1303</v>
      </c>
    </row>
    <row r="19" spans="2:39">
      <c r="C19" s="262" t="s">
        <v>1309</v>
      </c>
    </row>
    <row r="20" spans="2:39">
      <c r="B20" s="426"/>
    </row>
    <row r="21" spans="2:39">
      <c r="B21" s="426" t="s">
        <v>1304</v>
      </c>
    </row>
    <row r="22" spans="2:39">
      <c r="B22" s="426"/>
    </row>
    <row r="23" spans="2:39">
      <c r="B23" s="426" t="s">
        <v>1522</v>
      </c>
    </row>
    <row r="24" spans="2:39">
      <c r="B24" s="426"/>
    </row>
    <row r="25" spans="2:39" ht="23.25">
      <c r="B25" s="845" t="s">
        <v>1299</v>
      </c>
    </row>
    <row r="27" spans="2:39" ht="15.75">
      <c r="B27" s="291" t="s">
        <v>1048</v>
      </c>
    </row>
    <row r="28" spans="2:39" ht="15.75">
      <c r="B28" s="78"/>
    </row>
    <row r="29" spans="2:39">
      <c r="B29" s="223" t="s">
        <v>1300</v>
      </c>
    </row>
    <row r="31" spans="2:39">
      <c r="B31" s="141"/>
      <c r="C31" s="224" t="str">
        <f>Entrant_need_figures!C14</f>
        <v>2016/17</v>
      </c>
      <c r="D31" s="224" t="str">
        <f>Entrant_need_figures!D14</f>
        <v>2017/18</v>
      </c>
      <c r="E31" s="224" t="str">
        <f>Entrant_need_figures!E14</f>
        <v>2018/19</v>
      </c>
      <c r="F31" s="224" t="str">
        <f>Entrant_need_figures!F14</f>
        <v>2019/20</v>
      </c>
      <c r="G31" s="224" t="str">
        <f>Entrant_need_figures!G14</f>
        <v>2020/21</v>
      </c>
      <c r="H31" s="224" t="str">
        <f>Entrant_need_figures!H14</f>
        <v>2021/22</v>
      </c>
      <c r="I31" s="224" t="str">
        <f>Entrant_need_figures!I14</f>
        <v>2022/23</v>
      </c>
      <c r="J31" s="224" t="str">
        <f>Entrant_need_figures!J14</f>
        <v>2023/24</v>
      </c>
      <c r="K31" s="224" t="str">
        <f>Entrant_need_figures!K14</f>
        <v>2024/25</v>
      </c>
      <c r="L31" s="224" t="str">
        <f>Entrant_need_figures!L14</f>
        <v>2025/26</v>
      </c>
      <c r="M31" s="224" t="str">
        <f>Entrant_need_figures!M14</f>
        <v>2026/27</v>
      </c>
      <c r="N31" s="224" t="str">
        <f>Entrant_need_figures!N14</f>
        <v>2027/28</v>
      </c>
      <c r="AA31" s="117"/>
      <c r="AB31" s="117" t="str">
        <f>C31</f>
        <v>2016/17</v>
      </c>
      <c r="AC31" s="117" t="str">
        <f t="shared" ref="AC31:AM31" si="0">D31</f>
        <v>2017/18</v>
      </c>
      <c r="AD31" s="117" t="str">
        <f t="shared" si="0"/>
        <v>2018/19</v>
      </c>
      <c r="AE31" s="117" t="str">
        <f t="shared" si="0"/>
        <v>2019/20</v>
      </c>
      <c r="AF31" s="117" t="str">
        <f t="shared" si="0"/>
        <v>2020/21</v>
      </c>
      <c r="AG31" s="117" t="str">
        <f t="shared" si="0"/>
        <v>2021/22</v>
      </c>
      <c r="AH31" s="117" t="str">
        <f t="shared" si="0"/>
        <v>2022/23</v>
      </c>
      <c r="AI31" s="117" t="str">
        <f t="shared" si="0"/>
        <v>2023/24</v>
      </c>
      <c r="AJ31" s="117" t="str">
        <f t="shared" si="0"/>
        <v>2024/25</v>
      </c>
      <c r="AK31" s="117" t="str">
        <f t="shared" si="0"/>
        <v>2025/26</v>
      </c>
      <c r="AL31" s="117" t="str">
        <f t="shared" si="0"/>
        <v>2026/27</v>
      </c>
      <c r="AM31" s="117" t="str">
        <f t="shared" si="0"/>
        <v>2027/28</v>
      </c>
    </row>
    <row r="32" spans="2:39">
      <c r="B32" s="249" t="str">
        <f>Entrant_need_figures!B15</f>
        <v>Primary</v>
      </c>
      <c r="C32" s="431">
        <f>Entrant_need_figures!C15</f>
        <v>27538.544661464744</v>
      </c>
      <c r="D32" s="431">
        <f>Entrant_need_figures!D15</f>
        <v>26105.002673937081</v>
      </c>
      <c r="E32" s="431">
        <f>Entrant_need_figures!E15</f>
        <v>25804.401119795846</v>
      </c>
      <c r="F32" s="431">
        <f>Entrant_need_figures!F15</f>
        <v>24509.091093232932</v>
      </c>
      <c r="G32" s="431">
        <f>Entrant_need_figures!G15</f>
        <v>24656.998817781678</v>
      </c>
      <c r="H32" s="431">
        <f>Entrant_need_figures!H15</f>
        <v>24432.263410506512</v>
      </c>
      <c r="I32" s="431">
        <f>Entrant_need_figures!I15</f>
        <v>24102.311757997213</v>
      </c>
      <c r="J32" s="431">
        <f>Entrant_need_figures!J15</f>
        <v>23873.194543470338</v>
      </c>
      <c r="K32" s="431">
        <f>Entrant_need_figures!K15</f>
        <v>24450.504710155619</v>
      </c>
      <c r="L32" s="431">
        <f>Entrant_need_figures!L15</f>
        <v>24916.785672652128</v>
      </c>
      <c r="M32" s="431">
        <f>Entrant_need_figures!M15</f>
        <v>25036.449572418685</v>
      </c>
      <c r="N32" s="431">
        <f>Entrant_need_figures!N15</f>
        <v>24924.618653464819</v>
      </c>
      <c r="AA32" s="826" t="s">
        <v>1305</v>
      </c>
      <c r="AB32" s="329">
        <f>Entrant_need_figures!C43</f>
        <v>27538.544661464744</v>
      </c>
      <c r="AC32" s="329">
        <f>Entrant_need_figures!D43</f>
        <v>26105.002673937081</v>
      </c>
      <c r="AD32" s="329">
        <f>Entrant_need_figures!E43</f>
        <v>25804.401119795846</v>
      </c>
      <c r="AE32" s="329">
        <f>Entrant_need_figures!F43</f>
        <v>24509.091093232932</v>
      </c>
      <c r="AF32" s="329">
        <f>Entrant_need_figures!G43</f>
        <v>24656.998817781678</v>
      </c>
      <c r="AG32" s="329">
        <f>Entrant_need_figures!H43</f>
        <v>24432.263410506512</v>
      </c>
      <c r="AH32" s="329">
        <f>Entrant_need_figures!I43</f>
        <v>24102.311757997213</v>
      </c>
      <c r="AI32" s="329">
        <f>Entrant_need_figures!J43</f>
        <v>23873.194543470338</v>
      </c>
      <c r="AJ32" s="329">
        <f>Entrant_need_figures!K43</f>
        <v>24450.504710155619</v>
      </c>
      <c r="AK32" s="329">
        <f>Entrant_need_figures!L43</f>
        <v>24916.785672652128</v>
      </c>
      <c r="AL32" s="329">
        <f>Entrant_need_figures!M43</f>
        <v>25036.449572418685</v>
      </c>
      <c r="AM32" s="329">
        <f>Entrant_need_figures!N43</f>
        <v>24924.618653464819</v>
      </c>
    </row>
    <row r="33" spans="2:39">
      <c r="B33" s="249" t="str">
        <f>Entrant_need_figures!B16</f>
        <v>Art &amp; Design</v>
      </c>
      <c r="C33" s="431">
        <f>Entrant_need_figures!C16</f>
        <v>818.75145377217302</v>
      </c>
      <c r="D33" s="431">
        <f>Entrant_need_figures!D16</f>
        <v>927.93654352597684</v>
      </c>
      <c r="E33" s="431">
        <f>Entrant_need_figures!E16</f>
        <v>817.25785947076361</v>
      </c>
      <c r="F33" s="431">
        <f>Entrant_need_figures!F16</f>
        <v>821.31614638925009</v>
      </c>
      <c r="G33" s="431">
        <f>Entrant_need_figures!G16</f>
        <v>922.91788492748583</v>
      </c>
      <c r="H33" s="431">
        <f>Entrant_need_figures!H16</f>
        <v>941.38089751993812</v>
      </c>
      <c r="I33" s="431">
        <f>Entrant_need_figures!I16</f>
        <v>948.22222537427285</v>
      </c>
      <c r="J33" s="431">
        <f>Entrant_need_figures!J16</f>
        <v>962.85061924353772</v>
      </c>
      <c r="K33" s="431">
        <f>Entrant_need_figures!K16</f>
        <v>926.77228411941587</v>
      </c>
      <c r="L33" s="431">
        <f>Entrant_need_figures!L16</f>
        <v>890.58828211018431</v>
      </c>
      <c r="M33" s="431">
        <f>Entrant_need_figures!M16</f>
        <v>872.01931104115033</v>
      </c>
      <c r="N33" s="431">
        <f>Entrant_need_figures!N16</f>
        <v>891.42260405371076</v>
      </c>
      <c r="AA33" s="826" t="s">
        <v>1306</v>
      </c>
      <c r="AB33" s="329">
        <f>Entrant_need_figures!C63</f>
        <v>25325.981524290863</v>
      </c>
      <c r="AC33" s="329">
        <f>Entrant_need_figures!D63</f>
        <v>24864.32398892309</v>
      </c>
      <c r="AD33" s="329">
        <f>Entrant_need_figures!E63</f>
        <v>26448.871508078941</v>
      </c>
      <c r="AE33" s="329">
        <f>Entrant_need_figures!F63</f>
        <v>25797.106539924709</v>
      </c>
      <c r="AF33" s="329">
        <f>Entrant_need_figures!G63</f>
        <v>25450.041469507818</v>
      </c>
      <c r="AG33" s="329">
        <f>Entrant_need_figures!H63</f>
        <v>25527.010741858019</v>
      </c>
      <c r="AH33" s="329">
        <f>Entrant_need_figures!I63</f>
        <v>25845.896651495765</v>
      </c>
      <c r="AI33" s="329">
        <f>Entrant_need_figures!J63</f>
        <v>25731.139914905129</v>
      </c>
      <c r="AJ33" s="329">
        <f>Entrant_need_figures!K63</f>
        <v>24759.538609418585</v>
      </c>
      <c r="AK33" s="329">
        <f>Entrant_need_figures!L63</f>
        <v>24416.167627861571</v>
      </c>
      <c r="AL33" s="329">
        <f>Entrant_need_figures!M63</f>
        <v>24069.983113000369</v>
      </c>
      <c r="AM33" s="329">
        <f>Entrant_need_figures!N63</f>
        <v>23849.453533819546</v>
      </c>
    </row>
    <row r="34" spans="2:39">
      <c r="B34" s="249" t="str">
        <f>Entrant_need_figures!B17</f>
        <v>Biology</v>
      </c>
      <c r="C34" s="431">
        <f>Entrant_need_figures!C17</f>
        <v>1914.5076796152448</v>
      </c>
      <c r="D34" s="431">
        <f>Entrant_need_figures!D17</f>
        <v>1456.0427186937031</v>
      </c>
      <c r="E34" s="431">
        <f>Entrant_need_figures!E17</f>
        <v>1622.9690753203779</v>
      </c>
      <c r="F34" s="431">
        <f>Entrant_need_figures!F17</f>
        <v>1541.0689857592392</v>
      </c>
      <c r="G34" s="431">
        <f>Entrant_need_figures!G17</f>
        <v>1523.4355793739348</v>
      </c>
      <c r="H34" s="431">
        <f>Entrant_need_figures!H17</f>
        <v>1554.0900491778327</v>
      </c>
      <c r="I34" s="431">
        <f>Entrant_need_figures!I17</f>
        <v>1597.2525539966007</v>
      </c>
      <c r="J34" s="431">
        <f>Entrant_need_figures!J17</f>
        <v>1568.3907652139583</v>
      </c>
      <c r="K34" s="431">
        <f>Entrant_need_figures!K17</f>
        <v>1525.6184113063307</v>
      </c>
      <c r="L34" s="431">
        <f>Entrant_need_figures!L17</f>
        <v>1543.0806641013999</v>
      </c>
      <c r="M34" s="431">
        <f>Entrant_need_figures!M17</f>
        <v>1534.0714545852397</v>
      </c>
      <c r="N34" s="431">
        <f>Entrant_need_figures!N17</f>
        <v>1479.2817977451632</v>
      </c>
      <c r="AA34" s="826" t="s">
        <v>1307</v>
      </c>
      <c r="AB34" s="339">
        <f>C32</f>
        <v>27538.544661464744</v>
      </c>
      <c r="AC34" s="339">
        <f t="shared" ref="AC34:AM34" si="1">D32</f>
        <v>26105.002673937081</v>
      </c>
      <c r="AD34" s="339">
        <f t="shared" si="1"/>
        <v>25804.401119795846</v>
      </c>
      <c r="AE34" s="339">
        <f t="shared" si="1"/>
        <v>24509.091093232932</v>
      </c>
      <c r="AF34" s="339">
        <f t="shared" si="1"/>
        <v>24656.998817781678</v>
      </c>
      <c r="AG34" s="339">
        <f t="shared" si="1"/>
        <v>24432.263410506512</v>
      </c>
      <c r="AH34" s="339">
        <f t="shared" si="1"/>
        <v>24102.311757997213</v>
      </c>
      <c r="AI34" s="339">
        <f t="shared" si="1"/>
        <v>23873.194543470338</v>
      </c>
      <c r="AJ34" s="339">
        <f t="shared" si="1"/>
        <v>24450.504710155619</v>
      </c>
      <c r="AK34" s="339">
        <f t="shared" si="1"/>
        <v>24916.785672652128</v>
      </c>
      <c r="AL34" s="339">
        <f t="shared" si="1"/>
        <v>25036.449572418685</v>
      </c>
      <c r="AM34" s="339">
        <f t="shared" si="1"/>
        <v>24924.618653464819</v>
      </c>
    </row>
    <row r="35" spans="2:39">
      <c r="B35" s="249" t="str">
        <f>Entrant_need_figures!B18</f>
        <v>Business Studies</v>
      </c>
      <c r="C35" s="431">
        <f>Entrant_need_figures!C18</f>
        <v>362.24872735684426</v>
      </c>
      <c r="D35" s="431">
        <f>Entrant_need_figures!D18</f>
        <v>373.05911124335444</v>
      </c>
      <c r="E35" s="431">
        <f>Entrant_need_figures!E18</f>
        <v>322.16379969187324</v>
      </c>
      <c r="F35" s="431">
        <f>Entrant_need_figures!F18</f>
        <v>242.64341944863361</v>
      </c>
      <c r="G35" s="431">
        <f>Entrant_need_figures!G18</f>
        <v>361.07790710831665</v>
      </c>
      <c r="H35" s="431">
        <f>Entrant_need_figures!H18</f>
        <v>416.6983553825952</v>
      </c>
      <c r="I35" s="431">
        <f>Entrant_need_figures!I18</f>
        <v>451.85055300150242</v>
      </c>
      <c r="J35" s="431">
        <f>Entrant_need_figures!J18</f>
        <v>438.31222345428705</v>
      </c>
      <c r="K35" s="431">
        <f>Entrant_need_figures!K18</f>
        <v>452.22124837084499</v>
      </c>
      <c r="L35" s="431">
        <f>Entrant_need_figures!L18</f>
        <v>466.43200415197572</v>
      </c>
      <c r="M35" s="431">
        <f>Entrant_need_figures!M18</f>
        <v>469.10526220038776</v>
      </c>
      <c r="N35" s="431">
        <f>Entrant_need_figures!N18</f>
        <v>440.86073111453987</v>
      </c>
      <c r="AA35" s="826" t="s">
        <v>1308</v>
      </c>
      <c r="AB35" s="329">
        <f>C52</f>
        <v>25325.981524290863</v>
      </c>
      <c r="AC35" s="329">
        <f t="shared" ref="AC35:AM35" si="2">D52</f>
        <v>24864.32398892309</v>
      </c>
      <c r="AD35" s="329">
        <f t="shared" si="2"/>
        <v>26448.871508078941</v>
      </c>
      <c r="AE35" s="329">
        <f t="shared" si="2"/>
        <v>25797.106539924709</v>
      </c>
      <c r="AF35" s="329">
        <f t="shared" si="2"/>
        <v>25450.041469507818</v>
      </c>
      <c r="AG35" s="329">
        <f t="shared" si="2"/>
        <v>25527.010741858019</v>
      </c>
      <c r="AH35" s="329">
        <f t="shared" si="2"/>
        <v>25845.896651495765</v>
      </c>
      <c r="AI35" s="329">
        <f t="shared" si="2"/>
        <v>25731.139914905129</v>
      </c>
      <c r="AJ35" s="329">
        <f t="shared" si="2"/>
        <v>24759.538609418585</v>
      </c>
      <c r="AK35" s="329">
        <f t="shared" si="2"/>
        <v>24416.167627861571</v>
      </c>
      <c r="AL35" s="329">
        <f t="shared" si="2"/>
        <v>24069.983113000369</v>
      </c>
      <c r="AM35" s="329">
        <f t="shared" si="2"/>
        <v>23849.453533819546</v>
      </c>
    </row>
    <row r="36" spans="2:39">
      <c r="B36" s="249" t="str">
        <f>Entrant_need_figures!B19</f>
        <v>Chemistry</v>
      </c>
      <c r="C36" s="431">
        <f>Entrant_need_figures!C19</f>
        <v>1643.6448981347612</v>
      </c>
      <c r="D36" s="431">
        <f>Entrant_need_figures!D19</f>
        <v>1300.1736948351936</v>
      </c>
      <c r="E36" s="431">
        <f>Entrant_need_figures!E19</f>
        <v>1369.3635969078512</v>
      </c>
      <c r="F36" s="431">
        <f>Entrant_need_figures!F19</f>
        <v>1370.3546697869631</v>
      </c>
      <c r="G36" s="431">
        <f>Entrant_need_figures!G19</f>
        <v>1350.5794286394669</v>
      </c>
      <c r="H36" s="431">
        <f>Entrant_need_figures!H19</f>
        <v>1375.8173502548311</v>
      </c>
      <c r="I36" s="431">
        <f>Entrant_need_figures!I19</f>
        <v>1411.6156893113766</v>
      </c>
      <c r="J36" s="431">
        <f>Entrant_need_figures!J19</f>
        <v>1375.2824750734162</v>
      </c>
      <c r="K36" s="431">
        <f>Entrant_need_figures!K19</f>
        <v>1334.3803130509314</v>
      </c>
      <c r="L36" s="431">
        <f>Entrant_need_figures!L19</f>
        <v>1353.9948822402539</v>
      </c>
      <c r="M36" s="431">
        <f>Entrant_need_figures!M19</f>
        <v>1344.5024695298421</v>
      </c>
      <c r="N36" s="431">
        <f>Entrant_need_figures!N19</f>
        <v>1283.2001953735639</v>
      </c>
    </row>
    <row r="37" spans="2:39">
      <c r="B37" s="249" t="str">
        <f>Entrant_need_figures!B20</f>
        <v>Classics</v>
      </c>
      <c r="C37" s="431">
        <f>Entrant_need_figures!C20</f>
        <v>40.462977276203873</v>
      </c>
      <c r="D37" s="431">
        <f>Entrant_need_figures!D20</f>
        <v>40.103914155770951</v>
      </c>
      <c r="E37" s="431">
        <f>Entrant_need_figures!E20</f>
        <v>38.885487227047463</v>
      </c>
      <c r="F37" s="431">
        <f>Entrant_need_figures!F20</f>
        <v>37.79443409415417</v>
      </c>
      <c r="G37" s="431">
        <f>Entrant_need_figures!G20</f>
        <v>37.320608334297425</v>
      </c>
      <c r="H37" s="431">
        <f>Entrant_need_figures!H20</f>
        <v>37.508610997447512</v>
      </c>
      <c r="I37" s="431">
        <f>Entrant_need_figures!I20</f>
        <v>38.178825260527432</v>
      </c>
      <c r="J37" s="431">
        <f>Entrant_need_figures!J20</f>
        <v>37.964857506925505</v>
      </c>
      <c r="K37" s="431">
        <f>Entrant_need_figures!K20</f>
        <v>37.386645759601443</v>
      </c>
      <c r="L37" s="431">
        <f>Entrant_need_figures!L20</f>
        <v>36.484506038977038</v>
      </c>
      <c r="M37" s="431">
        <f>Entrant_need_figures!M20</f>
        <v>35.996949863146021</v>
      </c>
      <c r="N37" s="431">
        <f>Entrant_need_figures!N20</f>
        <v>35.965383679281501</v>
      </c>
    </row>
    <row r="38" spans="2:39">
      <c r="B38" s="249" t="str">
        <f>Entrant_need_figures!B21</f>
        <v>Computing</v>
      </c>
      <c r="C38" s="431">
        <f>Entrant_need_figures!C21</f>
        <v>709.32546447980587</v>
      </c>
      <c r="D38" s="431">
        <f>Entrant_need_figures!D21</f>
        <v>843.57843472215291</v>
      </c>
      <c r="E38" s="431">
        <f>Entrant_need_figures!E21</f>
        <v>606.54529199878812</v>
      </c>
      <c r="F38" s="431">
        <f>Entrant_need_figures!F21</f>
        <v>583.35086242820535</v>
      </c>
      <c r="G38" s="431">
        <f>Entrant_need_figures!G21</f>
        <v>773.9857188455577</v>
      </c>
      <c r="H38" s="431">
        <f>Entrant_need_figures!H21</f>
        <v>832.54281536747317</v>
      </c>
      <c r="I38" s="431">
        <f>Entrant_need_figures!I21</f>
        <v>846.49492966501373</v>
      </c>
      <c r="J38" s="431">
        <f>Entrant_need_figures!J21</f>
        <v>853.1581471224514</v>
      </c>
      <c r="K38" s="431">
        <f>Entrant_need_figures!K21</f>
        <v>827.13041414329996</v>
      </c>
      <c r="L38" s="431">
        <f>Entrant_need_figures!L21</f>
        <v>808.33190401463776</v>
      </c>
      <c r="M38" s="431">
        <f>Entrant_need_figures!M21</f>
        <v>796.29075672587828</v>
      </c>
      <c r="N38" s="431">
        <f>Entrant_need_figures!N21</f>
        <v>800.54945796281163</v>
      </c>
    </row>
    <row r="39" spans="2:39" ht="22.5">
      <c r="B39" s="249" t="str">
        <f>Entrant_need_figures!B22</f>
        <v>Design &amp; Technology</v>
      </c>
      <c r="C39" s="431">
        <f>Entrant_need_figures!C22</f>
        <v>1245.0689442608946</v>
      </c>
      <c r="D39" s="431">
        <f>Entrant_need_figures!D22</f>
        <v>1311.846587985312</v>
      </c>
      <c r="E39" s="431">
        <f>Entrant_need_figures!E22</f>
        <v>1012.1564823549604</v>
      </c>
      <c r="F39" s="431">
        <f>Entrant_need_figures!F22</f>
        <v>918.40314532993511</v>
      </c>
      <c r="G39" s="431">
        <f>Entrant_need_figures!G22</f>
        <v>1109.0705573766031</v>
      </c>
      <c r="H39" s="431">
        <f>Entrant_need_figures!H22</f>
        <v>1164.802208393276</v>
      </c>
      <c r="I39" s="431">
        <f>Entrant_need_figures!I22</f>
        <v>1142.0498555740651</v>
      </c>
      <c r="J39" s="431">
        <f>Entrant_need_figures!J22</f>
        <v>1162.780409032571</v>
      </c>
      <c r="K39" s="431">
        <f>Entrant_need_figures!K22</f>
        <v>1093.2713559971535</v>
      </c>
      <c r="L39" s="431">
        <f>Entrant_need_figures!L22</f>
        <v>1024.9326813218624</v>
      </c>
      <c r="M39" s="431">
        <f>Entrant_need_figures!M22</f>
        <v>991.48896928915133</v>
      </c>
      <c r="N39" s="431">
        <f>Entrant_need_figures!N22</f>
        <v>1034.7806866282249</v>
      </c>
    </row>
    <row r="40" spans="2:39">
      <c r="B40" s="249" t="str">
        <f>Entrant_need_figures!B23</f>
        <v>Drama</v>
      </c>
      <c r="C40" s="431">
        <f>Entrant_need_figures!C23</f>
        <v>500.66562407477022</v>
      </c>
      <c r="D40" s="431">
        <f>Entrant_need_figures!D23</f>
        <v>535.81534290220816</v>
      </c>
      <c r="E40" s="431">
        <f>Entrant_need_figures!E23</f>
        <v>524.0947653422545</v>
      </c>
      <c r="F40" s="431">
        <f>Entrant_need_figures!F23</f>
        <v>506.27762177873194</v>
      </c>
      <c r="G40" s="431">
        <f>Entrant_need_figures!G23</f>
        <v>502.59427234489328</v>
      </c>
      <c r="H40" s="431">
        <f>Entrant_need_figures!H23</f>
        <v>542.0105294600877</v>
      </c>
      <c r="I40" s="431">
        <f>Entrant_need_figures!I23</f>
        <v>545.64501769486344</v>
      </c>
      <c r="J40" s="431">
        <f>Entrant_need_figures!J23</f>
        <v>558.07417897334494</v>
      </c>
      <c r="K40" s="431">
        <f>Entrant_need_figures!K23</f>
        <v>535.94832354417588</v>
      </c>
      <c r="L40" s="431">
        <f>Entrant_need_figures!L23</f>
        <v>515.54095619313125</v>
      </c>
      <c r="M40" s="431">
        <f>Entrant_need_figures!M23</f>
        <v>506.49020975013286</v>
      </c>
      <c r="N40" s="431">
        <f>Entrant_need_figures!N23</f>
        <v>522.93864569563834</v>
      </c>
    </row>
    <row r="41" spans="2:39">
      <c r="B41" s="249" t="str">
        <f>Entrant_need_figures!B24</f>
        <v>English</v>
      </c>
      <c r="C41" s="431">
        <f>Entrant_need_figures!C24</f>
        <v>3778.1104864577228</v>
      </c>
      <c r="D41" s="431">
        <f>Entrant_need_figures!D24</f>
        <v>3599.4228192505816</v>
      </c>
      <c r="E41" s="431">
        <f>Entrant_need_figures!E24</f>
        <v>3862.8994883252717</v>
      </c>
      <c r="F41" s="431">
        <f>Entrant_need_figures!F24</f>
        <v>3701.4082860658532</v>
      </c>
      <c r="G41" s="431">
        <f>Entrant_need_figures!G24</f>
        <v>3615.2957762173473</v>
      </c>
      <c r="H41" s="431">
        <f>Entrant_need_figures!H24</f>
        <v>3630.9258555009756</v>
      </c>
      <c r="I41" s="431">
        <f>Entrant_need_figures!I24</f>
        <v>3661.6593030373506</v>
      </c>
      <c r="J41" s="431">
        <f>Entrant_need_figures!J24</f>
        <v>3620.3691206946369</v>
      </c>
      <c r="K41" s="431">
        <f>Entrant_need_figures!K24</f>
        <v>3455.9903259364196</v>
      </c>
      <c r="L41" s="431">
        <f>Entrant_need_figures!L24</f>
        <v>3435.1827295512644</v>
      </c>
      <c r="M41" s="431">
        <f>Entrant_need_figures!M24</f>
        <v>3388.9169995444304</v>
      </c>
      <c r="N41" s="431">
        <f>Entrant_need_figures!N24</f>
        <v>3324.7251138627344</v>
      </c>
    </row>
    <row r="42" spans="2:39">
      <c r="B42" s="249" t="str">
        <f>Entrant_need_figures!B25</f>
        <v>Food</v>
      </c>
      <c r="C42" s="431">
        <f>Entrant_need_figures!C25</f>
        <v>234.07235550154263</v>
      </c>
      <c r="D42" s="431">
        <f>Entrant_need_figures!D25</f>
        <v>284.27617634968738</v>
      </c>
      <c r="E42" s="431">
        <f>Entrant_need_figures!E25</f>
        <v>194.17053582383005</v>
      </c>
      <c r="F42" s="431">
        <f>Entrant_need_figures!F25</f>
        <v>170.8270791023503</v>
      </c>
      <c r="G42" s="431">
        <f>Entrant_need_figures!G25</f>
        <v>230.37708101191996</v>
      </c>
      <c r="H42" s="431">
        <f>Entrant_need_figures!H25</f>
        <v>245.70104364650734</v>
      </c>
      <c r="I42" s="431">
        <f>Entrant_need_figures!I25</f>
        <v>246.34790451003173</v>
      </c>
      <c r="J42" s="431">
        <f>Entrant_need_figures!J25</f>
        <v>236.46023169056463</v>
      </c>
      <c r="K42" s="431">
        <f>Entrant_need_figures!K25</f>
        <v>224.73956387035648</v>
      </c>
      <c r="L42" s="431">
        <f>Entrant_need_figures!L25</f>
        <v>226.24983913949038</v>
      </c>
      <c r="M42" s="431">
        <f>Entrant_need_figures!M25</f>
        <v>222.57327350751743</v>
      </c>
      <c r="N42" s="431">
        <f>Entrant_need_figures!N25</f>
        <v>210.23572617202188</v>
      </c>
    </row>
    <row r="43" spans="2:39">
      <c r="B43" s="249" t="str">
        <f>Entrant_need_figures!B26</f>
        <v>Geography</v>
      </c>
      <c r="C43" s="431">
        <f>Entrant_need_figures!C26</f>
        <v>1091.6578874521288</v>
      </c>
      <c r="D43" s="431">
        <f>Entrant_need_figures!D26</f>
        <v>1176.8486226628406</v>
      </c>
      <c r="E43" s="431">
        <f>Entrant_need_figures!E26</f>
        <v>1578.1307391323012</v>
      </c>
      <c r="F43" s="431">
        <f>Entrant_need_figures!F26</f>
        <v>1559.9435854724363</v>
      </c>
      <c r="G43" s="431">
        <f>Entrant_need_figures!G26</f>
        <v>1330.3897823669502</v>
      </c>
      <c r="H43" s="431">
        <f>Entrant_need_figures!H26</f>
        <v>1288.7634130233025</v>
      </c>
      <c r="I43" s="431">
        <f>Entrant_need_figures!I26</f>
        <v>1294.644023061835</v>
      </c>
      <c r="J43" s="431">
        <f>Entrant_need_figures!J26</f>
        <v>1303.7414380971634</v>
      </c>
      <c r="K43" s="431">
        <f>Entrant_need_figures!K26</f>
        <v>1244.6928236847466</v>
      </c>
      <c r="L43" s="431">
        <f>Entrant_need_figures!L26</f>
        <v>1213.3361672022436</v>
      </c>
      <c r="M43" s="431">
        <f>Entrant_need_figures!M26</f>
        <v>1192.8208878862974</v>
      </c>
      <c r="N43" s="431">
        <f>Entrant_need_figures!N26</f>
        <v>1204.3424150166754</v>
      </c>
    </row>
    <row r="44" spans="2:39">
      <c r="B44" s="249" t="str">
        <f>Entrant_need_figures!B27</f>
        <v>History</v>
      </c>
      <c r="C44" s="431">
        <f>Entrant_need_figures!C27</f>
        <v>1081.6752707668475</v>
      </c>
      <c r="D44" s="431">
        <f>Entrant_need_figures!D27</f>
        <v>1242.6293981653848</v>
      </c>
      <c r="E44" s="431">
        <f>Entrant_need_figures!E27</f>
        <v>1516.6921585404023</v>
      </c>
      <c r="F44" s="431">
        <f>Entrant_need_figures!F27</f>
        <v>1571.7216952093804</v>
      </c>
      <c r="G44" s="431">
        <f>Entrant_need_figures!G27</f>
        <v>1361.6441528973978</v>
      </c>
      <c r="H44" s="431">
        <f>Entrant_need_figures!H27</f>
        <v>1350.7580453005312</v>
      </c>
      <c r="I44" s="431">
        <f>Entrant_need_figures!I27</f>
        <v>1362.0636501364806</v>
      </c>
      <c r="J44" s="431">
        <f>Entrant_need_figures!J27</f>
        <v>1369.6103235530522</v>
      </c>
      <c r="K44" s="431">
        <f>Entrant_need_figures!K27</f>
        <v>1313.2053394274715</v>
      </c>
      <c r="L44" s="431">
        <f>Entrant_need_figures!L27</f>
        <v>1282.8334505470709</v>
      </c>
      <c r="M44" s="431">
        <f>Entrant_need_figures!M27</f>
        <v>1262.3868850136987</v>
      </c>
      <c r="N44" s="431">
        <f>Entrant_need_figures!N27</f>
        <v>1270.4926074627915</v>
      </c>
    </row>
    <row r="45" spans="2:39">
      <c r="B45" s="249" t="str">
        <f>Entrant_need_figures!B28</f>
        <v>Mathematics</v>
      </c>
      <c r="C45" s="431">
        <f>Entrant_need_figures!C28</f>
        <v>4533.0586834746464</v>
      </c>
      <c r="D45" s="431">
        <f>Entrant_need_figures!D28</f>
        <v>4151.1912952787143</v>
      </c>
      <c r="E45" s="431">
        <f>Entrant_need_figures!E28</f>
        <v>4253.0396385280801</v>
      </c>
      <c r="F45" s="431">
        <f>Entrant_need_figures!F28</f>
        <v>4116.8985425687888</v>
      </c>
      <c r="G45" s="431">
        <f>Entrant_need_figures!G28</f>
        <v>4076.1032526889899</v>
      </c>
      <c r="H45" s="431">
        <f>Entrant_need_figures!H28</f>
        <v>3972.780827279938</v>
      </c>
      <c r="I45" s="431">
        <f>Entrant_need_figures!I28</f>
        <v>3999.0652238733483</v>
      </c>
      <c r="J45" s="431">
        <f>Entrant_need_figures!J28</f>
        <v>3952.3341882604354</v>
      </c>
      <c r="K45" s="431">
        <f>Entrant_need_figures!K28</f>
        <v>3780.3366397170557</v>
      </c>
      <c r="L45" s="431">
        <f>Entrant_need_figures!L28</f>
        <v>3737.8028243573672</v>
      </c>
      <c r="M45" s="431">
        <f>Entrant_need_figures!M28</f>
        <v>3678.4063194105711</v>
      </c>
      <c r="N45" s="431">
        <f>Entrant_need_figures!N28</f>
        <v>3612.9428403986103</v>
      </c>
    </row>
    <row r="46" spans="2:39" ht="22.5">
      <c r="B46" s="249" t="str">
        <f>Entrant_need_figures!B29</f>
        <v>Modern Foreign Languages</v>
      </c>
      <c r="C46" s="431">
        <f>Entrant_need_figures!C29</f>
        <v>1598.4891505508069</v>
      </c>
      <c r="D46" s="431">
        <f>Entrant_need_figures!D29</f>
        <v>1814.5522420788348</v>
      </c>
      <c r="E46" s="431">
        <f>Entrant_need_figures!E29</f>
        <v>3169.8238040684982</v>
      </c>
      <c r="F46" s="431">
        <f>Entrant_need_figures!F29</f>
        <v>3382.5455067966113</v>
      </c>
      <c r="G46" s="431">
        <f>Entrant_need_figures!G29</f>
        <v>2577.6234451171326</v>
      </c>
      <c r="H46" s="431">
        <f>Entrant_need_figures!H29</f>
        <v>2200.730093337505</v>
      </c>
      <c r="I46" s="431">
        <f>Entrant_need_figures!I29</f>
        <v>2191.2039640264884</v>
      </c>
      <c r="J46" s="431">
        <f>Entrant_need_figures!J29</f>
        <v>2194.4925909694066</v>
      </c>
      <c r="K46" s="431">
        <f>Entrant_need_figures!K29</f>
        <v>2077.6440279294093</v>
      </c>
      <c r="L46" s="431">
        <f>Entrant_need_figures!L29</f>
        <v>2017.5374365779689</v>
      </c>
      <c r="M46" s="431">
        <f>Entrant_need_figures!M29</f>
        <v>1973.8877271487099</v>
      </c>
      <c r="N46" s="431">
        <f>Entrant_need_figures!N29</f>
        <v>1984.3324489999882</v>
      </c>
    </row>
    <row r="47" spans="2:39">
      <c r="B47" s="249" t="str">
        <f>Entrant_need_figures!B30</f>
        <v>Music</v>
      </c>
      <c r="C47" s="431">
        <f>Entrant_need_figures!C30</f>
        <v>518.19712238615239</v>
      </c>
      <c r="D47" s="431">
        <f>Entrant_need_figures!D30</f>
        <v>563.21972711972126</v>
      </c>
      <c r="E47" s="431">
        <f>Entrant_need_figures!E30</f>
        <v>572.59936089012535</v>
      </c>
      <c r="F47" s="431">
        <f>Entrant_need_figures!F30</f>
        <v>592.16071758430417</v>
      </c>
      <c r="G47" s="431">
        <f>Entrant_need_figures!G30</f>
        <v>583.48353399109374</v>
      </c>
      <c r="H47" s="431">
        <f>Entrant_need_figures!H30</f>
        <v>573.27595593338151</v>
      </c>
      <c r="I47" s="431">
        <f>Entrant_need_figures!I30</f>
        <v>567.32244580792019</v>
      </c>
      <c r="J47" s="431">
        <f>Entrant_need_figures!J30</f>
        <v>588.9684862115779</v>
      </c>
      <c r="K47" s="431">
        <f>Entrant_need_figures!K30</f>
        <v>557.81099730005849</v>
      </c>
      <c r="L47" s="431">
        <f>Entrant_need_figures!L30</f>
        <v>522.11676448490664</v>
      </c>
      <c r="M47" s="431">
        <f>Entrant_need_figures!M30</f>
        <v>508.07188932545034</v>
      </c>
      <c r="N47" s="431">
        <f>Entrant_need_figures!N30</f>
        <v>541.22773670326114</v>
      </c>
    </row>
    <row r="48" spans="2:39">
      <c r="B48" s="249" t="str">
        <f>Entrant_need_figures!B31</f>
        <v>Others</v>
      </c>
      <c r="C48" s="431">
        <f>Entrant_need_figures!C31</f>
        <v>1500.072456160216</v>
      </c>
      <c r="D48" s="431">
        <f>Entrant_need_figures!D31</f>
        <v>1426.8587676432212</v>
      </c>
      <c r="E48" s="431">
        <f>Entrant_need_figures!E31</f>
        <v>1185.3582393233153</v>
      </c>
      <c r="F48" s="431">
        <f>Entrant_need_figures!F31</f>
        <v>976.81158309329089</v>
      </c>
      <c r="G48" s="431">
        <f>Entrant_need_figures!G31</f>
        <v>1246.1324373362588</v>
      </c>
      <c r="H48" s="431">
        <f>Entrant_need_figures!H31</f>
        <v>1453.4041357684314</v>
      </c>
      <c r="I48" s="431">
        <f>Entrant_need_figures!I31</f>
        <v>1534.617368578306</v>
      </c>
      <c r="J48" s="431">
        <f>Entrant_need_figures!J31</f>
        <v>1533.1794714305215</v>
      </c>
      <c r="K48" s="431">
        <f>Entrant_need_figures!K31</f>
        <v>1557.5545323627464</v>
      </c>
      <c r="L48" s="431">
        <f>Entrant_need_figures!L31</f>
        <v>1542.6215110310686</v>
      </c>
      <c r="M48" s="431">
        <f>Entrant_need_figures!M31</f>
        <v>1536.1819899927011</v>
      </c>
      <c r="N48" s="431">
        <f>Entrant_need_figures!N31</f>
        <v>1520.0108002949419</v>
      </c>
    </row>
    <row r="49" spans="2:14">
      <c r="B49" s="249" t="str">
        <f>Entrant_need_figures!B32</f>
        <v>Physical Education</v>
      </c>
      <c r="C49" s="431">
        <f>Entrant_need_figures!C32</f>
        <v>1349.2738287837035</v>
      </c>
      <c r="D49" s="431">
        <f>Entrant_need_figures!D32</f>
        <v>1686.8057178190093</v>
      </c>
      <c r="E49" s="431">
        <f>Entrant_need_figures!E32</f>
        <v>1515.9865558265149</v>
      </c>
      <c r="F49" s="431">
        <f>Entrant_need_figures!F32</f>
        <v>1482.5629363650601</v>
      </c>
      <c r="G49" s="431">
        <f>Entrant_need_figures!G32</f>
        <v>1662.3140725742633</v>
      </c>
      <c r="H49" s="431">
        <f>Entrant_need_figures!H32</f>
        <v>1742.4954335829016</v>
      </c>
      <c r="I49" s="431">
        <f>Entrant_need_figures!I32</f>
        <v>1768.7514463063585</v>
      </c>
      <c r="J49" s="431">
        <f>Entrant_need_figures!J32</f>
        <v>1780.1332561342128</v>
      </c>
      <c r="K49" s="431">
        <f>Entrant_need_figures!K32</f>
        <v>1704.1827534635227</v>
      </c>
      <c r="L49" s="431">
        <f>Entrant_need_figures!L32</f>
        <v>1683.241480888559</v>
      </c>
      <c r="M49" s="431">
        <f>Entrant_need_figures!M32</f>
        <v>1664.9481247333433</v>
      </c>
      <c r="N49" s="431">
        <f>Entrant_need_figures!N32</f>
        <v>1669.1868353152549</v>
      </c>
    </row>
    <row r="50" spans="2:14">
      <c r="B50" s="249" t="str">
        <f>Entrant_need_figures!B33</f>
        <v>Physics</v>
      </c>
      <c r="C50" s="431">
        <f>Entrant_need_figures!C33</f>
        <v>1631.0443069596247</v>
      </c>
      <c r="D50" s="431">
        <f>Entrant_need_figures!D33</f>
        <v>1285.3823896686515</v>
      </c>
      <c r="E50" s="431">
        <f>Entrant_need_figures!E33</f>
        <v>1355.7186393380998</v>
      </c>
      <c r="F50" s="431">
        <f>Entrant_need_figures!F33</f>
        <v>1351.3681617479645</v>
      </c>
      <c r="G50" s="431">
        <f>Entrant_need_figures!G33</f>
        <v>1326.0834198792879</v>
      </c>
      <c r="H50" s="431">
        <f>Entrant_need_figures!H33</f>
        <v>1347.1957044035869</v>
      </c>
      <c r="I50" s="431">
        <f>Entrant_need_figures!I33</f>
        <v>1378.2996306252403</v>
      </c>
      <c r="J50" s="431">
        <f>Entrant_need_figures!J33</f>
        <v>1336.4078717100294</v>
      </c>
      <c r="K50" s="431">
        <f>Entrant_need_figures!K33</f>
        <v>1290.9992024313312</v>
      </c>
      <c r="L50" s="431">
        <f>Entrant_need_figures!L33</f>
        <v>1312.4413665041593</v>
      </c>
      <c r="M50" s="431">
        <f>Entrant_need_figures!M33</f>
        <v>1301.8671056283961</v>
      </c>
      <c r="N50" s="431">
        <f>Entrant_need_figures!N33</f>
        <v>1234.9691066198673</v>
      </c>
    </row>
    <row r="51" spans="2:14">
      <c r="B51" s="249" t="str">
        <f>Entrant_need_figures!B34</f>
        <v>Religious Education</v>
      </c>
      <c r="C51" s="431">
        <f>Entrant_need_figures!C34</f>
        <v>775.65420682677745</v>
      </c>
      <c r="D51" s="431">
        <f>Entrant_need_figures!D34</f>
        <v>844.58048482276604</v>
      </c>
      <c r="E51" s="431">
        <f>Entrant_need_figures!E34</f>
        <v>931.01598996858297</v>
      </c>
      <c r="F51" s="431">
        <f>Entrant_need_figures!F34</f>
        <v>869.6491609035586</v>
      </c>
      <c r="G51" s="431">
        <f>Entrant_need_figures!G34</f>
        <v>859.61255847662369</v>
      </c>
      <c r="H51" s="431">
        <f>Entrant_need_figures!H34</f>
        <v>856.12941752747361</v>
      </c>
      <c r="I51" s="431">
        <f>Entrant_need_figures!I34</f>
        <v>860.61204165418258</v>
      </c>
      <c r="J51" s="431">
        <f>Entrant_need_figures!J34</f>
        <v>858.62926053302999</v>
      </c>
      <c r="K51" s="431">
        <f>Entrant_need_figures!K34</f>
        <v>819.65340700371758</v>
      </c>
      <c r="L51" s="431">
        <f>Entrant_need_figures!L34</f>
        <v>803.41817740504644</v>
      </c>
      <c r="M51" s="431">
        <f>Entrant_need_figures!M34</f>
        <v>789.95652782432785</v>
      </c>
      <c r="N51" s="431">
        <f>Entrant_need_figures!N34</f>
        <v>787.98840072046607</v>
      </c>
    </row>
    <row r="52" spans="2:14" ht="33.75">
      <c r="B52" s="249" t="str">
        <f>Entrant_need_figures!B35</f>
        <v>Total secondary entrant teacher need</v>
      </c>
      <c r="C52" s="431">
        <f>Entrant_need_figures!C35</f>
        <v>25325.981524290863</v>
      </c>
      <c r="D52" s="431">
        <f>Entrant_need_figures!D35</f>
        <v>24864.32398892309</v>
      </c>
      <c r="E52" s="431">
        <f>Entrant_need_figures!E35</f>
        <v>26448.871508078941</v>
      </c>
      <c r="F52" s="431">
        <f>Entrant_need_figures!F35</f>
        <v>25797.106539924709</v>
      </c>
      <c r="G52" s="431">
        <f>Entrant_need_figures!G35</f>
        <v>25450.041469507818</v>
      </c>
      <c r="H52" s="431">
        <f>Entrant_need_figures!H35</f>
        <v>25527.010741858019</v>
      </c>
      <c r="I52" s="431">
        <f>Entrant_need_figures!I35</f>
        <v>25845.896651495765</v>
      </c>
      <c r="J52" s="431">
        <f>Entrant_need_figures!J35</f>
        <v>25731.139914905129</v>
      </c>
      <c r="K52" s="431">
        <f>Entrant_need_figures!K35</f>
        <v>24759.538609418585</v>
      </c>
      <c r="L52" s="431">
        <f>Entrant_need_figures!L35</f>
        <v>24416.167627861571</v>
      </c>
      <c r="M52" s="431">
        <f>Entrant_need_figures!M35</f>
        <v>24069.983113000369</v>
      </c>
      <c r="N52" s="431">
        <f>Entrant_need_figures!N35</f>
        <v>23849.453533819546</v>
      </c>
    </row>
    <row r="54" spans="2:14" ht="15">
      <c r="B54" s="843" t="s">
        <v>1322</v>
      </c>
    </row>
    <row r="55" spans="2:14">
      <c r="B55" s="76"/>
    </row>
    <row r="56" spans="2:14">
      <c r="B56" s="571"/>
      <c r="C56" s="224" t="str">
        <f t="shared" ref="C56:N56" si="3">C31</f>
        <v>2016/17</v>
      </c>
      <c r="D56" s="224" t="str">
        <f t="shared" si="3"/>
        <v>2017/18</v>
      </c>
      <c r="E56" s="224" t="str">
        <f t="shared" si="3"/>
        <v>2018/19</v>
      </c>
      <c r="F56" s="224" t="str">
        <f t="shared" si="3"/>
        <v>2019/20</v>
      </c>
      <c r="G56" s="224" t="str">
        <f t="shared" si="3"/>
        <v>2020/21</v>
      </c>
      <c r="H56" s="224" t="str">
        <f t="shared" si="3"/>
        <v>2021/22</v>
      </c>
      <c r="I56" s="224" t="str">
        <f t="shared" si="3"/>
        <v>2022/23</v>
      </c>
      <c r="J56" s="224" t="str">
        <f t="shared" si="3"/>
        <v>2023/24</v>
      </c>
      <c r="K56" s="224" t="str">
        <f t="shared" si="3"/>
        <v>2024/25</v>
      </c>
      <c r="L56" s="224" t="str">
        <f t="shared" si="3"/>
        <v>2025/26</v>
      </c>
      <c r="M56" s="224" t="str">
        <f t="shared" si="3"/>
        <v>2026/27</v>
      </c>
      <c r="N56" s="224" t="str">
        <f t="shared" si="3"/>
        <v>2027/28</v>
      </c>
    </row>
    <row r="57" spans="2:14">
      <c r="B57" s="249" t="str">
        <f t="shared" ref="B57:B68" si="4">B32</f>
        <v>Primary</v>
      </c>
      <c r="C57" s="563">
        <f>C32-Entrant_need_figures!C43</f>
        <v>0</v>
      </c>
      <c r="D57" s="563">
        <f>D32-Entrant_need_figures!D43</f>
        <v>0</v>
      </c>
      <c r="E57" s="563">
        <f>E32-Entrant_need_figures!E43</f>
        <v>0</v>
      </c>
      <c r="F57" s="563">
        <f>F32-Entrant_need_figures!F43</f>
        <v>0</v>
      </c>
      <c r="G57" s="563">
        <f>G32-Entrant_need_figures!G43</f>
        <v>0</v>
      </c>
      <c r="H57" s="563">
        <f>H32-Entrant_need_figures!H43</f>
        <v>0</v>
      </c>
      <c r="I57" s="563">
        <f>I32-Entrant_need_figures!I43</f>
        <v>0</v>
      </c>
      <c r="J57" s="563">
        <f>J32-Entrant_need_figures!J43</f>
        <v>0</v>
      </c>
      <c r="K57" s="563">
        <f>K32-Entrant_need_figures!K43</f>
        <v>0</v>
      </c>
      <c r="L57" s="563">
        <f>L32-Entrant_need_figures!L43</f>
        <v>0</v>
      </c>
      <c r="M57" s="563">
        <f>M32-Entrant_need_figures!M43</f>
        <v>0</v>
      </c>
      <c r="N57" s="563">
        <f>N32-Entrant_need_figures!N43</f>
        <v>0</v>
      </c>
    </row>
    <row r="58" spans="2:14">
      <c r="B58" s="249" t="str">
        <f t="shared" si="4"/>
        <v>Art &amp; Design</v>
      </c>
      <c r="C58" s="563">
        <f>C33-Entrant_need_figures!C44</f>
        <v>0</v>
      </c>
      <c r="D58" s="563">
        <f>D33-Entrant_need_figures!D44</f>
        <v>0</v>
      </c>
      <c r="E58" s="563">
        <f>E33-Entrant_need_figures!E44</f>
        <v>0</v>
      </c>
      <c r="F58" s="563">
        <f>F33-Entrant_need_figures!F44</f>
        <v>0</v>
      </c>
      <c r="G58" s="563">
        <f>G33-Entrant_need_figures!G44</f>
        <v>0</v>
      </c>
      <c r="H58" s="563">
        <f>H33-Entrant_need_figures!H44</f>
        <v>0</v>
      </c>
      <c r="I58" s="563">
        <f>I33-Entrant_need_figures!I44</f>
        <v>0</v>
      </c>
      <c r="J58" s="563">
        <f>J33-Entrant_need_figures!J44</f>
        <v>0</v>
      </c>
      <c r="K58" s="563">
        <f>K33-Entrant_need_figures!K44</f>
        <v>0</v>
      </c>
      <c r="L58" s="563">
        <f>L33-Entrant_need_figures!L44</f>
        <v>0</v>
      </c>
      <c r="M58" s="563">
        <f>M33-Entrant_need_figures!M44</f>
        <v>0</v>
      </c>
      <c r="N58" s="563">
        <f>N33-Entrant_need_figures!N44</f>
        <v>0</v>
      </c>
    </row>
    <row r="59" spans="2:14">
      <c r="B59" s="249" t="str">
        <f t="shared" si="4"/>
        <v>Biology</v>
      </c>
      <c r="C59" s="563">
        <f>C34-Entrant_need_figures!C45</f>
        <v>0</v>
      </c>
      <c r="D59" s="563">
        <f>D34-Entrant_need_figures!D45</f>
        <v>0</v>
      </c>
      <c r="E59" s="563">
        <f>E34-Entrant_need_figures!E45</f>
        <v>0</v>
      </c>
      <c r="F59" s="563">
        <f>F34-Entrant_need_figures!F45</f>
        <v>0</v>
      </c>
      <c r="G59" s="563">
        <f>G34-Entrant_need_figures!G45</f>
        <v>0</v>
      </c>
      <c r="H59" s="563">
        <f>H34-Entrant_need_figures!H45</f>
        <v>0</v>
      </c>
      <c r="I59" s="563">
        <f>I34-Entrant_need_figures!I45</f>
        <v>0</v>
      </c>
      <c r="J59" s="563">
        <f>J34-Entrant_need_figures!J45</f>
        <v>0</v>
      </c>
      <c r="K59" s="563">
        <f>K34-Entrant_need_figures!K45</f>
        <v>0</v>
      </c>
      <c r="L59" s="563">
        <f>L34-Entrant_need_figures!L45</f>
        <v>0</v>
      </c>
      <c r="M59" s="563">
        <f>M34-Entrant_need_figures!M45</f>
        <v>0</v>
      </c>
      <c r="N59" s="563">
        <f>N34-Entrant_need_figures!N45</f>
        <v>0</v>
      </c>
    </row>
    <row r="60" spans="2:14">
      <c r="B60" s="249" t="str">
        <f t="shared" si="4"/>
        <v>Business Studies</v>
      </c>
      <c r="C60" s="563">
        <f>C35-Entrant_need_figures!C46</f>
        <v>0</v>
      </c>
      <c r="D60" s="563">
        <f>D35-Entrant_need_figures!D46</f>
        <v>0</v>
      </c>
      <c r="E60" s="563">
        <f>E35-Entrant_need_figures!E46</f>
        <v>0</v>
      </c>
      <c r="F60" s="563">
        <f>F35-Entrant_need_figures!F46</f>
        <v>0</v>
      </c>
      <c r="G60" s="563">
        <f>G35-Entrant_need_figures!G46</f>
        <v>0</v>
      </c>
      <c r="H60" s="563">
        <f>H35-Entrant_need_figures!H46</f>
        <v>0</v>
      </c>
      <c r="I60" s="563">
        <f>I35-Entrant_need_figures!I46</f>
        <v>0</v>
      </c>
      <c r="J60" s="563">
        <f>J35-Entrant_need_figures!J46</f>
        <v>0</v>
      </c>
      <c r="K60" s="563">
        <f>K35-Entrant_need_figures!K46</f>
        <v>0</v>
      </c>
      <c r="L60" s="563">
        <f>L35-Entrant_need_figures!L46</f>
        <v>0</v>
      </c>
      <c r="M60" s="563">
        <f>M35-Entrant_need_figures!M46</f>
        <v>0</v>
      </c>
      <c r="N60" s="563">
        <f>N35-Entrant_need_figures!N46</f>
        <v>0</v>
      </c>
    </row>
    <row r="61" spans="2:14">
      <c r="B61" s="249" t="str">
        <f t="shared" si="4"/>
        <v>Chemistry</v>
      </c>
      <c r="C61" s="563">
        <f>C36-Entrant_need_figures!C47</f>
        <v>0</v>
      </c>
      <c r="D61" s="563">
        <f>D36-Entrant_need_figures!D47</f>
        <v>0</v>
      </c>
      <c r="E61" s="563">
        <f>E36-Entrant_need_figures!E47</f>
        <v>0</v>
      </c>
      <c r="F61" s="563">
        <f>F36-Entrant_need_figures!F47</f>
        <v>0</v>
      </c>
      <c r="G61" s="563">
        <f>G36-Entrant_need_figures!G47</f>
        <v>0</v>
      </c>
      <c r="H61" s="563">
        <f>H36-Entrant_need_figures!H47</f>
        <v>0</v>
      </c>
      <c r="I61" s="563">
        <f>I36-Entrant_need_figures!I47</f>
        <v>0</v>
      </c>
      <c r="J61" s="563">
        <f>J36-Entrant_need_figures!J47</f>
        <v>0</v>
      </c>
      <c r="K61" s="563">
        <f>K36-Entrant_need_figures!K47</f>
        <v>0</v>
      </c>
      <c r="L61" s="563">
        <f>L36-Entrant_need_figures!L47</f>
        <v>0</v>
      </c>
      <c r="M61" s="563">
        <f>M36-Entrant_need_figures!M47</f>
        <v>0</v>
      </c>
      <c r="N61" s="563">
        <f>N36-Entrant_need_figures!N47</f>
        <v>0</v>
      </c>
    </row>
    <row r="62" spans="2:14">
      <c r="B62" s="249" t="str">
        <f t="shared" si="4"/>
        <v>Classics</v>
      </c>
      <c r="C62" s="563">
        <f>C37-Entrant_need_figures!C48</f>
        <v>0</v>
      </c>
      <c r="D62" s="563">
        <f>D37-Entrant_need_figures!D48</f>
        <v>0</v>
      </c>
      <c r="E62" s="563">
        <f>E37-Entrant_need_figures!E48</f>
        <v>0</v>
      </c>
      <c r="F62" s="563">
        <f>F37-Entrant_need_figures!F48</f>
        <v>0</v>
      </c>
      <c r="G62" s="563">
        <f>G37-Entrant_need_figures!G48</f>
        <v>0</v>
      </c>
      <c r="H62" s="563">
        <f>H37-Entrant_need_figures!H48</f>
        <v>0</v>
      </c>
      <c r="I62" s="563">
        <f>I37-Entrant_need_figures!I48</f>
        <v>0</v>
      </c>
      <c r="J62" s="563">
        <f>J37-Entrant_need_figures!J48</f>
        <v>0</v>
      </c>
      <c r="K62" s="563">
        <f>K37-Entrant_need_figures!K48</f>
        <v>0</v>
      </c>
      <c r="L62" s="563">
        <f>L37-Entrant_need_figures!L48</f>
        <v>0</v>
      </c>
      <c r="M62" s="563">
        <f>M37-Entrant_need_figures!M48</f>
        <v>0</v>
      </c>
      <c r="N62" s="563">
        <f>N37-Entrant_need_figures!N48</f>
        <v>0</v>
      </c>
    </row>
    <row r="63" spans="2:14">
      <c r="B63" s="249" t="str">
        <f t="shared" si="4"/>
        <v>Computing</v>
      </c>
      <c r="C63" s="563">
        <f>C38-Entrant_need_figures!C49</f>
        <v>0</v>
      </c>
      <c r="D63" s="563">
        <f>D38-Entrant_need_figures!D49</f>
        <v>0</v>
      </c>
      <c r="E63" s="563">
        <f>E38-Entrant_need_figures!E49</f>
        <v>0</v>
      </c>
      <c r="F63" s="563">
        <f>F38-Entrant_need_figures!F49</f>
        <v>0</v>
      </c>
      <c r="G63" s="563">
        <f>G38-Entrant_need_figures!G49</f>
        <v>0</v>
      </c>
      <c r="H63" s="563">
        <f>H38-Entrant_need_figures!H49</f>
        <v>0</v>
      </c>
      <c r="I63" s="563">
        <f>I38-Entrant_need_figures!I49</f>
        <v>0</v>
      </c>
      <c r="J63" s="563">
        <f>J38-Entrant_need_figures!J49</f>
        <v>0</v>
      </c>
      <c r="K63" s="563">
        <f>K38-Entrant_need_figures!K49</f>
        <v>0</v>
      </c>
      <c r="L63" s="563">
        <f>L38-Entrant_need_figures!L49</f>
        <v>0</v>
      </c>
      <c r="M63" s="563">
        <f>M38-Entrant_need_figures!M49</f>
        <v>0</v>
      </c>
      <c r="N63" s="563">
        <f>N38-Entrant_need_figures!N49</f>
        <v>0</v>
      </c>
    </row>
    <row r="64" spans="2:14" ht="22.5">
      <c r="B64" s="249" t="str">
        <f t="shared" si="4"/>
        <v>Design &amp; Technology</v>
      </c>
      <c r="C64" s="563">
        <f>C39-Entrant_need_figures!C50</f>
        <v>0</v>
      </c>
      <c r="D64" s="563">
        <f>D39-Entrant_need_figures!D50</f>
        <v>0</v>
      </c>
      <c r="E64" s="563">
        <f>E39-Entrant_need_figures!E50</f>
        <v>0</v>
      </c>
      <c r="F64" s="563">
        <f>F39-Entrant_need_figures!F50</f>
        <v>0</v>
      </c>
      <c r="G64" s="563">
        <f>G39-Entrant_need_figures!G50</f>
        <v>0</v>
      </c>
      <c r="H64" s="563">
        <f>H39-Entrant_need_figures!H50</f>
        <v>0</v>
      </c>
      <c r="I64" s="563">
        <f>I39-Entrant_need_figures!I50</f>
        <v>0</v>
      </c>
      <c r="J64" s="563">
        <f>J39-Entrant_need_figures!J50</f>
        <v>0</v>
      </c>
      <c r="K64" s="563">
        <f>K39-Entrant_need_figures!K50</f>
        <v>0</v>
      </c>
      <c r="L64" s="563">
        <f>L39-Entrant_need_figures!L50</f>
        <v>0</v>
      </c>
      <c r="M64" s="563">
        <f>M39-Entrant_need_figures!M50</f>
        <v>0</v>
      </c>
      <c r="N64" s="563">
        <f>N39-Entrant_need_figures!N50</f>
        <v>0</v>
      </c>
    </row>
    <row r="65" spans="2:14">
      <c r="B65" s="249" t="str">
        <f t="shared" si="4"/>
        <v>Drama</v>
      </c>
      <c r="C65" s="563">
        <f>C40-Entrant_need_figures!C51</f>
        <v>0</v>
      </c>
      <c r="D65" s="563">
        <f>D40-Entrant_need_figures!D51</f>
        <v>0</v>
      </c>
      <c r="E65" s="563">
        <f>E40-Entrant_need_figures!E51</f>
        <v>0</v>
      </c>
      <c r="F65" s="563">
        <f>F40-Entrant_need_figures!F51</f>
        <v>0</v>
      </c>
      <c r="G65" s="563">
        <f>G40-Entrant_need_figures!G51</f>
        <v>0</v>
      </c>
      <c r="H65" s="563">
        <f>H40-Entrant_need_figures!H51</f>
        <v>0</v>
      </c>
      <c r="I65" s="563">
        <f>I40-Entrant_need_figures!I51</f>
        <v>0</v>
      </c>
      <c r="J65" s="563">
        <f>J40-Entrant_need_figures!J51</f>
        <v>0</v>
      </c>
      <c r="K65" s="563">
        <f>K40-Entrant_need_figures!K51</f>
        <v>0</v>
      </c>
      <c r="L65" s="563">
        <f>L40-Entrant_need_figures!L51</f>
        <v>0</v>
      </c>
      <c r="M65" s="563">
        <f>M40-Entrant_need_figures!M51</f>
        <v>0</v>
      </c>
      <c r="N65" s="563">
        <f>N40-Entrant_need_figures!N51</f>
        <v>0</v>
      </c>
    </row>
    <row r="66" spans="2:14">
      <c r="B66" s="249" t="str">
        <f t="shared" si="4"/>
        <v>English</v>
      </c>
      <c r="C66" s="563">
        <f>C41-Entrant_need_figures!C52</f>
        <v>0</v>
      </c>
      <c r="D66" s="563">
        <f>D41-Entrant_need_figures!D52</f>
        <v>0</v>
      </c>
      <c r="E66" s="563">
        <f>E41-Entrant_need_figures!E52</f>
        <v>0</v>
      </c>
      <c r="F66" s="563">
        <f>F41-Entrant_need_figures!F52</f>
        <v>0</v>
      </c>
      <c r="G66" s="563">
        <f>G41-Entrant_need_figures!G52</f>
        <v>0</v>
      </c>
      <c r="H66" s="563">
        <f>H41-Entrant_need_figures!H52</f>
        <v>0</v>
      </c>
      <c r="I66" s="563">
        <f>I41-Entrant_need_figures!I52</f>
        <v>0</v>
      </c>
      <c r="J66" s="563">
        <f>J41-Entrant_need_figures!J52</f>
        <v>0</v>
      </c>
      <c r="K66" s="563">
        <f>K41-Entrant_need_figures!K52</f>
        <v>0</v>
      </c>
      <c r="L66" s="563">
        <f>L41-Entrant_need_figures!L52</f>
        <v>0</v>
      </c>
      <c r="M66" s="563">
        <f>M41-Entrant_need_figures!M52</f>
        <v>0</v>
      </c>
      <c r="N66" s="563">
        <f>N41-Entrant_need_figures!N52</f>
        <v>0</v>
      </c>
    </row>
    <row r="67" spans="2:14">
      <c r="B67" s="249" t="str">
        <f t="shared" si="4"/>
        <v>Food</v>
      </c>
      <c r="C67" s="563">
        <f>C42-Entrant_need_figures!C53</f>
        <v>0</v>
      </c>
      <c r="D67" s="563">
        <f>D42-Entrant_need_figures!D53</f>
        <v>0</v>
      </c>
      <c r="E67" s="563">
        <f>E42-Entrant_need_figures!E53</f>
        <v>0</v>
      </c>
      <c r="F67" s="563">
        <f>F42-Entrant_need_figures!F53</f>
        <v>0</v>
      </c>
      <c r="G67" s="563">
        <f>G42-Entrant_need_figures!G53</f>
        <v>0</v>
      </c>
      <c r="H67" s="563">
        <f>H42-Entrant_need_figures!H53</f>
        <v>0</v>
      </c>
      <c r="I67" s="563">
        <f>I42-Entrant_need_figures!I53</f>
        <v>0</v>
      </c>
      <c r="J67" s="563">
        <f>J42-Entrant_need_figures!J53</f>
        <v>0</v>
      </c>
      <c r="K67" s="563">
        <f>K42-Entrant_need_figures!K53</f>
        <v>0</v>
      </c>
      <c r="L67" s="563">
        <f>L42-Entrant_need_figures!L53</f>
        <v>0</v>
      </c>
      <c r="M67" s="563">
        <f>M42-Entrant_need_figures!M53</f>
        <v>0</v>
      </c>
      <c r="N67" s="563">
        <f>N42-Entrant_need_figures!N53</f>
        <v>0</v>
      </c>
    </row>
    <row r="68" spans="2:14">
      <c r="B68" s="249" t="str">
        <f t="shared" si="4"/>
        <v>Geography</v>
      </c>
      <c r="C68" s="563">
        <f>C43-Entrant_need_figures!C54</f>
        <v>0</v>
      </c>
      <c r="D68" s="563">
        <f>D43-Entrant_need_figures!D54</f>
        <v>0</v>
      </c>
      <c r="E68" s="563">
        <f>E43-Entrant_need_figures!E54</f>
        <v>0</v>
      </c>
      <c r="F68" s="563">
        <f>F43-Entrant_need_figures!F54</f>
        <v>0</v>
      </c>
      <c r="G68" s="563">
        <f>G43-Entrant_need_figures!G54</f>
        <v>0</v>
      </c>
      <c r="H68" s="563">
        <f>H43-Entrant_need_figures!H54</f>
        <v>0</v>
      </c>
      <c r="I68" s="563">
        <f>I43-Entrant_need_figures!I54</f>
        <v>0</v>
      </c>
      <c r="J68" s="563">
        <f>J43-Entrant_need_figures!J54</f>
        <v>0</v>
      </c>
      <c r="K68" s="563">
        <f>K43-Entrant_need_figures!K54</f>
        <v>0</v>
      </c>
      <c r="L68" s="563">
        <f>L43-Entrant_need_figures!L54</f>
        <v>0</v>
      </c>
      <c r="M68" s="563">
        <f>M43-Entrant_need_figures!M54</f>
        <v>0</v>
      </c>
      <c r="N68" s="563">
        <f>N43-Entrant_need_figures!N54</f>
        <v>0</v>
      </c>
    </row>
    <row r="69" spans="2:14">
      <c r="B69" s="249" t="str">
        <f t="shared" ref="B69:B77" si="5">B44</f>
        <v>History</v>
      </c>
      <c r="C69" s="563">
        <f>C44-Entrant_need_figures!C55</f>
        <v>0</v>
      </c>
      <c r="D69" s="563">
        <f>D44-Entrant_need_figures!D55</f>
        <v>0</v>
      </c>
      <c r="E69" s="563">
        <f>E44-Entrant_need_figures!E55</f>
        <v>0</v>
      </c>
      <c r="F69" s="563">
        <f>F44-Entrant_need_figures!F55</f>
        <v>0</v>
      </c>
      <c r="G69" s="563">
        <f>G44-Entrant_need_figures!G55</f>
        <v>0</v>
      </c>
      <c r="H69" s="563">
        <f>H44-Entrant_need_figures!H55</f>
        <v>0</v>
      </c>
      <c r="I69" s="563">
        <f>I44-Entrant_need_figures!I55</f>
        <v>0</v>
      </c>
      <c r="J69" s="563">
        <f>J44-Entrant_need_figures!J55</f>
        <v>0</v>
      </c>
      <c r="K69" s="563">
        <f>K44-Entrant_need_figures!K55</f>
        <v>0</v>
      </c>
      <c r="L69" s="563">
        <f>L44-Entrant_need_figures!L55</f>
        <v>0</v>
      </c>
      <c r="M69" s="563">
        <f>M44-Entrant_need_figures!M55</f>
        <v>0</v>
      </c>
      <c r="N69" s="563">
        <f>N44-Entrant_need_figures!N55</f>
        <v>0</v>
      </c>
    </row>
    <row r="70" spans="2:14">
      <c r="B70" s="249" t="str">
        <f t="shared" si="5"/>
        <v>Mathematics</v>
      </c>
      <c r="C70" s="563">
        <f>C45-Entrant_need_figures!C56</f>
        <v>0</v>
      </c>
      <c r="D70" s="563">
        <f>D45-Entrant_need_figures!D56</f>
        <v>0</v>
      </c>
      <c r="E70" s="563">
        <f>E45-Entrant_need_figures!E56</f>
        <v>0</v>
      </c>
      <c r="F70" s="563">
        <f>F45-Entrant_need_figures!F56</f>
        <v>0</v>
      </c>
      <c r="G70" s="563">
        <f>G45-Entrant_need_figures!G56</f>
        <v>0</v>
      </c>
      <c r="H70" s="563">
        <f>H45-Entrant_need_figures!H56</f>
        <v>0</v>
      </c>
      <c r="I70" s="563">
        <f>I45-Entrant_need_figures!I56</f>
        <v>0</v>
      </c>
      <c r="J70" s="563">
        <f>J45-Entrant_need_figures!J56</f>
        <v>0</v>
      </c>
      <c r="K70" s="563">
        <f>K45-Entrant_need_figures!K56</f>
        <v>0</v>
      </c>
      <c r="L70" s="563">
        <f>L45-Entrant_need_figures!L56</f>
        <v>0</v>
      </c>
      <c r="M70" s="563">
        <f>M45-Entrant_need_figures!M56</f>
        <v>0</v>
      </c>
      <c r="N70" s="563">
        <f>N45-Entrant_need_figures!N56</f>
        <v>0</v>
      </c>
    </row>
    <row r="71" spans="2:14" ht="22.5">
      <c r="B71" s="249" t="str">
        <f t="shared" si="5"/>
        <v>Modern Foreign Languages</v>
      </c>
      <c r="C71" s="563">
        <f>C46-Entrant_need_figures!C57</f>
        <v>0</v>
      </c>
      <c r="D71" s="563">
        <f>D46-Entrant_need_figures!D57</f>
        <v>0</v>
      </c>
      <c r="E71" s="563">
        <f>E46-Entrant_need_figures!E57</f>
        <v>0</v>
      </c>
      <c r="F71" s="563">
        <f>F46-Entrant_need_figures!F57</f>
        <v>0</v>
      </c>
      <c r="G71" s="563">
        <f>G46-Entrant_need_figures!G57</f>
        <v>0</v>
      </c>
      <c r="H71" s="563">
        <f>H46-Entrant_need_figures!H57</f>
        <v>0</v>
      </c>
      <c r="I71" s="563">
        <f>I46-Entrant_need_figures!I57</f>
        <v>0</v>
      </c>
      <c r="J71" s="563">
        <f>J46-Entrant_need_figures!J57</f>
        <v>0</v>
      </c>
      <c r="K71" s="563">
        <f>K46-Entrant_need_figures!K57</f>
        <v>0</v>
      </c>
      <c r="L71" s="563">
        <f>L46-Entrant_need_figures!L57</f>
        <v>0</v>
      </c>
      <c r="M71" s="563">
        <f>M46-Entrant_need_figures!M57</f>
        <v>0</v>
      </c>
      <c r="N71" s="563">
        <f>N46-Entrant_need_figures!N57</f>
        <v>0</v>
      </c>
    </row>
    <row r="72" spans="2:14">
      <c r="B72" s="249" t="str">
        <f t="shared" si="5"/>
        <v>Music</v>
      </c>
      <c r="C72" s="563">
        <f>C47-Entrant_need_figures!C58</f>
        <v>0</v>
      </c>
      <c r="D72" s="563">
        <f>D47-Entrant_need_figures!D58</f>
        <v>0</v>
      </c>
      <c r="E72" s="563">
        <f>E47-Entrant_need_figures!E58</f>
        <v>0</v>
      </c>
      <c r="F72" s="563">
        <f>F47-Entrant_need_figures!F58</f>
        <v>0</v>
      </c>
      <c r="G72" s="563">
        <f>G47-Entrant_need_figures!G58</f>
        <v>0</v>
      </c>
      <c r="H72" s="563">
        <f>H47-Entrant_need_figures!H58</f>
        <v>0</v>
      </c>
      <c r="I72" s="563">
        <f>I47-Entrant_need_figures!I58</f>
        <v>0</v>
      </c>
      <c r="J72" s="563">
        <f>J47-Entrant_need_figures!J58</f>
        <v>0</v>
      </c>
      <c r="K72" s="563">
        <f>K47-Entrant_need_figures!K58</f>
        <v>0</v>
      </c>
      <c r="L72" s="563">
        <f>L47-Entrant_need_figures!L58</f>
        <v>0</v>
      </c>
      <c r="M72" s="563">
        <f>M47-Entrant_need_figures!M58</f>
        <v>0</v>
      </c>
      <c r="N72" s="563">
        <f>N47-Entrant_need_figures!N58</f>
        <v>0</v>
      </c>
    </row>
    <row r="73" spans="2:14">
      <c r="B73" s="249" t="str">
        <f t="shared" si="5"/>
        <v>Others</v>
      </c>
      <c r="C73" s="563">
        <f>C48-Entrant_need_figures!C59</f>
        <v>0</v>
      </c>
      <c r="D73" s="563">
        <f>D48-Entrant_need_figures!D59</f>
        <v>0</v>
      </c>
      <c r="E73" s="563">
        <f>E48-Entrant_need_figures!E59</f>
        <v>0</v>
      </c>
      <c r="F73" s="563">
        <f>F48-Entrant_need_figures!F59</f>
        <v>0</v>
      </c>
      <c r="G73" s="563">
        <f>G48-Entrant_need_figures!G59</f>
        <v>0</v>
      </c>
      <c r="H73" s="563">
        <f>H48-Entrant_need_figures!H59</f>
        <v>0</v>
      </c>
      <c r="I73" s="563">
        <f>I48-Entrant_need_figures!I59</f>
        <v>0</v>
      </c>
      <c r="J73" s="563">
        <f>J48-Entrant_need_figures!J59</f>
        <v>0</v>
      </c>
      <c r="K73" s="563">
        <f>K48-Entrant_need_figures!K59</f>
        <v>0</v>
      </c>
      <c r="L73" s="563">
        <f>L48-Entrant_need_figures!L59</f>
        <v>0</v>
      </c>
      <c r="M73" s="563">
        <f>M48-Entrant_need_figures!M59</f>
        <v>0</v>
      </c>
      <c r="N73" s="563">
        <f>N48-Entrant_need_figures!N59</f>
        <v>0</v>
      </c>
    </row>
    <row r="74" spans="2:14">
      <c r="B74" s="249" t="str">
        <f t="shared" si="5"/>
        <v>Physical Education</v>
      </c>
      <c r="C74" s="563">
        <f>C49-Entrant_need_figures!C60</f>
        <v>0</v>
      </c>
      <c r="D74" s="563">
        <f>D49-Entrant_need_figures!D60</f>
        <v>0</v>
      </c>
      <c r="E74" s="563">
        <f>E49-Entrant_need_figures!E60</f>
        <v>0</v>
      </c>
      <c r="F74" s="563">
        <f>F49-Entrant_need_figures!F60</f>
        <v>0</v>
      </c>
      <c r="G74" s="563">
        <f>G49-Entrant_need_figures!G60</f>
        <v>0</v>
      </c>
      <c r="H74" s="563">
        <f>H49-Entrant_need_figures!H60</f>
        <v>0</v>
      </c>
      <c r="I74" s="563">
        <f>I49-Entrant_need_figures!I60</f>
        <v>0</v>
      </c>
      <c r="J74" s="563">
        <f>J49-Entrant_need_figures!J60</f>
        <v>0</v>
      </c>
      <c r="K74" s="563">
        <f>K49-Entrant_need_figures!K60</f>
        <v>0</v>
      </c>
      <c r="L74" s="563">
        <f>L49-Entrant_need_figures!L60</f>
        <v>0</v>
      </c>
      <c r="M74" s="563">
        <f>M49-Entrant_need_figures!M60</f>
        <v>0</v>
      </c>
      <c r="N74" s="563">
        <f>N49-Entrant_need_figures!N60</f>
        <v>0</v>
      </c>
    </row>
    <row r="75" spans="2:14">
      <c r="B75" s="249" t="str">
        <f t="shared" si="5"/>
        <v>Physics</v>
      </c>
      <c r="C75" s="563">
        <f>C50-Entrant_need_figures!C61</f>
        <v>0</v>
      </c>
      <c r="D75" s="563">
        <f>D50-Entrant_need_figures!D61</f>
        <v>0</v>
      </c>
      <c r="E75" s="563">
        <f>E50-Entrant_need_figures!E61</f>
        <v>0</v>
      </c>
      <c r="F75" s="563">
        <f>F50-Entrant_need_figures!F61</f>
        <v>0</v>
      </c>
      <c r="G75" s="563">
        <f>G50-Entrant_need_figures!G61</f>
        <v>0</v>
      </c>
      <c r="H75" s="563">
        <f>H50-Entrant_need_figures!H61</f>
        <v>0</v>
      </c>
      <c r="I75" s="563">
        <f>I50-Entrant_need_figures!I61</f>
        <v>0</v>
      </c>
      <c r="J75" s="563">
        <f>J50-Entrant_need_figures!J61</f>
        <v>0</v>
      </c>
      <c r="K75" s="563">
        <f>K50-Entrant_need_figures!K61</f>
        <v>0</v>
      </c>
      <c r="L75" s="563">
        <f>L50-Entrant_need_figures!L61</f>
        <v>0</v>
      </c>
      <c r="M75" s="563">
        <f>M50-Entrant_need_figures!M61</f>
        <v>0</v>
      </c>
      <c r="N75" s="563">
        <f>N50-Entrant_need_figures!N61</f>
        <v>0</v>
      </c>
    </row>
    <row r="76" spans="2:14">
      <c r="B76" s="249" t="str">
        <f t="shared" si="5"/>
        <v>Religious Education</v>
      </c>
      <c r="C76" s="563">
        <f>C51-Entrant_need_figures!C62</f>
        <v>0</v>
      </c>
      <c r="D76" s="563">
        <f>D51-Entrant_need_figures!D62</f>
        <v>0</v>
      </c>
      <c r="E76" s="563">
        <f>E51-Entrant_need_figures!E62</f>
        <v>0</v>
      </c>
      <c r="F76" s="563">
        <f>F51-Entrant_need_figures!F62</f>
        <v>0</v>
      </c>
      <c r="G76" s="563">
        <f>G51-Entrant_need_figures!G62</f>
        <v>0</v>
      </c>
      <c r="H76" s="563">
        <f>H51-Entrant_need_figures!H62</f>
        <v>0</v>
      </c>
      <c r="I76" s="563">
        <f>I51-Entrant_need_figures!I62</f>
        <v>0</v>
      </c>
      <c r="J76" s="563">
        <f>J51-Entrant_need_figures!J62</f>
        <v>0</v>
      </c>
      <c r="K76" s="563">
        <f>K51-Entrant_need_figures!K62</f>
        <v>0</v>
      </c>
      <c r="L76" s="563">
        <f>L51-Entrant_need_figures!L62</f>
        <v>0</v>
      </c>
      <c r="M76" s="563">
        <f>M51-Entrant_need_figures!M62</f>
        <v>0</v>
      </c>
      <c r="N76" s="563">
        <f>N51-Entrant_need_figures!N62</f>
        <v>0</v>
      </c>
    </row>
    <row r="77" spans="2:14" ht="33.75">
      <c r="B77" s="249" t="str">
        <f t="shared" si="5"/>
        <v>Total secondary entrant teacher need</v>
      </c>
      <c r="C77" s="563">
        <f>C52-Entrant_need_figures!C63</f>
        <v>0</v>
      </c>
      <c r="D77" s="563">
        <f>D52-Entrant_need_figures!D63</f>
        <v>0</v>
      </c>
      <c r="E77" s="563">
        <f>E52-Entrant_need_figures!E63</f>
        <v>0</v>
      </c>
      <c r="F77" s="563">
        <f>F52-Entrant_need_figures!F63</f>
        <v>0</v>
      </c>
      <c r="G77" s="563">
        <f>G52-Entrant_need_figures!G63</f>
        <v>0</v>
      </c>
      <c r="H77" s="563">
        <f>H52-Entrant_need_figures!H63</f>
        <v>0</v>
      </c>
      <c r="I77" s="563">
        <f>I52-Entrant_need_figures!I63</f>
        <v>0</v>
      </c>
      <c r="J77" s="563">
        <f>J52-Entrant_need_figures!J63</f>
        <v>0</v>
      </c>
      <c r="K77" s="563">
        <f>K52-Entrant_need_figures!K63</f>
        <v>0</v>
      </c>
      <c r="L77" s="563">
        <f>L52-Entrant_need_figures!L63</f>
        <v>0</v>
      </c>
      <c r="M77" s="563">
        <f>M52-Entrant_need_figures!M63</f>
        <v>0</v>
      </c>
      <c r="N77" s="563">
        <f>N52-Entrant_need_figures!N63</f>
        <v>0</v>
      </c>
    </row>
    <row r="78" spans="2:14">
      <c r="C78" s="309"/>
      <c r="D78" s="309"/>
      <c r="E78" s="309"/>
      <c r="F78" s="309"/>
      <c r="G78" s="309"/>
      <c r="H78" s="309"/>
      <c r="I78" s="309"/>
      <c r="J78" s="309"/>
      <c r="K78" s="309"/>
      <c r="L78" s="309"/>
      <c r="M78" s="309"/>
      <c r="N78" s="309"/>
    </row>
    <row r="79" spans="2:14" ht="18">
      <c r="B79" s="697" t="s">
        <v>1049</v>
      </c>
    </row>
    <row r="80" spans="2:14" ht="15.75">
      <c r="B80" s="78"/>
    </row>
    <row r="81" spans="2:19">
      <c r="B81" s="223" t="s">
        <v>1323</v>
      </c>
    </row>
    <row r="82" spans="2:19">
      <c r="B82" s="223"/>
    </row>
    <row r="83" spans="2:19">
      <c r="B83" s="1153" t="s">
        <v>1655</v>
      </c>
      <c r="C83" s="1153"/>
      <c r="D83" s="1153"/>
      <c r="E83" s="1153"/>
      <c r="F83" s="1153"/>
      <c r="G83" s="1153"/>
      <c r="H83" s="1153"/>
      <c r="I83" s="1153"/>
      <c r="J83" s="1153"/>
      <c r="K83" s="1153"/>
      <c r="L83" s="1153"/>
      <c r="M83" s="1153"/>
      <c r="N83" s="1153"/>
      <c r="O83" s="1153"/>
      <c r="P83" s="1153"/>
      <c r="Q83" s="1153"/>
      <c r="R83" s="1153"/>
    </row>
    <row r="84" spans="2:19">
      <c r="B84" s="1153"/>
      <c r="C84" s="1153"/>
      <c r="D84" s="1153"/>
      <c r="E84" s="1153"/>
      <c r="F84" s="1153"/>
      <c r="G84" s="1153"/>
      <c r="H84" s="1153"/>
      <c r="I84" s="1153"/>
      <c r="J84" s="1153"/>
      <c r="K84" s="1153"/>
      <c r="L84" s="1153"/>
      <c r="M84" s="1153"/>
      <c r="N84" s="1153"/>
      <c r="O84" s="1153"/>
      <c r="P84" s="1153"/>
      <c r="Q84" s="1153"/>
      <c r="R84" s="1153"/>
      <c r="S84" s="309"/>
    </row>
    <row r="85" spans="2:19">
      <c r="B85" s="223"/>
    </row>
    <row r="86" spans="2:19">
      <c r="I86" s="76" t="s">
        <v>1098</v>
      </c>
    </row>
    <row r="87" spans="2:19">
      <c r="D87" s="1145" t="s">
        <v>1061</v>
      </c>
      <c r="E87" s="1147"/>
    </row>
    <row r="88" spans="2:19" ht="68.25" customHeight="1">
      <c r="B88" s="455" t="s">
        <v>1179</v>
      </c>
      <c r="C88" s="249" t="s">
        <v>1178</v>
      </c>
      <c r="D88" s="249" t="s">
        <v>1302</v>
      </c>
      <c r="E88" s="391" t="s">
        <v>1159</v>
      </c>
      <c r="I88" s="455" t="s">
        <v>1179</v>
      </c>
      <c r="J88" s="249" t="s">
        <v>1178</v>
      </c>
      <c r="K88" s="249" t="s">
        <v>1302</v>
      </c>
    </row>
    <row r="89" spans="2:19">
      <c r="B89" s="719" t="str">
        <f>FINAL_OUTPUTS_OF_ITT_PLACES!B54</f>
        <v>Primary</v>
      </c>
      <c r="C89" s="721">
        <f>FINAL_OUTPUTS_OF_ITT_PLACES!G54</f>
        <v>12120.954810176481</v>
      </c>
      <c r="D89" s="722">
        <v>12120.954810176481</v>
      </c>
      <c r="E89" s="722">
        <v>11775.666789201965</v>
      </c>
      <c r="I89" s="249" t="s">
        <v>43</v>
      </c>
      <c r="J89" s="749" t="b">
        <f>FINAL_OUTPUTS_OF_ITT_PLACES!I54</f>
        <v>0</v>
      </c>
      <c r="K89" s="391" t="b">
        <f>FINAL_OUTPUTS_OF_ITT_PLACES!J54</f>
        <v>0</v>
      </c>
    </row>
    <row r="90" spans="2:19">
      <c r="B90" s="719" t="str">
        <f>FINAL_OUTPUTS_OF_ITT_PLACES!B55</f>
        <v>Art &amp; Design</v>
      </c>
      <c r="C90" s="721">
        <f>FINAL_OUTPUTS_OF_ITT_PLACES!G55</f>
        <v>577.09697709165653</v>
      </c>
      <c r="D90" s="722">
        <v>577.09697709165653</v>
      </c>
      <c r="E90" s="722">
        <v>578.10988052966741</v>
      </c>
      <c r="I90" s="249" t="s">
        <v>558</v>
      </c>
      <c r="J90" s="749" t="b">
        <f>FINAL_OUTPUTS_OF_ITT_PLACES!I55</f>
        <v>0</v>
      </c>
      <c r="K90" s="391" t="b">
        <f>FINAL_OUTPUTS_OF_ITT_PLACES!J55</f>
        <v>0</v>
      </c>
    </row>
    <row r="91" spans="2:19">
      <c r="B91" s="720" t="str">
        <f>FINAL_OUTPUTS_OF_ITT_PLACES!B56</f>
        <v>Biology</v>
      </c>
      <c r="C91" s="721">
        <f>FINAL_OUTPUTS_OF_ITT_PLACES!G56</f>
        <v>1187.7114497941952</v>
      </c>
      <c r="D91" s="722">
        <v>1187.7114497941952</v>
      </c>
      <c r="E91" s="722">
        <v>1177.6613302701508</v>
      </c>
      <c r="I91" s="696" t="s">
        <v>7</v>
      </c>
      <c r="J91" s="749" t="b">
        <f>FINAL_OUTPUTS_OF_ITT_PLACES!I56</f>
        <v>0</v>
      </c>
      <c r="K91" s="391" t="b">
        <f>FINAL_OUTPUTS_OF_ITT_PLACES!J56</f>
        <v>0</v>
      </c>
    </row>
    <row r="92" spans="2:19" ht="22.5">
      <c r="B92" s="719" t="str">
        <f>FINAL_OUTPUTS_OF_ITT_PLACES!B57</f>
        <v>Business Studies</v>
      </c>
      <c r="C92" s="721">
        <f>FINAL_OUTPUTS_OF_ITT_PLACES!G57</f>
        <v>217.57177227814842</v>
      </c>
      <c r="D92" s="722">
        <v>217.57177227814842</v>
      </c>
      <c r="E92" s="722">
        <v>171.43106110401445</v>
      </c>
      <c r="I92" s="249" t="s">
        <v>427</v>
      </c>
      <c r="J92" s="749" t="b">
        <f>FINAL_OUTPUTS_OF_ITT_PLACES!I57</f>
        <v>0</v>
      </c>
      <c r="K92" s="391" t="b">
        <f>FINAL_OUTPUTS_OF_ITT_PLACES!J57</f>
        <v>0</v>
      </c>
    </row>
    <row r="93" spans="2:19">
      <c r="B93" s="720" t="str">
        <f>FINAL_OUTPUTS_OF_ITT_PLACES!B58</f>
        <v>Chemistry</v>
      </c>
      <c r="C93" s="721">
        <f>FINAL_OUTPUTS_OF_ITT_PLACES!G58</f>
        <v>1053.4775422401942</v>
      </c>
      <c r="D93" s="722">
        <v>1053.4775422401942</v>
      </c>
      <c r="E93" s="722">
        <v>1053.4775422401942</v>
      </c>
      <c r="I93" s="696" t="s">
        <v>3</v>
      </c>
      <c r="J93" s="749" t="b">
        <f>FINAL_OUTPUTS_OF_ITT_PLACES!I58</f>
        <v>1</v>
      </c>
      <c r="K93" s="391" t="b">
        <f>FINAL_OUTPUTS_OF_ITT_PLACES!J58</f>
        <v>1</v>
      </c>
    </row>
    <row r="94" spans="2:19">
      <c r="B94" s="720" t="str">
        <f>FINAL_OUTPUTS_OF_ITT_PLACES!B59</f>
        <v>Classics</v>
      </c>
      <c r="C94" s="721">
        <f>FINAL_OUTPUTS_OF_ITT_PLACES!G59</f>
        <v>68.619515583024508</v>
      </c>
      <c r="D94" s="722">
        <v>68.619515583024508</v>
      </c>
      <c r="E94" s="722">
        <v>68.619515583024508</v>
      </c>
      <c r="I94" s="696" t="s">
        <v>85</v>
      </c>
      <c r="J94" s="749" t="b">
        <f>FINAL_OUTPUTS_OF_ITT_PLACES!I59</f>
        <v>1</v>
      </c>
      <c r="K94" s="391" t="b">
        <f>FINAL_OUTPUTS_OF_ITT_PLACES!J59</f>
        <v>1</v>
      </c>
    </row>
    <row r="95" spans="2:19">
      <c r="B95" s="720" t="str">
        <f>FINAL_OUTPUTS_OF_ITT_PLACES!B60</f>
        <v>Computing</v>
      </c>
      <c r="C95" s="721">
        <f>FINAL_OUTPUTS_OF_ITT_PLACES!G60</f>
        <v>722.77160624604142</v>
      </c>
      <c r="D95" s="722">
        <v>722.77160624604142</v>
      </c>
      <c r="E95" s="722">
        <v>722.77160624604142</v>
      </c>
      <c r="I95" s="696" t="s">
        <v>103</v>
      </c>
      <c r="J95" s="749" t="b">
        <f>FINAL_OUTPUTS_OF_ITT_PLACES!I60</f>
        <v>1</v>
      </c>
      <c r="K95" s="391" t="b">
        <f>FINAL_OUTPUTS_OF_ITT_PLACES!J60</f>
        <v>1</v>
      </c>
    </row>
    <row r="96" spans="2:19" ht="22.5">
      <c r="B96" s="719" t="str">
        <f>FINAL_OUTPUTS_OF_ITT_PLACES!B61</f>
        <v>Design &amp; Technology</v>
      </c>
      <c r="C96" s="721">
        <f>FINAL_OUTPUTS_OF_ITT_PLACES!G61</f>
        <v>750.58903626833126</v>
      </c>
      <c r="D96" s="722">
        <v>750.58903626833126</v>
      </c>
      <c r="E96" s="722">
        <v>707.52906392797024</v>
      </c>
      <c r="I96" s="249" t="s">
        <v>559</v>
      </c>
      <c r="J96" s="749" t="b">
        <f>FINAL_OUTPUTS_OF_ITT_PLACES!I61</f>
        <v>0</v>
      </c>
      <c r="K96" s="391" t="b">
        <f>FINAL_OUTPUTS_OF_ITT_PLACES!J61</f>
        <v>0</v>
      </c>
    </row>
    <row r="97" spans="2:11">
      <c r="B97" s="719" t="str">
        <f>FINAL_OUTPUTS_OF_ITT_PLACES!B62</f>
        <v>Drama</v>
      </c>
      <c r="C97" s="721">
        <f>FINAL_OUTPUTS_OF_ITT_PLACES!G62</f>
        <v>345.11470491922063</v>
      </c>
      <c r="D97" s="722">
        <v>345.11470491922063</v>
      </c>
      <c r="E97" s="722">
        <v>327.19054758203788</v>
      </c>
      <c r="I97" s="249" t="s">
        <v>6</v>
      </c>
      <c r="J97" s="749" t="b">
        <f>FINAL_OUTPUTS_OF_ITT_PLACES!I62</f>
        <v>0</v>
      </c>
      <c r="K97" s="391" t="b">
        <f>FINAL_OUTPUTS_OF_ITT_PLACES!J62</f>
        <v>0</v>
      </c>
    </row>
    <row r="98" spans="2:11">
      <c r="B98" s="720" t="str">
        <f>FINAL_OUTPUTS_OF_ITT_PLACES!B63</f>
        <v>English</v>
      </c>
      <c r="C98" s="721">
        <f>FINAL_OUTPUTS_OF_ITT_PLACES!G63</f>
        <v>2426.2873096074586</v>
      </c>
      <c r="D98" s="722">
        <v>2426.2873096074586</v>
      </c>
      <c r="E98" s="722">
        <v>2313.8087007670388</v>
      </c>
      <c r="I98" s="696" t="s">
        <v>1</v>
      </c>
      <c r="J98" s="749" t="b">
        <f>FINAL_OUTPUTS_OF_ITT_PLACES!I63</f>
        <v>0</v>
      </c>
      <c r="K98" s="391" t="b">
        <f>FINAL_OUTPUTS_OF_ITT_PLACES!J63</f>
        <v>0</v>
      </c>
    </row>
    <row r="99" spans="2:11">
      <c r="B99" s="719" t="str">
        <f>FINAL_OUTPUTS_OF_ITT_PLACES!B64</f>
        <v>Food</v>
      </c>
      <c r="C99" s="721">
        <f>FINAL_OUTPUTS_OF_ITT_PLACES!G64</f>
        <v>166.33410185907249</v>
      </c>
      <c r="D99" s="722">
        <v>166.33410185907249</v>
      </c>
      <c r="E99" s="722">
        <v>166.59126192097955</v>
      </c>
      <c r="I99" s="249" t="s">
        <v>396</v>
      </c>
      <c r="J99" s="749" t="b">
        <f>FINAL_OUTPUTS_OF_ITT_PLACES!I64</f>
        <v>0</v>
      </c>
      <c r="K99" s="391" t="b">
        <f>FINAL_OUTPUTS_OF_ITT_PLACES!J64</f>
        <v>0</v>
      </c>
    </row>
    <row r="100" spans="2:11">
      <c r="B100" s="719" t="str">
        <f>FINAL_OUTPUTS_OF_ITT_PLACES!B65</f>
        <v>Geography</v>
      </c>
      <c r="C100" s="721">
        <f>FINAL_OUTPUTS_OF_ITT_PLACES!G65</f>
        <v>1531.1469289044046</v>
      </c>
      <c r="D100" s="722">
        <v>1531.1469289044046</v>
      </c>
      <c r="E100" s="722">
        <v>1401.8038531241427</v>
      </c>
      <c r="I100" s="696" t="s">
        <v>4</v>
      </c>
      <c r="J100" s="749" t="b">
        <f>FINAL_OUTPUTS_OF_ITT_PLACES!I65</f>
        <v>0</v>
      </c>
      <c r="K100" s="391" t="b">
        <f>FINAL_OUTPUTS_OF_ITT_PLACES!J65</f>
        <v>0</v>
      </c>
    </row>
    <row r="101" spans="2:11">
      <c r="B101" s="720" t="str">
        <f>FINAL_OUTPUTS_OF_ITT_PLACES!B66</f>
        <v>History</v>
      </c>
      <c r="C101" s="721">
        <f>FINAL_OUTPUTS_OF_ITT_PLACES!G66</f>
        <v>1159.7619052471459</v>
      </c>
      <c r="D101" s="722">
        <v>1159.7619052471459</v>
      </c>
      <c r="E101" s="722">
        <v>1161.4111204099663</v>
      </c>
      <c r="I101" s="696" t="s">
        <v>0</v>
      </c>
      <c r="J101" s="749" t="b">
        <f>FINAL_OUTPUTS_OF_ITT_PLACES!I66</f>
        <v>0</v>
      </c>
      <c r="K101" s="391" t="b">
        <f>FINAL_OUTPUTS_OF_ITT_PLACES!J66</f>
        <v>0</v>
      </c>
    </row>
    <row r="102" spans="2:11" ht="12.75" customHeight="1">
      <c r="B102" s="720" t="str">
        <f>FINAL_OUTPUTS_OF_ITT_PLACES!B67</f>
        <v>Mathematics</v>
      </c>
      <c r="C102" s="721">
        <f>FINAL_OUTPUTS_OF_ITT_PLACES!G67</f>
        <v>3102.4919179919257</v>
      </c>
      <c r="D102" s="722">
        <v>3102.4919179919257</v>
      </c>
      <c r="E102" s="722">
        <v>3102.4919179919257</v>
      </c>
      <c r="I102" s="696" t="s">
        <v>560</v>
      </c>
      <c r="J102" s="749" t="b">
        <f>FINAL_OUTPUTS_OF_ITT_PLACES!I67</f>
        <v>1</v>
      </c>
      <c r="K102" s="391" t="b">
        <f>FINAL_OUTPUTS_OF_ITT_PLACES!J67</f>
        <v>1</v>
      </c>
    </row>
    <row r="103" spans="2:11" ht="33.75">
      <c r="B103" s="720" t="s">
        <v>561</v>
      </c>
      <c r="C103" s="721">
        <f>FINAL_OUTPUTS_OF_ITT_PLACES!G68</f>
        <v>1514.3142939148067</v>
      </c>
      <c r="D103" s="722">
        <v>1514.3142939148067</v>
      </c>
      <c r="E103" s="722">
        <v>1514.3142939148067</v>
      </c>
      <c r="I103" s="696" t="s">
        <v>561</v>
      </c>
      <c r="J103" s="749" t="b">
        <f>FINAL_OUTPUTS_OF_ITT_PLACES!I68</f>
        <v>1</v>
      </c>
      <c r="K103" s="391" t="b">
        <f>FINAL_OUTPUTS_OF_ITT_PLACES!J68</f>
        <v>1</v>
      </c>
    </row>
    <row r="104" spans="2:11">
      <c r="B104" s="719" t="str">
        <f>FINAL_OUTPUTS_OF_ITT_PLACES!B69</f>
        <v>Music</v>
      </c>
      <c r="C104" s="721">
        <f>FINAL_OUTPUTS_OF_ITT_PLACES!G69</f>
        <v>393.33766666889568</v>
      </c>
      <c r="D104" s="722">
        <v>393.33766666889568</v>
      </c>
      <c r="E104" s="722">
        <v>393.78417096187604</v>
      </c>
      <c r="I104" s="249" t="s">
        <v>5</v>
      </c>
      <c r="J104" s="749" t="b">
        <f>FINAL_OUTPUTS_OF_ITT_PLACES!I69</f>
        <v>0</v>
      </c>
      <c r="K104" s="391" t="b">
        <f>FINAL_OUTPUTS_OF_ITT_PLACES!J69</f>
        <v>0</v>
      </c>
    </row>
    <row r="105" spans="2:11">
      <c r="B105" s="719" t="str">
        <f>FINAL_OUTPUTS_OF_ITT_PLACES!B70</f>
        <v>Others</v>
      </c>
      <c r="C105" s="721">
        <f>FINAL_OUTPUTS_OF_ITT_PLACES!G70</f>
        <v>811.63141166826551</v>
      </c>
      <c r="D105" s="722">
        <v>811.63141166826551</v>
      </c>
      <c r="E105" s="722">
        <v>686.06913798816049</v>
      </c>
      <c r="I105" s="249" t="s">
        <v>694</v>
      </c>
      <c r="J105" s="749" t="b">
        <f>FINAL_OUTPUTS_OF_ITT_PLACES!I70</f>
        <v>0</v>
      </c>
      <c r="K105" s="391" t="b">
        <f>FINAL_OUTPUTS_OF_ITT_PLACES!J70</f>
        <v>0</v>
      </c>
    </row>
    <row r="106" spans="2:11" ht="22.5">
      <c r="B106" s="719" t="str">
        <f>FINAL_OUTPUTS_OF_ITT_PLACES!B71</f>
        <v>Physical Education</v>
      </c>
      <c r="C106" s="721">
        <f>FINAL_OUTPUTS_OF_ITT_PLACES!G71</f>
        <v>999.20159210266934</v>
      </c>
      <c r="D106" s="722">
        <v>999.20159210266934</v>
      </c>
      <c r="E106" s="722">
        <v>999.20159210266934</v>
      </c>
      <c r="I106" s="249" t="s">
        <v>562</v>
      </c>
      <c r="J106" s="749" t="b">
        <f>FINAL_OUTPUTS_OF_ITT_PLACES!I71</f>
        <v>1</v>
      </c>
      <c r="K106" s="391" t="b">
        <f>FINAL_OUTPUTS_OF_ITT_PLACES!J71</f>
        <v>1</v>
      </c>
    </row>
    <row r="107" spans="2:11">
      <c r="B107" s="720" t="str">
        <f>FINAL_OUTPUTS_OF_ITT_PLACES!B72</f>
        <v>Physics</v>
      </c>
      <c r="C107" s="721">
        <f>FINAL_OUTPUTS_OF_ITT_PLACES!G72</f>
        <v>1054.6086561613313</v>
      </c>
      <c r="D107" s="722">
        <v>1054.6086561613313</v>
      </c>
      <c r="E107" s="722">
        <v>1054.6086561613313</v>
      </c>
      <c r="I107" s="696" t="s">
        <v>2</v>
      </c>
      <c r="J107" s="749" t="b">
        <f>FINAL_OUTPUTS_OF_ITT_PLACES!I72</f>
        <v>1</v>
      </c>
      <c r="K107" s="391" t="b">
        <f>FINAL_OUTPUTS_OF_ITT_PLACES!J72</f>
        <v>1</v>
      </c>
    </row>
    <row r="108" spans="2:11" ht="22.5">
      <c r="B108" s="719" t="str">
        <f>FINAL_OUTPUTS_OF_ITT_PLACES!B73</f>
        <v>Religious Education</v>
      </c>
      <c r="C108" s="721">
        <f>FINAL_OUTPUTS_OF_ITT_PLACES!G73</f>
        <v>643.48147436594184</v>
      </c>
      <c r="D108" s="722">
        <v>643.48147436594184</v>
      </c>
      <c r="E108" s="722">
        <v>593.90262088565157</v>
      </c>
      <c r="I108" s="249" t="s">
        <v>563</v>
      </c>
      <c r="J108" s="749" t="b">
        <f>FINAL_OUTPUTS_OF_ITT_PLACES!I73</f>
        <v>0</v>
      </c>
      <c r="K108" s="391" t="b">
        <f>FINAL_OUTPUTS_OF_ITT_PLACES!J73</f>
        <v>0</v>
      </c>
    </row>
    <row r="109" spans="2:11">
      <c r="B109" s="249" t="s">
        <v>8</v>
      </c>
      <c r="C109" s="577">
        <f>SUM(C89:C108)</f>
        <v>30846.50467308921</v>
      </c>
      <c r="D109" s="722">
        <v>30846.50467308921</v>
      </c>
      <c r="E109" s="722">
        <v>29970.444662913622</v>
      </c>
      <c r="G109" s="319"/>
      <c r="H109" s="319"/>
      <c r="I109" s="319"/>
      <c r="J109" s="581"/>
    </row>
    <row r="110" spans="2:11">
      <c r="B110" s="965"/>
      <c r="C110" s="966"/>
      <c r="D110" s="966"/>
      <c r="E110" s="967"/>
      <c r="G110" s="319"/>
      <c r="H110" s="319"/>
      <c r="I110" s="319"/>
      <c r="J110" s="581"/>
    </row>
    <row r="111" spans="2:11" ht="45">
      <c r="B111" s="249" t="s">
        <v>1565</v>
      </c>
      <c r="C111" s="577">
        <f>FINAL_OUTPUTS_OF_ITT_PLACES!C48</f>
        <v>2246.8767087711881</v>
      </c>
      <c r="D111" s="722">
        <v>2246.8767087711881</v>
      </c>
      <c r="E111" s="722">
        <v>2247.4676440306948</v>
      </c>
      <c r="G111" s="319"/>
      <c r="H111" s="319"/>
      <c r="I111" s="319"/>
      <c r="J111" s="581"/>
    </row>
    <row r="113" spans="2:5" ht="15.75">
      <c r="B113" s="78" t="s">
        <v>1324</v>
      </c>
    </row>
    <row r="114" spans="2:5">
      <c r="B114" s="76"/>
    </row>
    <row r="115" spans="2:5" s="319" customFormat="1" ht="31.5" customHeight="1">
      <c r="B115" s="455" t="s">
        <v>1179</v>
      </c>
      <c r="C115" s="1156" t="s">
        <v>1345</v>
      </c>
      <c r="D115" s="1156"/>
      <c r="E115" s="1156"/>
    </row>
    <row r="116" spans="2:5">
      <c r="B116" s="846" t="str">
        <f t="shared" ref="B116:B135" si="6">B89</f>
        <v>Primary</v>
      </c>
      <c r="C116" s="847"/>
      <c r="D116" s="982">
        <f t="shared" ref="D116:D136" si="7">$C89-D89</f>
        <v>0</v>
      </c>
      <c r="E116" s="848"/>
    </row>
    <row r="117" spans="2:5">
      <c r="B117" s="760" t="str">
        <f t="shared" si="6"/>
        <v>Art &amp; Design</v>
      </c>
      <c r="C117" s="847"/>
      <c r="D117" s="982">
        <f t="shared" si="7"/>
        <v>0</v>
      </c>
      <c r="E117" s="848"/>
    </row>
    <row r="118" spans="2:5">
      <c r="B118" s="580" t="str">
        <f t="shared" si="6"/>
        <v>Biology</v>
      </c>
      <c r="C118" s="847"/>
      <c r="D118" s="982">
        <f t="shared" si="7"/>
        <v>0</v>
      </c>
      <c r="E118" s="848"/>
    </row>
    <row r="119" spans="2:5">
      <c r="B119" s="760" t="str">
        <f t="shared" si="6"/>
        <v>Business Studies</v>
      </c>
      <c r="C119" s="847"/>
      <c r="D119" s="982">
        <f t="shared" si="7"/>
        <v>0</v>
      </c>
      <c r="E119" s="848"/>
    </row>
    <row r="120" spans="2:5">
      <c r="B120" s="580" t="str">
        <f t="shared" si="6"/>
        <v>Chemistry</v>
      </c>
      <c r="C120" s="847"/>
      <c r="D120" s="982">
        <f t="shared" si="7"/>
        <v>0</v>
      </c>
      <c r="E120" s="848"/>
    </row>
    <row r="121" spans="2:5">
      <c r="B121" s="580" t="str">
        <f t="shared" si="6"/>
        <v>Classics</v>
      </c>
      <c r="C121" s="847"/>
      <c r="D121" s="982">
        <f t="shared" si="7"/>
        <v>0</v>
      </c>
      <c r="E121" s="848"/>
    </row>
    <row r="122" spans="2:5">
      <c r="B122" s="580" t="str">
        <f t="shared" si="6"/>
        <v>Computing</v>
      </c>
      <c r="C122" s="847"/>
      <c r="D122" s="982">
        <f t="shared" si="7"/>
        <v>0</v>
      </c>
      <c r="E122" s="848"/>
    </row>
    <row r="123" spans="2:5" ht="22.5">
      <c r="B123" s="760" t="str">
        <f t="shared" si="6"/>
        <v>Design &amp; Technology</v>
      </c>
      <c r="C123" s="847"/>
      <c r="D123" s="982">
        <f t="shared" si="7"/>
        <v>0</v>
      </c>
      <c r="E123" s="848"/>
    </row>
    <row r="124" spans="2:5">
      <c r="B124" s="760" t="str">
        <f t="shared" si="6"/>
        <v>Drama</v>
      </c>
      <c r="C124" s="847"/>
      <c r="D124" s="982">
        <f t="shared" si="7"/>
        <v>0</v>
      </c>
      <c r="E124" s="848"/>
    </row>
    <row r="125" spans="2:5">
      <c r="B125" s="580" t="str">
        <f t="shared" si="6"/>
        <v>English</v>
      </c>
      <c r="C125" s="847"/>
      <c r="D125" s="982">
        <f t="shared" si="7"/>
        <v>0</v>
      </c>
      <c r="E125" s="848"/>
    </row>
    <row r="126" spans="2:5">
      <c r="B126" s="760" t="str">
        <f t="shared" si="6"/>
        <v>Food</v>
      </c>
      <c r="C126" s="847"/>
      <c r="D126" s="982">
        <f t="shared" si="7"/>
        <v>0</v>
      </c>
      <c r="E126" s="848"/>
    </row>
    <row r="127" spans="2:5">
      <c r="B127" s="580" t="str">
        <f t="shared" si="6"/>
        <v>Geography</v>
      </c>
      <c r="C127" s="847"/>
      <c r="D127" s="982">
        <f t="shared" si="7"/>
        <v>0</v>
      </c>
      <c r="E127" s="848"/>
    </row>
    <row r="128" spans="2:5">
      <c r="B128" s="580" t="str">
        <f t="shared" si="6"/>
        <v>History</v>
      </c>
      <c r="C128" s="847"/>
      <c r="D128" s="982">
        <f t="shared" si="7"/>
        <v>0</v>
      </c>
      <c r="E128" s="848"/>
    </row>
    <row r="129" spans="2:9">
      <c r="B129" s="580" t="str">
        <f t="shared" si="6"/>
        <v>Mathematics</v>
      </c>
      <c r="C129" s="847"/>
      <c r="D129" s="982">
        <f t="shared" si="7"/>
        <v>0</v>
      </c>
      <c r="E129" s="848"/>
    </row>
    <row r="130" spans="2:9" ht="22.5">
      <c r="B130" s="696" t="str">
        <f t="shared" si="6"/>
        <v>Modern Foreign Languages</v>
      </c>
      <c r="C130" s="847"/>
      <c r="D130" s="982">
        <f t="shared" si="7"/>
        <v>0</v>
      </c>
      <c r="E130" s="848"/>
    </row>
    <row r="131" spans="2:9">
      <c r="B131" s="760" t="str">
        <f t="shared" si="6"/>
        <v>Music</v>
      </c>
      <c r="C131" s="847"/>
      <c r="D131" s="982">
        <f t="shared" si="7"/>
        <v>0</v>
      </c>
      <c r="E131" s="848"/>
    </row>
    <row r="132" spans="2:9">
      <c r="B132" s="760" t="str">
        <f t="shared" si="6"/>
        <v>Others</v>
      </c>
      <c r="C132" s="847"/>
      <c r="D132" s="982">
        <f t="shared" si="7"/>
        <v>0</v>
      </c>
      <c r="E132" s="848"/>
    </row>
    <row r="133" spans="2:9">
      <c r="B133" s="760" t="str">
        <f t="shared" si="6"/>
        <v>Physical Education</v>
      </c>
      <c r="C133" s="847"/>
      <c r="D133" s="982">
        <f t="shared" si="7"/>
        <v>0</v>
      </c>
      <c r="E133" s="848"/>
    </row>
    <row r="134" spans="2:9">
      <c r="B134" s="580" t="str">
        <f t="shared" si="6"/>
        <v>Physics</v>
      </c>
      <c r="C134" s="847"/>
      <c r="D134" s="982">
        <f t="shared" si="7"/>
        <v>0</v>
      </c>
      <c r="E134" s="848"/>
    </row>
    <row r="135" spans="2:9">
      <c r="B135" s="579" t="str">
        <f t="shared" si="6"/>
        <v>Religious Education</v>
      </c>
      <c r="C135" s="847"/>
      <c r="D135" s="982">
        <f t="shared" si="7"/>
        <v>0</v>
      </c>
      <c r="E135" s="848"/>
    </row>
    <row r="136" spans="2:9">
      <c r="B136" s="578" t="s">
        <v>8</v>
      </c>
      <c r="C136" s="847"/>
      <c r="D136" s="982">
        <f t="shared" si="7"/>
        <v>0</v>
      </c>
      <c r="E136" s="848"/>
    </row>
    <row r="137" spans="2:9">
      <c r="B137" s="578" t="s">
        <v>810</v>
      </c>
      <c r="C137" s="847"/>
      <c r="D137" s="982">
        <f>SUM(D117:D135)</f>
        <v>0</v>
      </c>
      <c r="E137" s="848"/>
    </row>
    <row r="138" spans="2:9">
      <c r="B138" s="968"/>
      <c r="C138" s="969"/>
      <c r="D138" s="983"/>
      <c r="E138" s="970"/>
    </row>
    <row r="139" spans="2:9" ht="45">
      <c r="B139" s="249" t="s">
        <v>1565</v>
      </c>
      <c r="C139" s="971"/>
      <c r="D139" s="982">
        <f>C111-D111</f>
        <v>0</v>
      </c>
      <c r="E139" s="972"/>
    </row>
    <row r="140" spans="2:9" ht="23.25">
      <c r="B140" s="845"/>
    </row>
    <row r="141" spans="2:9" ht="23.25">
      <c r="B141" s="845" t="s">
        <v>1301</v>
      </c>
    </row>
    <row r="142" spans="2:9">
      <c r="B142" s="12"/>
    </row>
    <row r="143" spans="2:9" ht="18">
      <c r="B143" s="973" t="s">
        <v>1310</v>
      </c>
      <c r="I143" s="115"/>
    </row>
    <row r="144" spans="2:9" ht="18">
      <c r="B144" s="39"/>
      <c r="I144" s="115"/>
    </row>
    <row r="145" spans="2:17">
      <c r="B145" s="150" t="s">
        <v>1341</v>
      </c>
      <c r="I145" s="115"/>
    </row>
    <row r="146" spans="2:17">
      <c r="B146" s="150"/>
    </row>
    <row r="147" spans="2:17" ht="12.75" customHeight="1">
      <c r="B147" s="1141" t="s">
        <v>1413</v>
      </c>
      <c r="C147" s="1141"/>
      <c r="D147" s="1141"/>
      <c r="E147" s="1141"/>
      <c r="F147" s="1141"/>
      <c r="G147" s="1141"/>
      <c r="H147" s="1141"/>
      <c r="I147" s="1141"/>
      <c r="J147" s="1141"/>
      <c r="K147" s="1141"/>
      <c r="L147" s="1141"/>
      <c r="M147" s="1141"/>
      <c r="N147" s="1141"/>
      <c r="O147" s="1141"/>
      <c r="P147" s="1141"/>
      <c r="Q147" s="1141"/>
    </row>
    <row r="148" spans="2:17">
      <c r="B148" s="1141"/>
      <c r="C148" s="1141"/>
      <c r="D148" s="1141"/>
      <c r="E148" s="1141"/>
      <c r="F148" s="1141"/>
      <c r="G148" s="1141"/>
      <c r="H148" s="1141"/>
      <c r="I148" s="1141"/>
      <c r="J148" s="1141"/>
      <c r="K148" s="1141"/>
      <c r="L148" s="1141"/>
      <c r="M148" s="1141"/>
      <c r="N148" s="1141"/>
      <c r="O148" s="1141"/>
      <c r="P148" s="1141"/>
      <c r="Q148" s="1141"/>
    </row>
    <row r="149" spans="2:17">
      <c r="B149" s="1141"/>
      <c r="C149" s="1141"/>
      <c r="D149" s="1141"/>
      <c r="E149" s="1141"/>
      <c r="F149" s="1141"/>
      <c r="G149" s="1141"/>
      <c r="H149" s="1141"/>
      <c r="I149" s="1141"/>
      <c r="J149" s="1141"/>
      <c r="K149" s="1141"/>
      <c r="L149" s="1141"/>
      <c r="M149" s="1141"/>
      <c r="N149" s="1141"/>
      <c r="O149" s="1141"/>
      <c r="P149" s="1141"/>
      <c r="Q149" s="1141"/>
    </row>
    <row r="150" spans="2:17">
      <c r="B150" s="225"/>
      <c r="C150" s="225"/>
      <c r="D150" s="225"/>
      <c r="E150" s="225"/>
      <c r="F150" s="225"/>
      <c r="G150" s="225"/>
      <c r="H150" s="225"/>
      <c r="I150" s="225"/>
      <c r="J150" s="225"/>
      <c r="K150" s="225"/>
      <c r="L150" s="225"/>
      <c r="M150" s="225"/>
      <c r="N150" s="225"/>
      <c r="O150" s="225"/>
      <c r="P150" s="225"/>
      <c r="Q150" s="225"/>
    </row>
    <row r="151" spans="2:17">
      <c r="B151" s="723" t="s">
        <v>1311</v>
      </c>
      <c r="C151" s="225"/>
      <c r="D151" s="225"/>
      <c r="E151" s="225"/>
      <c r="F151" s="225"/>
      <c r="G151" s="225"/>
      <c r="H151" s="225"/>
      <c r="I151" s="225"/>
      <c r="J151" s="225"/>
      <c r="K151" s="225"/>
      <c r="L151" s="225"/>
      <c r="M151" s="225"/>
      <c r="N151" s="225"/>
      <c r="O151" s="225"/>
      <c r="P151" s="225"/>
      <c r="Q151" s="225"/>
    </row>
    <row r="152" spans="2:17">
      <c r="B152" s="723"/>
      <c r="C152" s="225"/>
      <c r="D152" s="225"/>
      <c r="E152" s="225"/>
      <c r="F152" s="225"/>
      <c r="G152" s="225"/>
      <c r="H152" s="225"/>
      <c r="I152" s="225"/>
      <c r="J152" s="225"/>
      <c r="K152" s="225"/>
      <c r="L152" s="225"/>
      <c r="M152" s="225"/>
      <c r="N152" s="225"/>
      <c r="O152" s="225"/>
      <c r="P152" s="225"/>
      <c r="Q152" s="225"/>
    </row>
    <row r="153" spans="2:17">
      <c r="B153" s="723" t="s">
        <v>1312</v>
      </c>
      <c r="C153" s="225"/>
      <c r="D153" s="225"/>
      <c r="E153" s="225"/>
      <c r="F153" s="225"/>
      <c r="G153" s="225"/>
      <c r="H153" s="225"/>
      <c r="I153" s="225"/>
      <c r="J153" s="225"/>
      <c r="K153" s="225"/>
      <c r="L153" s="225"/>
      <c r="M153" s="225"/>
      <c r="N153" s="225"/>
      <c r="O153" s="225"/>
      <c r="P153" s="225"/>
      <c r="Q153" s="225"/>
    </row>
    <row r="154" spans="2:17">
      <c r="B154" s="723"/>
      <c r="C154" s="225"/>
      <c r="D154" s="225"/>
      <c r="E154" s="225"/>
      <c r="F154" s="225"/>
      <c r="G154" s="225"/>
      <c r="H154" s="225"/>
      <c r="I154" s="225"/>
      <c r="J154" s="225"/>
      <c r="K154" s="225"/>
      <c r="L154" s="225"/>
      <c r="M154" s="225"/>
      <c r="N154" s="225"/>
      <c r="O154" s="225"/>
      <c r="P154" s="225"/>
      <c r="Q154" s="225"/>
    </row>
    <row r="155" spans="2:17">
      <c r="B155" s="76" t="s">
        <v>49</v>
      </c>
      <c r="F155" s="76" t="s">
        <v>50</v>
      </c>
    </row>
    <row r="160" spans="2:17">
      <c r="B160" s="226" t="s">
        <v>1289</v>
      </c>
      <c r="C160" s="76"/>
      <c r="D160" s="76"/>
      <c r="E160" s="76"/>
      <c r="F160" s="226"/>
    </row>
    <row r="161" spans="2:17" s="2" customFormat="1">
      <c r="C161" s="410"/>
      <c r="D161" s="411"/>
      <c r="G161" s="412"/>
      <c r="H161" s="411"/>
    </row>
    <row r="162" spans="2:17" s="2" customFormat="1" ht="13.15" customHeight="1">
      <c r="B162" s="1157" t="s">
        <v>1440</v>
      </c>
      <c r="C162" s="1157"/>
      <c r="D162" s="1157"/>
      <c r="E162" s="1157"/>
      <c r="F162" s="1157"/>
      <c r="G162" s="1157"/>
      <c r="H162" s="1157"/>
      <c r="I162" s="1157"/>
      <c r="J162" s="1157"/>
      <c r="K162" s="1157"/>
      <c r="L162" s="1157"/>
      <c r="M162" s="1157"/>
      <c r="N162" s="1157"/>
      <c r="O162" s="1157"/>
      <c r="P162" s="1157"/>
      <c r="Q162" s="1157"/>
    </row>
    <row r="163" spans="2:17">
      <c r="B163" s="1157"/>
      <c r="C163" s="1157"/>
      <c r="D163" s="1157"/>
      <c r="E163" s="1157"/>
      <c r="F163" s="1157"/>
      <c r="G163" s="1157"/>
      <c r="H163" s="1157"/>
      <c r="I163" s="1157"/>
      <c r="J163" s="1157"/>
      <c r="K163" s="1157"/>
      <c r="L163" s="1157"/>
      <c r="M163" s="1157"/>
      <c r="N163" s="1157"/>
      <c r="O163" s="1157"/>
      <c r="P163" s="1157"/>
      <c r="Q163" s="1157"/>
    </row>
    <row r="164" spans="2:17">
      <c r="C164" s="947"/>
      <c r="D164" s="947"/>
      <c r="E164" s="947"/>
      <c r="F164" s="947"/>
      <c r="G164" s="947"/>
      <c r="H164" s="947"/>
      <c r="I164" s="947"/>
      <c r="J164" s="947"/>
      <c r="K164" s="947"/>
      <c r="L164" s="947"/>
      <c r="M164" s="947"/>
      <c r="N164" s="947"/>
      <c r="O164" s="947"/>
      <c r="P164" s="947"/>
      <c r="Q164" s="947"/>
    </row>
    <row r="165" spans="2:17">
      <c r="C165" s="947"/>
      <c r="D165" s="947"/>
      <c r="E165" s="947"/>
      <c r="F165" s="948" t="str">
        <f>Data_selected_by_user_testing!D15</f>
        <v>2014/15</v>
      </c>
      <c r="G165" s="948" t="str">
        <f>Data_selected_by_user_testing!E15</f>
        <v>2015/16</v>
      </c>
      <c r="H165" s="948" t="str">
        <f>Data_selected_by_user_testing!F15</f>
        <v>2016/17</v>
      </c>
      <c r="I165" s="948" t="str">
        <f>Data_selected_by_user_testing!G15</f>
        <v>2017/18</v>
      </c>
      <c r="J165" s="948" t="str">
        <f>Data_selected_by_user_testing!H15</f>
        <v>2018/19</v>
      </c>
      <c r="K165" s="948" t="str">
        <f>Data_selected_by_user_testing!I15</f>
        <v>2019/20</v>
      </c>
      <c r="L165" s="948" t="str">
        <f>Data_selected_by_user_testing!J15</f>
        <v>2020/21</v>
      </c>
      <c r="M165" s="947"/>
      <c r="N165" s="947"/>
      <c r="O165" s="947"/>
      <c r="P165" s="947"/>
      <c r="Q165" s="947"/>
    </row>
    <row r="166" spans="2:17">
      <c r="B166" s="1104" t="s">
        <v>1342</v>
      </c>
      <c r="C166" s="1104"/>
      <c r="D166" s="1104"/>
      <c r="E166" s="949" t="s">
        <v>49</v>
      </c>
      <c r="F166" s="950">
        <f>RAW_DATA_INPUTS!C207</f>
        <v>1</v>
      </c>
      <c r="G166" s="950">
        <f>RAW_DATA_INPUTS!D207</f>
        <v>1</v>
      </c>
      <c r="H166" s="950">
        <f>RAW_DATA_INPUTS!E207</f>
        <v>1</v>
      </c>
      <c r="I166" s="950">
        <f>RAW_DATA_INPUTS!F207</f>
        <v>1</v>
      </c>
      <c r="J166" s="950">
        <f>RAW_DATA_INPUTS!G207</f>
        <v>1</v>
      </c>
      <c r="K166" s="950">
        <f>RAW_DATA_INPUTS!H207</f>
        <v>1</v>
      </c>
      <c r="L166" s="950">
        <f>RAW_DATA_INPUTS!I207</f>
        <v>1</v>
      </c>
      <c r="M166" s="947"/>
      <c r="N166" s="947"/>
      <c r="O166" s="947"/>
      <c r="P166" s="947"/>
      <c r="Q166" s="947"/>
    </row>
    <row r="167" spans="2:17">
      <c r="B167" s="1104"/>
      <c r="C167" s="1104"/>
      <c r="D167" s="1104"/>
      <c r="E167" s="949" t="s">
        <v>50</v>
      </c>
      <c r="F167" s="950">
        <f>RAW_DATA_INPUTS!C210</f>
        <v>1</v>
      </c>
      <c r="G167" s="950">
        <f>RAW_DATA_INPUTS!D210</f>
        <v>1</v>
      </c>
      <c r="H167" s="950">
        <f>RAW_DATA_INPUTS!E210</f>
        <v>1</v>
      </c>
      <c r="I167" s="950">
        <f>RAW_DATA_INPUTS!F210</f>
        <v>1</v>
      </c>
      <c r="J167" s="950">
        <f>RAW_DATA_INPUTS!G210</f>
        <v>1</v>
      </c>
      <c r="K167" s="950">
        <f>RAW_DATA_INPUTS!H210</f>
        <v>1</v>
      </c>
      <c r="L167" s="950">
        <f>RAW_DATA_INPUTS!I210</f>
        <v>1</v>
      </c>
      <c r="M167" s="947"/>
      <c r="N167" s="947"/>
      <c r="O167" s="947"/>
      <c r="P167" s="947"/>
      <c r="Q167" s="947"/>
    </row>
    <row r="168" spans="2:17">
      <c r="B168" s="1104" t="s">
        <v>1290</v>
      </c>
      <c r="C168" s="1104"/>
      <c r="D168" s="1104"/>
      <c r="E168" s="949" t="s">
        <v>49</v>
      </c>
      <c r="F168" s="950">
        <v>1</v>
      </c>
      <c r="G168" s="950">
        <v>1.0592620914030249</v>
      </c>
      <c r="H168" s="950">
        <v>1.0683201747129456</v>
      </c>
      <c r="I168" s="950">
        <v>1.040406436843089</v>
      </c>
      <c r="J168" s="950">
        <v>0.98875306470678115</v>
      </c>
      <c r="K168" s="950">
        <v>0.92659224521734762</v>
      </c>
      <c r="L168" s="950">
        <v>0.86715616528811623</v>
      </c>
      <c r="M168" s="947"/>
      <c r="N168" s="947"/>
      <c r="O168" s="947"/>
      <c r="P168" s="947"/>
      <c r="Q168" s="947"/>
    </row>
    <row r="169" spans="2:17">
      <c r="B169" s="1104"/>
      <c r="C169" s="1104"/>
      <c r="D169" s="1104"/>
      <c r="E169" s="949" t="s">
        <v>50</v>
      </c>
      <c r="F169" s="950">
        <v>1</v>
      </c>
      <c r="G169" s="950">
        <v>1.0213322486376983</v>
      </c>
      <c r="H169" s="950">
        <v>1.040010686413416</v>
      </c>
      <c r="I169" s="950">
        <v>1.0573066243939926</v>
      </c>
      <c r="J169" s="950">
        <v>1.0744913736462685</v>
      </c>
      <c r="K169" s="950">
        <v>1.0928362452370834</v>
      </c>
      <c r="L169" s="950">
        <v>1.1136125502332772</v>
      </c>
      <c r="M169" s="947"/>
      <c r="N169" s="947"/>
      <c r="O169" s="947"/>
      <c r="P169" s="947"/>
      <c r="Q169" s="947"/>
    </row>
    <row r="170" spans="2:17">
      <c r="B170" s="1140" t="s">
        <v>1286</v>
      </c>
      <c r="C170" s="1140"/>
      <c r="D170" s="1140"/>
      <c r="E170" s="949" t="s">
        <v>49</v>
      </c>
      <c r="F170" s="951">
        <v>1</v>
      </c>
      <c r="G170" s="951">
        <v>1</v>
      </c>
      <c r="H170" s="951">
        <v>1</v>
      </c>
      <c r="I170" s="951">
        <v>1</v>
      </c>
      <c r="J170" s="951">
        <v>1</v>
      </c>
      <c r="K170" s="951">
        <v>1</v>
      </c>
      <c r="L170" s="951">
        <v>1</v>
      </c>
      <c r="M170" s="947"/>
      <c r="N170" s="947"/>
      <c r="O170" s="947"/>
      <c r="P170" s="947"/>
      <c r="Q170" s="947"/>
    </row>
    <row r="171" spans="2:17">
      <c r="B171" s="1140"/>
      <c r="C171" s="1140"/>
      <c r="D171" s="1140"/>
      <c r="E171" s="949" t="s">
        <v>50</v>
      </c>
      <c r="F171" s="951">
        <v>1</v>
      </c>
      <c r="G171" s="951">
        <v>1</v>
      </c>
      <c r="H171" s="951">
        <v>1</v>
      </c>
      <c r="I171" s="951">
        <v>1</v>
      </c>
      <c r="J171" s="951">
        <v>1</v>
      </c>
      <c r="K171" s="951">
        <v>1</v>
      </c>
      <c r="L171" s="951">
        <v>1</v>
      </c>
      <c r="M171" s="947"/>
      <c r="N171" s="947"/>
      <c r="O171" s="947"/>
      <c r="P171" s="947"/>
      <c r="Q171" s="947"/>
    </row>
    <row r="172" spans="2:17">
      <c r="C172" s="413"/>
      <c r="D172" s="413"/>
      <c r="E172" s="413"/>
      <c r="F172" s="413"/>
      <c r="G172" s="413"/>
      <c r="H172" s="413"/>
      <c r="I172" s="413"/>
      <c r="J172" s="413"/>
      <c r="K172" s="413"/>
      <c r="L172" s="413"/>
      <c r="M172" s="413"/>
      <c r="N172" s="413"/>
      <c r="O172" s="413"/>
      <c r="P172" s="413"/>
      <c r="Q172" s="413"/>
    </row>
    <row r="173" spans="2:17" ht="18">
      <c r="B173" s="973" t="s">
        <v>1313</v>
      </c>
    </row>
    <row r="174" spans="2:17" ht="18">
      <c r="B174" s="39"/>
    </row>
    <row r="175" spans="2:17">
      <c r="B175" s="150" t="s">
        <v>315</v>
      </c>
    </row>
    <row r="176" spans="2:17">
      <c r="B176" s="150"/>
    </row>
    <row r="177" spans="2:17">
      <c r="B177" s="1141" t="s">
        <v>1656</v>
      </c>
      <c r="C177" s="1141"/>
      <c r="D177" s="1141"/>
      <c r="E177" s="1141"/>
      <c r="F177" s="1141"/>
      <c r="G177" s="1141"/>
      <c r="H177" s="1141"/>
      <c r="I177" s="1141"/>
      <c r="J177" s="1141"/>
      <c r="K177" s="1141"/>
      <c r="L177" s="1141"/>
      <c r="M177" s="1141"/>
      <c r="N177" s="1141"/>
      <c r="O177" s="1141"/>
      <c r="P177" s="1141"/>
      <c r="Q177" s="1141"/>
    </row>
    <row r="178" spans="2:17">
      <c r="B178" s="1141"/>
      <c r="C178" s="1141"/>
      <c r="D178" s="1141"/>
      <c r="E178" s="1141"/>
      <c r="F178" s="1141"/>
      <c r="G178" s="1141"/>
      <c r="H178" s="1141"/>
      <c r="I178" s="1141"/>
      <c r="J178" s="1141"/>
      <c r="K178" s="1141"/>
      <c r="L178" s="1141"/>
      <c r="M178" s="1141"/>
      <c r="N178" s="1141"/>
      <c r="O178" s="1141"/>
      <c r="P178" s="1141"/>
      <c r="Q178" s="1141"/>
    </row>
    <row r="179" spans="2:17">
      <c r="B179" s="225"/>
      <c r="C179" s="225"/>
      <c r="D179" s="225"/>
      <c r="E179" s="225"/>
      <c r="F179" s="225"/>
      <c r="G179" s="225"/>
      <c r="H179" s="225"/>
      <c r="I179" s="225"/>
      <c r="J179" s="225"/>
      <c r="K179" s="225"/>
      <c r="L179" s="225"/>
      <c r="M179" s="225"/>
      <c r="N179" s="225"/>
      <c r="O179" s="225"/>
      <c r="P179" s="225"/>
      <c r="Q179" s="225"/>
    </row>
    <row r="180" spans="2:17">
      <c r="B180" s="1012" t="s">
        <v>1469</v>
      </c>
      <c r="C180" s="1012"/>
      <c r="D180" s="1012"/>
      <c r="E180" s="1012"/>
      <c r="F180" s="1012"/>
      <c r="G180" s="1012"/>
      <c r="H180" s="1012"/>
      <c r="I180" s="1012"/>
      <c r="J180" s="1012"/>
      <c r="K180" s="1012"/>
      <c r="L180" s="1012"/>
      <c r="M180" s="1012"/>
      <c r="N180" s="1012"/>
      <c r="O180" s="1012"/>
      <c r="P180" s="1012"/>
      <c r="Q180" s="225"/>
    </row>
    <row r="181" spans="2:17">
      <c r="B181" s="225"/>
      <c r="C181" s="225"/>
      <c r="D181" s="225"/>
      <c r="E181" s="225"/>
      <c r="F181" s="225"/>
      <c r="G181" s="225"/>
      <c r="H181" s="225"/>
      <c r="I181" s="225"/>
      <c r="J181" s="225"/>
      <c r="K181" s="225"/>
      <c r="L181" s="225"/>
      <c r="M181" s="225"/>
      <c r="N181" s="225"/>
      <c r="O181" s="225"/>
      <c r="P181" s="225"/>
      <c r="Q181" s="225"/>
    </row>
    <row r="182" spans="2:17">
      <c r="B182" s="76" t="s">
        <v>240</v>
      </c>
      <c r="F182" s="76" t="s">
        <v>239</v>
      </c>
      <c r="J182" s="76" t="s">
        <v>241</v>
      </c>
      <c r="N182" s="76" t="s">
        <v>242</v>
      </c>
    </row>
    <row r="187" spans="2:17" ht="18">
      <c r="B187" s="973" t="s">
        <v>1353</v>
      </c>
    </row>
    <row r="188" spans="2:17" ht="18">
      <c r="B188" s="39"/>
    </row>
    <row r="189" spans="2:17">
      <c r="B189" s="150" t="s">
        <v>1657</v>
      </c>
    </row>
    <row r="190" spans="2:17">
      <c r="B190" s="150"/>
    </row>
    <row r="191" spans="2:17">
      <c r="B191" s="150" t="s">
        <v>287</v>
      </c>
    </row>
    <row r="192" spans="2:17">
      <c r="B192" s="150"/>
    </row>
    <row r="193" spans="2:23">
      <c r="B193" s="150" t="s">
        <v>316</v>
      </c>
    </row>
    <row r="194" spans="2:23">
      <c r="B194" s="150"/>
    </row>
    <row r="195" spans="2:23">
      <c r="B195" s="150" t="s">
        <v>1658</v>
      </c>
    </row>
    <row r="196" spans="2:23">
      <c r="B196" s="150"/>
    </row>
    <row r="197" spans="2:23">
      <c r="B197" s="150" t="s">
        <v>288</v>
      </c>
    </row>
    <row r="198" spans="2:23">
      <c r="B198" s="150"/>
    </row>
    <row r="199" spans="2:23">
      <c r="B199" s="1148" t="s">
        <v>441</v>
      </c>
      <c r="C199" s="1148"/>
      <c r="D199" s="1148"/>
      <c r="E199" s="1148"/>
      <c r="F199" s="1148"/>
      <c r="G199" s="1148"/>
      <c r="H199" s="1148"/>
      <c r="I199" s="1148"/>
      <c r="J199" s="1148"/>
      <c r="K199" s="1148"/>
      <c r="L199" s="1148"/>
      <c r="M199" s="1148"/>
      <c r="N199" s="1148"/>
      <c r="O199" s="1148"/>
      <c r="P199" s="1148"/>
      <c r="Q199" s="1148"/>
      <c r="R199" s="1148"/>
    </row>
    <row r="200" spans="2:23">
      <c r="B200" s="1148"/>
      <c r="C200" s="1148"/>
      <c r="D200" s="1148"/>
      <c r="E200" s="1148"/>
      <c r="F200" s="1148"/>
      <c r="G200" s="1148"/>
      <c r="H200" s="1148"/>
      <c r="I200" s="1148"/>
      <c r="J200" s="1148"/>
      <c r="K200" s="1148"/>
      <c r="L200" s="1148"/>
      <c r="M200" s="1148"/>
      <c r="N200" s="1148"/>
      <c r="O200" s="1148"/>
      <c r="P200" s="1148"/>
      <c r="Q200" s="1148"/>
      <c r="R200" s="1148"/>
    </row>
    <row r="201" spans="2:23">
      <c r="B201" s="76" t="s">
        <v>43</v>
      </c>
      <c r="F201" s="76" t="s">
        <v>245</v>
      </c>
      <c r="J201" s="407" t="s">
        <v>485</v>
      </c>
    </row>
    <row r="203" spans="2:23">
      <c r="J203" s="405" t="s">
        <v>74</v>
      </c>
      <c r="K203" s="224" t="str">
        <f>Calc_Primary_teacher_need!N18</f>
        <v>2015/16</v>
      </c>
      <c r="L203" s="224" t="str">
        <f>Calc_Primary_teacher_need!O18</f>
        <v>2016/17</v>
      </c>
      <c r="M203" s="224" t="str">
        <f>Calc_Primary_teacher_need!P18</f>
        <v>2017/18</v>
      </c>
      <c r="N203" s="224" t="str">
        <f>Calc_Primary_teacher_need!Q18</f>
        <v>2018/19</v>
      </c>
      <c r="O203" s="224" t="str">
        <f>Calc_Primary_teacher_need!R18</f>
        <v>2019/20</v>
      </c>
      <c r="P203" s="224" t="str">
        <f>Calc_Primary_teacher_need!S18</f>
        <v>2020/21</v>
      </c>
      <c r="Q203" s="224" t="str">
        <f>Calc_Primary_teacher_need!T18</f>
        <v>2021/22</v>
      </c>
      <c r="R203" s="224" t="str">
        <f>Calc_Primary_teacher_need!U18</f>
        <v>2022/23</v>
      </c>
      <c r="S203" s="224" t="str">
        <f>Calc_Primary_teacher_need!V18</f>
        <v>2023/24</v>
      </c>
      <c r="T203" s="224" t="str">
        <f>Calc_Primary_teacher_need!W18</f>
        <v>2024/25</v>
      </c>
      <c r="U203" s="224" t="str">
        <f>Calc_Primary_teacher_need!X18</f>
        <v>2025/26</v>
      </c>
      <c r="V203" s="224" t="str">
        <f>Calc_Primary_teacher_need!Y18</f>
        <v>2026/27</v>
      </c>
      <c r="W203" s="224" t="str">
        <f>Calc_Primary_teacher_need!Z18</f>
        <v>2027/28</v>
      </c>
    </row>
    <row r="204" spans="2:23">
      <c r="J204" s="405" t="s">
        <v>43</v>
      </c>
      <c r="K204" s="224" t="b">
        <f>Calc_Primary_teacher_need!F76</f>
        <v>0</v>
      </c>
      <c r="L204" s="224" t="b">
        <f>Calc_Primary_teacher_need!G76</f>
        <v>0</v>
      </c>
      <c r="M204" s="224" t="b">
        <f>Calc_Primary_teacher_need!H76</f>
        <v>0</v>
      </c>
      <c r="N204" s="224" t="b">
        <f>Calc_Primary_teacher_need!I76</f>
        <v>0</v>
      </c>
      <c r="O204" s="224" t="b">
        <f>Calc_Primary_teacher_need!J76</f>
        <v>0</v>
      </c>
      <c r="P204" s="224" t="b">
        <f>Calc_Primary_teacher_need!K76</f>
        <v>0</v>
      </c>
      <c r="Q204" s="224" t="b">
        <f>Calc_Primary_teacher_need!L76</f>
        <v>0</v>
      </c>
      <c r="R204" s="224" t="b">
        <f>Calc_Primary_teacher_need!M76</f>
        <v>0</v>
      </c>
      <c r="S204" s="224" t="b">
        <f>Calc_Primary_teacher_need!N76</f>
        <v>0</v>
      </c>
      <c r="T204" s="224" t="b">
        <f>Calc_Primary_teacher_need!O76</f>
        <v>0</v>
      </c>
      <c r="U204" s="224" t="b">
        <f>Calc_Primary_teacher_need!P76</f>
        <v>0</v>
      </c>
      <c r="V204" s="224" t="b">
        <f>Calc_Primary_teacher_need!Q76</f>
        <v>0</v>
      </c>
      <c r="W204" s="224" t="b">
        <f>Calc_Primary_teacher_need!R76</f>
        <v>0</v>
      </c>
    </row>
    <row r="205" spans="2:23">
      <c r="J205" s="405" t="s">
        <v>245</v>
      </c>
      <c r="K205" s="224" t="b">
        <f>Calc_overall_Sec_teacher_need!F69</f>
        <v>0</v>
      </c>
      <c r="L205" s="224" t="b">
        <f>Calc_overall_Sec_teacher_need!G69</f>
        <v>0</v>
      </c>
      <c r="M205" s="224" t="b">
        <f>Calc_overall_Sec_teacher_need!H69</f>
        <v>0</v>
      </c>
      <c r="N205" s="224" t="b">
        <f>Calc_overall_Sec_teacher_need!I69</f>
        <v>0</v>
      </c>
      <c r="O205" s="224" t="b">
        <f>Calc_overall_Sec_teacher_need!J69</f>
        <v>0</v>
      </c>
      <c r="P205" s="224" t="b">
        <f>Calc_overall_Sec_teacher_need!K69</f>
        <v>0</v>
      </c>
      <c r="Q205" s="224" t="b">
        <f>Calc_overall_Sec_teacher_need!L69</f>
        <v>0</v>
      </c>
      <c r="R205" s="224" t="b">
        <f>Calc_overall_Sec_teacher_need!M69</f>
        <v>0</v>
      </c>
      <c r="S205" s="224" t="b">
        <f>Calc_overall_Sec_teacher_need!N69</f>
        <v>0</v>
      </c>
      <c r="T205" s="224" t="b">
        <f>Calc_overall_Sec_teacher_need!O69</f>
        <v>0</v>
      </c>
      <c r="U205" s="224" t="b">
        <f>Calc_overall_Sec_teacher_need!P69</f>
        <v>0</v>
      </c>
      <c r="V205" s="224" t="b">
        <f>Calc_overall_Sec_teacher_need!Q69</f>
        <v>0</v>
      </c>
      <c r="W205" s="224" t="b">
        <f>Calc_overall_Sec_teacher_need!R69</f>
        <v>0</v>
      </c>
    </row>
    <row r="206" spans="2:23">
      <c r="B206" s="226" t="s">
        <v>268</v>
      </c>
      <c r="C206" s="76"/>
      <c r="D206" s="76"/>
      <c r="E206" s="76"/>
      <c r="F206" s="226" t="s">
        <v>269</v>
      </c>
    </row>
    <row r="207" spans="2:23">
      <c r="C207" s="228"/>
      <c r="G207" s="228"/>
    </row>
    <row r="208" spans="2:23">
      <c r="C208" s="288">
        <v>20</v>
      </c>
      <c r="D208" s="229" t="s">
        <v>270</v>
      </c>
      <c r="G208" s="227">
        <v>22</v>
      </c>
      <c r="H208" s="229" t="s">
        <v>270</v>
      </c>
    </row>
    <row r="210" spans="2:43" ht="18">
      <c r="B210" s="973" t="s">
        <v>1354</v>
      </c>
    </row>
    <row r="211" spans="2:43" ht="18">
      <c r="B211" s="39"/>
      <c r="AE211" s="117" t="str">
        <f>Calc_Primary_teacher_need!N18</f>
        <v>2015/16</v>
      </c>
      <c r="AF211" s="117" t="str">
        <f>Calc_Primary_teacher_need!O18</f>
        <v>2016/17</v>
      </c>
      <c r="AG211" s="117" t="str">
        <f>Calc_Primary_teacher_need!P18</f>
        <v>2017/18</v>
      </c>
      <c r="AH211" s="117" t="str">
        <f>Calc_Primary_teacher_need!Q18</f>
        <v>2018/19</v>
      </c>
      <c r="AI211" s="117" t="str">
        <f>Calc_Primary_teacher_need!R18</f>
        <v>2019/20</v>
      </c>
      <c r="AJ211" s="117" t="str">
        <f>Calc_Primary_teacher_need!S18</f>
        <v>2020/21</v>
      </c>
      <c r="AK211" s="117" t="str">
        <f>Calc_Primary_teacher_need!T18</f>
        <v>2021/22</v>
      </c>
      <c r="AL211" s="117" t="str">
        <f>Calc_Primary_teacher_need!U18</f>
        <v>2022/23</v>
      </c>
      <c r="AM211" s="117" t="str">
        <f>Calc_Primary_teacher_need!V18</f>
        <v>2023/24</v>
      </c>
      <c r="AN211" s="117" t="str">
        <f>Calc_Primary_teacher_need!W18</f>
        <v>2024/25</v>
      </c>
      <c r="AO211" s="117" t="str">
        <f>Calc_Primary_teacher_need!X18</f>
        <v>2025/26</v>
      </c>
      <c r="AP211" s="117" t="str">
        <f>Calc_Primary_teacher_need!Y18</f>
        <v>2026/27</v>
      </c>
      <c r="AQ211" s="117" t="str">
        <f>Calc_Primary_teacher_need!Z18</f>
        <v>2027/28</v>
      </c>
    </row>
    <row r="212" spans="2:43">
      <c r="B212" s="1141" t="s">
        <v>1659</v>
      </c>
      <c r="C212" s="1141"/>
      <c r="D212" s="1141"/>
      <c r="E212" s="1141"/>
      <c r="F212" s="1141"/>
      <c r="G212" s="1141"/>
      <c r="H212" s="1141"/>
      <c r="I212" s="1141"/>
      <c r="J212" s="1141"/>
      <c r="K212" s="1141"/>
      <c r="L212" s="1141"/>
      <c r="M212" s="1141"/>
      <c r="N212" s="1141"/>
      <c r="O212" s="1141"/>
      <c r="P212" s="1141"/>
      <c r="AD212" s="302" t="s">
        <v>1359</v>
      </c>
      <c r="AE212" s="194">
        <v>19.867491083418759</v>
      </c>
      <c r="AF212" s="194">
        <v>20.07459521362799</v>
      </c>
      <c r="AG212" s="194">
        <v>20.201875376067751</v>
      </c>
      <c r="AH212" s="194">
        <v>20.2564174074272</v>
      </c>
      <c r="AI212" s="194">
        <v>20.258081734031702</v>
      </c>
      <c r="AJ212" s="194">
        <v>20.27993630616475</v>
      </c>
      <c r="AK212" s="194">
        <v>20.286670176625265</v>
      </c>
      <c r="AL212" s="194">
        <v>20.269151611127398</v>
      </c>
      <c r="AM212" s="194">
        <v>20.236658455991094</v>
      </c>
      <c r="AN212" s="194">
        <v>20.256331315311471</v>
      </c>
      <c r="AO212" s="194">
        <v>20.313378969436201</v>
      </c>
      <c r="AP212" s="194">
        <v>20.374951306924679</v>
      </c>
      <c r="AQ212" s="194">
        <v>20.421112614383947</v>
      </c>
    </row>
    <row r="213" spans="2:43">
      <c r="B213" s="1141"/>
      <c r="C213" s="1141"/>
      <c r="D213" s="1141"/>
      <c r="E213" s="1141"/>
      <c r="F213" s="1141"/>
      <c r="G213" s="1141"/>
      <c r="H213" s="1141"/>
      <c r="I213" s="1141"/>
      <c r="J213" s="1141"/>
      <c r="K213" s="1141"/>
      <c r="L213" s="1141"/>
      <c r="M213" s="1141"/>
      <c r="N213" s="1141"/>
      <c r="O213" s="1141"/>
      <c r="P213" s="1141"/>
      <c r="AD213" s="302" t="s">
        <v>1360</v>
      </c>
      <c r="AE213" s="194">
        <f>Calc_Primary_teacher_need!N34</f>
        <v>19.867491083418759</v>
      </c>
      <c r="AF213" s="194">
        <f>Calc_Primary_teacher_need!O34</f>
        <v>20.07459521362799</v>
      </c>
      <c r="AG213" s="194">
        <f>Calc_Primary_teacher_need!P34</f>
        <v>20.201875376067751</v>
      </c>
      <c r="AH213" s="194">
        <f>Calc_Primary_teacher_need!Q34</f>
        <v>20.2564174074272</v>
      </c>
      <c r="AI213" s="194">
        <f>Calc_Primary_teacher_need!R34</f>
        <v>20.258081734031702</v>
      </c>
      <c r="AJ213" s="194">
        <f>Calc_Primary_teacher_need!S34</f>
        <v>20.27993630616475</v>
      </c>
      <c r="AK213" s="194">
        <f>Calc_Primary_teacher_need!T34</f>
        <v>20.286670176625265</v>
      </c>
      <c r="AL213" s="194">
        <f>Calc_Primary_teacher_need!U34</f>
        <v>20.269151611127398</v>
      </c>
      <c r="AM213" s="194">
        <f>Calc_Primary_teacher_need!V34</f>
        <v>20.236658455991094</v>
      </c>
      <c r="AN213" s="194">
        <f>Calc_Primary_teacher_need!W34</f>
        <v>20.256331315311471</v>
      </c>
      <c r="AO213" s="194">
        <f>Calc_Primary_teacher_need!X34</f>
        <v>20.313378969436201</v>
      </c>
      <c r="AP213" s="194">
        <f>Calc_Primary_teacher_need!Y34</f>
        <v>20.374951306924679</v>
      </c>
      <c r="AQ213" s="194">
        <f>Calc_Primary_teacher_need!Z34</f>
        <v>20.421112614383947</v>
      </c>
    </row>
    <row r="214" spans="2:43">
      <c r="B214" s="150"/>
      <c r="AD214" s="302" t="s">
        <v>1361</v>
      </c>
      <c r="AE214" s="194">
        <v>14.376115391672679</v>
      </c>
      <c r="AF214" s="194">
        <v>14.462998259445644</v>
      </c>
      <c r="AG214" s="194">
        <v>14.608953947490665</v>
      </c>
      <c r="AH214" s="194">
        <v>14.823010333003189</v>
      </c>
      <c r="AI214" s="194">
        <v>15.057877350775287</v>
      </c>
      <c r="AJ214" s="194">
        <v>15.246031054899905</v>
      </c>
      <c r="AK214" s="194">
        <v>15.447409749702491</v>
      </c>
      <c r="AL214" s="194">
        <v>15.668727634627725</v>
      </c>
      <c r="AM214" s="194">
        <v>15.85864450927671</v>
      </c>
      <c r="AN214" s="194">
        <v>15.928669981461855</v>
      </c>
      <c r="AO214" s="194">
        <v>15.956570421586527</v>
      </c>
      <c r="AP214" s="194">
        <v>15.945804558344161</v>
      </c>
      <c r="AQ214" s="194">
        <v>15.913130818376334</v>
      </c>
    </row>
    <row r="215" spans="2:43">
      <c r="B215" s="1141" t="s">
        <v>317</v>
      </c>
      <c r="C215" s="1141"/>
      <c r="D215" s="1141"/>
      <c r="E215" s="1141"/>
      <c r="F215" s="1141"/>
      <c r="G215" s="1141"/>
      <c r="H215" s="1141"/>
      <c r="I215" s="1141"/>
      <c r="J215" s="1141"/>
      <c r="K215" s="1141"/>
      <c r="L215" s="1141"/>
      <c r="M215" s="1141"/>
      <c r="N215" s="1141"/>
      <c r="O215" s="1141"/>
      <c r="P215" s="1141"/>
      <c r="AD215" s="302" t="s">
        <v>1362</v>
      </c>
      <c r="AE215" s="194">
        <f>Calc_overall_Sec_teacher_need!N34</f>
        <v>14.376115391672679</v>
      </c>
      <c r="AF215" s="194">
        <f>Calc_overall_Sec_teacher_need!O34</f>
        <v>14.462998259445644</v>
      </c>
      <c r="AG215" s="194">
        <f>Calc_overall_Sec_teacher_need!P34</f>
        <v>14.608953947490665</v>
      </c>
      <c r="AH215" s="194">
        <f>Calc_overall_Sec_teacher_need!Q34</f>
        <v>14.823010333003189</v>
      </c>
      <c r="AI215" s="194">
        <f>Calc_overall_Sec_teacher_need!R34</f>
        <v>15.057877350775287</v>
      </c>
      <c r="AJ215" s="194">
        <f>Calc_overall_Sec_teacher_need!S34</f>
        <v>15.246031054899905</v>
      </c>
      <c r="AK215" s="194">
        <f>Calc_overall_Sec_teacher_need!T34</f>
        <v>15.447409749702491</v>
      </c>
      <c r="AL215" s="194">
        <f>Calc_overall_Sec_teacher_need!U34</f>
        <v>15.668727634627725</v>
      </c>
      <c r="AM215" s="194">
        <f>Calc_overall_Sec_teacher_need!V34</f>
        <v>15.85864450927671</v>
      </c>
      <c r="AN215" s="194">
        <f>Calc_overall_Sec_teacher_need!W34</f>
        <v>15.928669981461855</v>
      </c>
      <c r="AO215" s="194">
        <f>Calc_overall_Sec_teacher_need!X34</f>
        <v>15.956570421586527</v>
      </c>
      <c r="AP215" s="194">
        <f>Calc_overall_Sec_teacher_need!Y34</f>
        <v>15.945804558344161</v>
      </c>
      <c r="AQ215" s="194">
        <f>Calc_overall_Sec_teacher_need!Z34</f>
        <v>15.913130818376334</v>
      </c>
    </row>
    <row r="216" spans="2:43" ht="15" customHeight="1">
      <c r="B216" s="1141"/>
      <c r="C216" s="1141"/>
      <c r="D216" s="1141"/>
      <c r="E216" s="1141"/>
      <c r="F216" s="1141"/>
      <c r="G216" s="1141"/>
      <c r="H216" s="1141"/>
      <c r="I216" s="1141"/>
      <c r="J216" s="1141"/>
      <c r="K216" s="1141"/>
      <c r="L216" s="1141"/>
      <c r="M216" s="1141"/>
      <c r="N216" s="1141"/>
      <c r="O216" s="1141"/>
      <c r="P216" s="1141"/>
    </row>
    <row r="217" spans="2:43">
      <c r="B217" s="225"/>
      <c r="C217" s="225"/>
      <c r="D217" s="225"/>
      <c r="E217" s="225"/>
      <c r="F217" s="225"/>
      <c r="G217" s="225"/>
      <c r="H217" s="225"/>
      <c r="I217" s="225"/>
      <c r="J217" s="225"/>
      <c r="K217" s="225"/>
      <c r="L217" s="225"/>
      <c r="M217" s="225"/>
      <c r="N217" s="225"/>
      <c r="O217" s="225"/>
      <c r="P217" s="225"/>
    </row>
    <row r="218" spans="2:43">
      <c r="B218" s="150" t="s">
        <v>289</v>
      </c>
    </row>
    <row r="219" spans="2:43">
      <c r="B219" s="150"/>
    </row>
    <row r="220" spans="2:43">
      <c r="B220" s="76" t="s">
        <v>43</v>
      </c>
      <c r="F220" s="76" t="s">
        <v>245</v>
      </c>
    </row>
    <row r="225" spans="2:16">
      <c r="B225" s="226" t="s">
        <v>1168</v>
      </c>
      <c r="C225" s="76"/>
      <c r="D225" s="76"/>
      <c r="E225" s="76"/>
      <c r="F225" s="226" t="s">
        <v>1169</v>
      </c>
    </row>
    <row r="226" spans="2:16">
      <c r="C226" s="228"/>
      <c r="G226" s="228"/>
    </row>
    <row r="227" spans="2:16">
      <c r="C227" s="227">
        <v>1</v>
      </c>
      <c r="D227" s="229" t="s">
        <v>270</v>
      </c>
      <c r="G227" s="227">
        <v>1</v>
      </c>
      <c r="H227" s="229" t="s">
        <v>270</v>
      </c>
    </row>
    <row r="229" spans="2:16" ht="18">
      <c r="B229" s="973" t="s">
        <v>1314</v>
      </c>
    </row>
    <row r="230" spans="2:16" ht="18">
      <c r="B230" s="39"/>
    </row>
    <row r="231" spans="2:16" ht="13.15" customHeight="1">
      <c r="B231" s="1148" t="s">
        <v>1523</v>
      </c>
      <c r="C231" s="1148"/>
      <c r="D231" s="1148"/>
      <c r="E231" s="1148"/>
      <c r="F231" s="1148"/>
      <c r="G231" s="1148"/>
      <c r="H231" s="1148"/>
      <c r="I231" s="1148"/>
      <c r="J231" s="1148"/>
      <c r="K231" s="1148"/>
      <c r="L231" s="1148"/>
      <c r="M231" s="1148"/>
      <c r="N231" s="1148"/>
      <c r="O231" s="1148"/>
      <c r="P231" s="1148"/>
    </row>
    <row r="232" spans="2:16">
      <c r="B232" s="1148"/>
      <c r="C232" s="1148"/>
      <c r="D232" s="1148"/>
      <c r="E232" s="1148"/>
      <c r="F232" s="1148"/>
      <c r="G232" s="1148"/>
      <c r="H232" s="1148"/>
      <c r="I232" s="1148"/>
      <c r="J232" s="1148"/>
      <c r="K232" s="1148"/>
      <c r="L232" s="1148"/>
      <c r="M232" s="1148"/>
      <c r="N232" s="1148"/>
      <c r="O232" s="1148"/>
      <c r="P232" s="1148"/>
    </row>
    <row r="233" spans="2:16">
      <c r="B233" s="572"/>
      <c r="C233" s="572"/>
      <c r="D233" s="572"/>
      <c r="E233" s="572"/>
      <c r="F233" s="572"/>
      <c r="G233" s="572"/>
      <c r="H233" s="572"/>
      <c r="I233" s="572"/>
      <c r="J233" s="572"/>
      <c r="K233" s="572"/>
      <c r="L233" s="572"/>
      <c r="M233" s="572"/>
      <c r="N233" s="572"/>
      <c r="O233" s="572"/>
      <c r="P233" s="572"/>
    </row>
    <row r="234" spans="2:16" ht="13.15" customHeight="1">
      <c r="B234" s="1148" t="s">
        <v>1422</v>
      </c>
      <c r="C234" s="1148"/>
      <c r="D234" s="1148"/>
      <c r="E234" s="1148"/>
      <c r="F234" s="1148"/>
      <c r="G234" s="1148"/>
      <c r="H234" s="1148"/>
      <c r="I234" s="1148"/>
      <c r="J234" s="1148"/>
      <c r="K234" s="1148"/>
      <c r="L234" s="1148"/>
      <c r="M234" s="1148"/>
      <c r="N234" s="1148"/>
      <c r="O234" s="1148"/>
      <c r="P234" s="1148"/>
    </row>
    <row r="235" spans="2:16">
      <c r="B235" s="1148"/>
      <c r="C235" s="1148"/>
      <c r="D235" s="1148"/>
      <c r="E235" s="1148"/>
      <c r="F235" s="1148"/>
      <c r="G235" s="1148"/>
      <c r="H235" s="1148"/>
      <c r="I235" s="1148"/>
      <c r="J235" s="1148"/>
      <c r="K235" s="1148"/>
      <c r="L235" s="1148"/>
      <c r="M235" s="1148"/>
      <c r="N235" s="1148"/>
      <c r="O235" s="1148"/>
      <c r="P235" s="1148"/>
    </row>
    <row r="236" spans="2:16">
      <c r="B236" s="572"/>
      <c r="C236" s="572"/>
      <c r="D236" s="572"/>
      <c r="E236" s="572"/>
      <c r="F236" s="572"/>
      <c r="G236" s="572"/>
      <c r="H236" s="572"/>
      <c r="I236" s="572"/>
      <c r="J236" s="572"/>
      <c r="K236" s="572"/>
      <c r="L236" s="572"/>
      <c r="M236" s="572"/>
      <c r="N236" s="572"/>
      <c r="O236" s="572"/>
      <c r="P236" s="572"/>
    </row>
    <row r="237" spans="2:16">
      <c r="B237" s="150" t="s">
        <v>1062</v>
      </c>
    </row>
    <row r="238" spans="2:16">
      <c r="B238" s="150"/>
    </row>
    <row r="239" spans="2:16">
      <c r="B239" s="76" t="s">
        <v>43</v>
      </c>
      <c r="F239" s="76" t="s">
        <v>245</v>
      </c>
      <c r="J239" s="12" t="s">
        <v>1063</v>
      </c>
    </row>
    <row r="241" spans="2:12">
      <c r="J241" s="761" t="s">
        <v>43</v>
      </c>
      <c r="K241" s="762">
        <f>Data_selected_by_user_testing!D112</f>
        <v>0.51736974229923127</v>
      </c>
    </row>
    <row r="242" spans="2:12">
      <c r="J242" s="761" t="s">
        <v>245</v>
      </c>
      <c r="K242" s="762">
        <f>Data_selected_by_user_testing!D122</f>
        <v>0.50224877123032852</v>
      </c>
    </row>
    <row r="244" spans="2:12">
      <c r="B244" s="226" t="s">
        <v>1167</v>
      </c>
      <c r="C244" s="76"/>
      <c r="D244" s="76"/>
      <c r="E244" s="76"/>
      <c r="F244" s="226" t="s">
        <v>1170</v>
      </c>
    </row>
    <row r="245" spans="2:12">
      <c r="C245" s="228"/>
      <c r="G245" s="228"/>
    </row>
    <row r="246" spans="2:12">
      <c r="C246" s="582">
        <v>0.5</v>
      </c>
      <c r="D246" s="229" t="s">
        <v>270</v>
      </c>
      <c r="H246" s="582">
        <v>0.5</v>
      </c>
      <c r="I246" s="229" t="s">
        <v>270</v>
      </c>
    </row>
    <row r="248" spans="2:12">
      <c r="B248" s="402" t="s">
        <v>1128</v>
      </c>
    </row>
    <row r="250" spans="2:12">
      <c r="B250" s="12" t="s">
        <v>1315</v>
      </c>
    </row>
    <row r="252" spans="2:12">
      <c r="B252" s="1150" t="s">
        <v>701</v>
      </c>
      <c r="C252" s="1145" t="s">
        <v>35</v>
      </c>
      <c r="D252" s="1146"/>
      <c r="E252" s="1146"/>
      <c r="F252" s="1146"/>
      <c r="G252" s="1147"/>
      <c r="H252" s="1145" t="s">
        <v>707</v>
      </c>
      <c r="I252" s="1146"/>
      <c r="J252" s="1146"/>
      <c r="K252" s="1146"/>
      <c r="L252" s="1147"/>
    </row>
    <row r="253" spans="2:12">
      <c r="B253" s="1151"/>
      <c r="C253" s="1145" t="s">
        <v>74</v>
      </c>
      <c r="D253" s="1146"/>
      <c r="E253" s="1146"/>
      <c r="F253" s="1146"/>
      <c r="G253" s="1147"/>
      <c r="H253" s="1145" t="s">
        <v>74</v>
      </c>
      <c r="I253" s="1146"/>
      <c r="J253" s="1146"/>
      <c r="K253" s="1146"/>
      <c r="L253" s="1147"/>
    </row>
    <row r="254" spans="2:12" ht="33.75">
      <c r="B254" s="1152"/>
      <c r="C254" s="391" t="s">
        <v>128</v>
      </c>
      <c r="D254" s="391" t="s">
        <v>129</v>
      </c>
      <c r="E254" s="391" t="s">
        <v>130</v>
      </c>
      <c r="F254" s="391" t="s">
        <v>131</v>
      </c>
      <c r="G254" s="249" t="s">
        <v>1129</v>
      </c>
      <c r="H254" s="391" t="s">
        <v>128</v>
      </c>
      <c r="I254" s="391" t="s">
        <v>129</v>
      </c>
      <c r="J254" s="391" t="s">
        <v>130</v>
      </c>
      <c r="K254" s="391" t="s">
        <v>131</v>
      </c>
      <c r="L254" s="249" t="s">
        <v>1129</v>
      </c>
    </row>
    <row r="255" spans="2:12" ht="22.5">
      <c r="B255" s="578" t="s">
        <v>700</v>
      </c>
      <c r="C255" s="912">
        <v>0.18580418372090432</v>
      </c>
      <c r="D255" s="912">
        <v>0.1822987214522217</v>
      </c>
      <c r="E255" s="912">
        <v>0.16620532791690618</v>
      </c>
      <c r="F255" s="912">
        <v>0.15282712704796458</v>
      </c>
      <c r="G255" s="913">
        <v>0.16603261185679247</v>
      </c>
      <c r="H255" s="912">
        <v>0.14924283758804793</v>
      </c>
      <c r="I255" s="912">
        <v>0.16754331277585066</v>
      </c>
      <c r="J255" s="912">
        <v>0.15147434343413235</v>
      </c>
      <c r="K255" s="912">
        <v>0.14562844303319808</v>
      </c>
      <c r="L255" s="913">
        <v>0.15212662655749387</v>
      </c>
    </row>
    <row r="256" spans="2:12">
      <c r="B256" s="578" t="s">
        <v>699</v>
      </c>
      <c r="C256" s="912">
        <v>0.36420577562792278</v>
      </c>
      <c r="D256" s="912">
        <v>0.33058751697546357</v>
      </c>
      <c r="E256" s="912">
        <v>0.32422953421529205</v>
      </c>
      <c r="F256" s="912">
        <v>0.33507930662317137</v>
      </c>
      <c r="G256" s="913">
        <v>0.33383866387174116</v>
      </c>
      <c r="H256" s="912">
        <v>0.29404724831698237</v>
      </c>
      <c r="I256" s="912">
        <v>0.31183657505016837</v>
      </c>
      <c r="J256" s="912">
        <v>0.34034237290917269</v>
      </c>
      <c r="K256" s="912">
        <v>0.35932568487748623</v>
      </c>
      <c r="L256" s="913">
        <v>0.33760502566547823</v>
      </c>
    </row>
    <row r="257" spans="2:16">
      <c r="B257" s="578" t="s">
        <v>698</v>
      </c>
      <c r="C257" s="914">
        <v>0.44999004065117282</v>
      </c>
      <c r="D257" s="914">
        <v>0.48711376157231484</v>
      </c>
      <c r="E257" s="914">
        <v>0.50956513786780178</v>
      </c>
      <c r="F257" s="914">
        <v>0.51209356632886405</v>
      </c>
      <c r="G257" s="915">
        <v>0.50012872427146648</v>
      </c>
      <c r="H257" s="914">
        <v>0.55670991409496973</v>
      </c>
      <c r="I257" s="914">
        <v>0.52062011217398085</v>
      </c>
      <c r="J257" s="914">
        <v>0.50818328365669496</v>
      </c>
      <c r="K257" s="914">
        <v>0.49504587208931577</v>
      </c>
      <c r="L257" s="915">
        <v>0.51026834777702801</v>
      </c>
    </row>
    <row r="258" spans="2:16">
      <c r="B258" s="578" t="s">
        <v>8</v>
      </c>
      <c r="C258" s="825">
        <v>1</v>
      </c>
      <c r="D258" s="825">
        <v>1</v>
      </c>
      <c r="E258" s="825">
        <v>1</v>
      </c>
      <c r="F258" s="825">
        <v>1</v>
      </c>
      <c r="G258" s="844">
        <v>1</v>
      </c>
      <c r="H258" s="825">
        <v>1</v>
      </c>
      <c r="I258" s="825">
        <v>1</v>
      </c>
      <c r="J258" s="825">
        <v>1</v>
      </c>
      <c r="K258" s="825">
        <v>1</v>
      </c>
      <c r="L258" s="844">
        <v>1</v>
      </c>
    </row>
    <row r="260" spans="2:16" ht="18">
      <c r="B260" s="973" t="s">
        <v>1316</v>
      </c>
    </row>
    <row r="261" spans="2:16" ht="18">
      <c r="B261" s="39"/>
    </row>
    <row r="262" spans="2:16" ht="13.15" customHeight="1">
      <c r="B262" s="807" t="s">
        <v>1171</v>
      </c>
      <c r="C262" s="806"/>
      <c r="D262" s="806"/>
      <c r="E262" s="806"/>
      <c r="F262" s="806"/>
      <c r="G262" s="806"/>
      <c r="H262" s="806"/>
      <c r="I262" s="806"/>
      <c r="J262" s="806"/>
      <c r="K262" s="806"/>
      <c r="L262" s="806"/>
      <c r="M262" s="806"/>
      <c r="N262" s="806"/>
      <c r="O262" s="806"/>
      <c r="P262" s="806"/>
    </row>
    <row r="263" spans="2:16">
      <c r="B263" s="806"/>
      <c r="C263" s="806"/>
      <c r="D263" s="806"/>
      <c r="E263" s="806"/>
      <c r="F263" s="806"/>
      <c r="G263" s="806"/>
      <c r="H263" s="806"/>
      <c r="I263" s="806"/>
      <c r="J263" s="806"/>
      <c r="K263" s="806"/>
      <c r="L263" s="806"/>
      <c r="M263" s="806"/>
      <c r="N263" s="806"/>
      <c r="O263" s="806"/>
      <c r="P263" s="806"/>
    </row>
    <row r="264" spans="2:16">
      <c r="B264" s="808" t="s">
        <v>1150</v>
      </c>
      <c r="C264" s="572"/>
      <c r="D264" s="572"/>
      <c r="E264" s="572"/>
      <c r="F264" s="572"/>
      <c r="G264" s="572"/>
      <c r="H264" s="572"/>
      <c r="I264" s="572"/>
      <c r="J264" s="572"/>
      <c r="K264" s="572"/>
      <c r="L264" s="572"/>
      <c r="M264" s="572"/>
      <c r="N264" s="572"/>
      <c r="O264" s="572"/>
      <c r="P264" s="572"/>
    </row>
    <row r="265" spans="2:16">
      <c r="B265" s="808"/>
      <c r="C265" s="572"/>
      <c r="D265" s="572"/>
      <c r="E265" s="572"/>
      <c r="F265" s="572"/>
      <c r="G265" s="572"/>
      <c r="H265" s="572"/>
      <c r="I265" s="572"/>
      <c r="J265" s="572"/>
      <c r="K265" s="572"/>
      <c r="L265" s="572"/>
      <c r="M265" s="572"/>
      <c r="N265" s="572"/>
      <c r="O265" s="572"/>
      <c r="P265" s="572"/>
    </row>
    <row r="266" spans="2:16">
      <c r="B266" s="76" t="s">
        <v>43</v>
      </c>
      <c r="F266" s="76" t="s">
        <v>245</v>
      </c>
      <c r="G266" s="572"/>
      <c r="H266" s="572"/>
      <c r="I266" s="572"/>
      <c r="J266" s="572"/>
      <c r="K266" s="572"/>
      <c r="L266" s="572"/>
      <c r="M266" s="572"/>
      <c r="N266" s="572"/>
      <c r="O266" s="572"/>
      <c r="P266" s="572"/>
    </row>
    <row r="267" spans="2:16">
      <c r="B267" s="572"/>
      <c r="C267" s="572"/>
      <c r="D267" s="572"/>
      <c r="E267" s="572"/>
      <c r="F267" s="572"/>
      <c r="G267" s="572"/>
      <c r="H267" s="572"/>
      <c r="I267" s="572"/>
      <c r="J267" s="572"/>
      <c r="K267" s="572"/>
      <c r="L267" s="572"/>
      <c r="M267" s="572"/>
      <c r="N267" s="572"/>
      <c r="O267" s="572"/>
      <c r="P267" s="572"/>
    </row>
    <row r="268" spans="2:16">
      <c r="B268" s="572"/>
      <c r="C268" s="572"/>
      <c r="D268" s="572"/>
      <c r="E268" s="572"/>
      <c r="F268" s="572"/>
      <c r="G268" s="572"/>
      <c r="H268" s="572"/>
      <c r="I268" s="572"/>
      <c r="J268" s="572"/>
      <c r="K268" s="572"/>
      <c r="L268" s="572"/>
      <c r="M268" s="572"/>
      <c r="N268" s="572"/>
      <c r="O268" s="572"/>
      <c r="P268" s="572"/>
    </row>
    <row r="269" spans="2:16">
      <c r="B269" s="402"/>
      <c r="C269" s="572"/>
      <c r="D269" s="572"/>
      <c r="E269" s="572"/>
      <c r="F269" s="572"/>
      <c r="G269" s="572"/>
      <c r="H269" s="572"/>
      <c r="I269" s="572"/>
      <c r="J269" s="572"/>
      <c r="K269" s="572"/>
      <c r="L269" s="572"/>
      <c r="M269" s="572"/>
      <c r="N269" s="572"/>
      <c r="O269" s="572"/>
      <c r="P269" s="572"/>
    </row>
    <row r="270" spans="2:16">
      <c r="C270" s="572"/>
      <c r="D270" s="572"/>
      <c r="E270" s="572"/>
      <c r="F270" s="572"/>
      <c r="G270" s="572"/>
      <c r="H270" s="572"/>
      <c r="I270" s="572"/>
      <c r="J270" s="572"/>
      <c r="K270" s="572"/>
      <c r="L270" s="572"/>
      <c r="M270" s="572"/>
      <c r="N270" s="572"/>
      <c r="O270" s="572"/>
      <c r="P270" s="572"/>
    </row>
    <row r="271" spans="2:16">
      <c r="B271" s="150" t="s">
        <v>1173</v>
      </c>
      <c r="C271" s="572"/>
      <c r="D271" s="572"/>
      <c r="E271" s="572"/>
      <c r="F271" s="572"/>
      <c r="G271" s="572"/>
      <c r="H271" s="572"/>
      <c r="I271" s="572"/>
      <c r="J271" s="572"/>
      <c r="K271" s="572"/>
      <c r="L271" s="572"/>
      <c r="M271" s="572"/>
      <c r="N271" s="572"/>
      <c r="O271" s="572"/>
      <c r="P271" s="572"/>
    </row>
    <row r="272" spans="2:16">
      <c r="B272" s="572"/>
      <c r="C272" s="572"/>
      <c r="D272" s="572"/>
      <c r="E272" s="572"/>
      <c r="F272" s="572"/>
      <c r="G272" s="572"/>
      <c r="H272" s="572"/>
      <c r="I272" s="572"/>
      <c r="J272" s="572"/>
      <c r="K272" s="572"/>
      <c r="L272" s="572"/>
      <c r="M272" s="572"/>
      <c r="N272" s="572"/>
      <c r="O272" s="572"/>
      <c r="P272" s="572"/>
    </row>
    <row r="273" spans="2:16">
      <c r="B273" s="1156" t="s">
        <v>1132</v>
      </c>
      <c r="C273" s="1156" t="s">
        <v>1148</v>
      </c>
      <c r="D273" s="1156"/>
      <c r="E273" s="1156"/>
      <c r="F273" s="1156"/>
      <c r="G273" s="1156" t="s">
        <v>1149</v>
      </c>
      <c r="H273" s="1156"/>
      <c r="I273" s="1156"/>
      <c r="J273" s="1156"/>
      <c r="K273" s="572"/>
      <c r="L273" s="572"/>
      <c r="M273" s="572"/>
      <c r="N273" s="572"/>
      <c r="O273" s="572"/>
      <c r="P273" s="572"/>
    </row>
    <row r="274" spans="2:16" s="5" customFormat="1">
      <c r="B274" s="1156"/>
      <c r="C274" s="1154" t="s">
        <v>1147</v>
      </c>
      <c r="D274" s="1156" t="s">
        <v>1133</v>
      </c>
      <c r="E274" s="1156"/>
      <c r="F274" s="1156"/>
      <c r="G274" s="1154" t="s">
        <v>1147</v>
      </c>
      <c r="H274" s="1156" t="s">
        <v>1133</v>
      </c>
      <c r="I274" s="1156"/>
      <c r="J274" s="1156"/>
      <c r="K274" s="809"/>
      <c r="L274" s="809"/>
      <c r="M274" s="809"/>
      <c r="N274" s="809"/>
      <c r="O274" s="809"/>
      <c r="P274" s="809"/>
    </row>
    <row r="275" spans="2:16" ht="22.5">
      <c r="B275" s="1156"/>
      <c r="C275" s="1155"/>
      <c r="D275" s="249" t="s">
        <v>684</v>
      </c>
      <c r="E275" s="249" t="s">
        <v>683</v>
      </c>
      <c r="F275" s="249" t="s">
        <v>682</v>
      </c>
      <c r="G275" s="1155"/>
      <c r="H275" s="249" t="s">
        <v>684</v>
      </c>
      <c r="I275" s="249" t="s">
        <v>683</v>
      </c>
      <c r="J275" s="249" t="s">
        <v>682</v>
      </c>
      <c r="K275" s="572"/>
      <c r="L275" s="572"/>
      <c r="M275" s="572"/>
      <c r="N275" s="572"/>
      <c r="O275" s="572"/>
      <c r="P275" s="572"/>
    </row>
    <row r="276" spans="2:16">
      <c r="B276" s="811" t="s">
        <v>558</v>
      </c>
      <c r="C276" s="810">
        <v>0.80104501630817426</v>
      </c>
      <c r="D276" s="810">
        <v>0.77136052188166548</v>
      </c>
      <c r="E276" s="810">
        <v>0.81055805278963189</v>
      </c>
      <c r="F276" s="810">
        <v>0.75</v>
      </c>
      <c r="G276" s="818">
        <f>RAW_DATA_INPUTS!C478</f>
        <v>0.81967929652140181</v>
      </c>
      <c r="H276" s="818">
        <f>RAW_DATA_INPUTS!F591</f>
        <v>0.78660236593530231</v>
      </c>
      <c r="I276" s="818">
        <f>RAW_DATA_INPUTS!G591</f>
        <v>0.80585818016158572</v>
      </c>
      <c r="J276" s="818">
        <f>RAW_DATA_INPUTS!H591</f>
        <v>0.7466071428571428</v>
      </c>
      <c r="K276" s="921"/>
      <c r="L276" s="921"/>
      <c r="M276" s="921"/>
      <c r="N276" s="921"/>
      <c r="O276" s="572"/>
      <c r="P276" s="572"/>
    </row>
    <row r="277" spans="2:16">
      <c r="B277" s="811" t="s">
        <v>7</v>
      </c>
      <c r="C277" s="810">
        <v>0.73201300213878828</v>
      </c>
      <c r="D277" s="810">
        <v>0.78302368891622032</v>
      </c>
      <c r="E277" s="810">
        <v>0.83742873884337832</v>
      </c>
      <c r="F277" s="810">
        <v>0.84697508896797147</v>
      </c>
      <c r="G277" s="818">
        <f>RAW_DATA_INPUTS!C479</f>
        <v>0.77418277297578086</v>
      </c>
      <c r="H277" s="818">
        <f>RAW_DATA_INPUTS!F592</f>
        <v>0.77630557603914196</v>
      </c>
      <c r="I277" s="818">
        <f>RAW_DATA_INPUTS!G592</f>
        <v>0.84332016988389991</v>
      </c>
      <c r="J277" s="818">
        <f>RAW_DATA_INPUTS!H592</f>
        <v>0.74606776978353895</v>
      </c>
      <c r="K277" s="942"/>
      <c r="L277" s="942"/>
      <c r="M277" s="942"/>
      <c r="N277" s="942"/>
      <c r="O277" s="572"/>
      <c r="P277" s="572"/>
    </row>
    <row r="278" spans="2:16">
      <c r="B278" s="811" t="s">
        <v>427</v>
      </c>
      <c r="C278" s="810">
        <v>0.78717800058385268</v>
      </c>
      <c r="D278" s="810">
        <v>0.7640438443987374</v>
      </c>
      <c r="E278" s="810">
        <v>0.89382567915176614</v>
      </c>
      <c r="F278" s="810">
        <v>0.84697508896797147</v>
      </c>
      <c r="G278" s="818">
        <f>RAW_DATA_INPUTS!C480</f>
        <v>0.7018035937417032</v>
      </c>
      <c r="H278" s="818">
        <f>RAW_DATA_INPUTS!F593</f>
        <v>0.77066613049513188</v>
      </c>
      <c r="I278" s="818">
        <f>RAW_DATA_INPUTS!G593</f>
        <v>0.75397740099470079</v>
      </c>
      <c r="J278" s="818">
        <f>RAW_DATA_INPUTS!H593</f>
        <v>0.78624999999999989</v>
      </c>
      <c r="K278" s="942"/>
      <c r="L278" s="942"/>
      <c r="M278" s="942"/>
      <c r="N278" s="942"/>
      <c r="O278" s="572"/>
      <c r="P278" s="572"/>
    </row>
    <row r="279" spans="2:16">
      <c r="B279" s="811" t="s">
        <v>3</v>
      </c>
      <c r="C279" s="810">
        <v>0.72980405154318195</v>
      </c>
      <c r="D279" s="810">
        <v>0.76541777868941563</v>
      </c>
      <c r="E279" s="810">
        <v>0.76511037797061698</v>
      </c>
      <c r="F279" s="810">
        <v>0.93939393939393945</v>
      </c>
      <c r="G279" s="818">
        <f>RAW_DATA_INPUTS!C481</f>
        <v>0.76362813176174793</v>
      </c>
      <c r="H279" s="818">
        <f>RAW_DATA_INPUTS!F594</f>
        <v>0.77463926074233702</v>
      </c>
      <c r="I279" s="818">
        <f>RAW_DATA_INPUTS!G594</f>
        <v>0.82467230669115987</v>
      </c>
      <c r="J279" s="818">
        <f>RAW_DATA_INPUTS!H594</f>
        <v>0.84727272727272718</v>
      </c>
      <c r="K279" s="942"/>
      <c r="L279" s="942"/>
      <c r="M279" s="942"/>
      <c r="N279" s="942"/>
      <c r="O279" s="572"/>
      <c r="P279" s="572"/>
    </row>
    <row r="280" spans="2:16">
      <c r="B280" s="811" t="s">
        <v>85</v>
      </c>
      <c r="C280" s="810">
        <v>0.78717800058385268</v>
      </c>
      <c r="D280" s="810">
        <v>0.79999273541709059</v>
      </c>
      <c r="E280" s="810">
        <v>0.84327704734418396</v>
      </c>
      <c r="F280" s="810">
        <v>0.84697508896797147</v>
      </c>
      <c r="G280" s="818">
        <f>RAW_DATA_INPUTS!C482</f>
        <v>0.7018035937417032</v>
      </c>
      <c r="H280" s="818">
        <f>RAW_DATA_INPUTS!F595</f>
        <v>0.70887633984121257</v>
      </c>
      <c r="I280" s="818">
        <f>RAW_DATA_INPUTS!G595</f>
        <v>0.75397740099470079</v>
      </c>
      <c r="J280" s="818">
        <f>RAW_DATA_INPUTS!H595</f>
        <v>0.74606776978353895</v>
      </c>
      <c r="K280" s="921"/>
      <c r="L280" s="921"/>
      <c r="M280" s="921"/>
      <c r="N280" s="921"/>
      <c r="O280" s="572"/>
      <c r="P280" s="572"/>
    </row>
    <row r="281" spans="2:16">
      <c r="B281" s="811" t="s">
        <v>103</v>
      </c>
      <c r="C281" s="810">
        <v>0.65881653326097767</v>
      </c>
      <c r="D281" s="810">
        <v>0.73107683253731748</v>
      </c>
      <c r="E281" s="810">
        <v>0.8402785825362673</v>
      </c>
      <c r="F281" s="810">
        <v>0.91666666666666663</v>
      </c>
      <c r="G281" s="818">
        <f>RAW_DATA_INPUTS!C483</f>
        <v>0.71621124010954529</v>
      </c>
      <c r="H281" s="818">
        <f>RAW_DATA_INPUTS!F596</f>
        <v>0.75461185604952075</v>
      </c>
      <c r="I281" s="818">
        <f>RAW_DATA_INPUTS!G596</f>
        <v>0.84674696499537272</v>
      </c>
      <c r="J281" s="818">
        <f>RAW_DATA_INPUTS!H596</f>
        <v>0.85203551912568298</v>
      </c>
      <c r="K281" s="921"/>
      <c r="L281" s="921"/>
      <c r="M281" s="921"/>
      <c r="N281" s="921"/>
      <c r="O281" s="572"/>
      <c r="P281" s="572"/>
    </row>
    <row r="282" spans="2:16" ht="22.5">
      <c r="B282" s="811" t="s">
        <v>559</v>
      </c>
      <c r="C282" s="810">
        <v>0.74761710302560469</v>
      </c>
      <c r="D282" s="810">
        <v>0.76937886374658615</v>
      </c>
      <c r="E282" s="810">
        <v>0.84629850446526622</v>
      </c>
      <c r="F282" s="810">
        <v>0.84697508896797147</v>
      </c>
      <c r="G282" s="818">
        <f>RAW_DATA_INPUTS!C484</f>
        <v>0.73987837168102821</v>
      </c>
      <c r="H282" s="818">
        <f>RAW_DATA_INPUTS!F597</f>
        <v>0.76878652315207763</v>
      </c>
      <c r="I282" s="818">
        <f>RAW_DATA_INPUTS!G597</f>
        <v>0.85993280574696063</v>
      </c>
      <c r="J282" s="818">
        <f>RAW_DATA_INPUTS!H597</f>
        <v>0.74606776978353895</v>
      </c>
      <c r="K282" s="921"/>
      <c r="L282" s="921"/>
      <c r="M282" s="921"/>
      <c r="N282" s="921"/>
      <c r="O282" s="572"/>
      <c r="P282" s="572"/>
    </row>
    <row r="283" spans="2:16">
      <c r="B283" s="811" t="s">
        <v>6</v>
      </c>
      <c r="C283" s="810">
        <v>0.86005772005772019</v>
      </c>
      <c r="D283" s="810">
        <v>0.7804603258167353</v>
      </c>
      <c r="E283" s="810">
        <v>0.8330717441297506</v>
      </c>
      <c r="F283" s="810">
        <v>0.84697508896797147</v>
      </c>
      <c r="G283" s="818">
        <f>RAW_DATA_INPUTS!C485</f>
        <v>0.7018035937417032</v>
      </c>
      <c r="H283" s="818">
        <f>RAW_DATA_INPUTS!F598</f>
        <v>0.79328432052498199</v>
      </c>
      <c r="I283" s="818">
        <f>RAW_DATA_INPUTS!G598</f>
        <v>0.85010707787694928</v>
      </c>
      <c r="J283" s="818">
        <f>RAW_DATA_INPUTS!H598</f>
        <v>0.84171201814058949</v>
      </c>
      <c r="K283" s="921"/>
      <c r="L283" s="921"/>
      <c r="M283" s="921"/>
      <c r="N283" s="921"/>
      <c r="O283" s="572"/>
      <c r="P283" s="572"/>
    </row>
    <row r="284" spans="2:16">
      <c r="B284" s="811" t="s">
        <v>1</v>
      </c>
      <c r="C284" s="810">
        <v>0.82185261195652437</v>
      </c>
      <c r="D284" s="810">
        <v>0.84116802780873279</v>
      </c>
      <c r="E284" s="810">
        <v>0.87607417569092028</v>
      </c>
      <c r="F284" s="810">
        <v>0.86928104575163401</v>
      </c>
      <c r="G284" s="818">
        <f>RAW_DATA_INPUTS!C486</f>
        <v>0.85247941912230762</v>
      </c>
      <c r="H284" s="818">
        <f>RAW_DATA_INPUTS!F599</f>
        <v>0.83124840240454523</v>
      </c>
      <c r="I284" s="818">
        <f>RAW_DATA_INPUTS!G599</f>
        <v>0.86746222500815862</v>
      </c>
      <c r="J284" s="818">
        <f>RAW_DATA_INPUTS!H599</f>
        <v>0.85333577382722825</v>
      </c>
      <c r="K284" s="921"/>
      <c r="L284" s="921"/>
      <c r="M284" s="921"/>
      <c r="N284" s="921"/>
      <c r="O284" s="572"/>
      <c r="P284" s="572"/>
    </row>
    <row r="285" spans="2:16">
      <c r="B285" s="811" t="s">
        <v>396</v>
      </c>
      <c r="C285" s="810">
        <v>0.78717800058385268</v>
      </c>
      <c r="D285" s="810">
        <v>0.72156765243098708</v>
      </c>
      <c r="E285" s="810">
        <v>0.90392659627953753</v>
      </c>
      <c r="F285" s="810">
        <v>0.84697508896797147</v>
      </c>
      <c r="G285" s="818">
        <f>RAW_DATA_INPUTS!C487</f>
        <v>0.7018035937417032</v>
      </c>
      <c r="H285" s="818">
        <f>RAW_DATA_INPUTS!F600</f>
        <v>0.70887633984121257</v>
      </c>
      <c r="I285" s="818">
        <f>RAW_DATA_INPUTS!G600</f>
        <v>0.75397740099470079</v>
      </c>
      <c r="J285" s="818">
        <f>RAW_DATA_INPUTS!H600</f>
        <v>0.74606776978353895</v>
      </c>
      <c r="K285" s="921"/>
      <c r="L285" s="921"/>
      <c r="M285" s="921"/>
      <c r="N285" s="921"/>
      <c r="O285" s="572"/>
      <c r="P285" s="572"/>
    </row>
    <row r="286" spans="2:16">
      <c r="B286" s="811" t="s">
        <v>4</v>
      </c>
      <c r="C286" s="810">
        <v>0.79881219154328398</v>
      </c>
      <c r="D286" s="810">
        <v>0.78077284244148115</v>
      </c>
      <c r="E286" s="810">
        <v>0.81802266290846237</v>
      </c>
      <c r="F286" s="810">
        <v>0.84697508896797147</v>
      </c>
      <c r="G286" s="818">
        <f>RAW_DATA_INPUTS!C488</f>
        <v>0.81143624116313195</v>
      </c>
      <c r="H286" s="818">
        <f>RAW_DATA_INPUTS!F601</f>
        <v>0.78829949901542928</v>
      </c>
      <c r="I286" s="818">
        <f>RAW_DATA_INPUTS!G601</f>
        <v>0.87675456123417173</v>
      </c>
      <c r="J286" s="818">
        <f>RAW_DATA_INPUTS!H601</f>
        <v>0.74606776978353895</v>
      </c>
      <c r="K286" s="921"/>
      <c r="L286" s="921"/>
      <c r="M286" s="921"/>
      <c r="N286" s="921"/>
      <c r="O286" s="572"/>
      <c r="P286" s="572"/>
    </row>
    <row r="287" spans="2:16">
      <c r="B287" s="811" t="s">
        <v>0</v>
      </c>
      <c r="C287" s="810">
        <v>0.8566362466362466</v>
      </c>
      <c r="D287" s="810">
        <v>0.81138406619978665</v>
      </c>
      <c r="E287" s="810">
        <v>0.81829882677708765</v>
      </c>
      <c r="F287" s="810">
        <v>0.98039215686274517</v>
      </c>
      <c r="G287" s="818">
        <f>RAW_DATA_INPUTS!C489</f>
        <v>0.8803475751301838</v>
      </c>
      <c r="H287" s="818">
        <f>RAW_DATA_INPUTS!F602</f>
        <v>0.81848076885305765</v>
      </c>
      <c r="I287" s="818">
        <f>RAW_DATA_INPUTS!G602</f>
        <v>0.81360034974441753</v>
      </c>
      <c r="J287" s="818">
        <f>RAW_DATA_INPUTS!H602</f>
        <v>0.89924468378900846</v>
      </c>
      <c r="K287" s="921"/>
      <c r="L287" s="921"/>
      <c r="M287" s="921"/>
      <c r="N287" s="921"/>
      <c r="O287" s="572"/>
      <c r="P287" s="572"/>
    </row>
    <row r="288" spans="2:16">
      <c r="B288" s="811" t="s">
        <v>560</v>
      </c>
      <c r="C288" s="810">
        <v>0.81892199098417617</v>
      </c>
      <c r="D288" s="810">
        <v>0.79093265467439311</v>
      </c>
      <c r="E288" s="810">
        <v>0.86287813739779451</v>
      </c>
      <c r="F288" s="810">
        <v>0.83720930232558144</v>
      </c>
      <c r="G288" s="818">
        <f>RAW_DATA_INPUTS!C490</f>
        <v>0.82632651234210708</v>
      </c>
      <c r="H288" s="818">
        <f>RAW_DATA_INPUTS!F603</f>
        <v>0.80027700012184266</v>
      </c>
      <c r="I288" s="818">
        <f>RAW_DATA_INPUTS!G603</f>
        <v>0.86604610223536049</v>
      </c>
      <c r="J288" s="818">
        <f>RAW_DATA_INPUTS!H603</f>
        <v>0.81980810234541579</v>
      </c>
      <c r="K288" s="921"/>
      <c r="L288" s="921"/>
      <c r="M288" s="921"/>
      <c r="N288" s="921"/>
      <c r="O288" s="572"/>
      <c r="P288" s="572"/>
    </row>
    <row r="289" spans="2:16" ht="22.5">
      <c r="B289" s="811" t="s">
        <v>561</v>
      </c>
      <c r="C289" s="810">
        <v>0.82524800427535983</v>
      </c>
      <c r="D289" s="810">
        <v>0.7510537070633565</v>
      </c>
      <c r="E289" s="810">
        <v>0.82670872937990869</v>
      </c>
      <c r="F289" s="810">
        <v>0.875</v>
      </c>
      <c r="G289" s="818">
        <f>RAW_DATA_INPUTS!C491</f>
        <v>0.82621782631181129</v>
      </c>
      <c r="H289" s="818">
        <f>RAW_DATA_INPUTS!F604</f>
        <v>0.74532971727539366</v>
      </c>
      <c r="I289" s="818">
        <f>RAW_DATA_INPUTS!G604</f>
        <v>0.82740125816212773</v>
      </c>
      <c r="J289" s="818">
        <f>RAW_DATA_INPUTS!H604</f>
        <v>0.82076492537313417</v>
      </c>
      <c r="K289" s="921"/>
      <c r="L289" s="921"/>
      <c r="M289" s="921"/>
      <c r="N289" s="921"/>
      <c r="O289" s="572"/>
      <c r="P289" s="572"/>
    </row>
    <row r="290" spans="2:16">
      <c r="B290" s="811" t="s">
        <v>5</v>
      </c>
      <c r="C290" s="810">
        <v>0.73750000000000004</v>
      </c>
      <c r="D290" s="810">
        <v>0.76925947864374922</v>
      </c>
      <c r="E290" s="810">
        <v>0.75668462777158429</v>
      </c>
      <c r="F290" s="810">
        <v>0.84697508896797147</v>
      </c>
      <c r="G290" s="818">
        <f>RAW_DATA_INPUTS!C492</f>
        <v>0.85666666666666669</v>
      </c>
      <c r="H290" s="818">
        <f>RAW_DATA_INPUTS!F605</f>
        <v>0.77017704513632146</v>
      </c>
      <c r="I290" s="818">
        <f>RAW_DATA_INPUTS!G605</f>
        <v>0.75397740099470079</v>
      </c>
      <c r="J290" s="818">
        <f>RAW_DATA_INPUTS!H605</f>
        <v>0.90388235294117647</v>
      </c>
      <c r="K290" s="921"/>
      <c r="L290" s="921"/>
      <c r="M290" s="921"/>
      <c r="N290" s="921"/>
      <c r="O290" s="572"/>
      <c r="P290" s="572"/>
    </row>
    <row r="291" spans="2:16">
      <c r="B291" s="811" t="s">
        <v>694</v>
      </c>
      <c r="C291" s="810">
        <v>0.85650793650793655</v>
      </c>
      <c r="D291" s="810">
        <v>0.79666153962077713</v>
      </c>
      <c r="E291" s="810">
        <v>0.83338470718856517</v>
      </c>
      <c r="F291" s="810">
        <v>0.84697508896797147</v>
      </c>
      <c r="G291" s="818">
        <f>RAW_DATA_INPUTS!C493</f>
        <v>0.90180359374170316</v>
      </c>
      <c r="H291" s="818">
        <f>RAW_DATA_INPUTS!F606</f>
        <v>0.79755969833255524</v>
      </c>
      <c r="I291" s="818">
        <f>RAW_DATA_INPUTS!G606</f>
        <v>0.8206238835406614</v>
      </c>
      <c r="J291" s="818">
        <f>RAW_DATA_INPUTS!H606</f>
        <v>0.74606776978353895</v>
      </c>
      <c r="K291" s="921"/>
      <c r="L291" s="921"/>
      <c r="M291" s="921"/>
      <c r="N291" s="921"/>
      <c r="O291" s="572"/>
      <c r="P291" s="572"/>
    </row>
    <row r="292" spans="2:16">
      <c r="B292" s="811" t="s">
        <v>562</v>
      </c>
      <c r="C292" s="810">
        <v>0.73689584351738902</v>
      </c>
      <c r="D292" s="810">
        <v>0.74756005614387555</v>
      </c>
      <c r="E292" s="810">
        <v>0.74064851419979894</v>
      </c>
      <c r="F292" s="810">
        <v>0.81481481481481477</v>
      </c>
      <c r="G292" s="818">
        <f>RAW_DATA_INPUTS!C494</f>
        <v>0.74404661295893915</v>
      </c>
      <c r="H292" s="818">
        <f>RAW_DATA_INPUTS!F607</f>
        <v>0.76009039562858272</v>
      </c>
      <c r="I292" s="818">
        <f>RAW_DATA_INPUTS!G607</f>
        <v>0.78307799648525545</v>
      </c>
      <c r="J292" s="818">
        <f>RAW_DATA_INPUTS!H607</f>
        <v>0.77451742919389965</v>
      </c>
      <c r="K292" s="921"/>
      <c r="L292" s="921"/>
      <c r="M292" s="921"/>
      <c r="N292" s="921"/>
      <c r="O292" s="572"/>
      <c r="P292" s="572"/>
    </row>
    <row r="293" spans="2:16">
      <c r="B293" s="811" t="s">
        <v>2</v>
      </c>
      <c r="C293" s="810">
        <v>0.63095238095238093</v>
      </c>
      <c r="D293" s="810">
        <v>0.7620877584599417</v>
      </c>
      <c r="E293" s="810">
        <v>0.81904213280786509</v>
      </c>
      <c r="F293" s="810">
        <v>0.85185185185185186</v>
      </c>
      <c r="G293" s="818">
        <f>RAW_DATA_INPUTS!C495</f>
        <v>0.70571428571428574</v>
      </c>
      <c r="H293" s="818">
        <f>RAW_DATA_INPUTS!F608</f>
        <v>0.76356772684046392</v>
      </c>
      <c r="I293" s="818">
        <f>RAW_DATA_INPUTS!G608</f>
        <v>0.83289009661835745</v>
      </c>
      <c r="J293" s="818">
        <f>RAW_DATA_INPUTS!H608</f>
        <v>0.8077104377104376</v>
      </c>
      <c r="K293" s="942"/>
      <c r="L293" s="942"/>
      <c r="M293" s="942"/>
      <c r="N293" s="942"/>
      <c r="O293" s="572"/>
      <c r="P293" s="572"/>
    </row>
    <row r="294" spans="2:16">
      <c r="B294" s="811" t="s">
        <v>43</v>
      </c>
      <c r="C294" s="810">
        <v>0.79306807668694335</v>
      </c>
      <c r="D294" s="810">
        <v>0.82876060693737919</v>
      </c>
      <c r="E294" s="810">
        <v>0.86689435283358574</v>
      </c>
      <c r="F294" s="810">
        <v>0.80952380952380953</v>
      </c>
      <c r="G294" s="818">
        <f>RAW_DATA_INPUTS!C496</f>
        <v>0.80550277030709261</v>
      </c>
      <c r="H294" s="818">
        <f>RAW_DATA_INPUTS!F609</f>
        <v>0.83928297218040937</v>
      </c>
      <c r="I294" s="818">
        <f>RAW_DATA_INPUTS!G609</f>
        <v>0.87746653545124054</v>
      </c>
      <c r="J294" s="818">
        <f>RAW_DATA_INPUTS!H609</f>
        <v>0.86439783053042718</v>
      </c>
      <c r="K294" s="921"/>
      <c r="L294" s="921"/>
      <c r="M294" s="921"/>
      <c r="N294" s="921"/>
      <c r="O294" s="572"/>
      <c r="P294" s="572"/>
    </row>
    <row r="295" spans="2:16">
      <c r="B295" s="811" t="s">
        <v>563</v>
      </c>
      <c r="C295" s="810">
        <v>0.78486815082559769</v>
      </c>
      <c r="D295" s="810">
        <v>0.77556243378492318</v>
      </c>
      <c r="E295" s="810">
        <v>0.84792135542642533</v>
      </c>
      <c r="F295" s="810">
        <v>0.84697508896797147</v>
      </c>
      <c r="G295" s="818">
        <f>RAW_DATA_INPUTS!C497</f>
        <v>0.81897804795677143</v>
      </c>
      <c r="H295" s="818">
        <f>RAW_DATA_INPUTS!F610</f>
        <v>0.77156468695812641</v>
      </c>
      <c r="I295" s="818">
        <f>RAW_DATA_INPUTS!G610</f>
        <v>0.79621526992562441</v>
      </c>
      <c r="J295" s="818">
        <f>RAW_DATA_INPUTS!H610</f>
        <v>0.8527499999999999</v>
      </c>
      <c r="K295" s="921"/>
      <c r="L295" s="921"/>
      <c r="M295" s="921"/>
      <c r="N295" s="921"/>
      <c r="O295" s="572"/>
      <c r="P295" s="572"/>
    </row>
    <row r="296" spans="2:16">
      <c r="B296" s="249" t="s">
        <v>8</v>
      </c>
      <c r="C296" s="810" t="s">
        <v>119</v>
      </c>
      <c r="D296" s="810">
        <v>0.79999273541709059</v>
      </c>
      <c r="E296" s="810">
        <v>0.84327704734418396</v>
      </c>
      <c r="F296" s="810">
        <v>0.84697508896797147</v>
      </c>
      <c r="G296" s="1013" t="s">
        <v>119</v>
      </c>
      <c r="H296" s="818">
        <f>RAW_DATA_INPUTS!F611</f>
        <v>0.80887633984121254</v>
      </c>
      <c r="I296" s="818">
        <f>RAW_DATA_INPUTS!G611</f>
        <v>0.85397740099470076</v>
      </c>
      <c r="J296" s="818">
        <f>RAW_DATA_INPUTS!H611</f>
        <v>0.84606776978353893</v>
      </c>
      <c r="K296" s="572"/>
      <c r="L296" s="921"/>
      <c r="M296" s="921"/>
      <c r="N296" s="921"/>
      <c r="O296" s="572"/>
      <c r="P296" s="572"/>
    </row>
    <row r="297" spans="2:16">
      <c r="B297" s="572"/>
      <c r="C297" s="572"/>
      <c r="D297" s="572"/>
      <c r="E297" s="572"/>
      <c r="F297" s="572"/>
      <c r="G297" s="572"/>
      <c r="H297" s="572"/>
      <c r="I297" s="572"/>
      <c r="J297" s="572"/>
      <c r="K297" s="572"/>
      <c r="L297" s="572"/>
      <c r="M297" s="572"/>
      <c r="N297" s="572"/>
      <c r="O297" s="572"/>
      <c r="P297" s="572"/>
    </row>
    <row r="298" spans="2:16" ht="18">
      <c r="B298" s="973" t="s">
        <v>1317</v>
      </c>
    </row>
    <row r="300" spans="2:16" ht="13.15" customHeight="1">
      <c r="B300" s="807" t="s">
        <v>1172</v>
      </c>
      <c r="C300" s="807"/>
      <c r="D300" s="807"/>
      <c r="E300" s="807"/>
      <c r="F300" s="807"/>
      <c r="G300" s="807"/>
      <c r="H300" s="807"/>
      <c r="I300" s="807"/>
      <c r="J300" s="807"/>
      <c r="K300" s="807"/>
      <c r="L300" s="807"/>
      <c r="M300" s="807"/>
      <c r="N300" s="807"/>
      <c r="O300" s="807"/>
      <c r="P300" s="807"/>
    </row>
    <row r="301" spans="2:16">
      <c r="B301" s="807"/>
      <c r="C301" s="807"/>
      <c r="D301" s="807"/>
      <c r="E301" s="807"/>
      <c r="F301" s="807"/>
      <c r="G301" s="807"/>
      <c r="H301" s="807"/>
      <c r="I301" s="807"/>
      <c r="J301" s="807"/>
      <c r="K301" s="807"/>
      <c r="L301" s="807"/>
      <c r="M301" s="807"/>
      <c r="N301" s="807"/>
      <c r="O301" s="807"/>
      <c r="P301" s="807"/>
    </row>
    <row r="302" spans="2:16">
      <c r="B302" s="808" t="s">
        <v>1151</v>
      </c>
      <c r="G302" s="572"/>
      <c r="H302" s="572"/>
      <c r="I302" s="572"/>
      <c r="J302" s="572"/>
      <c r="K302" s="572"/>
      <c r="L302" s="572"/>
      <c r="M302" s="572"/>
      <c r="N302" s="572"/>
      <c r="O302" s="572"/>
      <c r="P302" s="572"/>
    </row>
    <row r="303" spans="2:16">
      <c r="B303" s="572"/>
      <c r="C303" s="572"/>
      <c r="D303" s="572"/>
      <c r="E303" s="572"/>
      <c r="F303" s="572"/>
      <c r="G303" s="572"/>
      <c r="H303" s="572"/>
      <c r="I303" s="572"/>
      <c r="J303" s="572"/>
      <c r="K303" s="572"/>
      <c r="L303" s="572"/>
      <c r="M303" s="572"/>
      <c r="N303" s="572"/>
      <c r="O303" s="572"/>
      <c r="P303" s="572"/>
    </row>
    <row r="304" spans="2:16">
      <c r="B304" s="76" t="s">
        <v>43</v>
      </c>
      <c r="F304" s="76" t="s">
        <v>245</v>
      </c>
      <c r="G304" s="572"/>
      <c r="H304" s="572"/>
      <c r="I304" s="572"/>
      <c r="J304" s="572"/>
      <c r="K304" s="572"/>
      <c r="L304" s="572"/>
      <c r="M304" s="572"/>
      <c r="N304" s="572"/>
      <c r="O304" s="572"/>
      <c r="P304" s="572"/>
    </row>
    <row r="305" spans="2:16">
      <c r="B305" s="572"/>
      <c r="C305" s="572"/>
      <c r="D305" s="572"/>
      <c r="E305" s="572"/>
      <c r="F305" s="572"/>
      <c r="G305" s="572"/>
      <c r="H305" s="572"/>
      <c r="I305" s="572"/>
      <c r="J305" s="572"/>
      <c r="K305" s="572"/>
      <c r="L305" s="572"/>
      <c r="M305" s="572"/>
      <c r="N305" s="572"/>
      <c r="O305" s="572"/>
      <c r="P305" s="572"/>
    </row>
    <row r="306" spans="2:16">
      <c r="B306" s="572"/>
      <c r="C306" s="572"/>
      <c r="D306" s="572"/>
      <c r="E306" s="572"/>
      <c r="F306" s="572"/>
      <c r="G306" s="572"/>
      <c r="H306" s="572"/>
      <c r="I306" s="572"/>
      <c r="J306" s="572"/>
      <c r="K306" s="572"/>
      <c r="L306" s="572"/>
      <c r="M306" s="572"/>
      <c r="N306" s="572"/>
      <c r="O306" s="572"/>
      <c r="P306" s="572"/>
    </row>
    <row r="307" spans="2:16">
      <c r="B307" s="572"/>
      <c r="C307" s="572"/>
      <c r="D307" s="572"/>
      <c r="E307" s="572"/>
      <c r="F307" s="572"/>
      <c r="G307" s="572"/>
      <c r="H307" s="572"/>
      <c r="I307" s="572"/>
      <c r="J307" s="572"/>
      <c r="K307" s="572"/>
      <c r="L307" s="572"/>
      <c r="M307" s="572"/>
      <c r="N307" s="572"/>
      <c r="O307" s="572"/>
      <c r="P307" s="572"/>
    </row>
    <row r="308" spans="2:16">
      <c r="B308" s="572"/>
      <c r="C308" s="572"/>
      <c r="D308" s="572"/>
      <c r="E308" s="572"/>
      <c r="F308" s="572"/>
      <c r="G308" s="572"/>
      <c r="H308" s="572"/>
      <c r="I308" s="572"/>
      <c r="J308" s="572"/>
      <c r="K308" s="572"/>
      <c r="L308" s="572"/>
      <c r="M308" s="572"/>
      <c r="N308" s="572"/>
      <c r="O308" s="572"/>
      <c r="P308" s="572"/>
    </row>
    <row r="309" spans="2:16">
      <c r="B309" s="150" t="s">
        <v>1318</v>
      </c>
      <c r="C309" s="572"/>
      <c r="D309" s="572"/>
      <c r="E309" s="572"/>
      <c r="F309" s="572"/>
      <c r="G309" s="572"/>
      <c r="H309" s="572"/>
      <c r="I309" s="572"/>
      <c r="J309" s="572"/>
      <c r="K309" s="572"/>
      <c r="L309" s="572"/>
      <c r="M309" s="572"/>
      <c r="N309" s="572"/>
      <c r="O309" s="572"/>
      <c r="P309" s="572"/>
    </row>
    <row r="310" spans="2:16">
      <c r="B310" s="150"/>
      <c r="C310" s="572"/>
      <c r="D310" s="572"/>
      <c r="E310" s="572"/>
      <c r="F310" s="572"/>
      <c r="G310" s="572"/>
      <c r="H310" s="572"/>
      <c r="I310" s="572"/>
      <c r="J310" s="572"/>
      <c r="K310" s="572"/>
      <c r="L310" s="572"/>
      <c r="M310" s="572"/>
      <c r="N310" s="572"/>
      <c r="O310" s="572"/>
      <c r="P310" s="572"/>
    </row>
    <row r="311" spans="2:16">
      <c r="B311" s="150" t="s">
        <v>1285</v>
      </c>
      <c r="C311" s="572"/>
      <c r="D311" s="572"/>
      <c r="E311" s="572"/>
      <c r="F311" s="572"/>
      <c r="G311" s="572"/>
      <c r="H311" s="572"/>
      <c r="I311" s="572"/>
      <c r="J311" s="572"/>
      <c r="K311" s="572"/>
      <c r="L311" s="572"/>
      <c r="M311" s="572"/>
      <c r="N311" s="572"/>
      <c r="O311" s="572"/>
      <c r="P311" s="572"/>
    </row>
    <row r="312" spans="2:16">
      <c r="B312" s="150"/>
      <c r="C312" s="572"/>
      <c r="D312" s="572"/>
      <c r="E312" s="572"/>
      <c r="F312" s="572"/>
      <c r="G312" s="572"/>
      <c r="H312" s="572"/>
      <c r="I312" s="572"/>
      <c r="J312" s="572"/>
      <c r="K312" s="572"/>
      <c r="L312" s="572"/>
      <c r="M312" s="572"/>
      <c r="N312" s="572"/>
      <c r="O312" s="572"/>
      <c r="P312" s="572"/>
    </row>
    <row r="313" spans="2:16">
      <c r="B313" s="150" t="s">
        <v>1271</v>
      </c>
      <c r="C313" s="572"/>
      <c r="D313" s="572"/>
      <c r="E313" s="572"/>
      <c r="F313" s="572"/>
      <c r="G313" s="572"/>
      <c r="H313" s="572"/>
      <c r="I313" s="572"/>
      <c r="J313" s="572"/>
      <c r="K313" s="572"/>
      <c r="L313" s="572"/>
      <c r="M313" s="572"/>
      <c r="N313" s="572"/>
      <c r="O313" s="572"/>
      <c r="P313" s="572"/>
    </row>
    <row r="314" spans="2:16">
      <c r="B314" s="150"/>
      <c r="C314" s="572"/>
      <c r="D314" s="572"/>
      <c r="E314" s="572"/>
      <c r="F314" s="572"/>
      <c r="G314" s="572"/>
      <c r="H314" s="572"/>
      <c r="I314" s="572"/>
      <c r="J314" s="572"/>
      <c r="K314" s="572"/>
      <c r="L314" s="572"/>
      <c r="M314" s="572"/>
      <c r="N314" s="572"/>
      <c r="O314" s="572"/>
      <c r="P314" s="572"/>
    </row>
    <row r="315" spans="2:16">
      <c r="B315" s="150" t="s">
        <v>1319</v>
      </c>
      <c r="C315" s="572"/>
      <c r="D315" s="572"/>
      <c r="E315" s="572"/>
      <c r="F315" s="572"/>
      <c r="G315" s="572"/>
      <c r="H315" s="572"/>
      <c r="I315" s="572"/>
      <c r="J315" s="572"/>
      <c r="K315" s="572"/>
      <c r="L315" s="572"/>
      <c r="M315" s="572"/>
      <c r="N315" s="572"/>
      <c r="O315" s="572"/>
      <c r="P315" s="572"/>
    </row>
    <row r="316" spans="2:16">
      <c r="B316" s="150"/>
      <c r="C316" s="572"/>
      <c r="D316" s="572"/>
      <c r="E316" s="572"/>
      <c r="F316" s="572"/>
      <c r="G316" s="572"/>
      <c r="H316" s="572"/>
      <c r="I316" s="572"/>
      <c r="J316" s="572"/>
      <c r="K316" s="572"/>
      <c r="L316" s="572"/>
      <c r="M316" s="572"/>
      <c r="N316" s="572"/>
      <c r="O316" s="572"/>
      <c r="P316" s="572"/>
    </row>
    <row r="317" spans="2:16">
      <c r="B317" s="150" t="s">
        <v>1660</v>
      </c>
      <c r="C317" s="572"/>
      <c r="D317" s="572"/>
      <c r="E317" s="572"/>
      <c r="F317" s="572"/>
      <c r="G317" s="572"/>
      <c r="H317" s="572"/>
      <c r="I317" s="572"/>
      <c r="J317" s="572"/>
      <c r="K317" s="572"/>
      <c r="L317" s="572"/>
      <c r="M317" s="572"/>
      <c r="N317" s="572"/>
      <c r="O317" s="572"/>
      <c r="P317" s="572"/>
    </row>
    <row r="318" spans="2:16">
      <c r="B318" s="150"/>
      <c r="C318" s="572"/>
      <c r="D318" s="572"/>
      <c r="E318" s="572"/>
      <c r="F318" s="572"/>
      <c r="G318" s="572"/>
      <c r="H318" s="572"/>
      <c r="I318" s="572"/>
      <c r="J318" s="572"/>
      <c r="K318" s="572"/>
      <c r="L318" s="572"/>
      <c r="M318" s="572"/>
      <c r="N318" s="572"/>
      <c r="O318" s="572"/>
      <c r="P318" s="572"/>
    </row>
    <row r="319" spans="2:16">
      <c r="B319" s="150" t="s">
        <v>1343</v>
      </c>
      <c r="C319" s="572"/>
      <c r="D319" s="572"/>
      <c r="E319" s="572"/>
      <c r="F319" s="572"/>
      <c r="G319" s="572"/>
      <c r="H319" s="572"/>
      <c r="I319" s="572"/>
      <c r="J319" s="572"/>
      <c r="K319" s="572"/>
      <c r="L319" s="572"/>
      <c r="M319" s="572"/>
      <c r="N319" s="572"/>
      <c r="O319" s="572"/>
      <c r="P319" s="572"/>
    </row>
    <row r="320" spans="2:16">
      <c r="B320" s="572"/>
      <c r="C320" s="572"/>
      <c r="D320" s="572"/>
      <c r="E320" s="572"/>
      <c r="F320" s="572"/>
      <c r="G320" s="572"/>
      <c r="H320" s="572"/>
      <c r="I320" s="572"/>
      <c r="J320" s="572"/>
      <c r="K320" s="572"/>
      <c r="L320" s="572"/>
      <c r="M320" s="572"/>
      <c r="N320" s="572"/>
      <c r="O320" s="572"/>
      <c r="P320" s="572"/>
    </row>
    <row r="321" spans="2:17" ht="21.6" customHeight="1">
      <c r="B321" s="572"/>
      <c r="C321" s="1149" t="s">
        <v>1134</v>
      </c>
      <c r="D321" s="1149"/>
      <c r="E321" s="572"/>
      <c r="F321" s="806"/>
      <c r="G321" s="806"/>
      <c r="H321" s="806"/>
      <c r="I321" s="806"/>
      <c r="J321" s="806"/>
      <c r="K321" s="806"/>
      <c r="L321" s="806"/>
      <c r="M321" s="806"/>
      <c r="N321" s="806"/>
      <c r="O321" s="806"/>
      <c r="P321" s="806"/>
      <c r="Q321" s="806"/>
    </row>
    <row r="322" spans="2:17" ht="22.5">
      <c r="B322" s="572"/>
      <c r="C322" s="249" t="s">
        <v>1152</v>
      </c>
      <c r="D322" s="249" t="s">
        <v>1153</v>
      </c>
      <c r="E322" s="249" t="s">
        <v>1344</v>
      </c>
      <c r="F322" s="572"/>
      <c r="G322" s="572"/>
      <c r="H322" s="572"/>
      <c r="I322" s="822"/>
      <c r="J322" s="822"/>
      <c r="K322" s="822"/>
      <c r="L322" s="822"/>
      <c r="M322" s="822"/>
      <c r="N322" s="822"/>
      <c r="O322" s="822"/>
      <c r="P322" s="822"/>
    </row>
    <row r="323" spans="2:17">
      <c r="B323" s="249" t="s">
        <v>43</v>
      </c>
      <c r="C323" s="939">
        <v>2.9954703740919249E-2</v>
      </c>
      <c r="D323" s="940">
        <f>Calc_Primary_teacher_need!O48</f>
        <v>3.2317821606506855E-2</v>
      </c>
      <c r="E323" s="986">
        <f>D323-C323</f>
        <v>2.3631178655876064E-3</v>
      </c>
      <c r="F323" s="985"/>
      <c r="G323" s="572"/>
      <c r="H323" s="572"/>
      <c r="I323" s="572"/>
      <c r="J323" s="572"/>
      <c r="K323" s="572"/>
      <c r="L323" s="572"/>
      <c r="M323" s="572"/>
      <c r="N323" s="572"/>
      <c r="O323" s="572"/>
      <c r="P323" s="572"/>
    </row>
    <row r="324" spans="2:17">
      <c r="B324" s="811" t="s">
        <v>558</v>
      </c>
      <c r="C324" s="939">
        <v>5.8909913433939996E-2</v>
      </c>
      <c r="D324" s="940">
        <f>Stock_calculations!I44</f>
        <v>5.8909913433939989E-2</v>
      </c>
      <c r="E324" s="986">
        <f t="shared" ref="E324:E342" si="8">D324-C324</f>
        <v>0</v>
      </c>
      <c r="F324" s="985"/>
      <c r="G324" s="874"/>
      <c r="H324" s="572"/>
      <c r="I324" s="572"/>
      <c r="J324" s="572"/>
      <c r="K324" s="572"/>
      <c r="L324" s="572"/>
      <c r="M324" s="572"/>
      <c r="N324" s="572"/>
      <c r="O324" s="572"/>
      <c r="P324" s="572"/>
    </row>
    <row r="325" spans="2:17">
      <c r="B325" s="811" t="s">
        <v>7</v>
      </c>
      <c r="C325" s="939">
        <v>3.8128141845088857E-2</v>
      </c>
      <c r="D325" s="940">
        <f>Stock_calculations!I45</f>
        <v>4.4987444247105948E-2</v>
      </c>
      <c r="E325" s="986">
        <f t="shared" si="8"/>
        <v>6.8593024020170909E-3</v>
      </c>
      <c r="F325" s="985"/>
      <c r="G325" s="572"/>
      <c r="H325" s="572"/>
      <c r="I325" s="572"/>
      <c r="J325" s="572"/>
      <c r="K325" s="572"/>
      <c r="L325" s="572"/>
      <c r="M325" s="572"/>
      <c r="N325" s="572"/>
      <c r="O325" s="572"/>
      <c r="P325" s="572"/>
    </row>
    <row r="326" spans="2:17">
      <c r="B326" s="811" t="s">
        <v>427</v>
      </c>
      <c r="C326" s="939">
        <v>7.512836487244999E-2</v>
      </c>
      <c r="D326" s="940">
        <f>Stock_calculations!I46</f>
        <v>8.9937528219950894E-2</v>
      </c>
      <c r="E326" s="986">
        <f t="shared" si="8"/>
        <v>1.4809163347500903E-2</v>
      </c>
      <c r="F326" s="985"/>
      <c r="G326" s="874"/>
      <c r="H326" s="572"/>
      <c r="I326" s="572"/>
      <c r="J326" s="572"/>
      <c r="K326" s="572"/>
      <c r="L326" s="572"/>
      <c r="M326" s="572"/>
      <c r="N326" s="572"/>
      <c r="O326" s="572"/>
      <c r="P326" s="572"/>
    </row>
    <row r="327" spans="2:17">
      <c r="B327" s="811" t="s">
        <v>3</v>
      </c>
      <c r="C327" s="939">
        <v>4.670479162553192E-2</v>
      </c>
      <c r="D327" s="940">
        <f>Stock_calculations!I47</f>
        <v>4.670479162553192E-2</v>
      </c>
      <c r="E327" s="986">
        <f t="shared" si="8"/>
        <v>0</v>
      </c>
      <c r="F327" s="985"/>
      <c r="G327" s="572"/>
      <c r="H327" s="572"/>
      <c r="I327" s="572"/>
      <c r="J327" s="572"/>
      <c r="K327" s="572"/>
      <c r="L327" s="572"/>
      <c r="M327" s="572"/>
      <c r="N327" s="572"/>
      <c r="O327" s="572"/>
      <c r="P327" s="572"/>
    </row>
    <row r="328" spans="2:17">
      <c r="B328" s="811" t="s">
        <v>85</v>
      </c>
      <c r="C328" s="939">
        <v>7.5860392627861428E-2</v>
      </c>
      <c r="D328" s="940">
        <f>Stock_calculations!I48</f>
        <v>7.6989973421734165E-2</v>
      </c>
      <c r="E328" s="986">
        <f t="shared" si="8"/>
        <v>1.1295807938727365E-3</v>
      </c>
      <c r="F328" s="985"/>
      <c r="G328" s="572"/>
      <c r="H328" s="572"/>
      <c r="I328" s="572"/>
      <c r="J328" s="572"/>
      <c r="K328" s="572"/>
      <c r="L328" s="572"/>
      <c r="M328" s="572"/>
      <c r="N328" s="572"/>
      <c r="O328" s="572"/>
      <c r="P328" s="572"/>
    </row>
    <row r="329" spans="2:17">
      <c r="B329" s="811" t="s">
        <v>103</v>
      </c>
      <c r="C329" s="939">
        <v>5.2800072970592159E-2</v>
      </c>
      <c r="D329" s="940">
        <f>Stock_calculations!I49</f>
        <v>5.2855896502138587E-2</v>
      </c>
      <c r="E329" s="986">
        <f t="shared" si="8"/>
        <v>5.5823531546428384E-5</v>
      </c>
      <c r="F329" s="985"/>
      <c r="G329" s="572"/>
      <c r="H329" s="572"/>
      <c r="I329" s="572"/>
      <c r="J329" s="572"/>
      <c r="K329" s="572"/>
      <c r="L329" s="572"/>
      <c r="M329" s="572"/>
      <c r="N329" s="572"/>
      <c r="O329" s="572"/>
      <c r="P329" s="572"/>
    </row>
    <row r="330" spans="2:17" ht="22.5">
      <c r="B330" s="811" t="s">
        <v>559</v>
      </c>
      <c r="C330" s="939">
        <v>6.5282326752447217E-2</v>
      </c>
      <c r="D330" s="940">
        <f>Stock_calculations!I50</f>
        <v>7.0068710490649042E-2</v>
      </c>
      <c r="E330" s="986">
        <f t="shared" si="8"/>
        <v>4.7863837382018243E-3</v>
      </c>
      <c r="F330" s="985"/>
      <c r="G330" s="572"/>
      <c r="H330" s="572"/>
      <c r="I330" s="572"/>
      <c r="J330" s="572"/>
      <c r="K330" s="572"/>
      <c r="L330" s="572"/>
      <c r="M330" s="572"/>
      <c r="N330" s="572"/>
      <c r="O330" s="572"/>
      <c r="P330" s="572"/>
    </row>
    <row r="331" spans="2:17">
      <c r="B331" s="811" t="s">
        <v>6</v>
      </c>
      <c r="C331" s="939">
        <v>7.7019833615948927E-2</v>
      </c>
      <c r="D331" s="940">
        <f>Stock_calculations!I51</f>
        <v>8.1708264281807358E-2</v>
      </c>
      <c r="E331" s="986">
        <f t="shared" si="8"/>
        <v>4.6884306658584313E-3</v>
      </c>
      <c r="F331" s="985"/>
      <c r="G331" s="572"/>
      <c r="H331" s="572"/>
      <c r="I331" s="572"/>
      <c r="J331" s="572"/>
      <c r="K331" s="572"/>
      <c r="L331" s="572"/>
      <c r="M331" s="572"/>
      <c r="N331" s="572"/>
      <c r="O331" s="572"/>
      <c r="P331" s="572"/>
    </row>
    <row r="332" spans="2:17">
      <c r="B332" s="811" t="s">
        <v>1</v>
      </c>
      <c r="C332" s="939">
        <v>7.4381977472818855E-2</v>
      </c>
      <c r="D332" s="940">
        <f>Stock_calculations!I52</f>
        <v>7.9325423722273622E-2</v>
      </c>
      <c r="E332" s="986">
        <f t="shared" si="8"/>
        <v>4.9434462494547665E-3</v>
      </c>
      <c r="F332" s="985"/>
      <c r="G332" s="572"/>
      <c r="H332" s="572"/>
      <c r="I332" s="572"/>
      <c r="J332" s="572"/>
      <c r="K332" s="572"/>
      <c r="L332" s="572"/>
      <c r="M332" s="572"/>
      <c r="N332" s="572"/>
      <c r="O332" s="572"/>
      <c r="P332" s="572"/>
    </row>
    <row r="333" spans="2:17">
      <c r="B333" s="811" t="s">
        <v>396</v>
      </c>
      <c r="C333" s="939">
        <v>9.1713975643362672E-2</v>
      </c>
      <c r="D333" s="940">
        <f>Stock_calculations!I53</f>
        <v>9.1713975643362672E-2</v>
      </c>
      <c r="E333" s="986">
        <f t="shared" si="8"/>
        <v>0</v>
      </c>
      <c r="F333" s="985"/>
      <c r="G333" s="572"/>
      <c r="H333" s="572"/>
      <c r="I333" s="572"/>
      <c r="J333" s="572"/>
      <c r="K333" s="572"/>
      <c r="L333" s="572"/>
      <c r="M333" s="572"/>
      <c r="N333" s="572"/>
      <c r="O333" s="572"/>
      <c r="P333" s="572"/>
    </row>
    <row r="334" spans="2:17">
      <c r="B334" s="811" t="s">
        <v>4</v>
      </c>
      <c r="C334" s="939">
        <v>3.8255695521574838E-2</v>
      </c>
      <c r="D334" s="940">
        <f>Stock_calculations!I54</f>
        <v>4.5447407382442052E-2</v>
      </c>
      <c r="E334" s="986">
        <f t="shared" si="8"/>
        <v>7.1917118608672143E-3</v>
      </c>
      <c r="F334" s="985"/>
      <c r="G334" s="572"/>
      <c r="H334" s="572"/>
      <c r="I334" s="572"/>
      <c r="J334" s="572"/>
      <c r="K334" s="572"/>
      <c r="L334" s="572"/>
      <c r="M334" s="572"/>
      <c r="N334" s="572"/>
      <c r="O334" s="572"/>
      <c r="P334" s="572"/>
    </row>
    <row r="335" spans="2:17">
      <c r="B335" s="811" t="s">
        <v>0</v>
      </c>
      <c r="C335" s="939">
        <v>4.7545449046448432E-2</v>
      </c>
      <c r="D335" s="940">
        <f>Stock_calculations!I55</f>
        <v>4.7545449046448432E-2</v>
      </c>
      <c r="E335" s="986">
        <f t="shared" si="8"/>
        <v>0</v>
      </c>
      <c r="F335" s="985"/>
      <c r="G335" s="572"/>
      <c r="H335" s="572"/>
      <c r="I335" s="572"/>
      <c r="J335" s="572"/>
      <c r="K335" s="572"/>
      <c r="L335" s="572"/>
      <c r="M335" s="572"/>
      <c r="N335" s="572"/>
      <c r="O335" s="572"/>
      <c r="P335" s="572"/>
    </row>
    <row r="336" spans="2:17">
      <c r="B336" s="811" t="s">
        <v>560</v>
      </c>
      <c r="C336" s="939">
        <v>5.4870266894444894E-2</v>
      </c>
      <c r="D336" s="940">
        <f>Stock_calculations!I56</f>
        <v>6.06980594497162E-2</v>
      </c>
      <c r="E336" s="986">
        <f t="shared" si="8"/>
        <v>5.8277925552713064E-3</v>
      </c>
      <c r="F336" s="985"/>
      <c r="G336" s="572"/>
      <c r="H336" s="572"/>
      <c r="I336" s="572"/>
      <c r="J336" s="572"/>
      <c r="K336" s="572"/>
      <c r="L336" s="572"/>
      <c r="M336" s="572"/>
      <c r="N336" s="572"/>
      <c r="O336" s="572"/>
      <c r="P336" s="572"/>
    </row>
    <row r="337" spans="2:24" ht="22.5">
      <c r="B337" s="811" t="s">
        <v>561</v>
      </c>
      <c r="C337" s="939">
        <v>4.2484610330523712E-2</v>
      </c>
      <c r="D337" s="940">
        <f>Stock_calculations!I57</f>
        <v>4.2484610330523712E-2</v>
      </c>
      <c r="E337" s="986">
        <f t="shared" si="8"/>
        <v>0</v>
      </c>
      <c r="F337" s="985"/>
      <c r="G337" s="572"/>
      <c r="H337" s="572"/>
      <c r="I337" s="572"/>
      <c r="J337" s="572"/>
      <c r="K337" s="572"/>
      <c r="L337" s="572"/>
      <c r="M337" s="572"/>
      <c r="N337" s="572"/>
      <c r="O337" s="572"/>
      <c r="P337" s="572"/>
    </row>
    <row r="338" spans="2:24">
      <c r="B338" s="811" t="s">
        <v>5</v>
      </c>
      <c r="C338" s="939">
        <v>5.4208287794685298E-2</v>
      </c>
      <c r="D338" s="940">
        <f>Stock_calculations!I58</f>
        <v>5.4208287794685298E-2</v>
      </c>
      <c r="E338" s="986">
        <f t="shared" si="8"/>
        <v>0</v>
      </c>
      <c r="F338" s="985"/>
      <c r="G338" s="572"/>
      <c r="H338" s="572"/>
      <c r="I338" s="572"/>
      <c r="J338" s="572"/>
      <c r="K338" s="572"/>
      <c r="L338" s="572"/>
      <c r="M338" s="572"/>
      <c r="N338" s="572"/>
      <c r="O338" s="572"/>
      <c r="P338" s="572"/>
    </row>
    <row r="339" spans="2:24">
      <c r="B339" s="811" t="s">
        <v>694</v>
      </c>
      <c r="C339" s="939">
        <v>0.13067552640350238</v>
      </c>
      <c r="D339" s="940">
        <f>Stock_calculations!I59</f>
        <v>0.14140263124531968</v>
      </c>
      <c r="E339" s="986">
        <f t="shared" si="8"/>
        <v>1.0727104841817298E-2</v>
      </c>
      <c r="F339" s="985"/>
      <c r="G339" s="572"/>
      <c r="H339" s="572"/>
      <c r="I339" s="572"/>
      <c r="J339" s="572"/>
      <c r="K339" s="572"/>
      <c r="L339" s="572"/>
      <c r="M339" s="572"/>
      <c r="N339" s="572"/>
      <c r="O339" s="572"/>
      <c r="P339" s="572"/>
    </row>
    <row r="340" spans="2:24">
      <c r="B340" s="811" t="s">
        <v>562</v>
      </c>
      <c r="C340" s="939">
        <v>3.9179398730569838E-2</v>
      </c>
      <c r="D340" s="940">
        <f>Stock_calculations!I60</f>
        <v>4.0554482856812103E-2</v>
      </c>
      <c r="E340" s="986">
        <f t="shared" si="8"/>
        <v>1.3750841262422653E-3</v>
      </c>
      <c r="F340" s="985"/>
      <c r="G340" s="572"/>
      <c r="H340" s="572"/>
      <c r="I340" s="572"/>
      <c r="J340" s="572"/>
      <c r="K340" s="572"/>
      <c r="L340" s="572"/>
      <c r="M340" s="572"/>
      <c r="N340" s="572"/>
      <c r="O340" s="572"/>
      <c r="P340" s="572"/>
    </row>
    <row r="341" spans="2:24">
      <c r="B341" s="811" t="s">
        <v>2</v>
      </c>
      <c r="C341" s="939">
        <v>3.6027952926980522E-2</v>
      </c>
      <c r="D341" s="940">
        <f>Stock_calculations!I61</f>
        <v>3.6027952926980522E-2</v>
      </c>
      <c r="E341" s="986">
        <f t="shared" si="8"/>
        <v>0</v>
      </c>
      <c r="F341" s="985"/>
      <c r="G341" s="572"/>
      <c r="H341" s="572"/>
      <c r="I341" s="572"/>
      <c r="J341" s="572"/>
      <c r="K341" s="572"/>
      <c r="L341" s="572"/>
      <c r="M341" s="572"/>
      <c r="N341" s="572"/>
      <c r="O341" s="572"/>
      <c r="P341" s="572"/>
    </row>
    <row r="342" spans="2:24">
      <c r="B342" s="811" t="s">
        <v>563</v>
      </c>
      <c r="C342" s="939">
        <v>4.6192057701311899E-2</v>
      </c>
      <c r="D342" s="940">
        <f>Stock_calculations!I62</f>
        <v>5.4457156366481005E-2</v>
      </c>
      <c r="E342" s="986">
        <f t="shared" si="8"/>
        <v>8.2650986651691058E-3</v>
      </c>
      <c r="F342" s="985"/>
      <c r="G342" s="572"/>
      <c r="H342" s="572"/>
      <c r="I342" s="572"/>
      <c r="J342" s="572"/>
      <c r="K342" s="572"/>
      <c r="L342" s="572"/>
      <c r="M342" s="572"/>
      <c r="N342" s="572"/>
      <c r="O342" s="572"/>
      <c r="P342" s="572"/>
    </row>
    <row r="344" spans="2:24" ht="18">
      <c r="B344" s="973" t="s">
        <v>1550</v>
      </c>
    </row>
    <row r="346" spans="2:24" ht="13.15" customHeight="1">
      <c r="B346" s="1148" t="s">
        <v>1760</v>
      </c>
      <c r="C346" s="1148"/>
      <c r="D346" s="1148"/>
      <c r="E346" s="1148"/>
      <c r="F346" s="1148"/>
      <c r="G346" s="1148"/>
      <c r="H346" s="1148"/>
      <c r="I346" s="1148"/>
      <c r="J346" s="1148"/>
      <c r="K346" s="1148"/>
      <c r="L346" s="1148"/>
      <c r="M346" s="1148"/>
      <c r="N346" s="1148"/>
      <c r="O346" s="1148"/>
      <c r="P346" s="1148"/>
      <c r="Q346" s="1148"/>
      <c r="R346" s="1148"/>
    </row>
    <row r="347" spans="2:24">
      <c r="B347" s="1148"/>
      <c r="C347" s="1148"/>
      <c r="D347" s="1148"/>
      <c r="E347" s="1148"/>
      <c r="F347" s="1148"/>
      <c r="G347" s="1148"/>
      <c r="H347" s="1148"/>
      <c r="I347" s="1148"/>
      <c r="J347" s="1148"/>
      <c r="K347" s="1148"/>
      <c r="L347" s="1148"/>
      <c r="M347" s="1148"/>
      <c r="N347" s="1148"/>
      <c r="O347" s="1148"/>
      <c r="P347" s="1148"/>
      <c r="Q347" s="1148"/>
      <c r="R347" s="1148"/>
    </row>
    <row r="348" spans="2:24">
      <c r="B348" s="572"/>
      <c r="C348" s="572"/>
      <c r="D348" s="572"/>
      <c r="E348" s="572"/>
      <c r="F348" s="572"/>
      <c r="G348" s="572"/>
      <c r="H348" s="572"/>
      <c r="I348" s="572"/>
      <c r="J348" s="572"/>
      <c r="K348" s="572"/>
      <c r="L348" s="572"/>
      <c r="M348" s="572"/>
      <c r="N348" s="572"/>
      <c r="O348" s="572"/>
      <c r="P348" s="572"/>
    </row>
    <row r="349" spans="2:24">
      <c r="B349" s="572"/>
      <c r="C349" s="572"/>
      <c r="D349" s="572"/>
      <c r="E349" s="572"/>
      <c r="F349" s="572"/>
      <c r="G349" s="572"/>
      <c r="H349" s="572"/>
      <c r="I349" s="572"/>
      <c r="J349" s="572"/>
      <c r="K349" s="572"/>
      <c r="L349" s="572"/>
      <c r="M349" s="572"/>
      <c r="N349" s="572"/>
      <c r="O349" s="572"/>
      <c r="P349" s="572"/>
    </row>
    <row r="350" spans="2:24">
      <c r="B350" s="572"/>
      <c r="C350" s="572"/>
      <c r="D350" s="572"/>
      <c r="E350" s="572"/>
      <c r="F350" s="572"/>
      <c r="G350" s="572"/>
      <c r="H350" s="572"/>
      <c r="I350" s="572"/>
      <c r="J350" s="572"/>
      <c r="K350" s="572"/>
      <c r="L350" s="572"/>
      <c r="M350" s="572"/>
      <c r="N350" s="572"/>
      <c r="O350" s="572"/>
      <c r="P350" s="572"/>
    </row>
    <row r="351" spans="2:24">
      <c r="B351" s="572"/>
      <c r="C351" s="572"/>
      <c r="D351" s="572"/>
      <c r="E351" s="572"/>
      <c r="F351" s="572"/>
      <c r="G351" s="572"/>
      <c r="H351" s="572"/>
      <c r="I351" s="572"/>
      <c r="J351" s="572"/>
      <c r="K351" s="572"/>
      <c r="L351" s="572"/>
      <c r="M351" s="572"/>
      <c r="N351" s="572"/>
      <c r="O351" s="572"/>
      <c r="P351" s="572"/>
    </row>
    <row r="352" spans="2:24" ht="13.15" customHeight="1">
      <c r="B352" s="931" t="s">
        <v>1273</v>
      </c>
      <c r="C352" s="1142" t="s">
        <v>1272</v>
      </c>
      <c r="D352" s="1143"/>
      <c r="E352" s="1143"/>
      <c r="F352" s="1143"/>
      <c r="G352" s="1143"/>
      <c r="H352" s="1143"/>
      <c r="I352" s="1143"/>
      <c r="J352" s="1143"/>
      <c r="K352" s="1143"/>
      <c r="L352" s="1143"/>
      <c r="M352" s="1143"/>
      <c r="N352" s="1143"/>
      <c r="O352" s="1143"/>
      <c r="P352" s="1143"/>
      <c r="Q352" s="1143"/>
      <c r="R352" s="1143"/>
      <c r="S352" s="1143"/>
      <c r="T352" s="1143"/>
      <c r="U352" s="1143"/>
      <c r="V352" s="1143"/>
      <c r="W352" s="1144"/>
      <c r="X352" s="1035"/>
    </row>
    <row r="353" spans="2:24" ht="24">
      <c r="B353" s="1017" t="s">
        <v>1549</v>
      </c>
      <c r="C353" s="1137" t="s">
        <v>1552</v>
      </c>
      <c r="D353" s="1138"/>
      <c r="E353" s="1138"/>
      <c r="F353" s="1138"/>
      <c r="G353" s="1138"/>
      <c r="H353" s="1138"/>
      <c r="I353" s="1138"/>
      <c r="J353" s="1138"/>
      <c r="K353" s="1138"/>
      <c r="L353" s="1138"/>
      <c r="M353" s="1138"/>
      <c r="N353" s="1138"/>
      <c r="O353" s="1138"/>
      <c r="P353" s="1138"/>
      <c r="Q353" s="1138"/>
      <c r="R353" s="1138"/>
      <c r="S353" s="1138"/>
      <c r="T353" s="1138"/>
      <c r="U353" s="1138"/>
      <c r="V353" s="1138"/>
      <c r="W353" s="1139"/>
      <c r="X353" s="1035"/>
    </row>
    <row r="354" spans="2:24">
      <c r="B354" s="1080" t="s">
        <v>1759</v>
      </c>
      <c r="C354" s="1137" t="s">
        <v>1761</v>
      </c>
      <c r="D354" s="1138"/>
      <c r="E354" s="1138"/>
      <c r="F354" s="1138"/>
      <c r="G354" s="1138"/>
      <c r="H354" s="1138"/>
      <c r="I354" s="1138"/>
      <c r="J354" s="1138"/>
      <c r="K354" s="1138"/>
      <c r="L354" s="1138"/>
      <c r="M354" s="1138"/>
      <c r="N354" s="1138"/>
      <c r="O354" s="1138"/>
      <c r="P354" s="1138"/>
      <c r="Q354" s="1138"/>
      <c r="R354" s="1138"/>
      <c r="S354" s="1138"/>
      <c r="T354" s="1138"/>
      <c r="U354" s="1138"/>
      <c r="V354" s="1138"/>
      <c r="W354" s="1139"/>
      <c r="X354" s="1035"/>
    </row>
    <row r="355" spans="2:24">
      <c r="B355" s="1079" t="s">
        <v>1755</v>
      </c>
      <c r="C355" s="1137" t="s">
        <v>1762</v>
      </c>
      <c r="D355" s="1138"/>
      <c r="E355" s="1138"/>
      <c r="F355" s="1138"/>
      <c r="G355" s="1138"/>
      <c r="H355" s="1138"/>
      <c r="I355" s="1138"/>
      <c r="J355" s="1138"/>
      <c r="K355" s="1138"/>
      <c r="L355" s="1138"/>
      <c r="M355" s="1138"/>
      <c r="N355" s="1138"/>
      <c r="O355" s="1138"/>
      <c r="P355" s="1138"/>
      <c r="Q355" s="1138"/>
      <c r="R355" s="1138"/>
      <c r="S355" s="1138"/>
      <c r="T355" s="1138"/>
      <c r="U355" s="1138"/>
      <c r="V355" s="1138"/>
      <c r="W355" s="1139"/>
      <c r="X355" s="1035"/>
    </row>
    <row r="356" spans="2:24">
      <c r="B356" s="1018" t="s">
        <v>1756</v>
      </c>
      <c r="C356" s="1137" t="s">
        <v>1763</v>
      </c>
      <c r="D356" s="1138"/>
      <c r="E356" s="1138"/>
      <c r="F356" s="1138"/>
      <c r="G356" s="1138"/>
      <c r="H356" s="1138"/>
      <c r="I356" s="1138"/>
      <c r="J356" s="1138"/>
      <c r="K356" s="1138"/>
      <c r="L356" s="1138"/>
      <c r="M356" s="1138"/>
      <c r="N356" s="1138"/>
      <c r="O356" s="1138"/>
      <c r="P356" s="1138"/>
      <c r="Q356" s="1138"/>
      <c r="R356" s="1138"/>
      <c r="S356" s="1138"/>
      <c r="T356" s="1138"/>
      <c r="U356" s="1138"/>
      <c r="V356" s="1138"/>
      <c r="W356" s="1139"/>
      <c r="X356" s="1035"/>
    </row>
    <row r="357" spans="2:24">
      <c r="B357" s="1018" t="s">
        <v>1757</v>
      </c>
      <c r="C357" s="1137" t="s">
        <v>1764</v>
      </c>
      <c r="D357" s="1138"/>
      <c r="E357" s="1138"/>
      <c r="F357" s="1138"/>
      <c r="G357" s="1138"/>
      <c r="H357" s="1138"/>
      <c r="I357" s="1138"/>
      <c r="J357" s="1138"/>
      <c r="K357" s="1138"/>
      <c r="L357" s="1138"/>
      <c r="M357" s="1138"/>
      <c r="N357" s="1138"/>
      <c r="O357" s="1138"/>
      <c r="P357" s="1138"/>
      <c r="Q357" s="1138"/>
      <c r="R357" s="1138"/>
      <c r="S357" s="1138"/>
      <c r="T357" s="1138"/>
      <c r="U357" s="1138"/>
      <c r="V357" s="1138"/>
      <c r="W357" s="1139"/>
      <c r="X357" s="1035"/>
    </row>
    <row r="358" spans="2:24">
      <c r="B358" s="1018" t="s">
        <v>1758</v>
      </c>
      <c r="C358" s="1137" t="s">
        <v>1765</v>
      </c>
      <c r="D358" s="1138"/>
      <c r="E358" s="1138"/>
      <c r="F358" s="1138"/>
      <c r="G358" s="1138"/>
      <c r="H358" s="1138"/>
      <c r="I358" s="1138"/>
      <c r="J358" s="1138"/>
      <c r="K358" s="1138"/>
      <c r="L358" s="1138"/>
      <c r="M358" s="1138"/>
      <c r="N358" s="1138"/>
      <c r="O358" s="1138"/>
      <c r="P358" s="1138"/>
      <c r="Q358" s="1138"/>
      <c r="R358" s="1138"/>
      <c r="S358" s="1138"/>
      <c r="T358" s="1138"/>
      <c r="U358" s="1138"/>
      <c r="V358" s="1138"/>
      <c r="W358" s="1139"/>
      <c r="X358" s="1035"/>
    </row>
    <row r="359" spans="2:24">
      <c r="B359" s="572"/>
      <c r="C359" s="572"/>
      <c r="D359" s="572"/>
      <c r="E359" s="572"/>
      <c r="F359" s="572"/>
      <c r="G359" s="572"/>
      <c r="H359" s="572"/>
      <c r="I359" s="572"/>
      <c r="J359" s="572"/>
      <c r="K359" s="572"/>
      <c r="L359" s="572"/>
      <c r="M359" s="572"/>
      <c r="N359" s="572"/>
      <c r="O359" s="572"/>
      <c r="P359" s="572"/>
    </row>
    <row r="360" spans="2:24" ht="12.75" customHeight="1">
      <c r="B360" s="1158" t="s">
        <v>1538</v>
      </c>
      <c r="C360" s="1158"/>
      <c r="D360" s="1158"/>
      <c r="E360" s="1158"/>
      <c r="F360" s="1158"/>
      <c r="G360" s="1158"/>
      <c r="H360" s="1048"/>
      <c r="I360" s="1158" t="s">
        <v>1545</v>
      </c>
      <c r="J360" s="1158"/>
      <c r="K360" s="1158"/>
      <c r="L360" s="1158"/>
      <c r="M360" s="1158"/>
      <c r="N360" s="1158"/>
      <c r="O360" s="1158"/>
      <c r="P360" s="1158"/>
      <c r="Q360" s="1158"/>
      <c r="R360" s="1158"/>
    </row>
    <row r="361" spans="2:24" ht="12.75" customHeight="1">
      <c r="B361" s="1158"/>
      <c r="C361" s="1158"/>
      <c r="D361" s="1158"/>
      <c r="E361" s="1158"/>
      <c r="F361" s="1158"/>
      <c r="G361" s="1158"/>
      <c r="H361" s="1048"/>
      <c r="I361" s="1158"/>
      <c r="J361" s="1158"/>
      <c r="K361" s="1158"/>
      <c r="L361" s="1158"/>
      <c r="M361" s="1158"/>
      <c r="N361" s="1158"/>
      <c r="O361" s="1158"/>
      <c r="P361" s="1158"/>
      <c r="Q361" s="1158"/>
      <c r="R361" s="1158"/>
    </row>
  </sheetData>
  <mergeCells count="37">
    <mergeCell ref="C358:W358"/>
    <mergeCell ref="C357:W357"/>
    <mergeCell ref="C356:W356"/>
    <mergeCell ref="C355:W355"/>
    <mergeCell ref="B360:G361"/>
    <mergeCell ref="I360:R361"/>
    <mergeCell ref="B83:R84"/>
    <mergeCell ref="C274:C275"/>
    <mergeCell ref="D274:F274"/>
    <mergeCell ref="C273:F273"/>
    <mergeCell ref="B147:Q149"/>
    <mergeCell ref="G274:G275"/>
    <mergeCell ref="C115:E115"/>
    <mergeCell ref="B273:B275"/>
    <mergeCell ref="B162:Q163"/>
    <mergeCell ref="H274:J274"/>
    <mergeCell ref="B199:R200"/>
    <mergeCell ref="G273:J273"/>
    <mergeCell ref="B231:P232"/>
    <mergeCell ref="B166:D167"/>
    <mergeCell ref="B168:D169"/>
    <mergeCell ref="D87:E87"/>
    <mergeCell ref="C354:W354"/>
    <mergeCell ref="B170:D171"/>
    <mergeCell ref="B215:P216"/>
    <mergeCell ref="B177:Q178"/>
    <mergeCell ref="B212:P213"/>
    <mergeCell ref="C353:W353"/>
    <mergeCell ref="C352:W352"/>
    <mergeCell ref="C253:G253"/>
    <mergeCell ref="B346:R347"/>
    <mergeCell ref="C321:D321"/>
    <mergeCell ref="B252:B254"/>
    <mergeCell ref="H252:L252"/>
    <mergeCell ref="C252:G252"/>
    <mergeCell ref="H253:L253"/>
    <mergeCell ref="B234:P235"/>
  </mergeCells>
  <conditionalFormatting sqref="K204:W205">
    <cfRule type="containsText" dxfId="13" priority="6" stopIfTrue="1" operator="containsText" text="FALSE">
      <formula>NOT(ISERROR(SEARCH("FALSE",K204)))</formula>
    </cfRule>
    <cfRule type="containsText" dxfId="12" priority="7" stopIfTrue="1" operator="containsText" text="TRUE">
      <formula>NOT(ISERROR(SEARCH("TRUE",K204)))</formula>
    </cfRule>
  </conditionalFormatting>
  <conditionalFormatting sqref="K89:K108">
    <cfRule type="cellIs" dxfId="11" priority="4" stopIfTrue="1" operator="equal">
      <formula>FALSE</formula>
    </cfRule>
    <cfRule type="cellIs" dxfId="10" priority="5" stopIfTrue="1" operator="equal">
      <formula>TRUE</formula>
    </cfRule>
  </conditionalFormatting>
  <conditionalFormatting sqref="J89:J108">
    <cfRule type="cellIs" dxfId="9" priority="2" stopIfTrue="1" operator="equal">
      <formula>FALSE</formula>
    </cfRule>
    <cfRule type="cellIs" dxfId="8" priority="3" stopIfTrue="1" operator="equal">
      <formula>TRUE</formula>
    </cfRule>
  </conditionalFormatting>
  <hyperlinks>
    <hyperlink ref="A2" location="'Title_&amp;_Contents'!A1" display="Contents"/>
    <hyperlink ref="B2" location="Map_of_sheets!A1" display="Map of sheets"/>
    <hyperlink ref="B360:G361" location="SUMMARY_OUTPUTS!A1" display="See summary of scenario outputs"/>
    <hyperlink ref="I360:R361" location="FINAL_OUTPUTS_OF_ITT_PLACES!A1" display="See detailed results of ITT allocations under these scenarios"/>
  </hyperlink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61025" r:id="rId4" name="Drop Down 238593">
              <controlPr defaultSize="0" autoLine="0" autoPict="0">
                <anchor moveWithCells="1">
                  <from>
                    <xdr:col>1</xdr:col>
                    <xdr:colOff>9525</xdr:colOff>
                    <xdr:row>156</xdr:row>
                    <xdr:rowOff>9525</xdr:rowOff>
                  </from>
                  <to>
                    <xdr:col>3</xdr:col>
                    <xdr:colOff>0</xdr:colOff>
                    <xdr:row>157</xdr:row>
                    <xdr:rowOff>152400</xdr:rowOff>
                  </to>
                </anchor>
              </controlPr>
            </control>
          </mc:Choice>
        </mc:AlternateContent>
        <mc:AlternateContent xmlns:mc="http://schemas.openxmlformats.org/markup-compatibility/2006">
          <mc:Choice Requires="x14">
            <control shapeId="12161027" r:id="rId5" name="Drop Down 238595">
              <controlPr defaultSize="0" autoLine="0" autoPict="0">
                <anchor moveWithCells="1">
                  <from>
                    <xdr:col>5</xdr:col>
                    <xdr:colOff>0</xdr:colOff>
                    <xdr:row>156</xdr:row>
                    <xdr:rowOff>9525</xdr:rowOff>
                  </from>
                  <to>
                    <xdr:col>7</xdr:col>
                    <xdr:colOff>390525</xdr:colOff>
                    <xdr:row>158</xdr:row>
                    <xdr:rowOff>0</xdr:rowOff>
                  </to>
                </anchor>
              </controlPr>
            </control>
          </mc:Choice>
        </mc:AlternateContent>
        <mc:AlternateContent xmlns:mc="http://schemas.openxmlformats.org/markup-compatibility/2006">
          <mc:Choice Requires="x14">
            <control shapeId="12161028" r:id="rId6" name="Drop Down 238596">
              <controlPr defaultSize="0" autoLine="0" autoPict="0">
                <anchor moveWithCells="1">
                  <from>
                    <xdr:col>1</xdr:col>
                    <xdr:colOff>0</xdr:colOff>
                    <xdr:row>183</xdr:row>
                    <xdr:rowOff>0</xdr:rowOff>
                  </from>
                  <to>
                    <xdr:col>3</xdr:col>
                    <xdr:colOff>123825</xdr:colOff>
                    <xdr:row>185</xdr:row>
                    <xdr:rowOff>9525</xdr:rowOff>
                  </to>
                </anchor>
              </controlPr>
            </control>
          </mc:Choice>
        </mc:AlternateContent>
        <mc:AlternateContent xmlns:mc="http://schemas.openxmlformats.org/markup-compatibility/2006">
          <mc:Choice Requires="x14">
            <control shapeId="12161030" r:id="rId7" name="Drop Down 238598">
              <controlPr defaultSize="0" autoLine="0" autoPict="0">
                <anchor moveWithCells="1">
                  <from>
                    <xdr:col>5</xdr:col>
                    <xdr:colOff>0</xdr:colOff>
                    <xdr:row>183</xdr:row>
                    <xdr:rowOff>9525</xdr:rowOff>
                  </from>
                  <to>
                    <xdr:col>7</xdr:col>
                    <xdr:colOff>390525</xdr:colOff>
                    <xdr:row>184</xdr:row>
                    <xdr:rowOff>152400</xdr:rowOff>
                  </to>
                </anchor>
              </controlPr>
            </control>
          </mc:Choice>
        </mc:AlternateContent>
        <mc:AlternateContent xmlns:mc="http://schemas.openxmlformats.org/markup-compatibility/2006">
          <mc:Choice Requires="x14">
            <control shapeId="12161031" r:id="rId8" name="Drop Down 238599">
              <controlPr defaultSize="0" autoLine="0" autoPict="0">
                <anchor moveWithCells="1">
                  <from>
                    <xdr:col>9</xdr:col>
                    <xdr:colOff>9525</xdr:colOff>
                    <xdr:row>183</xdr:row>
                    <xdr:rowOff>0</xdr:rowOff>
                  </from>
                  <to>
                    <xdr:col>11</xdr:col>
                    <xdr:colOff>400050</xdr:colOff>
                    <xdr:row>185</xdr:row>
                    <xdr:rowOff>0</xdr:rowOff>
                  </to>
                </anchor>
              </controlPr>
            </control>
          </mc:Choice>
        </mc:AlternateContent>
        <mc:AlternateContent xmlns:mc="http://schemas.openxmlformats.org/markup-compatibility/2006">
          <mc:Choice Requires="x14">
            <control shapeId="12161032" r:id="rId9" name="Drop Down 238600">
              <controlPr defaultSize="0" autoLine="0" autoPict="0">
                <anchor moveWithCells="1">
                  <from>
                    <xdr:col>12</xdr:col>
                    <xdr:colOff>647700</xdr:colOff>
                    <xdr:row>183</xdr:row>
                    <xdr:rowOff>0</xdr:rowOff>
                  </from>
                  <to>
                    <xdr:col>15</xdr:col>
                    <xdr:colOff>228600</xdr:colOff>
                    <xdr:row>185</xdr:row>
                    <xdr:rowOff>0</xdr:rowOff>
                  </to>
                </anchor>
              </controlPr>
            </control>
          </mc:Choice>
        </mc:AlternateContent>
        <mc:AlternateContent xmlns:mc="http://schemas.openxmlformats.org/markup-compatibility/2006">
          <mc:Choice Requires="x14">
            <control shapeId="12161033" r:id="rId10" name="Drop Down 238601">
              <controlPr defaultSize="0" autoLine="0" autoPict="0">
                <anchor moveWithCells="1">
                  <from>
                    <xdr:col>1</xdr:col>
                    <xdr:colOff>0</xdr:colOff>
                    <xdr:row>202</xdr:row>
                    <xdr:rowOff>0</xdr:rowOff>
                  </from>
                  <to>
                    <xdr:col>3</xdr:col>
                    <xdr:colOff>485775</xdr:colOff>
                    <xdr:row>204</xdr:row>
                    <xdr:rowOff>0</xdr:rowOff>
                  </to>
                </anchor>
              </controlPr>
            </control>
          </mc:Choice>
        </mc:AlternateContent>
        <mc:AlternateContent xmlns:mc="http://schemas.openxmlformats.org/markup-compatibility/2006">
          <mc:Choice Requires="x14">
            <control shapeId="12161034" r:id="rId11" name="Drop Down 238602">
              <controlPr defaultSize="0" autoLine="0" autoPict="0">
                <anchor moveWithCells="1">
                  <from>
                    <xdr:col>5</xdr:col>
                    <xdr:colOff>0</xdr:colOff>
                    <xdr:row>202</xdr:row>
                    <xdr:rowOff>9525</xdr:rowOff>
                  </from>
                  <to>
                    <xdr:col>8</xdr:col>
                    <xdr:colOff>76200</xdr:colOff>
                    <xdr:row>203</xdr:row>
                    <xdr:rowOff>152400</xdr:rowOff>
                  </to>
                </anchor>
              </controlPr>
            </control>
          </mc:Choice>
        </mc:AlternateContent>
        <mc:AlternateContent xmlns:mc="http://schemas.openxmlformats.org/markup-compatibility/2006">
          <mc:Choice Requires="x14">
            <control shapeId="12161035" r:id="rId12" name="Drop Down 238603">
              <controlPr defaultSize="0" autoLine="0" autoPict="0">
                <anchor moveWithCells="1">
                  <from>
                    <xdr:col>1</xdr:col>
                    <xdr:colOff>0</xdr:colOff>
                    <xdr:row>221</xdr:row>
                    <xdr:rowOff>9525</xdr:rowOff>
                  </from>
                  <to>
                    <xdr:col>3</xdr:col>
                    <xdr:colOff>400050</xdr:colOff>
                    <xdr:row>223</xdr:row>
                    <xdr:rowOff>0</xdr:rowOff>
                  </to>
                </anchor>
              </controlPr>
            </control>
          </mc:Choice>
        </mc:AlternateContent>
        <mc:AlternateContent xmlns:mc="http://schemas.openxmlformats.org/markup-compatibility/2006">
          <mc:Choice Requires="x14">
            <control shapeId="12161036" r:id="rId13" name="Drop Down 238604">
              <controlPr defaultSize="0" autoLine="0" autoPict="0">
                <anchor moveWithCells="1">
                  <from>
                    <xdr:col>5</xdr:col>
                    <xdr:colOff>0</xdr:colOff>
                    <xdr:row>221</xdr:row>
                    <xdr:rowOff>0</xdr:rowOff>
                  </from>
                  <to>
                    <xdr:col>8</xdr:col>
                    <xdr:colOff>19050</xdr:colOff>
                    <xdr:row>223</xdr:row>
                    <xdr:rowOff>0</xdr:rowOff>
                  </to>
                </anchor>
              </controlPr>
            </control>
          </mc:Choice>
        </mc:AlternateContent>
        <mc:AlternateContent xmlns:mc="http://schemas.openxmlformats.org/markup-compatibility/2006">
          <mc:Choice Requires="x14">
            <control shapeId="12161157" r:id="rId14" name="Drop Down 238725">
              <controlPr defaultSize="0" autoLine="0" autoPict="0">
                <anchor moveWithCells="1">
                  <from>
                    <xdr:col>1</xdr:col>
                    <xdr:colOff>0</xdr:colOff>
                    <xdr:row>240</xdr:row>
                    <xdr:rowOff>9525</xdr:rowOff>
                  </from>
                  <to>
                    <xdr:col>3</xdr:col>
                    <xdr:colOff>495300</xdr:colOff>
                    <xdr:row>242</xdr:row>
                    <xdr:rowOff>0</xdr:rowOff>
                  </to>
                </anchor>
              </controlPr>
            </control>
          </mc:Choice>
        </mc:AlternateContent>
        <mc:AlternateContent xmlns:mc="http://schemas.openxmlformats.org/markup-compatibility/2006">
          <mc:Choice Requires="x14">
            <control shapeId="12161158" r:id="rId15" name="Drop Down 238726">
              <controlPr defaultSize="0" autoLine="0" autoPict="0">
                <anchor moveWithCells="1">
                  <from>
                    <xdr:col>5</xdr:col>
                    <xdr:colOff>0</xdr:colOff>
                    <xdr:row>240</xdr:row>
                    <xdr:rowOff>0</xdr:rowOff>
                  </from>
                  <to>
                    <xdr:col>8</xdr:col>
                    <xdr:colOff>142875</xdr:colOff>
                    <xdr:row>242</xdr:row>
                    <xdr:rowOff>0</xdr:rowOff>
                  </to>
                </anchor>
              </controlPr>
            </control>
          </mc:Choice>
        </mc:AlternateContent>
        <mc:AlternateContent xmlns:mc="http://schemas.openxmlformats.org/markup-compatibility/2006">
          <mc:Choice Requires="x14">
            <control shapeId="12161242" r:id="rId16" name="Drop Down 238810">
              <controlPr defaultSize="0" autoLine="0" autoPict="0">
                <anchor moveWithCells="1">
                  <from>
                    <xdr:col>1</xdr:col>
                    <xdr:colOff>9525</xdr:colOff>
                    <xdr:row>266</xdr:row>
                    <xdr:rowOff>142875</xdr:rowOff>
                  </from>
                  <to>
                    <xdr:col>3</xdr:col>
                    <xdr:colOff>0</xdr:colOff>
                    <xdr:row>269</xdr:row>
                    <xdr:rowOff>38100</xdr:rowOff>
                  </to>
                </anchor>
              </controlPr>
            </control>
          </mc:Choice>
        </mc:AlternateContent>
        <mc:AlternateContent xmlns:mc="http://schemas.openxmlformats.org/markup-compatibility/2006">
          <mc:Choice Requires="x14">
            <control shapeId="12161243" r:id="rId17" name="Drop Down 238811">
              <controlPr defaultSize="0" autoLine="0" autoPict="0">
                <anchor moveWithCells="1">
                  <from>
                    <xdr:col>5</xdr:col>
                    <xdr:colOff>0</xdr:colOff>
                    <xdr:row>266</xdr:row>
                    <xdr:rowOff>133350</xdr:rowOff>
                  </from>
                  <to>
                    <xdr:col>7</xdr:col>
                    <xdr:colOff>390525</xdr:colOff>
                    <xdr:row>269</xdr:row>
                    <xdr:rowOff>47625</xdr:rowOff>
                  </to>
                </anchor>
              </controlPr>
            </control>
          </mc:Choice>
        </mc:AlternateContent>
        <mc:AlternateContent xmlns:mc="http://schemas.openxmlformats.org/markup-compatibility/2006">
          <mc:Choice Requires="x14">
            <control shapeId="12161244" r:id="rId18" name="Drop Down 238812">
              <controlPr defaultSize="0" autoLine="0" autoPict="0">
                <anchor moveWithCells="1">
                  <from>
                    <xdr:col>1</xdr:col>
                    <xdr:colOff>9525</xdr:colOff>
                    <xdr:row>305</xdr:row>
                    <xdr:rowOff>9525</xdr:rowOff>
                  </from>
                  <to>
                    <xdr:col>3</xdr:col>
                    <xdr:colOff>0</xdr:colOff>
                    <xdr:row>307</xdr:row>
                    <xdr:rowOff>19050</xdr:rowOff>
                  </to>
                </anchor>
              </controlPr>
            </control>
          </mc:Choice>
        </mc:AlternateContent>
        <mc:AlternateContent xmlns:mc="http://schemas.openxmlformats.org/markup-compatibility/2006">
          <mc:Choice Requires="x14">
            <control shapeId="12161246" r:id="rId19" name="Drop Down 238814">
              <controlPr defaultSize="0" autoLine="0" autoPict="0">
                <anchor moveWithCells="1">
                  <from>
                    <xdr:col>5</xdr:col>
                    <xdr:colOff>0</xdr:colOff>
                    <xdr:row>305</xdr:row>
                    <xdr:rowOff>19050</xdr:rowOff>
                  </from>
                  <to>
                    <xdr:col>7</xdr:col>
                    <xdr:colOff>400050</xdr:colOff>
                    <xdr:row>307</xdr:row>
                    <xdr:rowOff>19050</xdr:rowOff>
                  </to>
                </anchor>
              </controlPr>
            </control>
          </mc:Choice>
        </mc:AlternateContent>
        <mc:AlternateContent xmlns:mc="http://schemas.openxmlformats.org/markup-compatibility/2006">
          <mc:Choice Requires="x14">
            <control shapeId="12161247" r:id="rId20" name="Drop Down 238815">
              <controlPr defaultSize="0" autoLine="0" autoPict="0">
                <anchor moveWithCells="1">
                  <from>
                    <xdr:col>1</xdr:col>
                    <xdr:colOff>0</xdr:colOff>
                    <xdr:row>348</xdr:row>
                    <xdr:rowOff>0</xdr:rowOff>
                  </from>
                  <to>
                    <xdr:col>5</xdr:col>
                    <xdr:colOff>9525</xdr:colOff>
                    <xdr:row>350</xdr:row>
                    <xdr:rowOff>28575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132"/>
  <sheetViews>
    <sheetView showGridLines="0" workbookViewId="0"/>
  </sheetViews>
  <sheetFormatPr defaultRowHeight="12.75"/>
  <cols>
    <col min="2" max="2" width="40.7109375" customWidth="1"/>
    <col min="3" max="13" width="11.7109375" customWidth="1"/>
  </cols>
  <sheetData>
    <row r="1" spans="1:13" s="66" customFormat="1" ht="15">
      <c r="A1" s="65" t="str">
        <f>ModelBanner</f>
        <v>TSM_201718 for publication</v>
      </c>
    </row>
    <row r="2" spans="1:13" s="66" customFormat="1" ht="15">
      <c r="A2" s="1003" t="s">
        <v>13</v>
      </c>
      <c r="B2" s="1003" t="s">
        <v>30</v>
      </c>
    </row>
    <row r="3" spans="1:13" s="66" customFormat="1" ht="15">
      <c r="A3" s="67"/>
    </row>
    <row r="4" spans="1:13" s="589" customFormat="1">
      <c r="A4" s="590" t="s">
        <v>26</v>
      </c>
      <c r="B4" s="590"/>
      <c r="C4" s="590"/>
      <c r="D4" s="590"/>
      <c r="E4" s="292"/>
      <c r="F4" s="590"/>
      <c r="G4" s="590"/>
      <c r="H4" s="590"/>
      <c r="I4" s="590"/>
    </row>
    <row r="5" spans="1:13" s="588" customFormat="1" ht="27" customHeight="1">
      <c r="A5" s="1100" t="s">
        <v>1728</v>
      </c>
      <c r="B5" s="1100"/>
      <c r="C5" s="1100"/>
      <c r="D5" s="1100"/>
      <c r="E5" s="1100"/>
      <c r="F5" s="1100"/>
      <c r="G5" s="1100"/>
      <c r="H5" s="1100"/>
      <c r="I5" s="1100"/>
      <c r="J5" s="1100"/>
      <c r="K5" s="1100"/>
      <c r="L5" s="1100"/>
      <c r="M5" s="59"/>
    </row>
    <row r="6" spans="1:13" s="585" customFormat="1">
      <c r="A6" s="587" t="s">
        <v>1420</v>
      </c>
      <c r="B6" s="61"/>
      <c r="C6" s="61"/>
      <c r="D6" s="61"/>
      <c r="E6" s="292"/>
      <c r="F6" s="61"/>
      <c r="G6" s="61"/>
      <c r="H6" s="61"/>
      <c r="I6" s="61"/>
      <c r="J6" s="45"/>
      <c r="K6" s="45"/>
      <c r="L6" s="45"/>
      <c r="M6" s="45"/>
    </row>
    <row r="7" spans="1:13" s="585" customFormat="1">
      <c r="A7" s="676" t="s">
        <v>1412</v>
      </c>
      <c r="B7" s="587"/>
      <c r="C7" s="61"/>
      <c r="D7" s="61"/>
      <c r="E7" s="292"/>
      <c r="F7" s="61"/>
      <c r="G7" s="61"/>
      <c r="H7" s="61"/>
      <c r="I7" s="61"/>
      <c r="J7" s="45"/>
      <c r="K7" s="45"/>
      <c r="L7" s="45"/>
      <c r="M7" s="45"/>
    </row>
    <row r="8" spans="1:13" s="585" customFormat="1">
      <c r="A8" s="587" t="s">
        <v>24</v>
      </c>
      <c r="B8" s="61"/>
      <c r="C8" s="61"/>
      <c r="D8" s="61"/>
      <c r="E8" s="292"/>
      <c r="F8" s="61"/>
      <c r="G8" s="61"/>
      <c r="H8" s="61"/>
      <c r="I8" s="61"/>
      <c r="J8" s="45"/>
      <c r="K8" s="45"/>
      <c r="L8" s="45"/>
      <c r="M8" s="45"/>
    </row>
    <row r="9" spans="1:13" s="585" customFormat="1">
      <c r="A9" s="586" t="s">
        <v>738</v>
      </c>
      <c r="B9" s="61"/>
      <c r="C9" s="61"/>
      <c r="D9" s="61"/>
      <c r="E9" s="292"/>
      <c r="F9" s="61"/>
      <c r="G9" s="61"/>
      <c r="H9" s="61"/>
      <c r="I9" s="61"/>
      <c r="J9" s="45"/>
      <c r="K9" s="45"/>
      <c r="L9" s="45"/>
      <c r="M9" s="45"/>
    </row>
    <row r="10" spans="1:13" s="583" customFormat="1">
      <c r="A10" s="584">
        <f>SUM(A12:A1873)</f>
        <v>0</v>
      </c>
      <c r="B10" s="73"/>
      <c r="C10" s="71"/>
      <c r="D10" s="48"/>
      <c r="E10" s="48"/>
      <c r="F10" s="48"/>
      <c r="G10" s="48"/>
      <c r="H10" s="72"/>
      <c r="I10" s="49"/>
      <c r="J10" s="49"/>
      <c r="K10" s="49"/>
      <c r="L10" s="49"/>
      <c r="M10" s="49"/>
    </row>
    <row r="11" spans="1:13">
      <c r="A11" s="309"/>
      <c r="B11" s="309"/>
      <c r="C11" s="309"/>
      <c r="D11" s="309"/>
      <c r="E11" s="309"/>
      <c r="F11" s="309"/>
      <c r="G11" s="309"/>
      <c r="H11" s="309"/>
      <c r="I11" s="309"/>
      <c r="J11" s="309"/>
      <c r="K11" s="309"/>
      <c r="L11" s="309"/>
    </row>
    <row r="12" spans="1:13" ht="15.75">
      <c r="A12" s="309"/>
      <c r="B12" s="340" t="s">
        <v>1529</v>
      </c>
      <c r="C12" s="309"/>
      <c r="D12" s="309"/>
      <c r="E12" s="309"/>
      <c r="F12" s="309"/>
      <c r="G12" s="309"/>
      <c r="H12" s="309"/>
      <c r="I12" s="309"/>
      <c r="J12" s="309"/>
      <c r="K12" s="309"/>
      <c r="L12" s="309"/>
    </row>
    <row r="13" spans="1:13">
      <c r="A13" s="309"/>
      <c r="B13" s="309"/>
      <c r="C13" s="309"/>
      <c r="D13" s="309"/>
      <c r="E13" s="309"/>
      <c r="F13" s="309"/>
      <c r="G13" s="309"/>
      <c r="H13" s="309"/>
      <c r="I13" s="309"/>
      <c r="J13" s="309"/>
      <c r="K13" s="309"/>
      <c r="L13" s="309"/>
    </row>
    <row r="14" spans="1:13">
      <c r="A14" s="309"/>
      <c r="B14" s="326"/>
      <c r="C14" s="326" t="str">
        <f>OUTPUTS_FOR_SECTION_2_OF_MODEL!E64</f>
        <v>2018/19</v>
      </c>
      <c r="D14" s="326" t="str">
        <f>OUTPUTS_FOR_SECTION_2_OF_MODEL!F64</f>
        <v>2019/20</v>
      </c>
      <c r="E14" s="326" t="str">
        <f>OUTPUTS_FOR_SECTION_2_OF_MODEL!G64</f>
        <v>2020/21</v>
      </c>
      <c r="F14" s="326" t="str">
        <f>OUTPUTS_FOR_SECTION_2_OF_MODEL!H64</f>
        <v>2021/22</v>
      </c>
      <c r="G14" s="326" t="str">
        <f>OUTPUTS_FOR_SECTION_2_OF_MODEL!I64</f>
        <v>2022/23</v>
      </c>
      <c r="H14" s="326" t="str">
        <f>OUTPUTS_FOR_SECTION_2_OF_MODEL!J64</f>
        <v>2023/24</v>
      </c>
      <c r="I14" s="326" t="str">
        <f>OUTPUTS_FOR_SECTION_2_OF_MODEL!K64</f>
        <v>2024/25</v>
      </c>
      <c r="J14" s="326" t="str">
        <f>OUTPUTS_FOR_SECTION_2_OF_MODEL!L64</f>
        <v>2025/26</v>
      </c>
      <c r="K14" s="326" t="str">
        <f>OUTPUTS_FOR_SECTION_2_OF_MODEL!M64</f>
        <v>2026/27</v>
      </c>
      <c r="L14" s="326" t="str">
        <f>OUTPUTS_FOR_SECTION_2_OF_MODEL!N64</f>
        <v>2027/28</v>
      </c>
    </row>
    <row r="15" spans="1:13">
      <c r="A15" s="309"/>
      <c r="B15" s="672" t="str">
        <f>OUTPUTS_FOR_SECTION_2_OF_MODEL!B84</f>
        <v>Religious Education</v>
      </c>
      <c r="C15" s="307">
        <f>OUTPUTS_FOR_SECTION_2_OF_MODEL!E84</f>
        <v>931.01598996858297</v>
      </c>
      <c r="D15" s="307">
        <f>OUTPUTS_FOR_SECTION_2_OF_MODEL!F84</f>
        <v>869.6491609035586</v>
      </c>
      <c r="E15" s="307">
        <f>OUTPUTS_FOR_SECTION_2_OF_MODEL!G84</f>
        <v>859.61255847662369</v>
      </c>
      <c r="F15" s="307">
        <f>OUTPUTS_FOR_SECTION_2_OF_MODEL!H84</f>
        <v>856.12941752747361</v>
      </c>
      <c r="G15" s="307">
        <f>OUTPUTS_FOR_SECTION_2_OF_MODEL!I84</f>
        <v>860.61204165418258</v>
      </c>
      <c r="H15" s="307">
        <f>OUTPUTS_FOR_SECTION_2_OF_MODEL!J84</f>
        <v>858.62926053302999</v>
      </c>
      <c r="I15" s="307">
        <f>OUTPUTS_FOR_SECTION_2_OF_MODEL!K84</f>
        <v>819.65340700371758</v>
      </c>
      <c r="J15" s="307">
        <f>OUTPUTS_FOR_SECTION_2_OF_MODEL!L84</f>
        <v>803.41817740504644</v>
      </c>
      <c r="K15" s="307">
        <f>OUTPUTS_FOR_SECTION_2_OF_MODEL!M84</f>
        <v>789.95652782432785</v>
      </c>
      <c r="L15" s="307">
        <f>OUTPUTS_FOR_SECTION_2_OF_MODEL!N84</f>
        <v>787.98840072046607</v>
      </c>
    </row>
    <row r="16" spans="1:13">
      <c r="A16" s="309"/>
      <c r="B16" s="309"/>
      <c r="C16" s="309"/>
      <c r="D16" s="309"/>
      <c r="E16" s="309"/>
      <c r="F16" s="309"/>
      <c r="G16" s="309"/>
      <c r="H16" s="309"/>
      <c r="I16" s="309"/>
      <c r="J16" s="309"/>
      <c r="K16" s="309"/>
      <c r="L16" s="309"/>
    </row>
    <row r="17" spans="1:12" ht="15.75">
      <c r="A17" s="309"/>
      <c r="B17" s="671" t="s">
        <v>1506</v>
      </c>
      <c r="C17" s="309"/>
      <c r="D17" s="1252" t="s">
        <v>737</v>
      </c>
      <c r="E17" s="1252"/>
      <c r="F17" s="1252"/>
      <c r="G17" s="1252"/>
      <c r="H17" s="1252"/>
      <c r="I17" s="1252"/>
      <c r="J17" s="1252"/>
      <c r="K17" s="1252"/>
      <c r="L17" s="1252"/>
    </row>
    <row r="18" spans="1:12">
      <c r="A18" s="309"/>
      <c r="B18" s="309"/>
      <c r="C18" s="309"/>
      <c r="D18" s="1252"/>
      <c r="E18" s="1252"/>
      <c r="F18" s="1252"/>
      <c r="G18" s="1252"/>
      <c r="H18" s="1252"/>
      <c r="I18" s="1252"/>
      <c r="J18" s="1252"/>
      <c r="K18" s="1252"/>
      <c r="L18" s="1252"/>
    </row>
    <row r="19" spans="1:12">
      <c r="A19" s="309"/>
      <c r="B19" s="326"/>
      <c r="C19" s="326" t="s">
        <v>91</v>
      </c>
      <c r="D19" s="309"/>
      <c r="E19" s="309"/>
      <c r="F19" s="309"/>
      <c r="G19" s="309"/>
      <c r="H19" s="309"/>
      <c r="I19" s="309"/>
      <c r="J19" s="309"/>
      <c r="K19" s="309"/>
      <c r="L19" s="309"/>
    </row>
    <row r="20" spans="1:12">
      <c r="A20" s="309"/>
      <c r="B20" s="326" t="str">
        <f>RAW_DATA_INPUTS!B573</f>
        <v>Secondary</v>
      </c>
      <c r="C20" s="558">
        <f>RAW_DATA_INPUTS!C573</f>
        <v>0.93100000000000005</v>
      </c>
      <c r="D20" s="309"/>
      <c r="E20" s="309"/>
      <c r="F20" s="309"/>
      <c r="G20" s="309"/>
      <c r="H20" s="309"/>
      <c r="I20" s="309"/>
      <c r="J20" s="309"/>
      <c r="K20" s="309"/>
      <c r="L20" s="309"/>
    </row>
    <row r="21" spans="1:12">
      <c r="A21" s="309"/>
      <c r="B21" s="309"/>
      <c r="C21" s="309"/>
      <c r="D21" s="309"/>
      <c r="E21" s="309"/>
      <c r="F21" s="309"/>
      <c r="G21" s="309"/>
      <c r="H21" s="309"/>
      <c r="I21" s="309"/>
      <c r="J21" s="309"/>
      <c r="K21" s="309"/>
      <c r="L21" s="309"/>
    </row>
    <row r="22" spans="1:12" ht="15.75">
      <c r="A22" s="309"/>
      <c r="B22" s="340" t="s">
        <v>1623</v>
      </c>
      <c r="C22" s="309"/>
      <c r="D22" s="309"/>
      <c r="E22" s="309"/>
      <c r="F22" s="309"/>
      <c r="G22" s="309"/>
      <c r="H22" s="309"/>
      <c r="I22" s="309"/>
      <c r="J22" s="309"/>
      <c r="K22" s="309"/>
      <c r="L22" s="309"/>
    </row>
    <row r="23" spans="1:12">
      <c r="A23" s="309"/>
      <c r="B23" s="309"/>
      <c r="C23" s="309"/>
      <c r="D23" s="309"/>
      <c r="E23" s="309"/>
      <c r="F23" s="309"/>
      <c r="G23" s="309"/>
      <c r="H23" s="309"/>
      <c r="I23" s="309"/>
      <c r="J23" s="309"/>
      <c r="K23" s="309"/>
      <c r="L23" s="309"/>
    </row>
    <row r="24" spans="1:12">
      <c r="A24" s="309"/>
      <c r="B24" s="341" t="s">
        <v>741</v>
      </c>
      <c r="C24" s="309"/>
      <c r="D24" s="364" t="s">
        <v>1624</v>
      </c>
      <c r="E24" s="309"/>
      <c r="F24" s="309"/>
      <c r="G24" s="309"/>
      <c r="H24" s="309"/>
      <c r="I24" s="309"/>
      <c r="J24" s="309"/>
      <c r="K24" s="309"/>
      <c r="L24" s="309"/>
    </row>
    <row r="25" spans="1:12">
      <c r="A25" s="309"/>
      <c r="B25" s="309"/>
      <c r="C25" s="309"/>
      <c r="D25" s="309"/>
      <c r="E25" s="309"/>
      <c r="F25" s="309"/>
      <c r="G25" s="309"/>
      <c r="H25" s="309"/>
      <c r="I25" s="309"/>
      <c r="J25" s="309"/>
      <c r="K25" s="309"/>
      <c r="L25" s="309"/>
    </row>
    <row r="26" spans="1:12">
      <c r="A26" s="309"/>
      <c r="B26" s="309"/>
      <c r="C26" s="326" t="str">
        <f t="shared" ref="C26:L26" si="0">C14</f>
        <v>2018/19</v>
      </c>
      <c r="D26" s="326" t="str">
        <f t="shared" si="0"/>
        <v>2019/20</v>
      </c>
      <c r="E26" s="326" t="str">
        <f t="shared" si="0"/>
        <v>2020/21</v>
      </c>
      <c r="F26" s="326" t="str">
        <f t="shared" si="0"/>
        <v>2021/22</v>
      </c>
      <c r="G26" s="326" t="str">
        <f t="shared" si="0"/>
        <v>2022/23</v>
      </c>
      <c r="H26" s="326" t="str">
        <f t="shared" si="0"/>
        <v>2023/24</v>
      </c>
      <c r="I26" s="326" t="str">
        <f t="shared" si="0"/>
        <v>2024/25</v>
      </c>
      <c r="J26" s="326" t="str">
        <f t="shared" si="0"/>
        <v>2025/26</v>
      </c>
      <c r="K26" s="326" t="str">
        <f t="shared" si="0"/>
        <v>2026/27</v>
      </c>
      <c r="L26" s="326" t="str">
        <f t="shared" si="0"/>
        <v>2027/28</v>
      </c>
    </row>
    <row r="27" spans="1:12">
      <c r="A27" s="309"/>
      <c r="B27" s="326" t="str">
        <f>Data_selected_by_user_testing!C131</f>
        <v>New to state-funded sector</v>
      </c>
      <c r="C27" s="652">
        <f>Data_selected_by_user_testing!D138</f>
        <v>0.14759014262490319</v>
      </c>
      <c r="D27" s="163">
        <f>C27</f>
        <v>0.14759014262490319</v>
      </c>
      <c r="E27" s="163">
        <f t="shared" ref="E27:L27" si="1">D27</f>
        <v>0.14759014262490319</v>
      </c>
      <c r="F27" s="163">
        <f t="shared" si="1"/>
        <v>0.14759014262490319</v>
      </c>
      <c r="G27" s="163">
        <f t="shared" si="1"/>
        <v>0.14759014262490319</v>
      </c>
      <c r="H27" s="163">
        <f t="shared" si="1"/>
        <v>0.14759014262490319</v>
      </c>
      <c r="I27" s="163">
        <f t="shared" si="1"/>
        <v>0.14759014262490319</v>
      </c>
      <c r="J27" s="163">
        <f t="shared" si="1"/>
        <v>0.14759014262490319</v>
      </c>
      <c r="K27" s="163">
        <f t="shared" si="1"/>
        <v>0.14759014262490319</v>
      </c>
      <c r="L27" s="163">
        <f t="shared" si="1"/>
        <v>0.14759014262490319</v>
      </c>
    </row>
    <row r="28" spans="1:12">
      <c r="A28" s="309"/>
      <c r="B28" s="326" t="str">
        <f>Data_selected_by_user_testing!C132</f>
        <v>Re-entrants</v>
      </c>
      <c r="C28" s="652">
        <f>Data_selected_by_user_testing!D139</f>
        <v>0.35016108614476826</v>
      </c>
      <c r="D28" s="163">
        <f t="shared" ref="D28:L29" si="2">C28</f>
        <v>0.35016108614476826</v>
      </c>
      <c r="E28" s="163">
        <f t="shared" si="2"/>
        <v>0.35016108614476826</v>
      </c>
      <c r="F28" s="163">
        <f t="shared" si="2"/>
        <v>0.35016108614476826</v>
      </c>
      <c r="G28" s="163">
        <f t="shared" si="2"/>
        <v>0.35016108614476826</v>
      </c>
      <c r="H28" s="163">
        <f t="shared" si="2"/>
        <v>0.35016108614476826</v>
      </c>
      <c r="I28" s="163">
        <f t="shared" si="2"/>
        <v>0.35016108614476826</v>
      </c>
      <c r="J28" s="163">
        <f t="shared" si="2"/>
        <v>0.35016108614476826</v>
      </c>
      <c r="K28" s="163">
        <f t="shared" si="2"/>
        <v>0.35016108614476826</v>
      </c>
      <c r="L28" s="163">
        <f t="shared" si="2"/>
        <v>0.35016108614476826</v>
      </c>
    </row>
    <row r="29" spans="1:12">
      <c r="A29" s="309"/>
      <c r="B29" s="326" t="str">
        <f>Data_selected_by_user_testing!C133</f>
        <v>NQTs</v>
      </c>
      <c r="C29" s="652">
        <f>Data_selected_by_user_testing!D140</f>
        <v>0.50224877123032852</v>
      </c>
      <c r="D29" s="163">
        <f t="shared" si="2"/>
        <v>0.50224877123032852</v>
      </c>
      <c r="E29" s="163">
        <f t="shared" si="2"/>
        <v>0.50224877123032852</v>
      </c>
      <c r="F29" s="163">
        <f t="shared" si="2"/>
        <v>0.50224877123032852</v>
      </c>
      <c r="G29" s="163">
        <f t="shared" si="2"/>
        <v>0.50224877123032852</v>
      </c>
      <c r="H29" s="163">
        <f t="shared" si="2"/>
        <v>0.50224877123032852</v>
      </c>
      <c r="I29" s="163">
        <f t="shared" si="2"/>
        <v>0.50224877123032852</v>
      </c>
      <c r="J29" s="163">
        <f t="shared" si="2"/>
        <v>0.50224877123032852</v>
      </c>
      <c r="K29" s="163">
        <f t="shared" si="2"/>
        <v>0.50224877123032852</v>
      </c>
      <c r="L29" s="163">
        <f t="shared" si="2"/>
        <v>0.50224877123032852</v>
      </c>
    </row>
    <row r="30" spans="1:12">
      <c r="A30" s="309"/>
      <c r="B30" s="309"/>
      <c r="C30" s="327"/>
      <c r="D30" s="309"/>
      <c r="E30" s="309"/>
      <c r="F30" s="309"/>
      <c r="G30" s="309"/>
      <c r="H30" s="309"/>
      <c r="I30" s="309"/>
      <c r="J30" s="309"/>
      <c r="K30" s="309"/>
      <c r="L30" s="309"/>
    </row>
    <row r="31" spans="1:12">
      <c r="A31" s="309"/>
      <c r="B31" s="341" t="s">
        <v>1516</v>
      </c>
      <c r="C31" s="327"/>
      <c r="D31" s="364" t="s">
        <v>735</v>
      </c>
      <c r="E31" s="309"/>
      <c r="F31" s="309"/>
      <c r="G31" s="309"/>
      <c r="H31" s="309"/>
      <c r="I31" s="309"/>
      <c r="J31" s="309"/>
      <c r="K31" s="309"/>
      <c r="L31" s="309"/>
    </row>
    <row r="32" spans="1:12">
      <c r="A32" s="309"/>
      <c r="B32" s="309"/>
      <c r="C32" s="327"/>
      <c r="D32" s="309"/>
      <c r="E32" s="309"/>
      <c r="F32" s="309"/>
      <c r="G32" s="309"/>
      <c r="H32" s="309"/>
      <c r="I32" s="309"/>
      <c r="J32" s="309"/>
      <c r="K32" s="309"/>
      <c r="L32" s="309"/>
    </row>
    <row r="33" spans="1:12">
      <c r="A33" s="309"/>
      <c r="B33" s="326" t="str">
        <f>B27</f>
        <v>New to state-funded sector</v>
      </c>
      <c r="C33" s="652">
        <f>'Calc_SEC_part-time_entrants'!G47</f>
        <v>0.14577851707120576</v>
      </c>
      <c r="D33" s="309"/>
      <c r="E33" s="309"/>
      <c r="F33" s="309"/>
      <c r="G33" s="309"/>
      <c r="H33" s="309"/>
      <c r="I33" s="309"/>
      <c r="J33" s="309"/>
      <c r="K33" s="309"/>
      <c r="L33" s="309"/>
    </row>
    <row r="34" spans="1:12">
      <c r="A34" s="309"/>
      <c r="B34" s="326" t="str">
        <f>B28</f>
        <v>Re-entrants</v>
      </c>
      <c r="C34" s="652">
        <f>'Calc_SEC_part-time_entrants'!G48</f>
        <v>0.29373104090513613</v>
      </c>
      <c r="D34" s="309"/>
      <c r="E34" s="309"/>
      <c r="F34" s="309"/>
      <c r="G34" s="309"/>
      <c r="H34" s="309"/>
      <c r="I34" s="309"/>
      <c r="J34" s="309"/>
      <c r="K34" s="309"/>
      <c r="L34" s="309"/>
    </row>
    <row r="35" spans="1:12">
      <c r="A35" s="309"/>
      <c r="B35" s="326" t="str">
        <f>B29</f>
        <v>NQTs</v>
      </c>
      <c r="C35" s="652">
        <f>'Calc_SEC_part-time_entrants'!G49</f>
        <v>3.8663210494639715E-2</v>
      </c>
      <c r="D35" s="309"/>
      <c r="E35" s="309"/>
      <c r="F35" s="309"/>
      <c r="G35" s="309"/>
      <c r="H35" s="309"/>
      <c r="I35" s="309"/>
      <c r="J35" s="309"/>
      <c r="K35" s="309"/>
      <c r="L35" s="309"/>
    </row>
    <row r="36" spans="1:12">
      <c r="A36" s="309"/>
      <c r="B36" s="309"/>
      <c r="C36" s="327"/>
      <c r="D36" s="309"/>
      <c r="E36" s="309"/>
      <c r="F36" s="309"/>
      <c r="G36" s="309"/>
      <c r="H36" s="309"/>
      <c r="I36" s="309"/>
      <c r="J36" s="309"/>
      <c r="K36" s="309"/>
      <c r="L36" s="309"/>
    </row>
    <row r="37" spans="1:12">
      <c r="A37" s="309"/>
      <c r="B37" s="341" t="s">
        <v>1517</v>
      </c>
      <c r="C37" s="327"/>
      <c r="D37" s="364" t="s">
        <v>734</v>
      </c>
      <c r="E37" s="309"/>
      <c r="F37" s="309"/>
      <c r="G37" s="309"/>
      <c r="H37" s="309"/>
      <c r="I37" s="309"/>
      <c r="J37" s="309"/>
      <c r="K37" s="309"/>
      <c r="L37" s="309"/>
    </row>
    <row r="38" spans="1:12">
      <c r="A38" s="309"/>
      <c r="B38" s="309"/>
      <c r="C38" s="327"/>
      <c r="D38" s="309"/>
      <c r="E38" s="309"/>
      <c r="F38" s="309"/>
      <c r="G38" s="309"/>
      <c r="H38" s="309"/>
      <c r="I38" s="309"/>
      <c r="J38" s="309"/>
      <c r="K38" s="309"/>
      <c r="L38" s="309"/>
    </row>
    <row r="39" spans="1:12">
      <c r="A39" s="309"/>
      <c r="B39" s="326" t="s">
        <v>733</v>
      </c>
      <c r="C39" s="558">
        <f>RAW_DATA_INPUTS!C425</f>
        <v>0.61799999999999999</v>
      </c>
      <c r="D39" s="309"/>
      <c r="E39" s="309"/>
      <c r="F39" s="309"/>
      <c r="G39" s="309"/>
      <c r="H39" s="309"/>
      <c r="I39" s="309"/>
      <c r="J39" s="309"/>
      <c r="K39" s="309"/>
      <c r="L39" s="309"/>
    </row>
    <row r="40" spans="1:12">
      <c r="A40" s="309"/>
      <c r="B40" s="309"/>
      <c r="C40" s="309"/>
      <c r="D40" s="309"/>
      <c r="E40" s="309"/>
      <c r="F40" s="309"/>
      <c r="G40" s="309"/>
      <c r="H40" s="309"/>
      <c r="I40" s="309"/>
      <c r="J40" s="309"/>
      <c r="K40" s="309"/>
      <c r="L40" s="309"/>
    </row>
    <row r="41" spans="1:12">
      <c r="A41" s="309"/>
      <c r="B41" s="364" t="s">
        <v>740</v>
      </c>
      <c r="C41" s="309"/>
      <c r="D41" s="670">
        <f>C20</f>
        <v>0.93100000000000005</v>
      </c>
      <c r="E41" s="364" t="s">
        <v>1707</v>
      </c>
      <c r="F41" s="309"/>
      <c r="G41" s="309"/>
      <c r="H41" s="309"/>
      <c r="I41" s="309"/>
      <c r="J41" s="309"/>
      <c r="K41" s="309"/>
      <c r="L41" s="309"/>
    </row>
    <row r="42" spans="1:12">
      <c r="A42" s="309"/>
      <c r="B42" s="364"/>
      <c r="C42" s="309"/>
      <c r="D42" s="670"/>
      <c r="E42" s="364"/>
      <c r="F42" s="309"/>
      <c r="G42" s="309"/>
      <c r="H42" s="309"/>
      <c r="I42" s="309"/>
      <c r="J42" s="309"/>
      <c r="K42" s="309"/>
      <c r="L42" s="309"/>
    </row>
    <row r="43" spans="1:12">
      <c r="A43" s="309"/>
      <c r="B43" s="309"/>
      <c r="C43" s="326" t="str">
        <f t="shared" ref="C43:L43" si="3">C14</f>
        <v>2018/19</v>
      </c>
      <c r="D43" s="326" t="str">
        <f t="shared" si="3"/>
        <v>2019/20</v>
      </c>
      <c r="E43" s="326" t="str">
        <f t="shared" si="3"/>
        <v>2020/21</v>
      </c>
      <c r="F43" s="326" t="str">
        <f t="shared" si="3"/>
        <v>2021/22</v>
      </c>
      <c r="G43" s="326" t="str">
        <f t="shared" si="3"/>
        <v>2022/23</v>
      </c>
      <c r="H43" s="326" t="str">
        <f t="shared" si="3"/>
        <v>2023/24</v>
      </c>
      <c r="I43" s="326" t="str">
        <f t="shared" si="3"/>
        <v>2024/25</v>
      </c>
      <c r="J43" s="326" t="str">
        <f t="shared" si="3"/>
        <v>2025/26</v>
      </c>
      <c r="K43" s="326" t="str">
        <f t="shared" si="3"/>
        <v>2026/27</v>
      </c>
      <c r="L43" s="326" t="str">
        <f t="shared" si="3"/>
        <v>2027/28</v>
      </c>
    </row>
    <row r="44" spans="1:12">
      <c r="A44" s="309"/>
      <c r="B44" s="326" t="s">
        <v>801</v>
      </c>
      <c r="C44" s="459">
        <f t="shared" ref="C44:L44" si="4">C15*$C$20</f>
        <v>866.77588666075076</v>
      </c>
      <c r="D44" s="459">
        <f t="shared" si="4"/>
        <v>809.64336880121311</v>
      </c>
      <c r="E44" s="459">
        <f t="shared" si="4"/>
        <v>800.29929194173667</v>
      </c>
      <c r="F44" s="459">
        <f t="shared" si="4"/>
        <v>797.05648771807796</v>
      </c>
      <c r="G44" s="459">
        <f t="shared" si="4"/>
        <v>801.22981078004398</v>
      </c>
      <c r="H44" s="459">
        <f t="shared" si="4"/>
        <v>799.38384155625101</v>
      </c>
      <c r="I44" s="459">
        <f t="shared" si="4"/>
        <v>763.09732192046113</v>
      </c>
      <c r="J44" s="459">
        <f t="shared" si="4"/>
        <v>747.98232316409826</v>
      </c>
      <c r="K44" s="459">
        <f t="shared" si="4"/>
        <v>735.44952740444921</v>
      </c>
      <c r="L44" s="459">
        <f t="shared" si="4"/>
        <v>733.61720107075394</v>
      </c>
    </row>
    <row r="45" spans="1:12">
      <c r="A45" s="309"/>
      <c r="B45" s="309"/>
      <c r="C45" s="309"/>
      <c r="D45" s="309"/>
      <c r="E45" s="309"/>
      <c r="F45" s="309"/>
      <c r="G45" s="309"/>
      <c r="H45" s="309"/>
      <c r="I45" s="309"/>
      <c r="J45" s="309"/>
      <c r="K45" s="309"/>
      <c r="L45" s="309"/>
    </row>
    <row r="46" spans="1:12">
      <c r="A46" s="309"/>
      <c r="B46" s="1251" t="s">
        <v>1708</v>
      </c>
      <c r="C46" s="1251"/>
      <c r="D46" s="1251"/>
      <c r="E46" s="1251"/>
      <c r="F46" s="1251"/>
      <c r="G46" s="1251"/>
      <c r="H46" s="1251"/>
      <c r="I46" s="1251"/>
      <c r="J46" s="1251"/>
      <c r="K46" s="1251"/>
      <c r="L46" s="1251"/>
    </row>
    <row r="47" spans="1:12">
      <c r="A47" s="309"/>
      <c r="B47" s="1251"/>
      <c r="C47" s="1251"/>
      <c r="D47" s="1251"/>
      <c r="E47" s="1251"/>
      <c r="F47" s="1251"/>
      <c r="G47" s="1251"/>
      <c r="H47" s="1251"/>
      <c r="I47" s="1251"/>
      <c r="J47" s="1251"/>
      <c r="K47" s="1251"/>
      <c r="L47" s="1251"/>
    </row>
    <row r="48" spans="1:12">
      <c r="A48" s="309"/>
      <c r="B48" s="309"/>
      <c r="C48" s="309"/>
      <c r="D48" s="309"/>
      <c r="E48" s="309"/>
      <c r="F48" s="309"/>
      <c r="G48" s="309"/>
      <c r="H48" s="309"/>
      <c r="I48" s="309"/>
      <c r="J48" s="309"/>
      <c r="K48" s="309"/>
      <c r="L48" s="309"/>
    </row>
    <row r="49" spans="1:12" ht="89.25">
      <c r="A49" s="309"/>
      <c r="B49" s="309"/>
      <c r="C49" s="338" t="s">
        <v>731</v>
      </c>
      <c r="D49" s="338" t="s">
        <v>730</v>
      </c>
      <c r="E49" s="338" t="s">
        <v>1625</v>
      </c>
      <c r="F49" s="338" t="s">
        <v>1626</v>
      </c>
      <c r="G49" s="669" t="s">
        <v>729</v>
      </c>
      <c r="H49" s="669" t="s">
        <v>728</v>
      </c>
      <c r="I49" s="669" t="s">
        <v>727</v>
      </c>
      <c r="J49" s="669" t="s">
        <v>726</v>
      </c>
      <c r="K49" s="668"/>
      <c r="L49" s="309"/>
    </row>
    <row r="50" spans="1:12">
      <c r="A50" s="309"/>
      <c r="B50" s="326" t="str">
        <f t="shared" ref="B50:C52" si="5">B27</f>
        <v>New to state-funded sector</v>
      </c>
      <c r="C50" s="652">
        <f t="shared" si="5"/>
        <v>0.14759014262490319</v>
      </c>
      <c r="D50" s="667">
        <f>100*C50</f>
        <v>14.75901426249032</v>
      </c>
      <c r="E50" s="459">
        <f>D50-F50</f>
        <v>12.607467049871705</v>
      </c>
      <c r="F50" s="459">
        <f>D50*C33</f>
        <v>2.1515472126186146</v>
      </c>
      <c r="G50" s="459">
        <f>E50</f>
        <v>12.607467049871705</v>
      </c>
      <c r="H50" s="459">
        <f>F50*$C$39</f>
        <v>1.3296561773983038</v>
      </c>
      <c r="I50" s="459">
        <f>G50+H50</f>
        <v>13.937123227270009</v>
      </c>
      <c r="J50" s="1250">
        <f>SUM(I50:I52)</f>
        <v>94.50732886806351</v>
      </c>
      <c r="K50" s="309"/>
      <c r="L50" s="309"/>
    </row>
    <row r="51" spans="1:12">
      <c r="A51" s="309"/>
      <c r="B51" s="326" t="str">
        <f t="shared" si="5"/>
        <v>Re-entrants</v>
      </c>
      <c r="C51" s="652">
        <f t="shared" si="5"/>
        <v>0.35016108614476826</v>
      </c>
      <c r="D51" s="667">
        <f>100*C51</f>
        <v>35.016108614476828</v>
      </c>
      <c r="E51" s="459">
        <f>D51-F51</f>
        <v>24.730790582699242</v>
      </c>
      <c r="F51" s="459">
        <f>D51*C34</f>
        <v>10.285318031777583</v>
      </c>
      <c r="G51" s="459">
        <f>E51</f>
        <v>24.730790582699242</v>
      </c>
      <c r="H51" s="459">
        <f>F51*$C$39</f>
        <v>6.3563265436385468</v>
      </c>
      <c r="I51" s="459">
        <f>G51+H51</f>
        <v>31.087117126337787</v>
      </c>
      <c r="J51" s="1250"/>
      <c r="K51" s="309"/>
      <c r="L51" s="309"/>
    </row>
    <row r="52" spans="1:12">
      <c r="A52" s="309"/>
      <c r="B52" s="326" t="str">
        <f t="shared" si="5"/>
        <v>NQTs</v>
      </c>
      <c r="C52" s="652">
        <f t="shared" si="5"/>
        <v>0.50224877123032852</v>
      </c>
      <c r="D52" s="667">
        <f>100*C52</f>
        <v>50.224877123032854</v>
      </c>
      <c r="E52" s="459">
        <f>D52-F52</f>
        <v>48.283022126757622</v>
      </c>
      <c r="F52" s="459">
        <f>D52*C35</f>
        <v>1.9418549962752341</v>
      </c>
      <c r="G52" s="459">
        <f>E52</f>
        <v>48.283022126757622</v>
      </c>
      <c r="H52" s="459">
        <f>F52*$C$39</f>
        <v>1.2000663876980946</v>
      </c>
      <c r="I52" s="459">
        <f>G52+H52</f>
        <v>49.483088514455716</v>
      </c>
      <c r="J52" s="1250"/>
      <c r="K52" s="309"/>
      <c r="L52" s="309"/>
    </row>
    <row r="53" spans="1:12">
      <c r="A53" s="309"/>
      <c r="B53" s="309"/>
      <c r="C53" s="309"/>
      <c r="D53" s="309"/>
      <c r="E53" s="309"/>
      <c r="F53" s="309"/>
      <c r="G53" s="309"/>
      <c r="H53" s="309"/>
      <c r="I53" s="309"/>
      <c r="J53" s="309"/>
      <c r="K53" s="309"/>
      <c r="L53" s="309"/>
    </row>
    <row r="54" spans="1:12">
      <c r="A54" s="309"/>
      <c r="B54" s="341" t="s">
        <v>807</v>
      </c>
      <c r="C54" s="309"/>
      <c r="D54" s="309"/>
      <c r="E54" s="309"/>
      <c r="F54" s="309"/>
      <c r="G54" s="309"/>
      <c r="H54" s="309"/>
      <c r="I54" s="309"/>
      <c r="J54" s="309"/>
      <c r="K54" s="309"/>
      <c r="L54" s="309"/>
    </row>
    <row r="55" spans="1:12">
      <c r="A55" s="309"/>
      <c r="B55" s="341"/>
      <c r="C55" s="309"/>
      <c r="D55" s="309"/>
      <c r="E55" s="309"/>
      <c r="F55" s="309"/>
      <c r="G55" s="309"/>
      <c r="H55" s="309"/>
      <c r="I55" s="309"/>
      <c r="J55" s="309"/>
      <c r="K55" s="309"/>
      <c r="L55" s="309"/>
    </row>
    <row r="56" spans="1:12">
      <c r="A56" s="309"/>
      <c r="B56" s="309"/>
      <c r="C56" s="326" t="str">
        <f>C26</f>
        <v>2018/19</v>
      </c>
      <c r="D56" s="326" t="str">
        <f t="shared" ref="D56:L56" si="6">D26</f>
        <v>2019/20</v>
      </c>
      <c r="E56" s="326" t="str">
        <f t="shared" si="6"/>
        <v>2020/21</v>
      </c>
      <c r="F56" s="326" t="str">
        <f t="shared" si="6"/>
        <v>2021/22</v>
      </c>
      <c r="G56" s="326" t="str">
        <f t="shared" si="6"/>
        <v>2022/23</v>
      </c>
      <c r="H56" s="326" t="str">
        <f t="shared" si="6"/>
        <v>2023/24</v>
      </c>
      <c r="I56" s="326" t="str">
        <f t="shared" si="6"/>
        <v>2024/25</v>
      </c>
      <c r="J56" s="326" t="str">
        <f t="shared" si="6"/>
        <v>2025/26</v>
      </c>
      <c r="K56" s="326" t="str">
        <f t="shared" si="6"/>
        <v>2026/27</v>
      </c>
      <c r="L56" s="326" t="str">
        <f t="shared" si="6"/>
        <v>2027/28</v>
      </c>
    </row>
    <row r="57" spans="1:12">
      <c r="A57" s="309"/>
      <c r="B57" s="326" t="s">
        <v>807</v>
      </c>
      <c r="C57" s="459">
        <f>C44/$J$50</f>
        <v>9.1715203153271734</v>
      </c>
      <c r="D57" s="459">
        <f t="shared" ref="D57:L57" si="7">D44/$J$50</f>
        <v>8.5669902905785413</v>
      </c>
      <c r="E57" s="459">
        <f t="shared" si="7"/>
        <v>8.4681188382648145</v>
      </c>
      <c r="F57" s="459">
        <f t="shared" si="7"/>
        <v>8.4338061107494084</v>
      </c>
      <c r="G57" s="459">
        <f t="shared" si="7"/>
        <v>8.4779648348605523</v>
      </c>
      <c r="H57" s="459">
        <f t="shared" si="7"/>
        <v>8.4584322838308861</v>
      </c>
      <c r="I57" s="459">
        <f t="shared" si="7"/>
        <v>8.0744777263335781</v>
      </c>
      <c r="J57" s="459">
        <f t="shared" si="7"/>
        <v>7.914543053145807</v>
      </c>
      <c r="K57" s="459">
        <f t="shared" si="7"/>
        <v>7.7819311603988925</v>
      </c>
      <c r="L57" s="459">
        <f t="shared" si="7"/>
        <v>7.7625429673810444</v>
      </c>
    </row>
    <row r="58" spans="1:12">
      <c r="A58" s="309"/>
      <c r="B58" s="309"/>
      <c r="C58" s="309"/>
      <c r="D58" s="309"/>
      <c r="E58" s="309"/>
      <c r="F58" s="309"/>
      <c r="G58" s="309"/>
      <c r="H58" s="309"/>
      <c r="I58" s="309"/>
      <c r="J58" s="309"/>
      <c r="K58" s="309"/>
      <c r="L58" s="309"/>
    </row>
    <row r="59" spans="1:12" ht="15.75">
      <c r="A59" s="309"/>
      <c r="B59" s="340" t="s">
        <v>1709</v>
      </c>
      <c r="C59" s="309"/>
      <c r="D59" s="309"/>
      <c r="E59" s="309"/>
      <c r="F59" s="309"/>
      <c r="G59" s="309"/>
      <c r="H59" s="309"/>
      <c r="I59" s="309"/>
      <c r="J59" s="309"/>
      <c r="K59" s="309"/>
      <c r="L59" s="309"/>
    </row>
    <row r="60" spans="1:12">
      <c r="A60" s="309"/>
      <c r="B60" s="309"/>
      <c r="C60" s="309"/>
      <c r="D60" s="309"/>
      <c r="E60" s="309"/>
      <c r="F60" s="309"/>
      <c r="G60" s="309"/>
      <c r="H60" s="309"/>
      <c r="I60" s="309"/>
      <c r="J60" s="309"/>
      <c r="K60" s="309"/>
      <c r="L60" s="309"/>
    </row>
    <row r="61" spans="1:12">
      <c r="A61" s="309"/>
      <c r="B61" s="704" t="s">
        <v>700</v>
      </c>
      <c r="C61" s="309"/>
      <c r="D61" s="309"/>
      <c r="E61" s="309"/>
      <c r="F61" s="309"/>
      <c r="G61" s="309"/>
      <c r="H61" s="309"/>
      <c r="I61" s="309"/>
      <c r="J61" s="309"/>
      <c r="K61" s="309"/>
      <c r="L61" s="309"/>
    </row>
    <row r="62" spans="1:12">
      <c r="A62" s="309"/>
      <c r="B62" s="380"/>
      <c r="C62" s="309"/>
      <c r="D62" s="309"/>
      <c r="E62" s="309"/>
      <c r="F62" s="309"/>
      <c r="G62" s="309"/>
      <c r="H62" s="309"/>
      <c r="I62" s="309"/>
      <c r="J62" s="309"/>
      <c r="K62" s="309"/>
      <c r="L62" s="309"/>
    </row>
    <row r="63" spans="1:12">
      <c r="A63" s="309"/>
      <c r="B63" s="380"/>
      <c r="C63" s="326" t="str">
        <f t="shared" ref="C63:L63" si="8">C14</f>
        <v>2018/19</v>
      </c>
      <c r="D63" s="326" t="str">
        <f t="shared" si="8"/>
        <v>2019/20</v>
      </c>
      <c r="E63" s="326" t="str">
        <f t="shared" si="8"/>
        <v>2020/21</v>
      </c>
      <c r="F63" s="326" t="str">
        <f t="shared" si="8"/>
        <v>2021/22</v>
      </c>
      <c r="G63" s="326" t="str">
        <f t="shared" si="8"/>
        <v>2022/23</v>
      </c>
      <c r="H63" s="326" t="str">
        <f t="shared" si="8"/>
        <v>2023/24</v>
      </c>
      <c r="I63" s="326" t="str">
        <f t="shared" si="8"/>
        <v>2024/25</v>
      </c>
      <c r="J63" s="326" t="str">
        <f t="shared" si="8"/>
        <v>2025/26</v>
      </c>
      <c r="K63" s="326" t="str">
        <f t="shared" si="8"/>
        <v>2026/27</v>
      </c>
      <c r="L63" s="326" t="str">
        <f t="shared" si="8"/>
        <v>2027/28</v>
      </c>
    </row>
    <row r="64" spans="1:12">
      <c r="A64" s="309"/>
      <c r="B64" s="338" t="s">
        <v>731</v>
      </c>
      <c r="C64" s="415">
        <f>C27</f>
        <v>0.14759014262490319</v>
      </c>
      <c r="D64" s="415">
        <f t="shared" ref="D64:L64" si="9">D27</f>
        <v>0.14759014262490319</v>
      </c>
      <c r="E64" s="415">
        <f t="shared" si="9"/>
        <v>0.14759014262490319</v>
      </c>
      <c r="F64" s="415">
        <f t="shared" si="9"/>
        <v>0.14759014262490319</v>
      </c>
      <c r="G64" s="415">
        <f t="shared" si="9"/>
        <v>0.14759014262490319</v>
      </c>
      <c r="H64" s="415">
        <f t="shared" si="9"/>
        <v>0.14759014262490319</v>
      </c>
      <c r="I64" s="415">
        <f t="shared" si="9"/>
        <v>0.14759014262490319</v>
      </c>
      <c r="J64" s="415">
        <f t="shared" si="9"/>
        <v>0.14759014262490319</v>
      </c>
      <c r="K64" s="415">
        <f t="shared" si="9"/>
        <v>0.14759014262490319</v>
      </c>
      <c r="L64" s="415">
        <f t="shared" si="9"/>
        <v>0.14759014262490319</v>
      </c>
    </row>
    <row r="65" spans="1:12" ht="25.5">
      <c r="A65" s="309"/>
      <c r="B65" s="338" t="s">
        <v>730</v>
      </c>
      <c r="C65" s="698">
        <f>100*C64</f>
        <v>14.75901426249032</v>
      </c>
      <c r="D65" s="698">
        <f t="shared" ref="D65:L65" si="10">100*D64</f>
        <v>14.75901426249032</v>
      </c>
      <c r="E65" s="698">
        <f t="shared" si="10"/>
        <v>14.75901426249032</v>
      </c>
      <c r="F65" s="698">
        <f t="shared" si="10"/>
        <v>14.75901426249032</v>
      </c>
      <c r="G65" s="698">
        <f t="shared" si="10"/>
        <v>14.75901426249032</v>
      </c>
      <c r="H65" s="698">
        <f t="shared" si="10"/>
        <v>14.75901426249032</v>
      </c>
      <c r="I65" s="698">
        <f t="shared" si="10"/>
        <v>14.75901426249032</v>
      </c>
      <c r="J65" s="698">
        <f t="shared" si="10"/>
        <v>14.75901426249032</v>
      </c>
      <c r="K65" s="698">
        <f t="shared" si="10"/>
        <v>14.75901426249032</v>
      </c>
      <c r="L65" s="698">
        <f t="shared" si="10"/>
        <v>14.75901426249032</v>
      </c>
    </row>
    <row r="66" spans="1:12">
      <c r="A66" s="309"/>
      <c r="B66" s="338" t="s">
        <v>1625</v>
      </c>
      <c r="C66" s="698">
        <f>C65-C67</f>
        <v>12.607467049871705</v>
      </c>
      <c r="D66" s="698">
        <f t="shared" ref="D66:L66" si="11">D65-D67</f>
        <v>12.607467049871705</v>
      </c>
      <c r="E66" s="698">
        <f t="shared" si="11"/>
        <v>12.607467049871705</v>
      </c>
      <c r="F66" s="698">
        <f t="shared" si="11"/>
        <v>12.607467049871705</v>
      </c>
      <c r="G66" s="698">
        <f t="shared" si="11"/>
        <v>12.607467049871705</v>
      </c>
      <c r="H66" s="698">
        <f t="shared" si="11"/>
        <v>12.607467049871705</v>
      </c>
      <c r="I66" s="698">
        <f t="shared" si="11"/>
        <v>12.607467049871705</v>
      </c>
      <c r="J66" s="698">
        <f t="shared" si="11"/>
        <v>12.607467049871705</v>
      </c>
      <c r="K66" s="698">
        <f t="shared" si="11"/>
        <v>12.607467049871705</v>
      </c>
      <c r="L66" s="698">
        <f t="shared" si="11"/>
        <v>12.607467049871705</v>
      </c>
    </row>
    <row r="67" spans="1:12" ht="25.5">
      <c r="A67" s="309"/>
      <c r="B67" s="338" t="s">
        <v>1626</v>
      </c>
      <c r="C67" s="698">
        <f>C65*$C$33</f>
        <v>2.1515472126186146</v>
      </c>
      <c r="D67" s="698">
        <f t="shared" ref="D67:L67" si="12">D65*$C$33</f>
        <v>2.1515472126186146</v>
      </c>
      <c r="E67" s="698">
        <f t="shared" si="12"/>
        <v>2.1515472126186146</v>
      </c>
      <c r="F67" s="698">
        <f t="shared" si="12"/>
        <v>2.1515472126186146</v>
      </c>
      <c r="G67" s="698">
        <f t="shared" si="12"/>
        <v>2.1515472126186146</v>
      </c>
      <c r="H67" s="698">
        <f t="shared" si="12"/>
        <v>2.1515472126186146</v>
      </c>
      <c r="I67" s="698">
        <f t="shared" si="12"/>
        <v>2.1515472126186146</v>
      </c>
      <c r="J67" s="698">
        <f t="shared" si="12"/>
        <v>2.1515472126186146</v>
      </c>
      <c r="K67" s="698">
        <f t="shared" si="12"/>
        <v>2.1515472126186146</v>
      </c>
      <c r="L67" s="698">
        <f t="shared" si="12"/>
        <v>2.1515472126186146</v>
      </c>
    </row>
    <row r="68" spans="1:12">
      <c r="A68" s="309"/>
      <c r="B68" s="669" t="s">
        <v>729</v>
      </c>
      <c r="C68" s="459">
        <f>C66</f>
        <v>12.607467049871705</v>
      </c>
      <c r="D68" s="459">
        <f t="shared" ref="D68:L68" si="13">D66</f>
        <v>12.607467049871705</v>
      </c>
      <c r="E68" s="459">
        <f t="shared" si="13"/>
        <v>12.607467049871705</v>
      </c>
      <c r="F68" s="459">
        <f t="shared" si="13"/>
        <v>12.607467049871705</v>
      </c>
      <c r="G68" s="459">
        <f t="shared" si="13"/>
        <v>12.607467049871705</v>
      </c>
      <c r="H68" s="459">
        <f t="shared" si="13"/>
        <v>12.607467049871705</v>
      </c>
      <c r="I68" s="459">
        <f t="shared" si="13"/>
        <v>12.607467049871705</v>
      </c>
      <c r="J68" s="459">
        <f t="shared" si="13"/>
        <v>12.607467049871705</v>
      </c>
      <c r="K68" s="459">
        <f t="shared" si="13"/>
        <v>12.607467049871705</v>
      </c>
      <c r="L68" s="459">
        <f t="shared" si="13"/>
        <v>12.607467049871705</v>
      </c>
    </row>
    <row r="69" spans="1:12">
      <c r="A69" s="309"/>
      <c r="B69" s="669" t="s">
        <v>728</v>
      </c>
      <c r="C69" s="459">
        <f>C67*$C$39</f>
        <v>1.3296561773983038</v>
      </c>
      <c r="D69" s="459">
        <f t="shared" ref="D69:L69" si="14">D67*$C$39</f>
        <v>1.3296561773983038</v>
      </c>
      <c r="E69" s="459">
        <f t="shared" si="14"/>
        <v>1.3296561773983038</v>
      </c>
      <c r="F69" s="459">
        <f t="shared" si="14"/>
        <v>1.3296561773983038</v>
      </c>
      <c r="G69" s="459">
        <f t="shared" si="14"/>
        <v>1.3296561773983038</v>
      </c>
      <c r="H69" s="459">
        <f t="shared" si="14"/>
        <v>1.3296561773983038</v>
      </c>
      <c r="I69" s="459">
        <f t="shared" si="14"/>
        <v>1.3296561773983038</v>
      </c>
      <c r="J69" s="459">
        <f t="shared" si="14"/>
        <v>1.3296561773983038</v>
      </c>
      <c r="K69" s="459">
        <f t="shared" si="14"/>
        <v>1.3296561773983038</v>
      </c>
      <c r="L69" s="459">
        <f t="shared" si="14"/>
        <v>1.3296561773983038</v>
      </c>
    </row>
    <row r="70" spans="1:12">
      <c r="A70" s="309"/>
      <c r="B70" s="669" t="s">
        <v>727</v>
      </c>
      <c r="C70" s="459">
        <f>C69+C68</f>
        <v>13.937123227270009</v>
      </c>
      <c r="D70" s="459">
        <f t="shared" ref="D70:L70" si="15">D69+D68</f>
        <v>13.937123227270009</v>
      </c>
      <c r="E70" s="459">
        <f t="shared" si="15"/>
        <v>13.937123227270009</v>
      </c>
      <c r="F70" s="459">
        <f t="shared" si="15"/>
        <v>13.937123227270009</v>
      </c>
      <c r="G70" s="459">
        <f t="shared" si="15"/>
        <v>13.937123227270009</v>
      </c>
      <c r="H70" s="459">
        <f t="shared" si="15"/>
        <v>13.937123227270009</v>
      </c>
      <c r="I70" s="459">
        <f t="shared" si="15"/>
        <v>13.937123227270009</v>
      </c>
      <c r="J70" s="459">
        <f t="shared" si="15"/>
        <v>13.937123227270009</v>
      </c>
      <c r="K70" s="459">
        <f t="shared" si="15"/>
        <v>13.937123227270009</v>
      </c>
      <c r="L70" s="459">
        <f t="shared" si="15"/>
        <v>13.937123227270009</v>
      </c>
    </row>
    <row r="71" spans="1:12">
      <c r="A71" s="309"/>
      <c r="B71" s="380"/>
      <c r="C71" s="309"/>
      <c r="D71" s="309"/>
      <c r="E71" s="309"/>
      <c r="F71" s="309"/>
      <c r="G71" s="309"/>
      <c r="H71" s="309"/>
      <c r="I71" s="309"/>
      <c r="J71" s="309"/>
      <c r="K71" s="309"/>
      <c r="L71" s="309"/>
    </row>
    <row r="72" spans="1:12">
      <c r="A72" s="309"/>
      <c r="B72" s="704" t="s">
        <v>699</v>
      </c>
      <c r="C72" s="309"/>
      <c r="D72" s="309"/>
      <c r="E72" s="309"/>
      <c r="F72" s="309"/>
      <c r="G72" s="309"/>
      <c r="H72" s="309"/>
      <c r="I72" s="309"/>
      <c r="J72" s="309"/>
      <c r="K72" s="309"/>
      <c r="L72" s="309"/>
    </row>
    <row r="73" spans="1:12">
      <c r="A73" s="309"/>
      <c r="B73" s="380"/>
      <c r="C73" s="309"/>
      <c r="D73" s="309"/>
      <c r="E73" s="309"/>
      <c r="F73" s="309"/>
      <c r="G73" s="309"/>
      <c r="H73" s="309"/>
      <c r="I73" s="309"/>
      <c r="J73" s="309"/>
      <c r="K73" s="309"/>
      <c r="L73" s="309"/>
    </row>
    <row r="74" spans="1:12">
      <c r="A74" s="309"/>
      <c r="B74" s="380"/>
      <c r="C74" s="326" t="str">
        <f>C63</f>
        <v>2018/19</v>
      </c>
      <c r="D74" s="326" t="str">
        <f t="shared" ref="D74:L74" si="16">D63</f>
        <v>2019/20</v>
      </c>
      <c r="E74" s="326" t="str">
        <f t="shared" si="16"/>
        <v>2020/21</v>
      </c>
      <c r="F74" s="326" t="str">
        <f t="shared" si="16"/>
        <v>2021/22</v>
      </c>
      <c r="G74" s="326" t="str">
        <f t="shared" si="16"/>
        <v>2022/23</v>
      </c>
      <c r="H74" s="326" t="str">
        <f t="shared" si="16"/>
        <v>2023/24</v>
      </c>
      <c r="I74" s="326" t="str">
        <f t="shared" si="16"/>
        <v>2024/25</v>
      </c>
      <c r="J74" s="326" t="str">
        <f t="shared" si="16"/>
        <v>2025/26</v>
      </c>
      <c r="K74" s="326" t="str">
        <f t="shared" si="16"/>
        <v>2026/27</v>
      </c>
      <c r="L74" s="326" t="str">
        <f t="shared" si="16"/>
        <v>2027/28</v>
      </c>
    </row>
    <row r="75" spans="1:12">
      <c r="A75" s="309"/>
      <c r="B75" s="338" t="s">
        <v>731</v>
      </c>
      <c r="C75" s="415">
        <f>C28</f>
        <v>0.35016108614476826</v>
      </c>
      <c r="D75" s="415">
        <f t="shared" ref="D75:L75" si="17">D28</f>
        <v>0.35016108614476826</v>
      </c>
      <c r="E75" s="415">
        <f t="shared" si="17"/>
        <v>0.35016108614476826</v>
      </c>
      <c r="F75" s="415">
        <f t="shared" si="17"/>
        <v>0.35016108614476826</v>
      </c>
      <c r="G75" s="415">
        <f t="shared" si="17"/>
        <v>0.35016108614476826</v>
      </c>
      <c r="H75" s="415">
        <f t="shared" si="17"/>
        <v>0.35016108614476826</v>
      </c>
      <c r="I75" s="415">
        <f t="shared" si="17"/>
        <v>0.35016108614476826</v>
      </c>
      <c r="J75" s="415">
        <f t="shared" si="17"/>
        <v>0.35016108614476826</v>
      </c>
      <c r="K75" s="415">
        <f t="shared" si="17"/>
        <v>0.35016108614476826</v>
      </c>
      <c r="L75" s="415">
        <f t="shared" si="17"/>
        <v>0.35016108614476826</v>
      </c>
    </row>
    <row r="76" spans="1:12" ht="25.5">
      <c r="A76" s="309"/>
      <c r="B76" s="338" t="s">
        <v>730</v>
      </c>
      <c r="C76" s="698">
        <f>100*C75</f>
        <v>35.016108614476828</v>
      </c>
      <c r="D76" s="698">
        <f t="shared" ref="D76:L76" si="18">100*D75</f>
        <v>35.016108614476828</v>
      </c>
      <c r="E76" s="698">
        <f t="shared" si="18"/>
        <v>35.016108614476828</v>
      </c>
      <c r="F76" s="698">
        <f t="shared" si="18"/>
        <v>35.016108614476828</v>
      </c>
      <c r="G76" s="698">
        <f t="shared" si="18"/>
        <v>35.016108614476828</v>
      </c>
      <c r="H76" s="698">
        <f t="shared" si="18"/>
        <v>35.016108614476828</v>
      </c>
      <c r="I76" s="698">
        <f t="shared" si="18"/>
        <v>35.016108614476828</v>
      </c>
      <c r="J76" s="698">
        <f t="shared" si="18"/>
        <v>35.016108614476828</v>
      </c>
      <c r="K76" s="698">
        <f t="shared" si="18"/>
        <v>35.016108614476828</v>
      </c>
      <c r="L76" s="698">
        <f t="shared" si="18"/>
        <v>35.016108614476828</v>
      </c>
    </row>
    <row r="77" spans="1:12">
      <c r="A77" s="309"/>
      <c r="B77" s="338" t="s">
        <v>1625</v>
      </c>
      <c r="C77" s="698">
        <f>C76-C78</f>
        <v>24.730790582699242</v>
      </c>
      <c r="D77" s="698">
        <f t="shared" ref="D77:L77" si="19">D76-D78</f>
        <v>24.730790582699242</v>
      </c>
      <c r="E77" s="698">
        <f t="shared" si="19"/>
        <v>24.730790582699242</v>
      </c>
      <c r="F77" s="698">
        <f t="shared" si="19"/>
        <v>24.730790582699242</v>
      </c>
      <c r="G77" s="698">
        <f t="shared" si="19"/>
        <v>24.730790582699242</v>
      </c>
      <c r="H77" s="698">
        <f t="shared" si="19"/>
        <v>24.730790582699242</v>
      </c>
      <c r="I77" s="698">
        <f t="shared" si="19"/>
        <v>24.730790582699242</v>
      </c>
      <c r="J77" s="698">
        <f t="shared" si="19"/>
        <v>24.730790582699242</v>
      </c>
      <c r="K77" s="698">
        <f t="shared" si="19"/>
        <v>24.730790582699242</v>
      </c>
      <c r="L77" s="698">
        <f t="shared" si="19"/>
        <v>24.730790582699242</v>
      </c>
    </row>
    <row r="78" spans="1:12" ht="25.5">
      <c r="A78" s="309"/>
      <c r="B78" s="338" t="s">
        <v>1626</v>
      </c>
      <c r="C78" s="698">
        <f>C76*$C$34</f>
        <v>10.285318031777583</v>
      </c>
      <c r="D78" s="698">
        <f t="shared" ref="D78:L78" si="20">D76*$C$34</f>
        <v>10.285318031777583</v>
      </c>
      <c r="E78" s="698">
        <f t="shared" si="20"/>
        <v>10.285318031777583</v>
      </c>
      <c r="F78" s="698">
        <f t="shared" si="20"/>
        <v>10.285318031777583</v>
      </c>
      <c r="G78" s="698">
        <f t="shared" si="20"/>
        <v>10.285318031777583</v>
      </c>
      <c r="H78" s="698">
        <f t="shared" si="20"/>
        <v>10.285318031777583</v>
      </c>
      <c r="I78" s="698">
        <f t="shared" si="20"/>
        <v>10.285318031777583</v>
      </c>
      <c r="J78" s="698">
        <f t="shared" si="20"/>
        <v>10.285318031777583</v>
      </c>
      <c r="K78" s="698">
        <f t="shared" si="20"/>
        <v>10.285318031777583</v>
      </c>
      <c r="L78" s="698">
        <f t="shared" si="20"/>
        <v>10.285318031777583</v>
      </c>
    </row>
    <row r="79" spans="1:12">
      <c r="A79" s="309"/>
      <c r="B79" s="669" t="s">
        <v>729</v>
      </c>
      <c r="C79" s="698">
        <f>C77</f>
        <v>24.730790582699242</v>
      </c>
      <c r="D79" s="698">
        <f t="shared" ref="D79:L79" si="21">D77</f>
        <v>24.730790582699242</v>
      </c>
      <c r="E79" s="698">
        <f t="shared" si="21"/>
        <v>24.730790582699242</v>
      </c>
      <c r="F79" s="698">
        <f t="shared" si="21"/>
        <v>24.730790582699242</v>
      </c>
      <c r="G79" s="698">
        <f t="shared" si="21"/>
        <v>24.730790582699242</v>
      </c>
      <c r="H79" s="698">
        <f t="shared" si="21"/>
        <v>24.730790582699242</v>
      </c>
      <c r="I79" s="698">
        <f t="shared" si="21"/>
        <v>24.730790582699242</v>
      </c>
      <c r="J79" s="698">
        <f t="shared" si="21"/>
        <v>24.730790582699242</v>
      </c>
      <c r="K79" s="698">
        <f t="shared" si="21"/>
        <v>24.730790582699242</v>
      </c>
      <c r="L79" s="698">
        <f t="shared" si="21"/>
        <v>24.730790582699242</v>
      </c>
    </row>
    <row r="80" spans="1:12">
      <c r="A80" s="309"/>
      <c r="B80" s="669" t="s">
        <v>728</v>
      </c>
      <c r="C80" s="698">
        <f>C78*$C$39</f>
        <v>6.3563265436385468</v>
      </c>
      <c r="D80" s="698">
        <f t="shared" ref="D80:L80" si="22">D78*$C$39</f>
        <v>6.3563265436385468</v>
      </c>
      <c r="E80" s="698">
        <f t="shared" si="22"/>
        <v>6.3563265436385468</v>
      </c>
      <c r="F80" s="698">
        <f t="shared" si="22"/>
        <v>6.3563265436385468</v>
      </c>
      <c r="G80" s="698">
        <f t="shared" si="22"/>
        <v>6.3563265436385468</v>
      </c>
      <c r="H80" s="698">
        <f t="shared" si="22"/>
        <v>6.3563265436385468</v>
      </c>
      <c r="I80" s="698">
        <f t="shared" si="22"/>
        <v>6.3563265436385468</v>
      </c>
      <c r="J80" s="698">
        <f t="shared" si="22"/>
        <v>6.3563265436385468</v>
      </c>
      <c r="K80" s="698">
        <f t="shared" si="22"/>
        <v>6.3563265436385468</v>
      </c>
      <c r="L80" s="698">
        <f t="shared" si="22"/>
        <v>6.3563265436385468</v>
      </c>
    </row>
    <row r="81" spans="1:12">
      <c r="A81" s="309"/>
      <c r="B81" s="669" t="s">
        <v>727</v>
      </c>
      <c r="C81" s="698">
        <f>C79+C80</f>
        <v>31.087117126337787</v>
      </c>
      <c r="D81" s="698">
        <f t="shared" ref="D81:L81" si="23">D79+D80</f>
        <v>31.087117126337787</v>
      </c>
      <c r="E81" s="698">
        <f t="shared" si="23"/>
        <v>31.087117126337787</v>
      </c>
      <c r="F81" s="698">
        <f t="shared" si="23"/>
        <v>31.087117126337787</v>
      </c>
      <c r="G81" s="698">
        <f t="shared" si="23"/>
        <v>31.087117126337787</v>
      </c>
      <c r="H81" s="698">
        <f t="shared" si="23"/>
        <v>31.087117126337787</v>
      </c>
      <c r="I81" s="698">
        <f t="shared" si="23"/>
        <v>31.087117126337787</v>
      </c>
      <c r="J81" s="698">
        <f t="shared" si="23"/>
        <v>31.087117126337787</v>
      </c>
      <c r="K81" s="698">
        <f t="shared" si="23"/>
        <v>31.087117126337787</v>
      </c>
      <c r="L81" s="698">
        <f t="shared" si="23"/>
        <v>31.087117126337787</v>
      </c>
    </row>
    <row r="82" spans="1:12">
      <c r="A82" s="309"/>
      <c r="B82" s="668"/>
      <c r="C82" s="309"/>
      <c r="D82" s="309"/>
      <c r="E82" s="309"/>
      <c r="F82" s="309"/>
      <c r="G82" s="309"/>
      <c r="H82" s="309"/>
      <c r="I82" s="309"/>
      <c r="J82" s="309"/>
      <c r="K82" s="309"/>
      <c r="L82" s="309"/>
    </row>
    <row r="83" spans="1:12">
      <c r="A83" s="309"/>
      <c r="B83" s="704" t="s">
        <v>803</v>
      </c>
      <c r="C83" s="309"/>
      <c r="D83" s="309"/>
      <c r="E83" s="309"/>
      <c r="F83" s="309"/>
      <c r="G83" s="309"/>
      <c r="H83" s="309"/>
      <c r="I83" s="309"/>
      <c r="J83" s="309"/>
      <c r="K83" s="309"/>
      <c r="L83" s="309"/>
    </row>
    <row r="84" spans="1:12">
      <c r="A84" s="309"/>
      <c r="B84" s="380"/>
      <c r="C84" s="309"/>
      <c r="D84" s="309"/>
      <c r="E84" s="309"/>
      <c r="F84" s="309"/>
      <c r="G84" s="309"/>
      <c r="H84" s="309"/>
      <c r="I84" s="309"/>
      <c r="J84" s="309"/>
      <c r="K84" s="309"/>
      <c r="L84" s="309"/>
    </row>
    <row r="85" spans="1:12">
      <c r="A85" s="309"/>
      <c r="B85" s="380"/>
      <c r="C85" s="326" t="str">
        <f>C74</f>
        <v>2018/19</v>
      </c>
      <c r="D85" s="326" t="str">
        <f t="shared" ref="D85:L85" si="24">D74</f>
        <v>2019/20</v>
      </c>
      <c r="E85" s="326" t="str">
        <f t="shared" si="24"/>
        <v>2020/21</v>
      </c>
      <c r="F85" s="326" t="str">
        <f t="shared" si="24"/>
        <v>2021/22</v>
      </c>
      <c r="G85" s="326" t="str">
        <f t="shared" si="24"/>
        <v>2022/23</v>
      </c>
      <c r="H85" s="326" t="str">
        <f t="shared" si="24"/>
        <v>2023/24</v>
      </c>
      <c r="I85" s="326" t="str">
        <f t="shared" si="24"/>
        <v>2024/25</v>
      </c>
      <c r="J85" s="326" t="str">
        <f t="shared" si="24"/>
        <v>2025/26</v>
      </c>
      <c r="K85" s="326" t="str">
        <f t="shared" si="24"/>
        <v>2026/27</v>
      </c>
      <c r="L85" s="326" t="str">
        <f t="shared" si="24"/>
        <v>2027/28</v>
      </c>
    </row>
    <row r="86" spans="1:12">
      <c r="A86" s="309"/>
      <c r="B86" s="338" t="s">
        <v>731</v>
      </c>
      <c r="C86" s="415">
        <f>C29</f>
        <v>0.50224877123032852</v>
      </c>
      <c r="D86" s="415">
        <f t="shared" ref="D86:L86" si="25">D29</f>
        <v>0.50224877123032852</v>
      </c>
      <c r="E86" s="415">
        <f t="shared" si="25"/>
        <v>0.50224877123032852</v>
      </c>
      <c r="F86" s="415">
        <f t="shared" si="25"/>
        <v>0.50224877123032852</v>
      </c>
      <c r="G86" s="415">
        <f t="shared" si="25"/>
        <v>0.50224877123032852</v>
      </c>
      <c r="H86" s="415">
        <f t="shared" si="25"/>
        <v>0.50224877123032852</v>
      </c>
      <c r="I86" s="415">
        <f t="shared" si="25"/>
        <v>0.50224877123032852</v>
      </c>
      <c r="J86" s="415">
        <f t="shared" si="25"/>
        <v>0.50224877123032852</v>
      </c>
      <c r="K86" s="415">
        <f t="shared" si="25"/>
        <v>0.50224877123032852</v>
      </c>
      <c r="L86" s="415">
        <f t="shared" si="25"/>
        <v>0.50224877123032852</v>
      </c>
    </row>
    <row r="87" spans="1:12" ht="25.5">
      <c r="A87" s="309"/>
      <c r="B87" s="338" t="s">
        <v>730</v>
      </c>
      <c r="C87" s="698">
        <f>100*C86</f>
        <v>50.224877123032854</v>
      </c>
      <c r="D87" s="698">
        <f t="shared" ref="D87:L87" si="26">100*D86</f>
        <v>50.224877123032854</v>
      </c>
      <c r="E87" s="698">
        <f t="shared" si="26"/>
        <v>50.224877123032854</v>
      </c>
      <c r="F87" s="698">
        <f t="shared" si="26"/>
        <v>50.224877123032854</v>
      </c>
      <c r="G87" s="698">
        <f t="shared" si="26"/>
        <v>50.224877123032854</v>
      </c>
      <c r="H87" s="698">
        <f t="shared" si="26"/>
        <v>50.224877123032854</v>
      </c>
      <c r="I87" s="698">
        <f t="shared" si="26"/>
        <v>50.224877123032854</v>
      </c>
      <c r="J87" s="698">
        <f t="shared" si="26"/>
        <v>50.224877123032854</v>
      </c>
      <c r="K87" s="698">
        <f t="shared" si="26"/>
        <v>50.224877123032854</v>
      </c>
      <c r="L87" s="698">
        <f t="shared" si="26"/>
        <v>50.224877123032854</v>
      </c>
    </row>
    <row r="88" spans="1:12">
      <c r="A88" s="309"/>
      <c r="B88" s="338" t="s">
        <v>1625</v>
      </c>
      <c r="C88" s="698">
        <f>C87-C89</f>
        <v>48.283022126757622</v>
      </c>
      <c r="D88" s="698">
        <f t="shared" ref="D88:L88" si="27">D87-D89</f>
        <v>48.283022126757622</v>
      </c>
      <c r="E88" s="698">
        <f t="shared" si="27"/>
        <v>48.283022126757622</v>
      </c>
      <c r="F88" s="698">
        <f t="shared" si="27"/>
        <v>48.283022126757622</v>
      </c>
      <c r="G88" s="698">
        <f t="shared" si="27"/>
        <v>48.283022126757622</v>
      </c>
      <c r="H88" s="698">
        <f t="shared" si="27"/>
        <v>48.283022126757622</v>
      </c>
      <c r="I88" s="698">
        <f t="shared" si="27"/>
        <v>48.283022126757622</v>
      </c>
      <c r="J88" s="698">
        <f t="shared" si="27"/>
        <v>48.283022126757622</v>
      </c>
      <c r="K88" s="698">
        <f t="shared" si="27"/>
        <v>48.283022126757622</v>
      </c>
      <c r="L88" s="698">
        <f t="shared" si="27"/>
        <v>48.283022126757622</v>
      </c>
    </row>
    <row r="89" spans="1:12" ht="25.5">
      <c r="A89" s="309"/>
      <c r="B89" s="338" t="s">
        <v>1626</v>
      </c>
      <c r="C89" s="698">
        <f>C87*$C$35</f>
        <v>1.9418549962752341</v>
      </c>
      <c r="D89" s="698">
        <f t="shared" ref="D89:L89" si="28">D87*$C$35</f>
        <v>1.9418549962752341</v>
      </c>
      <c r="E89" s="698">
        <f t="shared" si="28"/>
        <v>1.9418549962752341</v>
      </c>
      <c r="F89" s="698">
        <f t="shared" si="28"/>
        <v>1.9418549962752341</v>
      </c>
      <c r="G89" s="698">
        <f t="shared" si="28"/>
        <v>1.9418549962752341</v>
      </c>
      <c r="H89" s="698">
        <f t="shared" si="28"/>
        <v>1.9418549962752341</v>
      </c>
      <c r="I89" s="698">
        <f t="shared" si="28"/>
        <v>1.9418549962752341</v>
      </c>
      <c r="J89" s="698">
        <f t="shared" si="28"/>
        <v>1.9418549962752341</v>
      </c>
      <c r="K89" s="698">
        <f t="shared" si="28"/>
        <v>1.9418549962752341</v>
      </c>
      <c r="L89" s="698">
        <f t="shared" si="28"/>
        <v>1.9418549962752341</v>
      </c>
    </row>
    <row r="90" spans="1:12">
      <c r="A90" s="309"/>
      <c r="B90" s="669" t="s">
        <v>729</v>
      </c>
      <c r="C90" s="459">
        <f>C88</f>
        <v>48.283022126757622</v>
      </c>
      <c r="D90" s="459">
        <f t="shared" ref="D90:L90" si="29">D88</f>
        <v>48.283022126757622</v>
      </c>
      <c r="E90" s="459">
        <f t="shared" si="29"/>
        <v>48.283022126757622</v>
      </c>
      <c r="F90" s="459">
        <f t="shared" si="29"/>
        <v>48.283022126757622</v>
      </c>
      <c r="G90" s="459">
        <f t="shared" si="29"/>
        <v>48.283022126757622</v>
      </c>
      <c r="H90" s="459">
        <f t="shared" si="29"/>
        <v>48.283022126757622</v>
      </c>
      <c r="I90" s="459">
        <f t="shared" si="29"/>
        <v>48.283022126757622</v>
      </c>
      <c r="J90" s="459">
        <f t="shared" si="29"/>
        <v>48.283022126757622</v>
      </c>
      <c r="K90" s="459">
        <f t="shared" si="29"/>
        <v>48.283022126757622</v>
      </c>
      <c r="L90" s="459">
        <f t="shared" si="29"/>
        <v>48.283022126757622</v>
      </c>
    </row>
    <row r="91" spans="1:12">
      <c r="A91" s="309"/>
      <c r="B91" s="669" t="s">
        <v>728</v>
      </c>
      <c r="C91" s="698">
        <f>C89*$C$39</f>
        <v>1.2000663876980946</v>
      </c>
      <c r="D91" s="698">
        <f t="shared" ref="D91:L91" si="30">D89*$C$39</f>
        <v>1.2000663876980946</v>
      </c>
      <c r="E91" s="698">
        <f t="shared" si="30"/>
        <v>1.2000663876980946</v>
      </c>
      <c r="F91" s="698">
        <f t="shared" si="30"/>
        <v>1.2000663876980946</v>
      </c>
      <c r="G91" s="698">
        <f t="shared" si="30"/>
        <v>1.2000663876980946</v>
      </c>
      <c r="H91" s="698">
        <f t="shared" si="30"/>
        <v>1.2000663876980946</v>
      </c>
      <c r="I91" s="698">
        <f t="shared" si="30"/>
        <v>1.2000663876980946</v>
      </c>
      <c r="J91" s="698">
        <f t="shared" si="30"/>
        <v>1.2000663876980946</v>
      </c>
      <c r="K91" s="698">
        <f t="shared" si="30"/>
        <v>1.2000663876980946</v>
      </c>
      <c r="L91" s="698">
        <f t="shared" si="30"/>
        <v>1.2000663876980946</v>
      </c>
    </row>
    <row r="92" spans="1:12">
      <c r="A92" s="309"/>
      <c r="B92" s="669" t="s">
        <v>727</v>
      </c>
      <c r="C92" s="459">
        <f>C91+C90</f>
        <v>49.483088514455716</v>
      </c>
      <c r="D92" s="459">
        <f t="shared" ref="D92:L92" si="31">D91+D90</f>
        <v>49.483088514455716</v>
      </c>
      <c r="E92" s="459">
        <f t="shared" si="31"/>
        <v>49.483088514455716</v>
      </c>
      <c r="F92" s="459">
        <f t="shared" si="31"/>
        <v>49.483088514455716</v>
      </c>
      <c r="G92" s="459">
        <f t="shared" si="31"/>
        <v>49.483088514455716</v>
      </c>
      <c r="H92" s="459">
        <f t="shared" si="31"/>
        <v>49.483088514455716</v>
      </c>
      <c r="I92" s="459">
        <f t="shared" si="31"/>
        <v>49.483088514455716</v>
      </c>
      <c r="J92" s="459">
        <f t="shared" si="31"/>
        <v>49.483088514455716</v>
      </c>
      <c r="K92" s="459">
        <f t="shared" si="31"/>
        <v>49.483088514455716</v>
      </c>
      <c r="L92" s="459">
        <f t="shared" si="31"/>
        <v>49.483088514455716</v>
      </c>
    </row>
    <row r="93" spans="1:12">
      <c r="A93" s="309"/>
      <c r="B93" s="380"/>
      <c r="C93" s="309"/>
      <c r="D93" s="309"/>
      <c r="E93" s="309"/>
      <c r="F93" s="309"/>
      <c r="G93" s="309"/>
      <c r="H93" s="309"/>
      <c r="I93" s="309"/>
      <c r="J93" s="309"/>
      <c r="K93" s="309"/>
      <c r="L93" s="309"/>
    </row>
    <row r="94" spans="1:12">
      <c r="A94" s="309"/>
      <c r="B94" s="669" t="s">
        <v>726</v>
      </c>
      <c r="C94" s="698">
        <f>C92+C81+C70</f>
        <v>94.50732886806351</v>
      </c>
      <c r="D94" s="698">
        <f t="shared" ref="D94:L94" si="32">D92+D81+D70</f>
        <v>94.50732886806351</v>
      </c>
      <c r="E94" s="698">
        <f t="shared" si="32"/>
        <v>94.50732886806351</v>
      </c>
      <c r="F94" s="698">
        <f t="shared" si="32"/>
        <v>94.50732886806351</v>
      </c>
      <c r="G94" s="698">
        <f t="shared" si="32"/>
        <v>94.50732886806351</v>
      </c>
      <c r="H94" s="698">
        <f t="shared" si="32"/>
        <v>94.50732886806351</v>
      </c>
      <c r="I94" s="698">
        <f t="shared" si="32"/>
        <v>94.50732886806351</v>
      </c>
      <c r="J94" s="698">
        <f t="shared" si="32"/>
        <v>94.50732886806351</v>
      </c>
      <c r="K94" s="698">
        <f t="shared" si="32"/>
        <v>94.50732886806351</v>
      </c>
      <c r="L94" s="698">
        <f t="shared" si="32"/>
        <v>94.50732886806351</v>
      </c>
    </row>
    <row r="95" spans="1:12">
      <c r="A95" s="309"/>
      <c r="B95" s="702"/>
      <c r="C95" s="309"/>
      <c r="D95" s="309"/>
      <c r="E95" s="309"/>
      <c r="F95" s="309"/>
      <c r="G95" s="309"/>
      <c r="H95" s="309"/>
      <c r="I95" s="309"/>
      <c r="J95" s="309"/>
      <c r="K95" s="309"/>
      <c r="L95" s="309"/>
    </row>
    <row r="96" spans="1:12">
      <c r="A96" s="309"/>
      <c r="B96" s="703" t="s">
        <v>806</v>
      </c>
      <c r="C96" s="309"/>
      <c r="D96" s="309"/>
      <c r="E96" s="309"/>
      <c r="F96" s="309"/>
      <c r="G96" s="309"/>
      <c r="H96" s="309"/>
      <c r="I96" s="309"/>
      <c r="J96" s="309"/>
      <c r="K96" s="309"/>
      <c r="L96" s="309"/>
    </row>
    <row r="97" spans="1:12">
      <c r="A97" s="309"/>
      <c r="B97" s="325"/>
      <c r="C97" s="309"/>
      <c r="D97" s="309"/>
      <c r="E97" s="309"/>
      <c r="F97" s="309"/>
      <c r="G97" s="309"/>
      <c r="H97" s="309"/>
      <c r="I97" s="309"/>
      <c r="J97" s="309"/>
      <c r="K97" s="309"/>
      <c r="L97" s="309"/>
    </row>
    <row r="98" spans="1:12">
      <c r="A98" s="309"/>
      <c r="B98" s="326" t="s">
        <v>807</v>
      </c>
      <c r="C98" s="459">
        <f>C57</f>
        <v>9.1715203153271734</v>
      </c>
      <c r="D98" s="459">
        <f t="shared" ref="D98:L98" si="33">D57</f>
        <v>8.5669902905785413</v>
      </c>
      <c r="E98" s="459">
        <f t="shared" si="33"/>
        <v>8.4681188382648145</v>
      </c>
      <c r="F98" s="459">
        <f t="shared" si="33"/>
        <v>8.4338061107494084</v>
      </c>
      <c r="G98" s="459">
        <f t="shared" si="33"/>
        <v>8.4779648348605523</v>
      </c>
      <c r="H98" s="459">
        <f t="shared" si="33"/>
        <v>8.4584322838308861</v>
      </c>
      <c r="I98" s="459">
        <f t="shared" si="33"/>
        <v>8.0744777263335781</v>
      </c>
      <c r="J98" s="459">
        <f t="shared" si="33"/>
        <v>7.914543053145807</v>
      </c>
      <c r="K98" s="459">
        <f t="shared" si="33"/>
        <v>7.7819311603988925</v>
      </c>
      <c r="L98" s="459">
        <f t="shared" si="33"/>
        <v>7.7625429673810444</v>
      </c>
    </row>
    <row r="99" spans="1:12">
      <c r="A99" s="309"/>
      <c r="B99" s="309"/>
      <c r="C99" s="309"/>
      <c r="D99" s="309"/>
      <c r="E99" s="309"/>
      <c r="F99" s="309"/>
      <c r="G99" s="309"/>
      <c r="H99" s="309"/>
      <c r="I99" s="309"/>
      <c r="J99" s="309"/>
      <c r="K99" s="309"/>
      <c r="L99" s="309"/>
    </row>
    <row r="100" spans="1:12">
      <c r="A100" s="309"/>
      <c r="B100" s="341" t="s">
        <v>1627</v>
      </c>
      <c r="C100" s="309"/>
      <c r="D100" s="309"/>
      <c r="E100" s="309"/>
      <c r="F100" s="309"/>
      <c r="G100" s="309"/>
      <c r="H100" s="309"/>
      <c r="I100" s="309"/>
      <c r="J100" s="309"/>
      <c r="K100" s="309"/>
      <c r="L100" s="309"/>
    </row>
    <row r="101" spans="1:12">
      <c r="A101" s="309"/>
      <c r="B101" s="309"/>
      <c r="C101" s="309"/>
      <c r="D101" s="309"/>
      <c r="E101" s="309"/>
      <c r="F101" s="309"/>
      <c r="G101" s="309"/>
      <c r="H101" s="309"/>
      <c r="I101" s="309"/>
      <c r="J101" s="309"/>
      <c r="K101" s="309"/>
      <c r="L101" s="309"/>
    </row>
    <row r="102" spans="1:12">
      <c r="A102" s="309"/>
      <c r="B102" s="326"/>
      <c r="C102" s="326" t="str">
        <f t="shared" ref="C102:L102" si="34">C43</f>
        <v>2018/19</v>
      </c>
      <c r="D102" s="326" t="str">
        <f t="shared" si="34"/>
        <v>2019/20</v>
      </c>
      <c r="E102" s="326" t="str">
        <f t="shared" si="34"/>
        <v>2020/21</v>
      </c>
      <c r="F102" s="326" t="str">
        <f t="shared" si="34"/>
        <v>2021/22</v>
      </c>
      <c r="G102" s="326" t="str">
        <f t="shared" si="34"/>
        <v>2022/23</v>
      </c>
      <c r="H102" s="326" t="str">
        <f t="shared" si="34"/>
        <v>2023/24</v>
      </c>
      <c r="I102" s="326" t="str">
        <f t="shared" si="34"/>
        <v>2024/25</v>
      </c>
      <c r="J102" s="326" t="str">
        <f t="shared" si="34"/>
        <v>2025/26</v>
      </c>
      <c r="K102" s="326" t="str">
        <f t="shared" si="34"/>
        <v>2026/27</v>
      </c>
      <c r="L102" s="326" t="str">
        <f t="shared" si="34"/>
        <v>2027/28</v>
      </c>
    </row>
    <row r="103" spans="1:12">
      <c r="A103" s="309"/>
      <c r="B103" s="326" t="s">
        <v>885</v>
      </c>
      <c r="C103" s="459">
        <f t="shared" ref="C103:L103" si="35">C65*C$98</f>
        <v>135.36259914263346</v>
      </c>
      <c r="D103" s="459">
        <f t="shared" si="35"/>
        <v>126.44033188526478</v>
      </c>
      <c r="E103" s="459">
        <f t="shared" si="35"/>
        <v>124.98108671041335</v>
      </c>
      <c r="F103" s="459">
        <f t="shared" si="35"/>
        <v>124.47466467562853</v>
      </c>
      <c r="G103" s="459">
        <f t="shared" si="35"/>
        <v>125.12640391459828</v>
      </c>
      <c r="H103" s="459">
        <f t="shared" si="35"/>
        <v>124.83812271536861</v>
      </c>
      <c r="I103" s="459">
        <f t="shared" si="35"/>
        <v>119.17133192511768</v>
      </c>
      <c r="J103" s="459">
        <f t="shared" si="35"/>
        <v>116.81085380247265</v>
      </c>
      <c r="K103" s="459">
        <f t="shared" si="35"/>
        <v>114.8536329860451</v>
      </c>
      <c r="L103" s="459">
        <f t="shared" si="35"/>
        <v>114.56748236877077</v>
      </c>
    </row>
    <row r="104" spans="1:12">
      <c r="A104" s="309"/>
      <c r="B104" s="326" t="s">
        <v>886</v>
      </c>
      <c r="C104" s="459">
        <f t="shared" ref="C104:L104" si="36">C76*C$98</f>
        <v>321.15095152137707</v>
      </c>
      <c r="D104" s="459">
        <f t="shared" si="36"/>
        <v>299.98266251406659</v>
      </c>
      <c r="E104" s="459">
        <f t="shared" si="36"/>
        <v>296.52056900097807</v>
      </c>
      <c r="F104" s="459">
        <f t="shared" si="36"/>
        <v>295.31907080743969</v>
      </c>
      <c r="G104" s="459">
        <f t="shared" si="36"/>
        <v>296.86533748719222</v>
      </c>
      <c r="H104" s="459">
        <f t="shared" si="36"/>
        <v>296.18138355881962</v>
      </c>
      <c r="I104" s="459">
        <f t="shared" si="36"/>
        <v>282.73678907047048</v>
      </c>
      <c r="J104" s="459">
        <f t="shared" si="36"/>
        <v>277.13649918290662</v>
      </c>
      <c r="K104" s="459">
        <f t="shared" si="36"/>
        <v>272.49294674290934</v>
      </c>
      <c r="L104" s="459">
        <f t="shared" si="36"/>
        <v>271.81404767035792</v>
      </c>
    </row>
    <row r="105" spans="1:12">
      <c r="A105" s="309"/>
      <c r="B105" s="326" t="s">
        <v>887</v>
      </c>
      <c r="C105" s="459">
        <f t="shared" ref="C105:L105" si="37">C87*C$98</f>
        <v>460.63848086870684</v>
      </c>
      <c r="D105" s="459">
        <f t="shared" si="37"/>
        <v>430.27603465852275</v>
      </c>
      <c r="E105" s="459">
        <f t="shared" si="37"/>
        <v>425.31022811509001</v>
      </c>
      <c r="F105" s="459">
        <f t="shared" si="37"/>
        <v>423.58687559187268</v>
      </c>
      <c r="G105" s="459">
        <f t="shared" si="37"/>
        <v>425.80474208426477</v>
      </c>
      <c r="H105" s="459">
        <f t="shared" si="37"/>
        <v>424.82372210890043</v>
      </c>
      <c r="I105" s="459">
        <f t="shared" si="37"/>
        <v>405.53965163776968</v>
      </c>
      <c r="J105" s="459">
        <f t="shared" si="37"/>
        <v>397.50695232920145</v>
      </c>
      <c r="K105" s="459">
        <f t="shared" si="37"/>
        <v>390.84653631093488</v>
      </c>
      <c r="L105" s="459">
        <f t="shared" si="37"/>
        <v>389.87276669897579</v>
      </c>
    </row>
    <row r="106" spans="1:12">
      <c r="A106" s="309"/>
      <c r="B106" s="326" t="s">
        <v>8</v>
      </c>
      <c r="C106" s="459">
        <f>SUM(C103:C105)</f>
        <v>917.15203153271727</v>
      </c>
      <c r="D106" s="459">
        <f t="shared" ref="D106:L106" si="38">SUM(D103:D105)</f>
        <v>856.6990290578542</v>
      </c>
      <c r="E106" s="459">
        <f t="shared" si="38"/>
        <v>846.81188382648145</v>
      </c>
      <c r="F106" s="459">
        <f t="shared" si="38"/>
        <v>843.38061107494082</v>
      </c>
      <c r="G106" s="459">
        <f t="shared" si="38"/>
        <v>847.79648348605519</v>
      </c>
      <c r="H106" s="459">
        <f t="shared" si="38"/>
        <v>845.84322838308867</v>
      </c>
      <c r="I106" s="459">
        <f t="shared" si="38"/>
        <v>807.44777263335777</v>
      </c>
      <c r="J106" s="459">
        <f t="shared" si="38"/>
        <v>791.45430531458078</v>
      </c>
      <c r="K106" s="459">
        <f t="shared" si="38"/>
        <v>778.19311603988933</v>
      </c>
      <c r="L106" s="459">
        <f t="shared" si="38"/>
        <v>776.25429673810447</v>
      </c>
    </row>
    <row r="107" spans="1:12">
      <c r="A107" s="309"/>
      <c r="B107" s="309"/>
      <c r="C107" s="309"/>
      <c r="D107" s="309"/>
      <c r="E107" s="309"/>
      <c r="F107" s="309"/>
      <c r="G107" s="309"/>
      <c r="H107" s="309"/>
      <c r="I107" s="309"/>
      <c r="J107" s="309"/>
      <c r="K107" s="309"/>
      <c r="L107" s="309"/>
    </row>
    <row r="108" spans="1:12">
      <c r="A108" s="309"/>
      <c r="B108" s="309"/>
      <c r="C108" s="309"/>
      <c r="D108" s="309"/>
      <c r="E108" s="309"/>
      <c r="F108" s="309"/>
      <c r="G108" s="309"/>
      <c r="H108" s="309"/>
      <c r="I108" s="309"/>
      <c r="J108" s="309"/>
      <c r="K108" s="309"/>
      <c r="L108" s="309"/>
    </row>
    <row r="109" spans="1:12">
      <c r="A109" s="309"/>
      <c r="B109" s="701" t="s">
        <v>725</v>
      </c>
      <c r="C109" s="699"/>
      <c r="D109" s="699"/>
      <c r="E109" s="699"/>
      <c r="F109" s="699"/>
      <c r="G109" s="699"/>
      <c r="H109" s="699"/>
      <c r="I109" s="699"/>
      <c r="J109" s="309"/>
      <c r="K109" s="309"/>
      <c r="L109" s="309"/>
    </row>
    <row r="110" spans="1:12">
      <c r="A110" s="309"/>
      <c r="B110" s="700"/>
      <c r="C110" s="309"/>
      <c r="D110" s="309"/>
      <c r="E110" s="309"/>
      <c r="F110" s="309"/>
      <c r="G110" s="309"/>
      <c r="H110" s="309"/>
      <c r="I110" s="699"/>
      <c r="J110" s="309"/>
      <c r="K110" s="309"/>
      <c r="L110" s="309"/>
    </row>
    <row r="111" spans="1:12">
      <c r="A111" s="309"/>
      <c r="B111" s="700" t="s">
        <v>1628</v>
      </c>
      <c r="C111" s="700">
        <f>C106</f>
        <v>917.15203153271727</v>
      </c>
      <c r="D111" s="700">
        <f t="shared" ref="D111:L111" si="39">D106</f>
        <v>856.6990290578542</v>
      </c>
      <c r="E111" s="700">
        <f t="shared" si="39"/>
        <v>846.81188382648145</v>
      </c>
      <c r="F111" s="700">
        <f t="shared" si="39"/>
        <v>843.38061107494082</v>
      </c>
      <c r="G111" s="700">
        <f t="shared" si="39"/>
        <v>847.79648348605519</v>
      </c>
      <c r="H111" s="700">
        <f t="shared" si="39"/>
        <v>845.84322838308867</v>
      </c>
      <c r="I111" s="700">
        <f t="shared" si="39"/>
        <v>807.44777263335777</v>
      </c>
      <c r="J111" s="700">
        <f t="shared" si="39"/>
        <v>791.45430531458078</v>
      </c>
      <c r="K111" s="700">
        <f t="shared" si="39"/>
        <v>778.19311603988933</v>
      </c>
      <c r="L111" s="700">
        <f t="shared" si="39"/>
        <v>776.25429673810447</v>
      </c>
    </row>
    <row r="112" spans="1:12">
      <c r="A112" s="309"/>
      <c r="B112" s="700" t="s">
        <v>804</v>
      </c>
      <c r="C112" s="700">
        <f t="shared" ref="C112:L112" si="40">((C67+C78+C89)/100)*C111</f>
        <v>131.87472479572406</v>
      </c>
      <c r="D112" s="700">
        <f t="shared" si="40"/>
        <v>123.18235669277732</v>
      </c>
      <c r="E112" s="700">
        <f t="shared" si="40"/>
        <v>121.76071174016936</v>
      </c>
      <c r="F112" s="700">
        <f t="shared" si="40"/>
        <v>121.26733863053093</v>
      </c>
      <c r="G112" s="700">
        <f t="shared" si="40"/>
        <v>121.90228457071007</v>
      </c>
      <c r="H112" s="700">
        <f t="shared" si="40"/>
        <v>121.62143148386787</v>
      </c>
      <c r="I112" s="700">
        <f t="shared" si="40"/>
        <v>116.10065631648327</v>
      </c>
      <c r="J112" s="700">
        <f t="shared" si="40"/>
        <v>113.80100039393311</v>
      </c>
      <c r="K112" s="700">
        <f t="shared" si="40"/>
        <v>111.8942110875393</v>
      </c>
      <c r="L112" s="700">
        <f t="shared" si="40"/>
        <v>111.61543368416352</v>
      </c>
    </row>
    <row r="113" spans="1:12">
      <c r="A113" s="309"/>
      <c r="B113" s="700" t="s">
        <v>805</v>
      </c>
      <c r="C113" s="700">
        <f t="shared" ref="C113:L113" si="41">((C66+C77+C88)/100)*C111</f>
        <v>785.27730673699318</v>
      </c>
      <c r="D113" s="700">
        <f t="shared" si="41"/>
        <v>733.51667236507683</v>
      </c>
      <c r="E113" s="700">
        <f t="shared" si="41"/>
        <v>725.05117208631202</v>
      </c>
      <c r="F113" s="700">
        <f t="shared" si="41"/>
        <v>722.11327244440986</v>
      </c>
      <c r="G113" s="700">
        <f t="shared" si="41"/>
        <v>725.8941989153451</v>
      </c>
      <c r="H113" s="700">
        <f t="shared" si="41"/>
        <v>724.22179689922075</v>
      </c>
      <c r="I113" s="700">
        <f t="shared" si="41"/>
        <v>691.34711631687446</v>
      </c>
      <c r="J113" s="700">
        <f t="shared" si="41"/>
        <v>677.65330492064766</v>
      </c>
      <c r="K113" s="700">
        <f t="shared" si="41"/>
        <v>666.29890495234997</v>
      </c>
      <c r="L113" s="700">
        <f t="shared" si="41"/>
        <v>664.6388630539409</v>
      </c>
    </row>
    <row r="114" spans="1:12">
      <c r="A114" s="309"/>
      <c r="B114" s="700" t="s">
        <v>799</v>
      </c>
      <c r="C114" s="700">
        <f>C112*$C$39</f>
        <v>81.498579923757475</v>
      </c>
      <c r="D114" s="700">
        <f t="shared" ref="D114:L114" si="42">D112*$C$39</f>
        <v>76.126696436136385</v>
      </c>
      <c r="E114" s="700">
        <f t="shared" si="42"/>
        <v>75.248119855424662</v>
      </c>
      <c r="F114" s="700">
        <f t="shared" si="42"/>
        <v>74.943215273668116</v>
      </c>
      <c r="G114" s="700">
        <f t="shared" si="42"/>
        <v>75.335611864698819</v>
      </c>
      <c r="H114" s="700">
        <f t="shared" si="42"/>
        <v>75.162044657030336</v>
      </c>
      <c r="I114" s="700">
        <f t="shared" si="42"/>
        <v>71.750205603586664</v>
      </c>
      <c r="J114" s="700">
        <f t="shared" si="42"/>
        <v>70.329018243450662</v>
      </c>
      <c r="K114" s="700">
        <f t="shared" si="42"/>
        <v>69.150622452099284</v>
      </c>
      <c r="L114" s="700">
        <f t="shared" si="42"/>
        <v>68.978338016813055</v>
      </c>
    </row>
    <row r="115" spans="1:12">
      <c r="A115" s="309"/>
      <c r="B115" s="700" t="s">
        <v>800</v>
      </c>
      <c r="C115" s="700">
        <f>C113</f>
        <v>785.27730673699318</v>
      </c>
      <c r="D115" s="700">
        <f t="shared" ref="D115:L115" si="43">D113</f>
        <v>733.51667236507683</v>
      </c>
      <c r="E115" s="700">
        <f t="shared" si="43"/>
        <v>725.05117208631202</v>
      </c>
      <c r="F115" s="700">
        <f t="shared" si="43"/>
        <v>722.11327244440986</v>
      </c>
      <c r="G115" s="700">
        <f t="shared" si="43"/>
        <v>725.8941989153451</v>
      </c>
      <c r="H115" s="700">
        <f t="shared" si="43"/>
        <v>724.22179689922075</v>
      </c>
      <c r="I115" s="700">
        <f t="shared" si="43"/>
        <v>691.34711631687446</v>
      </c>
      <c r="J115" s="700">
        <f t="shared" si="43"/>
        <v>677.65330492064766</v>
      </c>
      <c r="K115" s="700">
        <f t="shared" si="43"/>
        <v>666.29890495234997</v>
      </c>
      <c r="L115" s="700">
        <f t="shared" si="43"/>
        <v>664.6388630539409</v>
      </c>
    </row>
    <row r="116" spans="1:12">
      <c r="A116" s="309"/>
      <c r="B116" s="700" t="s">
        <v>724</v>
      </c>
      <c r="C116" s="700">
        <f>C115+C114</f>
        <v>866.77588666075064</v>
      </c>
      <c r="D116" s="700">
        <f t="shared" ref="D116:L116" si="44">D115+D114</f>
        <v>809.64336880121323</v>
      </c>
      <c r="E116" s="700">
        <f t="shared" si="44"/>
        <v>800.29929194173667</v>
      </c>
      <c r="F116" s="700">
        <f t="shared" si="44"/>
        <v>797.05648771807796</v>
      </c>
      <c r="G116" s="700">
        <f t="shared" si="44"/>
        <v>801.22981078004386</v>
      </c>
      <c r="H116" s="700">
        <f t="shared" si="44"/>
        <v>799.38384155625113</v>
      </c>
      <c r="I116" s="700">
        <f t="shared" si="44"/>
        <v>763.09732192046113</v>
      </c>
      <c r="J116" s="700">
        <f t="shared" si="44"/>
        <v>747.98232316409826</v>
      </c>
      <c r="K116" s="700">
        <f t="shared" si="44"/>
        <v>735.44952740444921</v>
      </c>
      <c r="L116" s="700">
        <f t="shared" si="44"/>
        <v>733.61720107075394</v>
      </c>
    </row>
    <row r="117" spans="1:12">
      <c r="A117" s="309"/>
      <c r="B117" s="700" t="s">
        <v>1629</v>
      </c>
      <c r="C117" s="700">
        <f>C112+C113-C111</f>
        <v>0</v>
      </c>
      <c r="D117" s="700">
        <f t="shared" ref="D117:L117" si="45">D112+D113-D111</f>
        <v>0</v>
      </c>
      <c r="E117" s="700">
        <f t="shared" si="45"/>
        <v>0</v>
      </c>
      <c r="F117" s="700">
        <f t="shared" si="45"/>
        <v>0</v>
      </c>
      <c r="G117" s="700">
        <f t="shared" si="45"/>
        <v>0</v>
      </c>
      <c r="H117" s="700">
        <f t="shared" si="45"/>
        <v>0</v>
      </c>
      <c r="I117" s="700">
        <f t="shared" si="45"/>
        <v>0</v>
      </c>
      <c r="J117" s="700">
        <f t="shared" si="45"/>
        <v>0</v>
      </c>
      <c r="K117" s="700">
        <f t="shared" si="45"/>
        <v>0</v>
      </c>
      <c r="L117" s="700">
        <f t="shared" si="45"/>
        <v>0</v>
      </c>
    </row>
    <row r="118" spans="1:12">
      <c r="A118" s="309">
        <f>SUM(C117:L118)</f>
        <v>0</v>
      </c>
      <c r="B118" s="700" t="s">
        <v>808</v>
      </c>
      <c r="C118" s="700">
        <f t="shared" ref="C118:L118" si="46">C116-C44</f>
        <v>0</v>
      </c>
      <c r="D118" s="700">
        <f t="shared" si="46"/>
        <v>0</v>
      </c>
      <c r="E118" s="700">
        <f t="shared" si="46"/>
        <v>0</v>
      </c>
      <c r="F118" s="700">
        <f t="shared" si="46"/>
        <v>0</v>
      </c>
      <c r="G118" s="700">
        <f t="shared" si="46"/>
        <v>0</v>
      </c>
      <c r="H118" s="700">
        <f t="shared" si="46"/>
        <v>0</v>
      </c>
      <c r="I118" s="700">
        <f t="shared" si="46"/>
        <v>0</v>
      </c>
      <c r="J118" s="700">
        <f t="shared" si="46"/>
        <v>0</v>
      </c>
      <c r="K118" s="700">
        <f t="shared" si="46"/>
        <v>0</v>
      </c>
      <c r="L118" s="700">
        <f t="shared" si="46"/>
        <v>0</v>
      </c>
    </row>
    <row r="119" spans="1:12">
      <c r="A119" s="309"/>
      <c r="B119" s="309"/>
      <c r="C119" s="309"/>
      <c r="D119" s="309"/>
      <c r="E119" s="309"/>
      <c r="F119" s="309"/>
      <c r="G119" s="309"/>
      <c r="H119" s="309"/>
      <c r="I119" s="309"/>
      <c r="J119" s="309"/>
      <c r="K119" s="309"/>
      <c r="L119" s="309"/>
    </row>
    <row r="120" spans="1:12">
      <c r="A120" s="309"/>
      <c r="B120" s="309"/>
      <c r="C120" s="309"/>
      <c r="D120" s="309"/>
      <c r="E120" s="309"/>
      <c r="F120" s="309"/>
      <c r="G120" s="309"/>
      <c r="H120" s="309"/>
      <c r="I120" s="309"/>
      <c r="J120" s="309"/>
      <c r="K120" s="309"/>
      <c r="L120" s="309"/>
    </row>
    <row r="121" spans="1:12">
      <c r="A121" s="309"/>
      <c r="B121" s="309"/>
      <c r="C121" s="309"/>
      <c r="D121" s="309"/>
      <c r="E121" s="309"/>
      <c r="F121" s="309"/>
      <c r="G121" s="309"/>
      <c r="H121" s="309"/>
      <c r="I121" s="309"/>
      <c r="J121" s="309"/>
      <c r="K121" s="309"/>
      <c r="L121" s="309"/>
    </row>
    <row r="122" spans="1:12">
      <c r="A122" s="309"/>
      <c r="B122" s="309"/>
      <c r="C122" s="309"/>
      <c r="D122" s="309"/>
      <c r="E122" s="309"/>
      <c r="F122" s="309"/>
      <c r="G122" s="309"/>
      <c r="H122" s="309"/>
      <c r="I122" s="309"/>
      <c r="J122" s="309"/>
      <c r="K122" s="309"/>
      <c r="L122" s="309"/>
    </row>
    <row r="123" spans="1:12">
      <c r="A123" s="309"/>
      <c r="B123" s="309"/>
      <c r="C123" s="309"/>
      <c r="D123" s="309"/>
      <c r="E123" s="309"/>
      <c r="F123" s="309"/>
      <c r="G123" s="309"/>
      <c r="H123" s="309"/>
      <c r="I123" s="309"/>
      <c r="J123" s="309"/>
      <c r="K123" s="309"/>
      <c r="L123" s="309"/>
    </row>
    <row r="124" spans="1:12">
      <c r="A124" s="309"/>
      <c r="B124" s="309"/>
      <c r="C124" s="309"/>
      <c r="D124" s="309"/>
      <c r="E124" s="309"/>
      <c r="F124" s="309"/>
      <c r="G124" s="309"/>
      <c r="H124" s="309"/>
      <c r="I124" s="309"/>
      <c r="J124" s="309"/>
      <c r="K124" s="309"/>
      <c r="L124" s="309"/>
    </row>
    <row r="125" spans="1:12">
      <c r="A125" s="309"/>
      <c r="B125" s="309"/>
      <c r="C125" s="309"/>
      <c r="D125" s="309"/>
      <c r="E125" s="309"/>
      <c r="F125" s="309"/>
      <c r="G125" s="309"/>
      <c r="H125" s="309"/>
      <c r="I125" s="309"/>
      <c r="J125" s="309"/>
      <c r="K125" s="309"/>
      <c r="L125" s="309"/>
    </row>
    <row r="126" spans="1:12">
      <c r="A126" s="309"/>
      <c r="B126" s="309"/>
      <c r="C126" s="309"/>
      <c r="D126" s="309"/>
      <c r="E126" s="309"/>
      <c r="F126" s="309"/>
      <c r="G126" s="309"/>
      <c r="H126" s="309"/>
      <c r="I126" s="309"/>
      <c r="J126" s="309"/>
      <c r="K126" s="309"/>
      <c r="L126" s="309"/>
    </row>
    <row r="127" spans="1:12">
      <c r="A127" s="309"/>
      <c r="B127" s="309"/>
      <c r="C127" s="309"/>
      <c r="D127" s="309"/>
      <c r="E127" s="309"/>
      <c r="F127" s="309"/>
      <c r="G127" s="309"/>
      <c r="H127" s="309"/>
      <c r="I127" s="309"/>
      <c r="J127" s="309"/>
      <c r="K127" s="309"/>
      <c r="L127" s="309"/>
    </row>
    <row r="128" spans="1:12">
      <c r="A128" s="309"/>
      <c r="B128" s="309"/>
      <c r="C128" s="309"/>
      <c r="D128" s="309"/>
      <c r="E128" s="309"/>
      <c r="F128" s="309"/>
      <c r="G128" s="309"/>
      <c r="H128" s="309"/>
      <c r="I128" s="309"/>
      <c r="J128" s="309"/>
      <c r="K128" s="309"/>
      <c r="L128" s="309"/>
    </row>
    <row r="129" spans="1:12">
      <c r="A129" s="309"/>
      <c r="B129" s="309"/>
      <c r="C129" s="309"/>
      <c r="D129" s="309"/>
      <c r="E129" s="309"/>
      <c r="F129" s="309"/>
      <c r="G129" s="309"/>
      <c r="H129" s="309"/>
      <c r="I129" s="309"/>
      <c r="J129" s="309"/>
      <c r="K129" s="309"/>
      <c r="L129" s="309"/>
    </row>
    <row r="130" spans="1:12">
      <c r="A130" s="309"/>
      <c r="B130" s="309"/>
      <c r="C130" s="309"/>
      <c r="D130" s="309"/>
      <c r="E130" s="309"/>
      <c r="F130" s="309"/>
      <c r="G130" s="309"/>
      <c r="H130" s="309"/>
      <c r="I130" s="309"/>
      <c r="J130" s="309"/>
      <c r="K130" s="309"/>
      <c r="L130" s="309"/>
    </row>
    <row r="131" spans="1:12">
      <c r="A131" s="309"/>
      <c r="B131" s="309"/>
      <c r="C131" s="309"/>
      <c r="D131" s="309"/>
      <c r="E131" s="309"/>
      <c r="F131" s="309"/>
      <c r="G131" s="309"/>
      <c r="H131" s="309"/>
      <c r="I131" s="309"/>
      <c r="J131" s="309"/>
      <c r="K131" s="309"/>
      <c r="L131" s="309"/>
    </row>
    <row r="132" spans="1:12">
      <c r="A132" s="309"/>
      <c r="B132" s="309"/>
      <c r="C132" s="309"/>
      <c r="D132" s="309"/>
      <c r="E132" s="309"/>
      <c r="F132" s="309"/>
      <c r="G132" s="309"/>
      <c r="H132" s="309"/>
      <c r="I132" s="309"/>
      <c r="J132" s="309"/>
      <c r="K132" s="309"/>
      <c r="L132" s="309"/>
    </row>
  </sheetData>
  <mergeCells count="4">
    <mergeCell ref="D17:L18"/>
    <mergeCell ref="B46:L47"/>
    <mergeCell ref="J50:J52"/>
    <mergeCell ref="A5:L5"/>
  </mergeCells>
  <hyperlinks>
    <hyperlink ref="A2" location="'Title_&amp;_Contents'!A1" display="Contents"/>
    <hyperlink ref="B2" location="Map_of_sheets!A1" display="Map of sheets"/>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58"/>
  <sheetViews>
    <sheetView showGridLines="0" workbookViewId="0"/>
  </sheetViews>
  <sheetFormatPr defaultColWidth="9.140625" defaultRowHeight="12.75"/>
  <cols>
    <col min="1" max="1" width="8.28515625" style="309" customWidth="1"/>
    <col min="2" max="2" width="45.7109375" style="309" customWidth="1"/>
    <col min="3" max="12" width="9.7109375" style="309" customWidth="1"/>
    <col min="13" max="16384" width="9.140625" style="309"/>
  </cols>
  <sheetData>
    <row r="1" spans="1:12" s="344" customFormat="1" ht="15">
      <c r="A1" s="343" t="str">
        <f>ModelBanner</f>
        <v>TSM_201718 for publication</v>
      </c>
    </row>
    <row r="2" spans="1:12" s="344" customFormat="1" ht="15">
      <c r="A2" s="1003" t="s">
        <v>13</v>
      </c>
      <c r="B2" s="1003" t="s">
        <v>30</v>
      </c>
    </row>
    <row r="3" spans="1:12" s="344" customFormat="1" ht="15">
      <c r="A3" s="345"/>
    </row>
    <row r="4" spans="1:12" s="679" customFormat="1">
      <c r="A4" s="680" t="s">
        <v>26</v>
      </c>
      <c r="B4" s="680"/>
      <c r="C4" s="680"/>
      <c r="D4" s="680"/>
      <c r="E4" s="347"/>
      <c r="F4" s="680"/>
    </row>
    <row r="5" spans="1:12" s="678" customFormat="1" ht="13.15" customHeight="1">
      <c r="A5" s="708" t="s">
        <v>1729</v>
      </c>
      <c r="B5" s="708"/>
      <c r="C5" s="708"/>
      <c r="D5" s="708"/>
      <c r="E5" s="708"/>
      <c r="F5" s="708"/>
      <c r="G5" s="349"/>
      <c r="H5" s="349"/>
      <c r="I5" s="349"/>
      <c r="J5" s="349"/>
      <c r="K5" s="349"/>
      <c r="L5" s="349"/>
    </row>
    <row r="6" spans="1:12" s="675" customFormat="1">
      <c r="A6" s="677" t="s">
        <v>1420</v>
      </c>
      <c r="B6" s="352"/>
      <c r="C6" s="352"/>
      <c r="D6" s="352"/>
      <c r="E6" s="347"/>
      <c r="F6" s="352"/>
      <c r="G6" s="353"/>
      <c r="H6" s="353"/>
      <c r="I6" s="353"/>
      <c r="J6" s="353"/>
      <c r="K6" s="353"/>
      <c r="L6" s="353"/>
    </row>
    <row r="7" spans="1:12" s="675" customFormat="1">
      <c r="A7" s="676" t="s">
        <v>742</v>
      </c>
      <c r="B7" s="677"/>
      <c r="C7" s="352"/>
      <c r="D7" s="352"/>
      <c r="E7" s="347"/>
      <c r="F7" s="352"/>
      <c r="G7" s="353"/>
      <c r="H7" s="353"/>
      <c r="I7" s="353"/>
      <c r="J7" s="353"/>
      <c r="K7" s="353"/>
      <c r="L7" s="353"/>
    </row>
    <row r="8" spans="1:12" s="675" customFormat="1">
      <c r="A8" s="677" t="s">
        <v>24</v>
      </c>
      <c r="B8" s="352"/>
      <c r="C8" s="352"/>
      <c r="D8" s="352"/>
      <c r="E8" s="347"/>
      <c r="F8" s="352"/>
      <c r="G8" s="353"/>
      <c r="H8" s="353"/>
      <c r="I8" s="353"/>
      <c r="J8" s="353"/>
      <c r="K8" s="353"/>
      <c r="L8" s="353"/>
    </row>
    <row r="9" spans="1:12" s="673" customFormat="1">
      <c r="A9" s="674"/>
      <c r="B9" s="357"/>
      <c r="C9" s="358"/>
      <c r="D9" s="359"/>
      <c r="E9" s="359"/>
      <c r="F9" s="359"/>
      <c r="G9" s="361"/>
      <c r="H9" s="361"/>
      <c r="I9" s="361"/>
      <c r="J9" s="361"/>
      <c r="K9" s="361"/>
      <c r="L9" s="361"/>
    </row>
    <row r="11" spans="1:12" ht="15.75">
      <c r="B11" s="340" t="s">
        <v>811</v>
      </c>
    </row>
    <row r="13" spans="1:12">
      <c r="B13" s="326"/>
      <c r="C13" s="326" t="str">
        <f>Primary_2!C102</f>
        <v>2018/19</v>
      </c>
      <c r="D13" s="326" t="str">
        <f>Primary_2!D102</f>
        <v>2019/20</v>
      </c>
      <c r="E13" s="326" t="str">
        <f>Primary_2!E102</f>
        <v>2020/21</v>
      </c>
      <c r="F13" s="326" t="str">
        <f>Primary_2!F102</f>
        <v>2021/22</v>
      </c>
      <c r="G13" s="326" t="str">
        <f>Primary_2!G102</f>
        <v>2022/23</v>
      </c>
      <c r="H13" s="326" t="str">
        <f>Primary_2!H102</f>
        <v>2023/24</v>
      </c>
      <c r="I13" s="326" t="str">
        <f>Primary_2!I102</f>
        <v>2024/25</v>
      </c>
      <c r="J13" s="326" t="str">
        <f>Primary_2!J102</f>
        <v>2025/26</v>
      </c>
      <c r="K13" s="326" t="str">
        <f>Primary_2!K102</f>
        <v>2026/27</v>
      </c>
      <c r="L13" s="326" t="str">
        <f>Primary_2!L102</f>
        <v>2027/28</v>
      </c>
    </row>
    <row r="14" spans="1:12">
      <c r="B14" s="326" t="str">
        <f>Primary_2!B104</f>
        <v>Primary Re-entrants</v>
      </c>
      <c r="C14" s="324">
        <f>Primary_2!C104</f>
        <v>8231.8459106222508</v>
      </c>
      <c r="D14" s="324">
        <f>Primary_2!D104</f>
        <v>7818.6298667525107</v>
      </c>
      <c r="E14" s="324">
        <f>Primary_2!E104</f>
        <v>7865.8138177314004</v>
      </c>
      <c r="F14" s="324">
        <f>Primary_2!F104</f>
        <v>7794.1211155926603</v>
      </c>
      <c r="G14" s="324">
        <f>Primary_2!G104</f>
        <v>7688.8634446704673</v>
      </c>
      <c r="H14" s="324">
        <f>Primary_2!H104</f>
        <v>7615.7729049326808</v>
      </c>
      <c r="I14" s="324">
        <f>Primary_2!I104</f>
        <v>7799.940261219168</v>
      </c>
      <c r="J14" s="324">
        <f>Primary_2!J104</f>
        <v>7948.6882603108161</v>
      </c>
      <c r="K14" s="324">
        <f>Primary_2!K104</f>
        <v>7986.8621663576705</v>
      </c>
      <c r="L14" s="324">
        <f>Primary_2!L104</f>
        <v>7951.1870546355349</v>
      </c>
    </row>
    <row r="15" spans="1:12">
      <c r="B15" s="326" t="str">
        <f>'Art_&amp;_Design_2'!B104</f>
        <v>Art &amp; Design Re-entrants</v>
      </c>
      <c r="C15" s="324">
        <f>'Art_&amp;_Design_2'!C104</f>
        <v>281.91045270470215</v>
      </c>
      <c r="D15" s="324">
        <f>'Art_&amp;_Design_2'!D104</f>
        <v>283.31034563829462</v>
      </c>
      <c r="E15" s="324">
        <f>'Art_&amp;_Design_2'!E104</f>
        <v>318.35753640553554</v>
      </c>
      <c r="F15" s="324">
        <f>'Art_&amp;_Design_2'!F104</f>
        <v>324.72629282422747</v>
      </c>
      <c r="G15" s="324">
        <f>'Art_&amp;_Design_2'!G104</f>
        <v>327.0861867183844</v>
      </c>
      <c r="H15" s="324">
        <f>'Art_&amp;_Design_2'!H104</f>
        <v>332.13220382331343</v>
      </c>
      <c r="I15" s="324">
        <f>'Art_&amp;_Design_2'!I104</f>
        <v>319.68709892795079</v>
      </c>
      <c r="J15" s="324">
        <f>'Art_&amp;_Design_2'!J104</f>
        <v>307.2055445826723</v>
      </c>
      <c r="K15" s="324">
        <f>'Art_&amp;_Design_2'!K104</f>
        <v>300.80023813053026</v>
      </c>
      <c r="L15" s="324">
        <f>'Art_&amp;_Design_2'!L104</f>
        <v>307.49334123592604</v>
      </c>
    </row>
    <row r="16" spans="1:12">
      <c r="B16" s="326" t="str">
        <f>Biology_2!B104</f>
        <v>Biology Re-entrants</v>
      </c>
      <c r="C16" s="324">
        <f>Biology_2!C104</f>
        <v>559.83792807521741</v>
      </c>
      <c r="D16" s="324">
        <f>Biology_2!D104</f>
        <v>531.58675733739449</v>
      </c>
      <c r="E16" s="324">
        <f>Biology_2!E104</f>
        <v>525.50417089396001</v>
      </c>
      <c r="F16" s="324">
        <f>Biology_2!F104</f>
        <v>536.07833100719006</v>
      </c>
      <c r="G16" s="324">
        <f>Biology_2!G104</f>
        <v>550.96709730331031</v>
      </c>
      <c r="H16" s="324">
        <f>Biology_2!H104</f>
        <v>541.01131670445363</v>
      </c>
      <c r="I16" s="324">
        <f>Biology_2!I104</f>
        <v>526.25713170199492</v>
      </c>
      <c r="J16" s="324">
        <f>Biology_2!J104</f>
        <v>532.2806792685974</v>
      </c>
      <c r="K16" s="324">
        <f>Biology_2!K104</f>
        <v>529.17298161383655</v>
      </c>
      <c r="L16" s="324">
        <f>Biology_2!L104</f>
        <v>510.27346687154505</v>
      </c>
    </row>
    <row r="17" spans="2:12">
      <c r="B17" s="326" t="str">
        <f>Business_Studies_2!B104</f>
        <v>Business Studies Re-entrants</v>
      </c>
      <c r="C17" s="324">
        <f>Business_Studies_2!C104</f>
        <v>111.12935967971804</v>
      </c>
      <c r="D17" s="324">
        <f>Business_Studies_2!D104</f>
        <v>83.699061966657382</v>
      </c>
      <c r="E17" s="324">
        <f>Business_Studies_2!E104</f>
        <v>124.55265504633962</v>
      </c>
      <c r="F17" s="324">
        <f>Business_Studies_2!F104</f>
        <v>143.7387486041236</v>
      </c>
      <c r="G17" s="324">
        <f>Business_Studies_2!G104</f>
        <v>155.8643853654863</v>
      </c>
      <c r="H17" s="324">
        <f>Business_Studies_2!H104</f>
        <v>151.19438241930177</v>
      </c>
      <c r="I17" s="324">
        <f>Business_Studies_2!I104</f>
        <v>155.99225553299325</v>
      </c>
      <c r="J17" s="324">
        <f>Business_Studies_2!J104</f>
        <v>160.89420973154796</v>
      </c>
      <c r="K17" s="324">
        <f>Business_Studies_2!K104</f>
        <v>161.81634144051961</v>
      </c>
      <c r="L17" s="324">
        <f>Business_Studies_2!L104</f>
        <v>152.07348188576455</v>
      </c>
    </row>
    <row r="18" spans="2:12">
      <c r="B18" s="326" t="str">
        <f>Chemistry_2!B104</f>
        <v>Chemistry Re-entrants</v>
      </c>
      <c r="C18" s="324">
        <f>Chemistry_2!C104</f>
        <v>472.35753935926704</v>
      </c>
      <c r="D18" s="324">
        <f>Chemistry_2!D104</f>
        <v>472.69940674026071</v>
      </c>
      <c r="E18" s="324">
        <f>Chemistry_2!E104</f>
        <v>465.87800132992248</v>
      </c>
      <c r="F18" s="324">
        <f>Chemistry_2!F104</f>
        <v>474.58374068190682</v>
      </c>
      <c r="G18" s="324">
        <f>Chemistry_2!G104</f>
        <v>486.93226184026247</v>
      </c>
      <c r="H18" s="324">
        <f>Chemistry_2!H104</f>
        <v>474.39923721976726</v>
      </c>
      <c r="I18" s="324">
        <f>Chemistry_2!I104</f>
        <v>460.29016885323375</v>
      </c>
      <c r="J18" s="324">
        <f>Chemistry_2!J104</f>
        <v>467.0561509917847</v>
      </c>
      <c r="K18" s="324">
        <f>Chemistry_2!K104</f>
        <v>463.7817739595651</v>
      </c>
      <c r="L18" s="324">
        <f>Chemistry_2!L104</f>
        <v>442.63575295902638</v>
      </c>
    </row>
    <row r="19" spans="2:12">
      <c r="B19" s="326" t="str">
        <f>Classics_2!B104</f>
        <v>Classics Re-entrants</v>
      </c>
      <c r="C19" s="324">
        <f>Classics_2!C104</f>
        <v>13.413422924948968</v>
      </c>
      <c r="D19" s="324">
        <f>Classics_2!D104</f>
        <v>13.037067679105245</v>
      </c>
      <c r="E19" s="324">
        <f>Classics_2!E104</f>
        <v>12.87362301728105</v>
      </c>
      <c r="F19" s="324">
        <f>Classics_2!F104</f>
        <v>12.938473927265143</v>
      </c>
      <c r="G19" s="324">
        <f>Classics_2!G104</f>
        <v>13.169662167457</v>
      </c>
      <c r="H19" s="324">
        <f>Classics_2!H104</f>
        <v>13.095854683585031</v>
      </c>
      <c r="I19" s="324">
        <f>Classics_2!I104</f>
        <v>12.896402413339676</v>
      </c>
      <c r="J19" s="324">
        <f>Classics_2!J104</f>
        <v>12.585212237439977</v>
      </c>
      <c r="K19" s="324">
        <f>Classics_2!K104</f>
        <v>12.417031313078475</v>
      </c>
      <c r="L19" s="324">
        <f>Classics_2!L104</f>
        <v>12.40614266015176</v>
      </c>
    </row>
    <row r="20" spans="2:12">
      <c r="B20" s="326" t="str">
        <f>Computing_2!B104</f>
        <v>Computing Re-entrants</v>
      </c>
      <c r="C20" s="324">
        <f>Computing_2!C104</f>
        <v>209.22583474940703</v>
      </c>
      <c r="D20" s="324">
        <f>Computing_2!D104</f>
        <v>201.22499136234597</v>
      </c>
      <c r="E20" s="324">
        <f>Computing_2!E104</f>
        <v>266.98386789210332</v>
      </c>
      <c r="F20" s="324">
        <f>Computing_2!F104</f>
        <v>287.18294875534048</v>
      </c>
      <c r="G20" s="324">
        <f>Computing_2!G104</f>
        <v>291.99568541149762</v>
      </c>
      <c r="H20" s="324">
        <f>Computing_2!H104</f>
        <v>294.29414070088762</v>
      </c>
      <c r="I20" s="324">
        <f>Computing_2!I104</f>
        <v>285.315958476025</v>
      </c>
      <c r="J20" s="324">
        <f>Computing_2!J104</f>
        <v>278.83147326841015</v>
      </c>
      <c r="K20" s="324">
        <f>Computing_2!K104</f>
        <v>274.67791849506557</v>
      </c>
      <c r="L20" s="324">
        <f>Computing_2!L104</f>
        <v>276.14694369895341</v>
      </c>
    </row>
    <row r="21" spans="2:12">
      <c r="B21" s="326" t="str">
        <f>'Design_&amp;_Technology_2'!B104</f>
        <v>Design &amp; Technology Re-entrants</v>
      </c>
      <c r="C21" s="324">
        <f>'Design_&amp;_Technology_2'!C104</f>
        <v>349.14010167300609</v>
      </c>
      <c r="D21" s="324">
        <f>'Design_&amp;_Technology_2'!D104</f>
        <v>316.80019159809183</v>
      </c>
      <c r="E21" s="324">
        <f>'Design_&amp;_Technology_2'!E104</f>
        <v>382.57029808678084</v>
      </c>
      <c r="F21" s="324">
        <f>'Design_&amp;_Technology_2'!F104</f>
        <v>401.79475067052846</v>
      </c>
      <c r="G21" s="324">
        <f>'Design_&amp;_Technology_2'!G104</f>
        <v>393.94640022760399</v>
      </c>
      <c r="H21" s="324">
        <f>'Design_&amp;_Technology_2'!H104</f>
        <v>401.09733752674589</v>
      </c>
      <c r="I21" s="324">
        <f>'Design_&amp;_Technology_2'!I104</f>
        <v>377.12041472177083</v>
      </c>
      <c r="J21" s="324">
        <f>'Design_&amp;_Technology_2'!J104</f>
        <v>353.54721014295353</v>
      </c>
      <c r="K21" s="324">
        <f>'Design_&amp;_Technology_2'!K104</f>
        <v>342.01090995322795</v>
      </c>
      <c r="L21" s="324">
        <f>'Design_&amp;_Technology_2'!L104</f>
        <v>356.94424768989467</v>
      </c>
    </row>
    <row r="22" spans="2:12">
      <c r="B22" s="326" t="str">
        <f>Drama_2!B104</f>
        <v>Drama Re-entrants</v>
      </c>
      <c r="C22" s="324">
        <f>Drama_2!C104</f>
        <v>180.78479251759961</v>
      </c>
      <c r="D22" s="324">
        <f>Drama_2!D104</f>
        <v>174.63882652939856</v>
      </c>
      <c r="E22" s="324">
        <f>Drama_2!E104</f>
        <v>173.36826706725341</v>
      </c>
      <c r="F22" s="324">
        <f>Drama_2!F104</f>
        <v>186.96477734672035</v>
      </c>
      <c r="G22" s="324">
        <f>Drama_2!G104</f>
        <v>188.21848229643973</v>
      </c>
      <c r="H22" s="324">
        <f>Drama_2!H104</f>
        <v>192.5058812393211</v>
      </c>
      <c r="I22" s="324">
        <f>Drama_2!I104</f>
        <v>184.87363904276995</v>
      </c>
      <c r="J22" s="324">
        <f>Drama_2!J104</f>
        <v>177.83418374506297</v>
      </c>
      <c r="K22" s="324">
        <f>Drama_2!K104</f>
        <v>174.71215806186743</v>
      </c>
      <c r="L22" s="324">
        <f>Drama_2!L104</f>
        <v>180.38599278850381</v>
      </c>
    </row>
    <row r="23" spans="2:12">
      <c r="B23" s="326" t="str">
        <f>English_2!B104</f>
        <v>English Re-entrants</v>
      </c>
      <c r="C23" s="324">
        <f>English_2!C104</f>
        <v>1332.4946721365816</v>
      </c>
      <c r="D23" s="324">
        <f>English_2!D104</f>
        <v>1276.7888047543322</v>
      </c>
      <c r="E23" s="324">
        <f>English_2!E104</f>
        <v>1247.0845732763369</v>
      </c>
      <c r="F23" s="324">
        <f>English_2!F104</f>
        <v>1252.4761185219359</v>
      </c>
      <c r="G23" s="324">
        <f>English_2!G104</f>
        <v>1263.0775217482892</v>
      </c>
      <c r="H23" s="324">
        <f>English_2!H104</f>
        <v>1248.8346070285311</v>
      </c>
      <c r="I23" s="324">
        <f>English_2!I104</f>
        <v>1192.1326739625692</v>
      </c>
      <c r="J23" s="324">
        <f>English_2!J104</f>
        <v>1184.9551609553105</v>
      </c>
      <c r="K23" s="324">
        <f>English_2!K104</f>
        <v>1168.9959471774382</v>
      </c>
      <c r="L23" s="324">
        <f>English_2!L104</f>
        <v>1146.8531640364918</v>
      </c>
    </row>
    <row r="24" spans="2:12">
      <c r="B24" s="326" t="str">
        <f>Food_2!B104</f>
        <v>Food Re-entrants</v>
      </c>
      <c r="C24" s="324">
        <f>Food_2!C104</f>
        <v>66.978497694054553</v>
      </c>
      <c r="D24" s="324">
        <f>Food_2!D104</f>
        <v>58.926247873775658</v>
      </c>
      <c r="E24" s="324">
        <f>Food_2!E104</f>
        <v>79.467828235895396</v>
      </c>
      <c r="F24" s="324">
        <f>Food_2!F104</f>
        <v>84.753779534478198</v>
      </c>
      <c r="G24" s="324">
        <f>Food_2!G104</f>
        <v>84.976912095101341</v>
      </c>
      <c r="H24" s="324">
        <f>Food_2!H104</f>
        <v>81.566191367940618</v>
      </c>
      <c r="I24" s="324">
        <f>Food_2!I104</f>
        <v>77.523184949701914</v>
      </c>
      <c r="J24" s="324">
        <f>Food_2!J104</f>
        <v>78.044149514185847</v>
      </c>
      <c r="K24" s="324">
        <f>Food_2!K104</f>
        <v>76.775930102531333</v>
      </c>
      <c r="L24" s="324">
        <f>Food_2!L104</f>
        <v>72.520133092677483</v>
      </c>
    </row>
    <row r="25" spans="2:12">
      <c r="B25" s="326" t="str">
        <f>Geography_2!B153</f>
        <v>Geography Re-entrants</v>
      </c>
      <c r="C25" s="324">
        <f>Geography_2!C153</f>
        <v>356.41554210985925</v>
      </c>
      <c r="D25" s="324">
        <f>Geography_2!D153</f>
        <v>356.41554210985925</v>
      </c>
      <c r="E25" s="324">
        <f>Geography_2!E153</f>
        <v>356.41554210985925</v>
      </c>
      <c r="F25" s="324">
        <f>Geography_2!F153</f>
        <v>356.41554210985925</v>
      </c>
      <c r="G25" s="324">
        <f>Geography_2!G153</f>
        <v>356.41554210985925</v>
      </c>
      <c r="H25" s="324">
        <f>Geography_2!H153</f>
        <v>356.41554210985925</v>
      </c>
      <c r="I25" s="324">
        <f>Geography_2!I153</f>
        <v>356.41554210985925</v>
      </c>
      <c r="J25" s="324">
        <f>Geography_2!J153</f>
        <v>356.41554210985925</v>
      </c>
      <c r="K25" s="324">
        <f>Geography_2!K153</f>
        <v>356.41554210985925</v>
      </c>
      <c r="L25" s="324">
        <f>Geography_2!L153</f>
        <v>356.41554210985925</v>
      </c>
    </row>
    <row r="26" spans="2:12">
      <c r="B26" s="326" t="str">
        <f>History_2!B153</f>
        <v>History Re-entrants</v>
      </c>
      <c r="C26" s="324">
        <f>History_2!C153</f>
        <v>380.0992949335851</v>
      </c>
      <c r="D26" s="324">
        <f>History_2!D153</f>
        <v>380.0992949335851</v>
      </c>
      <c r="E26" s="324">
        <f>History_2!E153</f>
        <v>380.0992949335851</v>
      </c>
      <c r="F26" s="324">
        <f>History_2!F153</f>
        <v>380.0992949335851</v>
      </c>
      <c r="G26" s="324">
        <f>History_2!G153</f>
        <v>380.0992949335851</v>
      </c>
      <c r="H26" s="324">
        <f>History_2!H153</f>
        <v>380.0992949335851</v>
      </c>
      <c r="I26" s="324">
        <f>History_2!I153</f>
        <v>380.0992949335851</v>
      </c>
      <c r="J26" s="324">
        <f>History_2!J153</f>
        <v>380.0992949335851</v>
      </c>
      <c r="K26" s="324">
        <f>History_2!K153</f>
        <v>380.0992949335851</v>
      </c>
      <c r="L26" s="324">
        <f>History_2!L153</f>
        <v>380.0992949335851</v>
      </c>
    </row>
    <row r="27" spans="2:12">
      <c r="B27" s="326" t="str">
        <f>Mathematics_2!B104</f>
        <v>Mathematics Re-entrants</v>
      </c>
      <c r="C27" s="324">
        <f>Mathematics_2!C104</f>
        <v>1467.0722538476678</v>
      </c>
      <c r="D27" s="324">
        <f>Mathematics_2!D104</f>
        <v>1420.1108235612073</v>
      </c>
      <c r="E27" s="324">
        <f>Mathematics_2!E104</f>
        <v>1406.0386203942887</v>
      </c>
      <c r="F27" s="324">
        <f>Mathematics_2!F104</f>
        <v>1370.3978842617832</v>
      </c>
      <c r="G27" s="324">
        <f>Mathematics_2!G104</f>
        <v>1379.4646017694211</v>
      </c>
      <c r="H27" s="324">
        <f>Mathematics_2!H104</f>
        <v>1363.344882329186</v>
      </c>
      <c r="I27" s="324">
        <f>Mathematics_2!I104</f>
        <v>1304.0148848111899</v>
      </c>
      <c r="J27" s="324">
        <f>Mathematics_2!J104</f>
        <v>1289.3429829085603</v>
      </c>
      <c r="K27" s="324">
        <f>Mathematics_2!K104</f>
        <v>1268.8543508267942</v>
      </c>
      <c r="L27" s="324">
        <f>Mathematics_2!L104</f>
        <v>1246.2729356834298</v>
      </c>
    </row>
    <row r="28" spans="2:12">
      <c r="B28" s="326" t="str">
        <f>Modern_Foreign_Languages_2!B153</f>
        <v>Modern Foreign Languages Re-entrants</v>
      </c>
      <c r="C28" s="324">
        <f>Modern_Foreign_Languages_2!C153</f>
        <v>617.20155564044137</v>
      </c>
      <c r="D28" s="324">
        <f>Modern_Foreign_Languages_2!D153</f>
        <v>617.20155564044137</v>
      </c>
      <c r="E28" s="324">
        <f>Modern_Foreign_Languages_2!E153</f>
        <v>617.20155564044137</v>
      </c>
      <c r="F28" s="324">
        <f>Modern_Foreign_Languages_2!F153</f>
        <v>617.20155564044137</v>
      </c>
      <c r="G28" s="324">
        <f>Modern_Foreign_Languages_2!G153</f>
        <v>617.20155564044137</v>
      </c>
      <c r="H28" s="324">
        <f>Modern_Foreign_Languages_2!H153</f>
        <v>617.20155564044137</v>
      </c>
      <c r="I28" s="324">
        <f>Modern_Foreign_Languages_2!I153</f>
        <v>617.20155564044137</v>
      </c>
      <c r="J28" s="324">
        <f>Modern_Foreign_Languages_2!J153</f>
        <v>617.20155564044137</v>
      </c>
      <c r="K28" s="324">
        <f>Modern_Foreign_Languages_2!K153</f>
        <v>617.20155564044137</v>
      </c>
      <c r="L28" s="324">
        <f>Modern_Foreign_Languages_2!L153</f>
        <v>617.20155564044137</v>
      </c>
    </row>
    <row r="29" spans="2:12">
      <c r="B29" s="326" t="str">
        <f>Music_2!B104</f>
        <v>Music Re-entrants</v>
      </c>
      <c r="C29" s="324">
        <f>Music_2!C104</f>
        <v>197.5162957153953</v>
      </c>
      <c r="D29" s="324">
        <f>Music_2!D104</f>
        <v>204.26392237602505</v>
      </c>
      <c r="E29" s="324">
        <f>Music_2!E104</f>
        <v>201.27075598843243</v>
      </c>
      <c r="F29" s="324">
        <f>Music_2!F104</f>
        <v>197.74968498505083</v>
      </c>
      <c r="G29" s="324">
        <f>Music_2!G104</f>
        <v>195.6960409421074</v>
      </c>
      <c r="H29" s="324">
        <f>Music_2!H104</f>
        <v>203.1627724990374</v>
      </c>
      <c r="I29" s="324">
        <f>Music_2!I104</f>
        <v>192.4150975731869</v>
      </c>
      <c r="J29" s="324">
        <f>Music_2!J104</f>
        <v>180.10248752575001</v>
      </c>
      <c r="K29" s="324">
        <f>Music_2!K104</f>
        <v>175.25775331059378</v>
      </c>
      <c r="L29" s="324">
        <f>Music_2!L104</f>
        <v>186.69475551959002</v>
      </c>
    </row>
    <row r="30" spans="2:12">
      <c r="B30" s="326" t="str">
        <f>Others_2!B104</f>
        <v>Others Re-entrants</v>
      </c>
      <c r="C30" s="324">
        <f>Others_2!C104</f>
        <v>408.88548698850258</v>
      </c>
      <c r="D30" s="324">
        <f>Others_2!D104</f>
        <v>336.94799310385525</v>
      </c>
      <c r="E30" s="324">
        <f>Others_2!E104</f>
        <v>429.84934983307534</v>
      </c>
      <c r="F30" s="324">
        <f>Others_2!F104</f>
        <v>501.34705115310356</v>
      </c>
      <c r="G30" s="324">
        <f>Others_2!G104</f>
        <v>529.36129287831648</v>
      </c>
      <c r="H30" s="324">
        <f>Others_2!H104</f>
        <v>528.8652949124637</v>
      </c>
      <c r="I30" s="324">
        <f>Others_2!I104</f>
        <v>537.27339326536071</v>
      </c>
      <c r="J30" s="324">
        <f>Others_2!J104</f>
        <v>532.12229590352138</v>
      </c>
      <c r="K30" s="324">
        <f>Others_2!K104</f>
        <v>529.90100396965954</v>
      </c>
      <c r="L30" s="324">
        <f>Others_2!L104</f>
        <v>524.32280443858235</v>
      </c>
    </row>
    <row r="31" spans="2:12">
      <c r="B31" s="326" t="str">
        <f>Physical_Education_2!B104</f>
        <v>Physical Education Re-entrants</v>
      </c>
      <c r="C31" s="324">
        <f>Physical_Education_2!C104</f>
        <v>522.93465433792346</v>
      </c>
      <c r="D31" s="324">
        <f>Physical_Education_2!D104</f>
        <v>511.40528501560186</v>
      </c>
      <c r="E31" s="324">
        <f>Physical_Education_2!E104</f>
        <v>573.40985749623371</v>
      </c>
      <c r="F31" s="324">
        <f>Physical_Education_2!F104</f>
        <v>601.068158384355</v>
      </c>
      <c r="G31" s="324">
        <f>Physical_Education_2!G104</f>
        <v>610.12508496794692</v>
      </c>
      <c r="H31" s="324">
        <f>Physical_Education_2!H104</f>
        <v>614.05120341879558</v>
      </c>
      <c r="I31" s="324">
        <f>Physical_Education_2!I104</f>
        <v>587.85232341670019</v>
      </c>
      <c r="J31" s="324">
        <f>Physical_Education_2!J104</f>
        <v>580.62869924055144</v>
      </c>
      <c r="K31" s="324">
        <f>Physical_Education_2!K104</f>
        <v>574.31846526061179</v>
      </c>
      <c r="L31" s="324">
        <f>Physical_Education_2!L104</f>
        <v>575.78059475277064</v>
      </c>
    </row>
    <row r="32" spans="2:12">
      <c r="B32" s="326" t="str">
        <f>Physics_2!B104</f>
        <v>Physics Re-entrants</v>
      </c>
      <c r="C32" s="324">
        <f>Physics_2!C104</f>
        <v>467.65075542192307</v>
      </c>
      <c r="D32" s="324">
        <f>Physics_2!D104</f>
        <v>466.15007226212953</v>
      </c>
      <c r="E32" s="324">
        <f>Physics_2!E104</f>
        <v>457.42818241534837</v>
      </c>
      <c r="F32" s="324">
        <f>Physics_2!F104</f>
        <v>464.7107966097592</v>
      </c>
      <c r="G32" s="324">
        <f>Physics_2!G104</f>
        <v>475.43999525915279</v>
      </c>
      <c r="H32" s="324">
        <f>Physics_2!H104</f>
        <v>460.98956864835083</v>
      </c>
      <c r="I32" s="324">
        <f>Physics_2!I104</f>
        <v>445.32599519386537</v>
      </c>
      <c r="J32" s="324">
        <f>Physics_2!J104</f>
        <v>452.72240027053715</v>
      </c>
      <c r="K32" s="324">
        <f>Physics_2!K104</f>
        <v>449.07484321622564</v>
      </c>
      <c r="L32" s="324">
        <f>Physics_2!L104</f>
        <v>425.99859504438689</v>
      </c>
    </row>
    <row r="33" spans="2:12">
      <c r="B33" s="326" t="str">
        <f>Religious_Education_2!B104</f>
        <v>Religious Education Re-entrants</v>
      </c>
      <c r="C33" s="324">
        <f>Religious_Education_2!C104</f>
        <v>321.15095152137707</v>
      </c>
      <c r="D33" s="324">
        <f>Religious_Education_2!D104</f>
        <v>299.98266251406659</v>
      </c>
      <c r="E33" s="324">
        <f>Religious_Education_2!E104</f>
        <v>296.52056900097807</v>
      </c>
      <c r="F33" s="324">
        <f>Religious_Education_2!F104</f>
        <v>295.31907080743969</v>
      </c>
      <c r="G33" s="324">
        <f>Religious_Education_2!G104</f>
        <v>296.86533748719222</v>
      </c>
      <c r="H33" s="324">
        <f>Religious_Education_2!H104</f>
        <v>296.18138355881962</v>
      </c>
      <c r="I33" s="324">
        <f>Religious_Education_2!I104</f>
        <v>282.73678907047048</v>
      </c>
      <c r="J33" s="324">
        <f>Religious_Education_2!J104</f>
        <v>277.13649918290662</v>
      </c>
      <c r="K33" s="324">
        <f>Religious_Education_2!K104</f>
        <v>272.49294674290934</v>
      </c>
      <c r="L33" s="324">
        <f>Religious_Education_2!L104</f>
        <v>271.81404767035792</v>
      </c>
    </row>
    <row r="35" spans="2:12">
      <c r="B35" s="326" t="s">
        <v>809</v>
      </c>
      <c r="C35" s="324">
        <f>C14</f>
        <v>8231.8459106222508</v>
      </c>
      <c r="D35" s="324">
        <f t="shared" ref="D35:L35" si="0">D14</f>
        <v>7818.6298667525107</v>
      </c>
      <c r="E35" s="324">
        <f t="shared" si="0"/>
        <v>7865.8138177314004</v>
      </c>
      <c r="F35" s="324">
        <f t="shared" si="0"/>
        <v>7794.1211155926603</v>
      </c>
      <c r="G35" s="324">
        <f t="shared" si="0"/>
        <v>7688.8634446704673</v>
      </c>
      <c r="H35" s="324">
        <f t="shared" si="0"/>
        <v>7615.7729049326808</v>
      </c>
      <c r="I35" s="324">
        <f t="shared" si="0"/>
        <v>7799.940261219168</v>
      </c>
      <c r="J35" s="324">
        <f t="shared" si="0"/>
        <v>7948.6882603108161</v>
      </c>
      <c r="K35" s="324">
        <f t="shared" si="0"/>
        <v>7986.8621663576705</v>
      </c>
      <c r="L35" s="324">
        <f t="shared" si="0"/>
        <v>7951.1870546355349</v>
      </c>
    </row>
    <row r="36" spans="2:12">
      <c r="B36" s="326" t="s">
        <v>810</v>
      </c>
      <c r="C36" s="324">
        <f>SUM(C14:C33)-C35</f>
        <v>8316.1993920311761</v>
      </c>
      <c r="D36" s="324">
        <f t="shared" ref="D36:L36" si="1">SUM(D14:D33)-D35</f>
        <v>8005.2888529964303</v>
      </c>
      <c r="E36" s="324">
        <f t="shared" si="1"/>
        <v>8314.8745490636538</v>
      </c>
      <c r="F36" s="324">
        <f t="shared" si="1"/>
        <v>8489.547000759092</v>
      </c>
      <c r="G36" s="324">
        <f t="shared" si="1"/>
        <v>8596.9033411618529</v>
      </c>
      <c r="H36" s="324">
        <f t="shared" si="1"/>
        <v>8550.4426507643893</v>
      </c>
      <c r="I36" s="324">
        <f t="shared" si="1"/>
        <v>8295.4238045970069</v>
      </c>
      <c r="J36" s="324">
        <f t="shared" si="1"/>
        <v>8219.0057321536769</v>
      </c>
      <c r="K36" s="324">
        <f t="shared" si="1"/>
        <v>8128.7769862583391</v>
      </c>
      <c r="L36" s="324">
        <f t="shared" si="1"/>
        <v>8042.332792711939</v>
      </c>
    </row>
    <row r="37" spans="2:12">
      <c r="B37" s="326" t="s">
        <v>8</v>
      </c>
      <c r="C37" s="324">
        <f>SUM(C35:C36)</f>
        <v>16548.045302653427</v>
      </c>
      <c r="D37" s="324">
        <f t="shared" ref="D37:L37" si="2">SUM(D35:D36)</f>
        <v>15823.918719748941</v>
      </c>
      <c r="E37" s="324">
        <f t="shared" si="2"/>
        <v>16180.688366795053</v>
      </c>
      <c r="F37" s="324">
        <f t="shared" si="2"/>
        <v>16283.668116351753</v>
      </c>
      <c r="G37" s="324">
        <f t="shared" si="2"/>
        <v>16285.76678583232</v>
      </c>
      <c r="H37" s="324">
        <f t="shared" si="2"/>
        <v>16166.21555569707</v>
      </c>
      <c r="I37" s="324">
        <f t="shared" si="2"/>
        <v>16095.364065816175</v>
      </c>
      <c r="J37" s="324">
        <f t="shared" si="2"/>
        <v>16167.693992464494</v>
      </c>
      <c r="K37" s="324">
        <f t="shared" si="2"/>
        <v>16115.63915261601</v>
      </c>
      <c r="L37" s="324">
        <f t="shared" si="2"/>
        <v>15993.519847347474</v>
      </c>
    </row>
    <row r="58" spans="2:2" ht="15.75">
      <c r="B58" s="340"/>
    </row>
  </sheetData>
  <hyperlinks>
    <hyperlink ref="A2" location="'Title_&amp;_Contents'!A1" display="Contents"/>
    <hyperlink ref="B2" location="Map_of_sheets!A1" display="Map of sheets"/>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7"/>
  <sheetViews>
    <sheetView showGridLines="0" workbookViewId="0"/>
  </sheetViews>
  <sheetFormatPr defaultColWidth="9.140625" defaultRowHeight="12.75"/>
  <cols>
    <col min="1" max="1" width="8" style="309" customWidth="1"/>
    <col min="2" max="2" width="50.7109375" style="309" customWidth="1"/>
    <col min="3" max="12" width="9.7109375" style="309" customWidth="1"/>
    <col min="13" max="14" width="8.7109375" style="309" customWidth="1"/>
    <col min="15" max="16384" width="9.140625" style="309"/>
  </cols>
  <sheetData>
    <row r="1" spans="1:15" s="344" customFormat="1" ht="15">
      <c r="A1" s="343" t="str">
        <f>ModelBanner</f>
        <v>TSM_201718 for publication</v>
      </c>
    </row>
    <row r="2" spans="1:15" s="344" customFormat="1" ht="15">
      <c r="A2" s="1003" t="s">
        <v>13</v>
      </c>
      <c r="B2" s="1003" t="s">
        <v>30</v>
      </c>
    </row>
    <row r="3" spans="1:15" s="344" customFormat="1" ht="15">
      <c r="A3" s="345"/>
    </row>
    <row r="4" spans="1:15" s="679" customFormat="1">
      <c r="A4" s="680" t="s">
        <v>26</v>
      </c>
      <c r="B4" s="680"/>
      <c r="C4" s="680"/>
      <c r="D4" s="680"/>
      <c r="E4" s="347"/>
      <c r="F4" s="680"/>
      <c r="G4" s="680"/>
    </row>
    <row r="5" spans="1:15" s="678" customFormat="1" ht="13.15" customHeight="1">
      <c r="A5" s="708" t="s">
        <v>1730</v>
      </c>
      <c r="B5" s="708"/>
      <c r="C5" s="708"/>
      <c r="D5" s="708"/>
      <c r="E5" s="708"/>
      <c r="F5" s="708"/>
      <c r="G5" s="708"/>
      <c r="H5" s="349"/>
      <c r="I5" s="349"/>
      <c r="J5" s="349"/>
      <c r="K5" s="349"/>
      <c r="L5" s="349"/>
      <c r="M5" s="349"/>
      <c r="N5" s="349"/>
      <c r="O5" s="349"/>
    </row>
    <row r="6" spans="1:15" s="675" customFormat="1">
      <c r="A6" s="677" t="s">
        <v>1420</v>
      </c>
      <c r="B6" s="352"/>
      <c r="C6" s="352"/>
      <c r="D6" s="352"/>
      <c r="E6" s="347"/>
      <c r="F6" s="352"/>
      <c r="G6" s="352"/>
      <c r="H6" s="353"/>
      <c r="I6" s="353"/>
      <c r="J6" s="353"/>
      <c r="K6" s="353"/>
      <c r="L6" s="353"/>
      <c r="M6" s="353"/>
      <c r="N6" s="353"/>
      <c r="O6" s="353"/>
    </row>
    <row r="7" spans="1:15" s="675" customFormat="1">
      <c r="A7" s="676" t="s">
        <v>742</v>
      </c>
      <c r="B7" s="677"/>
      <c r="C7" s="352"/>
      <c r="D7" s="352"/>
      <c r="E7" s="347"/>
      <c r="F7" s="352"/>
      <c r="G7" s="352"/>
      <c r="H7" s="353"/>
      <c r="I7" s="353"/>
      <c r="J7" s="353"/>
      <c r="K7" s="353"/>
      <c r="L7" s="353"/>
      <c r="M7" s="353"/>
      <c r="N7" s="353"/>
      <c r="O7" s="353"/>
    </row>
    <row r="8" spans="1:15" s="675" customFormat="1">
      <c r="A8" s="677" t="s">
        <v>24</v>
      </c>
      <c r="B8" s="352"/>
      <c r="C8" s="352"/>
      <c r="D8" s="352"/>
      <c r="E8" s="347"/>
      <c r="F8" s="352"/>
      <c r="G8" s="352"/>
      <c r="H8" s="353"/>
      <c r="I8" s="353"/>
      <c r="J8" s="353"/>
      <c r="K8" s="353"/>
      <c r="L8" s="353"/>
      <c r="M8" s="353"/>
      <c r="N8" s="353"/>
      <c r="O8" s="353"/>
    </row>
    <row r="9" spans="1:15" s="673" customFormat="1">
      <c r="A9" s="674"/>
      <c r="B9" s="357"/>
      <c r="C9" s="358"/>
      <c r="D9" s="359"/>
      <c r="E9" s="359"/>
      <c r="F9" s="359"/>
      <c r="G9" s="360"/>
      <c r="H9" s="359"/>
      <c r="I9" s="359"/>
      <c r="J9" s="360"/>
      <c r="K9" s="361"/>
      <c r="L9" s="361"/>
      <c r="M9" s="361"/>
      <c r="N9" s="361"/>
      <c r="O9" s="361"/>
    </row>
    <row r="11" spans="1:15" ht="15.75">
      <c r="B11" s="340" t="s">
        <v>1070</v>
      </c>
    </row>
    <row r="13" spans="1:15">
      <c r="B13" s="326"/>
      <c r="C13" s="326" t="str">
        <f>Primary_2!C102</f>
        <v>2018/19</v>
      </c>
      <c r="D13" s="326" t="str">
        <f>Primary_2!D102</f>
        <v>2019/20</v>
      </c>
      <c r="E13" s="326" t="str">
        <f>Primary_2!E102</f>
        <v>2020/21</v>
      </c>
      <c r="F13" s="326" t="str">
        <f>Primary_2!F102</f>
        <v>2021/22</v>
      </c>
      <c r="G13" s="326" t="str">
        <f>Primary_2!G102</f>
        <v>2022/23</v>
      </c>
      <c r="H13" s="326" t="str">
        <f>Primary_2!H102</f>
        <v>2023/24</v>
      </c>
      <c r="I13" s="326" t="str">
        <f>Primary_2!I102</f>
        <v>2024/25</v>
      </c>
      <c r="J13" s="326" t="str">
        <f>Primary_2!J102</f>
        <v>2025/26</v>
      </c>
      <c r="K13" s="326" t="str">
        <f>Primary_2!K102</f>
        <v>2026/27</v>
      </c>
      <c r="L13" s="326" t="str">
        <f>Primary_2!L102</f>
        <v>2027/28</v>
      </c>
    </row>
    <row r="14" spans="1:15">
      <c r="B14" s="326" t="str">
        <f>Primary_2!B103</f>
        <v xml:space="preserve">Primary New to SF Sector </v>
      </c>
      <c r="C14" s="324">
        <f>Primary_2!C103</f>
        <v>3771.8758646932843</v>
      </c>
      <c r="D14" s="324">
        <f>Primary_2!D103</f>
        <v>3582.5380612772706</v>
      </c>
      <c r="E14" s="324">
        <f>Primary_2!E103</f>
        <v>3604.1580002108321</v>
      </c>
      <c r="F14" s="324">
        <f>Primary_2!F103</f>
        <v>3571.3080202904334</v>
      </c>
      <c r="G14" s="324">
        <f>Primary_2!G103</f>
        <v>3523.078391986417</v>
      </c>
      <c r="H14" s="324">
        <f>Primary_2!H103</f>
        <v>3489.5879153949377</v>
      </c>
      <c r="I14" s="324">
        <f>Primary_2!I103</f>
        <v>3573.9743839687717</v>
      </c>
      <c r="J14" s="324">
        <f>Primary_2!J103</f>
        <v>3642.1315134615897</v>
      </c>
      <c r="K14" s="324">
        <f>Primary_2!K103</f>
        <v>3659.6230015728288</v>
      </c>
      <c r="L14" s="324">
        <f>Primary_2!L103</f>
        <v>3643.2764743982466</v>
      </c>
    </row>
    <row r="15" spans="1:15">
      <c r="B15" s="326" t="str">
        <f>'Art_&amp;_Design_2'!B103</f>
        <v xml:space="preserve">Art &amp; Design New to SF Sector </v>
      </c>
      <c r="C15" s="324">
        <f>'Art_&amp;_Design_2'!C103</f>
        <v>118.82303764883859</v>
      </c>
      <c r="D15" s="324">
        <f>'Art_&amp;_Design_2'!D103</f>
        <v>119.41308150551973</v>
      </c>
      <c r="E15" s="324">
        <f>'Art_&amp;_Design_2'!E103</f>
        <v>134.18519665083528</v>
      </c>
      <c r="F15" s="324">
        <f>'Art_&amp;_Design_2'!F103</f>
        <v>136.86957736979784</v>
      </c>
      <c r="G15" s="324">
        <f>'Art_&amp;_Design_2'!G103</f>
        <v>137.86425407774666</v>
      </c>
      <c r="H15" s="324">
        <f>'Art_&amp;_Design_2'!H103</f>
        <v>139.99111058371568</v>
      </c>
      <c r="I15" s="324">
        <f>'Art_&amp;_Design_2'!I103</f>
        <v>134.74559679258851</v>
      </c>
      <c r="J15" s="324">
        <f>'Art_&amp;_Design_2'!J103</f>
        <v>129.48471984511832</v>
      </c>
      <c r="K15" s="324">
        <f>'Art_&amp;_Design_2'!K103</f>
        <v>126.78493357464448</v>
      </c>
      <c r="L15" s="324">
        <f>'Art_&amp;_Design_2'!L103</f>
        <v>129.60602386998397</v>
      </c>
    </row>
    <row r="16" spans="1:15">
      <c r="B16" s="326" t="str">
        <f>Biology_2!B103</f>
        <v xml:space="preserve">Biology New to SF Sector </v>
      </c>
      <c r="C16" s="324">
        <f>Biology_2!C103</f>
        <v>235.96728169072182</v>
      </c>
      <c r="D16" s="324">
        <f>Biology_2!D103</f>
        <v>224.05963551443614</v>
      </c>
      <c r="E16" s="324">
        <f>Biology_2!E103</f>
        <v>221.49587318836302</v>
      </c>
      <c r="F16" s="324">
        <f>Biology_2!F103</f>
        <v>225.95279847504369</v>
      </c>
      <c r="G16" s="324">
        <f>Biology_2!G103</f>
        <v>232.22829631904099</v>
      </c>
      <c r="H16" s="324">
        <f>Biology_2!H103</f>
        <v>228.03201313205085</v>
      </c>
      <c r="I16" s="324">
        <f>Biology_2!I103</f>
        <v>221.81324024440107</v>
      </c>
      <c r="J16" s="324">
        <f>Biology_2!J103</f>
        <v>224.35211814842719</v>
      </c>
      <c r="K16" s="324">
        <f>Biology_2!K103</f>
        <v>223.04224803935514</v>
      </c>
      <c r="L16" s="324">
        <f>Biology_2!L103</f>
        <v>215.07625128321351</v>
      </c>
    </row>
    <row r="17" spans="2:12">
      <c r="B17" s="326" t="str">
        <f>Business_Studies_2!B103</f>
        <v xml:space="preserve">Business Studies New to SF Sector </v>
      </c>
      <c r="C17" s="324">
        <f>Business_Studies_2!C103</f>
        <v>46.840150701848074</v>
      </c>
      <c r="D17" s="324">
        <f>Business_Studies_2!D103</f>
        <v>35.278496046594874</v>
      </c>
      <c r="E17" s="324">
        <f>Business_Studies_2!E103</f>
        <v>52.497964079879495</v>
      </c>
      <c r="F17" s="324">
        <f>Business_Studies_2!F103</f>
        <v>60.58475155185279</v>
      </c>
      <c r="G17" s="324">
        <f>Business_Studies_2!G103</f>
        <v>65.695612038181636</v>
      </c>
      <c r="H17" s="324">
        <f>Business_Studies_2!H103</f>
        <v>63.727242541517654</v>
      </c>
      <c r="I17" s="324">
        <f>Business_Studies_2!I103</f>
        <v>65.749508307660363</v>
      </c>
      <c r="J17" s="324">
        <f>Business_Studies_2!J103</f>
        <v>67.81564343212797</v>
      </c>
      <c r="K17" s="324">
        <f>Business_Studies_2!K103</f>
        <v>68.204314691817302</v>
      </c>
      <c r="L17" s="324">
        <f>Business_Studies_2!L103</f>
        <v>64.09777604958164</v>
      </c>
    </row>
    <row r="18" spans="2:12">
      <c r="B18" s="326" t="str">
        <f>Chemistry_2!B103</f>
        <v xml:space="preserve">Chemistry New to SF Sector </v>
      </c>
      <c r="C18" s="324">
        <f>Chemistry_2!C103</f>
        <v>199.09498617204972</v>
      </c>
      <c r="D18" s="324">
        <f>Chemistry_2!D103</f>
        <v>199.23908058321109</v>
      </c>
      <c r="E18" s="324">
        <f>Chemistry_2!E103</f>
        <v>196.36391187586401</v>
      </c>
      <c r="F18" s="324">
        <f>Chemistry_2!F103</f>
        <v>200.03331251304212</v>
      </c>
      <c r="G18" s="324">
        <f>Chemistry_2!G103</f>
        <v>205.23811701897418</v>
      </c>
      <c r="H18" s="324">
        <f>Chemistry_2!H103</f>
        <v>199.95554575548556</v>
      </c>
      <c r="I18" s="324">
        <f>Chemistry_2!I103</f>
        <v>194.00868445388375</v>
      </c>
      <c r="J18" s="324">
        <f>Chemistry_2!J103</f>
        <v>196.86049268826142</v>
      </c>
      <c r="K18" s="324">
        <f>Chemistry_2!K103</f>
        <v>195.48036853307985</v>
      </c>
      <c r="L18" s="324">
        <f>Chemistry_2!L103</f>
        <v>186.5674870653533</v>
      </c>
    </row>
    <row r="19" spans="2:12">
      <c r="B19" s="326" t="str">
        <f>Classics_2!B103</f>
        <v xml:space="preserve">Classics New to SF Sector </v>
      </c>
      <c r="C19" s="324">
        <f>Classics_2!C103</f>
        <v>5.6536522215460998</v>
      </c>
      <c r="D19" s="324">
        <f>Classics_2!D103</f>
        <v>5.4950214467125402</v>
      </c>
      <c r="E19" s="324">
        <f>Classics_2!E103</f>
        <v>5.4261308077911758</v>
      </c>
      <c r="F19" s="324">
        <f>Classics_2!F103</f>
        <v>5.4534649560807145</v>
      </c>
      <c r="G19" s="324">
        <f>Classics_2!G103</f>
        <v>5.5509089802548042</v>
      </c>
      <c r="H19" s="324">
        <f>Classics_2!H103</f>
        <v>5.5197997065448599</v>
      </c>
      <c r="I19" s="324">
        <f>Classics_2!I103</f>
        <v>5.435732143993941</v>
      </c>
      <c r="J19" s="324">
        <f>Classics_2!J103</f>
        <v>5.3045679334011151</v>
      </c>
      <c r="K19" s="324">
        <f>Classics_2!K103</f>
        <v>5.2336809970867808</v>
      </c>
      <c r="L19" s="324">
        <f>Classics_2!L103</f>
        <v>5.2290915155537512</v>
      </c>
    </row>
    <row r="20" spans="2:12">
      <c r="B20" s="326" t="str">
        <f>Computing_2!B103</f>
        <v xml:space="preserve">Computing New to SF Sector </v>
      </c>
      <c r="C20" s="324">
        <f>Computing_2!C103</f>
        <v>88.187043087685424</v>
      </c>
      <c r="D20" s="324">
        <f>Computing_2!D103</f>
        <v>84.814750553364092</v>
      </c>
      <c r="E20" s="324">
        <f>Computing_2!E103</f>
        <v>112.53159959771439</v>
      </c>
      <c r="F20" s="324">
        <f>Computing_2!F103</f>
        <v>121.04535324841163</v>
      </c>
      <c r="G20" s="324">
        <f>Computing_2!G103</f>
        <v>123.07388388075225</v>
      </c>
      <c r="H20" s="324">
        <f>Computing_2!H103</f>
        <v>124.0426647002114</v>
      </c>
      <c r="I20" s="324">
        <f>Computing_2!I103</f>
        <v>120.25843153578715</v>
      </c>
      <c r="J20" s="324">
        <f>Computing_2!J103</f>
        <v>117.5252720428866</v>
      </c>
      <c r="K20" s="324">
        <f>Computing_2!K103</f>
        <v>115.77458138748683</v>
      </c>
      <c r="L20" s="324">
        <f>Computing_2!L103</f>
        <v>116.3937639521415</v>
      </c>
    </row>
    <row r="21" spans="2:12">
      <c r="B21" s="326" t="str">
        <f>'Design_&amp;_Technology_2'!B103</f>
        <v xml:space="preserve">Design &amp; Technology New to SF Sector </v>
      </c>
      <c r="C21" s="324">
        <f>'Design_&amp;_Technology_2'!C103</f>
        <v>147.15980570350442</v>
      </c>
      <c r="D21" s="324">
        <f>'Design_&amp;_Technology_2'!D103</f>
        <v>133.52878806821013</v>
      </c>
      <c r="E21" s="324">
        <f>'Design_&amp;_Technology_2'!E103</f>
        <v>161.25037045188904</v>
      </c>
      <c r="F21" s="324">
        <f>'Design_&amp;_Technology_2'!F103</f>
        <v>169.35332595148429</v>
      </c>
      <c r="G21" s="324">
        <f>'Design_&amp;_Technology_2'!G103</f>
        <v>166.04530799325079</v>
      </c>
      <c r="H21" s="324">
        <f>'Design_&amp;_Technology_2'!H103</f>
        <v>169.05937179886095</v>
      </c>
      <c r="I21" s="324">
        <f>'Design_&amp;_Technology_2'!I103</f>
        <v>158.95328749505137</v>
      </c>
      <c r="J21" s="324">
        <f>'Design_&amp;_Technology_2'!J103</f>
        <v>149.01736724697656</v>
      </c>
      <c r="K21" s="324">
        <f>'Design_&amp;_Technology_2'!K103</f>
        <v>144.15490748849453</v>
      </c>
      <c r="L21" s="324">
        <f>'Design_&amp;_Technology_2'!L103</f>
        <v>150.44919184397907</v>
      </c>
    </row>
    <row r="22" spans="2:12">
      <c r="B22" s="326" t="str">
        <f>Drama_2!B103</f>
        <v xml:space="preserve">Drama New to SF Sector </v>
      </c>
      <c r="C22" s="324">
        <f>Drama_2!C103</f>
        <v>76.199367570658055</v>
      </c>
      <c r="D22" s="324">
        <f>Drama_2!D103</f>
        <v>73.608891265157396</v>
      </c>
      <c r="E22" s="324">
        <f>Drama_2!E103</f>
        <v>73.073360449052117</v>
      </c>
      <c r="F22" s="324">
        <f>Drama_2!F103</f>
        <v>78.804182549934694</v>
      </c>
      <c r="G22" s="324">
        <f>Drama_2!G103</f>
        <v>79.332609321669494</v>
      </c>
      <c r="H22" s="324">
        <f>Drama_2!H103</f>
        <v>81.139714241398096</v>
      </c>
      <c r="I22" s="324">
        <f>Drama_2!I103</f>
        <v>77.922784208598614</v>
      </c>
      <c r="J22" s="324">
        <f>Drama_2!J103</f>
        <v>74.955709189415401</v>
      </c>
      <c r="K22" s="324">
        <f>Drama_2!K103</f>
        <v>73.639799929095886</v>
      </c>
      <c r="L22" s="324">
        <f>Drama_2!L103</f>
        <v>76.031276622734495</v>
      </c>
    </row>
    <row r="23" spans="2:12">
      <c r="B23" s="326" t="str">
        <f>English_2!B103</f>
        <v xml:space="preserve">English New to SF Sector </v>
      </c>
      <c r="C23" s="324">
        <f>English_2!C103</f>
        <v>561.63601978963084</v>
      </c>
      <c r="D23" s="324">
        <f>English_2!D103</f>
        <v>538.15643500050021</v>
      </c>
      <c r="E23" s="324">
        <f>English_2!E103</f>
        <v>525.63633515540232</v>
      </c>
      <c r="F23" s="324">
        <f>English_2!F103</f>
        <v>527.9088290539321</v>
      </c>
      <c r="G23" s="324">
        <f>English_2!G103</f>
        <v>532.37723709843624</v>
      </c>
      <c r="H23" s="324">
        <f>English_2!H103</f>
        <v>526.37396061209836</v>
      </c>
      <c r="I23" s="324">
        <f>English_2!I103</f>
        <v>502.47454197466266</v>
      </c>
      <c r="J23" s="324">
        <f>English_2!J103</f>
        <v>499.44927671718779</v>
      </c>
      <c r="K23" s="324">
        <f>English_2!K103</f>
        <v>492.72259368227265</v>
      </c>
      <c r="L23" s="324">
        <f>English_2!L103</f>
        <v>483.38958481522366</v>
      </c>
    </row>
    <row r="24" spans="2:12">
      <c r="B24" s="326" t="str">
        <f>Food_2!B103</f>
        <v xml:space="preserve">Food New to SF Sector </v>
      </c>
      <c r="C24" s="324">
        <f>Food_2!C103</f>
        <v>28.23090976871234</v>
      </c>
      <c r="D24" s="324">
        <f>Food_2!D103</f>
        <v>24.836949827272768</v>
      </c>
      <c r="E24" s="324">
        <f>Food_2!E103</f>
        <v>33.495064321847828</v>
      </c>
      <c r="F24" s="324">
        <f>Food_2!F103</f>
        <v>35.723051202559027</v>
      </c>
      <c r="G24" s="324">
        <f>Food_2!G103</f>
        <v>35.817099821179703</v>
      </c>
      <c r="H24" s="324">
        <f>Food_2!H103</f>
        <v>34.379507871378493</v>
      </c>
      <c r="I24" s="324">
        <f>Food_2!I103</f>
        <v>32.675412477824253</v>
      </c>
      <c r="J24" s="324">
        <f>Food_2!J103</f>
        <v>32.894994942629943</v>
      </c>
      <c r="K24" s="324">
        <f>Food_2!K103</f>
        <v>32.36045043939415</v>
      </c>
      <c r="L24" s="324">
        <f>Food_2!L103</f>
        <v>30.566665485782014</v>
      </c>
    </row>
    <row r="25" spans="2:12">
      <c r="B25" s="326" t="str">
        <f>Geography_2!B152</f>
        <v xml:space="preserve">Geography New to SF Sector </v>
      </c>
      <c r="C25" s="324">
        <f>Geography_2!C152</f>
        <v>160.60274566990125</v>
      </c>
      <c r="D25" s="324">
        <f>Geography_2!D152</f>
        <v>160.60274566990125</v>
      </c>
      <c r="E25" s="324">
        <f>Geography_2!E152</f>
        <v>160.60274566990125</v>
      </c>
      <c r="F25" s="324">
        <f>Geography_2!F152</f>
        <v>160.60274566990125</v>
      </c>
      <c r="G25" s="324">
        <f>Geography_2!G152</f>
        <v>160.60274566990125</v>
      </c>
      <c r="H25" s="324">
        <f>Geography_2!H152</f>
        <v>160.60274566990125</v>
      </c>
      <c r="I25" s="324">
        <f>Geography_2!I152</f>
        <v>160.60274566990125</v>
      </c>
      <c r="J25" s="324">
        <f>Geography_2!J152</f>
        <v>160.60274566990125</v>
      </c>
      <c r="K25" s="324">
        <f>Geography_2!K152</f>
        <v>160.60274566990125</v>
      </c>
      <c r="L25" s="324">
        <f>Geography_2!L152</f>
        <v>160.60274566990125</v>
      </c>
    </row>
    <row r="26" spans="2:12">
      <c r="B26" s="326" t="str">
        <f>History_2!B152</f>
        <v xml:space="preserve">History New to SF Sector </v>
      </c>
      <c r="C26" s="324">
        <f>History_2!C152</f>
        <v>171.27477110611306</v>
      </c>
      <c r="D26" s="324">
        <f>History_2!D152</f>
        <v>171.27477110611306</v>
      </c>
      <c r="E26" s="324">
        <f>History_2!E152</f>
        <v>171.27477110611306</v>
      </c>
      <c r="F26" s="324">
        <f>History_2!F152</f>
        <v>171.27477110611306</v>
      </c>
      <c r="G26" s="324">
        <f>History_2!G152</f>
        <v>171.27477110611306</v>
      </c>
      <c r="H26" s="324">
        <f>History_2!H152</f>
        <v>171.27477110611306</v>
      </c>
      <c r="I26" s="324">
        <f>History_2!I152</f>
        <v>171.27477110611306</v>
      </c>
      <c r="J26" s="324">
        <f>History_2!J152</f>
        <v>171.27477110611306</v>
      </c>
      <c r="K26" s="324">
        <f>History_2!K152</f>
        <v>171.27477110611306</v>
      </c>
      <c r="L26" s="324">
        <f>History_2!L152</f>
        <v>171.27477110611306</v>
      </c>
    </row>
    <row r="27" spans="2:12">
      <c r="B27" s="326" t="str">
        <f>Mathematics_2!B103</f>
        <v xml:space="preserve">Mathematics New to SF Sector </v>
      </c>
      <c r="C27" s="324">
        <f>Mathematics_2!C103</f>
        <v>618.35941157920854</v>
      </c>
      <c r="D27" s="324">
        <f>Mathematics_2!D103</f>
        <v>598.56553822178296</v>
      </c>
      <c r="E27" s="324">
        <f>Mathematics_2!E103</f>
        <v>592.63421531175095</v>
      </c>
      <c r="F27" s="324">
        <f>Mathematics_2!F103</f>
        <v>577.61192546519089</v>
      </c>
      <c r="G27" s="324">
        <f>Mathematics_2!G103</f>
        <v>581.43347555467949</v>
      </c>
      <c r="H27" s="324">
        <f>Mathematics_2!H103</f>
        <v>574.63914064599089</v>
      </c>
      <c r="I27" s="324">
        <f>Mathematics_2!I103</f>
        <v>549.63201352051715</v>
      </c>
      <c r="J27" s="324">
        <f>Mathematics_2!J103</f>
        <v>543.44792231201416</v>
      </c>
      <c r="K27" s="324">
        <f>Mathematics_2!K103</f>
        <v>534.81212510099328</v>
      </c>
      <c r="L27" s="324">
        <f>Mathematics_2!L103</f>
        <v>525.29423629622931</v>
      </c>
    </row>
    <row r="28" spans="2:12">
      <c r="B28" s="326" t="str">
        <f>Modern_Foreign_Languages_2!B152</f>
        <v xml:space="preserve">Modern Foreign Languages New to SF Sector </v>
      </c>
      <c r="C28" s="324">
        <f>Modern_Foreign_Languages_2!C152</f>
        <v>254.68283777808733</v>
      </c>
      <c r="D28" s="324">
        <f>Modern_Foreign_Languages_2!D152</f>
        <v>254.68283777808733</v>
      </c>
      <c r="E28" s="324">
        <f>Modern_Foreign_Languages_2!E152</f>
        <v>254.68283777808733</v>
      </c>
      <c r="F28" s="324">
        <f>Modern_Foreign_Languages_2!F152</f>
        <v>254.68283777808733</v>
      </c>
      <c r="G28" s="324">
        <f>Modern_Foreign_Languages_2!G152</f>
        <v>254.68283777808733</v>
      </c>
      <c r="H28" s="324">
        <f>Modern_Foreign_Languages_2!H152</f>
        <v>254.68283777808733</v>
      </c>
      <c r="I28" s="324">
        <f>Modern_Foreign_Languages_2!I152</f>
        <v>254.68283777808733</v>
      </c>
      <c r="J28" s="324">
        <f>Modern_Foreign_Languages_2!J152</f>
        <v>254.68283777808733</v>
      </c>
      <c r="K28" s="324">
        <f>Modern_Foreign_Languages_2!K152</f>
        <v>254.68283777808733</v>
      </c>
      <c r="L28" s="324">
        <f>Modern_Foreign_Languages_2!L152</f>
        <v>254.68283777808733</v>
      </c>
    </row>
    <row r="29" spans="2:12">
      <c r="B29" s="326" t="str">
        <f>Music_2!B103</f>
        <v xml:space="preserve">Music New to SF Sector </v>
      </c>
      <c r="C29" s="324">
        <f>Music_2!C103</f>
        <v>83.251564519438247</v>
      </c>
      <c r="D29" s="324">
        <f>Music_2!D103</f>
        <v>86.0956360642992</v>
      </c>
      <c r="E29" s="324">
        <f>Music_2!E103</f>
        <v>84.834039983168083</v>
      </c>
      <c r="F29" s="324">
        <f>Music_2!F103</f>
        <v>83.349936260212829</v>
      </c>
      <c r="G29" s="324">
        <f>Music_2!G103</f>
        <v>82.484341454873743</v>
      </c>
      <c r="H29" s="324">
        <f>Music_2!H103</f>
        <v>85.631510055366235</v>
      </c>
      <c r="I29" s="324">
        <f>Music_2!I103</f>
        <v>81.101449640438929</v>
      </c>
      <c r="J29" s="324">
        <f>Music_2!J103</f>
        <v>75.911781385198452</v>
      </c>
      <c r="K29" s="324">
        <f>Music_2!K103</f>
        <v>73.869764033507252</v>
      </c>
      <c r="L29" s="324">
        <f>Music_2!L103</f>
        <v>78.690370474421755</v>
      </c>
    </row>
    <row r="30" spans="2:12">
      <c r="B30" s="326" t="str">
        <f>Others_2!B103</f>
        <v xml:space="preserve">Others New to SF Sector </v>
      </c>
      <c r="C30" s="324">
        <f>Others_2!C103</f>
        <v>172.34201551721381</v>
      </c>
      <c r="D30" s="324">
        <f>Others_2!D103</f>
        <v>142.02092787321538</v>
      </c>
      <c r="E30" s="324">
        <f>Others_2!E103</f>
        <v>181.1781187554823</v>
      </c>
      <c r="F30" s="324">
        <f>Others_2!F103</f>
        <v>211.31383729392948</v>
      </c>
      <c r="G30" s="324">
        <f>Others_2!G103</f>
        <v>223.12161975563711</v>
      </c>
      <c r="H30" s="324">
        <f>Others_2!H103</f>
        <v>222.91256051570889</v>
      </c>
      <c r="I30" s="324">
        <f>Others_2!I103</f>
        <v>226.45650781371111</v>
      </c>
      <c r="J30" s="324">
        <f>Others_2!J103</f>
        <v>224.2853608062612</v>
      </c>
      <c r="K30" s="324">
        <f>Others_2!K103</f>
        <v>223.34910373400996</v>
      </c>
      <c r="L30" s="324">
        <f>Others_2!L103</f>
        <v>220.99793652280968</v>
      </c>
    </row>
    <row r="31" spans="2:12">
      <c r="B31" s="326" t="str">
        <f>Physical_Education_2!B103</f>
        <v xml:space="preserve">Physical Education New to SF Sector </v>
      </c>
      <c r="C31" s="324">
        <f>Physical_Education_2!C103</f>
        <v>220.41284217781353</v>
      </c>
      <c r="D31" s="324">
        <f>Physical_Education_2!D103</f>
        <v>215.55330372540789</v>
      </c>
      <c r="E31" s="324">
        <f>Physical_Education_2!E103</f>
        <v>241.68774315317788</v>
      </c>
      <c r="F31" s="324">
        <f>Physical_Education_2!F103</f>
        <v>253.34549935271355</v>
      </c>
      <c r="G31" s="324">
        <f>Physical_Education_2!G103</f>
        <v>257.1629226447551</v>
      </c>
      <c r="H31" s="324">
        <f>Physical_Education_2!H103</f>
        <v>258.81775067976827</v>
      </c>
      <c r="I31" s="324">
        <f>Physical_Education_2!I103</f>
        <v>247.77512890047845</v>
      </c>
      <c r="J31" s="324">
        <f>Physical_Education_2!J103</f>
        <v>244.73042814813468</v>
      </c>
      <c r="K31" s="324">
        <f>Physical_Education_2!K103</f>
        <v>242.07071417663195</v>
      </c>
      <c r="L31" s="324">
        <f>Physical_Education_2!L103</f>
        <v>242.68699025305068</v>
      </c>
    </row>
    <row r="32" spans="2:12">
      <c r="B32" s="326" t="str">
        <f>Physics_2!B103</f>
        <v xml:space="preserve">Physics New to SF Sector </v>
      </c>
      <c r="C32" s="324">
        <f>Physics_2!C103</f>
        <v>197.11111377701721</v>
      </c>
      <c r="D32" s="324">
        <f>Physics_2!D103</f>
        <v>196.47858763304373</v>
      </c>
      <c r="E32" s="324">
        <f>Physics_2!E103</f>
        <v>192.80237968938627</v>
      </c>
      <c r="F32" s="324">
        <f>Physics_2!F103</f>
        <v>195.87194427027421</v>
      </c>
      <c r="G32" s="324">
        <f>Physics_2!G103</f>
        <v>200.3942170800525</v>
      </c>
      <c r="H32" s="324">
        <f>Physics_2!H103</f>
        <v>194.30347596441291</v>
      </c>
      <c r="I32" s="324">
        <f>Physics_2!I103</f>
        <v>187.70140299960784</v>
      </c>
      <c r="J32" s="324">
        <f>Physics_2!J103</f>
        <v>190.81892954202388</v>
      </c>
      <c r="K32" s="324">
        <f>Physics_2!K103</f>
        <v>189.28151294383645</v>
      </c>
      <c r="L32" s="324">
        <f>Physics_2!L103</f>
        <v>179.55505591108309</v>
      </c>
    </row>
    <row r="33" spans="2:12">
      <c r="B33" s="326" t="str">
        <f>Religious_Education_2!B103</f>
        <v xml:space="preserve">Religious Education New to SF Sector </v>
      </c>
      <c r="C33" s="324">
        <f>Religious_Education_2!C103</f>
        <v>135.36259914263346</v>
      </c>
      <c r="D33" s="324">
        <f>Religious_Education_2!D103</f>
        <v>126.44033188526478</v>
      </c>
      <c r="E33" s="324">
        <f>Religious_Education_2!E103</f>
        <v>124.98108671041335</v>
      </c>
      <c r="F33" s="324">
        <f>Religious_Education_2!F103</f>
        <v>124.47466467562853</v>
      </c>
      <c r="G33" s="324">
        <f>Religious_Education_2!G103</f>
        <v>125.12640391459828</v>
      </c>
      <c r="H33" s="324">
        <f>Religious_Education_2!H103</f>
        <v>124.83812271536861</v>
      </c>
      <c r="I33" s="324">
        <f>Religious_Education_2!I103</f>
        <v>119.17133192511768</v>
      </c>
      <c r="J33" s="324">
        <f>Religious_Education_2!J103</f>
        <v>116.81085380247265</v>
      </c>
      <c r="K33" s="324">
        <f>Religious_Education_2!K103</f>
        <v>114.8536329860451</v>
      </c>
      <c r="L33" s="324">
        <f>Religious_Education_2!L103</f>
        <v>114.56748236877077</v>
      </c>
    </row>
    <row r="35" spans="2:12">
      <c r="B35" s="326" t="s">
        <v>809</v>
      </c>
      <c r="C35" s="324">
        <f>C14</f>
        <v>3771.8758646932843</v>
      </c>
      <c r="D35" s="324">
        <f t="shared" ref="D35:L35" si="0">D14</f>
        <v>3582.5380612772706</v>
      </c>
      <c r="E35" s="324">
        <f t="shared" si="0"/>
        <v>3604.1580002108321</v>
      </c>
      <c r="F35" s="324">
        <f t="shared" si="0"/>
        <v>3571.3080202904334</v>
      </c>
      <c r="G35" s="324">
        <f t="shared" si="0"/>
        <v>3523.078391986417</v>
      </c>
      <c r="H35" s="324">
        <f t="shared" si="0"/>
        <v>3489.5879153949377</v>
      </c>
      <c r="I35" s="324">
        <f t="shared" si="0"/>
        <v>3573.9743839687717</v>
      </c>
      <c r="J35" s="324">
        <f t="shared" si="0"/>
        <v>3642.1315134615897</v>
      </c>
      <c r="K35" s="324">
        <f t="shared" si="0"/>
        <v>3659.6230015728288</v>
      </c>
      <c r="L35" s="324">
        <f t="shared" si="0"/>
        <v>3643.2764743982466</v>
      </c>
    </row>
    <row r="36" spans="2:12">
      <c r="B36" s="326" t="s">
        <v>810</v>
      </c>
      <c r="C36" s="324">
        <f>SUM(C14:C33)-C35</f>
        <v>3521.1921556226212</v>
      </c>
      <c r="D36" s="324">
        <f t="shared" ref="D36:L36" si="1">SUM(D14:D33)-D35</f>
        <v>3390.1458097680952</v>
      </c>
      <c r="E36" s="324">
        <f t="shared" si="1"/>
        <v>3520.6337447361211</v>
      </c>
      <c r="F36" s="324">
        <f t="shared" si="1"/>
        <v>3594.25680874419</v>
      </c>
      <c r="G36" s="324">
        <f t="shared" si="1"/>
        <v>3639.5066615081832</v>
      </c>
      <c r="H36" s="324">
        <f t="shared" si="1"/>
        <v>3619.9238460739803</v>
      </c>
      <c r="I36" s="324">
        <f t="shared" si="1"/>
        <v>3512.4354089884237</v>
      </c>
      <c r="J36" s="324">
        <f t="shared" si="1"/>
        <v>3480.2257927366391</v>
      </c>
      <c r="K36" s="324">
        <f t="shared" si="1"/>
        <v>3442.1950862918529</v>
      </c>
      <c r="L36" s="324">
        <f t="shared" si="1"/>
        <v>3405.7595388840141</v>
      </c>
    </row>
    <row r="37" spans="2:12">
      <c r="B37" s="326" t="s">
        <v>8</v>
      </c>
      <c r="C37" s="324">
        <f>SUM(C35:C36)</f>
        <v>7293.0680203159054</v>
      </c>
      <c r="D37" s="324">
        <f t="shared" ref="D37:L37" si="2">SUM(D35:D36)</f>
        <v>6972.6838710453658</v>
      </c>
      <c r="E37" s="324">
        <f t="shared" si="2"/>
        <v>7124.7917449469533</v>
      </c>
      <c r="F37" s="324">
        <f t="shared" si="2"/>
        <v>7165.5648290346235</v>
      </c>
      <c r="G37" s="324">
        <f t="shared" si="2"/>
        <v>7162.5850534946003</v>
      </c>
      <c r="H37" s="324">
        <f t="shared" si="2"/>
        <v>7109.5117614689179</v>
      </c>
      <c r="I37" s="324">
        <f t="shared" si="2"/>
        <v>7086.4097929571954</v>
      </c>
      <c r="J37" s="324">
        <f t="shared" si="2"/>
        <v>7122.3573061982288</v>
      </c>
      <c r="K37" s="324">
        <f t="shared" si="2"/>
        <v>7101.8180878646817</v>
      </c>
      <c r="L37" s="324">
        <f t="shared" si="2"/>
        <v>7049.0360132822607</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7"/>
  <sheetViews>
    <sheetView showGridLines="0" workbookViewId="0"/>
  </sheetViews>
  <sheetFormatPr defaultColWidth="9.140625" defaultRowHeight="12.75"/>
  <cols>
    <col min="1" max="1" width="8.42578125" style="309" customWidth="1"/>
    <col min="2" max="2" width="50.7109375" style="309" customWidth="1"/>
    <col min="3" max="12" width="9.7109375" style="309" customWidth="1"/>
    <col min="13" max="14" width="8.7109375" style="309" customWidth="1"/>
    <col min="15" max="16384" width="9.140625" style="309"/>
  </cols>
  <sheetData>
    <row r="1" spans="1:15" s="344" customFormat="1" ht="15">
      <c r="A1" s="343" t="str">
        <f>ModelBanner</f>
        <v>TSM_201718 for publication</v>
      </c>
    </row>
    <row r="2" spans="1:15" s="344" customFormat="1" ht="15">
      <c r="A2" s="1003" t="s">
        <v>13</v>
      </c>
      <c r="B2" s="1003" t="s">
        <v>30</v>
      </c>
    </row>
    <row r="3" spans="1:15" s="344" customFormat="1" ht="15">
      <c r="A3" s="345"/>
    </row>
    <row r="4" spans="1:15" s="679" customFormat="1">
      <c r="A4" s="680" t="s">
        <v>26</v>
      </c>
      <c r="B4" s="680"/>
      <c r="C4" s="680"/>
      <c r="D4" s="680"/>
      <c r="E4" s="347"/>
      <c r="F4" s="680"/>
      <c r="G4" s="680"/>
    </row>
    <row r="5" spans="1:15" s="678" customFormat="1" ht="13.15" customHeight="1">
      <c r="A5" s="708" t="s">
        <v>1731</v>
      </c>
      <c r="B5" s="708"/>
      <c r="C5" s="708"/>
      <c r="D5" s="708"/>
      <c r="E5" s="708"/>
      <c r="F5" s="708"/>
      <c r="G5" s="708"/>
      <c r="H5" s="349"/>
      <c r="I5" s="349"/>
      <c r="J5" s="349"/>
      <c r="K5" s="349"/>
      <c r="L5" s="349"/>
      <c r="M5" s="349"/>
      <c r="N5" s="349"/>
      <c r="O5" s="349"/>
    </row>
    <row r="6" spans="1:15" s="675" customFormat="1">
      <c r="A6" s="677" t="s">
        <v>1420</v>
      </c>
      <c r="B6" s="352"/>
      <c r="C6" s="352"/>
      <c r="D6" s="352"/>
      <c r="E6" s="347"/>
      <c r="F6" s="352"/>
      <c r="G6" s="352"/>
      <c r="H6" s="353"/>
      <c r="I6" s="353"/>
      <c r="J6" s="353"/>
      <c r="K6" s="353"/>
      <c r="L6" s="353"/>
      <c r="M6" s="353"/>
      <c r="N6" s="353"/>
      <c r="O6" s="353"/>
    </row>
    <row r="7" spans="1:15" s="675" customFormat="1">
      <c r="A7" s="676" t="s">
        <v>742</v>
      </c>
      <c r="B7" s="677"/>
      <c r="C7" s="352"/>
      <c r="D7" s="352"/>
      <c r="E7" s="347"/>
      <c r="F7" s="352"/>
      <c r="G7" s="352"/>
      <c r="H7" s="353"/>
      <c r="I7" s="353"/>
      <c r="J7" s="353"/>
      <c r="K7" s="353"/>
      <c r="L7" s="353"/>
      <c r="M7" s="353"/>
      <c r="N7" s="353"/>
      <c r="O7" s="353"/>
    </row>
    <row r="8" spans="1:15" s="675" customFormat="1">
      <c r="A8" s="677" t="s">
        <v>24</v>
      </c>
      <c r="B8" s="352"/>
      <c r="C8" s="352"/>
      <c r="D8" s="352"/>
      <c r="E8" s="347"/>
      <c r="F8" s="352"/>
      <c r="G8" s="352"/>
      <c r="H8" s="353"/>
      <c r="I8" s="353"/>
      <c r="J8" s="353"/>
      <c r="K8" s="353"/>
      <c r="L8" s="353"/>
      <c r="M8" s="353"/>
      <c r="N8" s="353"/>
      <c r="O8" s="353"/>
    </row>
    <row r="9" spans="1:15" s="673" customFormat="1">
      <c r="A9" s="674"/>
      <c r="B9" s="357"/>
      <c r="C9" s="358"/>
      <c r="D9" s="359"/>
      <c r="E9" s="359"/>
      <c r="F9" s="359"/>
      <c r="G9" s="360"/>
      <c r="H9" s="359"/>
      <c r="I9" s="359"/>
      <c r="J9" s="360"/>
      <c r="K9" s="361"/>
      <c r="L9" s="361"/>
      <c r="M9" s="361"/>
      <c r="N9" s="361"/>
      <c r="O9" s="361"/>
    </row>
    <row r="11" spans="1:15" ht="15.75">
      <c r="B11" s="340" t="s">
        <v>1069</v>
      </c>
    </row>
    <row r="13" spans="1:15">
      <c r="B13" s="326"/>
      <c r="C13" s="326" t="str">
        <f>Primary_2!C102</f>
        <v>2018/19</v>
      </c>
      <c r="D13" s="326" t="str">
        <f>Primary_2!D102</f>
        <v>2019/20</v>
      </c>
      <c r="E13" s="326" t="str">
        <f>Primary_2!E102</f>
        <v>2020/21</v>
      </c>
      <c r="F13" s="326" t="str">
        <f>Primary_2!F102</f>
        <v>2021/22</v>
      </c>
      <c r="G13" s="326" t="str">
        <f>Primary_2!G102</f>
        <v>2022/23</v>
      </c>
      <c r="H13" s="326" t="str">
        <f>Primary_2!H102</f>
        <v>2023/24</v>
      </c>
      <c r="I13" s="326" t="str">
        <f>Primary_2!I102</f>
        <v>2024/25</v>
      </c>
      <c r="J13" s="326" t="str">
        <f>Primary_2!J102</f>
        <v>2025/26</v>
      </c>
      <c r="K13" s="326" t="str">
        <f>Primary_2!K102</f>
        <v>2026/27</v>
      </c>
      <c r="L13" s="326" t="str">
        <f>Primary_2!L102</f>
        <v>2027/28</v>
      </c>
    </row>
    <row r="14" spans="1:15">
      <c r="B14" s="326" t="str">
        <f>Primary_2!B105</f>
        <v>Primary NQTs</v>
      </c>
      <c r="C14" s="324">
        <f>Primary_2!C105</f>
        <v>12867.743665953705</v>
      </c>
      <c r="D14" s="324">
        <f>Primary_2!D105</f>
        <v>12221.818294061828</v>
      </c>
      <c r="E14" s="324">
        <f>Primary_2!E105</f>
        <v>12295.574653563142</v>
      </c>
      <c r="F14" s="324">
        <f>Primary_2!F105</f>
        <v>12183.507041528463</v>
      </c>
      <c r="G14" s="324">
        <f>Primary_2!G105</f>
        <v>12018.971803258957</v>
      </c>
      <c r="H14" s="324">
        <f>Primary_2!H105</f>
        <v>11904.719138672705</v>
      </c>
      <c r="I14" s="324">
        <f>Primary_2!I105</f>
        <v>12192.603333549689</v>
      </c>
      <c r="J14" s="324">
        <f>Primary_2!J105</f>
        <v>12425.121184821051</v>
      </c>
      <c r="K14" s="324">
        <f>Primary_2!K105</f>
        <v>12484.793346213828</v>
      </c>
      <c r="L14" s="324">
        <f>Primary_2!L105</f>
        <v>12429.027215763994</v>
      </c>
    </row>
    <row r="15" spans="1:15">
      <c r="B15" s="326" t="str">
        <f>'Art_&amp;_Design_2'!B105</f>
        <v>Art &amp; Design NQTs</v>
      </c>
      <c r="C15" s="324">
        <f>'Art_&amp;_Design_2'!C105</f>
        <v>404.3544073580598</v>
      </c>
      <c r="D15" s="324">
        <f>'Art_&amp;_Design_2'!D105</f>
        <v>406.36232466689569</v>
      </c>
      <c r="E15" s="324">
        <f>'Art_&amp;_Design_2'!E105</f>
        <v>456.63178405120954</v>
      </c>
      <c r="F15" s="324">
        <f>'Art_&amp;_Design_2'!F105</f>
        <v>465.7667228325875</v>
      </c>
      <c r="G15" s="324">
        <f>'Art_&amp;_Design_2'!G105</f>
        <v>469.15160440701885</v>
      </c>
      <c r="H15" s="324">
        <f>'Art_&amp;_Design_2'!H105</f>
        <v>476.38929012035948</v>
      </c>
      <c r="I15" s="324">
        <f>'Art_&amp;_Design_2'!I105</f>
        <v>458.53882389538251</v>
      </c>
      <c r="J15" s="324">
        <f>'Art_&amp;_Design_2'!J105</f>
        <v>440.63607689976425</v>
      </c>
      <c r="K15" s="324">
        <f>'Art_&amp;_Design_2'!K105</f>
        <v>431.44871307712634</v>
      </c>
      <c r="L15" s="324">
        <f>'Art_&amp;_Design_2'!L105</f>
        <v>441.048874098483</v>
      </c>
    </row>
    <row r="16" spans="1:15">
      <c r="B16" s="326" t="str">
        <f>Biology_2!B105</f>
        <v>Biology NQTs</v>
      </c>
      <c r="C16" s="324">
        <f>Biology_2!C105</f>
        <v>802.99588557839547</v>
      </c>
      <c r="D16" s="324">
        <f>Biology_2!D105</f>
        <v>762.47420469971678</v>
      </c>
      <c r="E16" s="324">
        <f>Biology_2!E105</f>
        <v>753.74972991369157</v>
      </c>
      <c r="F16" s="324">
        <f>Biology_2!F105</f>
        <v>768.91663204474924</v>
      </c>
      <c r="G16" s="324">
        <f>Biology_2!G105</f>
        <v>790.27213062311023</v>
      </c>
      <c r="H16" s="324">
        <f>Biology_2!H105</f>
        <v>775.99219270234653</v>
      </c>
      <c r="I16" s="324">
        <f>Biology_2!I105</f>
        <v>754.82972896436797</v>
      </c>
      <c r="J16" s="324">
        <f>Biology_2!J105</f>
        <v>763.46952214379269</v>
      </c>
      <c r="K16" s="324">
        <f>Biology_2!K105</f>
        <v>759.0120384592301</v>
      </c>
      <c r="L16" s="324">
        <f>Biology_2!L105</f>
        <v>731.90377762798244</v>
      </c>
    </row>
    <row r="17" spans="2:12">
      <c r="B17" s="326" t="str">
        <f>Business_Studies_2!B105</f>
        <v>Business Studies NQTs</v>
      </c>
      <c r="C17" s="324">
        <f>Business_Studies_2!C105</f>
        <v>159.39687919426885</v>
      </c>
      <c r="D17" s="324">
        <f>Business_Studies_2!D105</f>
        <v>120.05260632674926</v>
      </c>
      <c r="E17" s="324">
        <f>Business_Studies_2!E105</f>
        <v>178.65039956106415</v>
      </c>
      <c r="F17" s="324">
        <f>Business_Studies_2!F105</f>
        <v>206.16971080207168</v>
      </c>
      <c r="G17" s="324">
        <f>Business_Studies_2!G105</f>
        <v>223.561952272507</v>
      </c>
      <c r="H17" s="324">
        <f>Business_Studies_2!H105</f>
        <v>216.86359733196548</v>
      </c>
      <c r="I17" s="324">
        <f>Business_Studies_2!I105</f>
        <v>223.74536110075363</v>
      </c>
      <c r="J17" s="324">
        <f>Business_Studies_2!J105</f>
        <v>230.776412152022</v>
      </c>
      <c r="K17" s="324">
        <f>Business_Studies_2!K105</f>
        <v>232.09905917383315</v>
      </c>
      <c r="L17" s="324">
        <f>Business_Studies_2!L105</f>
        <v>218.12452164449067</v>
      </c>
    </row>
    <row r="18" spans="2:12">
      <c r="B18" s="326" t="str">
        <f>Chemistry_2!B105</f>
        <v>Chemistry NQTs</v>
      </c>
      <c r="C18" s="324">
        <f>Chemistry_2!C105</f>
        <v>677.51958487611637</v>
      </c>
      <c r="D18" s="324">
        <f>Chemistry_2!D105</f>
        <v>678.00993768464298</v>
      </c>
      <c r="E18" s="324">
        <f>Chemistry_2!E105</f>
        <v>668.22574800461143</v>
      </c>
      <c r="F18" s="324">
        <f>Chemistry_2!F105</f>
        <v>680.71270633663437</v>
      </c>
      <c r="G18" s="324">
        <f>Chemistry_2!G105</f>
        <v>698.42463899762606</v>
      </c>
      <c r="H18" s="324">
        <f>Chemistry_2!H105</f>
        <v>680.4480663157583</v>
      </c>
      <c r="I18" s="324">
        <f>Chemistry_2!I105</f>
        <v>660.21091681318217</v>
      </c>
      <c r="J18" s="324">
        <f>Chemistry_2!J105</f>
        <v>669.9156108803254</v>
      </c>
      <c r="K18" s="324">
        <f>Chemistry_2!K105</f>
        <v>665.21905290729796</v>
      </c>
      <c r="L18" s="324">
        <f>Chemistry_2!L105</f>
        <v>634.88854650847907</v>
      </c>
    </row>
    <row r="19" spans="2:12">
      <c r="B19" s="326" t="str">
        <f>Classics_2!B105</f>
        <v>Classics NQTs</v>
      </c>
      <c r="C19" s="324">
        <f>Classics_2!C105</f>
        <v>19.239359964925082</v>
      </c>
      <c r="D19" s="324">
        <f>Classics_2!D105</f>
        <v>18.699539958503959</v>
      </c>
      <c r="E19" s="324">
        <f>Classics_2!E105</f>
        <v>18.465105340228241</v>
      </c>
      <c r="F19" s="324">
        <f>Classics_2!F105</f>
        <v>18.558123357196617</v>
      </c>
      <c r="G19" s="324">
        <f>Classics_2!G105</f>
        <v>18.889725051827121</v>
      </c>
      <c r="H19" s="324">
        <f>Classics_2!H105</f>
        <v>18.783860295436192</v>
      </c>
      <c r="I19" s="324">
        <f>Classics_2!I105</f>
        <v>18.497778655832143</v>
      </c>
      <c r="J19" s="324">
        <f>Classics_2!J105</f>
        <v>18.051427277426964</v>
      </c>
      <c r="K19" s="324">
        <f>Classics_2!K105</f>
        <v>17.810199265671187</v>
      </c>
      <c r="L19" s="324">
        <f>Classics_2!L105</f>
        <v>17.794581275068612</v>
      </c>
    </row>
    <row r="20" spans="2:12">
      <c r="B20" s="326" t="str">
        <f>Computing_2!B105</f>
        <v>Computing NQTs</v>
      </c>
      <c r="C20" s="324">
        <f>Computing_2!C105</f>
        <v>300.10021835802866</v>
      </c>
      <c r="D20" s="324">
        <f>Computing_2!D105</f>
        <v>288.62431792545931</v>
      </c>
      <c r="E20" s="324">
        <f>Computing_2!E105</f>
        <v>382.94466430713265</v>
      </c>
      <c r="F20" s="324">
        <f>Computing_2!F105</f>
        <v>411.91694005381186</v>
      </c>
      <c r="G20" s="324">
        <f>Computing_2!G105</f>
        <v>418.82002314172166</v>
      </c>
      <c r="H20" s="324">
        <f>Computing_2!H105</f>
        <v>422.11678109256576</v>
      </c>
      <c r="I20" s="324">
        <f>Computing_2!I105</f>
        <v>409.23904804699561</v>
      </c>
      <c r="J20" s="324">
        <f>Computing_2!J105</f>
        <v>399.93811525790977</v>
      </c>
      <c r="K20" s="324">
        <f>Computing_2!K105</f>
        <v>393.98052070016467</v>
      </c>
      <c r="L20" s="324">
        <f>Computing_2!L105</f>
        <v>396.08759693665428</v>
      </c>
    </row>
    <row r="21" spans="2:12">
      <c r="B21" s="326" t="str">
        <f>'Design_&amp;_Technology_2'!B105</f>
        <v>Design &amp; Technology NQTs</v>
      </c>
      <c r="C21" s="324">
        <f>'Design_&amp;_Technology_2'!C105</f>
        <v>500.78433609839101</v>
      </c>
      <c r="D21" s="324">
        <f>'Design_&amp;_Technology_2'!D105</f>
        <v>454.39802779767444</v>
      </c>
      <c r="E21" s="324">
        <f>'Design_&amp;_Technology_2'!E105</f>
        <v>548.73448171755683</v>
      </c>
      <c r="F21" s="324">
        <f>'Design_&amp;_Technology_2'!F105</f>
        <v>576.30881270352779</v>
      </c>
      <c r="G21" s="324">
        <f>'Design_&amp;_Technology_2'!G105</f>
        <v>565.05163844255321</v>
      </c>
      <c r="H21" s="324">
        <f>'Design_&amp;_Technology_2'!H105</f>
        <v>575.30848768637316</v>
      </c>
      <c r="I21" s="324">
        <f>'Design_&amp;_Technology_2'!I105</f>
        <v>540.91751595028347</v>
      </c>
      <c r="J21" s="324">
        <f>'Design_&amp;_Technology_2'!J105</f>
        <v>507.10561193769075</v>
      </c>
      <c r="K21" s="324">
        <f>'Design_&amp;_Technology_2'!K105</f>
        <v>490.55867732931904</v>
      </c>
      <c r="L21" s="324">
        <f>'Design_&amp;_Technology_2'!L105</f>
        <v>511.97810634464798</v>
      </c>
    </row>
    <row r="22" spans="2:12">
      <c r="B22" s="326" t="str">
        <f>Drama_2!B105</f>
        <v>Drama NQTs</v>
      </c>
      <c r="C22" s="324">
        <f>Drama_2!C105</f>
        <v>259.30619789531664</v>
      </c>
      <c r="D22" s="324">
        <f>Drama_2!D105</f>
        <v>250.49081552492615</v>
      </c>
      <c r="E22" s="324">
        <f>Drama_2!E105</f>
        <v>248.66840591435727</v>
      </c>
      <c r="F22" s="324">
        <f>Drama_2!F105</f>
        <v>268.17037472553329</v>
      </c>
      <c r="G22" s="324">
        <f>Drama_2!G105</f>
        <v>269.96860929641196</v>
      </c>
      <c r="H22" s="324">
        <f>Drama_2!H105</f>
        <v>276.11818141061917</v>
      </c>
      <c r="I22" s="324">
        <f>Drama_2!I105</f>
        <v>265.17097906111178</v>
      </c>
      <c r="J22" s="324">
        <f>Drama_2!J105</f>
        <v>255.07403250337106</v>
      </c>
      <c r="K22" s="324">
        <f>Drama_2!K105</f>
        <v>250.59599760692285</v>
      </c>
      <c r="L22" s="324">
        <f>Drama_2!L105</f>
        <v>258.73418495090129</v>
      </c>
    </row>
    <row r="23" spans="2:12">
      <c r="B23" s="326" t="str">
        <f>English_2!B105</f>
        <v>English NQTs</v>
      </c>
      <c r="C23" s="324">
        <f>English_2!C105</f>
        <v>1911.245533076939</v>
      </c>
      <c r="D23" s="324">
        <f>English_2!D105</f>
        <v>1831.3445830567894</v>
      </c>
      <c r="E23" s="324">
        <f>English_2!E105</f>
        <v>1788.7387243521007</v>
      </c>
      <c r="F23" s="324">
        <f>English_2!F105</f>
        <v>1796.4720136346091</v>
      </c>
      <c r="G23" s="324">
        <f>English_2!G105</f>
        <v>1811.6779915528743</v>
      </c>
      <c r="H23" s="324">
        <f>English_2!H105</f>
        <v>1791.2488613616931</v>
      </c>
      <c r="I23" s="324">
        <f>English_2!I105</f>
        <v>1709.9192181328917</v>
      </c>
      <c r="J23" s="324">
        <f>English_2!J105</f>
        <v>1699.624250385119</v>
      </c>
      <c r="K23" s="324">
        <f>English_2!K105</f>
        <v>1676.7333700820332</v>
      </c>
      <c r="L23" s="324">
        <f>English_2!L105</f>
        <v>1644.9731715214136</v>
      </c>
    </row>
    <row r="24" spans="2:12">
      <c r="B24" s="326" t="str">
        <f>Food_2!B105</f>
        <v>Food NQTs</v>
      </c>
      <c r="C24" s="324">
        <f>Food_2!C105</f>
        <v>96.069693340465733</v>
      </c>
      <c r="D24" s="324">
        <f>Food_2!D105</f>
        <v>84.52005879254601</v>
      </c>
      <c r="E24" s="324">
        <f>Food_2!E105</f>
        <v>113.98359401741193</v>
      </c>
      <c r="F24" s="324">
        <f>Food_2!F105</f>
        <v>121.56542606427438</v>
      </c>
      <c r="G24" s="324">
        <f>Food_2!G105</f>
        <v>121.88547320494415</v>
      </c>
      <c r="H24" s="324">
        <f>Food_2!H105</f>
        <v>116.99335251533084</v>
      </c>
      <c r="I24" s="324">
        <f>Food_2!I105</f>
        <v>111.1943214808052</v>
      </c>
      <c r="J24" s="324">
        <f>Food_2!J105</f>
        <v>111.94155988826897</v>
      </c>
      <c r="K24" s="324">
        <f>Food_2!K105</f>
        <v>110.12250669715969</v>
      </c>
      <c r="L24" s="324">
        <f>Food_2!L105</f>
        <v>104.01826238395492</v>
      </c>
    </row>
    <row r="25" spans="2:12">
      <c r="B25" s="326" t="str">
        <f>Geography_2!B154</f>
        <v>Geography NQTs</v>
      </c>
      <c r="C25" s="324">
        <f>Geography_2!C154</f>
        <v>1037.6121686405004</v>
      </c>
      <c r="D25" s="324">
        <f>Geography_2!D154</f>
        <v>1019.6958437796293</v>
      </c>
      <c r="E25" s="324">
        <f>Geography_2!E154</f>
        <v>793.56037550334008</v>
      </c>
      <c r="F25" s="324">
        <f>Geography_2!F154</f>
        <v>752.55387333773729</v>
      </c>
      <c r="G25" s="324">
        <f>Geography_2!G154</f>
        <v>758.34691395315554</v>
      </c>
      <c r="H25" s="324">
        <f>Geography_2!H154</f>
        <v>767.30885743344857</v>
      </c>
      <c r="I25" s="324">
        <f>Geography_2!I154</f>
        <v>709.13954858047441</v>
      </c>
      <c r="J25" s="324">
        <f>Geography_2!J154</f>
        <v>678.24983078306946</v>
      </c>
      <c r="K25" s="324">
        <f>Geography_2!K154</f>
        <v>658.04004888371003</v>
      </c>
      <c r="L25" s="324">
        <f>Geography_2!L154</f>
        <v>669.39000648684646</v>
      </c>
    </row>
    <row r="26" spans="2:12">
      <c r="B26" s="326" t="str">
        <f>History_2!B154</f>
        <v>History NQTs</v>
      </c>
      <c r="C26" s="324">
        <f>History_2!C154</f>
        <v>942.73270484617319</v>
      </c>
      <c r="D26" s="324">
        <f>History_2!D154</f>
        <v>996.94278490286547</v>
      </c>
      <c r="E26" s="324">
        <f>History_2!E154</f>
        <v>789.99355225076374</v>
      </c>
      <c r="F26" s="324">
        <f>History_2!F154</f>
        <v>779.26955201282249</v>
      </c>
      <c r="G26" s="324">
        <f>History_2!G154</f>
        <v>790.40680266664549</v>
      </c>
      <c r="H26" s="324">
        <f>History_2!H154</f>
        <v>797.8410969536385</v>
      </c>
      <c r="I26" s="324">
        <f>History_2!I154</f>
        <v>742.27605152290118</v>
      </c>
      <c r="J26" s="324">
        <f>History_2!J154</f>
        <v>712.35643694239832</v>
      </c>
      <c r="K26" s="324">
        <f>History_2!K154</f>
        <v>692.21434559396494</v>
      </c>
      <c r="L26" s="324">
        <f>History_2!L154</f>
        <v>700.19936399464461</v>
      </c>
    </row>
    <row r="27" spans="2:12">
      <c r="B27" s="326" t="str">
        <f>Mathematics_2!B105</f>
        <v>Mathematics NQTs</v>
      </c>
      <c r="C27" s="324">
        <f>Mathematics_2!C105</f>
        <v>2104.2750492739433</v>
      </c>
      <c r="D27" s="324">
        <f>Mathematics_2!D105</f>
        <v>2036.9165631660892</v>
      </c>
      <c r="E27" s="324">
        <f>Mathematics_2!E105</f>
        <v>2016.7322907590565</v>
      </c>
      <c r="F27" s="324">
        <f>Mathematics_2!F105</f>
        <v>1965.6114876870254</v>
      </c>
      <c r="G27" s="324">
        <f>Mathematics_2!G105</f>
        <v>1978.6162101061836</v>
      </c>
      <c r="H27" s="324">
        <f>Mathematics_2!H105</f>
        <v>1955.4951106985566</v>
      </c>
      <c r="I27" s="324">
        <f>Mathematics_2!I105</f>
        <v>1870.3959391184449</v>
      </c>
      <c r="J27" s="324">
        <f>Mathematics_2!J105</f>
        <v>1849.3514970208412</v>
      </c>
      <c r="K27" s="324">
        <f>Mathematics_2!K105</f>
        <v>1819.9639074387053</v>
      </c>
      <c r="L27" s="324">
        <f>Mathematics_2!L105</f>
        <v>1787.5745630564807</v>
      </c>
    </row>
    <row r="28" spans="2:12">
      <c r="B28" s="326" t="str">
        <f>Modern_Foreign_Languages_2!B154</f>
        <v>Modern Foreign Languages NQTs</v>
      </c>
      <c r="C28" s="324">
        <f>Modern_Foreign_Languages_2!C154</f>
        <v>2250.7368857286674</v>
      </c>
      <c r="D28" s="324">
        <f>Modern_Foreign_Languages_2!D154</f>
        <v>2460.2909040380318</v>
      </c>
      <c r="E28" s="324">
        <f>Modern_Foreign_Languages_2!E154</f>
        <v>1667.355109111729</v>
      </c>
      <c r="F28" s="324">
        <f>Modern_Foreign_Languages_2!F154</f>
        <v>1296.0741569258005</v>
      </c>
      <c r="G28" s="324">
        <f>Modern_Foreign_Languages_2!G154</f>
        <v>1286.6898832458855</v>
      </c>
      <c r="H28" s="324">
        <f>Modern_Foreign_Languages_2!H154</f>
        <v>1289.9295385409064</v>
      </c>
      <c r="I28" s="324">
        <f>Modern_Foreign_Languages_2!I154</f>
        <v>1174.8209924702539</v>
      </c>
      <c r="J28" s="324">
        <f>Modern_Foreign_Languages_2!J154</f>
        <v>1115.6094612393667</v>
      </c>
      <c r="K28" s="324">
        <f>Modern_Foreign_Languages_2!K154</f>
        <v>1072.6097489785611</v>
      </c>
      <c r="L28" s="324">
        <f>Modern_Foreign_Languages_2!L154</f>
        <v>1082.8989362405518</v>
      </c>
    </row>
    <row r="29" spans="2:12">
      <c r="B29" s="326" t="str">
        <f>Music_2!B105</f>
        <v>Music NQTs</v>
      </c>
      <c r="C29" s="324">
        <f>Music_2!C105</f>
        <v>283.30480097954103</v>
      </c>
      <c r="D29" s="324">
        <f>Music_2!D105</f>
        <v>292.98316711763658</v>
      </c>
      <c r="E29" s="324">
        <f>Music_2!E105</f>
        <v>288.68995979180949</v>
      </c>
      <c r="F29" s="324">
        <f>Music_2!F105</f>
        <v>283.63955969071992</v>
      </c>
      <c r="G29" s="324">
        <f>Music_2!G105</f>
        <v>280.69394340745771</v>
      </c>
      <c r="H29" s="324">
        <f>Music_2!H105</f>
        <v>291.40374783165453</v>
      </c>
      <c r="I29" s="324">
        <f>Music_2!I105</f>
        <v>275.98796709906992</v>
      </c>
      <c r="J29" s="324">
        <f>Music_2!J105</f>
        <v>258.32754304953204</v>
      </c>
      <c r="K29" s="324">
        <f>Music_2!K105</f>
        <v>251.3785646999111</v>
      </c>
      <c r="L29" s="324">
        <f>Music_2!L105</f>
        <v>267.78307260588684</v>
      </c>
    </row>
    <row r="30" spans="2:12">
      <c r="B30" s="326" t="str">
        <f>Others_2!B105</f>
        <v>Others NQTs</v>
      </c>
      <c r="C30" s="324">
        <f>Others_2!C105</f>
        <v>586.47931349226599</v>
      </c>
      <c r="D30" s="324">
        <f>Others_2!D105</f>
        <v>483.29675169836116</v>
      </c>
      <c r="E30" s="324">
        <f>Others_2!E105</f>
        <v>616.5485438280856</v>
      </c>
      <c r="F30" s="324">
        <f>Others_2!F105</f>
        <v>719.10029516384361</v>
      </c>
      <c r="G30" s="324">
        <f>Others_2!G105</f>
        <v>759.28214014938408</v>
      </c>
      <c r="H30" s="324">
        <f>Others_2!H105</f>
        <v>758.57071224166032</v>
      </c>
      <c r="I30" s="324">
        <f>Others_2!I105</f>
        <v>770.63075327197714</v>
      </c>
      <c r="J30" s="324">
        <f>Others_2!J105</f>
        <v>763.2423471273778</v>
      </c>
      <c r="K30" s="324">
        <f>Others_2!K105</f>
        <v>760.05626738159845</v>
      </c>
      <c r="L30" s="324">
        <f>Others_2!L105</f>
        <v>752.05525307413541</v>
      </c>
    </row>
    <row r="31" spans="2:12">
      <c r="B31" s="326" t="str">
        <f>Physical_Education_2!B105</f>
        <v>Physical Education NQTs</v>
      </c>
      <c r="C31" s="324">
        <f>Physical_Education_2!C105</f>
        <v>750.06417893732817</v>
      </c>
      <c r="D31" s="324">
        <f>Physical_Education_2!D105</f>
        <v>733.52718552395197</v>
      </c>
      <c r="E31" s="324">
        <f>Physical_Education_2!E105</f>
        <v>822.46259717099088</v>
      </c>
      <c r="F31" s="324">
        <f>Physical_Education_2!F105</f>
        <v>862.13390327847333</v>
      </c>
      <c r="G31" s="324">
        <f>Physical_Education_2!G105</f>
        <v>875.12458221945565</v>
      </c>
      <c r="H31" s="324">
        <f>Physical_Education_2!H105</f>
        <v>880.75595659447174</v>
      </c>
      <c r="I31" s="324">
        <f>Physical_Education_2!I105</f>
        <v>843.17795090133438</v>
      </c>
      <c r="J31" s="324">
        <f>Physical_Education_2!J105</f>
        <v>832.8168442282747</v>
      </c>
      <c r="K31" s="324">
        <f>Physical_Education_2!K105</f>
        <v>823.76584630759123</v>
      </c>
      <c r="L31" s="324">
        <f>Physical_Education_2!L105</f>
        <v>825.86303177414766</v>
      </c>
    </row>
    <row r="32" spans="2:12">
      <c r="B32" s="326" t="str">
        <f>Physics_2!B105</f>
        <v>Physics NQTs</v>
      </c>
      <c r="C32" s="324">
        <f>Physics_2!C105</f>
        <v>670.76847362327908</v>
      </c>
      <c r="D32" s="324">
        <f>Physics_2!D105</f>
        <v>668.61598923013685</v>
      </c>
      <c r="E32" s="324">
        <f>Physics_2!E105</f>
        <v>656.10586565649385</v>
      </c>
      <c r="F32" s="324">
        <f>Physics_2!F105</f>
        <v>666.55158385653158</v>
      </c>
      <c r="G32" s="324">
        <f>Physics_2!G105</f>
        <v>681.94086339433875</v>
      </c>
      <c r="H32" s="324">
        <f>Physics_2!H105</f>
        <v>661.21409135654369</v>
      </c>
      <c r="I32" s="324">
        <f>Physics_2!I105</f>
        <v>638.74725871329895</v>
      </c>
      <c r="J32" s="324">
        <f>Physics_2!J105</f>
        <v>649.35619131109286</v>
      </c>
      <c r="K32" s="324">
        <f>Physics_2!K105</f>
        <v>644.12436767046404</v>
      </c>
      <c r="L32" s="324">
        <f>Physics_2!L105</f>
        <v>611.02526629253305</v>
      </c>
    </row>
    <row r="33" spans="2:12">
      <c r="B33" s="326" t="str">
        <f>Religious_Education_2!B105</f>
        <v>Religious Education NQTs</v>
      </c>
      <c r="C33" s="324">
        <f>Religious_Education_2!C105</f>
        <v>460.63848086870684</v>
      </c>
      <c r="D33" s="324">
        <f>Religious_Education_2!D105</f>
        <v>430.27603465852275</v>
      </c>
      <c r="E33" s="324">
        <f>Religious_Education_2!E105</f>
        <v>425.31022811509001</v>
      </c>
      <c r="F33" s="324">
        <f>Religious_Education_2!F105</f>
        <v>423.58687559187268</v>
      </c>
      <c r="G33" s="324">
        <f>Religious_Education_2!G105</f>
        <v>425.80474208426477</v>
      </c>
      <c r="H33" s="324">
        <f>Religious_Education_2!H105</f>
        <v>424.82372210890043</v>
      </c>
      <c r="I33" s="324">
        <f>Religious_Education_2!I105</f>
        <v>405.53965163776968</v>
      </c>
      <c r="J33" s="324">
        <f>Religious_Education_2!J105</f>
        <v>397.50695232920145</v>
      </c>
      <c r="K33" s="324">
        <f>Religious_Education_2!K105</f>
        <v>390.84653631093488</v>
      </c>
      <c r="L33" s="324">
        <f>Religious_Education_2!L105</f>
        <v>389.87276669897579</v>
      </c>
    </row>
    <row r="35" spans="2:12">
      <c r="B35" s="326" t="s">
        <v>809</v>
      </c>
      <c r="C35" s="324">
        <f>C14</f>
        <v>12867.743665953705</v>
      </c>
      <c r="D35" s="324">
        <f t="shared" ref="D35:L35" si="0">D14</f>
        <v>12221.818294061828</v>
      </c>
      <c r="E35" s="324">
        <f t="shared" si="0"/>
        <v>12295.574653563142</v>
      </c>
      <c r="F35" s="324">
        <f t="shared" si="0"/>
        <v>12183.507041528463</v>
      </c>
      <c r="G35" s="324">
        <f t="shared" si="0"/>
        <v>12018.971803258957</v>
      </c>
      <c r="H35" s="324">
        <f t="shared" si="0"/>
        <v>11904.719138672705</v>
      </c>
      <c r="I35" s="324">
        <f t="shared" si="0"/>
        <v>12192.603333549689</v>
      </c>
      <c r="J35" s="324">
        <f t="shared" si="0"/>
        <v>12425.121184821051</v>
      </c>
      <c r="K35" s="324">
        <f t="shared" si="0"/>
        <v>12484.793346213828</v>
      </c>
      <c r="L35" s="324">
        <f t="shared" si="0"/>
        <v>12429.027215763994</v>
      </c>
    </row>
    <row r="36" spans="2:12">
      <c r="B36" s="326" t="s">
        <v>810</v>
      </c>
      <c r="C36" s="324">
        <f>SUM(C14:C33)-C35</f>
        <v>14217.624152131313</v>
      </c>
      <c r="D36" s="324">
        <f t="shared" ref="D36:L36" si="1">SUM(D14:D33)-D35</f>
        <v>14017.521640549134</v>
      </c>
      <c r="E36" s="324">
        <f t="shared" si="1"/>
        <v>13235.551159366723</v>
      </c>
      <c r="F36" s="324">
        <f t="shared" si="1"/>
        <v>13063.078750099821</v>
      </c>
      <c r="G36" s="324">
        <f t="shared" si="1"/>
        <v>13224.609868217367</v>
      </c>
      <c r="H36" s="324">
        <f t="shared" si="1"/>
        <v>13177.605504592228</v>
      </c>
      <c r="I36" s="324">
        <f t="shared" si="1"/>
        <v>12582.979805417128</v>
      </c>
      <c r="J36" s="324">
        <f t="shared" si="1"/>
        <v>12353.349723356845</v>
      </c>
      <c r="K36" s="324">
        <f t="shared" si="1"/>
        <v>12140.579768564203</v>
      </c>
      <c r="L36" s="324">
        <f t="shared" si="1"/>
        <v>12046.213883516282</v>
      </c>
    </row>
    <row r="37" spans="2:12">
      <c r="B37" s="326" t="s">
        <v>8</v>
      </c>
      <c r="C37" s="324">
        <f>SUM(C35:C36)</f>
        <v>27085.367818085018</v>
      </c>
      <c r="D37" s="324">
        <f t="shared" ref="D37:L37" si="2">SUM(D35:D36)</f>
        <v>26239.339934610962</v>
      </c>
      <c r="E37" s="324">
        <f t="shared" si="2"/>
        <v>25531.125812929866</v>
      </c>
      <c r="F37" s="324">
        <f t="shared" si="2"/>
        <v>25246.585791628284</v>
      </c>
      <c r="G37" s="324">
        <f t="shared" si="2"/>
        <v>25243.581671476324</v>
      </c>
      <c r="H37" s="324">
        <f t="shared" si="2"/>
        <v>25082.324643264932</v>
      </c>
      <c r="I37" s="324">
        <f t="shared" si="2"/>
        <v>24775.583138966816</v>
      </c>
      <c r="J37" s="324">
        <f t="shared" si="2"/>
        <v>24778.470908177896</v>
      </c>
      <c r="K37" s="324">
        <f t="shared" si="2"/>
        <v>24625.373114778031</v>
      </c>
      <c r="L37" s="324">
        <f t="shared" si="2"/>
        <v>24475.241099280276</v>
      </c>
    </row>
  </sheetData>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93"/>
  <sheetViews>
    <sheetView showGridLines="0" workbookViewId="0"/>
  </sheetViews>
  <sheetFormatPr defaultColWidth="9.140625" defaultRowHeight="12.75"/>
  <cols>
    <col min="1" max="1" width="9.42578125" style="309" customWidth="1"/>
    <col min="2" max="2" width="9" style="309" customWidth="1"/>
    <col min="3" max="3" width="27.7109375" style="309" customWidth="1"/>
    <col min="4" max="14" width="22.7109375" style="309" customWidth="1"/>
    <col min="15" max="16384" width="9.140625" style="309"/>
  </cols>
  <sheetData>
    <row r="1" spans="1:15" s="344" customFormat="1" ht="15">
      <c r="A1" s="343" t="str">
        <f>ModelBanner</f>
        <v>TSM_201718 for publication</v>
      </c>
    </row>
    <row r="2" spans="1:15" s="344" customFormat="1" ht="15">
      <c r="A2" s="1003" t="s">
        <v>13</v>
      </c>
      <c r="B2" s="1003" t="s">
        <v>30</v>
      </c>
    </row>
    <row r="3" spans="1:15" s="344" customFormat="1" ht="15">
      <c r="A3" s="345"/>
    </row>
    <row r="4" spans="1:15" s="679" customFormat="1">
      <c r="A4" s="680" t="s">
        <v>26</v>
      </c>
      <c r="B4" s="680"/>
      <c r="C4" s="680"/>
      <c r="D4" s="680"/>
      <c r="E4" s="347"/>
      <c r="F4" s="680"/>
      <c r="G4" s="680"/>
    </row>
    <row r="5" spans="1:15" s="678" customFormat="1" ht="13.15" customHeight="1">
      <c r="A5" s="708" t="s">
        <v>1732</v>
      </c>
      <c r="B5" s="708"/>
      <c r="C5" s="708"/>
      <c r="D5" s="708"/>
      <c r="E5" s="708"/>
      <c r="F5" s="708"/>
      <c r="G5" s="708"/>
      <c r="H5" s="349"/>
      <c r="I5" s="349"/>
      <c r="J5" s="349"/>
      <c r="K5" s="349"/>
      <c r="L5" s="349"/>
      <c r="M5" s="349"/>
      <c r="N5" s="349"/>
      <c r="O5" s="349"/>
    </row>
    <row r="6" spans="1:15" s="675" customFormat="1">
      <c r="A6" s="677" t="s">
        <v>1420</v>
      </c>
      <c r="B6" s="352"/>
      <c r="C6" s="352"/>
      <c r="D6" s="352"/>
      <c r="E6" s="347"/>
      <c r="F6" s="352"/>
      <c r="G6" s="352"/>
      <c r="H6" s="353"/>
      <c r="I6" s="353"/>
      <c r="J6" s="353"/>
      <c r="K6" s="353"/>
      <c r="L6" s="353"/>
      <c r="M6" s="353"/>
      <c r="N6" s="353"/>
      <c r="O6" s="353"/>
    </row>
    <row r="7" spans="1:15" s="675" customFormat="1">
      <c r="A7" s="676" t="s">
        <v>742</v>
      </c>
      <c r="B7" s="677"/>
      <c r="C7" s="352"/>
      <c r="D7" s="352"/>
      <c r="E7" s="347"/>
      <c r="F7" s="352"/>
      <c r="G7" s="352"/>
      <c r="H7" s="353"/>
      <c r="I7" s="353"/>
      <c r="J7" s="353"/>
      <c r="K7" s="353"/>
      <c r="L7" s="353"/>
      <c r="M7" s="353"/>
      <c r="N7" s="353"/>
      <c r="O7" s="353"/>
    </row>
    <row r="8" spans="1:15" s="675" customFormat="1">
      <c r="A8" s="677" t="s">
        <v>24</v>
      </c>
      <c r="B8" s="352"/>
      <c r="C8" s="352"/>
      <c r="D8" s="352"/>
      <c r="E8" s="347"/>
      <c r="F8" s="352"/>
      <c r="G8" s="352"/>
      <c r="H8" s="353"/>
      <c r="I8" s="353"/>
      <c r="J8" s="353"/>
      <c r="K8" s="353"/>
      <c r="L8" s="353"/>
      <c r="M8" s="353"/>
      <c r="N8" s="353"/>
      <c r="O8" s="353"/>
    </row>
    <row r="9" spans="1:15" s="673" customFormat="1">
      <c r="A9" s="674">
        <f>SUM(A10:A188)</f>
        <v>0</v>
      </c>
      <c r="B9" s="357"/>
      <c r="C9" s="358"/>
      <c r="D9" s="359"/>
      <c r="E9" s="359"/>
      <c r="F9" s="359"/>
      <c r="G9" s="360"/>
      <c r="H9" s="359"/>
      <c r="I9" s="359"/>
      <c r="J9" s="360"/>
      <c r="K9" s="361"/>
      <c r="L9" s="361"/>
      <c r="M9" s="361"/>
      <c r="N9" s="361"/>
      <c r="O9" s="361"/>
    </row>
    <row r="12" spans="1:15">
      <c r="C12" s="683" t="s">
        <v>352</v>
      </c>
      <c r="D12" s="684"/>
      <c r="E12" s="683" t="s">
        <v>699</v>
      </c>
      <c r="F12" s="683" t="s">
        <v>700</v>
      </c>
      <c r="G12" s="683" t="s">
        <v>745</v>
      </c>
      <c r="H12" s="683" t="s">
        <v>8</v>
      </c>
    </row>
    <row r="13" spans="1:15" ht="36">
      <c r="C13" s="1253" t="s">
        <v>43</v>
      </c>
      <c r="D13" s="682" t="s">
        <v>1630</v>
      </c>
      <c r="E13" s="282">
        <f>'Re-entrants_expected'!C14</f>
        <v>8231.8459106222508</v>
      </c>
      <c r="F13" s="282">
        <f>New_to_SF_sector_expected!C14</f>
        <v>3771.8758646932843</v>
      </c>
      <c r="G13" s="282">
        <f>NQT_entrants_required_inc_UGs!C14</f>
        <v>12867.743665953705</v>
      </c>
      <c r="H13" s="282">
        <f>SUM(E13:G13)</f>
        <v>24871.46544126924</v>
      </c>
    </row>
    <row r="14" spans="1:15">
      <c r="C14" s="1254"/>
      <c r="D14" s="682" t="s">
        <v>744</v>
      </c>
      <c r="E14" s="661">
        <f>E13/$H$13</f>
        <v>0.3309755080600576</v>
      </c>
      <c r="F14" s="661">
        <f>F13/$H$13</f>
        <v>0.15165474964071107</v>
      </c>
      <c r="G14" s="661">
        <f>G13/$H$13</f>
        <v>0.51736974229923138</v>
      </c>
      <c r="H14" s="661">
        <f>SUM(E14:G14)</f>
        <v>1</v>
      </c>
    </row>
    <row r="15" spans="1:15" ht="36">
      <c r="C15" s="1253" t="s">
        <v>245</v>
      </c>
      <c r="D15" s="682" t="s">
        <v>1630</v>
      </c>
      <c r="E15" s="282">
        <f>'Re-entrants_expected'!C36</f>
        <v>8316.1993920311761</v>
      </c>
      <c r="F15" s="282">
        <f>New_to_SF_sector_expected!C36</f>
        <v>3521.1921556226212</v>
      </c>
      <c r="G15" s="282">
        <f>NQT_entrants_required_inc_UGs!C36</f>
        <v>14217.624152131313</v>
      </c>
      <c r="H15" s="282">
        <f>SUM(E15:G15)</f>
        <v>26055.015699785108</v>
      </c>
    </row>
    <row r="16" spans="1:15">
      <c r="C16" s="1254"/>
      <c r="D16" s="682" t="s">
        <v>744</v>
      </c>
      <c r="E16" s="661">
        <f>E15/$H$15</f>
        <v>0.31917844486655844</v>
      </c>
      <c r="F16" s="661">
        <f>F15/$H$15</f>
        <v>0.1351445033154082</v>
      </c>
      <c r="G16" s="661">
        <f>G15/$H$15</f>
        <v>0.54567705181803339</v>
      </c>
      <c r="H16" s="661">
        <f>SUM(E16:G16)</f>
        <v>1</v>
      </c>
    </row>
    <row r="18" spans="3:13" ht="40.9" customHeight="1">
      <c r="C18" s="363" t="s">
        <v>62</v>
      </c>
      <c r="D18" s="338" t="s">
        <v>1631</v>
      </c>
      <c r="E18" s="338" t="s">
        <v>1632</v>
      </c>
      <c r="F18" s="338" t="s">
        <v>1633</v>
      </c>
      <c r="G18" s="338" t="s">
        <v>1634</v>
      </c>
      <c r="H18" s="338" t="s">
        <v>743</v>
      </c>
    </row>
    <row r="19" spans="3:13">
      <c r="C19" s="326" t="str">
        <f>USER_TESTING_TAB!B32</f>
        <v>Primary</v>
      </c>
      <c r="D19" s="324">
        <f>Primary_2!C106</f>
        <v>24871.46544126924</v>
      </c>
      <c r="E19" s="324">
        <f>'Re-entrants_expected'!C14</f>
        <v>8231.8459106222508</v>
      </c>
      <c r="F19" s="324">
        <f>New_to_SF_sector_expected!C14</f>
        <v>3771.8758646932843</v>
      </c>
      <c r="G19" s="324">
        <f>NQT_entrants_required_inc_UGs!C14</f>
        <v>12867.743665953705</v>
      </c>
      <c r="H19" s="324">
        <f t="shared" ref="H19:H38" si="0">G19+F19+E19</f>
        <v>24871.46544126924</v>
      </c>
      <c r="I19" s="309">
        <f t="shared" ref="I19:I39" si="1">H19-D19</f>
        <v>0</v>
      </c>
      <c r="K19" s="681">
        <f t="shared" ref="K19:K38" si="2">G19/H19</f>
        <v>0.51736974229923138</v>
      </c>
      <c r="M19" s="642"/>
    </row>
    <row r="20" spans="3:13">
      <c r="C20" s="326" t="str">
        <f>USER_TESTING_TAB!B33</f>
        <v>Art &amp; Design</v>
      </c>
      <c r="D20" s="324">
        <f>'Art_&amp;_Design_2'!C106</f>
        <v>805.08789771160059</v>
      </c>
      <c r="E20" s="324">
        <f>'Re-entrants_expected'!C15</f>
        <v>281.91045270470215</v>
      </c>
      <c r="F20" s="324">
        <f>New_to_SF_sector_expected!C15</f>
        <v>118.82303764883859</v>
      </c>
      <c r="G20" s="324">
        <f>NQT_entrants_required_inc_UGs!C15</f>
        <v>404.3544073580598</v>
      </c>
      <c r="H20" s="324">
        <f t="shared" si="0"/>
        <v>805.08789771160059</v>
      </c>
      <c r="I20" s="309">
        <f t="shared" si="1"/>
        <v>0</v>
      </c>
      <c r="K20" s="681">
        <f t="shared" si="2"/>
        <v>0.50224877123032852</v>
      </c>
      <c r="M20" s="642"/>
    </row>
    <row r="21" spans="3:13">
      <c r="C21" s="326" t="str">
        <f>USER_TESTING_TAB!B34</f>
        <v>Biology</v>
      </c>
      <c r="D21" s="324">
        <f>Biology_2!C106</f>
        <v>1598.8010953443347</v>
      </c>
      <c r="E21" s="324">
        <f>'Re-entrants_expected'!C16</f>
        <v>559.83792807521741</v>
      </c>
      <c r="F21" s="324">
        <f>New_to_SF_sector_expected!C16</f>
        <v>235.96728169072182</v>
      </c>
      <c r="G21" s="324">
        <f>NQT_entrants_required_inc_UGs!C16</f>
        <v>802.99588557839547</v>
      </c>
      <c r="H21" s="324">
        <f t="shared" si="0"/>
        <v>1598.8010953443347</v>
      </c>
      <c r="I21" s="309">
        <f t="shared" si="1"/>
        <v>0</v>
      </c>
      <c r="K21" s="681">
        <f t="shared" si="2"/>
        <v>0.50224877123032852</v>
      </c>
      <c r="M21" s="642"/>
    </row>
    <row r="22" spans="3:13">
      <c r="C22" s="326" t="str">
        <f>USER_TESTING_TAB!B35</f>
        <v>Business Studies</v>
      </c>
      <c r="D22" s="324">
        <f>Business_Studies_2!C106</f>
        <v>317.366389575835</v>
      </c>
      <c r="E22" s="324">
        <f>'Re-entrants_expected'!C17</f>
        <v>111.12935967971804</v>
      </c>
      <c r="F22" s="324">
        <f>New_to_SF_sector_expected!C17</f>
        <v>46.840150701848074</v>
      </c>
      <c r="G22" s="324">
        <f>NQT_entrants_required_inc_UGs!C17</f>
        <v>159.39687919426885</v>
      </c>
      <c r="H22" s="324">
        <f t="shared" si="0"/>
        <v>317.36638957583494</v>
      </c>
      <c r="I22" s="309">
        <f t="shared" si="1"/>
        <v>0</v>
      </c>
      <c r="K22" s="681">
        <f t="shared" si="2"/>
        <v>0.50224877123032852</v>
      </c>
      <c r="M22" s="642"/>
    </row>
    <row r="23" spans="3:13">
      <c r="C23" s="326" t="str">
        <f>USER_TESTING_TAB!B36</f>
        <v>Chemistry</v>
      </c>
      <c r="D23" s="324">
        <f>Chemistry_2!C106</f>
        <v>1348.9721104074331</v>
      </c>
      <c r="E23" s="324">
        <f>'Re-entrants_expected'!C18</f>
        <v>472.35753935926704</v>
      </c>
      <c r="F23" s="324">
        <f>New_to_SF_sector_expected!C18</f>
        <v>199.09498617204972</v>
      </c>
      <c r="G23" s="324">
        <f>NQT_entrants_required_inc_UGs!C18</f>
        <v>677.51958487611637</v>
      </c>
      <c r="H23" s="324">
        <f t="shared" si="0"/>
        <v>1348.9721104074331</v>
      </c>
      <c r="I23" s="309">
        <f t="shared" si="1"/>
        <v>0</v>
      </c>
      <c r="K23" s="681">
        <f t="shared" si="2"/>
        <v>0.50224877123032852</v>
      </c>
      <c r="M23" s="642"/>
    </row>
    <row r="24" spans="3:13">
      <c r="C24" s="326" t="str">
        <f>USER_TESTING_TAB!B37</f>
        <v>Classics</v>
      </c>
      <c r="D24" s="324">
        <f>Classics_2!C106</f>
        <v>38.30643511142015</v>
      </c>
      <c r="E24" s="324">
        <f>'Re-entrants_expected'!C19</f>
        <v>13.413422924948968</v>
      </c>
      <c r="F24" s="324">
        <f>New_to_SF_sector_expected!C19</f>
        <v>5.6536522215460998</v>
      </c>
      <c r="G24" s="324">
        <f>NQT_entrants_required_inc_UGs!C19</f>
        <v>19.239359964925082</v>
      </c>
      <c r="H24" s="324">
        <f t="shared" si="0"/>
        <v>38.30643511142015</v>
      </c>
      <c r="I24" s="309">
        <f t="shared" si="1"/>
        <v>0</v>
      </c>
      <c r="K24" s="681">
        <f t="shared" si="2"/>
        <v>0.50224877123032852</v>
      </c>
      <c r="M24" s="642"/>
    </row>
    <row r="25" spans="3:13">
      <c r="C25" s="326" t="str">
        <f>USER_TESTING_TAB!B38</f>
        <v>Computing</v>
      </c>
      <c r="D25" s="324">
        <f>Computing_2!C106</f>
        <v>597.51309619512108</v>
      </c>
      <c r="E25" s="324">
        <f>'Re-entrants_expected'!C20</f>
        <v>209.22583474940703</v>
      </c>
      <c r="F25" s="324">
        <f>New_to_SF_sector_expected!C20</f>
        <v>88.187043087685424</v>
      </c>
      <c r="G25" s="324">
        <f>NQT_entrants_required_inc_UGs!C20</f>
        <v>300.10021835802866</v>
      </c>
      <c r="H25" s="324">
        <f t="shared" si="0"/>
        <v>597.51309619512108</v>
      </c>
      <c r="I25" s="309">
        <f t="shared" si="1"/>
        <v>0</v>
      </c>
      <c r="K25" s="681">
        <f t="shared" si="2"/>
        <v>0.50224877123032852</v>
      </c>
      <c r="M25" s="642"/>
    </row>
    <row r="26" spans="3:13">
      <c r="C26" s="326" t="str">
        <f>USER_TESTING_TAB!B39</f>
        <v>Design &amp; Technology</v>
      </c>
      <c r="D26" s="324">
        <f>'Design_&amp;_Technology_2'!C106</f>
        <v>997.08424347490154</v>
      </c>
      <c r="E26" s="324">
        <f>'Re-entrants_expected'!C21</f>
        <v>349.14010167300609</v>
      </c>
      <c r="F26" s="324">
        <f>New_to_SF_sector_expected!C21</f>
        <v>147.15980570350442</v>
      </c>
      <c r="G26" s="324">
        <f>NQT_entrants_required_inc_UGs!C21</f>
        <v>500.78433609839101</v>
      </c>
      <c r="H26" s="324">
        <f t="shared" si="0"/>
        <v>997.08424347490154</v>
      </c>
      <c r="I26" s="309">
        <f t="shared" si="1"/>
        <v>0</v>
      </c>
      <c r="K26" s="681">
        <f t="shared" si="2"/>
        <v>0.50224877123032852</v>
      </c>
    </row>
    <row r="27" spans="3:13">
      <c r="C27" s="326" t="str">
        <f>USER_TESTING_TAB!B40</f>
        <v>Drama</v>
      </c>
      <c r="D27" s="324">
        <f>Drama_2!C106</f>
        <v>516.29035798357427</v>
      </c>
      <c r="E27" s="324">
        <f>'Re-entrants_expected'!C22</f>
        <v>180.78479251759961</v>
      </c>
      <c r="F27" s="324">
        <f>New_to_SF_sector_expected!C22</f>
        <v>76.199367570658055</v>
      </c>
      <c r="G27" s="324">
        <f>NQT_entrants_required_inc_UGs!C22</f>
        <v>259.30619789531664</v>
      </c>
      <c r="H27" s="324">
        <f t="shared" si="0"/>
        <v>516.29035798357427</v>
      </c>
      <c r="I27" s="309">
        <f t="shared" si="1"/>
        <v>0</v>
      </c>
      <c r="K27" s="681">
        <f t="shared" si="2"/>
        <v>0.50224877123032863</v>
      </c>
    </row>
    <row r="28" spans="3:13">
      <c r="C28" s="326" t="str">
        <f>USER_TESTING_TAB!B41</f>
        <v>English</v>
      </c>
      <c r="D28" s="324">
        <f>English_2!C106</f>
        <v>3805.3762250031514</v>
      </c>
      <c r="E28" s="324">
        <f>'Re-entrants_expected'!C23</f>
        <v>1332.4946721365816</v>
      </c>
      <c r="F28" s="324">
        <f>New_to_SF_sector_expected!C23</f>
        <v>561.63601978963084</v>
      </c>
      <c r="G28" s="324">
        <f>NQT_entrants_required_inc_UGs!C23</f>
        <v>1911.245533076939</v>
      </c>
      <c r="H28" s="324">
        <f t="shared" si="0"/>
        <v>3805.3762250031514</v>
      </c>
      <c r="I28" s="309">
        <f t="shared" si="1"/>
        <v>0</v>
      </c>
      <c r="K28" s="681">
        <f t="shared" si="2"/>
        <v>0.50224877123032852</v>
      </c>
    </row>
    <row r="29" spans="3:13">
      <c r="C29" s="326" t="str">
        <f>USER_TESTING_TAB!B42</f>
        <v>Food</v>
      </c>
      <c r="D29" s="324">
        <f>Food_2!C106</f>
        <v>191.27910080323261</v>
      </c>
      <c r="E29" s="324">
        <f>'Re-entrants_expected'!C24</f>
        <v>66.978497694054553</v>
      </c>
      <c r="F29" s="324">
        <f>New_to_SF_sector_expected!C24</f>
        <v>28.23090976871234</v>
      </c>
      <c r="G29" s="324">
        <f>NQT_entrants_required_inc_UGs!C24</f>
        <v>96.069693340465733</v>
      </c>
      <c r="H29" s="324">
        <f t="shared" si="0"/>
        <v>191.27910080323261</v>
      </c>
      <c r="I29" s="309">
        <f t="shared" si="1"/>
        <v>0</v>
      </c>
      <c r="K29" s="681">
        <f t="shared" si="2"/>
        <v>0.50224877123032863</v>
      </c>
    </row>
    <row r="30" spans="3:13">
      <c r="C30" s="326" t="str">
        <f>USER_TESTING_TAB!B43</f>
        <v>Geography</v>
      </c>
      <c r="D30" s="324">
        <f>Geography_2!C106</f>
        <v>1554.6304564202608</v>
      </c>
      <c r="E30" s="324">
        <f>'Re-entrants_expected'!C25</f>
        <v>356.41554210985925</v>
      </c>
      <c r="F30" s="324">
        <f>New_to_SF_sector_expected!C25</f>
        <v>160.60274566990125</v>
      </c>
      <c r="G30" s="324">
        <f>NQT_entrants_required_inc_UGs!C25</f>
        <v>1037.6121686405004</v>
      </c>
      <c r="H30" s="324">
        <f t="shared" si="0"/>
        <v>1554.6304564202608</v>
      </c>
      <c r="I30" s="309">
        <f t="shared" si="1"/>
        <v>0</v>
      </c>
      <c r="K30" s="681">
        <f t="shared" si="2"/>
        <v>0.66743332111847187</v>
      </c>
    </row>
    <row r="31" spans="3:13">
      <c r="C31" s="326" t="str">
        <f>USER_TESTING_TAB!B44</f>
        <v>History</v>
      </c>
      <c r="D31" s="324">
        <f>History_2!C106</f>
        <v>1494.1067708858714</v>
      </c>
      <c r="E31" s="324">
        <f>'Re-entrants_expected'!C26</f>
        <v>380.0992949335851</v>
      </c>
      <c r="F31" s="324">
        <f>New_to_SF_sector_expected!C26</f>
        <v>171.27477110611306</v>
      </c>
      <c r="G31" s="324">
        <f>NQT_entrants_required_inc_UGs!C26</f>
        <v>942.73270484617319</v>
      </c>
      <c r="H31" s="324">
        <f t="shared" si="0"/>
        <v>1494.1067708858714</v>
      </c>
      <c r="I31" s="309">
        <f t="shared" si="1"/>
        <v>0</v>
      </c>
      <c r="K31" s="681">
        <f t="shared" si="2"/>
        <v>0.63096742697124464</v>
      </c>
    </row>
    <row r="32" spans="3:13">
      <c r="C32" s="326" t="str">
        <f>USER_TESTING_TAB!B45</f>
        <v>Mathematics</v>
      </c>
      <c r="D32" s="324">
        <f>Mathematics_2!C106</f>
        <v>4189.7067147008202</v>
      </c>
      <c r="E32" s="324">
        <f>'Re-entrants_expected'!C27</f>
        <v>1467.0722538476678</v>
      </c>
      <c r="F32" s="324">
        <f>New_to_SF_sector_expected!C27</f>
        <v>618.35941157920854</v>
      </c>
      <c r="G32" s="324">
        <f>NQT_entrants_required_inc_UGs!C27</f>
        <v>2104.2750492739433</v>
      </c>
      <c r="H32" s="324">
        <f t="shared" si="0"/>
        <v>4189.7067147008192</v>
      </c>
      <c r="I32" s="309">
        <f t="shared" si="1"/>
        <v>0</v>
      </c>
      <c r="K32" s="681">
        <f t="shared" si="2"/>
        <v>0.50224877123032863</v>
      </c>
    </row>
    <row r="33" spans="1:11">
      <c r="C33" s="326" t="str">
        <f>USER_TESTING_TAB!B46</f>
        <v>Modern Foreign Languages</v>
      </c>
      <c r="D33" s="324">
        <f>Modern_Foreign_Languages_2!C106</f>
        <v>3122.6212791471962</v>
      </c>
      <c r="E33" s="324">
        <f>'Re-entrants_expected'!C28</f>
        <v>617.20155564044137</v>
      </c>
      <c r="F33" s="324">
        <f>New_to_SF_sector_expected!C28</f>
        <v>254.68283777808733</v>
      </c>
      <c r="G33" s="324">
        <f>NQT_entrants_required_inc_UGs!C28</f>
        <v>2250.7368857286674</v>
      </c>
      <c r="H33" s="324">
        <f t="shared" si="0"/>
        <v>3122.6212791471962</v>
      </c>
      <c r="I33" s="309">
        <f t="shared" si="1"/>
        <v>0</v>
      </c>
      <c r="K33" s="681">
        <f t="shared" si="2"/>
        <v>0.72078445783965039</v>
      </c>
    </row>
    <row r="34" spans="1:11">
      <c r="C34" s="326" t="str">
        <f>USER_TESTING_TAB!B47</f>
        <v>Music</v>
      </c>
      <c r="D34" s="324">
        <f>Music_2!C106</f>
        <v>564.07266121437465</v>
      </c>
      <c r="E34" s="324">
        <f>'Re-entrants_expected'!C29</f>
        <v>197.5162957153953</v>
      </c>
      <c r="F34" s="324">
        <f>New_to_SF_sector_expected!C29</f>
        <v>83.251564519438247</v>
      </c>
      <c r="G34" s="324">
        <f>NQT_entrants_required_inc_UGs!C29</f>
        <v>283.30480097954103</v>
      </c>
      <c r="H34" s="324">
        <f t="shared" si="0"/>
        <v>564.07266121437465</v>
      </c>
      <c r="I34" s="309">
        <f t="shared" si="1"/>
        <v>0</v>
      </c>
      <c r="K34" s="681">
        <f t="shared" si="2"/>
        <v>0.50224877123032852</v>
      </c>
    </row>
    <row r="35" spans="1:11">
      <c r="C35" s="326" t="str">
        <f>USER_TESTING_TAB!B48</f>
        <v>Others</v>
      </c>
      <c r="D35" s="324">
        <f>Others_2!C106</f>
        <v>1167.7068159979824</v>
      </c>
      <c r="E35" s="324">
        <f>'Re-entrants_expected'!C30</f>
        <v>408.88548698850258</v>
      </c>
      <c r="F35" s="324">
        <f>New_to_SF_sector_expected!C30</f>
        <v>172.34201551721381</v>
      </c>
      <c r="G35" s="324">
        <f>NQT_entrants_required_inc_UGs!C30</f>
        <v>586.47931349226599</v>
      </c>
      <c r="H35" s="324">
        <f t="shared" si="0"/>
        <v>1167.7068159979824</v>
      </c>
      <c r="I35" s="309">
        <f t="shared" si="1"/>
        <v>0</v>
      </c>
      <c r="K35" s="681">
        <f t="shared" si="2"/>
        <v>0.50224877123032852</v>
      </c>
    </row>
    <row r="36" spans="1:11">
      <c r="C36" s="326" t="str">
        <f>USER_TESTING_TAB!B49</f>
        <v>Physical Education</v>
      </c>
      <c r="D36" s="324">
        <f>Physical_Education_2!C106</f>
        <v>1493.4116754530651</v>
      </c>
      <c r="E36" s="324">
        <f>'Re-entrants_expected'!C31</f>
        <v>522.93465433792346</v>
      </c>
      <c r="F36" s="324">
        <f>New_to_SF_sector_expected!C31</f>
        <v>220.41284217781353</v>
      </c>
      <c r="G36" s="324">
        <f>NQT_entrants_required_inc_UGs!C31</f>
        <v>750.06417893732817</v>
      </c>
      <c r="H36" s="324">
        <f t="shared" si="0"/>
        <v>1493.4116754530651</v>
      </c>
      <c r="I36" s="309">
        <f t="shared" si="1"/>
        <v>0</v>
      </c>
      <c r="K36" s="681">
        <f t="shared" si="2"/>
        <v>0.50224877123032852</v>
      </c>
    </row>
    <row r="37" spans="1:11">
      <c r="C37" s="326" t="str">
        <f>USER_TESTING_TAB!B50</f>
        <v>Physics</v>
      </c>
      <c r="D37" s="324">
        <f>Physics_2!C106</f>
        <v>1335.5303428222194</v>
      </c>
      <c r="E37" s="324">
        <f>'Re-entrants_expected'!C32</f>
        <v>467.65075542192307</v>
      </c>
      <c r="F37" s="324">
        <f>New_to_SF_sector_expected!C32</f>
        <v>197.11111377701721</v>
      </c>
      <c r="G37" s="324">
        <f>NQT_entrants_required_inc_UGs!C32</f>
        <v>670.76847362327908</v>
      </c>
      <c r="H37" s="324">
        <f t="shared" si="0"/>
        <v>1335.5303428222194</v>
      </c>
      <c r="I37" s="309">
        <f t="shared" si="1"/>
        <v>0</v>
      </c>
      <c r="K37" s="681">
        <f t="shared" si="2"/>
        <v>0.50224877123032852</v>
      </c>
    </row>
    <row r="38" spans="1:11">
      <c r="C38" s="326" t="str">
        <f>USER_TESTING_TAB!B51</f>
        <v>Religious Education</v>
      </c>
      <c r="D38" s="324">
        <f>Religious_Education_2!C106</f>
        <v>917.15203153271727</v>
      </c>
      <c r="E38" s="324">
        <f>'Re-entrants_expected'!C33</f>
        <v>321.15095152137707</v>
      </c>
      <c r="F38" s="324">
        <f>New_to_SF_sector_expected!C33</f>
        <v>135.36259914263346</v>
      </c>
      <c r="G38" s="324">
        <f>NQT_entrants_required_inc_UGs!C33</f>
        <v>460.63848086870684</v>
      </c>
      <c r="H38" s="324">
        <f t="shared" si="0"/>
        <v>917.15203153271727</v>
      </c>
      <c r="I38" s="309">
        <f t="shared" si="1"/>
        <v>0</v>
      </c>
      <c r="K38" s="681">
        <f t="shared" si="2"/>
        <v>0.50224877123032863</v>
      </c>
    </row>
    <row r="39" spans="1:11">
      <c r="C39" s="326" t="s">
        <v>8</v>
      </c>
      <c r="D39" s="324">
        <f>SUM(D19:D38)</f>
        <v>50926.481141054341</v>
      </c>
      <c r="E39" s="324">
        <f>SUM(E19:E38)</f>
        <v>16548.045302653427</v>
      </c>
      <c r="F39" s="324">
        <f>SUM(F19:F38)</f>
        <v>7293.0680203159054</v>
      </c>
      <c r="G39" s="324">
        <f>SUM(G19:G38)</f>
        <v>27085.367818085018</v>
      </c>
      <c r="H39" s="324">
        <f>SUM(H19:H38)</f>
        <v>50926.481141054341</v>
      </c>
      <c r="I39" s="309">
        <f t="shared" si="1"/>
        <v>0</v>
      </c>
    </row>
    <row r="40" spans="1:11">
      <c r="A40" s="309">
        <f>I40</f>
        <v>0</v>
      </c>
      <c r="I40" s="309">
        <f>SUM(I19:I39)</f>
        <v>0</v>
      </c>
    </row>
    <row r="70" spans="3:13">
      <c r="C70" s="341" t="s">
        <v>975</v>
      </c>
    </row>
    <row r="72" spans="3:13">
      <c r="C72" s="363" t="s">
        <v>62</v>
      </c>
      <c r="D72" s="326" t="str">
        <f>NQT_entrants_required_inc_UGs!C13</f>
        <v>2018/19</v>
      </c>
      <c r="E72" s="326" t="str">
        <f>NQT_entrants_required_inc_UGs!D13</f>
        <v>2019/20</v>
      </c>
      <c r="F72" s="326" t="str">
        <f>NQT_entrants_required_inc_UGs!E13</f>
        <v>2020/21</v>
      </c>
      <c r="G72" s="326" t="str">
        <f>NQT_entrants_required_inc_UGs!F13</f>
        <v>2021/22</v>
      </c>
      <c r="H72" s="326" t="str">
        <f>NQT_entrants_required_inc_UGs!G13</f>
        <v>2022/23</v>
      </c>
      <c r="I72" s="326" t="str">
        <f>NQT_entrants_required_inc_UGs!H13</f>
        <v>2023/24</v>
      </c>
      <c r="J72" s="326" t="str">
        <f>NQT_entrants_required_inc_UGs!I13</f>
        <v>2024/25</v>
      </c>
      <c r="K72" s="326" t="str">
        <f>NQT_entrants_required_inc_UGs!J13</f>
        <v>2025/26</v>
      </c>
      <c r="L72" s="326" t="str">
        <f>NQT_entrants_required_inc_UGs!K13</f>
        <v>2026/27</v>
      </c>
      <c r="M72" s="326" t="str">
        <f>NQT_entrants_required_inc_UGs!L13</f>
        <v>2027/28</v>
      </c>
    </row>
    <row r="73" spans="3:13">
      <c r="C73" s="326" t="str">
        <f>USER_TESTING_TAB!B89</f>
        <v>Primary</v>
      </c>
      <c r="D73" s="415">
        <f>NQT_entrants_required_inc_UGs!C14/(NQT_entrants_required_inc_UGs!C14+New_to_SF_sector_expected!C14+'Re-entrants_expected'!C14)</f>
        <v>0.51736974229923138</v>
      </c>
      <c r="E73" s="415">
        <f>NQT_entrants_required_inc_UGs!D14/(NQT_entrants_required_inc_UGs!D14+New_to_SF_sector_expected!D14+'Re-entrants_expected'!D14)</f>
        <v>0.51736974229923127</v>
      </c>
      <c r="F73" s="415">
        <f>NQT_entrants_required_inc_UGs!E14/(NQT_entrants_required_inc_UGs!E14+New_to_SF_sector_expected!E14+'Re-entrants_expected'!E14)</f>
        <v>0.51736974229923138</v>
      </c>
      <c r="G73" s="415">
        <f>NQT_entrants_required_inc_UGs!F14/(NQT_entrants_required_inc_UGs!F14+New_to_SF_sector_expected!F14+'Re-entrants_expected'!F14)</f>
        <v>0.51736974229923127</v>
      </c>
      <c r="H73" s="415">
        <f>NQT_entrants_required_inc_UGs!G14/(NQT_entrants_required_inc_UGs!G14+New_to_SF_sector_expected!G14+'Re-entrants_expected'!G14)</f>
        <v>0.51736974229923138</v>
      </c>
      <c r="I73" s="415">
        <f>NQT_entrants_required_inc_UGs!H14/(NQT_entrants_required_inc_UGs!H14+New_to_SF_sector_expected!H14+'Re-entrants_expected'!H14)</f>
        <v>0.51736974229923138</v>
      </c>
      <c r="J73" s="415">
        <f>NQT_entrants_required_inc_UGs!I14/(NQT_entrants_required_inc_UGs!I14+New_to_SF_sector_expected!I14+'Re-entrants_expected'!I14)</f>
        <v>0.51736974229923138</v>
      </c>
      <c r="K73" s="415">
        <f>NQT_entrants_required_inc_UGs!J14/(NQT_entrants_required_inc_UGs!J14+New_to_SF_sector_expected!J14+'Re-entrants_expected'!J14)</f>
        <v>0.51736974229923127</v>
      </c>
      <c r="L73" s="415">
        <f>NQT_entrants_required_inc_UGs!K14/(NQT_entrants_required_inc_UGs!K14+New_to_SF_sector_expected!K14+'Re-entrants_expected'!K14)</f>
        <v>0.51736974229923127</v>
      </c>
      <c r="M73" s="415">
        <f>NQT_entrants_required_inc_UGs!L14/(NQT_entrants_required_inc_UGs!L14+New_to_SF_sector_expected!L14+'Re-entrants_expected'!L14)</f>
        <v>0.51736974229923138</v>
      </c>
    </row>
    <row r="74" spans="3:13">
      <c r="C74" s="326" t="str">
        <f>USER_TESTING_TAB!B90</f>
        <v>Art &amp; Design</v>
      </c>
      <c r="D74" s="415">
        <f>NQT_entrants_required_inc_UGs!C15/(NQT_entrants_required_inc_UGs!C15+New_to_SF_sector_expected!C15+'Re-entrants_expected'!C15)</f>
        <v>0.50224877123032852</v>
      </c>
      <c r="E74" s="415">
        <f>NQT_entrants_required_inc_UGs!D15/(NQT_entrants_required_inc_UGs!D15+New_to_SF_sector_expected!D15+'Re-entrants_expected'!D15)</f>
        <v>0.50224877123032852</v>
      </c>
      <c r="F74" s="415">
        <f>NQT_entrants_required_inc_UGs!E15/(NQT_entrants_required_inc_UGs!E15+New_to_SF_sector_expected!E15+'Re-entrants_expected'!E15)</f>
        <v>0.50224877123032852</v>
      </c>
      <c r="G74" s="415">
        <f>NQT_entrants_required_inc_UGs!F15/(NQT_entrants_required_inc_UGs!F15+New_to_SF_sector_expected!F15+'Re-entrants_expected'!F15)</f>
        <v>0.50224877123032852</v>
      </c>
      <c r="H74" s="415">
        <f>NQT_entrants_required_inc_UGs!G15/(NQT_entrants_required_inc_UGs!G15+New_to_SF_sector_expected!G15+'Re-entrants_expected'!G15)</f>
        <v>0.50224877123032852</v>
      </c>
      <c r="I74" s="415">
        <f>NQT_entrants_required_inc_UGs!H15/(NQT_entrants_required_inc_UGs!H15+New_to_SF_sector_expected!H15+'Re-entrants_expected'!H15)</f>
        <v>0.50224877123032863</v>
      </c>
      <c r="J74" s="415">
        <f>NQT_entrants_required_inc_UGs!I15/(NQT_entrants_required_inc_UGs!I15+New_to_SF_sector_expected!I15+'Re-entrants_expected'!I15)</f>
        <v>0.50224877123032852</v>
      </c>
      <c r="K74" s="415">
        <f>NQT_entrants_required_inc_UGs!J15/(NQT_entrants_required_inc_UGs!J15+New_to_SF_sector_expected!J15+'Re-entrants_expected'!J15)</f>
        <v>0.50224877123032852</v>
      </c>
      <c r="L74" s="415">
        <f>NQT_entrants_required_inc_UGs!K15/(NQT_entrants_required_inc_UGs!K15+New_to_SF_sector_expected!K15+'Re-entrants_expected'!K15)</f>
        <v>0.50224877123032852</v>
      </c>
      <c r="M74" s="415">
        <f>NQT_entrants_required_inc_UGs!L15/(NQT_entrants_required_inc_UGs!L15+New_to_SF_sector_expected!L15+'Re-entrants_expected'!L15)</f>
        <v>0.50224877123032863</v>
      </c>
    </row>
    <row r="75" spans="3:13">
      <c r="C75" s="326" t="str">
        <f>USER_TESTING_TAB!B91</f>
        <v>Biology</v>
      </c>
      <c r="D75" s="415">
        <f>NQT_entrants_required_inc_UGs!C16/(NQT_entrants_required_inc_UGs!C16+New_to_SF_sector_expected!C16+'Re-entrants_expected'!C16)</f>
        <v>0.50224877123032852</v>
      </c>
      <c r="E75" s="415">
        <f>NQT_entrants_required_inc_UGs!D16/(NQT_entrants_required_inc_UGs!D16+New_to_SF_sector_expected!D16+'Re-entrants_expected'!D16)</f>
        <v>0.50224877123032863</v>
      </c>
      <c r="F75" s="415">
        <f>NQT_entrants_required_inc_UGs!E16/(NQT_entrants_required_inc_UGs!E16+New_to_SF_sector_expected!E16+'Re-entrants_expected'!E16)</f>
        <v>0.50224877123032852</v>
      </c>
      <c r="G75" s="415">
        <f>NQT_entrants_required_inc_UGs!F16/(NQT_entrants_required_inc_UGs!F16+New_to_SF_sector_expected!F16+'Re-entrants_expected'!F16)</f>
        <v>0.50224877123032852</v>
      </c>
      <c r="H75" s="415">
        <f>NQT_entrants_required_inc_UGs!G16/(NQT_entrants_required_inc_UGs!G16+New_to_SF_sector_expected!G16+'Re-entrants_expected'!G16)</f>
        <v>0.50224877123032863</v>
      </c>
      <c r="I75" s="415">
        <f>NQT_entrants_required_inc_UGs!H16/(NQT_entrants_required_inc_UGs!H16+New_to_SF_sector_expected!H16+'Re-entrants_expected'!H16)</f>
        <v>0.50224877123032852</v>
      </c>
      <c r="J75" s="415">
        <f>NQT_entrants_required_inc_UGs!I16/(NQT_entrants_required_inc_UGs!I16+New_to_SF_sector_expected!I16+'Re-entrants_expected'!I16)</f>
        <v>0.50224877123032852</v>
      </c>
      <c r="K75" s="415">
        <f>NQT_entrants_required_inc_UGs!J16/(NQT_entrants_required_inc_UGs!J16+New_to_SF_sector_expected!J16+'Re-entrants_expected'!J16)</f>
        <v>0.50224877123032852</v>
      </c>
      <c r="L75" s="415">
        <f>NQT_entrants_required_inc_UGs!K16/(NQT_entrants_required_inc_UGs!K16+New_to_SF_sector_expected!K16+'Re-entrants_expected'!K16)</f>
        <v>0.50224877123032852</v>
      </c>
      <c r="M75" s="415">
        <f>NQT_entrants_required_inc_UGs!L16/(NQT_entrants_required_inc_UGs!L16+New_to_SF_sector_expected!L16+'Re-entrants_expected'!L16)</f>
        <v>0.50224877123032852</v>
      </c>
    </row>
    <row r="76" spans="3:13">
      <c r="C76" s="326" t="str">
        <f>USER_TESTING_TAB!B92</f>
        <v>Business Studies</v>
      </c>
      <c r="D76" s="415">
        <f>NQT_entrants_required_inc_UGs!C17/(NQT_entrants_required_inc_UGs!C17+New_to_SF_sector_expected!C17+'Re-entrants_expected'!C17)</f>
        <v>0.50224877123032852</v>
      </c>
      <c r="E76" s="415">
        <f>NQT_entrants_required_inc_UGs!D17/(NQT_entrants_required_inc_UGs!D17+New_to_SF_sector_expected!D17+'Re-entrants_expected'!D17)</f>
        <v>0.50224877123032852</v>
      </c>
      <c r="F76" s="415">
        <f>NQT_entrants_required_inc_UGs!E17/(NQT_entrants_required_inc_UGs!E17+New_to_SF_sector_expected!E17+'Re-entrants_expected'!E17)</f>
        <v>0.50224877123032852</v>
      </c>
      <c r="G76" s="415">
        <f>NQT_entrants_required_inc_UGs!F17/(NQT_entrants_required_inc_UGs!F17+New_to_SF_sector_expected!F17+'Re-entrants_expected'!F17)</f>
        <v>0.50224877123032852</v>
      </c>
      <c r="H76" s="415">
        <f>NQT_entrants_required_inc_UGs!G17/(NQT_entrants_required_inc_UGs!G17+New_to_SF_sector_expected!G17+'Re-entrants_expected'!G17)</f>
        <v>0.50224877123032852</v>
      </c>
      <c r="I76" s="415">
        <f>NQT_entrants_required_inc_UGs!H17/(NQT_entrants_required_inc_UGs!H17+New_to_SF_sector_expected!H17+'Re-entrants_expected'!H17)</f>
        <v>0.50224877123032863</v>
      </c>
      <c r="J76" s="415">
        <f>NQT_entrants_required_inc_UGs!I17/(NQT_entrants_required_inc_UGs!I17+New_to_SF_sector_expected!I17+'Re-entrants_expected'!I17)</f>
        <v>0.50224877123032852</v>
      </c>
      <c r="K76" s="415">
        <f>NQT_entrants_required_inc_UGs!J17/(NQT_entrants_required_inc_UGs!J17+New_to_SF_sector_expected!J17+'Re-entrants_expected'!J17)</f>
        <v>0.50224877123032852</v>
      </c>
      <c r="L76" s="415">
        <f>NQT_entrants_required_inc_UGs!K17/(NQT_entrants_required_inc_UGs!K17+New_to_SF_sector_expected!K17+'Re-entrants_expected'!K17)</f>
        <v>0.50224877123032852</v>
      </c>
      <c r="M76" s="415">
        <f>NQT_entrants_required_inc_UGs!L17/(NQT_entrants_required_inc_UGs!L17+New_to_SF_sector_expected!L17+'Re-entrants_expected'!L17)</f>
        <v>0.50224877123032852</v>
      </c>
    </row>
    <row r="77" spans="3:13">
      <c r="C77" s="326" t="str">
        <f>USER_TESTING_TAB!B93</f>
        <v>Chemistry</v>
      </c>
      <c r="D77" s="415">
        <f>NQT_entrants_required_inc_UGs!C18/(NQT_entrants_required_inc_UGs!C18+New_to_SF_sector_expected!C18+'Re-entrants_expected'!C18)</f>
        <v>0.50224877123032852</v>
      </c>
      <c r="E77" s="415">
        <f>NQT_entrants_required_inc_UGs!D18/(NQT_entrants_required_inc_UGs!D18+New_to_SF_sector_expected!D18+'Re-entrants_expected'!D18)</f>
        <v>0.50224877123032852</v>
      </c>
      <c r="F77" s="415">
        <f>NQT_entrants_required_inc_UGs!E18/(NQT_entrants_required_inc_UGs!E18+New_to_SF_sector_expected!E18+'Re-entrants_expected'!E18)</f>
        <v>0.50224877123032863</v>
      </c>
      <c r="G77" s="415">
        <f>NQT_entrants_required_inc_UGs!F18/(NQT_entrants_required_inc_UGs!F18+New_to_SF_sector_expected!F18+'Re-entrants_expected'!F18)</f>
        <v>0.50224877123032852</v>
      </c>
      <c r="H77" s="415">
        <f>NQT_entrants_required_inc_UGs!G18/(NQT_entrants_required_inc_UGs!G18+New_to_SF_sector_expected!G18+'Re-entrants_expected'!G18)</f>
        <v>0.50224877123032852</v>
      </c>
      <c r="I77" s="415">
        <f>NQT_entrants_required_inc_UGs!H18/(NQT_entrants_required_inc_UGs!H18+New_to_SF_sector_expected!H18+'Re-entrants_expected'!H18)</f>
        <v>0.50224877123032852</v>
      </c>
      <c r="J77" s="415">
        <f>NQT_entrants_required_inc_UGs!I18/(NQT_entrants_required_inc_UGs!I18+New_to_SF_sector_expected!I18+'Re-entrants_expected'!I18)</f>
        <v>0.50224877123032852</v>
      </c>
      <c r="K77" s="415">
        <f>NQT_entrants_required_inc_UGs!J18/(NQT_entrants_required_inc_UGs!J18+New_to_SF_sector_expected!J18+'Re-entrants_expected'!J18)</f>
        <v>0.50224877123032863</v>
      </c>
      <c r="L77" s="415">
        <f>NQT_entrants_required_inc_UGs!K18/(NQT_entrants_required_inc_UGs!K18+New_to_SF_sector_expected!K18+'Re-entrants_expected'!K18)</f>
        <v>0.50224877123032852</v>
      </c>
      <c r="M77" s="415">
        <f>NQT_entrants_required_inc_UGs!L18/(NQT_entrants_required_inc_UGs!L18+New_to_SF_sector_expected!L18+'Re-entrants_expected'!L18)</f>
        <v>0.50224877123032852</v>
      </c>
    </row>
    <row r="78" spans="3:13">
      <c r="C78" s="326" t="str">
        <f>USER_TESTING_TAB!B94</f>
        <v>Classics</v>
      </c>
      <c r="D78" s="415">
        <f>NQT_entrants_required_inc_UGs!C19/(NQT_entrants_required_inc_UGs!C19+New_to_SF_sector_expected!C19+'Re-entrants_expected'!C19)</f>
        <v>0.50224877123032852</v>
      </c>
      <c r="E78" s="415">
        <f>NQT_entrants_required_inc_UGs!D19/(NQT_entrants_required_inc_UGs!D19+New_to_SF_sector_expected!D19+'Re-entrants_expected'!D19)</f>
        <v>0.50224877123032863</v>
      </c>
      <c r="F78" s="415">
        <f>NQT_entrants_required_inc_UGs!E19/(NQT_entrants_required_inc_UGs!E19+New_to_SF_sector_expected!E19+'Re-entrants_expected'!E19)</f>
        <v>0.50224877123032852</v>
      </c>
      <c r="G78" s="415">
        <f>NQT_entrants_required_inc_UGs!F19/(NQT_entrants_required_inc_UGs!F19+New_to_SF_sector_expected!F19+'Re-entrants_expected'!F19)</f>
        <v>0.50224877123032841</v>
      </c>
      <c r="H78" s="415">
        <f>NQT_entrants_required_inc_UGs!G19/(NQT_entrants_required_inc_UGs!G19+New_to_SF_sector_expected!G19+'Re-entrants_expected'!G19)</f>
        <v>0.50224877123032863</v>
      </c>
      <c r="I78" s="415">
        <f>NQT_entrants_required_inc_UGs!H19/(NQT_entrants_required_inc_UGs!H19+New_to_SF_sector_expected!H19+'Re-entrants_expected'!H19)</f>
        <v>0.50224877123032852</v>
      </c>
      <c r="J78" s="415">
        <f>NQT_entrants_required_inc_UGs!I19/(NQT_entrants_required_inc_UGs!I19+New_to_SF_sector_expected!I19+'Re-entrants_expected'!I19)</f>
        <v>0.50224877123032852</v>
      </c>
      <c r="K78" s="415">
        <f>NQT_entrants_required_inc_UGs!J19/(NQT_entrants_required_inc_UGs!J19+New_to_SF_sector_expected!J19+'Re-entrants_expected'!J19)</f>
        <v>0.50224877123032863</v>
      </c>
      <c r="L78" s="415">
        <f>NQT_entrants_required_inc_UGs!K19/(NQT_entrants_required_inc_UGs!K19+New_to_SF_sector_expected!K19+'Re-entrants_expected'!K19)</f>
        <v>0.50224877123032863</v>
      </c>
      <c r="M78" s="415">
        <f>NQT_entrants_required_inc_UGs!L19/(NQT_entrants_required_inc_UGs!L19+New_to_SF_sector_expected!L19+'Re-entrants_expected'!L19)</f>
        <v>0.50224877123032852</v>
      </c>
    </row>
    <row r="79" spans="3:13">
      <c r="C79" s="326" t="str">
        <f>USER_TESTING_TAB!B95</f>
        <v>Computing</v>
      </c>
      <c r="D79" s="415">
        <f>NQT_entrants_required_inc_UGs!C20/(NQT_entrants_required_inc_UGs!C20+New_to_SF_sector_expected!C20+'Re-entrants_expected'!C20)</f>
        <v>0.50224877123032852</v>
      </c>
      <c r="E79" s="415">
        <f>NQT_entrants_required_inc_UGs!D20/(NQT_entrants_required_inc_UGs!D20+New_to_SF_sector_expected!D20+'Re-entrants_expected'!D20)</f>
        <v>0.50224877123032863</v>
      </c>
      <c r="F79" s="415">
        <f>NQT_entrants_required_inc_UGs!E20/(NQT_entrants_required_inc_UGs!E20+New_to_SF_sector_expected!E20+'Re-entrants_expected'!E20)</f>
        <v>0.50224877123032852</v>
      </c>
      <c r="G79" s="415">
        <f>NQT_entrants_required_inc_UGs!F20/(NQT_entrants_required_inc_UGs!F20+New_to_SF_sector_expected!F20+'Re-entrants_expected'!F20)</f>
        <v>0.50224877123032852</v>
      </c>
      <c r="H79" s="415">
        <f>NQT_entrants_required_inc_UGs!G20/(NQT_entrants_required_inc_UGs!G20+New_to_SF_sector_expected!G20+'Re-entrants_expected'!G20)</f>
        <v>0.50224877123032852</v>
      </c>
      <c r="I79" s="415">
        <f>NQT_entrants_required_inc_UGs!H20/(NQT_entrants_required_inc_UGs!H20+New_to_SF_sector_expected!H20+'Re-entrants_expected'!H20)</f>
        <v>0.50224877123032852</v>
      </c>
      <c r="J79" s="415">
        <f>NQT_entrants_required_inc_UGs!I20/(NQT_entrants_required_inc_UGs!I20+New_to_SF_sector_expected!I20+'Re-entrants_expected'!I20)</f>
        <v>0.50224877123032852</v>
      </c>
      <c r="K79" s="415">
        <f>NQT_entrants_required_inc_UGs!J20/(NQT_entrants_required_inc_UGs!J20+New_to_SF_sector_expected!J20+'Re-entrants_expected'!J20)</f>
        <v>0.50224877123032852</v>
      </c>
      <c r="L79" s="415">
        <f>NQT_entrants_required_inc_UGs!K20/(NQT_entrants_required_inc_UGs!K20+New_to_SF_sector_expected!K20+'Re-entrants_expected'!K20)</f>
        <v>0.50224877123032852</v>
      </c>
      <c r="M79" s="415">
        <f>NQT_entrants_required_inc_UGs!L20/(NQT_entrants_required_inc_UGs!L20+New_to_SF_sector_expected!L20+'Re-entrants_expected'!L20)</f>
        <v>0.50224877123032852</v>
      </c>
    </row>
    <row r="80" spans="3:13">
      <c r="C80" s="326" t="str">
        <f>USER_TESTING_TAB!B96</f>
        <v>Design &amp; Technology</v>
      </c>
      <c r="D80" s="415">
        <f>NQT_entrants_required_inc_UGs!C21/(NQT_entrants_required_inc_UGs!C21+New_to_SF_sector_expected!C21+'Re-entrants_expected'!C21)</f>
        <v>0.50224877123032852</v>
      </c>
      <c r="E80" s="415">
        <f>NQT_entrants_required_inc_UGs!D21/(NQT_entrants_required_inc_UGs!D21+New_to_SF_sector_expected!D21+'Re-entrants_expected'!D21)</f>
        <v>0.50224877123032852</v>
      </c>
      <c r="F80" s="415">
        <f>NQT_entrants_required_inc_UGs!E21/(NQT_entrants_required_inc_UGs!E21+New_to_SF_sector_expected!E21+'Re-entrants_expected'!E21)</f>
        <v>0.50224877123032863</v>
      </c>
      <c r="G80" s="415">
        <f>NQT_entrants_required_inc_UGs!F21/(NQT_entrants_required_inc_UGs!F21+New_to_SF_sector_expected!F21+'Re-entrants_expected'!F21)</f>
        <v>0.50224877123032852</v>
      </c>
      <c r="H80" s="415">
        <f>NQT_entrants_required_inc_UGs!G21/(NQT_entrants_required_inc_UGs!G21+New_to_SF_sector_expected!G21+'Re-entrants_expected'!G21)</f>
        <v>0.50224877123032852</v>
      </c>
      <c r="I80" s="415">
        <f>NQT_entrants_required_inc_UGs!H21/(NQT_entrants_required_inc_UGs!H21+New_to_SF_sector_expected!H21+'Re-entrants_expected'!H21)</f>
        <v>0.50224877123032852</v>
      </c>
      <c r="J80" s="415">
        <f>NQT_entrants_required_inc_UGs!I21/(NQT_entrants_required_inc_UGs!I21+New_to_SF_sector_expected!I21+'Re-entrants_expected'!I21)</f>
        <v>0.50224877123032852</v>
      </c>
      <c r="K80" s="415">
        <f>NQT_entrants_required_inc_UGs!J21/(NQT_entrants_required_inc_UGs!J21+New_to_SF_sector_expected!J21+'Re-entrants_expected'!J21)</f>
        <v>0.50224877123032852</v>
      </c>
      <c r="L80" s="415">
        <f>NQT_entrants_required_inc_UGs!K21/(NQT_entrants_required_inc_UGs!K21+New_to_SF_sector_expected!K21+'Re-entrants_expected'!K21)</f>
        <v>0.50224877123032852</v>
      </c>
      <c r="M80" s="415">
        <f>NQT_entrants_required_inc_UGs!L21/(NQT_entrants_required_inc_UGs!L21+New_to_SF_sector_expected!L21+'Re-entrants_expected'!L21)</f>
        <v>0.50224877123032863</v>
      </c>
    </row>
    <row r="81" spans="3:13">
      <c r="C81" s="326" t="str">
        <f>USER_TESTING_TAB!B97</f>
        <v>Drama</v>
      </c>
      <c r="D81" s="415">
        <f>NQT_entrants_required_inc_UGs!C22/(NQT_entrants_required_inc_UGs!C22+New_to_SF_sector_expected!C22+'Re-entrants_expected'!C22)</f>
        <v>0.50224877123032863</v>
      </c>
      <c r="E81" s="415">
        <f>NQT_entrants_required_inc_UGs!D22/(NQT_entrants_required_inc_UGs!D22+New_to_SF_sector_expected!D22+'Re-entrants_expected'!D22)</f>
        <v>0.50224877123032852</v>
      </c>
      <c r="F81" s="415">
        <f>NQT_entrants_required_inc_UGs!E22/(NQT_entrants_required_inc_UGs!E22+New_to_SF_sector_expected!E22+'Re-entrants_expected'!E22)</f>
        <v>0.50224877123032852</v>
      </c>
      <c r="G81" s="415">
        <f>NQT_entrants_required_inc_UGs!F22/(NQT_entrants_required_inc_UGs!F22+New_to_SF_sector_expected!F22+'Re-entrants_expected'!F22)</f>
        <v>0.50224877123032852</v>
      </c>
      <c r="H81" s="415">
        <f>NQT_entrants_required_inc_UGs!G22/(NQT_entrants_required_inc_UGs!G22+New_to_SF_sector_expected!G22+'Re-entrants_expected'!G22)</f>
        <v>0.50224877123032852</v>
      </c>
      <c r="I81" s="415">
        <f>NQT_entrants_required_inc_UGs!H22/(NQT_entrants_required_inc_UGs!H22+New_to_SF_sector_expected!H22+'Re-entrants_expected'!H22)</f>
        <v>0.50224877123032852</v>
      </c>
      <c r="J81" s="415">
        <f>NQT_entrants_required_inc_UGs!I22/(NQT_entrants_required_inc_UGs!I22+New_to_SF_sector_expected!I22+'Re-entrants_expected'!I22)</f>
        <v>0.50224877123032863</v>
      </c>
      <c r="K81" s="415">
        <f>NQT_entrants_required_inc_UGs!J22/(NQT_entrants_required_inc_UGs!J22+New_to_SF_sector_expected!J22+'Re-entrants_expected'!J22)</f>
        <v>0.50224877123032852</v>
      </c>
      <c r="L81" s="415">
        <f>NQT_entrants_required_inc_UGs!K22/(NQT_entrants_required_inc_UGs!K22+New_to_SF_sector_expected!K22+'Re-entrants_expected'!K22)</f>
        <v>0.50224877123032863</v>
      </c>
      <c r="M81" s="415">
        <f>NQT_entrants_required_inc_UGs!L22/(NQT_entrants_required_inc_UGs!L22+New_to_SF_sector_expected!L22+'Re-entrants_expected'!L22)</f>
        <v>0.50224877123032852</v>
      </c>
    </row>
    <row r="82" spans="3:13">
      <c r="C82" s="326" t="str">
        <f>USER_TESTING_TAB!B98</f>
        <v>English</v>
      </c>
      <c r="D82" s="415">
        <f>NQT_entrants_required_inc_UGs!C23/(NQT_entrants_required_inc_UGs!C23+New_to_SF_sector_expected!C23+'Re-entrants_expected'!C23)</f>
        <v>0.50224877123032852</v>
      </c>
      <c r="E82" s="415">
        <f>NQT_entrants_required_inc_UGs!D23/(NQT_entrants_required_inc_UGs!D23+New_to_SF_sector_expected!D23+'Re-entrants_expected'!D23)</f>
        <v>0.50224877123032852</v>
      </c>
      <c r="F82" s="415">
        <f>NQT_entrants_required_inc_UGs!E23/(NQT_entrants_required_inc_UGs!E23+New_to_SF_sector_expected!E23+'Re-entrants_expected'!E23)</f>
        <v>0.50224877123032852</v>
      </c>
      <c r="G82" s="415">
        <f>NQT_entrants_required_inc_UGs!F23/(NQT_entrants_required_inc_UGs!F23+New_to_SF_sector_expected!F23+'Re-entrants_expected'!F23)</f>
        <v>0.50224877123032852</v>
      </c>
      <c r="H82" s="415">
        <f>NQT_entrants_required_inc_UGs!G23/(NQT_entrants_required_inc_UGs!G23+New_to_SF_sector_expected!G23+'Re-entrants_expected'!G23)</f>
        <v>0.50224877123032852</v>
      </c>
      <c r="I82" s="415">
        <f>NQT_entrants_required_inc_UGs!H23/(NQT_entrants_required_inc_UGs!H23+New_to_SF_sector_expected!H23+'Re-entrants_expected'!H23)</f>
        <v>0.50224877123032852</v>
      </c>
      <c r="J82" s="415">
        <f>NQT_entrants_required_inc_UGs!I23/(NQT_entrants_required_inc_UGs!I23+New_to_SF_sector_expected!I23+'Re-entrants_expected'!I23)</f>
        <v>0.50224877123032852</v>
      </c>
      <c r="K82" s="415">
        <f>NQT_entrants_required_inc_UGs!J23/(NQT_entrants_required_inc_UGs!J23+New_to_SF_sector_expected!J23+'Re-entrants_expected'!J23)</f>
        <v>0.50224877123032852</v>
      </c>
      <c r="L82" s="415">
        <f>NQT_entrants_required_inc_UGs!K23/(NQT_entrants_required_inc_UGs!K23+New_to_SF_sector_expected!K23+'Re-entrants_expected'!K23)</f>
        <v>0.50224877123032852</v>
      </c>
      <c r="M82" s="415">
        <f>NQT_entrants_required_inc_UGs!L23/(NQT_entrants_required_inc_UGs!L23+New_to_SF_sector_expected!L23+'Re-entrants_expected'!L23)</f>
        <v>0.50224877123032852</v>
      </c>
    </row>
    <row r="83" spans="3:13">
      <c r="C83" s="326" t="str">
        <f>USER_TESTING_TAB!B99</f>
        <v>Food</v>
      </c>
      <c r="D83" s="415">
        <f>NQT_entrants_required_inc_UGs!C24/(NQT_entrants_required_inc_UGs!C24+New_to_SF_sector_expected!C24+'Re-entrants_expected'!C24)</f>
        <v>0.50224877123032863</v>
      </c>
      <c r="E83" s="415">
        <f>NQT_entrants_required_inc_UGs!D24/(NQT_entrants_required_inc_UGs!D24+New_to_SF_sector_expected!D24+'Re-entrants_expected'!D24)</f>
        <v>0.50224877123032852</v>
      </c>
      <c r="F83" s="415">
        <f>NQT_entrants_required_inc_UGs!E24/(NQT_entrants_required_inc_UGs!E24+New_to_SF_sector_expected!E24+'Re-entrants_expected'!E24)</f>
        <v>0.50224877123032852</v>
      </c>
      <c r="G83" s="415">
        <f>NQT_entrants_required_inc_UGs!F24/(NQT_entrants_required_inc_UGs!F24+New_to_SF_sector_expected!F24+'Re-entrants_expected'!F24)</f>
        <v>0.50224877123032852</v>
      </c>
      <c r="H83" s="415">
        <f>NQT_entrants_required_inc_UGs!G24/(NQT_entrants_required_inc_UGs!G24+New_to_SF_sector_expected!G24+'Re-entrants_expected'!G24)</f>
        <v>0.50224877123032852</v>
      </c>
      <c r="I83" s="415">
        <f>NQT_entrants_required_inc_UGs!H24/(NQT_entrants_required_inc_UGs!H24+New_to_SF_sector_expected!H24+'Re-entrants_expected'!H24)</f>
        <v>0.50224877123032852</v>
      </c>
      <c r="J83" s="415">
        <f>NQT_entrants_required_inc_UGs!I24/(NQT_entrants_required_inc_UGs!I24+New_to_SF_sector_expected!I24+'Re-entrants_expected'!I24)</f>
        <v>0.50224877123032852</v>
      </c>
      <c r="K83" s="415">
        <f>NQT_entrants_required_inc_UGs!J24/(NQT_entrants_required_inc_UGs!J24+New_to_SF_sector_expected!J24+'Re-entrants_expected'!J24)</f>
        <v>0.50224877123032852</v>
      </c>
      <c r="L83" s="415">
        <f>NQT_entrants_required_inc_UGs!K24/(NQT_entrants_required_inc_UGs!K24+New_to_SF_sector_expected!K24+'Re-entrants_expected'!K24)</f>
        <v>0.50224877123032852</v>
      </c>
      <c r="M83" s="415">
        <f>NQT_entrants_required_inc_UGs!L24/(NQT_entrants_required_inc_UGs!L24+New_to_SF_sector_expected!L24+'Re-entrants_expected'!L24)</f>
        <v>0.50224877123032852</v>
      </c>
    </row>
    <row r="84" spans="3:13">
      <c r="C84" s="326" t="str">
        <f>USER_TESTING_TAB!B100</f>
        <v>Geography</v>
      </c>
      <c r="D84" s="415">
        <f>NQT_entrants_required_inc_UGs!C25/(NQT_entrants_required_inc_UGs!C25+New_to_SF_sector_expected!C25+'Re-entrants_expected'!C25)</f>
        <v>0.66743332111847187</v>
      </c>
      <c r="E84" s="415">
        <f>NQT_entrants_required_inc_UGs!D25/(NQT_entrants_required_inc_UGs!D25+New_to_SF_sector_expected!D25+'Re-entrants_expected'!D25)</f>
        <v>0.66355597494563734</v>
      </c>
      <c r="F84" s="415">
        <f>NQT_entrants_required_inc_UGs!E25/(NQT_entrants_required_inc_UGs!E25+New_to_SF_sector_expected!E25+'Re-entrants_expected'!E25)</f>
        <v>0.6055038112061204</v>
      </c>
      <c r="G84" s="415">
        <f>NQT_entrants_required_inc_UGs!F25/(NQT_entrants_required_inc_UGs!F25+New_to_SF_sector_expected!F25+'Re-entrants_expected'!F25)</f>
        <v>0.5927617951825026</v>
      </c>
      <c r="H84" s="415">
        <f>NQT_entrants_required_inc_UGs!G25/(NQT_entrants_required_inc_UGs!G25+New_to_SF_sector_expected!G25+'Re-entrants_expected'!G25)</f>
        <v>0.59461157707827039</v>
      </c>
      <c r="I84" s="415">
        <f>NQT_entrants_required_inc_UGs!H25/(NQT_entrants_required_inc_UGs!H25+New_to_SF_sector_expected!H25+'Re-entrants_expected'!H25)</f>
        <v>0.59744034866293272</v>
      </c>
      <c r="J84" s="415">
        <f>NQT_entrants_required_inc_UGs!I25/(NQT_entrants_required_inc_UGs!I25+New_to_SF_sector_expected!I25+'Re-entrants_expected'!I25)</f>
        <v>0.57834279368593067</v>
      </c>
      <c r="K84" s="415">
        <f>NQT_entrants_required_inc_UGs!J25/(NQT_entrants_required_inc_UGs!J25+New_to_SF_sector_expected!J25+'Re-entrants_expected'!J25)</f>
        <v>0.56744576405048397</v>
      </c>
      <c r="L84" s="415">
        <f>NQT_entrants_required_inc_UGs!K25/(NQT_entrants_required_inc_UGs!K25+New_to_SF_sector_expected!K25+'Re-entrants_expected'!K25)</f>
        <v>0.56000628083894755</v>
      </c>
      <c r="M84" s="415">
        <f>NQT_entrants_required_inc_UGs!L25/(NQT_entrants_required_inc_UGs!L25+New_to_SF_sector_expected!L25+'Re-entrants_expected'!L25)</f>
        <v>0.56421554849347899</v>
      </c>
    </row>
    <row r="85" spans="3:13">
      <c r="C85" s="326" t="str">
        <f>USER_TESTING_TAB!B101</f>
        <v>History</v>
      </c>
      <c r="D85" s="415">
        <f>NQT_entrants_required_inc_UGs!C26/(NQT_entrants_required_inc_UGs!C26+New_to_SF_sector_expected!C26+'Re-entrants_expected'!C26)</f>
        <v>0.63096742697124464</v>
      </c>
      <c r="E85" s="415">
        <f>NQT_entrants_required_inc_UGs!D26/(NQT_entrants_required_inc_UGs!D26+New_to_SF_sector_expected!D26+'Re-entrants_expected'!D26)</f>
        <v>0.64388809325168805</v>
      </c>
      <c r="F85" s="415">
        <f>NQT_entrants_required_inc_UGs!E26/(NQT_entrants_required_inc_UGs!E26+New_to_SF_sector_expected!E26+'Re-entrants_expected'!E26)</f>
        <v>0.58894634213519326</v>
      </c>
      <c r="G85" s="415">
        <f>NQT_entrants_required_inc_UGs!F26/(NQT_entrants_required_inc_UGs!F26+New_to_SF_sector_expected!F26+'Re-entrants_expected'!F26)</f>
        <v>0.58563355465029154</v>
      </c>
      <c r="H85" s="415">
        <f>NQT_entrants_required_inc_UGs!G26/(NQT_entrants_required_inc_UGs!G26+New_to_SF_sector_expected!G26+'Re-entrants_expected'!G26)</f>
        <v>0.58907294111944186</v>
      </c>
      <c r="I85" s="415">
        <f>NQT_entrants_required_inc_UGs!H26/(NQT_entrants_required_inc_UGs!H26+New_to_SF_sector_expected!H26+'Re-entrants_expected'!H26)</f>
        <v>0.59133718537788094</v>
      </c>
      <c r="J85" s="415">
        <f>NQT_entrants_required_inc_UGs!I26/(NQT_entrants_required_inc_UGs!I26+New_to_SF_sector_expected!I26+'Re-entrants_expected'!I26)</f>
        <v>0.57378424153931462</v>
      </c>
      <c r="K85" s="415">
        <f>NQT_entrants_required_inc_UGs!J26/(NQT_entrants_required_inc_UGs!J26+New_to_SF_sector_expected!J26+'Re-entrants_expected'!J26)</f>
        <v>0.5636933153559327</v>
      </c>
      <c r="L85" s="415">
        <f>NQT_entrants_required_inc_UGs!K26/(NQT_entrants_required_inc_UGs!K26+New_to_SF_sector_expected!K26+'Re-entrants_expected'!K26)</f>
        <v>0.5566265648009896</v>
      </c>
      <c r="M85" s="415">
        <f>NQT_entrants_required_inc_UGs!L26/(NQT_entrants_required_inc_UGs!L26+New_to_SF_sector_expected!L26+'Re-entrants_expected'!L26)</f>
        <v>0.55945528020312119</v>
      </c>
    </row>
    <row r="86" spans="3:13">
      <c r="C86" s="326" t="str">
        <f>USER_TESTING_TAB!B102</f>
        <v>Mathematics</v>
      </c>
      <c r="D86" s="415">
        <f>NQT_entrants_required_inc_UGs!C27/(NQT_entrants_required_inc_UGs!C27+New_to_SF_sector_expected!C27+'Re-entrants_expected'!C27)</f>
        <v>0.50224877123032863</v>
      </c>
      <c r="E86" s="415">
        <f>NQT_entrants_required_inc_UGs!D27/(NQT_entrants_required_inc_UGs!D27+New_to_SF_sector_expected!D27+'Re-entrants_expected'!D27)</f>
        <v>0.50224877123032852</v>
      </c>
      <c r="F86" s="415">
        <f>NQT_entrants_required_inc_UGs!E27/(NQT_entrants_required_inc_UGs!E27+New_to_SF_sector_expected!E27+'Re-entrants_expected'!E27)</f>
        <v>0.50224877123032852</v>
      </c>
      <c r="G86" s="415">
        <f>NQT_entrants_required_inc_UGs!F27/(NQT_entrants_required_inc_UGs!F27+New_to_SF_sector_expected!F27+'Re-entrants_expected'!F27)</f>
        <v>0.50224877123032852</v>
      </c>
      <c r="H86" s="415">
        <f>NQT_entrants_required_inc_UGs!G27/(NQT_entrants_required_inc_UGs!G27+New_to_SF_sector_expected!G27+'Re-entrants_expected'!G27)</f>
        <v>0.50224877123032852</v>
      </c>
      <c r="I86" s="415">
        <f>NQT_entrants_required_inc_UGs!H27/(NQT_entrants_required_inc_UGs!H27+New_to_SF_sector_expected!H27+'Re-entrants_expected'!H27)</f>
        <v>0.50224877123032852</v>
      </c>
      <c r="J86" s="415">
        <f>NQT_entrants_required_inc_UGs!I27/(NQT_entrants_required_inc_UGs!I27+New_to_SF_sector_expected!I27+'Re-entrants_expected'!I27)</f>
        <v>0.50224877123032852</v>
      </c>
      <c r="K86" s="415">
        <f>NQT_entrants_required_inc_UGs!J27/(NQT_entrants_required_inc_UGs!J27+New_to_SF_sector_expected!J27+'Re-entrants_expected'!J27)</f>
        <v>0.50224877123032852</v>
      </c>
      <c r="L86" s="415">
        <f>NQT_entrants_required_inc_UGs!K27/(NQT_entrants_required_inc_UGs!K27+New_to_SF_sector_expected!K27+'Re-entrants_expected'!K27)</f>
        <v>0.50224877123032863</v>
      </c>
      <c r="M86" s="415">
        <f>NQT_entrants_required_inc_UGs!L27/(NQT_entrants_required_inc_UGs!L27+New_to_SF_sector_expected!L27+'Re-entrants_expected'!L27)</f>
        <v>0.50224877123032852</v>
      </c>
    </row>
    <row r="87" spans="3:13">
      <c r="C87" s="326" t="str">
        <f>USER_TESTING_TAB!B103</f>
        <v>Modern Foreign Languages</v>
      </c>
      <c r="D87" s="415">
        <f>NQT_entrants_required_inc_UGs!C28/(NQT_entrants_required_inc_UGs!C28+New_to_SF_sector_expected!C28+'Re-entrants_expected'!C28)</f>
        <v>0.72078445783965039</v>
      </c>
      <c r="E87" s="415">
        <f>NQT_entrants_required_inc_UGs!D28/(NQT_entrants_required_inc_UGs!D28+New_to_SF_sector_expected!D28+'Re-entrants_expected'!D28)</f>
        <v>0.73834377978732524</v>
      </c>
      <c r="F87" s="415">
        <f>NQT_entrants_required_inc_UGs!E28/(NQT_entrants_required_inc_UGs!E28+New_to_SF_sector_expected!E28+'Re-entrants_expected'!E28)</f>
        <v>0.65663562159074473</v>
      </c>
      <c r="G87" s="415">
        <f>NQT_entrants_required_inc_UGs!F28/(NQT_entrants_required_inc_UGs!F28+New_to_SF_sector_expected!F28+'Re-entrants_expected'!F28)</f>
        <v>0.59783161293372034</v>
      </c>
      <c r="H87" s="415">
        <f>NQT_entrants_required_inc_UGs!G28/(NQT_entrants_required_inc_UGs!G28+New_to_SF_sector_expected!G28+'Re-entrants_expected'!G28)</f>
        <v>0.59608320971663398</v>
      </c>
      <c r="I87" s="415">
        <f>NQT_entrants_required_inc_UGs!H28/(NQT_entrants_required_inc_UGs!H28+New_to_SF_sector_expected!H28+'Re-entrants_expected'!H28)</f>
        <v>0.59668851211988161</v>
      </c>
      <c r="J87" s="415">
        <f>NQT_entrants_required_inc_UGs!I28/(NQT_entrants_required_inc_UGs!I28+New_to_SF_sector_expected!I28+'Re-entrants_expected'!I28)</f>
        <v>0.57400591241425181</v>
      </c>
      <c r="K87" s="415">
        <f>NQT_entrants_required_inc_UGs!J28/(NQT_entrants_required_inc_UGs!J28+New_to_SF_sector_expected!J28+'Re-entrants_expected'!J28)</f>
        <v>0.56131467205537344</v>
      </c>
      <c r="L87" s="415">
        <f>NQT_entrants_required_inc_UGs!K28/(NQT_entrants_required_inc_UGs!K28+New_to_SF_sector_expected!K28+'Re-entrants_expected'!K28)</f>
        <v>0.55161377223604968</v>
      </c>
      <c r="M87" s="415">
        <f>NQT_entrants_required_inc_UGs!L28/(NQT_entrants_required_inc_UGs!L28+New_to_SF_sector_expected!L28+'Re-entrants_expected'!L28)</f>
        <v>0.55397389562832633</v>
      </c>
    </row>
    <row r="88" spans="3:13">
      <c r="C88" s="326" t="str">
        <f>USER_TESTING_TAB!B104</f>
        <v>Music</v>
      </c>
      <c r="D88" s="415">
        <f>NQT_entrants_required_inc_UGs!C29/(NQT_entrants_required_inc_UGs!C29+New_to_SF_sector_expected!C29+'Re-entrants_expected'!C29)</f>
        <v>0.50224877123032852</v>
      </c>
      <c r="E88" s="415">
        <f>NQT_entrants_required_inc_UGs!D29/(NQT_entrants_required_inc_UGs!D29+New_to_SF_sector_expected!D29+'Re-entrants_expected'!D29)</f>
        <v>0.50224877123032852</v>
      </c>
      <c r="F88" s="415">
        <f>NQT_entrants_required_inc_UGs!E29/(NQT_entrants_required_inc_UGs!E29+New_to_SF_sector_expected!E29+'Re-entrants_expected'!E29)</f>
        <v>0.50224877123032863</v>
      </c>
      <c r="G88" s="415">
        <f>NQT_entrants_required_inc_UGs!F29/(NQT_entrants_required_inc_UGs!F29+New_to_SF_sector_expected!F29+'Re-entrants_expected'!F29)</f>
        <v>0.50224877123032852</v>
      </c>
      <c r="H88" s="415">
        <f>NQT_entrants_required_inc_UGs!G29/(NQT_entrants_required_inc_UGs!G29+New_to_SF_sector_expected!G29+'Re-entrants_expected'!G29)</f>
        <v>0.50224877123032852</v>
      </c>
      <c r="I88" s="415">
        <f>NQT_entrants_required_inc_UGs!H29/(NQT_entrants_required_inc_UGs!H29+New_to_SF_sector_expected!H29+'Re-entrants_expected'!H29)</f>
        <v>0.50224877123032852</v>
      </c>
      <c r="J88" s="415">
        <f>NQT_entrants_required_inc_UGs!I29/(NQT_entrants_required_inc_UGs!I29+New_to_SF_sector_expected!I29+'Re-entrants_expected'!I29)</f>
        <v>0.50224877123032852</v>
      </c>
      <c r="K88" s="415">
        <f>NQT_entrants_required_inc_UGs!J29/(NQT_entrants_required_inc_UGs!J29+New_to_SF_sector_expected!J29+'Re-entrants_expected'!J29)</f>
        <v>0.50224877123032852</v>
      </c>
      <c r="L88" s="415">
        <f>NQT_entrants_required_inc_UGs!K29/(NQT_entrants_required_inc_UGs!K29+New_to_SF_sector_expected!K29+'Re-entrants_expected'!K29)</f>
        <v>0.50224877123032852</v>
      </c>
      <c r="M88" s="415">
        <f>NQT_entrants_required_inc_UGs!L29/(NQT_entrants_required_inc_UGs!L29+New_to_SF_sector_expected!L29+'Re-entrants_expected'!L29)</f>
        <v>0.50224877123032852</v>
      </c>
    </row>
    <row r="89" spans="3:13">
      <c r="C89" s="326" t="str">
        <f>USER_TESTING_TAB!B105</f>
        <v>Others</v>
      </c>
      <c r="D89" s="415">
        <f>NQT_entrants_required_inc_UGs!C30/(NQT_entrants_required_inc_UGs!C30+New_to_SF_sector_expected!C30+'Re-entrants_expected'!C30)</f>
        <v>0.50224877123032852</v>
      </c>
      <c r="E89" s="415">
        <f>NQT_entrants_required_inc_UGs!D30/(NQT_entrants_required_inc_UGs!D30+New_to_SF_sector_expected!D30+'Re-entrants_expected'!D30)</f>
        <v>0.50224877123032863</v>
      </c>
      <c r="F89" s="415">
        <f>NQT_entrants_required_inc_UGs!E30/(NQT_entrants_required_inc_UGs!E30+New_to_SF_sector_expected!E30+'Re-entrants_expected'!E30)</f>
        <v>0.50224877123032863</v>
      </c>
      <c r="G89" s="415">
        <f>NQT_entrants_required_inc_UGs!F30/(NQT_entrants_required_inc_UGs!F30+New_to_SF_sector_expected!F30+'Re-entrants_expected'!F30)</f>
        <v>0.50224877123032852</v>
      </c>
      <c r="H89" s="415">
        <f>NQT_entrants_required_inc_UGs!G30/(NQT_entrants_required_inc_UGs!G30+New_to_SF_sector_expected!G30+'Re-entrants_expected'!G30)</f>
        <v>0.50224877123032852</v>
      </c>
      <c r="I89" s="415">
        <f>NQT_entrants_required_inc_UGs!H30/(NQT_entrants_required_inc_UGs!H30+New_to_SF_sector_expected!H30+'Re-entrants_expected'!H30)</f>
        <v>0.50224877123032863</v>
      </c>
      <c r="J89" s="415">
        <f>NQT_entrants_required_inc_UGs!I30/(NQT_entrants_required_inc_UGs!I30+New_to_SF_sector_expected!I30+'Re-entrants_expected'!I30)</f>
        <v>0.50224877123032841</v>
      </c>
      <c r="K89" s="415">
        <f>NQT_entrants_required_inc_UGs!J30/(NQT_entrants_required_inc_UGs!J30+New_to_SF_sector_expected!J30+'Re-entrants_expected'!J30)</f>
        <v>0.50224877123032841</v>
      </c>
      <c r="L89" s="415">
        <f>NQT_entrants_required_inc_UGs!K30/(NQT_entrants_required_inc_UGs!K30+New_to_SF_sector_expected!K30+'Re-entrants_expected'!K30)</f>
        <v>0.50224877123032852</v>
      </c>
      <c r="M89" s="415">
        <f>NQT_entrants_required_inc_UGs!L30/(NQT_entrants_required_inc_UGs!L30+New_to_SF_sector_expected!L30+'Re-entrants_expected'!L30)</f>
        <v>0.50224877123032852</v>
      </c>
    </row>
    <row r="90" spans="3:13">
      <c r="C90" s="326" t="str">
        <f>USER_TESTING_TAB!B106</f>
        <v>Physical Education</v>
      </c>
      <c r="D90" s="415">
        <f>NQT_entrants_required_inc_UGs!C31/(NQT_entrants_required_inc_UGs!C31+New_to_SF_sector_expected!C31+'Re-entrants_expected'!C31)</f>
        <v>0.50224877123032852</v>
      </c>
      <c r="E90" s="415">
        <f>NQT_entrants_required_inc_UGs!D31/(NQT_entrants_required_inc_UGs!D31+New_to_SF_sector_expected!D31+'Re-entrants_expected'!D31)</f>
        <v>0.50224877123032852</v>
      </c>
      <c r="F90" s="415">
        <f>NQT_entrants_required_inc_UGs!E31/(NQT_entrants_required_inc_UGs!E31+New_to_SF_sector_expected!E31+'Re-entrants_expected'!E31)</f>
        <v>0.50224877123032852</v>
      </c>
      <c r="G90" s="415">
        <f>NQT_entrants_required_inc_UGs!F31/(NQT_entrants_required_inc_UGs!F31+New_to_SF_sector_expected!F31+'Re-entrants_expected'!F31)</f>
        <v>0.50224877123032852</v>
      </c>
      <c r="H90" s="415">
        <f>NQT_entrants_required_inc_UGs!G31/(NQT_entrants_required_inc_UGs!G31+New_to_SF_sector_expected!G31+'Re-entrants_expected'!G31)</f>
        <v>0.50224877123032852</v>
      </c>
      <c r="I90" s="415">
        <f>NQT_entrants_required_inc_UGs!H31/(NQT_entrants_required_inc_UGs!H31+New_to_SF_sector_expected!H31+'Re-entrants_expected'!H31)</f>
        <v>0.50224877123032863</v>
      </c>
      <c r="J90" s="415">
        <f>NQT_entrants_required_inc_UGs!I31/(NQT_entrants_required_inc_UGs!I31+New_to_SF_sector_expected!I31+'Re-entrants_expected'!I31)</f>
        <v>0.50224877123032852</v>
      </c>
      <c r="K90" s="415">
        <f>NQT_entrants_required_inc_UGs!J31/(NQT_entrants_required_inc_UGs!J31+New_to_SF_sector_expected!J31+'Re-entrants_expected'!J31)</f>
        <v>0.50224877123032852</v>
      </c>
      <c r="L90" s="415">
        <f>NQT_entrants_required_inc_UGs!K31/(NQT_entrants_required_inc_UGs!K31+New_to_SF_sector_expected!K31+'Re-entrants_expected'!K31)</f>
        <v>0.50224877123032863</v>
      </c>
      <c r="M90" s="415">
        <f>NQT_entrants_required_inc_UGs!L31/(NQT_entrants_required_inc_UGs!L31+New_to_SF_sector_expected!L31+'Re-entrants_expected'!L31)</f>
        <v>0.50224877123032852</v>
      </c>
    </row>
    <row r="91" spans="3:13">
      <c r="C91" s="326" t="str">
        <f>USER_TESTING_TAB!B107</f>
        <v>Physics</v>
      </c>
      <c r="D91" s="415">
        <f>NQT_entrants_required_inc_UGs!C32/(NQT_entrants_required_inc_UGs!C32+New_to_SF_sector_expected!C32+'Re-entrants_expected'!C32)</f>
        <v>0.50224877123032852</v>
      </c>
      <c r="E91" s="415">
        <f>NQT_entrants_required_inc_UGs!D32/(NQT_entrants_required_inc_UGs!D32+New_to_SF_sector_expected!D32+'Re-entrants_expected'!D32)</f>
        <v>0.50224877123032852</v>
      </c>
      <c r="F91" s="415">
        <f>NQT_entrants_required_inc_UGs!E32/(NQT_entrants_required_inc_UGs!E32+New_to_SF_sector_expected!E32+'Re-entrants_expected'!E32)</f>
        <v>0.50224877123032852</v>
      </c>
      <c r="G91" s="415">
        <f>NQT_entrants_required_inc_UGs!F32/(NQT_entrants_required_inc_UGs!F32+New_to_SF_sector_expected!F32+'Re-entrants_expected'!F32)</f>
        <v>0.50224877123032863</v>
      </c>
      <c r="H91" s="415">
        <f>NQT_entrants_required_inc_UGs!G32/(NQT_entrants_required_inc_UGs!G32+New_to_SF_sector_expected!G32+'Re-entrants_expected'!G32)</f>
        <v>0.50224877123032852</v>
      </c>
      <c r="I91" s="415">
        <f>NQT_entrants_required_inc_UGs!H32/(NQT_entrants_required_inc_UGs!H32+New_to_SF_sector_expected!H32+'Re-entrants_expected'!H32)</f>
        <v>0.50224877123032852</v>
      </c>
      <c r="J91" s="415">
        <f>NQT_entrants_required_inc_UGs!I32/(NQT_entrants_required_inc_UGs!I32+New_to_SF_sector_expected!I32+'Re-entrants_expected'!I32)</f>
        <v>0.50224877123032852</v>
      </c>
      <c r="K91" s="415">
        <f>NQT_entrants_required_inc_UGs!J32/(NQT_entrants_required_inc_UGs!J32+New_to_SF_sector_expected!J32+'Re-entrants_expected'!J32)</f>
        <v>0.50224877123032852</v>
      </c>
      <c r="L91" s="415">
        <f>NQT_entrants_required_inc_UGs!K32/(NQT_entrants_required_inc_UGs!K32+New_to_SF_sector_expected!K32+'Re-entrants_expected'!K32)</f>
        <v>0.50224877123032852</v>
      </c>
      <c r="M91" s="415">
        <f>NQT_entrants_required_inc_UGs!L32/(NQT_entrants_required_inc_UGs!L32+New_to_SF_sector_expected!L32+'Re-entrants_expected'!L32)</f>
        <v>0.50224877123032852</v>
      </c>
    </row>
    <row r="92" spans="3:13">
      <c r="C92" s="326" t="str">
        <f>USER_TESTING_TAB!B108</f>
        <v>Religious Education</v>
      </c>
      <c r="D92" s="449">
        <f>NQT_entrants_required_inc_UGs!C33/(NQT_entrants_required_inc_UGs!C33+New_to_SF_sector_expected!C33+'Re-entrants_expected'!C33)</f>
        <v>0.50224877123032863</v>
      </c>
      <c r="E92" s="449">
        <f>NQT_entrants_required_inc_UGs!D33/(NQT_entrants_required_inc_UGs!D33+New_to_SF_sector_expected!D33+'Re-entrants_expected'!D33)</f>
        <v>0.50224877123032852</v>
      </c>
      <c r="F92" s="415">
        <f>NQT_entrants_required_inc_UGs!E33/(NQT_entrants_required_inc_UGs!E33+New_to_SF_sector_expected!E33+'Re-entrants_expected'!E33)</f>
        <v>0.50224877123032852</v>
      </c>
      <c r="G92" s="415">
        <f>NQT_entrants_required_inc_UGs!F33/(NQT_entrants_required_inc_UGs!F33+New_to_SF_sector_expected!F33+'Re-entrants_expected'!F33)</f>
        <v>0.50224877123032863</v>
      </c>
      <c r="H92" s="415">
        <f>NQT_entrants_required_inc_UGs!G33/(NQT_entrants_required_inc_UGs!G33+New_to_SF_sector_expected!G33+'Re-entrants_expected'!G33)</f>
        <v>0.50224877123032863</v>
      </c>
      <c r="I92" s="415">
        <f>NQT_entrants_required_inc_UGs!H33/(NQT_entrants_required_inc_UGs!H33+New_to_SF_sector_expected!H33+'Re-entrants_expected'!H33)</f>
        <v>0.50224877123032852</v>
      </c>
      <c r="J92" s="415">
        <f>NQT_entrants_required_inc_UGs!I33/(NQT_entrants_required_inc_UGs!I33+New_to_SF_sector_expected!I33+'Re-entrants_expected'!I33)</f>
        <v>0.50224877123032863</v>
      </c>
      <c r="K92" s="415">
        <f>NQT_entrants_required_inc_UGs!J33/(NQT_entrants_required_inc_UGs!J33+New_to_SF_sector_expected!J33+'Re-entrants_expected'!J33)</f>
        <v>0.50224877123032852</v>
      </c>
      <c r="L92" s="415">
        <f>NQT_entrants_required_inc_UGs!K33/(NQT_entrants_required_inc_UGs!K33+New_to_SF_sector_expected!K33+'Re-entrants_expected'!K33)</f>
        <v>0.50224877123032852</v>
      </c>
      <c r="M92" s="415">
        <f>NQT_entrants_required_inc_UGs!L33/(NQT_entrants_required_inc_UGs!L33+New_to_SF_sector_expected!L33+'Re-entrants_expected'!L33)</f>
        <v>0.50224877123032852</v>
      </c>
    </row>
    <row r="93" spans="3:13">
      <c r="C93" s="326" t="s">
        <v>8</v>
      </c>
      <c r="D93" s="449">
        <f>NQT_entrants_required_inc_UGs!C37/(NQT_entrants_required_inc_UGs!C37+New_to_SF_sector_expected!C37+'Re-entrants_expected'!C37)</f>
        <v>0.53185233323042558</v>
      </c>
      <c r="E93" s="449">
        <f>NQT_entrants_required_inc_UGs!D37/(NQT_entrants_required_inc_UGs!D37+New_to_SF_sector_expected!D37+'Re-entrants_expected'!D37)</f>
        <v>0.53510422321374773</v>
      </c>
      <c r="F93" s="449">
        <f>NQT_entrants_required_inc_UGs!E37/(NQT_entrants_required_inc_UGs!E37+New_to_SF_sector_expected!E37+'Re-entrants_expected'!E37)</f>
        <v>0.5227866541813001</v>
      </c>
      <c r="G93" s="449">
        <f>NQT_entrants_required_inc_UGs!F37/(NQT_entrants_required_inc_UGs!F37+New_to_SF_sector_expected!F37+'Re-entrants_expected'!F37)</f>
        <v>0.51845489913567977</v>
      </c>
      <c r="H93" s="449">
        <f>NQT_entrants_required_inc_UGs!G37/(NQT_entrants_required_inc_UGs!G37+New_to_SF_sector_expected!G37+'Re-entrants_expected'!G37)</f>
        <v>0.5184345712185684</v>
      </c>
      <c r="I93" s="449">
        <f>NQT_entrants_required_inc_UGs!H37/(NQT_entrants_required_inc_UGs!H37+New_to_SF_sector_expected!H37+'Re-entrants_expected'!H37)</f>
        <v>0.51867938484760712</v>
      </c>
      <c r="J93" s="449">
        <f>NQT_entrants_required_inc_UGs!I37/(NQT_entrants_required_inc_UGs!I37+New_to_SF_sector_expected!I37+'Re-entrants_expected'!I37)</f>
        <v>0.51661694242521072</v>
      </c>
      <c r="K93" s="449">
        <f>NQT_entrants_required_inc_UGs!J37/(NQT_entrants_required_inc_UGs!J37+New_to_SF_sector_expected!J37+'Re-entrants_expected'!J37)</f>
        <v>0.51548226928124041</v>
      </c>
      <c r="L93" s="449">
        <f>NQT_entrants_required_inc_UGs!K37/(NQT_entrants_required_inc_UGs!K37+New_to_SF_sector_expected!K37+'Re-entrants_expected'!K37)</f>
        <v>0.51471396930159452</v>
      </c>
      <c r="M93" s="449">
        <f>NQT_entrants_required_inc_UGs!L37/(NQT_entrants_required_inc_UGs!L37+New_to_SF_sector_expected!L37+'Re-entrants_expected'!L37)</f>
        <v>0.51507524896260737</v>
      </c>
    </row>
  </sheetData>
  <mergeCells count="2">
    <mergeCell ref="C13:C14"/>
    <mergeCell ref="C15:C16"/>
  </mergeCells>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67"/>
  <sheetViews>
    <sheetView showGridLines="0" workbookViewId="0"/>
  </sheetViews>
  <sheetFormatPr defaultRowHeight="12.75"/>
  <cols>
    <col min="2" max="2" width="32.7109375" customWidth="1"/>
    <col min="3" max="15" width="14.7109375" customWidth="1"/>
  </cols>
  <sheetData>
    <row r="1" spans="1:12" s="66" customFormat="1" ht="15">
      <c r="A1" s="65" t="str">
        <f>ModelBanner</f>
        <v>TSM_201718 for publication</v>
      </c>
    </row>
    <row r="2" spans="1:12" s="66" customFormat="1" ht="15">
      <c r="A2" s="1003" t="s">
        <v>13</v>
      </c>
      <c r="B2" s="1003" t="s">
        <v>30</v>
      </c>
    </row>
    <row r="3" spans="1:12" s="66" customFormat="1" ht="15">
      <c r="A3" s="67"/>
    </row>
    <row r="4" spans="1:12" s="589" customFormat="1" ht="15">
      <c r="A4" s="590" t="s">
        <v>26</v>
      </c>
      <c r="B4" s="590"/>
      <c r="C4" s="590"/>
      <c r="D4" s="590"/>
      <c r="E4" s="66"/>
      <c r="F4" s="590"/>
      <c r="G4" s="590"/>
      <c r="H4" s="590"/>
      <c r="I4" s="590"/>
    </row>
    <row r="5" spans="1:12" s="588" customFormat="1" ht="31.15" customHeight="1">
      <c r="A5" s="1100" t="s">
        <v>1120</v>
      </c>
      <c r="B5" s="1100"/>
      <c r="C5" s="1100"/>
      <c r="D5" s="1100"/>
      <c r="E5" s="1100"/>
      <c r="F5" s="1100"/>
      <c r="G5" s="1100"/>
      <c r="H5" s="1100"/>
      <c r="I5" s="1100"/>
      <c r="J5" s="1100"/>
      <c r="K5" s="1100"/>
      <c r="L5" s="1100"/>
    </row>
    <row r="6" spans="1:12" s="585" customFormat="1">
      <c r="A6" s="587" t="s">
        <v>1420</v>
      </c>
      <c r="B6" s="61"/>
      <c r="C6" s="61"/>
      <c r="D6" s="61"/>
      <c r="E6" s="292"/>
      <c r="F6" s="61"/>
      <c r="G6" s="61"/>
      <c r="H6" s="61"/>
      <c r="I6" s="61"/>
      <c r="J6" s="45"/>
      <c r="K6" s="45"/>
      <c r="L6" s="45"/>
    </row>
    <row r="7" spans="1:12" s="585" customFormat="1">
      <c r="A7" s="586" t="s">
        <v>739</v>
      </c>
      <c r="B7" s="587"/>
      <c r="C7" s="61"/>
      <c r="D7" s="61"/>
      <c r="E7" s="292"/>
      <c r="F7" s="61"/>
      <c r="G7" s="61"/>
      <c r="H7" s="61"/>
      <c r="I7" s="61"/>
      <c r="J7" s="45"/>
      <c r="K7" s="45"/>
      <c r="L7" s="45"/>
    </row>
    <row r="8" spans="1:12" s="585" customFormat="1">
      <c r="A8" s="587" t="s">
        <v>24</v>
      </c>
      <c r="B8" s="61"/>
      <c r="C8" s="61"/>
      <c r="D8" s="61"/>
      <c r="E8" s="292"/>
      <c r="F8" s="61"/>
      <c r="G8" s="61"/>
      <c r="H8" s="61"/>
      <c r="I8" s="61"/>
      <c r="J8" s="45"/>
      <c r="K8" s="45"/>
      <c r="L8" s="45"/>
    </row>
    <row r="9" spans="1:12" s="585" customFormat="1">
      <c r="A9" s="586" t="s">
        <v>748</v>
      </c>
      <c r="B9" s="61"/>
      <c r="C9" s="61"/>
      <c r="D9" s="61"/>
      <c r="E9" s="292"/>
      <c r="F9" s="61"/>
      <c r="G9" s="61"/>
      <c r="H9" s="61"/>
      <c r="I9" s="61"/>
      <c r="J9" s="45"/>
      <c r="K9" s="45"/>
      <c r="L9" s="45"/>
    </row>
    <row r="10" spans="1:12" s="583" customFormat="1">
      <c r="A10" s="584">
        <f>SUM(A13:A2083)</f>
        <v>0</v>
      </c>
      <c r="B10" s="73"/>
      <c r="C10" s="71"/>
      <c r="D10" s="48"/>
      <c r="E10" s="48"/>
      <c r="F10" s="48"/>
      <c r="G10" s="48"/>
      <c r="H10" s="72"/>
      <c r="I10" s="49"/>
      <c r="J10" s="49"/>
      <c r="K10" s="49"/>
      <c r="L10" s="49"/>
    </row>
    <row r="12" spans="1:12" ht="15.75">
      <c r="B12" s="78" t="s">
        <v>747</v>
      </c>
    </row>
    <row r="14" spans="1:12">
      <c r="B14" s="8" t="s">
        <v>62</v>
      </c>
      <c r="C14" s="326" t="str">
        <f>NQT_entrants_required_inc_UGs!C13</f>
        <v>2018/19</v>
      </c>
      <c r="D14" s="326" t="str">
        <f>NQT_entrants_required_inc_UGs!D13</f>
        <v>2019/20</v>
      </c>
      <c r="E14" s="326" t="str">
        <f>NQT_entrants_required_inc_UGs!E13</f>
        <v>2020/21</v>
      </c>
      <c r="F14" s="326" t="str">
        <f>NQT_entrants_required_inc_UGs!F13</f>
        <v>2021/22</v>
      </c>
      <c r="G14" s="326" t="str">
        <f>NQT_entrants_required_inc_UGs!G13</f>
        <v>2022/23</v>
      </c>
      <c r="H14" s="326" t="str">
        <f>NQT_entrants_required_inc_UGs!H13</f>
        <v>2023/24</v>
      </c>
      <c r="I14" s="326" t="str">
        <f>NQT_entrants_required_inc_UGs!I13</f>
        <v>2024/25</v>
      </c>
      <c r="J14" s="326" t="str">
        <f>NQT_entrants_required_inc_UGs!J13</f>
        <v>2025/26</v>
      </c>
      <c r="K14" s="326" t="str">
        <f>NQT_entrants_required_inc_UGs!K13</f>
        <v>2026/27</v>
      </c>
      <c r="L14" s="326" t="str">
        <f>NQT_entrants_required_inc_UGs!L13</f>
        <v>2027/28</v>
      </c>
    </row>
    <row r="15" spans="1:12">
      <c r="B15" s="326" t="str">
        <f>NQT_entrants_required_inc_UGs!B14</f>
        <v>Primary NQTs</v>
      </c>
      <c r="C15" s="686">
        <f>NQT_entrants_required_inc_UGs!C14</f>
        <v>12867.743665953705</v>
      </c>
      <c r="D15" s="686">
        <f>NQT_entrants_required_inc_UGs!D14</f>
        <v>12221.818294061828</v>
      </c>
      <c r="E15" s="686">
        <f>NQT_entrants_required_inc_UGs!E14</f>
        <v>12295.574653563142</v>
      </c>
      <c r="F15" s="686">
        <f>NQT_entrants_required_inc_UGs!F14</f>
        <v>12183.507041528463</v>
      </c>
      <c r="G15" s="686">
        <f>NQT_entrants_required_inc_UGs!G14</f>
        <v>12018.971803258957</v>
      </c>
      <c r="H15" s="686">
        <f>NQT_entrants_required_inc_UGs!H14</f>
        <v>11904.719138672705</v>
      </c>
      <c r="I15" s="686">
        <f>NQT_entrants_required_inc_UGs!I14</f>
        <v>12192.603333549689</v>
      </c>
      <c r="J15" s="686">
        <f>NQT_entrants_required_inc_UGs!J14</f>
        <v>12425.121184821051</v>
      </c>
      <c r="K15" s="686">
        <f>NQT_entrants_required_inc_UGs!K14</f>
        <v>12484.793346213828</v>
      </c>
      <c r="L15" s="686">
        <f>NQT_entrants_required_inc_UGs!L14</f>
        <v>12429.027215763994</v>
      </c>
    </row>
    <row r="16" spans="1:12">
      <c r="B16" s="326" t="str">
        <f>NQT_entrants_required_inc_UGs!B15</f>
        <v>Art &amp; Design NQTs</v>
      </c>
      <c r="C16" s="686">
        <f>NQT_entrants_required_inc_UGs!C15</f>
        <v>404.3544073580598</v>
      </c>
      <c r="D16" s="686">
        <f>NQT_entrants_required_inc_UGs!D15</f>
        <v>406.36232466689569</v>
      </c>
      <c r="E16" s="686">
        <f>NQT_entrants_required_inc_UGs!E15</f>
        <v>456.63178405120954</v>
      </c>
      <c r="F16" s="686">
        <f>NQT_entrants_required_inc_UGs!F15</f>
        <v>465.7667228325875</v>
      </c>
      <c r="G16" s="686">
        <f>NQT_entrants_required_inc_UGs!G15</f>
        <v>469.15160440701885</v>
      </c>
      <c r="H16" s="686">
        <f>NQT_entrants_required_inc_UGs!H15</f>
        <v>476.38929012035948</v>
      </c>
      <c r="I16" s="686">
        <f>NQT_entrants_required_inc_UGs!I15</f>
        <v>458.53882389538251</v>
      </c>
      <c r="J16" s="686">
        <f>NQT_entrants_required_inc_UGs!J15</f>
        <v>440.63607689976425</v>
      </c>
      <c r="K16" s="686">
        <f>NQT_entrants_required_inc_UGs!K15</f>
        <v>431.44871307712634</v>
      </c>
      <c r="L16" s="686">
        <f>NQT_entrants_required_inc_UGs!L15</f>
        <v>441.048874098483</v>
      </c>
    </row>
    <row r="17" spans="2:12">
      <c r="B17" s="326" t="str">
        <f>NQT_entrants_required_inc_UGs!B16</f>
        <v>Biology NQTs</v>
      </c>
      <c r="C17" s="686">
        <f>NQT_entrants_required_inc_UGs!C16</f>
        <v>802.99588557839547</v>
      </c>
      <c r="D17" s="686">
        <f>NQT_entrants_required_inc_UGs!D16</f>
        <v>762.47420469971678</v>
      </c>
      <c r="E17" s="686">
        <f>NQT_entrants_required_inc_UGs!E16</f>
        <v>753.74972991369157</v>
      </c>
      <c r="F17" s="686">
        <f>NQT_entrants_required_inc_UGs!F16</f>
        <v>768.91663204474924</v>
      </c>
      <c r="G17" s="686">
        <f>NQT_entrants_required_inc_UGs!G16</f>
        <v>790.27213062311023</v>
      </c>
      <c r="H17" s="686">
        <f>NQT_entrants_required_inc_UGs!H16</f>
        <v>775.99219270234653</v>
      </c>
      <c r="I17" s="686">
        <f>NQT_entrants_required_inc_UGs!I16</f>
        <v>754.82972896436797</v>
      </c>
      <c r="J17" s="686">
        <f>NQT_entrants_required_inc_UGs!J16</f>
        <v>763.46952214379269</v>
      </c>
      <c r="K17" s="686">
        <f>NQT_entrants_required_inc_UGs!K16</f>
        <v>759.0120384592301</v>
      </c>
      <c r="L17" s="686">
        <f>NQT_entrants_required_inc_UGs!L16</f>
        <v>731.90377762798244</v>
      </c>
    </row>
    <row r="18" spans="2:12">
      <c r="B18" s="326" t="str">
        <f>NQT_entrants_required_inc_UGs!B17</f>
        <v>Business Studies NQTs</v>
      </c>
      <c r="C18" s="686">
        <f>NQT_entrants_required_inc_UGs!C17</f>
        <v>159.39687919426885</v>
      </c>
      <c r="D18" s="686">
        <f>NQT_entrants_required_inc_UGs!D17</f>
        <v>120.05260632674926</v>
      </c>
      <c r="E18" s="686">
        <f>NQT_entrants_required_inc_UGs!E17</f>
        <v>178.65039956106415</v>
      </c>
      <c r="F18" s="686">
        <f>NQT_entrants_required_inc_UGs!F17</f>
        <v>206.16971080207168</v>
      </c>
      <c r="G18" s="686">
        <f>NQT_entrants_required_inc_UGs!G17</f>
        <v>223.561952272507</v>
      </c>
      <c r="H18" s="686">
        <f>NQT_entrants_required_inc_UGs!H17</f>
        <v>216.86359733196548</v>
      </c>
      <c r="I18" s="686">
        <f>NQT_entrants_required_inc_UGs!I17</f>
        <v>223.74536110075363</v>
      </c>
      <c r="J18" s="686">
        <f>NQT_entrants_required_inc_UGs!J17</f>
        <v>230.776412152022</v>
      </c>
      <c r="K18" s="686">
        <f>NQT_entrants_required_inc_UGs!K17</f>
        <v>232.09905917383315</v>
      </c>
      <c r="L18" s="686">
        <f>NQT_entrants_required_inc_UGs!L17</f>
        <v>218.12452164449067</v>
      </c>
    </row>
    <row r="19" spans="2:12">
      <c r="B19" s="326" t="str">
        <f>NQT_entrants_required_inc_UGs!B18</f>
        <v>Chemistry NQTs</v>
      </c>
      <c r="C19" s="686">
        <f>NQT_entrants_required_inc_UGs!C18</f>
        <v>677.51958487611637</v>
      </c>
      <c r="D19" s="686">
        <f>NQT_entrants_required_inc_UGs!D18</f>
        <v>678.00993768464298</v>
      </c>
      <c r="E19" s="686">
        <f>NQT_entrants_required_inc_UGs!E18</f>
        <v>668.22574800461143</v>
      </c>
      <c r="F19" s="686">
        <f>NQT_entrants_required_inc_UGs!F18</f>
        <v>680.71270633663437</v>
      </c>
      <c r="G19" s="686">
        <f>NQT_entrants_required_inc_UGs!G18</f>
        <v>698.42463899762606</v>
      </c>
      <c r="H19" s="686">
        <f>NQT_entrants_required_inc_UGs!H18</f>
        <v>680.4480663157583</v>
      </c>
      <c r="I19" s="686">
        <f>NQT_entrants_required_inc_UGs!I18</f>
        <v>660.21091681318217</v>
      </c>
      <c r="J19" s="686">
        <f>NQT_entrants_required_inc_UGs!J18</f>
        <v>669.9156108803254</v>
      </c>
      <c r="K19" s="686">
        <f>NQT_entrants_required_inc_UGs!K18</f>
        <v>665.21905290729796</v>
      </c>
      <c r="L19" s="686">
        <f>NQT_entrants_required_inc_UGs!L18</f>
        <v>634.88854650847907</v>
      </c>
    </row>
    <row r="20" spans="2:12">
      <c r="B20" s="326" t="str">
        <f>NQT_entrants_required_inc_UGs!B19</f>
        <v>Classics NQTs</v>
      </c>
      <c r="C20" s="686">
        <f>NQT_entrants_required_inc_UGs!C19</f>
        <v>19.239359964925082</v>
      </c>
      <c r="D20" s="686">
        <f>NQT_entrants_required_inc_UGs!D19</f>
        <v>18.699539958503959</v>
      </c>
      <c r="E20" s="686">
        <f>NQT_entrants_required_inc_UGs!E19</f>
        <v>18.465105340228241</v>
      </c>
      <c r="F20" s="686">
        <f>NQT_entrants_required_inc_UGs!F19</f>
        <v>18.558123357196617</v>
      </c>
      <c r="G20" s="686">
        <f>NQT_entrants_required_inc_UGs!G19</f>
        <v>18.889725051827121</v>
      </c>
      <c r="H20" s="686">
        <f>NQT_entrants_required_inc_UGs!H19</f>
        <v>18.783860295436192</v>
      </c>
      <c r="I20" s="686">
        <f>NQT_entrants_required_inc_UGs!I19</f>
        <v>18.497778655832143</v>
      </c>
      <c r="J20" s="686">
        <f>NQT_entrants_required_inc_UGs!J19</f>
        <v>18.051427277426964</v>
      </c>
      <c r="K20" s="686">
        <f>NQT_entrants_required_inc_UGs!K19</f>
        <v>17.810199265671187</v>
      </c>
      <c r="L20" s="686">
        <f>NQT_entrants_required_inc_UGs!L19</f>
        <v>17.794581275068612</v>
      </c>
    </row>
    <row r="21" spans="2:12">
      <c r="B21" s="326" t="str">
        <f>NQT_entrants_required_inc_UGs!B20</f>
        <v>Computing NQTs</v>
      </c>
      <c r="C21" s="686">
        <f>NQT_entrants_required_inc_UGs!C20</f>
        <v>300.10021835802866</v>
      </c>
      <c r="D21" s="686">
        <f>NQT_entrants_required_inc_UGs!D20</f>
        <v>288.62431792545931</v>
      </c>
      <c r="E21" s="686">
        <f>NQT_entrants_required_inc_UGs!E20</f>
        <v>382.94466430713265</v>
      </c>
      <c r="F21" s="686">
        <f>NQT_entrants_required_inc_UGs!F20</f>
        <v>411.91694005381186</v>
      </c>
      <c r="G21" s="686">
        <f>NQT_entrants_required_inc_UGs!G20</f>
        <v>418.82002314172166</v>
      </c>
      <c r="H21" s="686">
        <f>NQT_entrants_required_inc_UGs!H20</f>
        <v>422.11678109256576</v>
      </c>
      <c r="I21" s="686">
        <f>NQT_entrants_required_inc_UGs!I20</f>
        <v>409.23904804699561</v>
      </c>
      <c r="J21" s="686">
        <f>NQT_entrants_required_inc_UGs!J20</f>
        <v>399.93811525790977</v>
      </c>
      <c r="K21" s="686">
        <f>NQT_entrants_required_inc_UGs!K20</f>
        <v>393.98052070016467</v>
      </c>
      <c r="L21" s="686">
        <f>NQT_entrants_required_inc_UGs!L20</f>
        <v>396.08759693665428</v>
      </c>
    </row>
    <row r="22" spans="2:12">
      <c r="B22" s="326" t="str">
        <f>NQT_entrants_required_inc_UGs!B21</f>
        <v>Design &amp; Technology NQTs</v>
      </c>
      <c r="C22" s="686">
        <f>NQT_entrants_required_inc_UGs!C21</f>
        <v>500.78433609839101</v>
      </c>
      <c r="D22" s="686">
        <f>NQT_entrants_required_inc_UGs!D21</f>
        <v>454.39802779767444</v>
      </c>
      <c r="E22" s="686">
        <f>NQT_entrants_required_inc_UGs!E21</f>
        <v>548.73448171755683</v>
      </c>
      <c r="F22" s="686">
        <f>NQT_entrants_required_inc_UGs!F21</f>
        <v>576.30881270352779</v>
      </c>
      <c r="G22" s="686">
        <f>NQT_entrants_required_inc_UGs!G21</f>
        <v>565.05163844255321</v>
      </c>
      <c r="H22" s="686">
        <f>NQT_entrants_required_inc_UGs!H21</f>
        <v>575.30848768637316</v>
      </c>
      <c r="I22" s="686">
        <f>NQT_entrants_required_inc_UGs!I21</f>
        <v>540.91751595028347</v>
      </c>
      <c r="J22" s="686">
        <f>NQT_entrants_required_inc_UGs!J21</f>
        <v>507.10561193769075</v>
      </c>
      <c r="K22" s="686">
        <f>NQT_entrants_required_inc_UGs!K21</f>
        <v>490.55867732931904</v>
      </c>
      <c r="L22" s="686">
        <f>NQT_entrants_required_inc_UGs!L21</f>
        <v>511.97810634464798</v>
      </c>
    </row>
    <row r="23" spans="2:12">
      <c r="B23" s="326" t="str">
        <f>NQT_entrants_required_inc_UGs!B22</f>
        <v>Drama NQTs</v>
      </c>
      <c r="C23" s="686">
        <f>NQT_entrants_required_inc_UGs!C22</f>
        <v>259.30619789531664</v>
      </c>
      <c r="D23" s="686">
        <f>NQT_entrants_required_inc_UGs!D22</f>
        <v>250.49081552492615</v>
      </c>
      <c r="E23" s="686">
        <f>NQT_entrants_required_inc_UGs!E22</f>
        <v>248.66840591435727</v>
      </c>
      <c r="F23" s="686">
        <f>NQT_entrants_required_inc_UGs!F22</f>
        <v>268.17037472553329</v>
      </c>
      <c r="G23" s="686">
        <f>NQT_entrants_required_inc_UGs!G22</f>
        <v>269.96860929641196</v>
      </c>
      <c r="H23" s="686">
        <f>NQT_entrants_required_inc_UGs!H22</f>
        <v>276.11818141061917</v>
      </c>
      <c r="I23" s="686">
        <f>NQT_entrants_required_inc_UGs!I22</f>
        <v>265.17097906111178</v>
      </c>
      <c r="J23" s="686">
        <f>NQT_entrants_required_inc_UGs!J22</f>
        <v>255.07403250337106</v>
      </c>
      <c r="K23" s="686">
        <f>NQT_entrants_required_inc_UGs!K22</f>
        <v>250.59599760692285</v>
      </c>
      <c r="L23" s="686">
        <f>NQT_entrants_required_inc_UGs!L22</f>
        <v>258.73418495090129</v>
      </c>
    </row>
    <row r="24" spans="2:12">
      <c r="B24" s="326" t="str">
        <f>NQT_entrants_required_inc_UGs!B23</f>
        <v>English NQTs</v>
      </c>
      <c r="C24" s="686">
        <f>NQT_entrants_required_inc_UGs!C23</f>
        <v>1911.245533076939</v>
      </c>
      <c r="D24" s="686">
        <f>NQT_entrants_required_inc_UGs!D23</f>
        <v>1831.3445830567894</v>
      </c>
      <c r="E24" s="686">
        <f>NQT_entrants_required_inc_UGs!E23</f>
        <v>1788.7387243521007</v>
      </c>
      <c r="F24" s="686">
        <f>NQT_entrants_required_inc_UGs!F23</f>
        <v>1796.4720136346091</v>
      </c>
      <c r="G24" s="686">
        <f>NQT_entrants_required_inc_UGs!G23</f>
        <v>1811.6779915528743</v>
      </c>
      <c r="H24" s="686">
        <f>NQT_entrants_required_inc_UGs!H23</f>
        <v>1791.2488613616931</v>
      </c>
      <c r="I24" s="686">
        <f>NQT_entrants_required_inc_UGs!I23</f>
        <v>1709.9192181328917</v>
      </c>
      <c r="J24" s="686">
        <f>NQT_entrants_required_inc_UGs!J23</f>
        <v>1699.624250385119</v>
      </c>
      <c r="K24" s="686">
        <f>NQT_entrants_required_inc_UGs!K23</f>
        <v>1676.7333700820332</v>
      </c>
      <c r="L24" s="686">
        <f>NQT_entrants_required_inc_UGs!L23</f>
        <v>1644.9731715214136</v>
      </c>
    </row>
    <row r="25" spans="2:12">
      <c r="B25" s="326" t="str">
        <f>NQT_entrants_required_inc_UGs!B24</f>
        <v>Food NQTs</v>
      </c>
      <c r="C25" s="686">
        <f>NQT_entrants_required_inc_UGs!C24</f>
        <v>96.069693340465733</v>
      </c>
      <c r="D25" s="686">
        <f>NQT_entrants_required_inc_UGs!D24</f>
        <v>84.52005879254601</v>
      </c>
      <c r="E25" s="686">
        <f>NQT_entrants_required_inc_UGs!E24</f>
        <v>113.98359401741193</v>
      </c>
      <c r="F25" s="686">
        <f>NQT_entrants_required_inc_UGs!F24</f>
        <v>121.56542606427438</v>
      </c>
      <c r="G25" s="686">
        <f>NQT_entrants_required_inc_UGs!G24</f>
        <v>121.88547320494415</v>
      </c>
      <c r="H25" s="686">
        <f>NQT_entrants_required_inc_UGs!H24</f>
        <v>116.99335251533084</v>
      </c>
      <c r="I25" s="686">
        <f>NQT_entrants_required_inc_UGs!I24</f>
        <v>111.1943214808052</v>
      </c>
      <c r="J25" s="686">
        <f>NQT_entrants_required_inc_UGs!J24</f>
        <v>111.94155988826897</v>
      </c>
      <c r="K25" s="686">
        <f>NQT_entrants_required_inc_UGs!K24</f>
        <v>110.12250669715969</v>
      </c>
      <c r="L25" s="686">
        <f>NQT_entrants_required_inc_UGs!L24</f>
        <v>104.01826238395492</v>
      </c>
    </row>
    <row r="26" spans="2:12">
      <c r="B26" s="326" t="str">
        <f>NQT_entrants_required_inc_UGs!B25</f>
        <v>Geography NQTs</v>
      </c>
      <c r="C26" s="686">
        <f>NQT_entrants_required_inc_UGs!C25</f>
        <v>1037.6121686405004</v>
      </c>
      <c r="D26" s="686">
        <f>NQT_entrants_required_inc_UGs!D25</f>
        <v>1019.6958437796293</v>
      </c>
      <c r="E26" s="686">
        <f>NQT_entrants_required_inc_UGs!E25</f>
        <v>793.56037550334008</v>
      </c>
      <c r="F26" s="686">
        <f>NQT_entrants_required_inc_UGs!F25</f>
        <v>752.55387333773729</v>
      </c>
      <c r="G26" s="686">
        <f>NQT_entrants_required_inc_UGs!G25</f>
        <v>758.34691395315554</v>
      </c>
      <c r="H26" s="686">
        <f>NQT_entrants_required_inc_UGs!H25</f>
        <v>767.30885743344857</v>
      </c>
      <c r="I26" s="686">
        <f>NQT_entrants_required_inc_UGs!I25</f>
        <v>709.13954858047441</v>
      </c>
      <c r="J26" s="686">
        <f>NQT_entrants_required_inc_UGs!J25</f>
        <v>678.24983078306946</v>
      </c>
      <c r="K26" s="686">
        <f>NQT_entrants_required_inc_UGs!K25</f>
        <v>658.04004888371003</v>
      </c>
      <c r="L26" s="686">
        <f>NQT_entrants_required_inc_UGs!L25</f>
        <v>669.39000648684646</v>
      </c>
    </row>
    <row r="27" spans="2:12">
      <c r="B27" s="326" t="str">
        <f>NQT_entrants_required_inc_UGs!B26</f>
        <v>History NQTs</v>
      </c>
      <c r="C27" s="686">
        <f>NQT_entrants_required_inc_UGs!C26</f>
        <v>942.73270484617319</v>
      </c>
      <c r="D27" s="686">
        <f>NQT_entrants_required_inc_UGs!D26</f>
        <v>996.94278490286547</v>
      </c>
      <c r="E27" s="686">
        <f>NQT_entrants_required_inc_UGs!E26</f>
        <v>789.99355225076374</v>
      </c>
      <c r="F27" s="686">
        <f>NQT_entrants_required_inc_UGs!F26</f>
        <v>779.26955201282249</v>
      </c>
      <c r="G27" s="686">
        <f>NQT_entrants_required_inc_UGs!G26</f>
        <v>790.40680266664549</v>
      </c>
      <c r="H27" s="686">
        <f>NQT_entrants_required_inc_UGs!H26</f>
        <v>797.8410969536385</v>
      </c>
      <c r="I27" s="686">
        <f>NQT_entrants_required_inc_UGs!I26</f>
        <v>742.27605152290118</v>
      </c>
      <c r="J27" s="686">
        <f>NQT_entrants_required_inc_UGs!J26</f>
        <v>712.35643694239832</v>
      </c>
      <c r="K27" s="686">
        <f>NQT_entrants_required_inc_UGs!K26</f>
        <v>692.21434559396494</v>
      </c>
      <c r="L27" s="686">
        <f>NQT_entrants_required_inc_UGs!L26</f>
        <v>700.19936399464461</v>
      </c>
    </row>
    <row r="28" spans="2:12">
      <c r="B28" s="326" t="str">
        <f>NQT_entrants_required_inc_UGs!B27</f>
        <v>Mathematics NQTs</v>
      </c>
      <c r="C28" s="686">
        <f>NQT_entrants_required_inc_UGs!C27</f>
        <v>2104.2750492739433</v>
      </c>
      <c r="D28" s="686">
        <f>NQT_entrants_required_inc_UGs!D27</f>
        <v>2036.9165631660892</v>
      </c>
      <c r="E28" s="686">
        <f>NQT_entrants_required_inc_UGs!E27</f>
        <v>2016.7322907590565</v>
      </c>
      <c r="F28" s="686">
        <f>NQT_entrants_required_inc_UGs!F27</f>
        <v>1965.6114876870254</v>
      </c>
      <c r="G28" s="686">
        <f>NQT_entrants_required_inc_UGs!G27</f>
        <v>1978.6162101061836</v>
      </c>
      <c r="H28" s="686">
        <f>NQT_entrants_required_inc_UGs!H27</f>
        <v>1955.4951106985566</v>
      </c>
      <c r="I28" s="686">
        <f>NQT_entrants_required_inc_UGs!I27</f>
        <v>1870.3959391184449</v>
      </c>
      <c r="J28" s="686">
        <f>NQT_entrants_required_inc_UGs!J27</f>
        <v>1849.3514970208412</v>
      </c>
      <c r="K28" s="686">
        <f>NQT_entrants_required_inc_UGs!K27</f>
        <v>1819.9639074387053</v>
      </c>
      <c r="L28" s="686">
        <f>NQT_entrants_required_inc_UGs!L27</f>
        <v>1787.5745630564807</v>
      </c>
    </row>
    <row r="29" spans="2:12">
      <c r="B29" s="326" t="str">
        <f>NQT_entrants_required_inc_UGs!B28</f>
        <v>Modern Foreign Languages NQTs</v>
      </c>
      <c r="C29" s="686">
        <f>NQT_entrants_required_inc_UGs!C28</f>
        <v>2250.7368857286674</v>
      </c>
      <c r="D29" s="686">
        <f>NQT_entrants_required_inc_UGs!D28</f>
        <v>2460.2909040380318</v>
      </c>
      <c r="E29" s="686">
        <f>NQT_entrants_required_inc_UGs!E28</f>
        <v>1667.355109111729</v>
      </c>
      <c r="F29" s="686">
        <f>NQT_entrants_required_inc_UGs!F28</f>
        <v>1296.0741569258005</v>
      </c>
      <c r="G29" s="686">
        <f>NQT_entrants_required_inc_UGs!G28</f>
        <v>1286.6898832458855</v>
      </c>
      <c r="H29" s="686">
        <f>NQT_entrants_required_inc_UGs!H28</f>
        <v>1289.9295385409064</v>
      </c>
      <c r="I29" s="686">
        <f>NQT_entrants_required_inc_UGs!I28</f>
        <v>1174.8209924702539</v>
      </c>
      <c r="J29" s="686">
        <f>NQT_entrants_required_inc_UGs!J28</f>
        <v>1115.6094612393667</v>
      </c>
      <c r="K29" s="686">
        <f>NQT_entrants_required_inc_UGs!K28</f>
        <v>1072.6097489785611</v>
      </c>
      <c r="L29" s="686">
        <f>NQT_entrants_required_inc_UGs!L28</f>
        <v>1082.8989362405518</v>
      </c>
    </row>
    <row r="30" spans="2:12">
      <c r="B30" s="326" t="str">
        <f>NQT_entrants_required_inc_UGs!B29</f>
        <v>Music NQTs</v>
      </c>
      <c r="C30" s="686">
        <f>NQT_entrants_required_inc_UGs!C29</f>
        <v>283.30480097954103</v>
      </c>
      <c r="D30" s="686">
        <f>NQT_entrants_required_inc_UGs!D29</f>
        <v>292.98316711763658</v>
      </c>
      <c r="E30" s="686">
        <f>NQT_entrants_required_inc_UGs!E29</f>
        <v>288.68995979180949</v>
      </c>
      <c r="F30" s="686">
        <f>NQT_entrants_required_inc_UGs!F29</f>
        <v>283.63955969071992</v>
      </c>
      <c r="G30" s="686">
        <f>NQT_entrants_required_inc_UGs!G29</f>
        <v>280.69394340745771</v>
      </c>
      <c r="H30" s="686">
        <f>NQT_entrants_required_inc_UGs!H29</f>
        <v>291.40374783165453</v>
      </c>
      <c r="I30" s="686">
        <f>NQT_entrants_required_inc_UGs!I29</f>
        <v>275.98796709906992</v>
      </c>
      <c r="J30" s="686">
        <f>NQT_entrants_required_inc_UGs!J29</f>
        <v>258.32754304953204</v>
      </c>
      <c r="K30" s="686">
        <f>NQT_entrants_required_inc_UGs!K29</f>
        <v>251.3785646999111</v>
      </c>
      <c r="L30" s="686">
        <f>NQT_entrants_required_inc_UGs!L29</f>
        <v>267.78307260588684</v>
      </c>
    </row>
    <row r="31" spans="2:12">
      <c r="B31" s="326" t="str">
        <f>NQT_entrants_required_inc_UGs!B30</f>
        <v>Others NQTs</v>
      </c>
      <c r="C31" s="686">
        <f>NQT_entrants_required_inc_UGs!C30</f>
        <v>586.47931349226599</v>
      </c>
      <c r="D31" s="686">
        <f>NQT_entrants_required_inc_UGs!D30</f>
        <v>483.29675169836116</v>
      </c>
      <c r="E31" s="686">
        <f>NQT_entrants_required_inc_UGs!E30</f>
        <v>616.5485438280856</v>
      </c>
      <c r="F31" s="686">
        <f>NQT_entrants_required_inc_UGs!F30</f>
        <v>719.10029516384361</v>
      </c>
      <c r="G31" s="686">
        <f>NQT_entrants_required_inc_UGs!G30</f>
        <v>759.28214014938408</v>
      </c>
      <c r="H31" s="686">
        <f>NQT_entrants_required_inc_UGs!H30</f>
        <v>758.57071224166032</v>
      </c>
      <c r="I31" s="686">
        <f>NQT_entrants_required_inc_UGs!I30</f>
        <v>770.63075327197714</v>
      </c>
      <c r="J31" s="686">
        <f>NQT_entrants_required_inc_UGs!J30</f>
        <v>763.2423471273778</v>
      </c>
      <c r="K31" s="686">
        <f>NQT_entrants_required_inc_UGs!K30</f>
        <v>760.05626738159845</v>
      </c>
      <c r="L31" s="686">
        <f>NQT_entrants_required_inc_UGs!L30</f>
        <v>752.05525307413541</v>
      </c>
    </row>
    <row r="32" spans="2:12">
      <c r="B32" s="326" t="str">
        <f>NQT_entrants_required_inc_UGs!B31</f>
        <v>Physical Education NQTs</v>
      </c>
      <c r="C32" s="686">
        <f>NQT_entrants_required_inc_UGs!C31</f>
        <v>750.06417893732817</v>
      </c>
      <c r="D32" s="686">
        <f>NQT_entrants_required_inc_UGs!D31</f>
        <v>733.52718552395197</v>
      </c>
      <c r="E32" s="686">
        <f>NQT_entrants_required_inc_UGs!E31</f>
        <v>822.46259717099088</v>
      </c>
      <c r="F32" s="686">
        <f>NQT_entrants_required_inc_UGs!F31</f>
        <v>862.13390327847333</v>
      </c>
      <c r="G32" s="686">
        <f>NQT_entrants_required_inc_UGs!G31</f>
        <v>875.12458221945565</v>
      </c>
      <c r="H32" s="686">
        <f>NQT_entrants_required_inc_UGs!H31</f>
        <v>880.75595659447174</v>
      </c>
      <c r="I32" s="686">
        <f>NQT_entrants_required_inc_UGs!I31</f>
        <v>843.17795090133438</v>
      </c>
      <c r="J32" s="686">
        <f>NQT_entrants_required_inc_UGs!J31</f>
        <v>832.8168442282747</v>
      </c>
      <c r="K32" s="686">
        <f>NQT_entrants_required_inc_UGs!K31</f>
        <v>823.76584630759123</v>
      </c>
      <c r="L32" s="686">
        <f>NQT_entrants_required_inc_UGs!L31</f>
        <v>825.86303177414766</v>
      </c>
    </row>
    <row r="33" spans="2:12">
      <c r="B33" s="326" t="str">
        <f>NQT_entrants_required_inc_UGs!B32</f>
        <v>Physics NQTs</v>
      </c>
      <c r="C33" s="686">
        <f>NQT_entrants_required_inc_UGs!C32</f>
        <v>670.76847362327908</v>
      </c>
      <c r="D33" s="686">
        <f>NQT_entrants_required_inc_UGs!D32</f>
        <v>668.61598923013685</v>
      </c>
      <c r="E33" s="686">
        <f>NQT_entrants_required_inc_UGs!E32</f>
        <v>656.10586565649385</v>
      </c>
      <c r="F33" s="686">
        <f>NQT_entrants_required_inc_UGs!F32</f>
        <v>666.55158385653158</v>
      </c>
      <c r="G33" s="686">
        <f>NQT_entrants_required_inc_UGs!G32</f>
        <v>681.94086339433875</v>
      </c>
      <c r="H33" s="686">
        <f>NQT_entrants_required_inc_UGs!H32</f>
        <v>661.21409135654369</v>
      </c>
      <c r="I33" s="686">
        <f>NQT_entrants_required_inc_UGs!I32</f>
        <v>638.74725871329895</v>
      </c>
      <c r="J33" s="686">
        <f>NQT_entrants_required_inc_UGs!J32</f>
        <v>649.35619131109286</v>
      </c>
      <c r="K33" s="686">
        <f>NQT_entrants_required_inc_UGs!K32</f>
        <v>644.12436767046404</v>
      </c>
      <c r="L33" s="686">
        <f>NQT_entrants_required_inc_UGs!L32</f>
        <v>611.02526629253305</v>
      </c>
    </row>
    <row r="34" spans="2:12">
      <c r="B34" s="326" t="str">
        <f>NQT_entrants_required_inc_UGs!B33</f>
        <v>Religious Education NQTs</v>
      </c>
      <c r="C34" s="686">
        <f>NQT_entrants_required_inc_UGs!C33</f>
        <v>460.63848086870684</v>
      </c>
      <c r="D34" s="686">
        <f>NQT_entrants_required_inc_UGs!D33</f>
        <v>430.27603465852275</v>
      </c>
      <c r="E34" s="686">
        <f>NQT_entrants_required_inc_UGs!E33</f>
        <v>425.31022811509001</v>
      </c>
      <c r="F34" s="686">
        <f>NQT_entrants_required_inc_UGs!F33</f>
        <v>423.58687559187268</v>
      </c>
      <c r="G34" s="686">
        <f>NQT_entrants_required_inc_UGs!G33</f>
        <v>425.80474208426477</v>
      </c>
      <c r="H34" s="686">
        <f>NQT_entrants_required_inc_UGs!H33</f>
        <v>424.82372210890043</v>
      </c>
      <c r="I34" s="686">
        <f>NQT_entrants_required_inc_UGs!I33</f>
        <v>405.53965163776968</v>
      </c>
      <c r="J34" s="686">
        <f>NQT_entrants_required_inc_UGs!J33</f>
        <v>397.50695232920145</v>
      </c>
      <c r="K34" s="686">
        <f>NQT_entrants_required_inc_UGs!K33</f>
        <v>390.84653631093488</v>
      </c>
      <c r="L34" s="686">
        <f>NQT_entrants_required_inc_UGs!L33</f>
        <v>389.87276669897579</v>
      </c>
    </row>
    <row r="35" spans="2:12">
      <c r="D35" s="309"/>
    </row>
    <row r="36" spans="2:12">
      <c r="D36" s="309"/>
    </row>
    <row r="37" spans="2:12" ht="15.75">
      <c r="B37" s="78" t="s">
        <v>746</v>
      </c>
    </row>
    <row r="39" spans="2:12" ht="27.6" customHeight="1">
      <c r="B39" s="1183" t="s">
        <v>62</v>
      </c>
      <c r="C39" s="1180" t="str">
        <f>RAW_DATA_INPUTS!C539</f>
        <v>Number of undergraduate trainees (finish date in 2017/18)</v>
      </c>
      <c r="D39" s="1255" t="s">
        <v>1733</v>
      </c>
      <c r="E39" s="1255"/>
      <c r="F39" s="1255"/>
      <c r="G39" s="1255"/>
      <c r="H39" s="1255"/>
      <c r="I39" s="1255"/>
      <c r="J39" s="1255"/>
      <c r="K39" s="1255"/>
      <c r="L39" s="1255"/>
    </row>
    <row r="40" spans="2:12" ht="27.6" customHeight="1">
      <c r="B40" s="1184"/>
      <c r="C40" s="1181"/>
      <c r="D40" s="718" t="str">
        <f>C14</f>
        <v>2018/19</v>
      </c>
      <c r="E40" s="718" t="str">
        <f t="shared" ref="E40:L40" si="0">D14</f>
        <v>2019/20</v>
      </c>
      <c r="F40" s="718" t="str">
        <f t="shared" si="0"/>
        <v>2020/21</v>
      </c>
      <c r="G40" s="718" t="str">
        <f t="shared" si="0"/>
        <v>2021/22</v>
      </c>
      <c r="H40" s="718" t="str">
        <f t="shared" si="0"/>
        <v>2022/23</v>
      </c>
      <c r="I40" s="718" t="str">
        <f t="shared" si="0"/>
        <v>2023/24</v>
      </c>
      <c r="J40" s="718" t="str">
        <f t="shared" si="0"/>
        <v>2024/25</v>
      </c>
      <c r="K40" s="718" t="str">
        <f>J14</f>
        <v>2025/26</v>
      </c>
      <c r="L40" s="718" t="str">
        <f t="shared" si="0"/>
        <v>2026/27</v>
      </c>
    </row>
    <row r="41" spans="2:12">
      <c r="B41" s="8" t="str">
        <f>RAW_DATA_INPUTS!B558</f>
        <v>Primary</v>
      </c>
      <c r="C41" s="307">
        <f>RAW_DATA_INPUTS!C558</f>
        <v>5120</v>
      </c>
      <c r="D41" s="459">
        <f>C41</f>
        <v>5120</v>
      </c>
      <c r="E41" s="459">
        <f t="shared" ref="E41:L41" si="1">D41</f>
        <v>5120</v>
      </c>
      <c r="F41" s="459">
        <f t="shared" si="1"/>
        <v>5120</v>
      </c>
      <c r="G41" s="459">
        <f t="shared" si="1"/>
        <v>5120</v>
      </c>
      <c r="H41" s="459">
        <f t="shared" si="1"/>
        <v>5120</v>
      </c>
      <c r="I41" s="459">
        <f t="shared" si="1"/>
        <v>5120</v>
      </c>
      <c r="J41" s="459">
        <f t="shared" si="1"/>
        <v>5120</v>
      </c>
      <c r="K41" s="459">
        <f t="shared" si="1"/>
        <v>5120</v>
      </c>
      <c r="L41" s="459">
        <f t="shared" si="1"/>
        <v>5120</v>
      </c>
    </row>
    <row r="42" spans="2:12">
      <c r="B42" s="8" t="str">
        <f>RAW_DATA_INPUTS!B540</f>
        <v>Art &amp; Design</v>
      </c>
      <c r="C42" s="307">
        <f>RAW_DATA_INPUTS!C540</f>
        <v>0</v>
      </c>
      <c r="D42" s="459">
        <f t="shared" ref="D42:L60" si="2">C42</f>
        <v>0</v>
      </c>
      <c r="E42" s="459">
        <f t="shared" si="2"/>
        <v>0</v>
      </c>
      <c r="F42" s="459">
        <f t="shared" si="2"/>
        <v>0</v>
      </c>
      <c r="G42" s="459">
        <f t="shared" si="2"/>
        <v>0</v>
      </c>
      <c r="H42" s="459">
        <f t="shared" si="2"/>
        <v>0</v>
      </c>
      <c r="I42" s="459">
        <f t="shared" si="2"/>
        <v>0</v>
      </c>
      <c r="J42" s="459">
        <f t="shared" si="2"/>
        <v>0</v>
      </c>
      <c r="K42" s="459">
        <f t="shared" si="2"/>
        <v>0</v>
      </c>
      <c r="L42" s="459">
        <f t="shared" si="2"/>
        <v>0</v>
      </c>
    </row>
    <row r="43" spans="2:12">
      <c r="B43" s="8" t="str">
        <f>RAW_DATA_INPUTS!B541</f>
        <v>Biology</v>
      </c>
      <c r="C43" s="307">
        <f>RAW_DATA_INPUTS!C541</f>
        <v>18</v>
      </c>
      <c r="D43" s="459">
        <f t="shared" si="2"/>
        <v>18</v>
      </c>
      <c r="E43" s="459">
        <f t="shared" si="2"/>
        <v>18</v>
      </c>
      <c r="F43" s="459">
        <f t="shared" si="2"/>
        <v>18</v>
      </c>
      <c r="G43" s="459">
        <f t="shared" si="2"/>
        <v>18</v>
      </c>
      <c r="H43" s="459">
        <f t="shared" si="2"/>
        <v>18</v>
      </c>
      <c r="I43" s="459">
        <f t="shared" si="2"/>
        <v>18</v>
      </c>
      <c r="J43" s="459">
        <f t="shared" si="2"/>
        <v>18</v>
      </c>
      <c r="K43" s="459">
        <f t="shared" si="2"/>
        <v>18</v>
      </c>
      <c r="L43" s="459">
        <f t="shared" si="2"/>
        <v>18</v>
      </c>
    </row>
    <row r="44" spans="2:12">
      <c r="B44" s="8" t="str">
        <f>RAW_DATA_INPUTS!B542</f>
        <v>Business Studies</v>
      </c>
      <c r="C44" s="307">
        <f>RAW_DATA_INPUTS!C542</f>
        <v>0</v>
      </c>
      <c r="D44" s="459">
        <f t="shared" si="2"/>
        <v>0</v>
      </c>
      <c r="E44" s="459">
        <f t="shared" si="2"/>
        <v>0</v>
      </c>
      <c r="F44" s="459">
        <f t="shared" si="2"/>
        <v>0</v>
      </c>
      <c r="G44" s="459">
        <f t="shared" si="2"/>
        <v>0</v>
      </c>
      <c r="H44" s="459">
        <f t="shared" si="2"/>
        <v>0</v>
      </c>
      <c r="I44" s="459">
        <f t="shared" si="2"/>
        <v>0</v>
      </c>
      <c r="J44" s="459">
        <f t="shared" si="2"/>
        <v>0</v>
      </c>
      <c r="K44" s="459">
        <f t="shared" si="2"/>
        <v>0</v>
      </c>
      <c r="L44" s="459">
        <f t="shared" si="2"/>
        <v>0</v>
      </c>
    </row>
    <row r="45" spans="2:12">
      <c r="B45" s="8" t="str">
        <f>RAW_DATA_INPUTS!B543</f>
        <v>Chemistry</v>
      </c>
      <c r="C45" s="307">
        <f>RAW_DATA_INPUTS!C543</f>
        <v>8</v>
      </c>
      <c r="D45" s="459">
        <f t="shared" si="2"/>
        <v>8</v>
      </c>
      <c r="E45" s="459">
        <f t="shared" si="2"/>
        <v>8</v>
      </c>
      <c r="F45" s="459">
        <f t="shared" si="2"/>
        <v>8</v>
      </c>
      <c r="G45" s="459">
        <f t="shared" si="2"/>
        <v>8</v>
      </c>
      <c r="H45" s="459">
        <f t="shared" si="2"/>
        <v>8</v>
      </c>
      <c r="I45" s="459">
        <f t="shared" si="2"/>
        <v>8</v>
      </c>
      <c r="J45" s="459">
        <f t="shared" si="2"/>
        <v>8</v>
      </c>
      <c r="K45" s="459">
        <f t="shared" si="2"/>
        <v>8</v>
      </c>
      <c r="L45" s="459">
        <f t="shared" si="2"/>
        <v>8</v>
      </c>
    </row>
    <row r="46" spans="2:12">
      <c r="B46" s="8" t="str">
        <f>RAW_DATA_INPUTS!B544</f>
        <v>Classics</v>
      </c>
      <c r="C46" s="307">
        <f>RAW_DATA_INPUTS!C544</f>
        <v>0</v>
      </c>
      <c r="D46" s="459">
        <f t="shared" si="2"/>
        <v>0</v>
      </c>
      <c r="E46" s="459">
        <f t="shared" si="2"/>
        <v>0</v>
      </c>
      <c r="F46" s="459">
        <f t="shared" si="2"/>
        <v>0</v>
      </c>
      <c r="G46" s="459">
        <f t="shared" si="2"/>
        <v>0</v>
      </c>
      <c r="H46" s="459">
        <f t="shared" si="2"/>
        <v>0</v>
      </c>
      <c r="I46" s="459">
        <f t="shared" si="2"/>
        <v>0</v>
      </c>
      <c r="J46" s="459">
        <f t="shared" si="2"/>
        <v>0</v>
      </c>
      <c r="K46" s="459">
        <f t="shared" si="2"/>
        <v>0</v>
      </c>
      <c r="L46" s="459">
        <f t="shared" si="2"/>
        <v>0</v>
      </c>
    </row>
    <row r="47" spans="2:12">
      <c r="B47" s="8" t="str">
        <f>RAW_DATA_INPUTS!B545</f>
        <v>Computing</v>
      </c>
      <c r="C47" s="307">
        <f>RAW_DATA_INPUTS!C545</f>
        <v>0</v>
      </c>
      <c r="D47" s="459">
        <f t="shared" si="2"/>
        <v>0</v>
      </c>
      <c r="E47" s="459">
        <f t="shared" si="2"/>
        <v>0</v>
      </c>
      <c r="F47" s="459">
        <f t="shared" si="2"/>
        <v>0</v>
      </c>
      <c r="G47" s="459">
        <f t="shared" si="2"/>
        <v>0</v>
      </c>
      <c r="H47" s="459">
        <f t="shared" si="2"/>
        <v>0</v>
      </c>
      <c r="I47" s="459">
        <f t="shared" si="2"/>
        <v>0</v>
      </c>
      <c r="J47" s="459">
        <f t="shared" si="2"/>
        <v>0</v>
      </c>
      <c r="K47" s="459">
        <f t="shared" si="2"/>
        <v>0</v>
      </c>
      <c r="L47" s="459">
        <f t="shared" si="2"/>
        <v>0</v>
      </c>
    </row>
    <row r="48" spans="2:12">
      <c r="B48" s="8" t="str">
        <f>RAW_DATA_INPUTS!B546</f>
        <v>Design &amp; Technology</v>
      </c>
      <c r="C48" s="307">
        <f>RAW_DATA_INPUTS!C546</f>
        <v>29</v>
      </c>
      <c r="D48" s="459">
        <f t="shared" si="2"/>
        <v>29</v>
      </c>
      <c r="E48" s="459">
        <f t="shared" si="2"/>
        <v>29</v>
      </c>
      <c r="F48" s="459">
        <f t="shared" si="2"/>
        <v>29</v>
      </c>
      <c r="G48" s="459">
        <f t="shared" si="2"/>
        <v>29</v>
      </c>
      <c r="H48" s="459">
        <f t="shared" si="2"/>
        <v>29</v>
      </c>
      <c r="I48" s="459">
        <f t="shared" si="2"/>
        <v>29</v>
      </c>
      <c r="J48" s="459">
        <f t="shared" si="2"/>
        <v>29</v>
      </c>
      <c r="K48" s="459">
        <f t="shared" si="2"/>
        <v>29</v>
      </c>
      <c r="L48" s="459">
        <f t="shared" si="2"/>
        <v>29</v>
      </c>
    </row>
    <row r="49" spans="2:12">
      <c r="B49" s="8" t="str">
        <f>RAW_DATA_INPUTS!B547</f>
        <v>Drama</v>
      </c>
      <c r="C49" s="307">
        <f>RAW_DATA_INPUTS!C547</f>
        <v>0</v>
      </c>
      <c r="D49" s="459">
        <f t="shared" si="2"/>
        <v>0</v>
      </c>
      <c r="E49" s="459">
        <f t="shared" si="2"/>
        <v>0</v>
      </c>
      <c r="F49" s="459">
        <f t="shared" si="2"/>
        <v>0</v>
      </c>
      <c r="G49" s="459">
        <f t="shared" si="2"/>
        <v>0</v>
      </c>
      <c r="H49" s="459">
        <f t="shared" si="2"/>
        <v>0</v>
      </c>
      <c r="I49" s="459">
        <f t="shared" si="2"/>
        <v>0</v>
      </c>
      <c r="J49" s="459">
        <f t="shared" si="2"/>
        <v>0</v>
      </c>
      <c r="K49" s="459">
        <f t="shared" si="2"/>
        <v>0</v>
      </c>
      <c r="L49" s="459">
        <f t="shared" si="2"/>
        <v>0</v>
      </c>
    </row>
    <row r="50" spans="2:12">
      <c r="B50" s="8" t="str">
        <f>RAW_DATA_INPUTS!B548</f>
        <v>English</v>
      </c>
      <c r="C50" s="307">
        <f>RAW_DATA_INPUTS!C548</f>
        <v>35</v>
      </c>
      <c r="D50" s="459">
        <f t="shared" si="2"/>
        <v>35</v>
      </c>
      <c r="E50" s="459">
        <f t="shared" si="2"/>
        <v>35</v>
      </c>
      <c r="F50" s="459">
        <f t="shared" si="2"/>
        <v>35</v>
      </c>
      <c r="G50" s="459">
        <f t="shared" si="2"/>
        <v>35</v>
      </c>
      <c r="H50" s="459">
        <f t="shared" si="2"/>
        <v>35</v>
      </c>
      <c r="I50" s="459">
        <f t="shared" si="2"/>
        <v>35</v>
      </c>
      <c r="J50" s="459">
        <f t="shared" si="2"/>
        <v>35</v>
      </c>
      <c r="K50" s="459">
        <f t="shared" si="2"/>
        <v>35</v>
      </c>
      <c r="L50" s="459">
        <f t="shared" si="2"/>
        <v>35</v>
      </c>
    </row>
    <row r="51" spans="2:12">
      <c r="B51" s="8" t="str">
        <f>RAW_DATA_INPUTS!B549</f>
        <v>Food</v>
      </c>
      <c r="C51" s="307">
        <f>RAW_DATA_INPUTS!C549</f>
        <v>0</v>
      </c>
      <c r="D51" s="459">
        <f t="shared" si="2"/>
        <v>0</v>
      </c>
      <c r="E51" s="459">
        <f t="shared" si="2"/>
        <v>0</v>
      </c>
      <c r="F51" s="459">
        <f t="shared" si="2"/>
        <v>0</v>
      </c>
      <c r="G51" s="459">
        <f t="shared" si="2"/>
        <v>0</v>
      </c>
      <c r="H51" s="459">
        <f t="shared" si="2"/>
        <v>0</v>
      </c>
      <c r="I51" s="459">
        <f t="shared" si="2"/>
        <v>0</v>
      </c>
      <c r="J51" s="459">
        <f t="shared" si="2"/>
        <v>0</v>
      </c>
      <c r="K51" s="459">
        <f t="shared" si="2"/>
        <v>0</v>
      </c>
      <c r="L51" s="459">
        <f t="shared" si="2"/>
        <v>0</v>
      </c>
    </row>
    <row r="52" spans="2:12">
      <c r="B52" s="8" t="str">
        <f>RAW_DATA_INPUTS!B550</f>
        <v>Geography</v>
      </c>
      <c r="C52" s="307">
        <f>RAW_DATA_INPUTS!C550</f>
        <v>0</v>
      </c>
      <c r="D52" s="459">
        <f t="shared" si="2"/>
        <v>0</v>
      </c>
      <c r="E52" s="459">
        <f t="shared" si="2"/>
        <v>0</v>
      </c>
      <c r="F52" s="459">
        <f t="shared" si="2"/>
        <v>0</v>
      </c>
      <c r="G52" s="459">
        <f t="shared" si="2"/>
        <v>0</v>
      </c>
      <c r="H52" s="459">
        <f t="shared" si="2"/>
        <v>0</v>
      </c>
      <c r="I52" s="459">
        <f t="shared" si="2"/>
        <v>0</v>
      </c>
      <c r="J52" s="459">
        <f t="shared" si="2"/>
        <v>0</v>
      </c>
      <c r="K52" s="459">
        <f t="shared" si="2"/>
        <v>0</v>
      </c>
      <c r="L52" s="459">
        <f t="shared" si="2"/>
        <v>0</v>
      </c>
    </row>
    <row r="53" spans="2:12">
      <c r="B53" s="8" t="str">
        <f>RAW_DATA_INPUTS!B551</f>
        <v>History</v>
      </c>
      <c r="C53" s="307">
        <f>RAW_DATA_INPUTS!C551</f>
        <v>0</v>
      </c>
      <c r="D53" s="459">
        <f t="shared" si="2"/>
        <v>0</v>
      </c>
      <c r="E53" s="459">
        <f t="shared" si="2"/>
        <v>0</v>
      </c>
      <c r="F53" s="459">
        <f t="shared" si="2"/>
        <v>0</v>
      </c>
      <c r="G53" s="459">
        <f t="shared" si="2"/>
        <v>0</v>
      </c>
      <c r="H53" s="459">
        <f t="shared" si="2"/>
        <v>0</v>
      </c>
      <c r="I53" s="459">
        <f t="shared" si="2"/>
        <v>0</v>
      </c>
      <c r="J53" s="459">
        <f t="shared" si="2"/>
        <v>0</v>
      </c>
      <c r="K53" s="459">
        <f t="shared" si="2"/>
        <v>0</v>
      </c>
      <c r="L53" s="459">
        <f t="shared" si="2"/>
        <v>0</v>
      </c>
    </row>
    <row r="54" spans="2:12">
      <c r="B54" s="8" t="str">
        <f>RAW_DATA_INPUTS!B552</f>
        <v>Mathematics</v>
      </c>
      <c r="C54" s="307">
        <f>RAW_DATA_INPUTS!C552</f>
        <v>96</v>
      </c>
      <c r="D54" s="459">
        <f t="shared" si="2"/>
        <v>96</v>
      </c>
      <c r="E54" s="459">
        <f t="shared" si="2"/>
        <v>96</v>
      </c>
      <c r="F54" s="459">
        <f t="shared" si="2"/>
        <v>96</v>
      </c>
      <c r="G54" s="459">
        <f t="shared" si="2"/>
        <v>96</v>
      </c>
      <c r="H54" s="459">
        <f t="shared" si="2"/>
        <v>96</v>
      </c>
      <c r="I54" s="459">
        <f t="shared" si="2"/>
        <v>96</v>
      </c>
      <c r="J54" s="459">
        <f t="shared" si="2"/>
        <v>96</v>
      </c>
      <c r="K54" s="459">
        <f t="shared" si="2"/>
        <v>96</v>
      </c>
      <c r="L54" s="459">
        <f t="shared" si="2"/>
        <v>96</v>
      </c>
    </row>
    <row r="55" spans="2:12">
      <c r="B55" s="8" t="str">
        <f>RAW_DATA_INPUTS!B553</f>
        <v>Modern Foreign Languages</v>
      </c>
      <c r="C55" s="307">
        <f>RAW_DATA_INPUTS!C553</f>
        <v>5</v>
      </c>
      <c r="D55" s="459">
        <f t="shared" si="2"/>
        <v>5</v>
      </c>
      <c r="E55" s="459">
        <f t="shared" si="2"/>
        <v>5</v>
      </c>
      <c r="F55" s="459">
        <f t="shared" si="2"/>
        <v>5</v>
      </c>
      <c r="G55" s="459">
        <f t="shared" si="2"/>
        <v>5</v>
      </c>
      <c r="H55" s="459">
        <f t="shared" si="2"/>
        <v>5</v>
      </c>
      <c r="I55" s="459">
        <f t="shared" si="2"/>
        <v>5</v>
      </c>
      <c r="J55" s="459">
        <f t="shared" si="2"/>
        <v>5</v>
      </c>
      <c r="K55" s="459">
        <f t="shared" si="2"/>
        <v>5</v>
      </c>
      <c r="L55" s="459">
        <f t="shared" si="2"/>
        <v>5</v>
      </c>
    </row>
    <row r="56" spans="2:12">
      <c r="B56" s="8" t="str">
        <f>RAW_DATA_INPUTS!B554</f>
        <v>Music</v>
      </c>
      <c r="C56" s="307">
        <f>RAW_DATA_INPUTS!C554</f>
        <v>0</v>
      </c>
      <c r="D56" s="459">
        <f t="shared" si="2"/>
        <v>0</v>
      </c>
      <c r="E56" s="459">
        <f t="shared" si="2"/>
        <v>0</v>
      </c>
      <c r="F56" s="459">
        <f t="shared" si="2"/>
        <v>0</v>
      </c>
      <c r="G56" s="459">
        <f t="shared" si="2"/>
        <v>0</v>
      </c>
      <c r="H56" s="459">
        <f t="shared" si="2"/>
        <v>0</v>
      </c>
      <c r="I56" s="459">
        <f t="shared" si="2"/>
        <v>0</v>
      </c>
      <c r="J56" s="459">
        <f t="shared" si="2"/>
        <v>0</v>
      </c>
      <c r="K56" s="459">
        <f t="shared" si="2"/>
        <v>0</v>
      </c>
      <c r="L56" s="459">
        <f t="shared" si="2"/>
        <v>0</v>
      </c>
    </row>
    <row r="57" spans="2:12">
      <c r="B57" s="8" t="str">
        <f>RAW_DATA_INPUTS!B555</f>
        <v>Others</v>
      </c>
      <c r="C57" s="307">
        <f>RAW_DATA_INPUTS!C555</f>
        <v>0</v>
      </c>
      <c r="D57" s="459">
        <f t="shared" si="2"/>
        <v>0</v>
      </c>
      <c r="E57" s="459">
        <f t="shared" si="2"/>
        <v>0</v>
      </c>
      <c r="F57" s="459">
        <f t="shared" si="2"/>
        <v>0</v>
      </c>
      <c r="G57" s="459">
        <f t="shared" si="2"/>
        <v>0</v>
      </c>
      <c r="H57" s="459">
        <f t="shared" si="2"/>
        <v>0</v>
      </c>
      <c r="I57" s="459">
        <f t="shared" si="2"/>
        <v>0</v>
      </c>
      <c r="J57" s="459">
        <f t="shared" si="2"/>
        <v>0</v>
      </c>
      <c r="K57" s="459">
        <f t="shared" si="2"/>
        <v>0</v>
      </c>
      <c r="L57" s="459">
        <f t="shared" si="2"/>
        <v>0</v>
      </c>
    </row>
    <row r="58" spans="2:12">
      <c r="B58" s="8" t="str">
        <f>RAW_DATA_INPUTS!B556</f>
        <v>Physical Education</v>
      </c>
      <c r="C58" s="307">
        <f>RAW_DATA_INPUTS!C556</f>
        <v>86</v>
      </c>
      <c r="D58" s="459">
        <f t="shared" si="2"/>
        <v>86</v>
      </c>
      <c r="E58" s="459">
        <f t="shared" si="2"/>
        <v>86</v>
      </c>
      <c r="F58" s="459">
        <f t="shared" si="2"/>
        <v>86</v>
      </c>
      <c r="G58" s="459">
        <f t="shared" si="2"/>
        <v>86</v>
      </c>
      <c r="H58" s="459">
        <f t="shared" si="2"/>
        <v>86</v>
      </c>
      <c r="I58" s="459">
        <f t="shared" si="2"/>
        <v>86</v>
      </c>
      <c r="J58" s="459">
        <f t="shared" si="2"/>
        <v>86</v>
      </c>
      <c r="K58" s="459">
        <f t="shared" si="2"/>
        <v>86</v>
      </c>
      <c r="L58" s="459">
        <f t="shared" si="2"/>
        <v>86</v>
      </c>
    </row>
    <row r="59" spans="2:12">
      <c r="B59" s="8" t="str">
        <f>RAW_DATA_INPUTS!B557</f>
        <v>Physics</v>
      </c>
      <c r="C59" s="307">
        <f>RAW_DATA_INPUTS!C557</f>
        <v>27</v>
      </c>
      <c r="D59" s="459">
        <f t="shared" si="2"/>
        <v>27</v>
      </c>
      <c r="E59" s="459">
        <f t="shared" si="2"/>
        <v>27</v>
      </c>
      <c r="F59" s="459">
        <f t="shared" si="2"/>
        <v>27</v>
      </c>
      <c r="G59" s="459">
        <f t="shared" si="2"/>
        <v>27</v>
      </c>
      <c r="H59" s="459">
        <f t="shared" si="2"/>
        <v>27</v>
      </c>
      <c r="I59" s="459">
        <f t="shared" si="2"/>
        <v>27</v>
      </c>
      <c r="J59" s="459">
        <f t="shared" si="2"/>
        <v>27</v>
      </c>
      <c r="K59" s="459">
        <f t="shared" si="2"/>
        <v>27</v>
      </c>
      <c r="L59" s="459">
        <f t="shared" si="2"/>
        <v>27</v>
      </c>
    </row>
    <row r="60" spans="2:12">
      <c r="B60" s="8" t="str">
        <f>RAW_DATA_INPUTS!B559</f>
        <v>Religious Education</v>
      </c>
      <c r="C60" s="307">
        <f>RAW_DATA_INPUTS!C559</f>
        <v>14</v>
      </c>
      <c r="D60" s="459">
        <f t="shared" si="2"/>
        <v>14</v>
      </c>
      <c r="E60" s="459">
        <f t="shared" si="2"/>
        <v>14</v>
      </c>
      <c r="F60" s="459">
        <f t="shared" si="2"/>
        <v>14</v>
      </c>
      <c r="G60" s="459">
        <f t="shared" si="2"/>
        <v>14</v>
      </c>
      <c r="H60" s="459">
        <f t="shared" si="2"/>
        <v>14</v>
      </c>
      <c r="I60" s="459">
        <f t="shared" si="2"/>
        <v>14</v>
      </c>
      <c r="J60" s="459">
        <f t="shared" si="2"/>
        <v>14</v>
      </c>
      <c r="K60" s="459">
        <f t="shared" si="2"/>
        <v>14</v>
      </c>
      <c r="L60" s="459">
        <f t="shared" si="2"/>
        <v>14</v>
      </c>
    </row>
    <row r="61" spans="2:12">
      <c r="B61" s="8" t="s">
        <v>8</v>
      </c>
      <c r="C61" s="459">
        <f>SUM(C41:C60)</f>
        <v>5438</v>
      </c>
      <c r="D61" s="459">
        <f t="shared" ref="D61:L61" si="3">SUM(D41:D60)</f>
        <v>5438</v>
      </c>
      <c r="E61" s="459">
        <f t="shared" si="3"/>
        <v>5438</v>
      </c>
      <c r="F61" s="459">
        <f t="shared" si="3"/>
        <v>5438</v>
      </c>
      <c r="G61" s="459">
        <f t="shared" si="3"/>
        <v>5438</v>
      </c>
      <c r="H61" s="459">
        <f t="shared" si="3"/>
        <v>5438</v>
      </c>
      <c r="I61" s="459">
        <f t="shared" si="3"/>
        <v>5438</v>
      </c>
      <c r="J61" s="459">
        <f t="shared" si="3"/>
        <v>5438</v>
      </c>
      <c r="K61" s="459">
        <f t="shared" si="3"/>
        <v>5438</v>
      </c>
      <c r="L61" s="459">
        <f t="shared" si="3"/>
        <v>5438</v>
      </c>
    </row>
    <row r="62" spans="2:12">
      <c r="B62" s="8" t="s">
        <v>45</v>
      </c>
      <c r="C62" s="459">
        <f>C61-C41</f>
        <v>318</v>
      </c>
      <c r="D62" s="459">
        <f t="shared" ref="D62:L62" si="4">D61-D41</f>
        <v>318</v>
      </c>
      <c r="E62" s="459">
        <f t="shared" si="4"/>
        <v>318</v>
      </c>
      <c r="F62" s="459">
        <f t="shared" si="4"/>
        <v>318</v>
      </c>
      <c r="G62" s="459">
        <f t="shared" si="4"/>
        <v>318</v>
      </c>
      <c r="H62" s="459">
        <f t="shared" si="4"/>
        <v>318</v>
      </c>
      <c r="I62" s="459">
        <f t="shared" si="4"/>
        <v>318</v>
      </c>
      <c r="J62" s="459">
        <f t="shared" si="4"/>
        <v>318</v>
      </c>
      <c r="K62" s="459">
        <f t="shared" si="4"/>
        <v>318</v>
      </c>
      <c r="L62" s="459">
        <f t="shared" si="4"/>
        <v>318</v>
      </c>
    </row>
    <row r="64" spans="2:12">
      <c r="B64" s="727" t="s">
        <v>1030</v>
      </c>
    </row>
    <row r="65" spans="2:12">
      <c r="B65" s="726"/>
    </row>
    <row r="66" spans="2:12">
      <c r="B66" s="8" t="s">
        <v>62</v>
      </c>
      <c r="C66" s="8" t="s">
        <v>134</v>
      </c>
      <c r="D66" s="326" t="str">
        <f>D40</f>
        <v>2018/19</v>
      </c>
      <c r="E66" s="326" t="str">
        <f t="shared" ref="E66:L66" si="5">E40</f>
        <v>2019/20</v>
      </c>
      <c r="F66" s="326" t="str">
        <f t="shared" si="5"/>
        <v>2020/21</v>
      </c>
      <c r="G66" s="326" t="str">
        <f t="shared" si="5"/>
        <v>2021/22</v>
      </c>
      <c r="H66" s="326" t="str">
        <f t="shared" si="5"/>
        <v>2022/23</v>
      </c>
      <c r="I66" s="326" t="str">
        <f t="shared" si="5"/>
        <v>2023/24</v>
      </c>
      <c r="J66" s="326" t="str">
        <f t="shared" si="5"/>
        <v>2024/25</v>
      </c>
      <c r="K66" s="326" t="str">
        <f t="shared" si="5"/>
        <v>2025/26</v>
      </c>
      <c r="L66" s="326" t="str">
        <f t="shared" si="5"/>
        <v>2026/27</v>
      </c>
    </row>
    <row r="67" spans="2:12">
      <c r="B67" s="8" t="str">
        <f>B41</f>
        <v>Primary</v>
      </c>
      <c r="C67" s="415">
        <f>C41/C$61</f>
        <v>0.94152261860978304</v>
      </c>
      <c r="D67" s="415">
        <f t="shared" ref="D67:L67" si="6">D41/D$61</f>
        <v>0.94152261860978304</v>
      </c>
      <c r="E67" s="415">
        <f t="shared" si="6"/>
        <v>0.94152261860978304</v>
      </c>
      <c r="F67" s="415">
        <f t="shared" si="6"/>
        <v>0.94152261860978304</v>
      </c>
      <c r="G67" s="415">
        <f t="shared" si="6"/>
        <v>0.94152261860978304</v>
      </c>
      <c r="H67" s="415">
        <f t="shared" si="6"/>
        <v>0.94152261860978304</v>
      </c>
      <c r="I67" s="415">
        <f t="shared" si="6"/>
        <v>0.94152261860978304</v>
      </c>
      <c r="J67" s="415">
        <f t="shared" si="6"/>
        <v>0.94152261860978304</v>
      </c>
      <c r="K67" s="415">
        <f t="shared" si="6"/>
        <v>0.94152261860978304</v>
      </c>
      <c r="L67" s="415">
        <f t="shared" si="6"/>
        <v>0.94152261860978304</v>
      </c>
    </row>
    <row r="68" spans="2:12">
      <c r="B68" s="8" t="str">
        <f t="shared" ref="B68:B86" si="7">B42</f>
        <v>Art &amp; Design</v>
      </c>
      <c r="C68" s="415">
        <f t="shared" ref="C68:L86" si="8">C42/C$61</f>
        <v>0</v>
      </c>
      <c r="D68" s="415">
        <f t="shared" si="8"/>
        <v>0</v>
      </c>
      <c r="E68" s="415">
        <f t="shared" si="8"/>
        <v>0</v>
      </c>
      <c r="F68" s="415">
        <f t="shared" si="8"/>
        <v>0</v>
      </c>
      <c r="G68" s="415">
        <f t="shared" si="8"/>
        <v>0</v>
      </c>
      <c r="H68" s="415">
        <f t="shared" si="8"/>
        <v>0</v>
      </c>
      <c r="I68" s="415">
        <f t="shared" si="8"/>
        <v>0</v>
      </c>
      <c r="J68" s="415">
        <f t="shared" si="8"/>
        <v>0</v>
      </c>
      <c r="K68" s="415">
        <f t="shared" si="8"/>
        <v>0</v>
      </c>
      <c r="L68" s="415">
        <f t="shared" si="8"/>
        <v>0</v>
      </c>
    </row>
    <row r="69" spans="2:12">
      <c r="B69" s="8" t="str">
        <f t="shared" si="7"/>
        <v>Biology</v>
      </c>
      <c r="C69" s="415">
        <f t="shared" si="8"/>
        <v>3.3100404560500183E-3</v>
      </c>
      <c r="D69" s="415">
        <f t="shared" si="8"/>
        <v>3.3100404560500183E-3</v>
      </c>
      <c r="E69" s="415">
        <f t="shared" si="8"/>
        <v>3.3100404560500183E-3</v>
      </c>
      <c r="F69" s="415">
        <f t="shared" si="8"/>
        <v>3.3100404560500183E-3</v>
      </c>
      <c r="G69" s="415">
        <f t="shared" si="8"/>
        <v>3.3100404560500183E-3</v>
      </c>
      <c r="H69" s="415">
        <f t="shared" si="8"/>
        <v>3.3100404560500183E-3</v>
      </c>
      <c r="I69" s="415">
        <f t="shared" si="8"/>
        <v>3.3100404560500183E-3</v>
      </c>
      <c r="J69" s="415">
        <f t="shared" si="8"/>
        <v>3.3100404560500183E-3</v>
      </c>
      <c r="K69" s="415">
        <f t="shared" si="8"/>
        <v>3.3100404560500183E-3</v>
      </c>
      <c r="L69" s="415">
        <f t="shared" si="8"/>
        <v>3.3100404560500183E-3</v>
      </c>
    </row>
    <row r="70" spans="2:12">
      <c r="B70" s="8" t="str">
        <f t="shared" si="7"/>
        <v>Business Studies</v>
      </c>
      <c r="C70" s="415">
        <f t="shared" si="8"/>
        <v>0</v>
      </c>
      <c r="D70" s="415">
        <f t="shared" si="8"/>
        <v>0</v>
      </c>
      <c r="E70" s="415">
        <f t="shared" si="8"/>
        <v>0</v>
      </c>
      <c r="F70" s="415">
        <f t="shared" si="8"/>
        <v>0</v>
      </c>
      <c r="G70" s="415">
        <f t="shared" si="8"/>
        <v>0</v>
      </c>
      <c r="H70" s="415">
        <f t="shared" si="8"/>
        <v>0</v>
      </c>
      <c r="I70" s="415">
        <f t="shared" si="8"/>
        <v>0</v>
      </c>
      <c r="J70" s="415">
        <f t="shared" si="8"/>
        <v>0</v>
      </c>
      <c r="K70" s="415">
        <f t="shared" si="8"/>
        <v>0</v>
      </c>
      <c r="L70" s="415">
        <f t="shared" si="8"/>
        <v>0</v>
      </c>
    </row>
    <row r="71" spans="2:12">
      <c r="B71" s="8" t="str">
        <f t="shared" si="7"/>
        <v>Chemistry</v>
      </c>
      <c r="C71" s="415">
        <f t="shared" si="8"/>
        <v>1.471129091577786E-3</v>
      </c>
      <c r="D71" s="415">
        <f t="shared" si="8"/>
        <v>1.471129091577786E-3</v>
      </c>
      <c r="E71" s="415">
        <f t="shared" si="8"/>
        <v>1.471129091577786E-3</v>
      </c>
      <c r="F71" s="415">
        <f t="shared" si="8"/>
        <v>1.471129091577786E-3</v>
      </c>
      <c r="G71" s="415">
        <f t="shared" si="8"/>
        <v>1.471129091577786E-3</v>
      </c>
      <c r="H71" s="415">
        <f t="shared" si="8"/>
        <v>1.471129091577786E-3</v>
      </c>
      <c r="I71" s="415">
        <f t="shared" si="8"/>
        <v>1.471129091577786E-3</v>
      </c>
      <c r="J71" s="415">
        <f t="shared" si="8"/>
        <v>1.471129091577786E-3</v>
      </c>
      <c r="K71" s="415">
        <f t="shared" si="8"/>
        <v>1.471129091577786E-3</v>
      </c>
      <c r="L71" s="415">
        <f t="shared" si="8"/>
        <v>1.471129091577786E-3</v>
      </c>
    </row>
    <row r="72" spans="2:12">
      <c r="B72" s="8" t="str">
        <f t="shared" si="7"/>
        <v>Classics</v>
      </c>
      <c r="C72" s="415">
        <f t="shared" si="8"/>
        <v>0</v>
      </c>
      <c r="D72" s="415">
        <f t="shared" si="8"/>
        <v>0</v>
      </c>
      <c r="E72" s="415">
        <f t="shared" si="8"/>
        <v>0</v>
      </c>
      <c r="F72" s="415">
        <f t="shared" si="8"/>
        <v>0</v>
      </c>
      <c r="G72" s="415">
        <f t="shared" si="8"/>
        <v>0</v>
      </c>
      <c r="H72" s="415">
        <f t="shared" si="8"/>
        <v>0</v>
      </c>
      <c r="I72" s="415">
        <f t="shared" si="8"/>
        <v>0</v>
      </c>
      <c r="J72" s="415">
        <f t="shared" si="8"/>
        <v>0</v>
      </c>
      <c r="K72" s="415">
        <f t="shared" si="8"/>
        <v>0</v>
      </c>
      <c r="L72" s="415">
        <f t="shared" si="8"/>
        <v>0</v>
      </c>
    </row>
    <row r="73" spans="2:12">
      <c r="B73" s="8" t="str">
        <f t="shared" si="7"/>
        <v>Computing</v>
      </c>
      <c r="C73" s="415">
        <f t="shared" si="8"/>
        <v>0</v>
      </c>
      <c r="D73" s="415">
        <f t="shared" si="8"/>
        <v>0</v>
      </c>
      <c r="E73" s="415">
        <f t="shared" si="8"/>
        <v>0</v>
      </c>
      <c r="F73" s="415">
        <f t="shared" si="8"/>
        <v>0</v>
      </c>
      <c r="G73" s="415">
        <f t="shared" si="8"/>
        <v>0</v>
      </c>
      <c r="H73" s="415">
        <f t="shared" si="8"/>
        <v>0</v>
      </c>
      <c r="I73" s="415">
        <f t="shared" si="8"/>
        <v>0</v>
      </c>
      <c r="J73" s="415">
        <f t="shared" si="8"/>
        <v>0</v>
      </c>
      <c r="K73" s="415">
        <f t="shared" si="8"/>
        <v>0</v>
      </c>
      <c r="L73" s="415">
        <f t="shared" si="8"/>
        <v>0</v>
      </c>
    </row>
    <row r="74" spans="2:12">
      <c r="B74" s="8" t="str">
        <f t="shared" si="7"/>
        <v>Design &amp; Technology</v>
      </c>
      <c r="C74" s="415">
        <f t="shared" si="8"/>
        <v>5.3328429569694741E-3</v>
      </c>
      <c r="D74" s="415">
        <f t="shared" si="8"/>
        <v>5.3328429569694741E-3</v>
      </c>
      <c r="E74" s="415">
        <f t="shared" si="8"/>
        <v>5.3328429569694741E-3</v>
      </c>
      <c r="F74" s="415">
        <f t="shared" si="8"/>
        <v>5.3328429569694741E-3</v>
      </c>
      <c r="G74" s="415">
        <f t="shared" si="8"/>
        <v>5.3328429569694741E-3</v>
      </c>
      <c r="H74" s="415">
        <f t="shared" si="8"/>
        <v>5.3328429569694741E-3</v>
      </c>
      <c r="I74" s="415">
        <f t="shared" si="8"/>
        <v>5.3328429569694741E-3</v>
      </c>
      <c r="J74" s="415">
        <f t="shared" si="8"/>
        <v>5.3328429569694741E-3</v>
      </c>
      <c r="K74" s="415">
        <f t="shared" si="8"/>
        <v>5.3328429569694741E-3</v>
      </c>
      <c r="L74" s="415">
        <f t="shared" si="8"/>
        <v>5.3328429569694741E-3</v>
      </c>
    </row>
    <row r="75" spans="2:12">
      <c r="B75" s="8" t="str">
        <f t="shared" si="7"/>
        <v>Drama</v>
      </c>
      <c r="C75" s="415">
        <f t="shared" si="8"/>
        <v>0</v>
      </c>
      <c r="D75" s="415">
        <f t="shared" si="8"/>
        <v>0</v>
      </c>
      <c r="E75" s="415">
        <f t="shared" si="8"/>
        <v>0</v>
      </c>
      <c r="F75" s="415">
        <f t="shared" si="8"/>
        <v>0</v>
      </c>
      <c r="G75" s="415">
        <f t="shared" si="8"/>
        <v>0</v>
      </c>
      <c r="H75" s="415">
        <f t="shared" si="8"/>
        <v>0</v>
      </c>
      <c r="I75" s="415">
        <f t="shared" si="8"/>
        <v>0</v>
      </c>
      <c r="J75" s="415">
        <f t="shared" si="8"/>
        <v>0</v>
      </c>
      <c r="K75" s="415">
        <f t="shared" si="8"/>
        <v>0</v>
      </c>
      <c r="L75" s="415">
        <f t="shared" si="8"/>
        <v>0</v>
      </c>
    </row>
    <row r="76" spans="2:12">
      <c r="B76" s="8" t="str">
        <f t="shared" si="7"/>
        <v>English</v>
      </c>
      <c r="C76" s="415">
        <f t="shared" si="8"/>
        <v>6.4361897756528138E-3</v>
      </c>
      <c r="D76" s="415">
        <f t="shared" si="8"/>
        <v>6.4361897756528138E-3</v>
      </c>
      <c r="E76" s="415">
        <f t="shared" si="8"/>
        <v>6.4361897756528138E-3</v>
      </c>
      <c r="F76" s="415">
        <f t="shared" si="8"/>
        <v>6.4361897756528138E-3</v>
      </c>
      <c r="G76" s="415">
        <f t="shared" si="8"/>
        <v>6.4361897756528138E-3</v>
      </c>
      <c r="H76" s="415">
        <f t="shared" si="8"/>
        <v>6.4361897756528138E-3</v>
      </c>
      <c r="I76" s="415">
        <f t="shared" si="8"/>
        <v>6.4361897756528138E-3</v>
      </c>
      <c r="J76" s="415">
        <f t="shared" si="8"/>
        <v>6.4361897756528138E-3</v>
      </c>
      <c r="K76" s="415">
        <f t="shared" si="8"/>
        <v>6.4361897756528138E-3</v>
      </c>
      <c r="L76" s="415">
        <f t="shared" si="8"/>
        <v>6.4361897756528138E-3</v>
      </c>
    </row>
    <row r="77" spans="2:12">
      <c r="B77" s="8" t="str">
        <f t="shared" si="7"/>
        <v>Food</v>
      </c>
      <c r="C77" s="415">
        <f t="shared" si="8"/>
        <v>0</v>
      </c>
      <c r="D77" s="415">
        <f t="shared" si="8"/>
        <v>0</v>
      </c>
      <c r="E77" s="415">
        <f t="shared" si="8"/>
        <v>0</v>
      </c>
      <c r="F77" s="415">
        <f t="shared" si="8"/>
        <v>0</v>
      </c>
      <c r="G77" s="415">
        <f t="shared" si="8"/>
        <v>0</v>
      </c>
      <c r="H77" s="415">
        <f t="shared" si="8"/>
        <v>0</v>
      </c>
      <c r="I77" s="415">
        <f t="shared" si="8"/>
        <v>0</v>
      </c>
      <c r="J77" s="415">
        <f t="shared" si="8"/>
        <v>0</v>
      </c>
      <c r="K77" s="415">
        <f t="shared" si="8"/>
        <v>0</v>
      </c>
      <c r="L77" s="415">
        <f t="shared" si="8"/>
        <v>0</v>
      </c>
    </row>
    <row r="78" spans="2:12">
      <c r="B78" s="8" t="str">
        <f t="shared" si="7"/>
        <v>Geography</v>
      </c>
      <c r="C78" s="415">
        <f t="shared" si="8"/>
        <v>0</v>
      </c>
      <c r="D78" s="415">
        <f t="shared" si="8"/>
        <v>0</v>
      </c>
      <c r="E78" s="415">
        <f t="shared" si="8"/>
        <v>0</v>
      </c>
      <c r="F78" s="415">
        <f t="shared" si="8"/>
        <v>0</v>
      </c>
      <c r="G78" s="415">
        <f t="shared" si="8"/>
        <v>0</v>
      </c>
      <c r="H78" s="415">
        <f t="shared" si="8"/>
        <v>0</v>
      </c>
      <c r="I78" s="415">
        <f t="shared" si="8"/>
        <v>0</v>
      </c>
      <c r="J78" s="415">
        <f t="shared" si="8"/>
        <v>0</v>
      </c>
      <c r="K78" s="415">
        <f t="shared" si="8"/>
        <v>0</v>
      </c>
      <c r="L78" s="415">
        <f t="shared" si="8"/>
        <v>0</v>
      </c>
    </row>
    <row r="79" spans="2:12">
      <c r="B79" s="8" t="str">
        <f t="shared" si="7"/>
        <v>History</v>
      </c>
      <c r="C79" s="415">
        <f t="shared" si="8"/>
        <v>0</v>
      </c>
      <c r="D79" s="415">
        <f t="shared" si="8"/>
        <v>0</v>
      </c>
      <c r="E79" s="415">
        <f t="shared" si="8"/>
        <v>0</v>
      </c>
      <c r="F79" s="415">
        <f t="shared" si="8"/>
        <v>0</v>
      </c>
      <c r="G79" s="415">
        <f t="shared" si="8"/>
        <v>0</v>
      </c>
      <c r="H79" s="415">
        <f t="shared" si="8"/>
        <v>0</v>
      </c>
      <c r="I79" s="415">
        <f t="shared" si="8"/>
        <v>0</v>
      </c>
      <c r="J79" s="415">
        <f t="shared" si="8"/>
        <v>0</v>
      </c>
      <c r="K79" s="415">
        <f t="shared" si="8"/>
        <v>0</v>
      </c>
      <c r="L79" s="415">
        <f t="shared" si="8"/>
        <v>0</v>
      </c>
    </row>
    <row r="80" spans="2:12">
      <c r="B80" s="8" t="str">
        <f t="shared" si="7"/>
        <v>Mathematics</v>
      </c>
      <c r="C80" s="415">
        <f t="shared" si="8"/>
        <v>1.7653549098933432E-2</v>
      </c>
      <c r="D80" s="415">
        <f t="shared" si="8"/>
        <v>1.7653549098933432E-2</v>
      </c>
      <c r="E80" s="415">
        <f t="shared" si="8"/>
        <v>1.7653549098933432E-2</v>
      </c>
      <c r="F80" s="415">
        <f t="shared" si="8"/>
        <v>1.7653549098933432E-2</v>
      </c>
      <c r="G80" s="415">
        <f t="shared" si="8"/>
        <v>1.7653549098933432E-2</v>
      </c>
      <c r="H80" s="415">
        <f t="shared" si="8"/>
        <v>1.7653549098933432E-2</v>
      </c>
      <c r="I80" s="415">
        <f t="shared" si="8"/>
        <v>1.7653549098933432E-2</v>
      </c>
      <c r="J80" s="415">
        <f t="shared" si="8"/>
        <v>1.7653549098933432E-2</v>
      </c>
      <c r="K80" s="415">
        <f t="shared" si="8"/>
        <v>1.7653549098933432E-2</v>
      </c>
      <c r="L80" s="415">
        <f t="shared" si="8"/>
        <v>1.7653549098933432E-2</v>
      </c>
    </row>
    <row r="81" spans="1:12">
      <c r="B81" s="8" t="str">
        <f t="shared" si="7"/>
        <v>Modern Foreign Languages</v>
      </c>
      <c r="C81" s="415">
        <f t="shared" si="8"/>
        <v>9.1945568223611625E-4</v>
      </c>
      <c r="D81" s="415">
        <f t="shared" si="8"/>
        <v>9.1945568223611625E-4</v>
      </c>
      <c r="E81" s="415">
        <f t="shared" si="8"/>
        <v>9.1945568223611625E-4</v>
      </c>
      <c r="F81" s="415">
        <f t="shared" si="8"/>
        <v>9.1945568223611625E-4</v>
      </c>
      <c r="G81" s="415">
        <f t="shared" si="8"/>
        <v>9.1945568223611625E-4</v>
      </c>
      <c r="H81" s="415">
        <f t="shared" si="8"/>
        <v>9.1945568223611625E-4</v>
      </c>
      <c r="I81" s="415">
        <f t="shared" si="8"/>
        <v>9.1945568223611625E-4</v>
      </c>
      <c r="J81" s="415">
        <f t="shared" si="8"/>
        <v>9.1945568223611625E-4</v>
      </c>
      <c r="K81" s="415">
        <f t="shared" si="8"/>
        <v>9.1945568223611625E-4</v>
      </c>
      <c r="L81" s="415">
        <f t="shared" si="8"/>
        <v>9.1945568223611625E-4</v>
      </c>
    </row>
    <row r="82" spans="1:12">
      <c r="B82" s="8" t="str">
        <f t="shared" si="7"/>
        <v>Music</v>
      </c>
      <c r="C82" s="415">
        <f t="shared" si="8"/>
        <v>0</v>
      </c>
      <c r="D82" s="415">
        <f t="shared" si="8"/>
        <v>0</v>
      </c>
      <c r="E82" s="415">
        <f t="shared" si="8"/>
        <v>0</v>
      </c>
      <c r="F82" s="415">
        <f t="shared" si="8"/>
        <v>0</v>
      </c>
      <c r="G82" s="415">
        <f t="shared" si="8"/>
        <v>0</v>
      </c>
      <c r="H82" s="415">
        <f t="shared" si="8"/>
        <v>0</v>
      </c>
      <c r="I82" s="415">
        <f t="shared" si="8"/>
        <v>0</v>
      </c>
      <c r="J82" s="415">
        <f t="shared" si="8"/>
        <v>0</v>
      </c>
      <c r="K82" s="415">
        <f t="shared" si="8"/>
        <v>0</v>
      </c>
      <c r="L82" s="415">
        <f t="shared" si="8"/>
        <v>0</v>
      </c>
    </row>
    <row r="83" spans="1:12">
      <c r="B83" s="8" t="str">
        <f t="shared" si="7"/>
        <v>Others</v>
      </c>
      <c r="C83" s="415">
        <f t="shared" si="8"/>
        <v>0</v>
      </c>
      <c r="D83" s="415">
        <f t="shared" si="8"/>
        <v>0</v>
      </c>
      <c r="E83" s="415">
        <f t="shared" si="8"/>
        <v>0</v>
      </c>
      <c r="F83" s="415">
        <f t="shared" si="8"/>
        <v>0</v>
      </c>
      <c r="G83" s="415">
        <f t="shared" si="8"/>
        <v>0</v>
      </c>
      <c r="H83" s="415">
        <f t="shared" si="8"/>
        <v>0</v>
      </c>
      <c r="I83" s="415">
        <f t="shared" si="8"/>
        <v>0</v>
      </c>
      <c r="J83" s="415">
        <f t="shared" si="8"/>
        <v>0</v>
      </c>
      <c r="K83" s="415">
        <f t="shared" si="8"/>
        <v>0</v>
      </c>
      <c r="L83" s="415">
        <f t="shared" si="8"/>
        <v>0</v>
      </c>
    </row>
    <row r="84" spans="1:12">
      <c r="B84" s="8" t="str">
        <f t="shared" si="7"/>
        <v>Physical Education</v>
      </c>
      <c r="C84" s="415">
        <f t="shared" si="8"/>
        <v>1.58146377344612E-2</v>
      </c>
      <c r="D84" s="415">
        <f t="shared" si="8"/>
        <v>1.58146377344612E-2</v>
      </c>
      <c r="E84" s="415">
        <f t="shared" si="8"/>
        <v>1.58146377344612E-2</v>
      </c>
      <c r="F84" s="415">
        <f t="shared" si="8"/>
        <v>1.58146377344612E-2</v>
      </c>
      <c r="G84" s="415">
        <f t="shared" si="8"/>
        <v>1.58146377344612E-2</v>
      </c>
      <c r="H84" s="415">
        <f t="shared" si="8"/>
        <v>1.58146377344612E-2</v>
      </c>
      <c r="I84" s="415">
        <f t="shared" si="8"/>
        <v>1.58146377344612E-2</v>
      </c>
      <c r="J84" s="415">
        <f t="shared" si="8"/>
        <v>1.58146377344612E-2</v>
      </c>
      <c r="K84" s="415">
        <f t="shared" si="8"/>
        <v>1.58146377344612E-2</v>
      </c>
      <c r="L84" s="415">
        <f t="shared" si="8"/>
        <v>1.58146377344612E-2</v>
      </c>
    </row>
    <row r="85" spans="1:12">
      <c r="B85" s="8" t="str">
        <f t="shared" si="7"/>
        <v>Physics</v>
      </c>
      <c r="C85" s="415">
        <f t="shared" si="8"/>
        <v>4.9650606840750278E-3</v>
      </c>
      <c r="D85" s="415">
        <f t="shared" si="8"/>
        <v>4.9650606840750278E-3</v>
      </c>
      <c r="E85" s="415">
        <f t="shared" si="8"/>
        <v>4.9650606840750278E-3</v>
      </c>
      <c r="F85" s="415">
        <f t="shared" si="8"/>
        <v>4.9650606840750278E-3</v>
      </c>
      <c r="G85" s="415">
        <f t="shared" si="8"/>
        <v>4.9650606840750278E-3</v>
      </c>
      <c r="H85" s="415">
        <f t="shared" si="8"/>
        <v>4.9650606840750278E-3</v>
      </c>
      <c r="I85" s="415">
        <f t="shared" si="8"/>
        <v>4.9650606840750278E-3</v>
      </c>
      <c r="J85" s="415">
        <f t="shared" si="8"/>
        <v>4.9650606840750278E-3</v>
      </c>
      <c r="K85" s="415">
        <f t="shared" si="8"/>
        <v>4.9650606840750278E-3</v>
      </c>
      <c r="L85" s="415">
        <f t="shared" si="8"/>
        <v>4.9650606840750278E-3</v>
      </c>
    </row>
    <row r="86" spans="1:12">
      <c r="B86" s="8" t="str">
        <f t="shared" si="7"/>
        <v>Religious Education</v>
      </c>
      <c r="C86" s="415">
        <f t="shared" si="8"/>
        <v>2.5744759102611253E-3</v>
      </c>
      <c r="D86" s="415">
        <f t="shared" si="8"/>
        <v>2.5744759102611253E-3</v>
      </c>
      <c r="E86" s="415">
        <f t="shared" si="8"/>
        <v>2.5744759102611253E-3</v>
      </c>
      <c r="F86" s="415">
        <f t="shared" si="8"/>
        <v>2.5744759102611253E-3</v>
      </c>
      <c r="G86" s="415">
        <f t="shared" si="8"/>
        <v>2.5744759102611253E-3</v>
      </c>
      <c r="H86" s="415">
        <f t="shared" si="8"/>
        <v>2.5744759102611253E-3</v>
      </c>
      <c r="I86" s="415">
        <f t="shared" si="8"/>
        <v>2.5744759102611253E-3</v>
      </c>
      <c r="J86" s="415">
        <f t="shared" si="8"/>
        <v>2.5744759102611253E-3</v>
      </c>
      <c r="K86" s="415">
        <f t="shared" si="8"/>
        <v>2.5744759102611253E-3</v>
      </c>
      <c r="L86" s="415">
        <f t="shared" si="8"/>
        <v>2.5744759102611253E-3</v>
      </c>
    </row>
    <row r="87" spans="1:12">
      <c r="B87" s="8" t="str">
        <f>B61</f>
        <v>Total</v>
      </c>
      <c r="C87" s="654">
        <f>SUM(C67:C86)</f>
        <v>1</v>
      </c>
      <c r="D87" s="654">
        <f t="shared" ref="D87:L87" si="9">SUM(D67:D86)</f>
        <v>1</v>
      </c>
      <c r="E87" s="654">
        <f t="shared" si="9"/>
        <v>1</v>
      </c>
      <c r="F87" s="654">
        <f t="shared" si="9"/>
        <v>1</v>
      </c>
      <c r="G87" s="654">
        <f t="shared" si="9"/>
        <v>1</v>
      </c>
      <c r="H87" s="654">
        <f t="shared" si="9"/>
        <v>1</v>
      </c>
      <c r="I87" s="654">
        <f t="shared" si="9"/>
        <v>1</v>
      </c>
      <c r="J87" s="654">
        <f t="shared" si="9"/>
        <v>1</v>
      </c>
      <c r="K87" s="654">
        <f t="shared" si="9"/>
        <v>1</v>
      </c>
      <c r="L87" s="654">
        <f t="shared" si="9"/>
        <v>1</v>
      </c>
    </row>
    <row r="88" spans="1:12">
      <c r="A88">
        <f>SUM(C88:L88)</f>
        <v>0</v>
      </c>
      <c r="C88" s="725">
        <f>C87-1</f>
        <v>0</v>
      </c>
      <c r="D88" s="725">
        <f t="shared" ref="D88:L88" si="10">D87-1</f>
        <v>0</v>
      </c>
      <c r="E88" s="725">
        <f t="shared" si="10"/>
        <v>0</v>
      </c>
      <c r="F88" s="725">
        <f t="shared" si="10"/>
        <v>0</v>
      </c>
      <c r="G88" s="725">
        <f t="shared" si="10"/>
        <v>0</v>
      </c>
      <c r="H88" s="725">
        <f t="shared" si="10"/>
        <v>0</v>
      </c>
      <c r="I88" s="725">
        <f t="shared" si="10"/>
        <v>0</v>
      </c>
      <c r="J88" s="725">
        <f t="shared" si="10"/>
        <v>0</v>
      </c>
      <c r="K88" s="725">
        <f t="shared" si="10"/>
        <v>0</v>
      </c>
      <c r="L88" s="725">
        <f t="shared" si="10"/>
        <v>0</v>
      </c>
    </row>
    <row r="90" spans="1:12" ht="15.75">
      <c r="B90" s="78" t="s">
        <v>1033</v>
      </c>
    </row>
    <row r="92" spans="1:12">
      <c r="B92" s="108" t="s">
        <v>1032</v>
      </c>
    </row>
    <row r="94" spans="1:12">
      <c r="B94" s="8" t="s">
        <v>62</v>
      </c>
      <c r="C94" s="152" t="str">
        <f>C66</f>
        <v>2016/17</v>
      </c>
      <c r="D94" s="152" t="str">
        <f t="shared" ref="D94:L94" si="11">D66</f>
        <v>2018/19</v>
      </c>
      <c r="E94" s="152" t="str">
        <f t="shared" si="11"/>
        <v>2019/20</v>
      </c>
      <c r="F94" s="152" t="str">
        <f t="shared" si="11"/>
        <v>2020/21</v>
      </c>
      <c r="G94" s="152" t="str">
        <f t="shared" si="11"/>
        <v>2021/22</v>
      </c>
      <c r="H94" s="152" t="str">
        <f t="shared" si="11"/>
        <v>2022/23</v>
      </c>
      <c r="I94" s="152" t="str">
        <f t="shared" si="11"/>
        <v>2023/24</v>
      </c>
      <c r="J94" s="152" t="str">
        <f t="shared" si="11"/>
        <v>2024/25</v>
      </c>
      <c r="K94" s="152" t="str">
        <f t="shared" si="11"/>
        <v>2025/26</v>
      </c>
      <c r="L94" s="152" t="str">
        <f t="shared" si="11"/>
        <v>2026/27</v>
      </c>
    </row>
    <row r="95" spans="1:12">
      <c r="B95" s="8" t="str">
        <f t="shared" ref="B95:B114" si="12">B41</f>
        <v>Primary</v>
      </c>
      <c r="C95" s="550">
        <f>RAW_DATA_INPUTS!C527</f>
        <v>0.8744427531662271</v>
      </c>
      <c r="D95" s="654">
        <f>C95</f>
        <v>0.8744427531662271</v>
      </c>
      <c r="E95" s="654">
        <f t="shared" ref="E95:L95" si="13">D95</f>
        <v>0.8744427531662271</v>
      </c>
      <c r="F95" s="654">
        <f t="shared" si="13"/>
        <v>0.8744427531662271</v>
      </c>
      <c r="G95" s="654">
        <f t="shared" si="13"/>
        <v>0.8744427531662271</v>
      </c>
      <c r="H95" s="654">
        <f t="shared" si="13"/>
        <v>0.8744427531662271</v>
      </c>
      <c r="I95" s="654">
        <f t="shared" si="13"/>
        <v>0.8744427531662271</v>
      </c>
      <c r="J95" s="654">
        <f t="shared" si="13"/>
        <v>0.8744427531662271</v>
      </c>
      <c r="K95" s="654">
        <f t="shared" si="13"/>
        <v>0.8744427531662271</v>
      </c>
      <c r="L95" s="654">
        <f t="shared" si="13"/>
        <v>0.8744427531662271</v>
      </c>
    </row>
    <row r="96" spans="1:12">
      <c r="B96" s="8" t="str">
        <f t="shared" si="12"/>
        <v>Art &amp; Design</v>
      </c>
      <c r="C96" s="550">
        <f>RAW_DATA_INPUTS!C509</f>
        <v>0.84955112611115624</v>
      </c>
      <c r="D96" s="654">
        <f t="shared" ref="D96:L114" si="14">C96</f>
        <v>0.84955112611115624</v>
      </c>
      <c r="E96" s="654">
        <f t="shared" si="14"/>
        <v>0.84955112611115624</v>
      </c>
      <c r="F96" s="654">
        <f t="shared" si="14"/>
        <v>0.84955112611115624</v>
      </c>
      <c r="G96" s="654">
        <f t="shared" si="14"/>
        <v>0.84955112611115624</v>
      </c>
      <c r="H96" s="654">
        <f t="shared" si="14"/>
        <v>0.84955112611115624</v>
      </c>
      <c r="I96" s="654">
        <f t="shared" si="14"/>
        <v>0.84955112611115624</v>
      </c>
      <c r="J96" s="654">
        <f t="shared" si="14"/>
        <v>0.84955112611115624</v>
      </c>
      <c r="K96" s="654">
        <f t="shared" si="14"/>
        <v>0.84955112611115624</v>
      </c>
      <c r="L96" s="654">
        <f t="shared" si="14"/>
        <v>0.84955112611115624</v>
      </c>
    </row>
    <row r="97" spans="2:12">
      <c r="B97" s="8" t="str">
        <f t="shared" si="12"/>
        <v>Biology</v>
      </c>
      <c r="C97" s="550">
        <f>RAW_DATA_INPUTS!C510</f>
        <v>0.81823358574382632</v>
      </c>
      <c r="D97" s="654">
        <f t="shared" si="14"/>
        <v>0.81823358574382632</v>
      </c>
      <c r="E97" s="654">
        <f t="shared" si="14"/>
        <v>0.81823358574382632</v>
      </c>
      <c r="F97" s="654">
        <f t="shared" si="14"/>
        <v>0.81823358574382632</v>
      </c>
      <c r="G97" s="654">
        <f t="shared" si="14"/>
        <v>0.81823358574382632</v>
      </c>
      <c r="H97" s="654">
        <f t="shared" si="14"/>
        <v>0.81823358574382632</v>
      </c>
      <c r="I97" s="654">
        <f t="shared" si="14"/>
        <v>0.81823358574382632</v>
      </c>
      <c r="J97" s="654">
        <f t="shared" si="14"/>
        <v>0.81823358574382632</v>
      </c>
      <c r="K97" s="654">
        <f t="shared" si="14"/>
        <v>0.81823358574382632</v>
      </c>
      <c r="L97" s="654">
        <f t="shared" si="14"/>
        <v>0.81823358574382632</v>
      </c>
    </row>
    <row r="98" spans="2:12">
      <c r="B98" s="8" t="str">
        <f t="shared" si="12"/>
        <v>Business Studies</v>
      </c>
      <c r="C98" s="550">
        <f>RAW_DATA_INPUTS!C511</f>
        <v>0.77100312492473477</v>
      </c>
      <c r="D98" s="654">
        <f t="shared" si="14"/>
        <v>0.77100312492473477</v>
      </c>
      <c r="E98" s="654">
        <f t="shared" si="14"/>
        <v>0.77100312492473477</v>
      </c>
      <c r="F98" s="654">
        <f t="shared" si="14"/>
        <v>0.77100312492473477</v>
      </c>
      <c r="G98" s="654">
        <f t="shared" si="14"/>
        <v>0.77100312492473477</v>
      </c>
      <c r="H98" s="654">
        <f t="shared" si="14"/>
        <v>0.77100312492473477</v>
      </c>
      <c r="I98" s="654">
        <f t="shared" si="14"/>
        <v>0.77100312492473477</v>
      </c>
      <c r="J98" s="654">
        <f t="shared" si="14"/>
        <v>0.77100312492473477</v>
      </c>
      <c r="K98" s="654">
        <f t="shared" si="14"/>
        <v>0.77100312492473477</v>
      </c>
      <c r="L98" s="654">
        <f t="shared" si="14"/>
        <v>0.77100312492473477</v>
      </c>
    </row>
    <row r="99" spans="2:12">
      <c r="B99" s="8" t="str">
        <f t="shared" si="12"/>
        <v>Chemistry</v>
      </c>
      <c r="C99" s="550">
        <f>RAW_DATA_INPUTS!C512</f>
        <v>0.85280215449592478</v>
      </c>
      <c r="D99" s="654">
        <f t="shared" si="14"/>
        <v>0.85280215449592478</v>
      </c>
      <c r="E99" s="654">
        <f t="shared" si="14"/>
        <v>0.85280215449592478</v>
      </c>
      <c r="F99" s="654">
        <f t="shared" si="14"/>
        <v>0.85280215449592478</v>
      </c>
      <c r="G99" s="654">
        <f t="shared" si="14"/>
        <v>0.85280215449592478</v>
      </c>
      <c r="H99" s="654">
        <f t="shared" si="14"/>
        <v>0.85280215449592478</v>
      </c>
      <c r="I99" s="654">
        <f t="shared" si="14"/>
        <v>0.85280215449592478</v>
      </c>
      <c r="J99" s="654">
        <f t="shared" si="14"/>
        <v>0.85280215449592478</v>
      </c>
      <c r="K99" s="654">
        <f t="shared" si="14"/>
        <v>0.85280215449592478</v>
      </c>
      <c r="L99" s="654">
        <f t="shared" si="14"/>
        <v>0.85280215449592478</v>
      </c>
    </row>
    <row r="100" spans="2:12">
      <c r="B100" s="8" t="str">
        <f t="shared" si="12"/>
        <v>Classics</v>
      </c>
      <c r="C100" s="550">
        <f>RAW_DATA_INPUTS!C513</f>
        <v>0.77100312492473477</v>
      </c>
      <c r="D100" s="654">
        <f t="shared" si="14"/>
        <v>0.77100312492473477</v>
      </c>
      <c r="E100" s="654">
        <f t="shared" si="14"/>
        <v>0.77100312492473477</v>
      </c>
      <c r="F100" s="654">
        <f t="shared" si="14"/>
        <v>0.77100312492473477</v>
      </c>
      <c r="G100" s="654">
        <f t="shared" si="14"/>
        <v>0.77100312492473477</v>
      </c>
      <c r="H100" s="654">
        <f t="shared" si="14"/>
        <v>0.77100312492473477</v>
      </c>
      <c r="I100" s="654">
        <f t="shared" si="14"/>
        <v>0.77100312492473477</v>
      </c>
      <c r="J100" s="654">
        <f t="shared" si="14"/>
        <v>0.77100312492473477</v>
      </c>
      <c r="K100" s="654">
        <f t="shared" si="14"/>
        <v>0.77100312492473477</v>
      </c>
      <c r="L100" s="654">
        <f t="shared" si="14"/>
        <v>0.77100312492473477</v>
      </c>
    </row>
    <row r="101" spans="2:12">
      <c r="B101" s="8" t="str">
        <f t="shared" si="12"/>
        <v>Computing</v>
      </c>
      <c r="C101" s="550">
        <f>RAW_DATA_INPUTS!C514</f>
        <v>0.82616744366744377</v>
      </c>
      <c r="D101" s="654">
        <f t="shared" si="14"/>
        <v>0.82616744366744377</v>
      </c>
      <c r="E101" s="654">
        <f t="shared" si="14"/>
        <v>0.82616744366744377</v>
      </c>
      <c r="F101" s="654">
        <f t="shared" si="14"/>
        <v>0.82616744366744377</v>
      </c>
      <c r="G101" s="654">
        <f t="shared" si="14"/>
        <v>0.82616744366744377</v>
      </c>
      <c r="H101" s="654">
        <f t="shared" si="14"/>
        <v>0.82616744366744377</v>
      </c>
      <c r="I101" s="654">
        <f t="shared" si="14"/>
        <v>0.82616744366744377</v>
      </c>
      <c r="J101" s="654">
        <f t="shared" si="14"/>
        <v>0.82616744366744377</v>
      </c>
      <c r="K101" s="654">
        <f t="shared" si="14"/>
        <v>0.82616744366744377</v>
      </c>
      <c r="L101" s="654">
        <f t="shared" si="14"/>
        <v>0.82616744366744377</v>
      </c>
    </row>
    <row r="102" spans="2:12">
      <c r="B102" s="8" t="str">
        <f t="shared" si="12"/>
        <v>Design &amp; Technology</v>
      </c>
      <c r="C102" s="550">
        <f>RAW_DATA_INPUTS!C515</f>
        <v>0.77100312492473477</v>
      </c>
      <c r="D102" s="654">
        <f t="shared" si="14"/>
        <v>0.77100312492473477</v>
      </c>
      <c r="E102" s="654">
        <f t="shared" si="14"/>
        <v>0.77100312492473477</v>
      </c>
      <c r="F102" s="654">
        <f t="shared" si="14"/>
        <v>0.77100312492473477</v>
      </c>
      <c r="G102" s="654">
        <f t="shared" si="14"/>
        <v>0.77100312492473477</v>
      </c>
      <c r="H102" s="654">
        <f t="shared" si="14"/>
        <v>0.77100312492473477</v>
      </c>
      <c r="I102" s="654">
        <f t="shared" si="14"/>
        <v>0.77100312492473477</v>
      </c>
      <c r="J102" s="654">
        <f t="shared" si="14"/>
        <v>0.77100312492473477</v>
      </c>
      <c r="K102" s="654">
        <f t="shared" si="14"/>
        <v>0.77100312492473477</v>
      </c>
      <c r="L102" s="654">
        <f t="shared" si="14"/>
        <v>0.77100312492473477</v>
      </c>
    </row>
    <row r="103" spans="2:12">
      <c r="B103" s="8" t="str">
        <f t="shared" si="12"/>
        <v>Drama</v>
      </c>
      <c r="C103" s="550">
        <f>RAW_DATA_INPUTS!C516</f>
        <v>0.77100312492473477</v>
      </c>
      <c r="D103" s="654">
        <f t="shared" si="14"/>
        <v>0.77100312492473477</v>
      </c>
      <c r="E103" s="654">
        <f t="shared" si="14"/>
        <v>0.77100312492473477</v>
      </c>
      <c r="F103" s="654">
        <f t="shared" si="14"/>
        <v>0.77100312492473477</v>
      </c>
      <c r="G103" s="654">
        <f t="shared" si="14"/>
        <v>0.77100312492473477</v>
      </c>
      <c r="H103" s="654">
        <f t="shared" si="14"/>
        <v>0.77100312492473477</v>
      </c>
      <c r="I103" s="654">
        <f t="shared" si="14"/>
        <v>0.77100312492473477</v>
      </c>
      <c r="J103" s="654">
        <f t="shared" si="14"/>
        <v>0.77100312492473477</v>
      </c>
      <c r="K103" s="654">
        <f t="shared" si="14"/>
        <v>0.77100312492473477</v>
      </c>
      <c r="L103" s="654">
        <f t="shared" si="14"/>
        <v>0.77100312492473477</v>
      </c>
    </row>
    <row r="104" spans="2:12">
      <c r="B104" s="8" t="str">
        <f t="shared" si="12"/>
        <v>English</v>
      </c>
      <c r="C104" s="550">
        <f>RAW_DATA_INPUTS!C517</f>
        <v>0.86361339316051755</v>
      </c>
      <c r="D104" s="654">
        <f t="shared" si="14"/>
        <v>0.86361339316051755</v>
      </c>
      <c r="E104" s="654">
        <f t="shared" si="14"/>
        <v>0.86361339316051755</v>
      </c>
      <c r="F104" s="654">
        <f t="shared" si="14"/>
        <v>0.86361339316051755</v>
      </c>
      <c r="G104" s="654">
        <f t="shared" si="14"/>
        <v>0.86361339316051755</v>
      </c>
      <c r="H104" s="654">
        <f t="shared" si="14"/>
        <v>0.86361339316051755</v>
      </c>
      <c r="I104" s="654">
        <f t="shared" si="14"/>
        <v>0.86361339316051755</v>
      </c>
      <c r="J104" s="654">
        <f t="shared" si="14"/>
        <v>0.86361339316051755</v>
      </c>
      <c r="K104" s="654">
        <f t="shared" si="14"/>
        <v>0.86361339316051755</v>
      </c>
      <c r="L104" s="654">
        <f t="shared" si="14"/>
        <v>0.86361339316051755</v>
      </c>
    </row>
    <row r="105" spans="2:12">
      <c r="B105" s="8" t="str">
        <f t="shared" si="12"/>
        <v>Food</v>
      </c>
      <c r="C105" s="550">
        <f>RAW_DATA_INPUTS!C518</f>
        <v>0.77100312492473477</v>
      </c>
      <c r="D105" s="654">
        <f t="shared" si="14"/>
        <v>0.77100312492473477</v>
      </c>
      <c r="E105" s="654">
        <f t="shared" si="14"/>
        <v>0.77100312492473477</v>
      </c>
      <c r="F105" s="654">
        <f t="shared" si="14"/>
        <v>0.77100312492473477</v>
      </c>
      <c r="G105" s="654">
        <f t="shared" si="14"/>
        <v>0.77100312492473477</v>
      </c>
      <c r="H105" s="654">
        <f t="shared" si="14"/>
        <v>0.77100312492473477</v>
      </c>
      <c r="I105" s="654">
        <f t="shared" si="14"/>
        <v>0.77100312492473477</v>
      </c>
      <c r="J105" s="654">
        <f t="shared" si="14"/>
        <v>0.77100312492473477</v>
      </c>
      <c r="K105" s="654">
        <f t="shared" si="14"/>
        <v>0.77100312492473477</v>
      </c>
      <c r="L105" s="654">
        <f t="shared" si="14"/>
        <v>0.77100312492473477</v>
      </c>
    </row>
    <row r="106" spans="2:12">
      <c r="B106" s="8" t="str">
        <f t="shared" si="12"/>
        <v>Geography</v>
      </c>
      <c r="C106" s="550">
        <f>RAW_DATA_INPUTS!C519</f>
        <v>0.83697915796159184</v>
      </c>
      <c r="D106" s="654">
        <f t="shared" si="14"/>
        <v>0.83697915796159184</v>
      </c>
      <c r="E106" s="654">
        <f t="shared" si="14"/>
        <v>0.83697915796159184</v>
      </c>
      <c r="F106" s="654">
        <f t="shared" si="14"/>
        <v>0.83697915796159184</v>
      </c>
      <c r="G106" s="654">
        <f t="shared" si="14"/>
        <v>0.83697915796159184</v>
      </c>
      <c r="H106" s="654">
        <f t="shared" si="14"/>
        <v>0.83697915796159184</v>
      </c>
      <c r="I106" s="654">
        <f t="shared" si="14"/>
        <v>0.83697915796159184</v>
      </c>
      <c r="J106" s="654">
        <f t="shared" si="14"/>
        <v>0.83697915796159184</v>
      </c>
      <c r="K106" s="654">
        <f t="shared" si="14"/>
        <v>0.83697915796159184</v>
      </c>
      <c r="L106" s="654">
        <f t="shared" si="14"/>
        <v>0.83697915796159184</v>
      </c>
    </row>
    <row r="107" spans="2:12">
      <c r="B107" s="8" t="str">
        <f t="shared" si="12"/>
        <v>History</v>
      </c>
      <c r="C107" s="550">
        <f>RAW_DATA_INPUTS!C520</f>
        <v>0.84466209312509122</v>
      </c>
      <c r="D107" s="654">
        <f t="shared" si="14"/>
        <v>0.84466209312509122</v>
      </c>
      <c r="E107" s="654">
        <f t="shared" si="14"/>
        <v>0.84466209312509122</v>
      </c>
      <c r="F107" s="654">
        <f t="shared" si="14"/>
        <v>0.84466209312509122</v>
      </c>
      <c r="G107" s="654">
        <f t="shared" si="14"/>
        <v>0.84466209312509122</v>
      </c>
      <c r="H107" s="654">
        <f t="shared" si="14"/>
        <v>0.84466209312509122</v>
      </c>
      <c r="I107" s="654">
        <f t="shared" si="14"/>
        <v>0.84466209312509122</v>
      </c>
      <c r="J107" s="654">
        <f t="shared" si="14"/>
        <v>0.84466209312509122</v>
      </c>
      <c r="K107" s="654">
        <f t="shared" si="14"/>
        <v>0.84466209312509122</v>
      </c>
      <c r="L107" s="654">
        <f t="shared" si="14"/>
        <v>0.84466209312509122</v>
      </c>
    </row>
    <row r="108" spans="2:12">
      <c r="B108" s="8" t="str">
        <f t="shared" si="12"/>
        <v>Mathematics</v>
      </c>
      <c r="C108" s="550">
        <f>RAW_DATA_INPUTS!C521</f>
        <v>0.86691893505666273</v>
      </c>
      <c r="D108" s="654">
        <f t="shared" si="14"/>
        <v>0.86691893505666273</v>
      </c>
      <c r="E108" s="654">
        <f t="shared" si="14"/>
        <v>0.86691893505666273</v>
      </c>
      <c r="F108" s="654">
        <f t="shared" si="14"/>
        <v>0.86691893505666273</v>
      </c>
      <c r="G108" s="654">
        <f t="shared" si="14"/>
        <v>0.86691893505666273</v>
      </c>
      <c r="H108" s="654">
        <f t="shared" si="14"/>
        <v>0.86691893505666273</v>
      </c>
      <c r="I108" s="654">
        <f t="shared" si="14"/>
        <v>0.86691893505666273</v>
      </c>
      <c r="J108" s="654">
        <f t="shared" si="14"/>
        <v>0.86691893505666273</v>
      </c>
      <c r="K108" s="654">
        <f t="shared" si="14"/>
        <v>0.86691893505666273</v>
      </c>
      <c r="L108" s="654">
        <f t="shared" si="14"/>
        <v>0.86691893505666273</v>
      </c>
    </row>
    <row r="109" spans="2:12">
      <c r="B109" s="8" t="str">
        <f t="shared" si="12"/>
        <v>Modern Foreign Languages</v>
      </c>
      <c r="C109" s="550">
        <f>RAW_DATA_INPUTS!C522</f>
        <v>0.93442112589390902</v>
      </c>
      <c r="D109" s="654">
        <f t="shared" si="14"/>
        <v>0.93442112589390902</v>
      </c>
      <c r="E109" s="654">
        <f t="shared" si="14"/>
        <v>0.93442112589390902</v>
      </c>
      <c r="F109" s="654">
        <f t="shared" si="14"/>
        <v>0.93442112589390902</v>
      </c>
      <c r="G109" s="654">
        <f t="shared" si="14"/>
        <v>0.93442112589390902</v>
      </c>
      <c r="H109" s="654">
        <f t="shared" si="14"/>
        <v>0.93442112589390902</v>
      </c>
      <c r="I109" s="654">
        <f t="shared" si="14"/>
        <v>0.93442112589390902</v>
      </c>
      <c r="J109" s="654">
        <f t="shared" si="14"/>
        <v>0.93442112589390902</v>
      </c>
      <c r="K109" s="654">
        <f t="shared" si="14"/>
        <v>0.93442112589390902</v>
      </c>
      <c r="L109" s="654">
        <f t="shared" si="14"/>
        <v>0.93442112589390902</v>
      </c>
    </row>
    <row r="110" spans="2:12">
      <c r="B110" s="8" t="str">
        <f t="shared" si="12"/>
        <v>Music</v>
      </c>
      <c r="C110" s="550">
        <f>RAW_DATA_INPUTS!C523</f>
        <v>0.97100312492473473</v>
      </c>
      <c r="D110" s="654">
        <f t="shared" si="14"/>
        <v>0.97100312492473473</v>
      </c>
      <c r="E110" s="654">
        <f t="shared" si="14"/>
        <v>0.97100312492473473</v>
      </c>
      <c r="F110" s="654">
        <f t="shared" si="14"/>
        <v>0.97100312492473473</v>
      </c>
      <c r="G110" s="654">
        <f t="shared" si="14"/>
        <v>0.97100312492473473</v>
      </c>
      <c r="H110" s="654">
        <f t="shared" si="14"/>
        <v>0.97100312492473473</v>
      </c>
      <c r="I110" s="654">
        <f t="shared" si="14"/>
        <v>0.97100312492473473</v>
      </c>
      <c r="J110" s="654">
        <f t="shared" si="14"/>
        <v>0.97100312492473473</v>
      </c>
      <c r="K110" s="654">
        <f t="shared" si="14"/>
        <v>0.97100312492473473</v>
      </c>
      <c r="L110" s="654">
        <f t="shared" si="14"/>
        <v>0.97100312492473473</v>
      </c>
    </row>
    <row r="111" spans="2:12">
      <c r="B111" s="8" t="str">
        <f t="shared" si="12"/>
        <v>Others</v>
      </c>
      <c r="C111" s="550">
        <f>RAW_DATA_INPUTS!C524</f>
        <v>0.96840909090909089</v>
      </c>
      <c r="D111" s="654">
        <f t="shared" si="14"/>
        <v>0.96840909090909089</v>
      </c>
      <c r="E111" s="654">
        <f t="shared" si="14"/>
        <v>0.96840909090909089</v>
      </c>
      <c r="F111" s="654">
        <f t="shared" si="14"/>
        <v>0.96840909090909089</v>
      </c>
      <c r="G111" s="654">
        <f t="shared" si="14"/>
        <v>0.96840909090909089</v>
      </c>
      <c r="H111" s="654">
        <f t="shared" si="14"/>
        <v>0.96840909090909089</v>
      </c>
      <c r="I111" s="654">
        <f t="shared" si="14"/>
        <v>0.96840909090909089</v>
      </c>
      <c r="J111" s="654">
        <f t="shared" si="14"/>
        <v>0.96840909090909089</v>
      </c>
      <c r="K111" s="654">
        <f t="shared" si="14"/>
        <v>0.96840909090909089</v>
      </c>
      <c r="L111" s="654">
        <f t="shared" si="14"/>
        <v>0.96840909090909089</v>
      </c>
    </row>
    <row r="112" spans="2:12">
      <c r="B112" s="8" t="str">
        <f t="shared" si="12"/>
        <v>Physical Education</v>
      </c>
      <c r="C112" s="550">
        <f>RAW_DATA_INPUTS!C525</f>
        <v>0.89730125697841567</v>
      </c>
      <c r="D112" s="654">
        <f t="shared" si="14"/>
        <v>0.89730125697841567</v>
      </c>
      <c r="E112" s="654">
        <f t="shared" si="14"/>
        <v>0.89730125697841567</v>
      </c>
      <c r="F112" s="654">
        <f t="shared" si="14"/>
        <v>0.89730125697841567</v>
      </c>
      <c r="G112" s="654">
        <f t="shared" si="14"/>
        <v>0.89730125697841567</v>
      </c>
      <c r="H112" s="654">
        <f t="shared" si="14"/>
        <v>0.89730125697841567</v>
      </c>
      <c r="I112" s="654">
        <f t="shared" si="14"/>
        <v>0.89730125697841567</v>
      </c>
      <c r="J112" s="654">
        <f t="shared" si="14"/>
        <v>0.89730125697841567</v>
      </c>
      <c r="K112" s="654">
        <f t="shared" si="14"/>
        <v>0.89730125697841567</v>
      </c>
      <c r="L112" s="654">
        <f t="shared" si="14"/>
        <v>0.89730125697841567</v>
      </c>
    </row>
    <row r="113" spans="2:12">
      <c r="B113" s="8" t="str">
        <f t="shared" si="12"/>
        <v>Physics</v>
      </c>
      <c r="C113" s="550">
        <f>RAW_DATA_INPUTS!C526</f>
        <v>0.82333333333333336</v>
      </c>
      <c r="D113" s="654">
        <f t="shared" si="14"/>
        <v>0.82333333333333336</v>
      </c>
      <c r="E113" s="654">
        <f t="shared" si="14"/>
        <v>0.82333333333333336</v>
      </c>
      <c r="F113" s="654">
        <f t="shared" si="14"/>
        <v>0.82333333333333336</v>
      </c>
      <c r="G113" s="654">
        <f t="shared" si="14"/>
        <v>0.82333333333333336</v>
      </c>
      <c r="H113" s="654">
        <f t="shared" si="14"/>
        <v>0.82333333333333336</v>
      </c>
      <c r="I113" s="654">
        <f t="shared" si="14"/>
        <v>0.82333333333333336</v>
      </c>
      <c r="J113" s="654">
        <f t="shared" si="14"/>
        <v>0.82333333333333336</v>
      </c>
      <c r="K113" s="654">
        <f t="shared" si="14"/>
        <v>0.82333333333333336</v>
      </c>
      <c r="L113" s="654">
        <f t="shared" si="14"/>
        <v>0.82333333333333336</v>
      </c>
    </row>
    <row r="114" spans="2:12">
      <c r="B114" s="8" t="str">
        <f t="shared" si="12"/>
        <v>Religious Education</v>
      </c>
      <c r="C114" s="550">
        <f>RAW_DATA_INPUTS!C528</f>
        <v>0.84087359943977591</v>
      </c>
      <c r="D114" s="654">
        <f t="shared" si="14"/>
        <v>0.84087359943977591</v>
      </c>
      <c r="E114" s="654">
        <f t="shared" si="14"/>
        <v>0.84087359943977591</v>
      </c>
      <c r="F114" s="654">
        <f t="shared" si="14"/>
        <v>0.84087359943977591</v>
      </c>
      <c r="G114" s="654">
        <f t="shared" si="14"/>
        <v>0.84087359943977591</v>
      </c>
      <c r="H114" s="654">
        <f t="shared" si="14"/>
        <v>0.84087359943977591</v>
      </c>
      <c r="I114" s="654">
        <f t="shared" si="14"/>
        <v>0.84087359943977591</v>
      </c>
      <c r="J114" s="654">
        <f t="shared" si="14"/>
        <v>0.84087359943977591</v>
      </c>
      <c r="K114" s="654">
        <f t="shared" si="14"/>
        <v>0.84087359943977591</v>
      </c>
      <c r="L114" s="654">
        <f t="shared" si="14"/>
        <v>0.84087359943977591</v>
      </c>
    </row>
    <row r="116" spans="2:12">
      <c r="B116" s="108" t="s">
        <v>1031</v>
      </c>
    </row>
    <row r="118" spans="2:12">
      <c r="B118" s="8" t="s">
        <v>62</v>
      </c>
      <c r="C118" s="8" t="str">
        <f>C94</f>
        <v>2016/17</v>
      </c>
      <c r="D118" s="8" t="str">
        <f t="shared" ref="D118:L118" si="15">D94</f>
        <v>2018/19</v>
      </c>
      <c r="E118" s="8" t="str">
        <f t="shared" si="15"/>
        <v>2019/20</v>
      </c>
      <c r="F118" s="8" t="str">
        <f t="shared" si="15"/>
        <v>2020/21</v>
      </c>
      <c r="G118" s="8" t="str">
        <f t="shared" si="15"/>
        <v>2021/22</v>
      </c>
      <c r="H118" s="8" t="str">
        <f t="shared" si="15"/>
        <v>2022/23</v>
      </c>
      <c r="I118" s="8" t="str">
        <f t="shared" si="15"/>
        <v>2023/24</v>
      </c>
      <c r="J118" s="8" t="str">
        <f t="shared" si="15"/>
        <v>2024/25</v>
      </c>
      <c r="K118" s="8" t="str">
        <f t="shared" si="15"/>
        <v>2025/26</v>
      </c>
      <c r="L118" s="8" t="str">
        <f t="shared" si="15"/>
        <v>2026/27</v>
      </c>
    </row>
    <row r="119" spans="2:12">
      <c r="B119" s="8" t="str">
        <f t="shared" ref="B119:B138" si="16">B95</f>
        <v>Primary</v>
      </c>
      <c r="C119" s="550">
        <f>Data_selected_by_user_testing!D147</f>
        <v>0.80550277030709261</v>
      </c>
      <c r="D119" s="523">
        <f>C119</f>
        <v>0.80550277030709261</v>
      </c>
      <c r="E119" s="523">
        <f t="shared" ref="E119:L119" si="17">D119</f>
        <v>0.80550277030709261</v>
      </c>
      <c r="F119" s="523">
        <f t="shared" si="17"/>
        <v>0.80550277030709261</v>
      </c>
      <c r="G119" s="523">
        <f t="shared" si="17"/>
        <v>0.80550277030709261</v>
      </c>
      <c r="H119" s="523">
        <f t="shared" si="17"/>
        <v>0.80550277030709261</v>
      </c>
      <c r="I119" s="523">
        <f t="shared" si="17"/>
        <v>0.80550277030709261</v>
      </c>
      <c r="J119" s="523">
        <f t="shared" si="17"/>
        <v>0.80550277030709261</v>
      </c>
      <c r="K119" s="523">
        <f t="shared" si="17"/>
        <v>0.80550277030709261</v>
      </c>
      <c r="L119" s="523">
        <f t="shared" si="17"/>
        <v>0.80550277030709261</v>
      </c>
    </row>
    <row r="120" spans="2:12">
      <c r="B120" s="8" t="str">
        <f t="shared" si="16"/>
        <v>Art &amp; Design</v>
      </c>
      <c r="C120" s="550">
        <f>Data_selected_by_user_testing!D158</f>
        <v>0.81967929652140181</v>
      </c>
      <c r="D120" s="523">
        <f t="shared" ref="D120:L138" si="18">C120</f>
        <v>0.81967929652140181</v>
      </c>
      <c r="E120" s="523">
        <f t="shared" si="18"/>
        <v>0.81967929652140181</v>
      </c>
      <c r="F120" s="523">
        <f t="shared" si="18"/>
        <v>0.81967929652140181</v>
      </c>
      <c r="G120" s="523">
        <f t="shared" si="18"/>
        <v>0.81967929652140181</v>
      </c>
      <c r="H120" s="523">
        <f t="shared" si="18"/>
        <v>0.81967929652140181</v>
      </c>
      <c r="I120" s="523">
        <f t="shared" si="18"/>
        <v>0.81967929652140181</v>
      </c>
      <c r="J120" s="523">
        <f t="shared" si="18"/>
        <v>0.81967929652140181</v>
      </c>
      <c r="K120" s="523">
        <f t="shared" si="18"/>
        <v>0.81967929652140181</v>
      </c>
      <c r="L120" s="523">
        <f t="shared" si="18"/>
        <v>0.81967929652140181</v>
      </c>
    </row>
    <row r="121" spans="2:12">
      <c r="B121" s="8" t="str">
        <f t="shared" si="16"/>
        <v>Biology</v>
      </c>
      <c r="C121" s="550">
        <f>Data_selected_by_user_testing!D159</f>
        <v>0.77418277297578086</v>
      </c>
      <c r="D121" s="523">
        <f t="shared" si="18"/>
        <v>0.77418277297578086</v>
      </c>
      <c r="E121" s="523">
        <f t="shared" si="18"/>
        <v>0.77418277297578086</v>
      </c>
      <c r="F121" s="523">
        <f t="shared" si="18"/>
        <v>0.77418277297578086</v>
      </c>
      <c r="G121" s="523">
        <f t="shared" si="18"/>
        <v>0.77418277297578086</v>
      </c>
      <c r="H121" s="523">
        <f t="shared" si="18"/>
        <v>0.77418277297578086</v>
      </c>
      <c r="I121" s="523">
        <f t="shared" si="18"/>
        <v>0.77418277297578086</v>
      </c>
      <c r="J121" s="523">
        <f t="shared" si="18"/>
        <v>0.77418277297578086</v>
      </c>
      <c r="K121" s="523">
        <f t="shared" si="18"/>
        <v>0.77418277297578086</v>
      </c>
      <c r="L121" s="523">
        <f t="shared" si="18"/>
        <v>0.77418277297578086</v>
      </c>
    </row>
    <row r="122" spans="2:12">
      <c r="B122" s="8" t="str">
        <f t="shared" si="16"/>
        <v>Business Studies</v>
      </c>
      <c r="C122" s="550">
        <f>Data_selected_by_user_testing!D160</f>
        <v>0.7018035937417032</v>
      </c>
      <c r="D122" s="523">
        <f t="shared" si="18"/>
        <v>0.7018035937417032</v>
      </c>
      <c r="E122" s="523">
        <f t="shared" si="18"/>
        <v>0.7018035937417032</v>
      </c>
      <c r="F122" s="523">
        <f t="shared" si="18"/>
        <v>0.7018035937417032</v>
      </c>
      <c r="G122" s="523">
        <f t="shared" si="18"/>
        <v>0.7018035937417032</v>
      </c>
      <c r="H122" s="523">
        <f t="shared" si="18"/>
        <v>0.7018035937417032</v>
      </c>
      <c r="I122" s="523">
        <f t="shared" si="18"/>
        <v>0.7018035937417032</v>
      </c>
      <c r="J122" s="523">
        <f t="shared" si="18"/>
        <v>0.7018035937417032</v>
      </c>
      <c r="K122" s="523">
        <f t="shared" si="18"/>
        <v>0.7018035937417032</v>
      </c>
      <c r="L122" s="523">
        <f t="shared" si="18"/>
        <v>0.7018035937417032</v>
      </c>
    </row>
    <row r="123" spans="2:12">
      <c r="B123" s="8" t="str">
        <f t="shared" si="16"/>
        <v>Chemistry</v>
      </c>
      <c r="C123" s="550">
        <f>Data_selected_by_user_testing!D161</f>
        <v>0.76362813176174793</v>
      </c>
      <c r="D123" s="523">
        <f t="shared" si="18"/>
        <v>0.76362813176174793</v>
      </c>
      <c r="E123" s="523">
        <f t="shared" si="18"/>
        <v>0.76362813176174793</v>
      </c>
      <c r="F123" s="523">
        <f t="shared" si="18"/>
        <v>0.76362813176174793</v>
      </c>
      <c r="G123" s="523">
        <f t="shared" si="18"/>
        <v>0.76362813176174793</v>
      </c>
      <c r="H123" s="523">
        <f t="shared" si="18"/>
        <v>0.76362813176174793</v>
      </c>
      <c r="I123" s="523">
        <f t="shared" si="18"/>
        <v>0.76362813176174793</v>
      </c>
      <c r="J123" s="523">
        <f t="shared" si="18"/>
        <v>0.76362813176174793</v>
      </c>
      <c r="K123" s="523">
        <f t="shared" si="18"/>
        <v>0.76362813176174793</v>
      </c>
      <c r="L123" s="523">
        <f t="shared" si="18"/>
        <v>0.76362813176174793</v>
      </c>
    </row>
    <row r="124" spans="2:12">
      <c r="B124" s="8" t="str">
        <f t="shared" si="16"/>
        <v>Classics</v>
      </c>
      <c r="C124" s="550">
        <f>Data_selected_by_user_testing!D162</f>
        <v>0.7018035937417032</v>
      </c>
      <c r="D124" s="523">
        <f t="shared" si="18"/>
        <v>0.7018035937417032</v>
      </c>
      <c r="E124" s="523">
        <f t="shared" si="18"/>
        <v>0.7018035937417032</v>
      </c>
      <c r="F124" s="523">
        <f t="shared" si="18"/>
        <v>0.7018035937417032</v>
      </c>
      <c r="G124" s="523">
        <f t="shared" si="18"/>
        <v>0.7018035937417032</v>
      </c>
      <c r="H124" s="523">
        <f t="shared" si="18"/>
        <v>0.7018035937417032</v>
      </c>
      <c r="I124" s="523">
        <f t="shared" si="18"/>
        <v>0.7018035937417032</v>
      </c>
      <c r="J124" s="523">
        <f t="shared" si="18"/>
        <v>0.7018035937417032</v>
      </c>
      <c r="K124" s="523">
        <f t="shared" si="18"/>
        <v>0.7018035937417032</v>
      </c>
      <c r="L124" s="523">
        <f t="shared" si="18"/>
        <v>0.7018035937417032</v>
      </c>
    </row>
    <row r="125" spans="2:12">
      <c r="B125" s="8" t="str">
        <f t="shared" si="16"/>
        <v>Computing</v>
      </c>
      <c r="C125" s="550">
        <f>Data_selected_by_user_testing!D163</f>
        <v>0.71621124010954529</v>
      </c>
      <c r="D125" s="523">
        <f t="shared" si="18"/>
        <v>0.71621124010954529</v>
      </c>
      <c r="E125" s="523">
        <f t="shared" si="18"/>
        <v>0.71621124010954529</v>
      </c>
      <c r="F125" s="523">
        <f t="shared" si="18"/>
        <v>0.71621124010954529</v>
      </c>
      <c r="G125" s="523">
        <f t="shared" si="18"/>
        <v>0.71621124010954529</v>
      </c>
      <c r="H125" s="523">
        <f t="shared" si="18"/>
        <v>0.71621124010954529</v>
      </c>
      <c r="I125" s="523">
        <f t="shared" si="18"/>
        <v>0.71621124010954529</v>
      </c>
      <c r="J125" s="523">
        <f t="shared" si="18"/>
        <v>0.71621124010954529</v>
      </c>
      <c r="K125" s="523">
        <f t="shared" si="18"/>
        <v>0.71621124010954529</v>
      </c>
      <c r="L125" s="523">
        <f t="shared" si="18"/>
        <v>0.71621124010954529</v>
      </c>
    </row>
    <row r="126" spans="2:12">
      <c r="B126" s="8" t="str">
        <f t="shared" si="16"/>
        <v>Design &amp; Technology</v>
      </c>
      <c r="C126" s="550">
        <f>Data_selected_by_user_testing!D164</f>
        <v>0.73987837168102821</v>
      </c>
      <c r="D126" s="523">
        <f t="shared" si="18"/>
        <v>0.73987837168102821</v>
      </c>
      <c r="E126" s="523">
        <f t="shared" si="18"/>
        <v>0.73987837168102821</v>
      </c>
      <c r="F126" s="523">
        <f t="shared" si="18"/>
        <v>0.73987837168102821</v>
      </c>
      <c r="G126" s="523">
        <f t="shared" si="18"/>
        <v>0.73987837168102821</v>
      </c>
      <c r="H126" s="523">
        <f t="shared" si="18"/>
        <v>0.73987837168102821</v>
      </c>
      <c r="I126" s="523">
        <f t="shared" si="18"/>
        <v>0.73987837168102821</v>
      </c>
      <c r="J126" s="523">
        <f t="shared" si="18"/>
        <v>0.73987837168102821</v>
      </c>
      <c r="K126" s="523">
        <f t="shared" si="18"/>
        <v>0.73987837168102821</v>
      </c>
      <c r="L126" s="523">
        <f t="shared" si="18"/>
        <v>0.73987837168102821</v>
      </c>
    </row>
    <row r="127" spans="2:12">
      <c r="B127" s="8" t="str">
        <f t="shared" si="16"/>
        <v>Drama</v>
      </c>
      <c r="C127" s="550">
        <f>Data_selected_by_user_testing!D165</f>
        <v>0.7018035937417032</v>
      </c>
      <c r="D127" s="523">
        <f t="shared" si="18"/>
        <v>0.7018035937417032</v>
      </c>
      <c r="E127" s="523">
        <f t="shared" si="18"/>
        <v>0.7018035937417032</v>
      </c>
      <c r="F127" s="523">
        <f t="shared" si="18"/>
        <v>0.7018035937417032</v>
      </c>
      <c r="G127" s="523">
        <f t="shared" si="18"/>
        <v>0.7018035937417032</v>
      </c>
      <c r="H127" s="523">
        <f t="shared" si="18"/>
        <v>0.7018035937417032</v>
      </c>
      <c r="I127" s="523">
        <f t="shared" si="18"/>
        <v>0.7018035937417032</v>
      </c>
      <c r="J127" s="523">
        <f t="shared" si="18"/>
        <v>0.7018035937417032</v>
      </c>
      <c r="K127" s="523">
        <f t="shared" si="18"/>
        <v>0.7018035937417032</v>
      </c>
      <c r="L127" s="523">
        <f t="shared" si="18"/>
        <v>0.7018035937417032</v>
      </c>
    </row>
    <row r="128" spans="2:12">
      <c r="B128" s="8" t="str">
        <f t="shared" si="16"/>
        <v>English</v>
      </c>
      <c r="C128" s="550">
        <f>Data_selected_by_user_testing!D166</f>
        <v>0.85247941912230762</v>
      </c>
      <c r="D128" s="523">
        <f t="shared" si="18"/>
        <v>0.85247941912230762</v>
      </c>
      <c r="E128" s="523">
        <f t="shared" si="18"/>
        <v>0.85247941912230762</v>
      </c>
      <c r="F128" s="523">
        <f t="shared" si="18"/>
        <v>0.85247941912230762</v>
      </c>
      <c r="G128" s="523">
        <f t="shared" si="18"/>
        <v>0.85247941912230762</v>
      </c>
      <c r="H128" s="523">
        <f t="shared" si="18"/>
        <v>0.85247941912230762</v>
      </c>
      <c r="I128" s="523">
        <f t="shared" si="18"/>
        <v>0.85247941912230762</v>
      </c>
      <c r="J128" s="523">
        <f t="shared" si="18"/>
        <v>0.85247941912230762</v>
      </c>
      <c r="K128" s="523">
        <f t="shared" si="18"/>
        <v>0.85247941912230762</v>
      </c>
      <c r="L128" s="523">
        <f t="shared" si="18"/>
        <v>0.85247941912230762</v>
      </c>
    </row>
    <row r="129" spans="2:12">
      <c r="B129" s="8" t="str">
        <f t="shared" si="16"/>
        <v>Food</v>
      </c>
      <c r="C129" s="550">
        <f>Data_selected_by_user_testing!D167</f>
        <v>0.7018035937417032</v>
      </c>
      <c r="D129" s="523">
        <f t="shared" si="18"/>
        <v>0.7018035937417032</v>
      </c>
      <c r="E129" s="523">
        <f t="shared" si="18"/>
        <v>0.7018035937417032</v>
      </c>
      <c r="F129" s="523">
        <f t="shared" si="18"/>
        <v>0.7018035937417032</v>
      </c>
      <c r="G129" s="523">
        <f t="shared" si="18"/>
        <v>0.7018035937417032</v>
      </c>
      <c r="H129" s="523">
        <f t="shared" si="18"/>
        <v>0.7018035937417032</v>
      </c>
      <c r="I129" s="523">
        <f t="shared" si="18"/>
        <v>0.7018035937417032</v>
      </c>
      <c r="J129" s="523">
        <f t="shared" si="18"/>
        <v>0.7018035937417032</v>
      </c>
      <c r="K129" s="523">
        <f t="shared" si="18"/>
        <v>0.7018035937417032</v>
      </c>
      <c r="L129" s="523">
        <f t="shared" si="18"/>
        <v>0.7018035937417032</v>
      </c>
    </row>
    <row r="130" spans="2:12">
      <c r="B130" s="8" t="str">
        <f t="shared" si="16"/>
        <v>Geography</v>
      </c>
      <c r="C130" s="550">
        <f>Data_selected_by_user_testing!D168</f>
        <v>0.81143624116313195</v>
      </c>
      <c r="D130" s="523">
        <f t="shared" si="18"/>
        <v>0.81143624116313195</v>
      </c>
      <c r="E130" s="523">
        <f t="shared" si="18"/>
        <v>0.81143624116313195</v>
      </c>
      <c r="F130" s="523">
        <f t="shared" si="18"/>
        <v>0.81143624116313195</v>
      </c>
      <c r="G130" s="523">
        <f t="shared" si="18"/>
        <v>0.81143624116313195</v>
      </c>
      <c r="H130" s="523">
        <f t="shared" si="18"/>
        <v>0.81143624116313195</v>
      </c>
      <c r="I130" s="523">
        <f t="shared" si="18"/>
        <v>0.81143624116313195</v>
      </c>
      <c r="J130" s="523">
        <f t="shared" si="18"/>
        <v>0.81143624116313195</v>
      </c>
      <c r="K130" s="523">
        <f t="shared" si="18"/>
        <v>0.81143624116313195</v>
      </c>
      <c r="L130" s="523">
        <f t="shared" si="18"/>
        <v>0.81143624116313195</v>
      </c>
    </row>
    <row r="131" spans="2:12">
      <c r="B131" s="8" t="str">
        <f t="shared" si="16"/>
        <v>History</v>
      </c>
      <c r="C131" s="550">
        <f>Data_selected_by_user_testing!D169</f>
        <v>0.8803475751301838</v>
      </c>
      <c r="D131" s="523">
        <f t="shared" si="18"/>
        <v>0.8803475751301838</v>
      </c>
      <c r="E131" s="523">
        <f t="shared" si="18"/>
        <v>0.8803475751301838</v>
      </c>
      <c r="F131" s="523">
        <f t="shared" si="18"/>
        <v>0.8803475751301838</v>
      </c>
      <c r="G131" s="523">
        <f t="shared" si="18"/>
        <v>0.8803475751301838</v>
      </c>
      <c r="H131" s="523">
        <f t="shared" si="18"/>
        <v>0.8803475751301838</v>
      </c>
      <c r="I131" s="523">
        <f t="shared" si="18"/>
        <v>0.8803475751301838</v>
      </c>
      <c r="J131" s="523">
        <f t="shared" si="18"/>
        <v>0.8803475751301838</v>
      </c>
      <c r="K131" s="523">
        <f t="shared" si="18"/>
        <v>0.8803475751301838</v>
      </c>
      <c r="L131" s="523">
        <f t="shared" si="18"/>
        <v>0.8803475751301838</v>
      </c>
    </row>
    <row r="132" spans="2:12">
      <c r="B132" s="8" t="str">
        <f t="shared" si="16"/>
        <v>Mathematics</v>
      </c>
      <c r="C132" s="550">
        <f>Data_selected_by_user_testing!D170</f>
        <v>0.82632651234210708</v>
      </c>
      <c r="D132" s="523">
        <f t="shared" si="18"/>
        <v>0.82632651234210708</v>
      </c>
      <c r="E132" s="523">
        <f t="shared" si="18"/>
        <v>0.82632651234210708</v>
      </c>
      <c r="F132" s="523">
        <f t="shared" si="18"/>
        <v>0.82632651234210708</v>
      </c>
      <c r="G132" s="523">
        <f t="shared" si="18"/>
        <v>0.82632651234210708</v>
      </c>
      <c r="H132" s="523">
        <f t="shared" si="18"/>
        <v>0.82632651234210708</v>
      </c>
      <c r="I132" s="523">
        <f t="shared" si="18"/>
        <v>0.82632651234210708</v>
      </c>
      <c r="J132" s="523">
        <f t="shared" si="18"/>
        <v>0.82632651234210708</v>
      </c>
      <c r="K132" s="523">
        <f t="shared" si="18"/>
        <v>0.82632651234210708</v>
      </c>
      <c r="L132" s="523">
        <f t="shared" si="18"/>
        <v>0.82632651234210708</v>
      </c>
    </row>
    <row r="133" spans="2:12">
      <c r="B133" s="8" t="str">
        <f t="shared" si="16"/>
        <v>Modern Foreign Languages</v>
      </c>
      <c r="C133" s="550">
        <f>Data_selected_by_user_testing!D171</f>
        <v>0.82621782631181129</v>
      </c>
      <c r="D133" s="523">
        <f t="shared" si="18"/>
        <v>0.82621782631181129</v>
      </c>
      <c r="E133" s="523">
        <f t="shared" si="18"/>
        <v>0.82621782631181129</v>
      </c>
      <c r="F133" s="523">
        <f t="shared" si="18"/>
        <v>0.82621782631181129</v>
      </c>
      <c r="G133" s="523">
        <f t="shared" si="18"/>
        <v>0.82621782631181129</v>
      </c>
      <c r="H133" s="523">
        <f t="shared" si="18"/>
        <v>0.82621782631181129</v>
      </c>
      <c r="I133" s="523">
        <f t="shared" si="18"/>
        <v>0.82621782631181129</v>
      </c>
      <c r="J133" s="523">
        <f t="shared" si="18"/>
        <v>0.82621782631181129</v>
      </c>
      <c r="K133" s="523">
        <f t="shared" si="18"/>
        <v>0.82621782631181129</v>
      </c>
      <c r="L133" s="523">
        <f t="shared" si="18"/>
        <v>0.82621782631181129</v>
      </c>
    </row>
    <row r="134" spans="2:12">
      <c r="B134" s="8" t="str">
        <f t="shared" si="16"/>
        <v>Music</v>
      </c>
      <c r="C134" s="550">
        <f>Data_selected_by_user_testing!D172</f>
        <v>0.85666666666666669</v>
      </c>
      <c r="D134" s="523">
        <f t="shared" si="18"/>
        <v>0.85666666666666669</v>
      </c>
      <c r="E134" s="523">
        <f t="shared" si="18"/>
        <v>0.85666666666666669</v>
      </c>
      <c r="F134" s="523">
        <f t="shared" si="18"/>
        <v>0.85666666666666669</v>
      </c>
      <c r="G134" s="523">
        <f t="shared" si="18"/>
        <v>0.85666666666666669</v>
      </c>
      <c r="H134" s="523">
        <f t="shared" si="18"/>
        <v>0.85666666666666669</v>
      </c>
      <c r="I134" s="523">
        <f t="shared" si="18"/>
        <v>0.85666666666666669</v>
      </c>
      <c r="J134" s="523">
        <f t="shared" si="18"/>
        <v>0.85666666666666669</v>
      </c>
      <c r="K134" s="523">
        <f t="shared" si="18"/>
        <v>0.85666666666666669</v>
      </c>
      <c r="L134" s="523">
        <f t="shared" si="18"/>
        <v>0.85666666666666669</v>
      </c>
    </row>
    <row r="135" spans="2:12">
      <c r="B135" s="8" t="str">
        <f t="shared" si="16"/>
        <v>Others</v>
      </c>
      <c r="C135" s="550">
        <f>Data_selected_by_user_testing!D173</f>
        <v>0.90180359374170316</v>
      </c>
      <c r="D135" s="523">
        <f t="shared" si="18"/>
        <v>0.90180359374170316</v>
      </c>
      <c r="E135" s="523">
        <f t="shared" si="18"/>
        <v>0.90180359374170316</v>
      </c>
      <c r="F135" s="523">
        <f t="shared" si="18"/>
        <v>0.90180359374170316</v>
      </c>
      <c r="G135" s="523">
        <f t="shared" si="18"/>
        <v>0.90180359374170316</v>
      </c>
      <c r="H135" s="523">
        <f t="shared" si="18"/>
        <v>0.90180359374170316</v>
      </c>
      <c r="I135" s="523">
        <f t="shared" si="18"/>
        <v>0.90180359374170316</v>
      </c>
      <c r="J135" s="523">
        <f t="shared" si="18"/>
        <v>0.90180359374170316</v>
      </c>
      <c r="K135" s="523">
        <f t="shared" si="18"/>
        <v>0.90180359374170316</v>
      </c>
      <c r="L135" s="523">
        <f t="shared" si="18"/>
        <v>0.90180359374170316</v>
      </c>
    </row>
    <row r="136" spans="2:12">
      <c r="B136" s="8" t="str">
        <f t="shared" si="16"/>
        <v>Physical Education</v>
      </c>
      <c r="C136" s="550">
        <f>Data_selected_by_user_testing!D174</f>
        <v>0.74404661295893915</v>
      </c>
      <c r="D136" s="523">
        <f t="shared" si="18"/>
        <v>0.74404661295893915</v>
      </c>
      <c r="E136" s="523">
        <f t="shared" si="18"/>
        <v>0.74404661295893915</v>
      </c>
      <c r="F136" s="523">
        <f t="shared" si="18"/>
        <v>0.74404661295893915</v>
      </c>
      <c r="G136" s="523">
        <f t="shared" si="18"/>
        <v>0.74404661295893915</v>
      </c>
      <c r="H136" s="523">
        <f t="shared" si="18"/>
        <v>0.74404661295893915</v>
      </c>
      <c r="I136" s="523">
        <f t="shared" si="18"/>
        <v>0.74404661295893915</v>
      </c>
      <c r="J136" s="523">
        <f t="shared" si="18"/>
        <v>0.74404661295893915</v>
      </c>
      <c r="K136" s="523">
        <f t="shared" si="18"/>
        <v>0.74404661295893915</v>
      </c>
      <c r="L136" s="523">
        <f t="shared" si="18"/>
        <v>0.74404661295893915</v>
      </c>
    </row>
    <row r="137" spans="2:12">
      <c r="B137" s="8" t="str">
        <f t="shared" si="16"/>
        <v>Physics</v>
      </c>
      <c r="C137" s="550">
        <f>Data_selected_by_user_testing!D175</f>
        <v>0.70571428571428574</v>
      </c>
      <c r="D137" s="523">
        <f t="shared" si="18"/>
        <v>0.70571428571428574</v>
      </c>
      <c r="E137" s="523">
        <f t="shared" si="18"/>
        <v>0.70571428571428574</v>
      </c>
      <c r="F137" s="523">
        <f t="shared" si="18"/>
        <v>0.70571428571428574</v>
      </c>
      <c r="G137" s="523">
        <f t="shared" si="18"/>
        <v>0.70571428571428574</v>
      </c>
      <c r="H137" s="523">
        <f t="shared" si="18"/>
        <v>0.70571428571428574</v>
      </c>
      <c r="I137" s="523">
        <f t="shared" si="18"/>
        <v>0.70571428571428574</v>
      </c>
      <c r="J137" s="523">
        <f t="shared" si="18"/>
        <v>0.70571428571428574</v>
      </c>
      <c r="K137" s="523">
        <f t="shared" si="18"/>
        <v>0.70571428571428574</v>
      </c>
      <c r="L137" s="523">
        <f t="shared" si="18"/>
        <v>0.70571428571428574</v>
      </c>
    </row>
    <row r="138" spans="2:12">
      <c r="B138" s="8" t="str">
        <f t="shared" si="16"/>
        <v>Religious Education</v>
      </c>
      <c r="C138" s="550">
        <f>Data_selected_by_user_testing!D176</f>
        <v>0.81897804795677143</v>
      </c>
      <c r="D138" s="523">
        <f t="shared" si="18"/>
        <v>0.81897804795677143</v>
      </c>
      <c r="E138" s="523">
        <f t="shared" si="18"/>
        <v>0.81897804795677143</v>
      </c>
      <c r="F138" s="523">
        <f t="shared" si="18"/>
        <v>0.81897804795677143</v>
      </c>
      <c r="G138" s="523">
        <f t="shared" si="18"/>
        <v>0.81897804795677143</v>
      </c>
      <c r="H138" s="523">
        <f t="shared" si="18"/>
        <v>0.81897804795677143</v>
      </c>
      <c r="I138" s="523">
        <f t="shared" si="18"/>
        <v>0.81897804795677143</v>
      </c>
      <c r="J138" s="523">
        <f t="shared" si="18"/>
        <v>0.81897804795677143</v>
      </c>
      <c r="K138" s="523">
        <f t="shared" si="18"/>
        <v>0.81897804795677143</v>
      </c>
      <c r="L138" s="523">
        <f t="shared" si="18"/>
        <v>0.81897804795677143</v>
      </c>
    </row>
    <row r="140" spans="2:12" ht="15.75">
      <c r="B140" s="78" t="s">
        <v>1635</v>
      </c>
    </row>
    <row r="142" spans="2:12">
      <c r="B142" s="8" t="s">
        <v>62</v>
      </c>
      <c r="C142" s="574" t="str">
        <f>C118</f>
        <v>2016/17</v>
      </c>
      <c r="D142" s="574" t="str">
        <f t="shared" ref="D142:L142" si="19">D118</f>
        <v>2018/19</v>
      </c>
      <c r="E142" s="574" t="str">
        <f t="shared" si="19"/>
        <v>2019/20</v>
      </c>
      <c r="F142" s="574" t="str">
        <f t="shared" si="19"/>
        <v>2020/21</v>
      </c>
      <c r="G142" s="574" t="str">
        <f t="shared" si="19"/>
        <v>2021/22</v>
      </c>
      <c r="H142" s="574" t="str">
        <f t="shared" si="19"/>
        <v>2022/23</v>
      </c>
      <c r="I142" s="574" t="str">
        <f t="shared" si="19"/>
        <v>2023/24</v>
      </c>
      <c r="J142" s="574" t="str">
        <f t="shared" si="19"/>
        <v>2024/25</v>
      </c>
      <c r="K142" s="574" t="str">
        <f t="shared" si="19"/>
        <v>2025/26</v>
      </c>
      <c r="L142" s="152" t="str">
        <f t="shared" si="19"/>
        <v>2026/27</v>
      </c>
    </row>
    <row r="143" spans="2:12">
      <c r="B143" s="8" t="str">
        <f>B41</f>
        <v>Primary</v>
      </c>
      <c r="C143" s="685">
        <f>C41*C95</f>
        <v>4477.146896211083</v>
      </c>
      <c r="D143" s="685">
        <f t="shared" ref="D143:L143" si="20">D41*D95</f>
        <v>4477.146896211083</v>
      </c>
      <c r="E143" s="685">
        <f t="shared" si="20"/>
        <v>4477.146896211083</v>
      </c>
      <c r="F143" s="685">
        <f t="shared" si="20"/>
        <v>4477.146896211083</v>
      </c>
      <c r="G143" s="685">
        <f t="shared" si="20"/>
        <v>4477.146896211083</v>
      </c>
      <c r="H143" s="685">
        <f t="shared" si="20"/>
        <v>4477.146896211083</v>
      </c>
      <c r="I143" s="685">
        <f t="shared" si="20"/>
        <v>4477.146896211083</v>
      </c>
      <c r="J143" s="685">
        <f t="shared" si="20"/>
        <v>4477.146896211083</v>
      </c>
      <c r="K143" s="685">
        <f t="shared" si="20"/>
        <v>4477.146896211083</v>
      </c>
      <c r="L143" s="685">
        <f t="shared" si="20"/>
        <v>4477.146896211083</v>
      </c>
    </row>
    <row r="144" spans="2:12">
      <c r="B144" s="8" t="str">
        <f t="shared" ref="B144:B164" si="21">B42</f>
        <v>Art &amp; Design</v>
      </c>
      <c r="C144" s="685">
        <f t="shared" ref="C144:L162" si="22">C42*C96</f>
        <v>0</v>
      </c>
      <c r="D144" s="685">
        <f t="shared" si="22"/>
        <v>0</v>
      </c>
      <c r="E144" s="685">
        <f t="shared" si="22"/>
        <v>0</v>
      </c>
      <c r="F144" s="685">
        <f t="shared" si="22"/>
        <v>0</v>
      </c>
      <c r="G144" s="685">
        <f t="shared" si="22"/>
        <v>0</v>
      </c>
      <c r="H144" s="685">
        <f t="shared" si="22"/>
        <v>0</v>
      </c>
      <c r="I144" s="685">
        <f t="shared" si="22"/>
        <v>0</v>
      </c>
      <c r="J144" s="685">
        <f t="shared" si="22"/>
        <v>0</v>
      </c>
      <c r="K144" s="685">
        <f t="shared" si="22"/>
        <v>0</v>
      </c>
      <c r="L144" s="685">
        <f t="shared" si="22"/>
        <v>0</v>
      </c>
    </row>
    <row r="145" spans="2:12">
      <c r="B145" s="8" t="str">
        <f t="shared" si="21"/>
        <v>Biology</v>
      </c>
      <c r="C145" s="685">
        <f t="shared" si="22"/>
        <v>14.728204543388873</v>
      </c>
      <c r="D145" s="685">
        <f t="shared" si="22"/>
        <v>14.728204543388873</v>
      </c>
      <c r="E145" s="685">
        <f t="shared" si="22"/>
        <v>14.728204543388873</v>
      </c>
      <c r="F145" s="685">
        <f t="shared" si="22"/>
        <v>14.728204543388873</v>
      </c>
      <c r="G145" s="685">
        <f t="shared" si="22"/>
        <v>14.728204543388873</v>
      </c>
      <c r="H145" s="685">
        <f t="shared" si="22"/>
        <v>14.728204543388873</v>
      </c>
      <c r="I145" s="685">
        <f t="shared" si="22"/>
        <v>14.728204543388873</v>
      </c>
      <c r="J145" s="685">
        <f t="shared" si="22"/>
        <v>14.728204543388873</v>
      </c>
      <c r="K145" s="685">
        <f t="shared" si="22"/>
        <v>14.728204543388873</v>
      </c>
      <c r="L145" s="685">
        <f t="shared" si="22"/>
        <v>14.728204543388873</v>
      </c>
    </row>
    <row r="146" spans="2:12">
      <c r="B146" s="8" t="str">
        <f t="shared" si="21"/>
        <v>Business Studies</v>
      </c>
      <c r="C146" s="685">
        <f t="shared" si="22"/>
        <v>0</v>
      </c>
      <c r="D146" s="685">
        <f t="shared" si="22"/>
        <v>0</v>
      </c>
      <c r="E146" s="685">
        <f t="shared" si="22"/>
        <v>0</v>
      </c>
      <c r="F146" s="685">
        <f t="shared" si="22"/>
        <v>0</v>
      </c>
      <c r="G146" s="685">
        <f t="shared" si="22"/>
        <v>0</v>
      </c>
      <c r="H146" s="685">
        <f t="shared" si="22"/>
        <v>0</v>
      </c>
      <c r="I146" s="685">
        <f t="shared" si="22"/>
        <v>0</v>
      </c>
      <c r="J146" s="685">
        <f t="shared" si="22"/>
        <v>0</v>
      </c>
      <c r="K146" s="685">
        <f t="shared" si="22"/>
        <v>0</v>
      </c>
      <c r="L146" s="685">
        <f t="shared" si="22"/>
        <v>0</v>
      </c>
    </row>
    <row r="147" spans="2:12">
      <c r="B147" s="8" t="str">
        <f t="shared" si="21"/>
        <v>Chemistry</v>
      </c>
      <c r="C147" s="685">
        <f t="shared" si="22"/>
        <v>6.8224172359673982</v>
      </c>
      <c r="D147" s="685">
        <f t="shared" si="22"/>
        <v>6.8224172359673982</v>
      </c>
      <c r="E147" s="685">
        <f t="shared" si="22"/>
        <v>6.8224172359673982</v>
      </c>
      <c r="F147" s="685">
        <f t="shared" si="22"/>
        <v>6.8224172359673982</v>
      </c>
      <c r="G147" s="685">
        <f t="shared" si="22"/>
        <v>6.8224172359673982</v>
      </c>
      <c r="H147" s="685">
        <f t="shared" si="22"/>
        <v>6.8224172359673982</v>
      </c>
      <c r="I147" s="685">
        <f t="shared" si="22"/>
        <v>6.8224172359673982</v>
      </c>
      <c r="J147" s="685">
        <f t="shared" si="22"/>
        <v>6.8224172359673982</v>
      </c>
      <c r="K147" s="685">
        <f t="shared" si="22"/>
        <v>6.8224172359673982</v>
      </c>
      <c r="L147" s="685">
        <f t="shared" si="22"/>
        <v>6.8224172359673982</v>
      </c>
    </row>
    <row r="148" spans="2:12">
      <c r="B148" s="8" t="str">
        <f t="shared" si="21"/>
        <v>Classics</v>
      </c>
      <c r="C148" s="685">
        <f t="shared" si="22"/>
        <v>0</v>
      </c>
      <c r="D148" s="685">
        <f t="shared" si="22"/>
        <v>0</v>
      </c>
      <c r="E148" s="685">
        <f t="shared" si="22"/>
        <v>0</v>
      </c>
      <c r="F148" s="685">
        <f t="shared" si="22"/>
        <v>0</v>
      </c>
      <c r="G148" s="685">
        <f t="shared" si="22"/>
        <v>0</v>
      </c>
      <c r="H148" s="685">
        <f t="shared" si="22"/>
        <v>0</v>
      </c>
      <c r="I148" s="685">
        <f t="shared" si="22"/>
        <v>0</v>
      </c>
      <c r="J148" s="685">
        <f t="shared" si="22"/>
        <v>0</v>
      </c>
      <c r="K148" s="685">
        <f t="shared" si="22"/>
        <v>0</v>
      </c>
      <c r="L148" s="685">
        <f t="shared" si="22"/>
        <v>0</v>
      </c>
    </row>
    <row r="149" spans="2:12">
      <c r="B149" s="8" t="str">
        <f t="shared" si="21"/>
        <v>Computing</v>
      </c>
      <c r="C149" s="685">
        <f t="shared" si="22"/>
        <v>0</v>
      </c>
      <c r="D149" s="685">
        <f t="shared" si="22"/>
        <v>0</v>
      </c>
      <c r="E149" s="685">
        <f t="shared" si="22"/>
        <v>0</v>
      </c>
      <c r="F149" s="685">
        <f t="shared" si="22"/>
        <v>0</v>
      </c>
      <c r="G149" s="685">
        <f t="shared" si="22"/>
        <v>0</v>
      </c>
      <c r="H149" s="685">
        <f t="shared" si="22"/>
        <v>0</v>
      </c>
      <c r="I149" s="685">
        <f t="shared" si="22"/>
        <v>0</v>
      </c>
      <c r="J149" s="685">
        <f t="shared" si="22"/>
        <v>0</v>
      </c>
      <c r="K149" s="685">
        <f t="shared" si="22"/>
        <v>0</v>
      </c>
      <c r="L149" s="685">
        <f t="shared" si="22"/>
        <v>0</v>
      </c>
    </row>
    <row r="150" spans="2:12">
      <c r="B150" s="8" t="str">
        <f t="shared" si="21"/>
        <v>Design &amp; Technology</v>
      </c>
      <c r="C150" s="685">
        <f t="shared" si="22"/>
        <v>22.359090622817309</v>
      </c>
      <c r="D150" s="685">
        <f t="shared" si="22"/>
        <v>22.359090622817309</v>
      </c>
      <c r="E150" s="685">
        <f t="shared" si="22"/>
        <v>22.359090622817309</v>
      </c>
      <c r="F150" s="685">
        <f t="shared" si="22"/>
        <v>22.359090622817309</v>
      </c>
      <c r="G150" s="685">
        <f t="shared" si="22"/>
        <v>22.359090622817309</v>
      </c>
      <c r="H150" s="685">
        <f t="shared" si="22"/>
        <v>22.359090622817309</v>
      </c>
      <c r="I150" s="685">
        <f t="shared" si="22"/>
        <v>22.359090622817309</v>
      </c>
      <c r="J150" s="685">
        <f t="shared" si="22"/>
        <v>22.359090622817309</v>
      </c>
      <c r="K150" s="685">
        <f t="shared" si="22"/>
        <v>22.359090622817309</v>
      </c>
      <c r="L150" s="685">
        <f t="shared" si="22"/>
        <v>22.359090622817309</v>
      </c>
    </row>
    <row r="151" spans="2:12">
      <c r="B151" s="8" t="str">
        <f t="shared" si="21"/>
        <v>Drama</v>
      </c>
      <c r="C151" s="685">
        <f t="shared" si="22"/>
        <v>0</v>
      </c>
      <c r="D151" s="685">
        <f t="shared" si="22"/>
        <v>0</v>
      </c>
      <c r="E151" s="685">
        <f t="shared" si="22"/>
        <v>0</v>
      </c>
      <c r="F151" s="685">
        <f t="shared" si="22"/>
        <v>0</v>
      </c>
      <c r="G151" s="685">
        <f t="shared" si="22"/>
        <v>0</v>
      </c>
      <c r="H151" s="685">
        <f t="shared" si="22"/>
        <v>0</v>
      </c>
      <c r="I151" s="685">
        <f t="shared" si="22"/>
        <v>0</v>
      </c>
      <c r="J151" s="685">
        <f t="shared" si="22"/>
        <v>0</v>
      </c>
      <c r="K151" s="685">
        <f t="shared" si="22"/>
        <v>0</v>
      </c>
      <c r="L151" s="685">
        <f t="shared" si="22"/>
        <v>0</v>
      </c>
    </row>
    <row r="152" spans="2:12">
      <c r="B152" s="8" t="str">
        <f t="shared" si="21"/>
        <v>English</v>
      </c>
      <c r="C152" s="685">
        <f t="shared" si="22"/>
        <v>30.226468760618115</v>
      </c>
      <c r="D152" s="685">
        <f t="shared" si="22"/>
        <v>30.226468760618115</v>
      </c>
      <c r="E152" s="685">
        <f t="shared" si="22"/>
        <v>30.226468760618115</v>
      </c>
      <c r="F152" s="685">
        <f t="shared" si="22"/>
        <v>30.226468760618115</v>
      </c>
      <c r="G152" s="685">
        <f t="shared" si="22"/>
        <v>30.226468760618115</v>
      </c>
      <c r="H152" s="685">
        <f t="shared" si="22"/>
        <v>30.226468760618115</v>
      </c>
      <c r="I152" s="685">
        <f t="shared" si="22"/>
        <v>30.226468760618115</v>
      </c>
      <c r="J152" s="685">
        <f t="shared" si="22"/>
        <v>30.226468760618115</v>
      </c>
      <c r="K152" s="685">
        <f t="shared" si="22"/>
        <v>30.226468760618115</v>
      </c>
      <c r="L152" s="685">
        <f t="shared" si="22"/>
        <v>30.226468760618115</v>
      </c>
    </row>
    <row r="153" spans="2:12">
      <c r="B153" s="8" t="str">
        <f t="shared" si="21"/>
        <v>Food</v>
      </c>
      <c r="C153" s="685">
        <f t="shared" si="22"/>
        <v>0</v>
      </c>
      <c r="D153" s="685">
        <f t="shared" si="22"/>
        <v>0</v>
      </c>
      <c r="E153" s="685">
        <f t="shared" si="22"/>
        <v>0</v>
      </c>
      <c r="F153" s="685">
        <f t="shared" si="22"/>
        <v>0</v>
      </c>
      <c r="G153" s="685">
        <f t="shared" si="22"/>
        <v>0</v>
      </c>
      <c r="H153" s="685">
        <f t="shared" si="22"/>
        <v>0</v>
      </c>
      <c r="I153" s="685">
        <f t="shared" si="22"/>
        <v>0</v>
      </c>
      <c r="J153" s="685">
        <f t="shared" si="22"/>
        <v>0</v>
      </c>
      <c r="K153" s="685">
        <f t="shared" si="22"/>
        <v>0</v>
      </c>
      <c r="L153" s="685">
        <f t="shared" si="22"/>
        <v>0</v>
      </c>
    </row>
    <row r="154" spans="2:12">
      <c r="B154" s="8" t="str">
        <f t="shared" si="21"/>
        <v>Geography</v>
      </c>
      <c r="C154" s="685">
        <f t="shared" si="22"/>
        <v>0</v>
      </c>
      <c r="D154" s="685">
        <f t="shared" si="22"/>
        <v>0</v>
      </c>
      <c r="E154" s="685">
        <f t="shared" si="22"/>
        <v>0</v>
      </c>
      <c r="F154" s="685">
        <f t="shared" si="22"/>
        <v>0</v>
      </c>
      <c r="G154" s="685">
        <f t="shared" si="22"/>
        <v>0</v>
      </c>
      <c r="H154" s="685">
        <f t="shared" si="22"/>
        <v>0</v>
      </c>
      <c r="I154" s="685">
        <f t="shared" si="22"/>
        <v>0</v>
      </c>
      <c r="J154" s="685">
        <f t="shared" si="22"/>
        <v>0</v>
      </c>
      <c r="K154" s="685">
        <f t="shared" si="22"/>
        <v>0</v>
      </c>
      <c r="L154" s="685">
        <f t="shared" si="22"/>
        <v>0</v>
      </c>
    </row>
    <row r="155" spans="2:12">
      <c r="B155" s="8" t="str">
        <f t="shared" si="21"/>
        <v>History</v>
      </c>
      <c r="C155" s="685">
        <f t="shared" si="22"/>
        <v>0</v>
      </c>
      <c r="D155" s="685">
        <f t="shared" si="22"/>
        <v>0</v>
      </c>
      <c r="E155" s="685">
        <f t="shared" si="22"/>
        <v>0</v>
      </c>
      <c r="F155" s="685">
        <f t="shared" si="22"/>
        <v>0</v>
      </c>
      <c r="G155" s="685">
        <f t="shared" si="22"/>
        <v>0</v>
      </c>
      <c r="H155" s="685">
        <f t="shared" si="22"/>
        <v>0</v>
      </c>
      <c r="I155" s="685">
        <f t="shared" si="22"/>
        <v>0</v>
      </c>
      <c r="J155" s="685">
        <f t="shared" si="22"/>
        <v>0</v>
      </c>
      <c r="K155" s="685">
        <f t="shared" si="22"/>
        <v>0</v>
      </c>
      <c r="L155" s="685">
        <f t="shared" si="22"/>
        <v>0</v>
      </c>
    </row>
    <row r="156" spans="2:12">
      <c r="B156" s="8" t="str">
        <f t="shared" si="21"/>
        <v>Mathematics</v>
      </c>
      <c r="C156" s="685">
        <f t="shared" si="22"/>
        <v>83.224217765439619</v>
      </c>
      <c r="D156" s="685">
        <f t="shared" si="22"/>
        <v>83.224217765439619</v>
      </c>
      <c r="E156" s="685">
        <f t="shared" si="22"/>
        <v>83.224217765439619</v>
      </c>
      <c r="F156" s="685">
        <f t="shared" si="22"/>
        <v>83.224217765439619</v>
      </c>
      <c r="G156" s="685">
        <f t="shared" si="22"/>
        <v>83.224217765439619</v>
      </c>
      <c r="H156" s="685">
        <f t="shared" si="22"/>
        <v>83.224217765439619</v>
      </c>
      <c r="I156" s="685">
        <f t="shared" si="22"/>
        <v>83.224217765439619</v>
      </c>
      <c r="J156" s="685">
        <f t="shared" si="22"/>
        <v>83.224217765439619</v>
      </c>
      <c r="K156" s="685">
        <f t="shared" si="22"/>
        <v>83.224217765439619</v>
      </c>
      <c r="L156" s="685">
        <f t="shared" si="22"/>
        <v>83.224217765439619</v>
      </c>
    </row>
    <row r="157" spans="2:12">
      <c r="B157" s="8" t="str">
        <f t="shared" si="21"/>
        <v>Modern Foreign Languages</v>
      </c>
      <c r="C157" s="685">
        <f t="shared" si="22"/>
        <v>4.6721056294695451</v>
      </c>
      <c r="D157" s="685">
        <f t="shared" si="22"/>
        <v>4.6721056294695451</v>
      </c>
      <c r="E157" s="685">
        <f t="shared" si="22"/>
        <v>4.6721056294695451</v>
      </c>
      <c r="F157" s="685">
        <f t="shared" si="22"/>
        <v>4.6721056294695451</v>
      </c>
      <c r="G157" s="685">
        <f t="shared" si="22"/>
        <v>4.6721056294695451</v>
      </c>
      <c r="H157" s="685">
        <f t="shared" si="22"/>
        <v>4.6721056294695451</v>
      </c>
      <c r="I157" s="685">
        <f t="shared" si="22"/>
        <v>4.6721056294695451</v>
      </c>
      <c r="J157" s="685">
        <f t="shared" si="22"/>
        <v>4.6721056294695451</v>
      </c>
      <c r="K157" s="685">
        <f t="shared" si="22"/>
        <v>4.6721056294695451</v>
      </c>
      <c r="L157" s="685">
        <f t="shared" si="22"/>
        <v>4.6721056294695451</v>
      </c>
    </row>
    <row r="158" spans="2:12">
      <c r="B158" s="8" t="str">
        <f t="shared" si="21"/>
        <v>Music</v>
      </c>
      <c r="C158" s="685">
        <f t="shared" si="22"/>
        <v>0</v>
      </c>
      <c r="D158" s="685">
        <f t="shared" si="22"/>
        <v>0</v>
      </c>
      <c r="E158" s="685">
        <f t="shared" si="22"/>
        <v>0</v>
      </c>
      <c r="F158" s="685">
        <f t="shared" si="22"/>
        <v>0</v>
      </c>
      <c r="G158" s="685">
        <f t="shared" si="22"/>
        <v>0</v>
      </c>
      <c r="H158" s="685">
        <f t="shared" si="22"/>
        <v>0</v>
      </c>
      <c r="I158" s="685">
        <f t="shared" si="22"/>
        <v>0</v>
      </c>
      <c r="J158" s="685">
        <f t="shared" si="22"/>
        <v>0</v>
      </c>
      <c r="K158" s="685">
        <f t="shared" si="22"/>
        <v>0</v>
      </c>
      <c r="L158" s="685">
        <f t="shared" si="22"/>
        <v>0</v>
      </c>
    </row>
    <row r="159" spans="2:12">
      <c r="B159" s="8" t="str">
        <f t="shared" si="21"/>
        <v>Others</v>
      </c>
      <c r="C159" s="685">
        <f t="shared" si="22"/>
        <v>0</v>
      </c>
      <c r="D159" s="685">
        <f t="shared" si="22"/>
        <v>0</v>
      </c>
      <c r="E159" s="685">
        <f t="shared" si="22"/>
        <v>0</v>
      </c>
      <c r="F159" s="685">
        <f t="shared" si="22"/>
        <v>0</v>
      </c>
      <c r="G159" s="685">
        <f t="shared" si="22"/>
        <v>0</v>
      </c>
      <c r="H159" s="685">
        <f t="shared" si="22"/>
        <v>0</v>
      </c>
      <c r="I159" s="685">
        <f t="shared" si="22"/>
        <v>0</v>
      </c>
      <c r="J159" s="685">
        <f t="shared" si="22"/>
        <v>0</v>
      </c>
      <c r="K159" s="685">
        <f t="shared" si="22"/>
        <v>0</v>
      </c>
      <c r="L159" s="685">
        <f t="shared" si="22"/>
        <v>0</v>
      </c>
    </row>
    <row r="160" spans="2:12">
      <c r="B160" s="8" t="str">
        <f t="shared" si="21"/>
        <v>Physical Education</v>
      </c>
      <c r="C160" s="685">
        <f t="shared" si="22"/>
        <v>77.167908100143748</v>
      </c>
      <c r="D160" s="685">
        <f t="shared" si="22"/>
        <v>77.167908100143748</v>
      </c>
      <c r="E160" s="685">
        <f t="shared" si="22"/>
        <v>77.167908100143748</v>
      </c>
      <c r="F160" s="685">
        <f t="shared" si="22"/>
        <v>77.167908100143748</v>
      </c>
      <c r="G160" s="685">
        <f t="shared" si="22"/>
        <v>77.167908100143748</v>
      </c>
      <c r="H160" s="685">
        <f t="shared" si="22"/>
        <v>77.167908100143748</v>
      </c>
      <c r="I160" s="685">
        <f t="shared" si="22"/>
        <v>77.167908100143748</v>
      </c>
      <c r="J160" s="685">
        <f t="shared" si="22"/>
        <v>77.167908100143748</v>
      </c>
      <c r="K160" s="685">
        <f t="shared" si="22"/>
        <v>77.167908100143748</v>
      </c>
      <c r="L160" s="685">
        <f t="shared" si="22"/>
        <v>77.167908100143748</v>
      </c>
    </row>
    <row r="161" spans="2:12">
      <c r="B161" s="8" t="str">
        <f t="shared" si="21"/>
        <v>Physics</v>
      </c>
      <c r="C161" s="685">
        <f t="shared" si="22"/>
        <v>22.23</v>
      </c>
      <c r="D161" s="685">
        <f t="shared" si="22"/>
        <v>22.23</v>
      </c>
      <c r="E161" s="685">
        <f t="shared" si="22"/>
        <v>22.23</v>
      </c>
      <c r="F161" s="685">
        <f t="shared" si="22"/>
        <v>22.23</v>
      </c>
      <c r="G161" s="685">
        <f t="shared" si="22"/>
        <v>22.23</v>
      </c>
      <c r="H161" s="685">
        <f t="shared" si="22"/>
        <v>22.23</v>
      </c>
      <c r="I161" s="685">
        <f t="shared" si="22"/>
        <v>22.23</v>
      </c>
      <c r="J161" s="685">
        <f t="shared" si="22"/>
        <v>22.23</v>
      </c>
      <c r="K161" s="685">
        <f t="shared" si="22"/>
        <v>22.23</v>
      </c>
      <c r="L161" s="685">
        <f t="shared" si="22"/>
        <v>22.23</v>
      </c>
    </row>
    <row r="162" spans="2:12">
      <c r="B162" s="8" t="str">
        <f t="shared" si="21"/>
        <v>Religious Education</v>
      </c>
      <c r="C162" s="685">
        <f t="shared" si="22"/>
        <v>11.772230392156862</v>
      </c>
      <c r="D162" s="685">
        <f t="shared" si="22"/>
        <v>11.772230392156862</v>
      </c>
      <c r="E162" s="685">
        <f t="shared" si="22"/>
        <v>11.772230392156862</v>
      </c>
      <c r="F162" s="685">
        <f t="shared" si="22"/>
        <v>11.772230392156862</v>
      </c>
      <c r="G162" s="685">
        <f t="shared" si="22"/>
        <v>11.772230392156862</v>
      </c>
      <c r="H162" s="685">
        <f t="shared" si="22"/>
        <v>11.772230392156862</v>
      </c>
      <c r="I162" s="685">
        <f t="shared" si="22"/>
        <v>11.772230392156862</v>
      </c>
      <c r="J162" s="685">
        <f t="shared" si="22"/>
        <v>11.772230392156862</v>
      </c>
      <c r="K162" s="685">
        <f t="shared" si="22"/>
        <v>11.772230392156862</v>
      </c>
      <c r="L162" s="685">
        <f t="shared" si="22"/>
        <v>11.772230392156862</v>
      </c>
    </row>
    <row r="163" spans="2:12">
      <c r="B163" s="8" t="str">
        <f t="shared" si="21"/>
        <v>Total</v>
      </c>
      <c r="C163" s="459">
        <f>SUM(C143:C162)</f>
        <v>4750.3495392610839</v>
      </c>
      <c r="D163" s="459">
        <f t="shared" ref="D163:L163" si="23">SUM(D143:D162)</f>
        <v>4750.3495392610839</v>
      </c>
      <c r="E163" s="459">
        <f t="shared" si="23"/>
        <v>4750.3495392610839</v>
      </c>
      <c r="F163" s="459">
        <f t="shared" si="23"/>
        <v>4750.3495392610839</v>
      </c>
      <c r="G163" s="459">
        <f t="shared" si="23"/>
        <v>4750.3495392610839</v>
      </c>
      <c r="H163" s="459">
        <f t="shared" si="23"/>
        <v>4750.3495392610839</v>
      </c>
      <c r="I163" s="459">
        <f t="shared" si="23"/>
        <v>4750.3495392610839</v>
      </c>
      <c r="J163" s="459">
        <f t="shared" si="23"/>
        <v>4750.3495392610839</v>
      </c>
      <c r="K163" s="459">
        <f t="shared" si="23"/>
        <v>4750.3495392610839</v>
      </c>
      <c r="L163" s="459">
        <f t="shared" si="23"/>
        <v>4750.3495392610839</v>
      </c>
    </row>
    <row r="164" spans="2:12">
      <c r="B164" s="8" t="str">
        <f t="shared" si="21"/>
        <v>Secondary total</v>
      </c>
      <c r="C164" s="459">
        <f>SUM(C143:C162)-C143</f>
        <v>273.20264305000092</v>
      </c>
      <c r="D164" s="459">
        <f t="shared" ref="D164:L164" si="24">SUM(D143:D162)-D143</f>
        <v>273.20264305000092</v>
      </c>
      <c r="E164" s="459">
        <f t="shared" si="24"/>
        <v>273.20264305000092</v>
      </c>
      <c r="F164" s="459">
        <f t="shared" si="24"/>
        <v>273.20264305000092</v>
      </c>
      <c r="G164" s="459">
        <f t="shared" si="24"/>
        <v>273.20264305000092</v>
      </c>
      <c r="H164" s="459">
        <f t="shared" si="24"/>
        <v>273.20264305000092</v>
      </c>
      <c r="I164" s="459">
        <f t="shared" si="24"/>
        <v>273.20264305000092</v>
      </c>
      <c r="J164" s="459">
        <f t="shared" si="24"/>
        <v>273.20264305000092</v>
      </c>
      <c r="K164" s="459">
        <f t="shared" si="24"/>
        <v>273.20264305000092</v>
      </c>
      <c r="L164" s="459">
        <f t="shared" si="24"/>
        <v>273.20264305000092</v>
      </c>
    </row>
    <row r="166" spans="2:12">
      <c r="B166" s="727" t="s">
        <v>1030</v>
      </c>
    </row>
    <row r="167" spans="2:12">
      <c r="B167" s="726"/>
    </row>
    <row r="168" spans="2:12">
      <c r="B168" s="8" t="s">
        <v>62</v>
      </c>
      <c r="C168" s="8" t="str">
        <f>C118</f>
        <v>2016/17</v>
      </c>
      <c r="D168" s="8" t="str">
        <f t="shared" ref="D168:L168" si="25">D118</f>
        <v>2018/19</v>
      </c>
      <c r="E168" s="8" t="str">
        <f t="shared" si="25"/>
        <v>2019/20</v>
      </c>
      <c r="F168" s="8" t="str">
        <f t="shared" si="25"/>
        <v>2020/21</v>
      </c>
      <c r="G168" s="8" t="str">
        <f t="shared" si="25"/>
        <v>2021/22</v>
      </c>
      <c r="H168" s="8" t="str">
        <f t="shared" si="25"/>
        <v>2022/23</v>
      </c>
      <c r="I168" s="8" t="str">
        <f t="shared" si="25"/>
        <v>2023/24</v>
      </c>
      <c r="J168" s="8" t="str">
        <f t="shared" si="25"/>
        <v>2024/25</v>
      </c>
      <c r="K168" s="8" t="str">
        <f t="shared" si="25"/>
        <v>2025/26</v>
      </c>
      <c r="L168" s="8" t="str">
        <f t="shared" si="25"/>
        <v>2026/27</v>
      </c>
    </row>
    <row r="169" spans="2:12">
      <c r="B169" s="8" t="str">
        <f>B41</f>
        <v>Primary</v>
      </c>
      <c r="C169" s="415">
        <f>C143/C$163</f>
        <v>0.94248788625089308</v>
      </c>
      <c r="D169" s="415">
        <f t="shared" ref="D169:L169" si="26">D143/D$163</f>
        <v>0.94248788625089308</v>
      </c>
      <c r="E169" s="415">
        <f t="shared" si="26"/>
        <v>0.94248788625089308</v>
      </c>
      <c r="F169" s="415">
        <f t="shared" si="26"/>
        <v>0.94248788625089308</v>
      </c>
      <c r="G169" s="415">
        <f t="shared" si="26"/>
        <v>0.94248788625089308</v>
      </c>
      <c r="H169" s="415">
        <f t="shared" si="26"/>
        <v>0.94248788625089308</v>
      </c>
      <c r="I169" s="415">
        <f t="shared" si="26"/>
        <v>0.94248788625089308</v>
      </c>
      <c r="J169" s="415">
        <f t="shared" si="26"/>
        <v>0.94248788625089308</v>
      </c>
      <c r="K169" s="415">
        <f t="shared" si="26"/>
        <v>0.94248788625089308</v>
      </c>
      <c r="L169" s="415">
        <f t="shared" si="26"/>
        <v>0.94248788625089308</v>
      </c>
    </row>
    <row r="170" spans="2:12">
      <c r="B170" s="8" t="str">
        <f t="shared" ref="B170:B189" si="27">B42</f>
        <v>Art &amp; Design</v>
      </c>
      <c r="C170" s="415">
        <f t="shared" ref="C170:L188" si="28">C144/C$163</f>
        <v>0</v>
      </c>
      <c r="D170" s="415">
        <f t="shared" si="28"/>
        <v>0</v>
      </c>
      <c r="E170" s="415">
        <f t="shared" si="28"/>
        <v>0</v>
      </c>
      <c r="F170" s="415">
        <f t="shared" si="28"/>
        <v>0</v>
      </c>
      <c r="G170" s="415">
        <f t="shared" si="28"/>
        <v>0</v>
      </c>
      <c r="H170" s="415">
        <f t="shared" si="28"/>
        <v>0</v>
      </c>
      <c r="I170" s="415">
        <f t="shared" si="28"/>
        <v>0</v>
      </c>
      <c r="J170" s="415">
        <f t="shared" si="28"/>
        <v>0</v>
      </c>
      <c r="K170" s="415">
        <f t="shared" si="28"/>
        <v>0</v>
      </c>
      <c r="L170" s="415">
        <f t="shared" si="28"/>
        <v>0</v>
      </c>
    </row>
    <row r="171" spans="2:12">
      <c r="B171" s="8" t="str">
        <f t="shared" si="27"/>
        <v>Biology</v>
      </c>
      <c r="C171" s="415">
        <f t="shared" si="28"/>
        <v>3.100446487497811E-3</v>
      </c>
      <c r="D171" s="415">
        <f t="shared" si="28"/>
        <v>3.100446487497811E-3</v>
      </c>
      <c r="E171" s="415">
        <f t="shared" si="28"/>
        <v>3.100446487497811E-3</v>
      </c>
      <c r="F171" s="415">
        <f t="shared" si="28"/>
        <v>3.100446487497811E-3</v>
      </c>
      <c r="G171" s="415">
        <f t="shared" si="28"/>
        <v>3.100446487497811E-3</v>
      </c>
      <c r="H171" s="415">
        <f t="shared" si="28"/>
        <v>3.100446487497811E-3</v>
      </c>
      <c r="I171" s="415">
        <f t="shared" si="28"/>
        <v>3.100446487497811E-3</v>
      </c>
      <c r="J171" s="415">
        <f t="shared" si="28"/>
        <v>3.100446487497811E-3</v>
      </c>
      <c r="K171" s="415">
        <f t="shared" si="28"/>
        <v>3.100446487497811E-3</v>
      </c>
      <c r="L171" s="415">
        <f t="shared" si="28"/>
        <v>3.100446487497811E-3</v>
      </c>
    </row>
    <row r="172" spans="2:12">
      <c r="B172" s="8" t="str">
        <f t="shared" si="27"/>
        <v>Business Studies</v>
      </c>
      <c r="C172" s="415">
        <f t="shared" si="28"/>
        <v>0</v>
      </c>
      <c r="D172" s="415">
        <f t="shared" si="28"/>
        <v>0</v>
      </c>
      <c r="E172" s="415">
        <f t="shared" si="28"/>
        <v>0</v>
      </c>
      <c r="F172" s="415">
        <f t="shared" si="28"/>
        <v>0</v>
      </c>
      <c r="G172" s="415">
        <f t="shared" si="28"/>
        <v>0</v>
      </c>
      <c r="H172" s="415">
        <f t="shared" si="28"/>
        <v>0</v>
      </c>
      <c r="I172" s="415">
        <f t="shared" si="28"/>
        <v>0</v>
      </c>
      <c r="J172" s="415">
        <f t="shared" si="28"/>
        <v>0</v>
      </c>
      <c r="K172" s="415">
        <f t="shared" si="28"/>
        <v>0</v>
      </c>
      <c r="L172" s="415">
        <f t="shared" si="28"/>
        <v>0</v>
      </c>
    </row>
    <row r="173" spans="2:12">
      <c r="B173" s="8" t="str">
        <f t="shared" si="27"/>
        <v>Chemistry</v>
      </c>
      <c r="C173" s="415">
        <f t="shared" si="28"/>
        <v>1.4361926800503663E-3</v>
      </c>
      <c r="D173" s="415">
        <f t="shared" si="28"/>
        <v>1.4361926800503663E-3</v>
      </c>
      <c r="E173" s="415">
        <f t="shared" si="28"/>
        <v>1.4361926800503663E-3</v>
      </c>
      <c r="F173" s="415">
        <f t="shared" si="28"/>
        <v>1.4361926800503663E-3</v>
      </c>
      <c r="G173" s="415">
        <f t="shared" si="28"/>
        <v>1.4361926800503663E-3</v>
      </c>
      <c r="H173" s="415">
        <f t="shared" si="28"/>
        <v>1.4361926800503663E-3</v>
      </c>
      <c r="I173" s="415">
        <f t="shared" si="28"/>
        <v>1.4361926800503663E-3</v>
      </c>
      <c r="J173" s="415">
        <f t="shared" si="28"/>
        <v>1.4361926800503663E-3</v>
      </c>
      <c r="K173" s="415">
        <f t="shared" si="28"/>
        <v>1.4361926800503663E-3</v>
      </c>
      <c r="L173" s="415">
        <f t="shared" si="28"/>
        <v>1.4361926800503663E-3</v>
      </c>
    </row>
    <row r="174" spans="2:12">
      <c r="B174" s="8" t="str">
        <f t="shared" si="27"/>
        <v>Classics</v>
      </c>
      <c r="C174" s="415">
        <f t="shared" si="28"/>
        <v>0</v>
      </c>
      <c r="D174" s="415">
        <f t="shared" si="28"/>
        <v>0</v>
      </c>
      <c r="E174" s="415">
        <f t="shared" si="28"/>
        <v>0</v>
      </c>
      <c r="F174" s="415">
        <f t="shared" si="28"/>
        <v>0</v>
      </c>
      <c r="G174" s="415">
        <f t="shared" si="28"/>
        <v>0</v>
      </c>
      <c r="H174" s="415">
        <f t="shared" si="28"/>
        <v>0</v>
      </c>
      <c r="I174" s="415">
        <f t="shared" si="28"/>
        <v>0</v>
      </c>
      <c r="J174" s="415">
        <f t="shared" si="28"/>
        <v>0</v>
      </c>
      <c r="K174" s="415">
        <f t="shared" si="28"/>
        <v>0</v>
      </c>
      <c r="L174" s="415">
        <f t="shared" si="28"/>
        <v>0</v>
      </c>
    </row>
    <row r="175" spans="2:12">
      <c r="B175" s="8" t="str">
        <f t="shared" si="27"/>
        <v>Computing</v>
      </c>
      <c r="C175" s="415">
        <f t="shared" si="28"/>
        <v>0</v>
      </c>
      <c r="D175" s="415">
        <f t="shared" si="28"/>
        <v>0</v>
      </c>
      <c r="E175" s="415">
        <f t="shared" si="28"/>
        <v>0</v>
      </c>
      <c r="F175" s="415">
        <f t="shared" si="28"/>
        <v>0</v>
      </c>
      <c r="G175" s="415">
        <f t="shared" si="28"/>
        <v>0</v>
      </c>
      <c r="H175" s="415">
        <f t="shared" si="28"/>
        <v>0</v>
      </c>
      <c r="I175" s="415">
        <f t="shared" si="28"/>
        <v>0</v>
      </c>
      <c r="J175" s="415">
        <f t="shared" si="28"/>
        <v>0</v>
      </c>
      <c r="K175" s="415">
        <f t="shared" si="28"/>
        <v>0</v>
      </c>
      <c r="L175" s="415">
        <f t="shared" si="28"/>
        <v>0</v>
      </c>
    </row>
    <row r="176" spans="2:12">
      <c r="B176" s="8" t="str">
        <f t="shared" si="27"/>
        <v>Design &amp; Technology</v>
      </c>
      <c r="C176" s="415">
        <f t="shared" si="28"/>
        <v>4.7068306106786539E-3</v>
      </c>
      <c r="D176" s="415">
        <f t="shared" si="28"/>
        <v>4.7068306106786539E-3</v>
      </c>
      <c r="E176" s="415">
        <f t="shared" si="28"/>
        <v>4.7068306106786539E-3</v>
      </c>
      <c r="F176" s="415">
        <f t="shared" si="28"/>
        <v>4.7068306106786539E-3</v>
      </c>
      <c r="G176" s="415">
        <f t="shared" si="28"/>
        <v>4.7068306106786539E-3</v>
      </c>
      <c r="H176" s="415">
        <f t="shared" si="28"/>
        <v>4.7068306106786539E-3</v>
      </c>
      <c r="I176" s="415">
        <f t="shared" si="28"/>
        <v>4.7068306106786539E-3</v>
      </c>
      <c r="J176" s="415">
        <f t="shared" si="28"/>
        <v>4.7068306106786539E-3</v>
      </c>
      <c r="K176" s="415">
        <f t="shared" si="28"/>
        <v>4.7068306106786539E-3</v>
      </c>
      <c r="L176" s="415">
        <f t="shared" si="28"/>
        <v>4.7068306106786539E-3</v>
      </c>
    </row>
    <row r="177" spans="1:12">
      <c r="B177" s="8" t="str">
        <f t="shared" si="27"/>
        <v>Drama</v>
      </c>
      <c r="C177" s="415">
        <f t="shared" si="28"/>
        <v>0</v>
      </c>
      <c r="D177" s="415">
        <f t="shared" si="28"/>
        <v>0</v>
      </c>
      <c r="E177" s="415">
        <f t="shared" si="28"/>
        <v>0</v>
      </c>
      <c r="F177" s="415">
        <f t="shared" si="28"/>
        <v>0</v>
      </c>
      <c r="G177" s="415">
        <f t="shared" si="28"/>
        <v>0</v>
      </c>
      <c r="H177" s="415">
        <f t="shared" si="28"/>
        <v>0</v>
      </c>
      <c r="I177" s="415">
        <f t="shared" si="28"/>
        <v>0</v>
      </c>
      <c r="J177" s="415">
        <f t="shared" si="28"/>
        <v>0</v>
      </c>
      <c r="K177" s="415">
        <f t="shared" si="28"/>
        <v>0</v>
      </c>
      <c r="L177" s="415">
        <f t="shared" si="28"/>
        <v>0</v>
      </c>
    </row>
    <row r="178" spans="1:12">
      <c r="B178" s="8" t="str">
        <f t="shared" si="27"/>
        <v>English</v>
      </c>
      <c r="C178" s="415">
        <f t="shared" si="28"/>
        <v>6.3629988721461191E-3</v>
      </c>
      <c r="D178" s="415">
        <f t="shared" si="28"/>
        <v>6.3629988721461191E-3</v>
      </c>
      <c r="E178" s="415">
        <f t="shared" si="28"/>
        <v>6.3629988721461191E-3</v>
      </c>
      <c r="F178" s="415">
        <f t="shared" si="28"/>
        <v>6.3629988721461191E-3</v>
      </c>
      <c r="G178" s="415">
        <f t="shared" si="28"/>
        <v>6.3629988721461191E-3</v>
      </c>
      <c r="H178" s="415">
        <f t="shared" si="28"/>
        <v>6.3629988721461191E-3</v>
      </c>
      <c r="I178" s="415">
        <f t="shared" si="28"/>
        <v>6.3629988721461191E-3</v>
      </c>
      <c r="J178" s="415">
        <f t="shared" si="28"/>
        <v>6.3629988721461191E-3</v>
      </c>
      <c r="K178" s="415">
        <f t="shared" si="28"/>
        <v>6.3629988721461191E-3</v>
      </c>
      <c r="L178" s="415">
        <f t="shared" si="28"/>
        <v>6.3629988721461191E-3</v>
      </c>
    </row>
    <row r="179" spans="1:12">
      <c r="B179" s="8" t="str">
        <f t="shared" si="27"/>
        <v>Food</v>
      </c>
      <c r="C179" s="415">
        <f t="shared" si="28"/>
        <v>0</v>
      </c>
      <c r="D179" s="415">
        <f t="shared" si="28"/>
        <v>0</v>
      </c>
      <c r="E179" s="415">
        <f t="shared" si="28"/>
        <v>0</v>
      </c>
      <c r="F179" s="415">
        <f t="shared" si="28"/>
        <v>0</v>
      </c>
      <c r="G179" s="415">
        <f t="shared" si="28"/>
        <v>0</v>
      </c>
      <c r="H179" s="415">
        <f t="shared" si="28"/>
        <v>0</v>
      </c>
      <c r="I179" s="415">
        <f t="shared" si="28"/>
        <v>0</v>
      </c>
      <c r="J179" s="415">
        <f t="shared" si="28"/>
        <v>0</v>
      </c>
      <c r="K179" s="415">
        <f t="shared" si="28"/>
        <v>0</v>
      </c>
      <c r="L179" s="415">
        <f t="shared" si="28"/>
        <v>0</v>
      </c>
    </row>
    <row r="180" spans="1:12">
      <c r="B180" s="8" t="str">
        <f t="shared" si="27"/>
        <v>Geography</v>
      </c>
      <c r="C180" s="415">
        <f t="shared" si="28"/>
        <v>0</v>
      </c>
      <c r="D180" s="415">
        <f t="shared" si="28"/>
        <v>0</v>
      </c>
      <c r="E180" s="415">
        <f t="shared" si="28"/>
        <v>0</v>
      </c>
      <c r="F180" s="415">
        <f t="shared" si="28"/>
        <v>0</v>
      </c>
      <c r="G180" s="415">
        <f t="shared" si="28"/>
        <v>0</v>
      </c>
      <c r="H180" s="415">
        <f t="shared" si="28"/>
        <v>0</v>
      </c>
      <c r="I180" s="415">
        <f t="shared" si="28"/>
        <v>0</v>
      </c>
      <c r="J180" s="415">
        <f t="shared" si="28"/>
        <v>0</v>
      </c>
      <c r="K180" s="415">
        <f t="shared" si="28"/>
        <v>0</v>
      </c>
      <c r="L180" s="415">
        <f t="shared" si="28"/>
        <v>0</v>
      </c>
    </row>
    <row r="181" spans="1:12">
      <c r="B181" s="8" t="str">
        <f t="shared" si="27"/>
        <v>History</v>
      </c>
      <c r="C181" s="415">
        <f t="shared" si="28"/>
        <v>0</v>
      </c>
      <c r="D181" s="415">
        <f t="shared" si="28"/>
        <v>0</v>
      </c>
      <c r="E181" s="415">
        <f t="shared" si="28"/>
        <v>0</v>
      </c>
      <c r="F181" s="415">
        <f t="shared" si="28"/>
        <v>0</v>
      </c>
      <c r="G181" s="415">
        <f t="shared" si="28"/>
        <v>0</v>
      </c>
      <c r="H181" s="415">
        <f t="shared" si="28"/>
        <v>0</v>
      </c>
      <c r="I181" s="415">
        <f t="shared" si="28"/>
        <v>0</v>
      </c>
      <c r="J181" s="415">
        <f t="shared" si="28"/>
        <v>0</v>
      </c>
      <c r="K181" s="415">
        <f t="shared" si="28"/>
        <v>0</v>
      </c>
      <c r="L181" s="415">
        <f t="shared" si="28"/>
        <v>0</v>
      </c>
    </row>
    <row r="182" spans="1:12">
      <c r="B182" s="8" t="str">
        <f t="shared" si="27"/>
        <v>Mathematics</v>
      </c>
      <c r="C182" s="415">
        <f t="shared" si="28"/>
        <v>1.7519598732177743E-2</v>
      </c>
      <c r="D182" s="415">
        <f t="shared" si="28"/>
        <v>1.7519598732177743E-2</v>
      </c>
      <c r="E182" s="415">
        <f t="shared" si="28"/>
        <v>1.7519598732177743E-2</v>
      </c>
      <c r="F182" s="415">
        <f t="shared" si="28"/>
        <v>1.7519598732177743E-2</v>
      </c>
      <c r="G182" s="415">
        <f t="shared" si="28"/>
        <v>1.7519598732177743E-2</v>
      </c>
      <c r="H182" s="415">
        <f t="shared" si="28"/>
        <v>1.7519598732177743E-2</v>
      </c>
      <c r="I182" s="415">
        <f t="shared" si="28"/>
        <v>1.7519598732177743E-2</v>
      </c>
      <c r="J182" s="415">
        <f t="shared" si="28"/>
        <v>1.7519598732177743E-2</v>
      </c>
      <c r="K182" s="415">
        <f t="shared" si="28"/>
        <v>1.7519598732177743E-2</v>
      </c>
      <c r="L182" s="415">
        <f t="shared" si="28"/>
        <v>1.7519598732177743E-2</v>
      </c>
    </row>
    <row r="183" spans="1:12">
      <c r="B183" s="8" t="str">
        <f t="shared" si="27"/>
        <v>Modern Foreign Languages</v>
      </c>
      <c r="C183" s="415">
        <f t="shared" si="28"/>
        <v>9.8352881000758749E-4</v>
      </c>
      <c r="D183" s="415">
        <f t="shared" si="28"/>
        <v>9.8352881000758749E-4</v>
      </c>
      <c r="E183" s="415">
        <f t="shared" si="28"/>
        <v>9.8352881000758749E-4</v>
      </c>
      <c r="F183" s="415">
        <f t="shared" si="28"/>
        <v>9.8352881000758749E-4</v>
      </c>
      <c r="G183" s="415">
        <f t="shared" si="28"/>
        <v>9.8352881000758749E-4</v>
      </c>
      <c r="H183" s="415">
        <f t="shared" si="28"/>
        <v>9.8352881000758749E-4</v>
      </c>
      <c r="I183" s="415">
        <f t="shared" si="28"/>
        <v>9.8352881000758749E-4</v>
      </c>
      <c r="J183" s="415">
        <f t="shared" si="28"/>
        <v>9.8352881000758749E-4</v>
      </c>
      <c r="K183" s="415">
        <f t="shared" si="28"/>
        <v>9.8352881000758749E-4</v>
      </c>
      <c r="L183" s="415">
        <f t="shared" si="28"/>
        <v>9.8352881000758749E-4</v>
      </c>
    </row>
    <row r="184" spans="1:12">
      <c r="B184" s="8" t="str">
        <f t="shared" si="27"/>
        <v>Music</v>
      </c>
      <c r="C184" s="415">
        <f t="shared" si="28"/>
        <v>0</v>
      </c>
      <c r="D184" s="415">
        <f t="shared" si="28"/>
        <v>0</v>
      </c>
      <c r="E184" s="415">
        <f t="shared" si="28"/>
        <v>0</v>
      </c>
      <c r="F184" s="415">
        <f t="shared" si="28"/>
        <v>0</v>
      </c>
      <c r="G184" s="415">
        <f t="shared" si="28"/>
        <v>0</v>
      </c>
      <c r="H184" s="415">
        <f t="shared" si="28"/>
        <v>0</v>
      </c>
      <c r="I184" s="415">
        <f t="shared" si="28"/>
        <v>0</v>
      </c>
      <c r="J184" s="415">
        <f t="shared" si="28"/>
        <v>0</v>
      </c>
      <c r="K184" s="415">
        <f t="shared" si="28"/>
        <v>0</v>
      </c>
      <c r="L184" s="415">
        <f t="shared" si="28"/>
        <v>0</v>
      </c>
    </row>
    <row r="185" spans="1:12">
      <c r="B185" s="8" t="str">
        <f t="shared" si="27"/>
        <v>Others</v>
      </c>
      <c r="C185" s="415">
        <f t="shared" si="28"/>
        <v>0</v>
      </c>
      <c r="D185" s="415">
        <f t="shared" si="28"/>
        <v>0</v>
      </c>
      <c r="E185" s="415">
        <f t="shared" si="28"/>
        <v>0</v>
      </c>
      <c r="F185" s="415">
        <f t="shared" si="28"/>
        <v>0</v>
      </c>
      <c r="G185" s="415">
        <f t="shared" si="28"/>
        <v>0</v>
      </c>
      <c r="H185" s="415">
        <f t="shared" si="28"/>
        <v>0</v>
      </c>
      <c r="I185" s="415">
        <f t="shared" si="28"/>
        <v>0</v>
      </c>
      <c r="J185" s="415">
        <f t="shared" si="28"/>
        <v>0</v>
      </c>
      <c r="K185" s="415">
        <f t="shared" si="28"/>
        <v>0</v>
      </c>
      <c r="L185" s="415">
        <f t="shared" si="28"/>
        <v>0</v>
      </c>
    </row>
    <row r="186" spans="1:12">
      <c r="B186" s="8" t="str">
        <f t="shared" si="27"/>
        <v>Physical Education</v>
      </c>
      <c r="C186" s="415">
        <f t="shared" si="28"/>
        <v>1.6244679988779775E-2</v>
      </c>
      <c r="D186" s="415">
        <f t="shared" si="28"/>
        <v>1.6244679988779775E-2</v>
      </c>
      <c r="E186" s="415">
        <f t="shared" si="28"/>
        <v>1.6244679988779775E-2</v>
      </c>
      <c r="F186" s="415">
        <f t="shared" si="28"/>
        <v>1.6244679988779775E-2</v>
      </c>
      <c r="G186" s="415">
        <f t="shared" si="28"/>
        <v>1.6244679988779775E-2</v>
      </c>
      <c r="H186" s="415">
        <f t="shared" si="28"/>
        <v>1.6244679988779775E-2</v>
      </c>
      <c r="I186" s="415">
        <f t="shared" si="28"/>
        <v>1.6244679988779775E-2</v>
      </c>
      <c r="J186" s="415">
        <f t="shared" si="28"/>
        <v>1.6244679988779775E-2</v>
      </c>
      <c r="K186" s="415">
        <f t="shared" si="28"/>
        <v>1.6244679988779775E-2</v>
      </c>
      <c r="L186" s="415">
        <f t="shared" si="28"/>
        <v>1.6244679988779775E-2</v>
      </c>
    </row>
    <row r="187" spans="1:12">
      <c r="B187" s="8" t="str">
        <f t="shared" si="27"/>
        <v>Physics</v>
      </c>
      <c r="C187" s="415">
        <f t="shared" si="28"/>
        <v>4.6796556371845165E-3</v>
      </c>
      <c r="D187" s="415">
        <f t="shared" si="28"/>
        <v>4.6796556371845165E-3</v>
      </c>
      <c r="E187" s="415">
        <f t="shared" si="28"/>
        <v>4.6796556371845165E-3</v>
      </c>
      <c r="F187" s="415">
        <f t="shared" si="28"/>
        <v>4.6796556371845165E-3</v>
      </c>
      <c r="G187" s="415">
        <f t="shared" si="28"/>
        <v>4.6796556371845165E-3</v>
      </c>
      <c r="H187" s="415">
        <f t="shared" si="28"/>
        <v>4.6796556371845165E-3</v>
      </c>
      <c r="I187" s="415">
        <f t="shared" si="28"/>
        <v>4.6796556371845165E-3</v>
      </c>
      <c r="J187" s="415">
        <f t="shared" si="28"/>
        <v>4.6796556371845165E-3</v>
      </c>
      <c r="K187" s="415">
        <f t="shared" si="28"/>
        <v>4.6796556371845165E-3</v>
      </c>
      <c r="L187" s="415">
        <f t="shared" si="28"/>
        <v>4.6796556371845165E-3</v>
      </c>
    </row>
    <row r="188" spans="1:12">
      <c r="B188" s="8" t="str">
        <f t="shared" si="27"/>
        <v>Religious Education</v>
      </c>
      <c r="C188" s="415">
        <f t="shared" si="28"/>
        <v>2.4781819305844241E-3</v>
      </c>
      <c r="D188" s="415">
        <f t="shared" si="28"/>
        <v>2.4781819305844241E-3</v>
      </c>
      <c r="E188" s="415">
        <f t="shared" si="28"/>
        <v>2.4781819305844241E-3</v>
      </c>
      <c r="F188" s="415">
        <f t="shared" si="28"/>
        <v>2.4781819305844241E-3</v>
      </c>
      <c r="G188" s="415">
        <f t="shared" si="28"/>
        <v>2.4781819305844241E-3</v>
      </c>
      <c r="H188" s="415">
        <f t="shared" si="28"/>
        <v>2.4781819305844241E-3</v>
      </c>
      <c r="I188" s="415">
        <f t="shared" si="28"/>
        <v>2.4781819305844241E-3</v>
      </c>
      <c r="J188" s="415">
        <f t="shared" si="28"/>
        <v>2.4781819305844241E-3</v>
      </c>
      <c r="K188" s="415">
        <f t="shared" si="28"/>
        <v>2.4781819305844241E-3</v>
      </c>
      <c r="L188" s="415">
        <f t="shared" si="28"/>
        <v>2.4781819305844241E-3</v>
      </c>
    </row>
    <row r="189" spans="1:12">
      <c r="B189" s="8" t="str">
        <f t="shared" si="27"/>
        <v>Total</v>
      </c>
      <c r="C189" s="654">
        <f t="shared" ref="C189:L189" si="29">SUM(C169:C188)</f>
        <v>1.0000000000000002</v>
      </c>
      <c r="D189" s="654">
        <f t="shared" si="29"/>
        <v>1.0000000000000002</v>
      </c>
      <c r="E189" s="654">
        <f t="shared" si="29"/>
        <v>1.0000000000000002</v>
      </c>
      <c r="F189" s="654">
        <f t="shared" si="29"/>
        <v>1.0000000000000002</v>
      </c>
      <c r="G189" s="654">
        <f t="shared" si="29"/>
        <v>1.0000000000000002</v>
      </c>
      <c r="H189" s="654">
        <f t="shared" si="29"/>
        <v>1.0000000000000002</v>
      </c>
      <c r="I189" s="654">
        <f t="shared" si="29"/>
        <v>1.0000000000000002</v>
      </c>
      <c r="J189" s="654">
        <f t="shared" si="29"/>
        <v>1.0000000000000002</v>
      </c>
      <c r="K189" s="654">
        <f t="shared" si="29"/>
        <v>1.0000000000000002</v>
      </c>
      <c r="L189" s="654">
        <f t="shared" si="29"/>
        <v>1.0000000000000002</v>
      </c>
    </row>
    <row r="190" spans="1:12">
      <c r="A190">
        <f>SUM(C190:L190)</f>
        <v>0</v>
      </c>
      <c r="C190" s="725">
        <f t="shared" ref="C190:L190" si="30">C189-1</f>
        <v>0</v>
      </c>
      <c r="D190" s="725">
        <f t="shared" si="30"/>
        <v>0</v>
      </c>
      <c r="E190" s="725">
        <f t="shared" si="30"/>
        <v>0</v>
      </c>
      <c r="F190" s="725">
        <f t="shared" si="30"/>
        <v>0</v>
      </c>
      <c r="G190" s="725">
        <f t="shared" si="30"/>
        <v>0</v>
      </c>
      <c r="H190" s="725">
        <f t="shared" si="30"/>
        <v>0</v>
      </c>
      <c r="I190" s="725">
        <f t="shared" si="30"/>
        <v>0</v>
      </c>
      <c r="J190" s="725">
        <f t="shared" si="30"/>
        <v>0</v>
      </c>
      <c r="K190" s="725">
        <f t="shared" si="30"/>
        <v>0</v>
      </c>
      <c r="L190" s="725">
        <f t="shared" si="30"/>
        <v>0</v>
      </c>
    </row>
    <row r="192" spans="1:12" ht="15.75">
      <c r="B192" s="78" t="s">
        <v>1636</v>
      </c>
    </row>
    <row r="194" spans="2:12">
      <c r="B194" s="8" t="s">
        <v>62</v>
      </c>
      <c r="C194" s="574" t="str">
        <f>C142</f>
        <v>2016/17</v>
      </c>
      <c r="D194" s="574" t="str">
        <f t="shared" ref="D194:L194" si="31">D142</f>
        <v>2018/19</v>
      </c>
      <c r="E194" s="574" t="str">
        <f t="shared" si="31"/>
        <v>2019/20</v>
      </c>
      <c r="F194" s="574" t="str">
        <f t="shared" si="31"/>
        <v>2020/21</v>
      </c>
      <c r="G194" s="574" t="str">
        <f t="shared" si="31"/>
        <v>2021/22</v>
      </c>
      <c r="H194" s="574" t="str">
        <f t="shared" si="31"/>
        <v>2022/23</v>
      </c>
      <c r="I194" s="574" t="str">
        <f t="shared" si="31"/>
        <v>2023/24</v>
      </c>
      <c r="J194" s="574" t="str">
        <f t="shared" si="31"/>
        <v>2024/25</v>
      </c>
      <c r="K194" s="574" t="str">
        <f t="shared" si="31"/>
        <v>2025/26</v>
      </c>
      <c r="L194" s="152" t="str">
        <f t="shared" si="31"/>
        <v>2026/27</v>
      </c>
    </row>
    <row r="195" spans="2:12">
      <c r="B195" s="8" t="str">
        <f>B143</f>
        <v>Primary</v>
      </c>
      <c r="C195" s="685">
        <f>C143*C119</f>
        <v>3606.3542279698286</v>
      </c>
      <c r="D195" s="685">
        <f t="shared" ref="D195:L195" si="32">D143*D119</f>
        <v>3606.3542279698286</v>
      </c>
      <c r="E195" s="685">
        <f t="shared" si="32"/>
        <v>3606.3542279698286</v>
      </c>
      <c r="F195" s="685">
        <f t="shared" si="32"/>
        <v>3606.3542279698286</v>
      </c>
      <c r="G195" s="685">
        <f t="shared" si="32"/>
        <v>3606.3542279698286</v>
      </c>
      <c r="H195" s="685">
        <f t="shared" si="32"/>
        <v>3606.3542279698286</v>
      </c>
      <c r="I195" s="685">
        <f t="shared" si="32"/>
        <v>3606.3542279698286</v>
      </c>
      <c r="J195" s="685">
        <f t="shared" si="32"/>
        <v>3606.3542279698286</v>
      </c>
      <c r="K195" s="685">
        <f t="shared" si="32"/>
        <v>3606.3542279698286</v>
      </c>
      <c r="L195" s="685">
        <f t="shared" si="32"/>
        <v>3606.3542279698286</v>
      </c>
    </row>
    <row r="196" spans="2:12">
      <c r="B196" s="8" t="str">
        <f t="shared" ref="B196:B216" si="33">B144</f>
        <v>Art &amp; Design</v>
      </c>
      <c r="C196" s="685">
        <f t="shared" ref="C196:L214" si="34">C144*C120</f>
        <v>0</v>
      </c>
      <c r="D196" s="685">
        <f t="shared" si="34"/>
        <v>0</v>
      </c>
      <c r="E196" s="685">
        <f t="shared" si="34"/>
        <v>0</v>
      </c>
      <c r="F196" s="685">
        <f t="shared" si="34"/>
        <v>0</v>
      </c>
      <c r="G196" s="685">
        <f t="shared" si="34"/>
        <v>0</v>
      </c>
      <c r="H196" s="685">
        <f t="shared" si="34"/>
        <v>0</v>
      </c>
      <c r="I196" s="685">
        <f t="shared" si="34"/>
        <v>0</v>
      </c>
      <c r="J196" s="685">
        <f t="shared" si="34"/>
        <v>0</v>
      </c>
      <c r="K196" s="685">
        <f t="shared" si="34"/>
        <v>0</v>
      </c>
      <c r="L196" s="685">
        <f t="shared" si="34"/>
        <v>0</v>
      </c>
    </row>
    <row r="197" spans="2:12">
      <c r="B197" s="8" t="str">
        <f t="shared" si="33"/>
        <v>Biology</v>
      </c>
      <c r="C197" s="685">
        <f t="shared" si="34"/>
        <v>11.402322234355292</v>
      </c>
      <c r="D197" s="685">
        <f t="shared" si="34"/>
        <v>11.402322234355292</v>
      </c>
      <c r="E197" s="685">
        <f t="shared" si="34"/>
        <v>11.402322234355292</v>
      </c>
      <c r="F197" s="685">
        <f t="shared" si="34"/>
        <v>11.402322234355292</v>
      </c>
      <c r="G197" s="685">
        <f t="shared" si="34"/>
        <v>11.402322234355292</v>
      </c>
      <c r="H197" s="685">
        <f t="shared" si="34"/>
        <v>11.402322234355292</v>
      </c>
      <c r="I197" s="685">
        <f t="shared" si="34"/>
        <v>11.402322234355292</v>
      </c>
      <c r="J197" s="685">
        <f t="shared" si="34"/>
        <v>11.402322234355292</v>
      </c>
      <c r="K197" s="685">
        <f t="shared" si="34"/>
        <v>11.402322234355292</v>
      </c>
      <c r="L197" s="685">
        <f t="shared" si="34"/>
        <v>11.402322234355292</v>
      </c>
    </row>
    <row r="198" spans="2:12">
      <c r="B198" s="8" t="str">
        <f t="shared" si="33"/>
        <v>Business Studies</v>
      </c>
      <c r="C198" s="685">
        <f t="shared" si="34"/>
        <v>0</v>
      </c>
      <c r="D198" s="685">
        <f t="shared" si="34"/>
        <v>0</v>
      </c>
      <c r="E198" s="685">
        <f t="shared" si="34"/>
        <v>0</v>
      </c>
      <c r="F198" s="685">
        <f t="shared" si="34"/>
        <v>0</v>
      </c>
      <c r="G198" s="685">
        <f t="shared" si="34"/>
        <v>0</v>
      </c>
      <c r="H198" s="685">
        <f t="shared" si="34"/>
        <v>0</v>
      </c>
      <c r="I198" s="685">
        <f t="shared" si="34"/>
        <v>0</v>
      </c>
      <c r="J198" s="685">
        <f t="shared" si="34"/>
        <v>0</v>
      </c>
      <c r="K198" s="685">
        <f t="shared" si="34"/>
        <v>0</v>
      </c>
      <c r="L198" s="685">
        <f t="shared" si="34"/>
        <v>0</v>
      </c>
    </row>
    <row r="199" spans="2:12">
      <c r="B199" s="8" t="str">
        <f t="shared" si="33"/>
        <v>Chemistry</v>
      </c>
      <c r="C199" s="685">
        <f t="shared" si="34"/>
        <v>5.2097897280009322</v>
      </c>
      <c r="D199" s="685">
        <f t="shared" si="34"/>
        <v>5.2097897280009322</v>
      </c>
      <c r="E199" s="685">
        <f t="shared" si="34"/>
        <v>5.2097897280009322</v>
      </c>
      <c r="F199" s="685">
        <f t="shared" si="34"/>
        <v>5.2097897280009322</v>
      </c>
      <c r="G199" s="685">
        <f t="shared" si="34"/>
        <v>5.2097897280009322</v>
      </c>
      <c r="H199" s="685">
        <f t="shared" si="34"/>
        <v>5.2097897280009322</v>
      </c>
      <c r="I199" s="685">
        <f t="shared" si="34"/>
        <v>5.2097897280009322</v>
      </c>
      <c r="J199" s="685">
        <f t="shared" si="34"/>
        <v>5.2097897280009322</v>
      </c>
      <c r="K199" s="685">
        <f t="shared" si="34"/>
        <v>5.2097897280009322</v>
      </c>
      <c r="L199" s="685">
        <f t="shared" si="34"/>
        <v>5.2097897280009322</v>
      </c>
    </row>
    <row r="200" spans="2:12">
      <c r="B200" s="8" t="str">
        <f t="shared" si="33"/>
        <v>Classics</v>
      </c>
      <c r="C200" s="685">
        <f t="shared" si="34"/>
        <v>0</v>
      </c>
      <c r="D200" s="685">
        <f t="shared" si="34"/>
        <v>0</v>
      </c>
      <c r="E200" s="685">
        <f t="shared" si="34"/>
        <v>0</v>
      </c>
      <c r="F200" s="685">
        <f t="shared" si="34"/>
        <v>0</v>
      </c>
      <c r="G200" s="685">
        <f t="shared" si="34"/>
        <v>0</v>
      </c>
      <c r="H200" s="685">
        <f t="shared" si="34"/>
        <v>0</v>
      </c>
      <c r="I200" s="685">
        <f t="shared" si="34"/>
        <v>0</v>
      </c>
      <c r="J200" s="685">
        <f t="shared" si="34"/>
        <v>0</v>
      </c>
      <c r="K200" s="685">
        <f t="shared" si="34"/>
        <v>0</v>
      </c>
      <c r="L200" s="685">
        <f t="shared" si="34"/>
        <v>0</v>
      </c>
    </row>
    <row r="201" spans="2:12">
      <c r="B201" s="8" t="str">
        <f t="shared" si="33"/>
        <v>Computing</v>
      </c>
      <c r="C201" s="685">
        <f t="shared" si="34"/>
        <v>0</v>
      </c>
      <c r="D201" s="685">
        <f t="shared" si="34"/>
        <v>0</v>
      </c>
      <c r="E201" s="685">
        <f t="shared" si="34"/>
        <v>0</v>
      </c>
      <c r="F201" s="685">
        <f t="shared" si="34"/>
        <v>0</v>
      </c>
      <c r="G201" s="685">
        <f t="shared" si="34"/>
        <v>0</v>
      </c>
      <c r="H201" s="685">
        <f t="shared" si="34"/>
        <v>0</v>
      </c>
      <c r="I201" s="685">
        <f t="shared" si="34"/>
        <v>0</v>
      </c>
      <c r="J201" s="685">
        <f t="shared" si="34"/>
        <v>0</v>
      </c>
      <c r="K201" s="685">
        <f t="shared" si="34"/>
        <v>0</v>
      </c>
      <c r="L201" s="685">
        <f t="shared" si="34"/>
        <v>0</v>
      </c>
    </row>
    <row r="202" spans="2:12">
      <c r="B202" s="8" t="str">
        <f t="shared" si="33"/>
        <v>Design &amp; Technology</v>
      </c>
      <c r="C202" s="685">
        <f t="shared" si="34"/>
        <v>16.543007562278618</v>
      </c>
      <c r="D202" s="685">
        <f t="shared" si="34"/>
        <v>16.543007562278618</v>
      </c>
      <c r="E202" s="685">
        <f t="shared" si="34"/>
        <v>16.543007562278618</v>
      </c>
      <c r="F202" s="685">
        <f t="shared" si="34"/>
        <v>16.543007562278618</v>
      </c>
      <c r="G202" s="685">
        <f t="shared" si="34"/>
        <v>16.543007562278618</v>
      </c>
      <c r="H202" s="685">
        <f t="shared" si="34"/>
        <v>16.543007562278618</v>
      </c>
      <c r="I202" s="685">
        <f t="shared" si="34"/>
        <v>16.543007562278618</v>
      </c>
      <c r="J202" s="685">
        <f t="shared" si="34"/>
        <v>16.543007562278618</v>
      </c>
      <c r="K202" s="685">
        <f t="shared" si="34"/>
        <v>16.543007562278618</v>
      </c>
      <c r="L202" s="685">
        <f t="shared" si="34"/>
        <v>16.543007562278618</v>
      </c>
    </row>
    <row r="203" spans="2:12">
      <c r="B203" s="8" t="str">
        <f t="shared" si="33"/>
        <v>Drama</v>
      </c>
      <c r="C203" s="685">
        <f t="shared" si="34"/>
        <v>0</v>
      </c>
      <c r="D203" s="685">
        <f t="shared" si="34"/>
        <v>0</v>
      </c>
      <c r="E203" s="685">
        <f t="shared" si="34"/>
        <v>0</v>
      </c>
      <c r="F203" s="685">
        <f t="shared" si="34"/>
        <v>0</v>
      </c>
      <c r="G203" s="685">
        <f t="shared" si="34"/>
        <v>0</v>
      </c>
      <c r="H203" s="685">
        <f t="shared" si="34"/>
        <v>0</v>
      </c>
      <c r="I203" s="685">
        <f t="shared" si="34"/>
        <v>0</v>
      </c>
      <c r="J203" s="685">
        <f t="shared" si="34"/>
        <v>0</v>
      </c>
      <c r="K203" s="685">
        <f t="shared" si="34"/>
        <v>0</v>
      </c>
      <c r="L203" s="685">
        <f t="shared" si="34"/>
        <v>0</v>
      </c>
    </row>
    <row r="204" spans="2:12">
      <c r="B204" s="8" t="str">
        <f t="shared" si="33"/>
        <v>English</v>
      </c>
      <c r="C204" s="685">
        <f t="shared" si="34"/>
        <v>25.767442531170307</v>
      </c>
      <c r="D204" s="685">
        <f t="shared" si="34"/>
        <v>25.767442531170307</v>
      </c>
      <c r="E204" s="685">
        <f t="shared" si="34"/>
        <v>25.767442531170307</v>
      </c>
      <c r="F204" s="685">
        <f t="shared" si="34"/>
        <v>25.767442531170307</v>
      </c>
      <c r="G204" s="685">
        <f t="shared" si="34"/>
        <v>25.767442531170307</v>
      </c>
      <c r="H204" s="685">
        <f t="shared" si="34"/>
        <v>25.767442531170307</v>
      </c>
      <c r="I204" s="685">
        <f t="shared" si="34"/>
        <v>25.767442531170307</v>
      </c>
      <c r="J204" s="685">
        <f t="shared" si="34"/>
        <v>25.767442531170307</v>
      </c>
      <c r="K204" s="685">
        <f t="shared" si="34"/>
        <v>25.767442531170307</v>
      </c>
      <c r="L204" s="685">
        <f t="shared" si="34"/>
        <v>25.767442531170307</v>
      </c>
    </row>
    <row r="205" spans="2:12">
      <c r="B205" s="8" t="str">
        <f t="shared" si="33"/>
        <v>Food</v>
      </c>
      <c r="C205" s="685">
        <f t="shared" si="34"/>
        <v>0</v>
      </c>
      <c r="D205" s="685">
        <f t="shared" si="34"/>
        <v>0</v>
      </c>
      <c r="E205" s="685">
        <f t="shared" si="34"/>
        <v>0</v>
      </c>
      <c r="F205" s="685">
        <f t="shared" si="34"/>
        <v>0</v>
      </c>
      <c r="G205" s="685">
        <f t="shared" si="34"/>
        <v>0</v>
      </c>
      <c r="H205" s="685">
        <f t="shared" si="34"/>
        <v>0</v>
      </c>
      <c r="I205" s="685">
        <f t="shared" si="34"/>
        <v>0</v>
      </c>
      <c r="J205" s="685">
        <f t="shared" si="34"/>
        <v>0</v>
      </c>
      <c r="K205" s="685">
        <f t="shared" si="34"/>
        <v>0</v>
      </c>
      <c r="L205" s="685">
        <f t="shared" si="34"/>
        <v>0</v>
      </c>
    </row>
    <row r="206" spans="2:12">
      <c r="B206" s="8" t="str">
        <f t="shared" si="33"/>
        <v>Geography</v>
      </c>
      <c r="C206" s="685">
        <f t="shared" si="34"/>
        <v>0</v>
      </c>
      <c r="D206" s="685">
        <f t="shared" si="34"/>
        <v>0</v>
      </c>
      <c r="E206" s="685">
        <f t="shared" si="34"/>
        <v>0</v>
      </c>
      <c r="F206" s="685">
        <f t="shared" si="34"/>
        <v>0</v>
      </c>
      <c r="G206" s="685">
        <f t="shared" si="34"/>
        <v>0</v>
      </c>
      <c r="H206" s="685">
        <f t="shared" si="34"/>
        <v>0</v>
      </c>
      <c r="I206" s="685">
        <f t="shared" si="34"/>
        <v>0</v>
      </c>
      <c r="J206" s="685">
        <f t="shared" si="34"/>
        <v>0</v>
      </c>
      <c r="K206" s="685">
        <f t="shared" si="34"/>
        <v>0</v>
      </c>
      <c r="L206" s="685">
        <f t="shared" si="34"/>
        <v>0</v>
      </c>
    </row>
    <row r="207" spans="2:12">
      <c r="B207" s="8" t="str">
        <f t="shared" si="33"/>
        <v>History</v>
      </c>
      <c r="C207" s="685">
        <f t="shared" si="34"/>
        <v>0</v>
      </c>
      <c r="D207" s="685">
        <f t="shared" si="34"/>
        <v>0</v>
      </c>
      <c r="E207" s="685">
        <f t="shared" si="34"/>
        <v>0</v>
      </c>
      <c r="F207" s="685">
        <f t="shared" si="34"/>
        <v>0</v>
      </c>
      <c r="G207" s="685">
        <f t="shared" si="34"/>
        <v>0</v>
      </c>
      <c r="H207" s="685">
        <f t="shared" si="34"/>
        <v>0</v>
      </c>
      <c r="I207" s="685">
        <f t="shared" si="34"/>
        <v>0</v>
      </c>
      <c r="J207" s="685">
        <f t="shared" si="34"/>
        <v>0</v>
      </c>
      <c r="K207" s="685">
        <f t="shared" si="34"/>
        <v>0</v>
      </c>
      <c r="L207" s="685">
        <f t="shared" si="34"/>
        <v>0</v>
      </c>
    </row>
    <row r="208" spans="2:12">
      <c r="B208" s="8" t="str">
        <f t="shared" si="33"/>
        <v>Mathematics</v>
      </c>
      <c r="C208" s="685">
        <f t="shared" si="34"/>
        <v>68.770377608515744</v>
      </c>
      <c r="D208" s="685">
        <f t="shared" si="34"/>
        <v>68.770377608515744</v>
      </c>
      <c r="E208" s="685">
        <f t="shared" si="34"/>
        <v>68.770377608515744</v>
      </c>
      <c r="F208" s="685">
        <f t="shared" si="34"/>
        <v>68.770377608515744</v>
      </c>
      <c r="G208" s="685">
        <f t="shared" si="34"/>
        <v>68.770377608515744</v>
      </c>
      <c r="H208" s="685">
        <f t="shared" si="34"/>
        <v>68.770377608515744</v>
      </c>
      <c r="I208" s="685">
        <f t="shared" si="34"/>
        <v>68.770377608515744</v>
      </c>
      <c r="J208" s="685">
        <f t="shared" si="34"/>
        <v>68.770377608515744</v>
      </c>
      <c r="K208" s="685">
        <f t="shared" si="34"/>
        <v>68.770377608515744</v>
      </c>
      <c r="L208" s="685">
        <f t="shared" si="34"/>
        <v>68.770377608515744</v>
      </c>
    </row>
    <row r="209" spans="2:12">
      <c r="B209" s="8" t="str">
        <f t="shared" si="33"/>
        <v>Modern Foreign Languages</v>
      </c>
      <c r="C209" s="685">
        <f t="shared" si="34"/>
        <v>3.8601769574795042</v>
      </c>
      <c r="D209" s="685">
        <f t="shared" si="34"/>
        <v>3.8601769574795042</v>
      </c>
      <c r="E209" s="685">
        <f t="shared" si="34"/>
        <v>3.8601769574795042</v>
      </c>
      <c r="F209" s="685">
        <f t="shared" si="34"/>
        <v>3.8601769574795042</v>
      </c>
      <c r="G209" s="685">
        <f t="shared" si="34"/>
        <v>3.8601769574795042</v>
      </c>
      <c r="H209" s="685">
        <f t="shared" si="34"/>
        <v>3.8601769574795042</v>
      </c>
      <c r="I209" s="685">
        <f t="shared" si="34"/>
        <v>3.8601769574795042</v>
      </c>
      <c r="J209" s="685">
        <f t="shared" si="34"/>
        <v>3.8601769574795042</v>
      </c>
      <c r="K209" s="685">
        <f t="shared" si="34"/>
        <v>3.8601769574795042</v>
      </c>
      <c r="L209" s="685">
        <f t="shared" si="34"/>
        <v>3.8601769574795042</v>
      </c>
    </row>
    <row r="210" spans="2:12">
      <c r="B210" s="8" t="str">
        <f t="shared" si="33"/>
        <v>Music</v>
      </c>
      <c r="C210" s="685">
        <f t="shared" si="34"/>
        <v>0</v>
      </c>
      <c r="D210" s="685">
        <f t="shared" si="34"/>
        <v>0</v>
      </c>
      <c r="E210" s="685">
        <f t="shared" si="34"/>
        <v>0</v>
      </c>
      <c r="F210" s="685">
        <f t="shared" si="34"/>
        <v>0</v>
      </c>
      <c r="G210" s="685">
        <f t="shared" si="34"/>
        <v>0</v>
      </c>
      <c r="H210" s="685">
        <f t="shared" si="34"/>
        <v>0</v>
      </c>
      <c r="I210" s="685">
        <f t="shared" si="34"/>
        <v>0</v>
      </c>
      <c r="J210" s="685">
        <f t="shared" si="34"/>
        <v>0</v>
      </c>
      <c r="K210" s="685">
        <f t="shared" si="34"/>
        <v>0</v>
      </c>
      <c r="L210" s="685">
        <f t="shared" si="34"/>
        <v>0</v>
      </c>
    </row>
    <row r="211" spans="2:12">
      <c r="B211" s="8" t="str">
        <f t="shared" si="33"/>
        <v>Others</v>
      </c>
      <c r="C211" s="685">
        <f t="shared" si="34"/>
        <v>0</v>
      </c>
      <c r="D211" s="685">
        <f t="shared" si="34"/>
        <v>0</v>
      </c>
      <c r="E211" s="685">
        <f t="shared" si="34"/>
        <v>0</v>
      </c>
      <c r="F211" s="685">
        <f t="shared" si="34"/>
        <v>0</v>
      </c>
      <c r="G211" s="685">
        <f t="shared" si="34"/>
        <v>0</v>
      </c>
      <c r="H211" s="685">
        <f t="shared" si="34"/>
        <v>0</v>
      </c>
      <c r="I211" s="685">
        <f t="shared" si="34"/>
        <v>0</v>
      </c>
      <c r="J211" s="685">
        <f t="shared" si="34"/>
        <v>0</v>
      </c>
      <c r="K211" s="685">
        <f t="shared" si="34"/>
        <v>0</v>
      </c>
      <c r="L211" s="685">
        <f t="shared" si="34"/>
        <v>0</v>
      </c>
    </row>
    <row r="212" spans="2:12">
      <c r="B212" s="8" t="str">
        <f t="shared" si="33"/>
        <v>Physical Education</v>
      </c>
      <c r="C212" s="685">
        <f t="shared" si="34"/>
        <v>57.416520651038638</v>
      </c>
      <c r="D212" s="685">
        <f t="shared" si="34"/>
        <v>57.416520651038638</v>
      </c>
      <c r="E212" s="685">
        <f t="shared" si="34"/>
        <v>57.416520651038638</v>
      </c>
      <c r="F212" s="685">
        <f t="shared" si="34"/>
        <v>57.416520651038638</v>
      </c>
      <c r="G212" s="685">
        <f t="shared" si="34"/>
        <v>57.416520651038638</v>
      </c>
      <c r="H212" s="685">
        <f t="shared" si="34"/>
        <v>57.416520651038638</v>
      </c>
      <c r="I212" s="685">
        <f t="shared" si="34"/>
        <v>57.416520651038638</v>
      </c>
      <c r="J212" s="685">
        <f t="shared" si="34"/>
        <v>57.416520651038638</v>
      </c>
      <c r="K212" s="685">
        <f t="shared" si="34"/>
        <v>57.416520651038638</v>
      </c>
      <c r="L212" s="685">
        <f t="shared" si="34"/>
        <v>57.416520651038638</v>
      </c>
    </row>
    <row r="213" spans="2:12">
      <c r="B213" s="8" t="str">
        <f t="shared" si="33"/>
        <v>Physics</v>
      </c>
      <c r="C213" s="685">
        <f t="shared" si="34"/>
        <v>15.688028571428573</v>
      </c>
      <c r="D213" s="685">
        <f t="shared" si="34"/>
        <v>15.688028571428573</v>
      </c>
      <c r="E213" s="685">
        <f t="shared" si="34"/>
        <v>15.688028571428573</v>
      </c>
      <c r="F213" s="685">
        <f t="shared" si="34"/>
        <v>15.688028571428573</v>
      </c>
      <c r="G213" s="685">
        <f t="shared" si="34"/>
        <v>15.688028571428573</v>
      </c>
      <c r="H213" s="685">
        <f t="shared" si="34"/>
        <v>15.688028571428573</v>
      </c>
      <c r="I213" s="685">
        <f t="shared" si="34"/>
        <v>15.688028571428573</v>
      </c>
      <c r="J213" s="685">
        <f t="shared" si="34"/>
        <v>15.688028571428573</v>
      </c>
      <c r="K213" s="685">
        <f t="shared" si="34"/>
        <v>15.688028571428573</v>
      </c>
      <c r="L213" s="685">
        <f t="shared" si="34"/>
        <v>15.688028571428573</v>
      </c>
    </row>
    <row r="214" spans="2:12">
      <c r="B214" s="8" t="str">
        <f t="shared" si="33"/>
        <v>Religious Education</v>
      </c>
      <c r="C214" s="685">
        <f t="shared" si="34"/>
        <v>9.6411982666660041</v>
      </c>
      <c r="D214" s="685">
        <f t="shared" si="34"/>
        <v>9.6411982666660041</v>
      </c>
      <c r="E214" s="685">
        <f t="shared" si="34"/>
        <v>9.6411982666660041</v>
      </c>
      <c r="F214" s="685">
        <f t="shared" si="34"/>
        <v>9.6411982666660041</v>
      </c>
      <c r="G214" s="685">
        <f t="shared" si="34"/>
        <v>9.6411982666660041</v>
      </c>
      <c r="H214" s="685">
        <f t="shared" si="34"/>
        <v>9.6411982666660041</v>
      </c>
      <c r="I214" s="685">
        <f t="shared" si="34"/>
        <v>9.6411982666660041</v>
      </c>
      <c r="J214" s="685">
        <f t="shared" si="34"/>
        <v>9.6411982666660041</v>
      </c>
      <c r="K214" s="685">
        <f t="shared" si="34"/>
        <v>9.6411982666660041</v>
      </c>
      <c r="L214" s="685">
        <f t="shared" si="34"/>
        <v>9.6411982666660041</v>
      </c>
    </row>
    <row r="215" spans="2:12">
      <c r="B215" s="8" t="str">
        <f t="shared" si="33"/>
        <v>Total</v>
      </c>
      <c r="C215" s="459">
        <f t="shared" ref="C215:L215" si="35">SUM(C195:C214)</f>
        <v>3820.6530920807622</v>
      </c>
      <c r="D215" s="459">
        <f t="shared" si="35"/>
        <v>3820.6530920807622</v>
      </c>
      <c r="E215" s="459">
        <f t="shared" si="35"/>
        <v>3820.6530920807622</v>
      </c>
      <c r="F215" s="459">
        <f t="shared" si="35"/>
        <v>3820.6530920807622</v>
      </c>
      <c r="G215" s="459">
        <f t="shared" si="35"/>
        <v>3820.6530920807622</v>
      </c>
      <c r="H215" s="459">
        <f t="shared" si="35"/>
        <v>3820.6530920807622</v>
      </c>
      <c r="I215" s="459">
        <f t="shared" si="35"/>
        <v>3820.6530920807622</v>
      </c>
      <c r="J215" s="459">
        <f t="shared" si="35"/>
        <v>3820.6530920807622</v>
      </c>
      <c r="K215" s="459">
        <f t="shared" si="35"/>
        <v>3820.6530920807622</v>
      </c>
      <c r="L215" s="459">
        <f t="shared" si="35"/>
        <v>3820.6530920807622</v>
      </c>
    </row>
    <row r="216" spans="2:12">
      <c r="B216" s="8" t="str">
        <f t="shared" si="33"/>
        <v>Secondary total</v>
      </c>
      <c r="C216" s="459">
        <f>SUM(C195:C214)-C195</f>
        <v>214.29886411093366</v>
      </c>
      <c r="D216" s="459">
        <f t="shared" ref="D216:L216" si="36">SUM(D195:D214)-D195</f>
        <v>214.29886411093366</v>
      </c>
      <c r="E216" s="459">
        <f t="shared" si="36"/>
        <v>214.29886411093366</v>
      </c>
      <c r="F216" s="459">
        <f t="shared" si="36"/>
        <v>214.29886411093366</v>
      </c>
      <c r="G216" s="459">
        <f t="shared" si="36"/>
        <v>214.29886411093366</v>
      </c>
      <c r="H216" s="459">
        <f t="shared" si="36"/>
        <v>214.29886411093366</v>
      </c>
      <c r="I216" s="459">
        <f t="shared" si="36"/>
        <v>214.29886411093366</v>
      </c>
      <c r="J216" s="459">
        <f t="shared" si="36"/>
        <v>214.29886411093366</v>
      </c>
      <c r="K216" s="459">
        <f t="shared" si="36"/>
        <v>214.29886411093366</v>
      </c>
      <c r="L216" s="459">
        <f t="shared" si="36"/>
        <v>214.29886411093366</v>
      </c>
    </row>
    <row r="218" spans="2:12">
      <c r="B218" s="727" t="s">
        <v>1030</v>
      </c>
    </row>
    <row r="219" spans="2:12">
      <c r="B219" s="726"/>
    </row>
    <row r="220" spans="2:12">
      <c r="B220" s="8" t="s">
        <v>62</v>
      </c>
      <c r="C220" s="8" t="str">
        <f>C194</f>
        <v>2016/17</v>
      </c>
      <c r="D220" s="8" t="str">
        <f t="shared" ref="D220:L220" si="37">D194</f>
        <v>2018/19</v>
      </c>
      <c r="E220" s="8" t="str">
        <f t="shared" si="37"/>
        <v>2019/20</v>
      </c>
      <c r="F220" s="8" t="str">
        <f t="shared" si="37"/>
        <v>2020/21</v>
      </c>
      <c r="G220" s="8" t="str">
        <f t="shared" si="37"/>
        <v>2021/22</v>
      </c>
      <c r="H220" s="8" t="str">
        <f t="shared" si="37"/>
        <v>2022/23</v>
      </c>
      <c r="I220" s="8" t="str">
        <f t="shared" si="37"/>
        <v>2023/24</v>
      </c>
      <c r="J220" s="8" t="str">
        <f t="shared" si="37"/>
        <v>2024/25</v>
      </c>
      <c r="K220" s="8" t="str">
        <f t="shared" si="37"/>
        <v>2025/26</v>
      </c>
      <c r="L220" s="8" t="str">
        <f t="shared" si="37"/>
        <v>2026/27</v>
      </c>
    </row>
    <row r="221" spans="2:12">
      <c r="B221" s="8" t="str">
        <f>B169</f>
        <v>Primary</v>
      </c>
      <c r="C221" s="415">
        <f>C195/C$215</f>
        <v>0.9439104103549415</v>
      </c>
      <c r="D221" s="415">
        <f t="shared" ref="D221:L221" si="38">D195/D$215</f>
        <v>0.9439104103549415</v>
      </c>
      <c r="E221" s="415">
        <f t="shared" si="38"/>
        <v>0.9439104103549415</v>
      </c>
      <c r="F221" s="415">
        <f t="shared" si="38"/>
        <v>0.9439104103549415</v>
      </c>
      <c r="G221" s="415">
        <f t="shared" si="38"/>
        <v>0.9439104103549415</v>
      </c>
      <c r="H221" s="415">
        <f t="shared" si="38"/>
        <v>0.9439104103549415</v>
      </c>
      <c r="I221" s="415">
        <f t="shared" si="38"/>
        <v>0.9439104103549415</v>
      </c>
      <c r="J221" s="415">
        <f t="shared" si="38"/>
        <v>0.9439104103549415</v>
      </c>
      <c r="K221" s="415">
        <f t="shared" si="38"/>
        <v>0.9439104103549415</v>
      </c>
      <c r="L221" s="415">
        <f t="shared" si="38"/>
        <v>0.9439104103549415</v>
      </c>
    </row>
    <row r="222" spans="2:12">
      <c r="B222" s="8" t="str">
        <f t="shared" ref="B222:B241" si="39">B170</f>
        <v>Art &amp; Design</v>
      </c>
      <c r="C222" s="415">
        <f t="shared" ref="C222:L240" si="40">C196/C$215</f>
        <v>0</v>
      </c>
      <c r="D222" s="415">
        <f t="shared" si="40"/>
        <v>0</v>
      </c>
      <c r="E222" s="415">
        <f t="shared" si="40"/>
        <v>0</v>
      </c>
      <c r="F222" s="415">
        <f t="shared" si="40"/>
        <v>0</v>
      </c>
      <c r="G222" s="415">
        <f t="shared" si="40"/>
        <v>0</v>
      </c>
      <c r="H222" s="415">
        <f t="shared" si="40"/>
        <v>0</v>
      </c>
      <c r="I222" s="415">
        <f t="shared" si="40"/>
        <v>0</v>
      </c>
      <c r="J222" s="415">
        <f t="shared" si="40"/>
        <v>0</v>
      </c>
      <c r="K222" s="415">
        <f t="shared" si="40"/>
        <v>0</v>
      </c>
      <c r="L222" s="415">
        <f t="shared" si="40"/>
        <v>0</v>
      </c>
    </row>
    <row r="223" spans="2:12">
      <c r="B223" s="8" t="str">
        <f t="shared" si="39"/>
        <v>Biology</v>
      </c>
      <c r="C223" s="415">
        <f t="shared" si="40"/>
        <v>2.9843908775673438E-3</v>
      </c>
      <c r="D223" s="415">
        <f t="shared" si="40"/>
        <v>2.9843908775673438E-3</v>
      </c>
      <c r="E223" s="415">
        <f t="shared" si="40"/>
        <v>2.9843908775673438E-3</v>
      </c>
      <c r="F223" s="415">
        <f t="shared" si="40"/>
        <v>2.9843908775673438E-3</v>
      </c>
      <c r="G223" s="415">
        <f t="shared" si="40"/>
        <v>2.9843908775673438E-3</v>
      </c>
      <c r="H223" s="415">
        <f t="shared" si="40"/>
        <v>2.9843908775673438E-3</v>
      </c>
      <c r="I223" s="415">
        <f t="shared" si="40"/>
        <v>2.9843908775673438E-3</v>
      </c>
      <c r="J223" s="415">
        <f t="shared" si="40"/>
        <v>2.9843908775673438E-3</v>
      </c>
      <c r="K223" s="415">
        <f t="shared" si="40"/>
        <v>2.9843908775673438E-3</v>
      </c>
      <c r="L223" s="415">
        <f t="shared" si="40"/>
        <v>2.9843908775673438E-3</v>
      </c>
    </row>
    <row r="224" spans="2:12">
      <c r="B224" s="8" t="str">
        <f t="shared" si="39"/>
        <v>Business Studies</v>
      </c>
      <c r="C224" s="415">
        <f t="shared" si="40"/>
        <v>0</v>
      </c>
      <c r="D224" s="415">
        <f t="shared" si="40"/>
        <v>0</v>
      </c>
      <c r="E224" s="415">
        <f t="shared" si="40"/>
        <v>0</v>
      </c>
      <c r="F224" s="415">
        <f t="shared" si="40"/>
        <v>0</v>
      </c>
      <c r="G224" s="415">
        <f t="shared" si="40"/>
        <v>0</v>
      </c>
      <c r="H224" s="415">
        <f t="shared" si="40"/>
        <v>0</v>
      </c>
      <c r="I224" s="415">
        <f t="shared" si="40"/>
        <v>0</v>
      </c>
      <c r="J224" s="415">
        <f t="shared" si="40"/>
        <v>0</v>
      </c>
      <c r="K224" s="415">
        <f t="shared" si="40"/>
        <v>0</v>
      </c>
      <c r="L224" s="415">
        <f t="shared" si="40"/>
        <v>0</v>
      </c>
    </row>
    <row r="225" spans="2:12">
      <c r="B225" s="8" t="str">
        <f t="shared" si="39"/>
        <v>Chemistry</v>
      </c>
      <c r="C225" s="415">
        <f t="shared" si="40"/>
        <v>1.3635861729502465E-3</v>
      </c>
      <c r="D225" s="415">
        <f t="shared" si="40"/>
        <v>1.3635861729502465E-3</v>
      </c>
      <c r="E225" s="415">
        <f t="shared" si="40"/>
        <v>1.3635861729502465E-3</v>
      </c>
      <c r="F225" s="415">
        <f t="shared" si="40"/>
        <v>1.3635861729502465E-3</v>
      </c>
      <c r="G225" s="415">
        <f t="shared" si="40"/>
        <v>1.3635861729502465E-3</v>
      </c>
      <c r="H225" s="415">
        <f t="shared" si="40"/>
        <v>1.3635861729502465E-3</v>
      </c>
      <c r="I225" s="415">
        <f t="shared" si="40"/>
        <v>1.3635861729502465E-3</v>
      </c>
      <c r="J225" s="415">
        <f t="shared" si="40"/>
        <v>1.3635861729502465E-3</v>
      </c>
      <c r="K225" s="415">
        <f t="shared" si="40"/>
        <v>1.3635861729502465E-3</v>
      </c>
      <c r="L225" s="415">
        <f t="shared" si="40"/>
        <v>1.3635861729502465E-3</v>
      </c>
    </row>
    <row r="226" spans="2:12">
      <c r="B226" s="8" t="str">
        <f t="shared" si="39"/>
        <v>Classics</v>
      </c>
      <c r="C226" s="415">
        <f t="shared" si="40"/>
        <v>0</v>
      </c>
      <c r="D226" s="415">
        <f t="shared" si="40"/>
        <v>0</v>
      </c>
      <c r="E226" s="415">
        <f t="shared" si="40"/>
        <v>0</v>
      </c>
      <c r="F226" s="415">
        <f t="shared" si="40"/>
        <v>0</v>
      </c>
      <c r="G226" s="415">
        <f t="shared" si="40"/>
        <v>0</v>
      </c>
      <c r="H226" s="415">
        <f t="shared" si="40"/>
        <v>0</v>
      </c>
      <c r="I226" s="415">
        <f t="shared" si="40"/>
        <v>0</v>
      </c>
      <c r="J226" s="415">
        <f t="shared" si="40"/>
        <v>0</v>
      </c>
      <c r="K226" s="415">
        <f t="shared" si="40"/>
        <v>0</v>
      </c>
      <c r="L226" s="415">
        <f t="shared" si="40"/>
        <v>0</v>
      </c>
    </row>
    <row r="227" spans="2:12">
      <c r="B227" s="8" t="str">
        <f t="shared" si="39"/>
        <v>Computing</v>
      </c>
      <c r="C227" s="415">
        <f t="shared" si="40"/>
        <v>0</v>
      </c>
      <c r="D227" s="415">
        <f t="shared" si="40"/>
        <v>0</v>
      </c>
      <c r="E227" s="415">
        <f t="shared" si="40"/>
        <v>0</v>
      </c>
      <c r="F227" s="415">
        <f t="shared" si="40"/>
        <v>0</v>
      </c>
      <c r="G227" s="415">
        <f t="shared" si="40"/>
        <v>0</v>
      </c>
      <c r="H227" s="415">
        <f t="shared" si="40"/>
        <v>0</v>
      </c>
      <c r="I227" s="415">
        <f t="shared" si="40"/>
        <v>0</v>
      </c>
      <c r="J227" s="415">
        <f t="shared" si="40"/>
        <v>0</v>
      </c>
      <c r="K227" s="415">
        <f t="shared" si="40"/>
        <v>0</v>
      </c>
      <c r="L227" s="415">
        <f t="shared" si="40"/>
        <v>0</v>
      </c>
    </row>
    <row r="228" spans="2:12">
      <c r="B228" s="8" t="str">
        <f t="shared" si="39"/>
        <v>Design &amp; Technology</v>
      </c>
      <c r="C228" s="415">
        <f t="shared" si="40"/>
        <v>4.3298899857116173E-3</v>
      </c>
      <c r="D228" s="415">
        <f t="shared" si="40"/>
        <v>4.3298899857116173E-3</v>
      </c>
      <c r="E228" s="415">
        <f t="shared" si="40"/>
        <v>4.3298899857116173E-3</v>
      </c>
      <c r="F228" s="415">
        <f t="shared" si="40"/>
        <v>4.3298899857116173E-3</v>
      </c>
      <c r="G228" s="415">
        <f t="shared" si="40"/>
        <v>4.3298899857116173E-3</v>
      </c>
      <c r="H228" s="415">
        <f t="shared" si="40"/>
        <v>4.3298899857116173E-3</v>
      </c>
      <c r="I228" s="415">
        <f t="shared" si="40"/>
        <v>4.3298899857116173E-3</v>
      </c>
      <c r="J228" s="415">
        <f t="shared" si="40"/>
        <v>4.3298899857116173E-3</v>
      </c>
      <c r="K228" s="415">
        <f t="shared" si="40"/>
        <v>4.3298899857116173E-3</v>
      </c>
      <c r="L228" s="415">
        <f t="shared" si="40"/>
        <v>4.3298899857116173E-3</v>
      </c>
    </row>
    <row r="229" spans="2:12">
      <c r="B229" s="8" t="str">
        <f t="shared" si="39"/>
        <v>Drama</v>
      </c>
      <c r="C229" s="415">
        <f t="shared" si="40"/>
        <v>0</v>
      </c>
      <c r="D229" s="415">
        <f t="shared" si="40"/>
        <v>0</v>
      </c>
      <c r="E229" s="415">
        <f t="shared" si="40"/>
        <v>0</v>
      </c>
      <c r="F229" s="415">
        <f t="shared" si="40"/>
        <v>0</v>
      </c>
      <c r="G229" s="415">
        <f t="shared" si="40"/>
        <v>0</v>
      </c>
      <c r="H229" s="415">
        <f t="shared" si="40"/>
        <v>0</v>
      </c>
      <c r="I229" s="415">
        <f t="shared" si="40"/>
        <v>0</v>
      </c>
      <c r="J229" s="415">
        <f t="shared" si="40"/>
        <v>0</v>
      </c>
      <c r="K229" s="415">
        <f t="shared" si="40"/>
        <v>0</v>
      </c>
      <c r="L229" s="415">
        <f t="shared" si="40"/>
        <v>0</v>
      </c>
    </row>
    <row r="230" spans="2:12">
      <c r="B230" s="8" t="str">
        <f t="shared" si="39"/>
        <v>English</v>
      </c>
      <c r="C230" s="415">
        <f t="shared" si="40"/>
        <v>6.744250762933602E-3</v>
      </c>
      <c r="D230" s="415">
        <f t="shared" si="40"/>
        <v>6.744250762933602E-3</v>
      </c>
      <c r="E230" s="415">
        <f t="shared" si="40"/>
        <v>6.744250762933602E-3</v>
      </c>
      <c r="F230" s="415">
        <f t="shared" si="40"/>
        <v>6.744250762933602E-3</v>
      </c>
      <c r="G230" s="415">
        <f t="shared" si="40"/>
        <v>6.744250762933602E-3</v>
      </c>
      <c r="H230" s="415">
        <f t="shared" si="40"/>
        <v>6.744250762933602E-3</v>
      </c>
      <c r="I230" s="415">
        <f t="shared" si="40"/>
        <v>6.744250762933602E-3</v>
      </c>
      <c r="J230" s="415">
        <f t="shared" si="40"/>
        <v>6.744250762933602E-3</v>
      </c>
      <c r="K230" s="415">
        <f t="shared" si="40"/>
        <v>6.744250762933602E-3</v>
      </c>
      <c r="L230" s="415">
        <f t="shared" si="40"/>
        <v>6.744250762933602E-3</v>
      </c>
    </row>
    <row r="231" spans="2:12">
      <c r="B231" s="8" t="str">
        <f t="shared" si="39"/>
        <v>Food</v>
      </c>
      <c r="C231" s="415">
        <f t="shared" si="40"/>
        <v>0</v>
      </c>
      <c r="D231" s="415">
        <f t="shared" si="40"/>
        <v>0</v>
      </c>
      <c r="E231" s="415">
        <f t="shared" si="40"/>
        <v>0</v>
      </c>
      <c r="F231" s="415">
        <f t="shared" si="40"/>
        <v>0</v>
      </c>
      <c r="G231" s="415">
        <f t="shared" si="40"/>
        <v>0</v>
      </c>
      <c r="H231" s="415">
        <f t="shared" si="40"/>
        <v>0</v>
      </c>
      <c r="I231" s="415">
        <f t="shared" si="40"/>
        <v>0</v>
      </c>
      <c r="J231" s="415">
        <f t="shared" si="40"/>
        <v>0</v>
      </c>
      <c r="K231" s="415">
        <f t="shared" si="40"/>
        <v>0</v>
      </c>
      <c r="L231" s="415">
        <f t="shared" si="40"/>
        <v>0</v>
      </c>
    </row>
    <row r="232" spans="2:12">
      <c r="B232" s="8" t="str">
        <f t="shared" si="39"/>
        <v>Geography</v>
      </c>
      <c r="C232" s="415">
        <f t="shared" si="40"/>
        <v>0</v>
      </c>
      <c r="D232" s="415">
        <f t="shared" si="40"/>
        <v>0</v>
      </c>
      <c r="E232" s="415">
        <f t="shared" si="40"/>
        <v>0</v>
      </c>
      <c r="F232" s="415">
        <f t="shared" si="40"/>
        <v>0</v>
      </c>
      <c r="G232" s="415">
        <f t="shared" si="40"/>
        <v>0</v>
      </c>
      <c r="H232" s="415">
        <f t="shared" si="40"/>
        <v>0</v>
      </c>
      <c r="I232" s="415">
        <f t="shared" si="40"/>
        <v>0</v>
      </c>
      <c r="J232" s="415">
        <f t="shared" si="40"/>
        <v>0</v>
      </c>
      <c r="K232" s="415">
        <f t="shared" si="40"/>
        <v>0</v>
      </c>
      <c r="L232" s="415">
        <f t="shared" si="40"/>
        <v>0</v>
      </c>
    </row>
    <row r="233" spans="2:12">
      <c r="B233" s="8" t="str">
        <f t="shared" si="39"/>
        <v>History</v>
      </c>
      <c r="C233" s="415">
        <f t="shared" si="40"/>
        <v>0</v>
      </c>
      <c r="D233" s="415">
        <f t="shared" si="40"/>
        <v>0</v>
      </c>
      <c r="E233" s="415">
        <f t="shared" si="40"/>
        <v>0</v>
      </c>
      <c r="F233" s="415">
        <f t="shared" si="40"/>
        <v>0</v>
      </c>
      <c r="G233" s="415">
        <f t="shared" si="40"/>
        <v>0</v>
      </c>
      <c r="H233" s="415">
        <f t="shared" si="40"/>
        <v>0</v>
      </c>
      <c r="I233" s="415">
        <f t="shared" si="40"/>
        <v>0</v>
      </c>
      <c r="J233" s="415">
        <f t="shared" si="40"/>
        <v>0</v>
      </c>
      <c r="K233" s="415">
        <f t="shared" si="40"/>
        <v>0</v>
      </c>
      <c r="L233" s="415">
        <f t="shared" si="40"/>
        <v>0</v>
      </c>
    </row>
    <row r="234" spans="2:12">
      <c r="B234" s="8" t="str">
        <f t="shared" si="39"/>
        <v>Mathematics</v>
      </c>
      <c r="C234" s="415">
        <f t="shared" si="40"/>
        <v>1.7999639315869627E-2</v>
      </c>
      <c r="D234" s="415">
        <f t="shared" si="40"/>
        <v>1.7999639315869627E-2</v>
      </c>
      <c r="E234" s="415">
        <f t="shared" si="40"/>
        <v>1.7999639315869627E-2</v>
      </c>
      <c r="F234" s="415">
        <f t="shared" si="40"/>
        <v>1.7999639315869627E-2</v>
      </c>
      <c r="G234" s="415">
        <f t="shared" si="40"/>
        <v>1.7999639315869627E-2</v>
      </c>
      <c r="H234" s="415">
        <f t="shared" si="40"/>
        <v>1.7999639315869627E-2</v>
      </c>
      <c r="I234" s="415">
        <f t="shared" si="40"/>
        <v>1.7999639315869627E-2</v>
      </c>
      <c r="J234" s="415">
        <f t="shared" si="40"/>
        <v>1.7999639315869627E-2</v>
      </c>
      <c r="K234" s="415">
        <f t="shared" si="40"/>
        <v>1.7999639315869627E-2</v>
      </c>
      <c r="L234" s="415">
        <f t="shared" si="40"/>
        <v>1.7999639315869627E-2</v>
      </c>
    </row>
    <row r="235" spans="2:12">
      <c r="B235" s="8" t="str">
        <f t="shared" si="39"/>
        <v>Modern Foreign Languages</v>
      </c>
      <c r="C235" s="415">
        <f t="shared" si="40"/>
        <v>1.0103447930095157E-3</v>
      </c>
      <c r="D235" s="415">
        <f t="shared" si="40"/>
        <v>1.0103447930095157E-3</v>
      </c>
      <c r="E235" s="415">
        <f t="shared" si="40"/>
        <v>1.0103447930095157E-3</v>
      </c>
      <c r="F235" s="415">
        <f t="shared" si="40"/>
        <v>1.0103447930095157E-3</v>
      </c>
      <c r="G235" s="415">
        <f t="shared" si="40"/>
        <v>1.0103447930095157E-3</v>
      </c>
      <c r="H235" s="415">
        <f t="shared" si="40"/>
        <v>1.0103447930095157E-3</v>
      </c>
      <c r="I235" s="415">
        <f t="shared" si="40"/>
        <v>1.0103447930095157E-3</v>
      </c>
      <c r="J235" s="415">
        <f t="shared" si="40"/>
        <v>1.0103447930095157E-3</v>
      </c>
      <c r="K235" s="415">
        <f t="shared" si="40"/>
        <v>1.0103447930095157E-3</v>
      </c>
      <c r="L235" s="415">
        <f t="shared" si="40"/>
        <v>1.0103447930095157E-3</v>
      </c>
    </row>
    <row r="236" spans="2:12">
      <c r="B236" s="8" t="str">
        <f t="shared" si="39"/>
        <v>Music</v>
      </c>
      <c r="C236" s="415">
        <f t="shared" si="40"/>
        <v>0</v>
      </c>
      <c r="D236" s="415">
        <f t="shared" si="40"/>
        <v>0</v>
      </c>
      <c r="E236" s="415">
        <f t="shared" si="40"/>
        <v>0</v>
      </c>
      <c r="F236" s="415">
        <f t="shared" si="40"/>
        <v>0</v>
      </c>
      <c r="G236" s="415">
        <f t="shared" si="40"/>
        <v>0</v>
      </c>
      <c r="H236" s="415">
        <f t="shared" si="40"/>
        <v>0</v>
      </c>
      <c r="I236" s="415">
        <f t="shared" si="40"/>
        <v>0</v>
      </c>
      <c r="J236" s="415">
        <f t="shared" si="40"/>
        <v>0</v>
      </c>
      <c r="K236" s="415">
        <f t="shared" si="40"/>
        <v>0</v>
      </c>
      <c r="L236" s="415">
        <f t="shared" si="40"/>
        <v>0</v>
      </c>
    </row>
    <row r="237" spans="2:12">
      <c r="B237" s="8" t="str">
        <f t="shared" si="39"/>
        <v>Others</v>
      </c>
      <c r="C237" s="415">
        <f t="shared" si="40"/>
        <v>0</v>
      </c>
      <c r="D237" s="415">
        <f t="shared" si="40"/>
        <v>0</v>
      </c>
      <c r="E237" s="415">
        <f t="shared" si="40"/>
        <v>0</v>
      </c>
      <c r="F237" s="415">
        <f t="shared" si="40"/>
        <v>0</v>
      </c>
      <c r="G237" s="415">
        <f t="shared" si="40"/>
        <v>0</v>
      </c>
      <c r="H237" s="415">
        <f t="shared" si="40"/>
        <v>0</v>
      </c>
      <c r="I237" s="415">
        <f t="shared" si="40"/>
        <v>0</v>
      </c>
      <c r="J237" s="415">
        <f t="shared" si="40"/>
        <v>0</v>
      </c>
      <c r="K237" s="415">
        <f t="shared" si="40"/>
        <v>0</v>
      </c>
      <c r="L237" s="415">
        <f t="shared" si="40"/>
        <v>0</v>
      </c>
    </row>
    <row r="238" spans="2:12">
      <c r="B238" s="8" t="str">
        <f t="shared" si="39"/>
        <v>Physical Education</v>
      </c>
      <c r="C238" s="415">
        <f t="shared" si="40"/>
        <v>1.5027933514835046E-2</v>
      </c>
      <c r="D238" s="415">
        <f t="shared" si="40"/>
        <v>1.5027933514835046E-2</v>
      </c>
      <c r="E238" s="415">
        <f t="shared" si="40"/>
        <v>1.5027933514835046E-2</v>
      </c>
      <c r="F238" s="415">
        <f t="shared" si="40"/>
        <v>1.5027933514835046E-2</v>
      </c>
      <c r="G238" s="415">
        <f t="shared" si="40"/>
        <v>1.5027933514835046E-2</v>
      </c>
      <c r="H238" s="415">
        <f t="shared" si="40"/>
        <v>1.5027933514835046E-2</v>
      </c>
      <c r="I238" s="415">
        <f t="shared" si="40"/>
        <v>1.5027933514835046E-2</v>
      </c>
      <c r="J238" s="415">
        <f t="shared" si="40"/>
        <v>1.5027933514835046E-2</v>
      </c>
      <c r="K238" s="415">
        <f t="shared" si="40"/>
        <v>1.5027933514835046E-2</v>
      </c>
      <c r="L238" s="415">
        <f t="shared" si="40"/>
        <v>1.5027933514835046E-2</v>
      </c>
    </row>
    <row r="239" spans="2:12">
      <c r="B239" s="8" t="str">
        <f t="shared" si="39"/>
        <v>Physics</v>
      </c>
      <c r="C239" s="415">
        <f t="shared" si="40"/>
        <v>4.1061117545442291E-3</v>
      </c>
      <c r="D239" s="415">
        <f t="shared" si="40"/>
        <v>4.1061117545442291E-3</v>
      </c>
      <c r="E239" s="415">
        <f t="shared" si="40"/>
        <v>4.1061117545442291E-3</v>
      </c>
      <c r="F239" s="415">
        <f t="shared" si="40"/>
        <v>4.1061117545442291E-3</v>
      </c>
      <c r="G239" s="415">
        <f t="shared" si="40"/>
        <v>4.1061117545442291E-3</v>
      </c>
      <c r="H239" s="415">
        <f t="shared" si="40"/>
        <v>4.1061117545442291E-3</v>
      </c>
      <c r="I239" s="415">
        <f t="shared" si="40"/>
        <v>4.1061117545442291E-3</v>
      </c>
      <c r="J239" s="415">
        <f t="shared" si="40"/>
        <v>4.1061117545442291E-3</v>
      </c>
      <c r="K239" s="415">
        <f t="shared" si="40"/>
        <v>4.1061117545442291E-3</v>
      </c>
      <c r="L239" s="415">
        <f t="shared" si="40"/>
        <v>4.1061117545442291E-3</v>
      </c>
    </row>
    <row r="240" spans="2:12">
      <c r="B240" s="8" t="str">
        <f t="shared" si="39"/>
        <v>Religious Education</v>
      </c>
      <c r="C240" s="415">
        <f t="shared" si="40"/>
        <v>2.523442467637207E-3</v>
      </c>
      <c r="D240" s="415">
        <f t="shared" si="40"/>
        <v>2.523442467637207E-3</v>
      </c>
      <c r="E240" s="415">
        <f t="shared" si="40"/>
        <v>2.523442467637207E-3</v>
      </c>
      <c r="F240" s="415">
        <f t="shared" si="40"/>
        <v>2.523442467637207E-3</v>
      </c>
      <c r="G240" s="415">
        <f t="shared" si="40"/>
        <v>2.523442467637207E-3</v>
      </c>
      <c r="H240" s="415">
        <f t="shared" si="40"/>
        <v>2.523442467637207E-3</v>
      </c>
      <c r="I240" s="415">
        <f t="shared" si="40"/>
        <v>2.523442467637207E-3</v>
      </c>
      <c r="J240" s="415">
        <f t="shared" si="40"/>
        <v>2.523442467637207E-3</v>
      </c>
      <c r="K240" s="415">
        <f t="shared" si="40"/>
        <v>2.523442467637207E-3</v>
      </c>
      <c r="L240" s="415">
        <f t="shared" si="40"/>
        <v>2.523442467637207E-3</v>
      </c>
    </row>
    <row r="241" spans="1:12">
      <c r="B241" s="8" t="str">
        <f t="shared" si="39"/>
        <v>Total</v>
      </c>
      <c r="C241" s="654">
        <f t="shared" ref="C241:L241" si="41">SUM(C221:C240)</f>
        <v>1</v>
      </c>
      <c r="D241" s="654">
        <f t="shared" si="41"/>
        <v>1</v>
      </c>
      <c r="E241" s="654">
        <f t="shared" si="41"/>
        <v>1</v>
      </c>
      <c r="F241" s="654">
        <f t="shared" si="41"/>
        <v>1</v>
      </c>
      <c r="G241" s="654">
        <f t="shared" si="41"/>
        <v>1</v>
      </c>
      <c r="H241" s="654">
        <f t="shared" si="41"/>
        <v>1</v>
      </c>
      <c r="I241" s="654">
        <f t="shared" si="41"/>
        <v>1</v>
      </c>
      <c r="J241" s="654">
        <f t="shared" si="41"/>
        <v>1</v>
      </c>
      <c r="K241" s="654">
        <f t="shared" si="41"/>
        <v>1</v>
      </c>
      <c r="L241" s="654">
        <f t="shared" si="41"/>
        <v>1</v>
      </c>
    </row>
    <row r="242" spans="1:12">
      <c r="A242">
        <f>SUM(C242:L242)</f>
        <v>0</v>
      </c>
      <c r="C242" s="725">
        <f t="shared" ref="C242:L242" si="42">C241-1</f>
        <v>0</v>
      </c>
      <c r="D242" s="725">
        <f t="shared" si="42"/>
        <v>0</v>
      </c>
      <c r="E242" s="725">
        <f t="shared" si="42"/>
        <v>0</v>
      </c>
      <c r="F242" s="725">
        <f t="shared" si="42"/>
        <v>0</v>
      </c>
      <c r="G242" s="725">
        <f t="shared" si="42"/>
        <v>0</v>
      </c>
      <c r="H242" s="725">
        <f t="shared" si="42"/>
        <v>0</v>
      </c>
      <c r="I242" s="725">
        <f t="shared" si="42"/>
        <v>0</v>
      </c>
      <c r="J242" s="725">
        <f t="shared" si="42"/>
        <v>0</v>
      </c>
      <c r="K242" s="725">
        <f t="shared" si="42"/>
        <v>0</v>
      </c>
      <c r="L242" s="725">
        <f t="shared" si="42"/>
        <v>0</v>
      </c>
    </row>
    <row r="244" spans="1:12" ht="15.75">
      <c r="B244" s="78" t="s">
        <v>1034</v>
      </c>
    </row>
    <row r="246" spans="1:12">
      <c r="B246" s="141" t="s">
        <v>62</v>
      </c>
      <c r="C246" s="322" t="str">
        <f>C14</f>
        <v>2018/19</v>
      </c>
      <c r="D246" s="322" t="str">
        <f t="shared" ref="D246:L246" si="43">D14</f>
        <v>2019/20</v>
      </c>
      <c r="E246" s="322" t="str">
        <f t="shared" si="43"/>
        <v>2020/21</v>
      </c>
      <c r="F246" s="322" t="str">
        <f t="shared" si="43"/>
        <v>2021/22</v>
      </c>
      <c r="G246" s="322" t="str">
        <f t="shared" si="43"/>
        <v>2022/23</v>
      </c>
      <c r="H246" s="322" t="str">
        <f t="shared" si="43"/>
        <v>2023/24</v>
      </c>
      <c r="I246" s="322" t="str">
        <f t="shared" si="43"/>
        <v>2024/25</v>
      </c>
      <c r="J246" s="322" t="str">
        <f t="shared" si="43"/>
        <v>2025/26</v>
      </c>
      <c r="K246" s="322" t="str">
        <f t="shared" si="43"/>
        <v>2026/27</v>
      </c>
      <c r="L246" s="322" t="str">
        <f t="shared" si="43"/>
        <v>2027/28</v>
      </c>
    </row>
    <row r="247" spans="1:12">
      <c r="B247" s="8" t="str">
        <f>B221</f>
        <v>Primary</v>
      </c>
      <c r="C247" s="324">
        <f>C15-C195</f>
        <v>9261.3894379838766</v>
      </c>
      <c r="D247" s="324">
        <f t="shared" ref="D247:L247" si="44">D15-D195</f>
        <v>8615.4640660919995</v>
      </c>
      <c r="E247" s="324">
        <f t="shared" si="44"/>
        <v>8689.2204255933138</v>
      </c>
      <c r="F247" s="324">
        <f t="shared" si="44"/>
        <v>8577.1528135586341</v>
      </c>
      <c r="G247" s="324">
        <f t="shared" si="44"/>
        <v>8412.6175752891286</v>
      </c>
      <c r="H247" s="324">
        <f t="shared" si="44"/>
        <v>8298.3649107028759</v>
      </c>
      <c r="I247" s="324">
        <f t="shared" si="44"/>
        <v>8586.24910557986</v>
      </c>
      <c r="J247" s="324">
        <f t="shared" si="44"/>
        <v>8818.7669568512229</v>
      </c>
      <c r="K247" s="324">
        <f t="shared" si="44"/>
        <v>8878.4391182439995</v>
      </c>
      <c r="L247" s="324">
        <f t="shared" si="44"/>
        <v>8822.6729877941652</v>
      </c>
    </row>
    <row r="248" spans="1:12">
      <c r="B248" s="8" t="str">
        <f t="shared" ref="B248:B267" si="45">B222</f>
        <v>Art &amp; Design</v>
      </c>
      <c r="C248" s="324">
        <f t="shared" ref="C248:L266" si="46">C16-C196</f>
        <v>404.3544073580598</v>
      </c>
      <c r="D248" s="324">
        <f t="shared" si="46"/>
        <v>406.36232466689569</v>
      </c>
      <c r="E248" s="324">
        <f t="shared" si="46"/>
        <v>456.63178405120954</v>
      </c>
      <c r="F248" s="324">
        <f t="shared" si="46"/>
        <v>465.7667228325875</v>
      </c>
      <c r="G248" s="324">
        <f t="shared" si="46"/>
        <v>469.15160440701885</v>
      </c>
      <c r="H248" s="324">
        <f t="shared" si="46"/>
        <v>476.38929012035948</v>
      </c>
      <c r="I248" s="324">
        <f t="shared" si="46"/>
        <v>458.53882389538251</v>
      </c>
      <c r="J248" s="324">
        <f t="shared" si="46"/>
        <v>440.63607689976425</v>
      </c>
      <c r="K248" s="324">
        <f t="shared" si="46"/>
        <v>431.44871307712634</v>
      </c>
      <c r="L248" s="324">
        <f t="shared" si="46"/>
        <v>441.048874098483</v>
      </c>
    </row>
    <row r="249" spans="1:12">
      <c r="B249" s="8" t="str">
        <f t="shared" si="45"/>
        <v>Biology</v>
      </c>
      <c r="C249" s="324">
        <f t="shared" si="46"/>
        <v>791.59356334404015</v>
      </c>
      <c r="D249" s="324">
        <f t="shared" si="46"/>
        <v>751.07188246536145</v>
      </c>
      <c r="E249" s="324">
        <f t="shared" si="46"/>
        <v>742.34740767933624</v>
      </c>
      <c r="F249" s="324">
        <f t="shared" si="46"/>
        <v>757.51430981039391</v>
      </c>
      <c r="G249" s="324">
        <f t="shared" si="46"/>
        <v>778.8698083887549</v>
      </c>
      <c r="H249" s="324">
        <f t="shared" si="46"/>
        <v>764.5898704679912</v>
      </c>
      <c r="I249" s="324">
        <f t="shared" si="46"/>
        <v>743.42740673001265</v>
      </c>
      <c r="J249" s="324">
        <f t="shared" si="46"/>
        <v>752.06719990943736</v>
      </c>
      <c r="K249" s="324">
        <f t="shared" si="46"/>
        <v>747.60971622487477</v>
      </c>
      <c r="L249" s="324">
        <f t="shared" si="46"/>
        <v>720.50145539362711</v>
      </c>
    </row>
    <row r="250" spans="1:12">
      <c r="B250" s="8" t="str">
        <f t="shared" si="45"/>
        <v>Business Studies</v>
      </c>
      <c r="C250" s="324">
        <f t="shared" si="46"/>
        <v>159.39687919426885</v>
      </c>
      <c r="D250" s="324">
        <f t="shared" si="46"/>
        <v>120.05260632674926</v>
      </c>
      <c r="E250" s="324">
        <f t="shared" si="46"/>
        <v>178.65039956106415</v>
      </c>
      <c r="F250" s="324">
        <f t="shared" si="46"/>
        <v>206.16971080207168</v>
      </c>
      <c r="G250" s="324">
        <f t="shared" si="46"/>
        <v>223.561952272507</v>
      </c>
      <c r="H250" s="324">
        <f t="shared" si="46"/>
        <v>216.86359733196548</v>
      </c>
      <c r="I250" s="324">
        <f t="shared" si="46"/>
        <v>223.74536110075363</v>
      </c>
      <c r="J250" s="324">
        <f t="shared" si="46"/>
        <v>230.776412152022</v>
      </c>
      <c r="K250" s="324">
        <f t="shared" si="46"/>
        <v>232.09905917383315</v>
      </c>
      <c r="L250" s="324">
        <f t="shared" si="46"/>
        <v>218.12452164449067</v>
      </c>
    </row>
    <row r="251" spans="1:12">
      <c r="B251" s="8" t="str">
        <f t="shared" si="45"/>
        <v>Chemistry</v>
      </c>
      <c r="C251" s="324">
        <f t="shared" si="46"/>
        <v>672.30979514811543</v>
      </c>
      <c r="D251" s="324">
        <f t="shared" si="46"/>
        <v>672.80014795664204</v>
      </c>
      <c r="E251" s="324">
        <f t="shared" si="46"/>
        <v>663.01595827661049</v>
      </c>
      <c r="F251" s="324">
        <f t="shared" si="46"/>
        <v>675.50291660863343</v>
      </c>
      <c r="G251" s="324">
        <f t="shared" si="46"/>
        <v>693.21484926962512</v>
      </c>
      <c r="H251" s="324">
        <f t="shared" si="46"/>
        <v>675.23827658775735</v>
      </c>
      <c r="I251" s="324">
        <f t="shared" si="46"/>
        <v>655.00112708518122</v>
      </c>
      <c r="J251" s="324">
        <f t="shared" si="46"/>
        <v>664.70582115232446</v>
      </c>
      <c r="K251" s="324">
        <f t="shared" si="46"/>
        <v>660.00926317929702</v>
      </c>
      <c r="L251" s="324">
        <f t="shared" si="46"/>
        <v>629.67875678047812</v>
      </c>
    </row>
    <row r="252" spans="1:12">
      <c r="B252" s="8" t="str">
        <f t="shared" si="45"/>
        <v>Classics</v>
      </c>
      <c r="C252" s="324">
        <f t="shared" si="46"/>
        <v>19.239359964925082</v>
      </c>
      <c r="D252" s="324">
        <f t="shared" si="46"/>
        <v>18.699539958503959</v>
      </c>
      <c r="E252" s="324">
        <f t="shared" si="46"/>
        <v>18.465105340228241</v>
      </c>
      <c r="F252" s="324">
        <f t="shared" si="46"/>
        <v>18.558123357196617</v>
      </c>
      <c r="G252" s="324">
        <f t="shared" si="46"/>
        <v>18.889725051827121</v>
      </c>
      <c r="H252" s="324">
        <f t="shared" si="46"/>
        <v>18.783860295436192</v>
      </c>
      <c r="I252" s="324">
        <f t="shared" si="46"/>
        <v>18.497778655832143</v>
      </c>
      <c r="J252" s="324">
        <f t="shared" si="46"/>
        <v>18.051427277426964</v>
      </c>
      <c r="K252" s="324">
        <f t="shared" si="46"/>
        <v>17.810199265671187</v>
      </c>
      <c r="L252" s="324">
        <f t="shared" si="46"/>
        <v>17.794581275068612</v>
      </c>
    </row>
    <row r="253" spans="1:12">
      <c r="B253" s="8" t="str">
        <f t="shared" si="45"/>
        <v>Computing</v>
      </c>
      <c r="C253" s="324">
        <f t="shared" si="46"/>
        <v>300.10021835802866</v>
      </c>
      <c r="D253" s="324">
        <f t="shared" si="46"/>
        <v>288.62431792545931</v>
      </c>
      <c r="E253" s="324">
        <f t="shared" si="46"/>
        <v>382.94466430713265</v>
      </c>
      <c r="F253" s="324">
        <f t="shared" si="46"/>
        <v>411.91694005381186</v>
      </c>
      <c r="G253" s="324">
        <f t="shared" si="46"/>
        <v>418.82002314172166</v>
      </c>
      <c r="H253" s="324">
        <f t="shared" si="46"/>
        <v>422.11678109256576</v>
      </c>
      <c r="I253" s="324">
        <f t="shared" si="46"/>
        <v>409.23904804699561</v>
      </c>
      <c r="J253" s="324">
        <f t="shared" si="46"/>
        <v>399.93811525790977</v>
      </c>
      <c r="K253" s="324">
        <f t="shared" si="46"/>
        <v>393.98052070016467</v>
      </c>
      <c r="L253" s="324">
        <f t="shared" si="46"/>
        <v>396.08759693665428</v>
      </c>
    </row>
    <row r="254" spans="1:12">
      <c r="B254" s="8" t="str">
        <f t="shared" si="45"/>
        <v>Design &amp; Technology</v>
      </c>
      <c r="C254" s="324">
        <f t="shared" si="46"/>
        <v>484.24132853611241</v>
      </c>
      <c r="D254" s="324">
        <f t="shared" si="46"/>
        <v>437.85502023539584</v>
      </c>
      <c r="E254" s="324">
        <f t="shared" si="46"/>
        <v>532.19147415527823</v>
      </c>
      <c r="F254" s="324">
        <f t="shared" si="46"/>
        <v>559.76580514124919</v>
      </c>
      <c r="G254" s="324">
        <f t="shared" si="46"/>
        <v>548.50863088027461</v>
      </c>
      <c r="H254" s="324">
        <f t="shared" si="46"/>
        <v>558.76548012409455</v>
      </c>
      <c r="I254" s="324">
        <f t="shared" si="46"/>
        <v>524.37450838800487</v>
      </c>
      <c r="J254" s="324">
        <f t="shared" si="46"/>
        <v>490.56260437541215</v>
      </c>
      <c r="K254" s="324">
        <f t="shared" si="46"/>
        <v>474.01566976704044</v>
      </c>
      <c r="L254" s="324">
        <f t="shared" si="46"/>
        <v>495.43509878236938</v>
      </c>
    </row>
    <row r="255" spans="1:12">
      <c r="B255" s="8" t="str">
        <f t="shared" si="45"/>
        <v>Drama</v>
      </c>
      <c r="C255" s="324">
        <f t="shared" si="46"/>
        <v>259.30619789531664</v>
      </c>
      <c r="D255" s="324">
        <f t="shared" si="46"/>
        <v>250.49081552492615</v>
      </c>
      <c r="E255" s="324">
        <f t="shared" si="46"/>
        <v>248.66840591435727</v>
      </c>
      <c r="F255" s="324">
        <f t="shared" si="46"/>
        <v>268.17037472553329</v>
      </c>
      <c r="G255" s="324">
        <f t="shared" si="46"/>
        <v>269.96860929641196</v>
      </c>
      <c r="H255" s="324">
        <f t="shared" si="46"/>
        <v>276.11818141061917</v>
      </c>
      <c r="I255" s="324">
        <f t="shared" si="46"/>
        <v>265.17097906111178</v>
      </c>
      <c r="J255" s="324">
        <f t="shared" si="46"/>
        <v>255.07403250337106</v>
      </c>
      <c r="K255" s="324">
        <f t="shared" si="46"/>
        <v>250.59599760692285</v>
      </c>
      <c r="L255" s="324">
        <f t="shared" si="46"/>
        <v>258.73418495090129</v>
      </c>
    </row>
    <row r="256" spans="1:12">
      <c r="B256" s="8" t="str">
        <f t="shared" si="45"/>
        <v>English</v>
      </c>
      <c r="C256" s="324">
        <f t="shared" si="46"/>
        <v>1885.4780905457687</v>
      </c>
      <c r="D256" s="324">
        <f t="shared" si="46"/>
        <v>1805.5771405256191</v>
      </c>
      <c r="E256" s="324">
        <f t="shared" si="46"/>
        <v>1762.9712818209305</v>
      </c>
      <c r="F256" s="324">
        <f t="shared" si="46"/>
        <v>1770.7045711034389</v>
      </c>
      <c r="G256" s="324">
        <f t="shared" si="46"/>
        <v>1785.9105490217041</v>
      </c>
      <c r="H256" s="324">
        <f t="shared" si="46"/>
        <v>1765.4814188305229</v>
      </c>
      <c r="I256" s="324">
        <f t="shared" si="46"/>
        <v>1684.1517756017215</v>
      </c>
      <c r="J256" s="324">
        <f t="shared" si="46"/>
        <v>1673.8568078539488</v>
      </c>
      <c r="K256" s="324">
        <f t="shared" si="46"/>
        <v>1650.9659275508629</v>
      </c>
      <c r="L256" s="324">
        <f t="shared" si="46"/>
        <v>1619.2057289902434</v>
      </c>
    </row>
    <row r="257" spans="2:12">
      <c r="B257" s="8" t="str">
        <f t="shared" si="45"/>
        <v>Food</v>
      </c>
      <c r="C257" s="324">
        <f t="shared" si="46"/>
        <v>96.069693340465733</v>
      </c>
      <c r="D257" s="324">
        <f t="shared" si="46"/>
        <v>84.52005879254601</v>
      </c>
      <c r="E257" s="324">
        <f t="shared" si="46"/>
        <v>113.98359401741193</v>
      </c>
      <c r="F257" s="324">
        <f t="shared" si="46"/>
        <v>121.56542606427438</v>
      </c>
      <c r="G257" s="324">
        <f t="shared" si="46"/>
        <v>121.88547320494415</v>
      </c>
      <c r="H257" s="324">
        <f t="shared" si="46"/>
        <v>116.99335251533084</v>
      </c>
      <c r="I257" s="324">
        <f t="shared" si="46"/>
        <v>111.1943214808052</v>
      </c>
      <c r="J257" s="324">
        <f t="shared" si="46"/>
        <v>111.94155988826897</v>
      </c>
      <c r="K257" s="324">
        <f t="shared" si="46"/>
        <v>110.12250669715969</v>
      </c>
      <c r="L257" s="324">
        <f t="shared" si="46"/>
        <v>104.01826238395492</v>
      </c>
    </row>
    <row r="258" spans="2:12">
      <c r="B258" s="8" t="str">
        <f t="shared" si="45"/>
        <v>Geography</v>
      </c>
      <c r="C258" s="324">
        <f t="shared" si="46"/>
        <v>1037.6121686405004</v>
      </c>
      <c r="D258" s="324">
        <f t="shared" si="46"/>
        <v>1019.6958437796293</v>
      </c>
      <c r="E258" s="324">
        <f t="shared" si="46"/>
        <v>793.56037550334008</v>
      </c>
      <c r="F258" s="324">
        <f t="shared" si="46"/>
        <v>752.55387333773729</v>
      </c>
      <c r="G258" s="324">
        <f t="shared" si="46"/>
        <v>758.34691395315554</v>
      </c>
      <c r="H258" s="324">
        <f t="shared" si="46"/>
        <v>767.30885743344857</v>
      </c>
      <c r="I258" s="324">
        <f t="shared" si="46"/>
        <v>709.13954858047441</v>
      </c>
      <c r="J258" s="324">
        <f t="shared" si="46"/>
        <v>678.24983078306946</v>
      </c>
      <c r="K258" s="324">
        <f t="shared" si="46"/>
        <v>658.04004888371003</v>
      </c>
      <c r="L258" s="324">
        <f t="shared" si="46"/>
        <v>669.39000648684646</v>
      </c>
    </row>
    <row r="259" spans="2:12">
      <c r="B259" s="8" t="str">
        <f t="shared" si="45"/>
        <v>History</v>
      </c>
      <c r="C259" s="324">
        <f t="shared" si="46"/>
        <v>942.73270484617319</v>
      </c>
      <c r="D259" s="324">
        <f t="shared" si="46"/>
        <v>996.94278490286547</v>
      </c>
      <c r="E259" s="324">
        <f t="shared" si="46"/>
        <v>789.99355225076374</v>
      </c>
      <c r="F259" s="324">
        <f t="shared" si="46"/>
        <v>779.26955201282249</v>
      </c>
      <c r="G259" s="324">
        <f t="shared" si="46"/>
        <v>790.40680266664549</v>
      </c>
      <c r="H259" s="324">
        <f t="shared" si="46"/>
        <v>797.8410969536385</v>
      </c>
      <c r="I259" s="324">
        <f t="shared" si="46"/>
        <v>742.27605152290118</v>
      </c>
      <c r="J259" s="324">
        <f t="shared" si="46"/>
        <v>712.35643694239832</v>
      </c>
      <c r="K259" s="324">
        <f t="shared" si="46"/>
        <v>692.21434559396494</v>
      </c>
      <c r="L259" s="324">
        <f t="shared" si="46"/>
        <v>700.19936399464461</v>
      </c>
    </row>
    <row r="260" spans="2:12">
      <c r="B260" s="8" t="str">
        <f t="shared" si="45"/>
        <v>Mathematics</v>
      </c>
      <c r="C260" s="324">
        <f t="shared" si="46"/>
        <v>2035.5046716654276</v>
      </c>
      <c r="D260" s="324">
        <f t="shared" si="46"/>
        <v>1968.1461855575735</v>
      </c>
      <c r="E260" s="324">
        <f t="shared" si="46"/>
        <v>1947.9619131505408</v>
      </c>
      <c r="F260" s="324">
        <f t="shared" si="46"/>
        <v>1896.8411100785097</v>
      </c>
      <c r="G260" s="324">
        <f t="shared" si="46"/>
        <v>1909.845832497668</v>
      </c>
      <c r="H260" s="324">
        <f t="shared" si="46"/>
        <v>1886.7247330900409</v>
      </c>
      <c r="I260" s="324">
        <f t="shared" si="46"/>
        <v>1801.6255615099292</v>
      </c>
      <c r="J260" s="324">
        <f t="shared" si="46"/>
        <v>1780.5811194123255</v>
      </c>
      <c r="K260" s="324">
        <f t="shared" si="46"/>
        <v>1751.1935298301896</v>
      </c>
      <c r="L260" s="324">
        <f t="shared" si="46"/>
        <v>1718.804185447965</v>
      </c>
    </row>
    <row r="261" spans="2:12">
      <c r="B261" s="8" t="str">
        <f t="shared" si="45"/>
        <v>Modern Foreign Languages</v>
      </c>
      <c r="C261" s="324">
        <f t="shared" si="46"/>
        <v>2246.8767087711881</v>
      </c>
      <c r="D261" s="324">
        <f t="shared" si="46"/>
        <v>2456.4307270805525</v>
      </c>
      <c r="E261" s="324">
        <f t="shared" si="46"/>
        <v>1663.4949321542495</v>
      </c>
      <c r="F261" s="324">
        <f t="shared" si="46"/>
        <v>1292.2139799683209</v>
      </c>
      <c r="G261" s="324">
        <f t="shared" si="46"/>
        <v>1282.829706288406</v>
      </c>
      <c r="H261" s="324">
        <f t="shared" si="46"/>
        <v>1286.0693615834268</v>
      </c>
      <c r="I261" s="324">
        <f t="shared" si="46"/>
        <v>1170.9608155127744</v>
      </c>
      <c r="J261" s="324">
        <f t="shared" si="46"/>
        <v>1111.7492842818872</v>
      </c>
      <c r="K261" s="324">
        <f t="shared" si="46"/>
        <v>1068.7495720210816</v>
      </c>
      <c r="L261" s="324">
        <f t="shared" si="46"/>
        <v>1079.0387592830723</v>
      </c>
    </row>
    <row r="262" spans="2:12">
      <c r="B262" s="8" t="str">
        <f t="shared" si="45"/>
        <v>Music</v>
      </c>
      <c r="C262" s="324">
        <f t="shared" si="46"/>
        <v>283.30480097954103</v>
      </c>
      <c r="D262" s="324">
        <f t="shared" si="46"/>
        <v>292.98316711763658</v>
      </c>
      <c r="E262" s="324">
        <f t="shared" si="46"/>
        <v>288.68995979180949</v>
      </c>
      <c r="F262" s="324">
        <f t="shared" si="46"/>
        <v>283.63955969071992</v>
      </c>
      <c r="G262" s="324">
        <f t="shared" si="46"/>
        <v>280.69394340745771</v>
      </c>
      <c r="H262" s="324">
        <f t="shared" si="46"/>
        <v>291.40374783165453</v>
      </c>
      <c r="I262" s="324">
        <f t="shared" si="46"/>
        <v>275.98796709906992</v>
      </c>
      <c r="J262" s="324">
        <f t="shared" si="46"/>
        <v>258.32754304953204</v>
      </c>
      <c r="K262" s="324">
        <f t="shared" si="46"/>
        <v>251.3785646999111</v>
      </c>
      <c r="L262" s="324">
        <f t="shared" si="46"/>
        <v>267.78307260588684</v>
      </c>
    </row>
    <row r="263" spans="2:12">
      <c r="B263" s="8" t="str">
        <f t="shared" si="45"/>
        <v>Others</v>
      </c>
      <c r="C263" s="324">
        <f t="shared" si="46"/>
        <v>586.47931349226599</v>
      </c>
      <c r="D263" s="324">
        <f t="shared" si="46"/>
        <v>483.29675169836116</v>
      </c>
      <c r="E263" s="324">
        <f t="shared" si="46"/>
        <v>616.5485438280856</v>
      </c>
      <c r="F263" s="324">
        <f t="shared" si="46"/>
        <v>719.10029516384361</v>
      </c>
      <c r="G263" s="324">
        <f t="shared" si="46"/>
        <v>759.28214014938408</v>
      </c>
      <c r="H263" s="324">
        <f t="shared" si="46"/>
        <v>758.57071224166032</v>
      </c>
      <c r="I263" s="324">
        <f t="shared" si="46"/>
        <v>770.63075327197714</v>
      </c>
      <c r="J263" s="324">
        <f t="shared" si="46"/>
        <v>763.2423471273778</v>
      </c>
      <c r="K263" s="324">
        <f t="shared" si="46"/>
        <v>760.05626738159845</v>
      </c>
      <c r="L263" s="324">
        <f t="shared" si="46"/>
        <v>752.05525307413541</v>
      </c>
    </row>
    <row r="264" spans="2:12">
      <c r="B264" s="8" t="str">
        <f t="shared" si="45"/>
        <v>Physical Education</v>
      </c>
      <c r="C264" s="324">
        <f t="shared" si="46"/>
        <v>692.64765828628947</v>
      </c>
      <c r="D264" s="324">
        <f t="shared" si="46"/>
        <v>676.11066487291328</v>
      </c>
      <c r="E264" s="324">
        <f t="shared" si="46"/>
        <v>765.04607651995229</v>
      </c>
      <c r="F264" s="324">
        <f t="shared" si="46"/>
        <v>804.71738262743474</v>
      </c>
      <c r="G264" s="324">
        <f t="shared" si="46"/>
        <v>817.70806156841695</v>
      </c>
      <c r="H264" s="324">
        <f t="shared" si="46"/>
        <v>823.33943594343305</v>
      </c>
      <c r="I264" s="324">
        <f t="shared" si="46"/>
        <v>785.76143025029569</v>
      </c>
      <c r="J264" s="324">
        <f t="shared" si="46"/>
        <v>775.40032357723612</v>
      </c>
      <c r="K264" s="324">
        <f t="shared" si="46"/>
        <v>766.34932565655254</v>
      </c>
      <c r="L264" s="324">
        <f t="shared" si="46"/>
        <v>768.44651112310908</v>
      </c>
    </row>
    <row r="265" spans="2:12">
      <c r="B265" s="8" t="str">
        <f t="shared" si="45"/>
        <v>Physics</v>
      </c>
      <c r="C265" s="324">
        <f t="shared" si="46"/>
        <v>655.08044505185046</v>
      </c>
      <c r="D265" s="324">
        <f t="shared" si="46"/>
        <v>652.92796065870823</v>
      </c>
      <c r="E265" s="324">
        <f t="shared" si="46"/>
        <v>640.41783708506523</v>
      </c>
      <c r="F265" s="324">
        <f t="shared" si="46"/>
        <v>650.86355528510296</v>
      </c>
      <c r="G265" s="324">
        <f t="shared" si="46"/>
        <v>666.25283482291013</v>
      </c>
      <c r="H265" s="324">
        <f t="shared" si="46"/>
        <v>645.52606278511507</v>
      </c>
      <c r="I265" s="324">
        <f t="shared" si="46"/>
        <v>623.05923014187033</v>
      </c>
      <c r="J265" s="324">
        <f t="shared" si="46"/>
        <v>633.66816273966424</v>
      </c>
      <c r="K265" s="324">
        <f t="shared" si="46"/>
        <v>628.43633909903542</v>
      </c>
      <c r="L265" s="324">
        <f t="shared" si="46"/>
        <v>595.33723772110443</v>
      </c>
    </row>
    <row r="266" spans="2:12">
      <c r="B266" s="8" t="str">
        <f t="shared" si="45"/>
        <v>Religious Education</v>
      </c>
      <c r="C266" s="324">
        <f t="shared" si="46"/>
        <v>450.99728260204085</v>
      </c>
      <c r="D266" s="324">
        <f t="shared" si="46"/>
        <v>420.63483639185677</v>
      </c>
      <c r="E266" s="324">
        <f t="shared" si="46"/>
        <v>415.66902984842403</v>
      </c>
      <c r="F266" s="324">
        <f t="shared" si="46"/>
        <v>413.9456773252067</v>
      </c>
      <c r="G266" s="324">
        <f t="shared" si="46"/>
        <v>416.16354381759879</v>
      </c>
      <c r="H266" s="324">
        <f t="shared" si="46"/>
        <v>415.18252384223445</v>
      </c>
      <c r="I266" s="324">
        <f t="shared" si="46"/>
        <v>395.8984533711037</v>
      </c>
      <c r="J266" s="324">
        <f t="shared" si="46"/>
        <v>387.86575406253547</v>
      </c>
      <c r="K266" s="324">
        <f t="shared" si="46"/>
        <v>381.2053380442689</v>
      </c>
      <c r="L266" s="324">
        <f t="shared" si="46"/>
        <v>380.23156843230981</v>
      </c>
    </row>
    <row r="267" spans="2:12">
      <c r="B267" s="8" t="str">
        <f t="shared" si="45"/>
        <v>Total</v>
      </c>
      <c r="C267" s="324">
        <f>SUM(C247:C266)</f>
        <v>23264.714726004262</v>
      </c>
      <c r="D267" s="324">
        <f t="shared" ref="D267:L267" si="47">SUM(D247:D266)</f>
        <v>22418.686842530198</v>
      </c>
      <c r="E267" s="324">
        <f t="shared" si="47"/>
        <v>21710.472720849102</v>
      </c>
      <c r="F267" s="324">
        <f t="shared" si="47"/>
        <v>21425.932699547528</v>
      </c>
      <c r="G267" s="324">
        <f t="shared" si="47"/>
        <v>21422.928579395561</v>
      </c>
      <c r="H267" s="324">
        <f t="shared" si="47"/>
        <v>21261.671551184172</v>
      </c>
      <c r="I267" s="324">
        <f t="shared" si="47"/>
        <v>20954.930046886057</v>
      </c>
      <c r="J267" s="324">
        <f t="shared" si="47"/>
        <v>20957.817816097137</v>
      </c>
      <c r="K267" s="324">
        <f t="shared" si="47"/>
        <v>20804.720022697271</v>
      </c>
      <c r="L267" s="324">
        <f t="shared" si="47"/>
        <v>20654.588007199516</v>
      </c>
    </row>
  </sheetData>
  <mergeCells count="4">
    <mergeCell ref="C39:C40"/>
    <mergeCell ref="D39:L39"/>
    <mergeCell ref="B39:B40"/>
    <mergeCell ref="A5:L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6"/>
  <sheetViews>
    <sheetView showGridLines="0" workbookViewId="0"/>
  </sheetViews>
  <sheetFormatPr defaultRowHeight="12.75"/>
  <cols>
    <col min="2" max="2" width="27.7109375" customWidth="1"/>
    <col min="3" max="17" width="12.7109375" customWidth="1"/>
  </cols>
  <sheetData>
    <row r="1" spans="1:15" s="66" customFormat="1" ht="15">
      <c r="A1" s="65" t="str">
        <f>ModelBanner</f>
        <v>TSM_201718 for publication</v>
      </c>
    </row>
    <row r="2" spans="1:15" s="66" customFormat="1" ht="15">
      <c r="A2" s="1003" t="s">
        <v>13</v>
      </c>
      <c r="B2" s="1003" t="s">
        <v>30</v>
      </c>
    </row>
    <row r="3" spans="1:15" s="66" customFormat="1" ht="15">
      <c r="A3" s="67"/>
    </row>
    <row r="4" spans="1:15" s="589" customFormat="1">
      <c r="A4" s="590" t="s">
        <v>26</v>
      </c>
      <c r="B4" s="590"/>
      <c r="C4" s="590"/>
      <c r="D4" s="590"/>
      <c r="E4" s="292"/>
      <c r="F4" s="590"/>
      <c r="G4" s="590"/>
    </row>
    <row r="5" spans="1:15" s="588" customFormat="1">
      <c r="A5" s="1100" t="s">
        <v>752</v>
      </c>
      <c r="B5" s="1100"/>
      <c r="C5" s="1100"/>
      <c r="D5" s="1100"/>
      <c r="E5" s="1100"/>
      <c r="F5" s="1100"/>
      <c r="G5" s="1100"/>
      <c r="H5" s="59"/>
      <c r="I5" s="59"/>
      <c r="J5" s="59"/>
      <c r="K5" s="59"/>
      <c r="L5" s="59"/>
      <c r="M5" s="59"/>
      <c r="N5" s="59"/>
      <c r="O5" s="59"/>
    </row>
    <row r="6" spans="1:15" s="585" customFormat="1">
      <c r="A6" s="587" t="s">
        <v>1420</v>
      </c>
      <c r="B6" s="61"/>
      <c r="C6" s="61"/>
      <c r="D6" s="61"/>
      <c r="E6" s="292"/>
      <c r="F6" s="61"/>
      <c r="G6" s="61"/>
      <c r="H6" s="45"/>
      <c r="I6" s="45"/>
      <c r="J6" s="45"/>
      <c r="K6" s="45"/>
      <c r="L6" s="45"/>
      <c r="M6" s="45"/>
      <c r="N6" s="45"/>
      <c r="O6" s="45"/>
    </row>
    <row r="7" spans="1:15" s="585" customFormat="1">
      <c r="A7" s="586" t="s">
        <v>751</v>
      </c>
      <c r="B7" s="587"/>
      <c r="C7" s="61"/>
      <c r="D7" s="61"/>
      <c r="E7" s="292"/>
      <c r="F7" s="61"/>
      <c r="G7" s="61"/>
      <c r="H7" s="45"/>
      <c r="I7" s="45"/>
      <c r="J7" s="45"/>
      <c r="K7" s="45"/>
      <c r="L7" s="45"/>
      <c r="M7" s="45"/>
      <c r="N7" s="45"/>
      <c r="O7" s="45"/>
    </row>
    <row r="8" spans="1:15" s="585" customFormat="1">
      <c r="A8" s="587" t="s">
        <v>24</v>
      </c>
      <c r="B8" s="61"/>
      <c r="C8" s="61"/>
      <c r="D8" s="61"/>
      <c r="E8" s="292"/>
      <c r="F8" s="61"/>
      <c r="G8" s="61"/>
      <c r="H8" s="45"/>
      <c r="I8" s="45"/>
      <c r="J8" s="45"/>
      <c r="K8" s="45"/>
      <c r="L8" s="45"/>
      <c r="M8" s="45"/>
      <c r="N8" s="45"/>
      <c r="O8" s="45"/>
    </row>
    <row r="9" spans="1:15" s="583" customFormat="1">
      <c r="A9" s="584" t="s">
        <v>750</v>
      </c>
      <c r="B9" s="73"/>
      <c r="C9" s="71"/>
      <c r="D9" s="48"/>
      <c r="E9" s="48"/>
      <c r="F9" s="72"/>
      <c r="G9" s="48"/>
      <c r="H9" s="48"/>
      <c r="I9" s="72"/>
      <c r="J9" s="49"/>
      <c r="K9" s="49"/>
      <c r="L9" s="49"/>
      <c r="M9" s="49"/>
      <c r="N9" s="49"/>
      <c r="O9" s="49"/>
    </row>
    <row r="11" spans="1:15">
      <c r="B11" s="150" t="s">
        <v>1734</v>
      </c>
    </row>
    <row r="13" spans="1:15" ht="15.75">
      <c r="B13" s="78" t="s">
        <v>749</v>
      </c>
    </row>
    <row r="15" spans="1:15">
      <c r="B15" s="142" t="str">
        <f>Calc_long_term_NQT_entrants!B246</f>
        <v>Subject</v>
      </c>
      <c r="C15" s="142" t="str">
        <f>Calc_long_term_NQT_entrants!C246</f>
        <v>2018/19</v>
      </c>
      <c r="D15" s="142" t="str">
        <f>Calc_long_term_NQT_entrants!D246</f>
        <v>2019/20</v>
      </c>
      <c r="E15" s="142" t="str">
        <f>Calc_long_term_NQT_entrants!E246</f>
        <v>2020/21</v>
      </c>
      <c r="F15" s="142" t="str">
        <f>Calc_long_term_NQT_entrants!F246</f>
        <v>2021/22</v>
      </c>
      <c r="G15" s="142" t="str">
        <f>Calc_long_term_NQT_entrants!G246</f>
        <v>2022/23</v>
      </c>
      <c r="H15" s="142" t="str">
        <f>Calc_long_term_NQT_entrants!H246</f>
        <v>2023/24</v>
      </c>
      <c r="I15" s="142" t="str">
        <f>Calc_long_term_NQT_entrants!I246</f>
        <v>2024/25</v>
      </c>
      <c r="J15" s="142" t="str">
        <f>Calc_long_term_NQT_entrants!J246</f>
        <v>2025/26</v>
      </c>
      <c r="K15" s="142" t="str">
        <f>Calc_long_term_NQT_entrants!K246</f>
        <v>2026/27</v>
      </c>
      <c r="L15" s="142" t="str">
        <f>Calc_long_term_NQT_entrants!L246</f>
        <v>2027/28</v>
      </c>
    </row>
    <row r="16" spans="1:15">
      <c r="B16" s="142" t="str">
        <f>Calc_long_term_NQT_entrants!B247</f>
        <v>Primary</v>
      </c>
      <c r="C16" s="724">
        <f>Calc_long_term_NQT_entrants!C247</f>
        <v>9261.3894379838766</v>
      </c>
      <c r="D16" s="724">
        <f>Calc_long_term_NQT_entrants!D247</f>
        <v>8615.4640660919995</v>
      </c>
      <c r="E16" s="724">
        <f>Calc_long_term_NQT_entrants!E247</f>
        <v>8689.2204255933138</v>
      </c>
      <c r="F16" s="724">
        <f>Calc_long_term_NQT_entrants!F247</f>
        <v>8577.1528135586341</v>
      </c>
      <c r="G16" s="724">
        <f>Calc_long_term_NQT_entrants!G247</f>
        <v>8412.6175752891286</v>
      </c>
      <c r="H16" s="724">
        <f>Calc_long_term_NQT_entrants!H247</f>
        <v>8298.3649107028759</v>
      </c>
      <c r="I16" s="724">
        <f>Calc_long_term_NQT_entrants!I247</f>
        <v>8586.24910557986</v>
      </c>
      <c r="J16" s="724">
        <f>Calc_long_term_NQT_entrants!J247</f>
        <v>8818.7669568512229</v>
      </c>
      <c r="K16" s="724">
        <f>Calc_long_term_NQT_entrants!K247</f>
        <v>8878.4391182439995</v>
      </c>
      <c r="L16" s="724">
        <f>Calc_long_term_NQT_entrants!L247</f>
        <v>8822.6729877941652</v>
      </c>
    </row>
    <row r="17" spans="2:12">
      <c r="B17" s="142" t="str">
        <f>Calc_long_term_NQT_entrants!B248</f>
        <v>Art &amp; Design</v>
      </c>
      <c r="C17" s="724">
        <f>Calc_long_term_NQT_entrants!C248</f>
        <v>404.3544073580598</v>
      </c>
      <c r="D17" s="724">
        <f>Calc_long_term_NQT_entrants!D248</f>
        <v>406.36232466689569</v>
      </c>
      <c r="E17" s="724">
        <f>Calc_long_term_NQT_entrants!E248</f>
        <v>456.63178405120954</v>
      </c>
      <c r="F17" s="724">
        <f>Calc_long_term_NQT_entrants!F248</f>
        <v>465.7667228325875</v>
      </c>
      <c r="G17" s="724">
        <f>Calc_long_term_NQT_entrants!G248</f>
        <v>469.15160440701885</v>
      </c>
      <c r="H17" s="724">
        <f>Calc_long_term_NQT_entrants!H248</f>
        <v>476.38929012035948</v>
      </c>
      <c r="I17" s="724">
        <f>Calc_long_term_NQT_entrants!I248</f>
        <v>458.53882389538251</v>
      </c>
      <c r="J17" s="724">
        <f>Calc_long_term_NQT_entrants!J248</f>
        <v>440.63607689976425</v>
      </c>
      <c r="K17" s="724">
        <f>Calc_long_term_NQT_entrants!K248</f>
        <v>431.44871307712634</v>
      </c>
      <c r="L17" s="724">
        <f>Calc_long_term_NQT_entrants!L248</f>
        <v>441.048874098483</v>
      </c>
    </row>
    <row r="18" spans="2:12">
      <c r="B18" s="142" t="str">
        <f>Calc_long_term_NQT_entrants!B249</f>
        <v>Biology</v>
      </c>
      <c r="C18" s="724">
        <f>Calc_long_term_NQT_entrants!C249</f>
        <v>791.59356334404015</v>
      </c>
      <c r="D18" s="724">
        <f>Calc_long_term_NQT_entrants!D249</f>
        <v>751.07188246536145</v>
      </c>
      <c r="E18" s="724">
        <f>Calc_long_term_NQT_entrants!E249</f>
        <v>742.34740767933624</v>
      </c>
      <c r="F18" s="724">
        <f>Calc_long_term_NQT_entrants!F249</f>
        <v>757.51430981039391</v>
      </c>
      <c r="G18" s="724">
        <f>Calc_long_term_NQT_entrants!G249</f>
        <v>778.8698083887549</v>
      </c>
      <c r="H18" s="724">
        <f>Calc_long_term_NQT_entrants!H249</f>
        <v>764.5898704679912</v>
      </c>
      <c r="I18" s="724">
        <f>Calc_long_term_NQT_entrants!I249</f>
        <v>743.42740673001265</v>
      </c>
      <c r="J18" s="724">
        <f>Calc_long_term_NQT_entrants!J249</f>
        <v>752.06719990943736</v>
      </c>
      <c r="K18" s="724">
        <f>Calc_long_term_NQT_entrants!K249</f>
        <v>747.60971622487477</v>
      </c>
      <c r="L18" s="724">
        <f>Calc_long_term_NQT_entrants!L249</f>
        <v>720.50145539362711</v>
      </c>
    </row>
    <row r="19" spans="2:12">
      <c r="B19" s="142" t="str">
        <f>Calc_long_term_NQT_entrants!B250</f>
        <v>Business Studies</v>
      </c>
      <c r="C19" s="724">
        <f>Calc_long_term_NQT_entrants!C250</f>
        <v>159.39687919426885</v>
      </c>
      <c r="D19" s="724">
        <f>Calc_long_term_NQT_entrants!D250</f>
        <v>120.05260632674926</v>
      </c>
      <c r="E19" s="724">
        <f>Calc_long_term_NQT_entrants!E250</f>
        <v>178.65039956106415</v>
      </c>
      <c r="F19" s="724">
        <f>Calc_long_term_NQT_entrants!F250</f>
        <v>206.16971080207168</v>
      </c>
      <c r="G19" s="724">
        <f>Calc_long_term_NQT_entrants!G250</f>
        <v>223.561952272507</v>
      </c>
      <c r="H19" s="724">
        <f>Calc_long_term_NQT_entrants!H250</f>
        <v>216.86359733196548</v>
      </c>
      <c r="I19" s="724">
        <f>Calc_long_term_NQT_entrants!I250</f>
        <v>223.74536110075363</v>
      </c>
      <c r="J19" s="724">
        <f>Calc_long_term_NQT_entrants!J250</f>
        <v>230.776412152022</v>
      </c>
      <c r="K19" s="724">
        <f>Calc_long_term_NQT_entrants!K250</f>
        <v>232.09905917383315</v>
      </c>
      <c r="L19" s="724">
        <f>Calc_long_term_NQT_entrants!L250</f>
        <v>218.12452164449067</v>
      </c>
    </row>
    <row r="20" spans="2:12">
      <c r="B20" s="142" t="str">
        <f>Calc_long_term_NQT_entrants!B251</f>
        <v>Chemistry</v>
      </c>
      <c r="C20" s="724">
        <f>Calc_long_term_NQT_entrants!C251</f>
        <v>672.30979514811543</v>
      </c>
      <c r="D20" s="724">
        <f>Calc_long_term_NQT_entrants!D251</f>
        <v>672.80014795664204</v>
      </c>
      <c r="E20" s="724">
        <f>Calc_long_term_NQT_entrants!E251</f>
        <v>663.01595827661049</v>
      </c>
      <c r="F20" s="724">
        <f>Calc_long_term_NQT_entrants!F251</f>
        <v>675.50291660863343</v>
      </c>
      <c r="G20" s="724">
        <f>Calc_long_term_NQT_entrants!G251</f>
        <v>693.21484926962512</v>
      </c>
      <c r="H20" s="724">
        <f>Calc_long_term_NQT_entrants!H251</f>
        <v>675.23827658775735</v>
      </c>
      <c r="I20" s="724">
        <f>Calc_long_term_NQT_entrants!I251</f>
        <v>655.00112708518122</v>
      </c>
      <c r="J20" s="724">
        <f>Calc_long_term_NQT_entrants!J251</f>
        <v>664.70582115232446</v>
      </c>
      <c r="K20" s="724">
        <f>Calc_long_term_NQT_entrants!K251</f>
        <v>660.00926317929702</v>
      </c>
      <c r="L20" s="724">
        <f>Calc_long_term_NQT_entrants!L251</f>
        <v>629.67875678047812</v>
      </c>
    </row>
    <row r="21" spans="2:12">
      <c r="B21" s="142" t="str">
        <f>Calc_long_term_NQT_entrants!B252</f>
        <v>Classics</v>
      </c>
      <c r="C21" s="724">
        <f>Calc_long_term_NQT_entrants!C252</f>
        <v>19.239359964925082</v>
      </c>
      <c r="D21" s="724">
        <f>Calc_long_term_NQT_entrants!D252</f>
        <v>18.699539958503959</v>
      </c>
      <c r="E21" s="724">
        <f>Calc_long_term_NQT_entrants!E252</f>
        <v>18.465105340228241</v>
      </c>
      <c r="F21" s="724">
        <f>Calc_long_term_NQT_entrants!F252</f>
        <v>18.558123357196617</v>
      </c>
      <c r="G21" s="724">
        <f>Calc_long_term_NQT_entrants!G252</f>
        <v>18.889725051827121</v>
      </c>
      <c r="H21" s="724">
        <f>Calc_long_term_NQT_entrants!H252</f>
        <v>18.783860295436192</v>
      </c>
      <c r="I21" s="724">
        <f>Calc_long_term_NQT_entrants!I252</f>
        <v>18.497778655832143</v>
      </c>
      <c r="J21" s="724">
        <f>Calc_long_term_NQT_entrants!J252</f>
        <v>18.051427277426964</v>
      </c>
      <c r="K21" s="724">
        <f>Calc_long_term_NQT_entrants!K252</f>
        <v>17.810199265671187</v>
      </c>
      <c r="L21" s="724">
        <f>Calc_long_term_NQT_entrants!L252</f>
        <v>17.794581275068612</v>
      </c>
    </row>
    <row r="22" spans="2:12">
      <c r="B22" s="142" t="str">
        <f>Calc_long_term_NQT_entrants!B253</f>
        <v>Computing</v>
      </c>
      <c r="C22" s="724">
        <f>Calc_long_term_NQT_entrants!C253</f>
        <v>300.10021835802866</v>
      </c>
      <c r="D22" s="724">
        <f>Calc_long_term_NQT_entrants!D253</f>
        <v>288.62431792545931</v>
      </c>
      <c r="E22" s="724">
        <f>Calc_long_term_NQT_entrants!E253</f>
        <v>382.94466430713265</v>
      </c>
      <c r="F22" s="724">
        <f>Calc_long_term_NQT_entrants!F253</f>
        <v>411.91694005381186</v>
      </c>
      <c r="G22" s="724">
        <f>Calc_long_term_NQT_entrants!G253</f>
        <v>418.82002314172166</v>
      </c>
      <c r="H22" s="724">
        <f>Calc_long_term_NQT_entrants!H253</f>
        <v>422.11678109256576</v>
      </c>
      <c r="I22" s="724">
        <f>Calc_long_term_NQT_entrants!I253</f>
        <v>409.23904804699561</v>
      </c>
      <c r="J22" s="724">
        <f>Calc_long_term_NQT_entrants!J253</f>
        <v>399.93811525790977</v>
      </c>
      <c r="K22" s="724">
        <f>Calc_long_term_NQT_entrants!K253</f>
        <v>393.98052070016467</v>
      </c>
      <c r="L22" s="724">
        <f>Calc_long_term_NQT_entrants!L253</f>
        <v>396.08759693665428</v>
      </c>
    </row>
    <row r="23" spans="2:12">
      <c r="B23" s="142" t="str">
        <f>Calc_long_term_NQT_entrants!B254</f>
        <v>Design &amp; Technology</v>
      </c>
      <c r="C23" s="724">
        <f>Calc_long_term_NQT_entrants!C254</f>
        <v>484.24132853611241</v>
      </c>
      <c r="D23" s="724">
        <f>Calc_long_term_NQT_entrants!D254</f>
        <v>437.85502023539584</v>
      </c>
      <c r="E23" s="724">
        <f>Calc_long_term_NQT_entrants!E254</f>
        <v>532.19147415527823</v>
      </c>
      <c r="F23" s="724">
        <f>Calc_long_term_NQT_entrants!F254</f>
        <v>559.76580514124919</v>
      </c>
      <c r="G23" s="724">
        <f>Calc_long_term_NQT_entrants!G254</f>
        <v>548.50863088027461</v>
      </c>
      <c r="H23" s="724">
        <f>Calc_long_term_NQT_entrants!H254</f>
        <v>558.76548012409455</v>
      </c>
      <c r="I23" s="724">
        <f>Calc_long_term_NQT_entrants!I254</f>
        <v>524.37450838800487</v>
      </c>
      <c r="J23" s="724">
        <f>Calc_long_term_NQT_entrants!J254</f>
        <v>490.56260437541215</v>
      </c>
      <c r="K23" s="724">
        <f>Calc_long_term_NQT_entrants!K254</f>
        <v>474.01566976704044</v>
      </c>
      <c r="L23" s="724">
        <f>Calc_long_term_NQT_entrants!L254</f>
        <v>495.43509878236938</v>
      </c>
    </row>
    <row r="24" spans="2:12">
      <c r="B24" s="142" t="str">
        <f>Calc_long_term_NQT_entrants!B255</f>
        <v>Drama</v>
      </c>
      <c r="C24" s="724">
        <f>Calc_long_term_NQT_entrants!C255</f>
        <v>259.30619789531664</v>
      </c>
      <c r="D24" s="724">
        <f>Calc_long_term_NQT_entrants!D255</f>
        <v>250.49081552492615</v>
      </c>
      <c r="E24" s="724">
        <f>Calc_long_term_NQT_entrants!E255</f>
        <v>248.66840591435727</v>
      </c>
      <c r="F24" s="724">
        <f>Calc_long_term_NQT_entrants!F255</f>
        <v>268.17037472553329</v>
      </c>
      <c r="G24" s="724">
        <f>Calc_long_term_NQT_entrants!G255</f>
        <v>269.96860929641196</v>
      </c>
      <c r="H24" s="724">
        <f>Calc_long_term_NQT_entrants!H255</f>
        <v>276.11818141061917</v>
      </c>
      <c r="I24" s="724">
        <f>Calc_long_term_NQT_entrants!I255</f>
        <v>265.17097906111178</v>
      </c>
      <c r="J24" s="724">
        <f>Calc_long_term_NQT_entrants!J255</f>
        <v>255.07403250337106</v>
      </c>
      <c r="K24" s="724">
        <f>Calc_long_term_NQT_entrants!K255</f>
        <v>250.59599760692285</v>
      </c>
      <c r="L24" s="724">
        <f>Calc_long_term_NQT_entrants!L255</f>
        <v>258.73418495090129</v>
      </c>
    </row>
    <row r="25" spans="2:12">
      <c r="B25" s="142" t="str">
        <f>Calc_long_term_NQT_entrants!B256</f>
        <v>English</v>
      </c>
      <c r="C25" s="724">
        <f>Calc_long_term_NQT_entrants!C256</f>
        <v>1885.4780905457687</v>
      </c>
      <c r="D25" s="724">
        <f>Calc_long_term_NQT_entrants!D256</f>
        <v>1805.5771405256191</v>
      </c>
      <c r="E25" s="724">
        <f>Calc_long_term_NQT_entrants!E256</f>
        <v>1762.9712818209305</v>
      </c>
      <c r="F25" s="724">
        <f>Calc_long_term_NQT_entrants!F256</f>
        <v>1770.7045711034389</v>
      </c>
      <c r="G25" s="724">
        <f>Calc_long_term_NQT_entrants!G256</f>
        <v>1785.9105490217041</v>
      </c>
      <c r="H25" s="724">
        <f>Calc_long_term_NQT_entrants!H256</f>
        <v>1765.4814188305229</v>
      </c>
      <c r="I25" s="724">
        <f>Calc_long_term_NQT_entrants!I256</f>
        <v>1684.1517756017215</v>
      </c>
      <c r="J25" s="724">
        <f>Calc_long_term_NQT_entrants!J256</f>
        <v>1673.8568078539488</v>
      </c>
      <c r="K25" s="724">
        <f>Calc_long_term_NQT_entrants!K256</f>
        <v>1650.9659275508629</v>
      </c>
      <c r="L25" s="724">
        <f>Calc_long_term_NQT_entrants!L256</f>
        <v>1619.2057289902434</v>
      </c>
    </row>
    <row r="26" spans="2:12">
      <c r="B26" s="142" t="str">
        <f>Calc_long_term_NQT_entrants!B257</f>
        <v>Food</v>
      </c>
      <c r="C26" s="724">
        <f>Calc_long_term_NQT_entrants!C257</f>
        <v>96.069693340465733</v>
      </c>
      <c r="D26" s="724">
        <f>Calc_long_term_NQT_entrants!D257</f>
        <v>84.52005879254601</v>
      </c>
      <c r="E26" s="724">
        <f>Calc_long_term_NQT_entrants!E257</f>
        <v>113.98359401741193</v>
      </c>
      <c r="F26" s="724">
        <f>Calc_long_term_NQT_entrants!F257</f>
        <v>121.56542606427438</v>
      </c>
      <c r="G26" s="724">
        <f>Calc_long_term_NQT_entrants!G257</f>
        <v>121.88547320494415</v>
      </c>
      <c r="H26" s="724">
        <f>Calc_long_term_NQT_entrants!H257</f>
        <v>116.99335251533084</v>
      </c>
      <c r="I26" s="724">
        <f>Calc_long_term_NQT_entrants!I257</f>
        <v>111.1943214808052</v>
      </c>
      <c r="J26" s="724">
        <f>Calc_long_term_NQT_entrants!J257</f>
        <v>111.94155988826897</v>
      </c>
      <c r="K26" s="724">
        <f>Calc_long_term_NQT_entrants!K257</f>
        <v>110.12250669715969</v>
      </c>
      <c r="L26" s="724">
        <f>Calc_long_term_NQT_entrants!L257</f>
        <v>104.01826238395492</v>
      </c>
    </row>
    <row r="27" spans="2:12">
      <c r="B27" s="142" t="str">
        <f>Calc_long_term_NQT_entrants!B258</f>
        <v>Geography</v>
      </c>
      <c r="C27" s="724">
        <f>Calc_long_term_NQT_entrants!C258</f>
        <v>1037.6121686405004</v>
      </c>
      <c r="D27" s="724">
        <f>Calc_long_term_NQT_entrants!D258</f>
        <v>1019.6958437796293</v>
      </c>
      <c r="E27" s="724">
        <f>Calc_long_term_NQT_entrants!E258</f>
        <v>793.56037550334008</v>
      </c>
      <c r="F27" s="724">
        <f>Calc_long_term_NQT_entrants!F258</f>
        <v>752.55387333773729</v>
      </c>
      <c r="G27" s="724">
        <f>Calc_long_term_NQT_entrants!G258</f>
        <v>758.34691395315554</v>
      </c>
      <c r="H27" s="724">
        <f>Calc_long_term_NQT_entrants!H258</f>
        <v>767.30885743344857</v>
      </c>
      <c r="I27" s="724">
        <f>Calc_long_term_NQT_entrants!I258</f>
        <v>709.13954858047441</v>
      </c>
      <c r="J27" s="724">
        <f>Calc_long_term_NQT_entrants!J258</f>
        <v>678.24983078306946</v>
      </c>
      <c r="K27" s="724">
        <f>Calc_long_term_NQT_entrants!K258</f>
        <v>658.04004888371003</v>
      </c>
      <c r="L27" s="724">
        <f>Calc_long_term_NQT_entrants!L258</f>
        <v>669.39000648684646</v>
      </c>
    </row>
    <row r="28" spans="2:12">
      <c r="B28" s="142" t="str">
        <f>Calc_long_term_NQT_entrants!B259</f>
        <v>History</v>
      </c>
      <c r="C28" s="724">
        <f>Calc_long_term_NQT_entrants!C259</f>
        <v>942.73270484617319</v>
      </c>
      <c r="D28" s="724">
        <f>Calc_long_term_NQT_entrants!D259</f>
        <v>996.94278490286547</v>
      </c>
      <c r="E28" s="724">
        <f>Calc_long_term_NQT_entrants!E259</f>
        <v>789.99355225076374</v>
      </c>
      <c r="F28" s="724">
        <f>Calc_long_term_NQT_entrants!F259</f>
        <v>779.26955201282249</v>
      </c>
      <c r="G28" s="724">
        <f>Calc_long_term_NQT_entrants!G259</f>
        <v>790.40680266664549</v>
      </c>
      <c r="H28" s="724">
        <f>Calc_long_term_NQT_entrants!H259</f>
        <v>797.8410969536385</v>
      </c>
      <c r="I28" s="724">
        <f>Calc_long_term_NQT_entrants!I259</f>
        <v>742.27605152290118</v>
      </c>
      <c r="J28" s="724">
        <f>Calc_long_term_NQT_entrants!J259</f>
        <v>712.35643694239832</v>
      </c>
      <c r="K28" s="724">
        <f>Calc_long_term_NQT_entrants!K259</f>
        <v>692.21434559396494</v>
      </c>
      <c r="L28" s="724">
        <f>Calc_long_term_NQT_entrants!L259</f>
        <v>700.19936399464461</v>
      </c>
    </row>
    <row r="29" spans="2:12">
      <c r="B29" s="142" t="str">
        <f>Calc_long_term_NQT_entrants!B260</f>
        <v>Mathematics</v>
      </c>
      <c r="C29" s="724">
        <f>Calc_long_term_NQT_entrants!C260</f>
        <v>2035.5046716654276</v>
      </c>
      <c r="D29" s="724">
        <f>Calc_long_term_NQT_entrants!D260</f>
        <v>1968.1461855575735</v>
      </c>
      <c r="E29" s="724">
        <f>Calc_long_term_NQT_entrants!E260</f>
        <v>1947.9619131505408</v>
      </c>
      <c r="F29" s="724">
        <f>Calc_long_term_NQT_entrants!F260</f>
        <v>1896.8411100785097</v>
      </c>
      <c r="G29" s="724">
        <f>Calc_long_term_NQT_entrants!G260</f>
        <v>1909.845832497668</v>
      </c>
      <c r="H29" s="724">
        <f>Calc_long_term_NQT_entrants!H260</f>
        <v>1886.7247330900409</v>
      </c>
      <c r="I29" s="724">
        <f>Calc_long_term_NQT_entrants!I260</f>
        <v>1801.6255615099292</v>
      </c>
      <c r="J29" s="724">
        <f>Calc_long_term_NQT_entrants!J260</f>
        <v>1780.5811194123255</v>
      </c>
      <c r="K29" s="724">
        <f>Calc_long_term_NQT_entrants!K260</f>
        <v>1751.1935298301896</v>
      </c>
      <c r="L29" s="724">
        <f>Calc_long_term_NQT_entrants!L260</f>
        <v>1718.804185447965</v>
      </c>
    </row>
    <row r="30" spans="2:12">
      <c r="B30" s="142" t="str">
        <f>Calc_long_term_NQT_entrants!B261</f>
        <v>Modern Foreign Languages</v>
      </c>
      <c r="C30" s="724">
        <f>Calc_long_term_NQT_entrants!C261</f>
        <v>2246.8767087711881</v>
      </c>
      <c r="D30" s="724">
        <f>Calc_long_term_NQT_entrants!D261</f>
        <v>2456.4307270805525</v>
      </c>
      <c r="E30" s="724">
        <f>Calc_long_term_NQT_entrants!E261</f>
        <v>1663.4949321542495</v>
      </c>
      <c r="F30" s="724">
        <f>Calc_long_term_NQT_entrants!F261</f>
        <v>1292.2139799683209</v>
      </c>
      <c r="G30" s="724">
        <f>Calc_long_term_NQT_entrants!G261</f>
        <v>1282.829706288406</v>
      </c>
      <c r="H30" s="724">
        <f>Calc_long_term_NQT_entrants!H261</f>
        <v>1286.0693615834268</v>
      </c>
      <c r="I30" s="724">
        <f>Calc_long_term_NQT_entrants!I261</f>
        <v>1170.9608155127744</v>
      </c>
      <c r="J30" s="724">
        <f>Calc_long_term_NQT_entrants!J261</f>
        <v>1111.7492842818872</v>
      </c>
      <c r="K30" s="724">
        <f>Calc_long_term_NQT_entrants!K261</f>
        <v>1068.7495720210816</v>
      </c>
      <c r="L30" s="724">
        <f>Calc_long_term_NQT_entrants!L261</f>
        <v>1079.0387592830723</v>
      </c>
    </row>
    <row r="31" spans="2:12">
      <c r="B31" s="142" t="str">
        <f>Calc_long_term_NQT_entrants!B262</f>
        <v>Music</v>
      </c>
      <c r="C31" s="724">
        <f>Calc_long_term_NQT_entrants!C262</f>
        <v>283.30480097954103</v>
      </c>
      <c r="D31" s="724">
        <f>Calc_long_term_NQT_entrants!D262</f>
        <v>292.98316711763658</v>
      </c>
      <c r="E31" s="724">
        <f>Calc_long_term_NQT_entrants!E262</f>
        <v>288.68995979180949</v>
      </c>
      <c r="F31" s="724">
        <f>Calc_long_term_NQT_entrants!F262</f>
        <v>283.63955969071992</v>
      </c>
      <c r="G31" s="724">
        <f>Calc_long_term_NQT_entrants!G262</f>
        <v>280.69394340745771</v>
      </c>
      <c r="H31" s="724">
        <f>Calc_long_term_NQT_entrants!H262</f>
        <v>291.40374783165453</v>
      </c>
      <c r="I31" s="724">
        <f>Calc_long_term_NQT_entrants!I262</f>
        <v>275.98796709906992</v>
      </c>
      <c r="J31" s="724">
        <f>Calc_long_term_NQT_entrants!J262</f>
        <v>258.32754304953204</v>
      </c>
      <c r="K31" s="724">
        <f>Calc_long_term_NQT_entrants!K262</f>
        <v>251.3785646999111</v>
      </c>
      <c r="L31" s="724">
        <f>Calc_long_term_NQT_entrants!L262</f>
        <v>267.78307260588684</v>
      </c>
    </row>
    <row r="32" spans="2:12">
      <c r="B32" s="142" t="str">
        <f>Calc_long_term_NQT_entrants!B263</f>
        <v>Others</v>
      </c>
      <c r="C32" s="724">
        <f>Calc_long_term_NQT_entrants!C263</f>
        <v>586.47931349226599</v>
      </c>
      <c r="D32" s="724">
        <f>Calc_long_term_NQT_entrants!D263</f>
        <v>483.29675169836116</v>
      </c>
      <c r="E32" s="724">
        <f>Calc_long_term_NQT_entrants!E263</f>
        <v>616.5485438280856</v>
      </c>
      <c r="F32" s="724">
        <f>Calc_long_term_NQT_entrants!F263</f>
        <v>719.10029516384361</v>
      </c>
      <c r="G32" s="724">
        <f>Calc_long_term_NQT_entrants!G263</f>
        <v>759.28214014938408</v>
      </c>
      <c r="H32" s="724">
        <f>Calc_long_term_NQT_entrants!H263</f>
        <v>758.57071224166032</v>
      </c>
      <c r="I32" s="724">
        <f>Calc_long_term_NQT_entrants!I263</f>
        <v>770.63075327197714</v>
      </c>
      <c r="J32" s="724">
        <f>Calc_long_term_NQT_entrants!J263</f>
        <v>763.2423471273778</v>
      </c>
      <c r="K32" s="724">
        <f>Calc_long_term_NQT_entrants!K263</f>
        <v>760.05626738159845</v>
      </c>
      <c r="L32" s="724">
        <f>Calc_long_term_NQT_entrants!L263</f>
        <v>752.05525307413541</v>
      </c>
    </row>
    <row r="33" spans="2:12">
      <c r="B33" s="142" t="str">
        <f>Calc_long_term_NQT_entrants!B264</f>
        <v>Physical Education</v>
      </c>
      <c r="C33" s="724">
        <f>Calc_long_term_NQT_entrants!C264</f>
        <v>692.64765828628947</v>
      </c>
      <c r="D33" s="724">
        <f>Calc_long_term_NQT_entrants!D264</f>
        <v>676.11066487291328</v>
      </c>
      <c r="E33" s="724">
        <f>Calc_long_term_NQT_entrants!E264</f>
        <v>765.04607651995229</v>
      </c>
      <c r="F33" s="724">
        <f>Calc_long_term_NQT_entrants!F264</f>
        <v>804.71738262743474</v>
      </c>
      <c r="G33" s="724">
        <f>Calc_long_term_NQT_entrants!G264</f>
        <v>817.70806156841695</v>
      </c>
      <c r="H33" s="724">
        <f>Calc_long_term_NQT_entrants!H264</f>
        <v>823.33943594343305</v>
      </c>
      <c r="I33" s="724">
        <f>Calc_long_term_NQT_entrants!I264</f>
        <v>785.76143025029569</v>
      </c>
      <c r="J33" s="724">
        <f>Calc_long_term_NQT_entrants!J264</f>
        <v>775.40032357723612</v>
      </c>
      <c r="K33" s="724">
        <f>Calc_long_term_NQT_entrants!K264</f>
        <v>766.34932565655254</v>
      </c>
      <c r="L33" s="724">
        <f>Calc_long_term_NQT_entrants!L264</f>
        <v>768.44651112310908</v>
      </c>
    </row>
    <row r="34" spans="2:12">
      <c r="B34" s="142" t="str">
        <f>Calc_long_term_NQT_entrants!B265</f>
        <v>Physics</v>
      </c>
      <c r="C34" s="724">
        <f>Calc_long_term_NQT_entrants!C265</f>
        <v>655.08044505185046</v>
      </c>
      <c r="D34" s="724">
        <f>Calc_long_term_NQT_entrants!D265</f>
        <v>652.92796065870823</v>
      </c>
      <c r="E34" s="724">
        <f>Calc_long_term_NQT_entrants!E265</f>
        <v>640.41783708506523</v>
      </c>
      <c r="F34" s="724">
        <f>Calc_long_term_NQT_entrants!F265</f>
        <v>650.86355528510296</v>
      </c>
      <c r="G34" s="724">
        <f>Calc_long_term_NQT_entrants!G265</f>
        <v>666.25283482291013</v>
      </c>
      <c r="H34" s="724">
        <f>Calc_long_term_NQT_entrants!H265</f>
        <v>645.52606278511507</v>
      </c>
      <c r="I34" s="724">
        <f>Calc_long_term_NQT_entrants!I265</f>
        <v>623.05923014187033</v>
      </c>
      <c r="J34" s="724">
        <f>Calc_long_term_NQT_entrants!J265</f>
        <v>633.66816273966424</v>
      </c>
      <c r="K34" s="724">
        <f>Calc_long_term_NQT_entrants!K265</f>
        <v>628.43633909903542</v>
      </c>
      <c r="L34" s="724">
        <f>Calc_long_term_NQT_entrants!L265</f>
        <v>595.33723772110443</v>
      </c>
    </row>
    <row r="35" spans="2:12">
      <c r="B35" s="142" t="str">
        <f>Calc_long_term_NQT_entrants!B266</f>
        <v>Religious Education</v>
      </c>
      <c r="C35" s="724">
        <f>Calc_long_term_NQT_entrants!C266</f>
        <v>450.99728260204085</v>
      </c>
      <c r="D35" s="724">
        <f>Calc_long_term_NQT_entrants!D266</f>
        <v>420.63483639185677</v>
      </c>
      <c r="E35" s="724">
        <f>Calc_long_term_NQT_entrants!E266</f>
        <v>415.66902984842403</v>
      </c>
      <c r="F35" s="724">
        <f>Calc_long_term_NQT_entrants!F266</f>
        <v>413.9456773252067</v>
      </c>
      <c r="G35" s="724">
        <f>Calc_long_term_NQT_entrants!G266</f>
        <v>416.16354381759879</v>
      </c>
      <c r="H35" s="724">
        <f>Calc_long_term_NQT_entrants!H266</f>
        <v>415.18252384223445</v>
      </c>
      <c r="I35" s="724">
        <f>Calc_long_term_NQT_entrants!I266</f>
        <v>395.8984533711037</v>
      </c>
      <c r="J35" s="724">
        <f>Calc_long_term_NQT_entrants!J266</f>
        <v>387.86575406253547</v>
      </c>
      <c r="K35" s="724">
        <f>Calc_long_term_NQT_entrants!K266</f>
        <v>381.2053380442689</v>
      </c>
      <c r="L35" s="724">
        <f>Calc_long_term_NQT_entrants!L266</f>
        <v>380.23156843230981</v>
      </c>
    </row>
    <row r="36" spans="2:12">
      <c r="B36" s="141" t="str">
        <f>Calc_long_term_NQT_entrants!B267</f>
        <v>Total</v>
      </c>
      <c r="C36" s="282">
        <f>Calc_long_term_NQT_entrants!C267</f>
        <v>23264.714726004262</v>
      </c>
      <c r="D36" s="282">
        <f>Calc_long_term_NQT_entrants!D267</f>
        <v>22418.686842530198</v>
      </c>
      <c r="E36" s="282">
        <f>Calc_long_term_NQT_entrants!E267</f>
        <v>21710.472720849102</v>
      </c>
      <c r="F36" s="282">
        <f>Calc_long_term_NQT_entrants!F267</f>
        <v>21425.932699547528</v>
      </c>
      <c r="G36" s="282">
        <f>Calc_long_term_NQT_entrants!G267</f>
        <v>21422.928579395561</v>
      </c>
      <c r="H36" s="282">
        <f>Calc_long_term_NQT_entrants!H267</f>
        <v>21261.671551184172</v>
      </c>
      <c r="I36" s="282">
        <f>Calc_long_term_NQT_entrants!I267</f>
        <v>20954.930046886057</v>
      </c>
      <c r="J36" s="282">
        <f>Calc_long_term_NQT_entrants!J267</f>
        <v>20957.817816097137</v>
      </c>
      <c r="K36" s="282">
        <f>Calc_long_term_NQT_entrants!K267</f>
        <v>20804.720022697271</v>
      </c>
      <c r="L36" s="282">
        <f>Calc_long_term_NQT_entrants!L267</f>
        <v>20654.588007199516</v>
      </c>
    </row>
  </sheetData>
  <mergeCells count="1">
    <mergeCell ref="A5:G5"/>
  </mergeCells>
  <hyperlinks>
    <hyperlink ref="A2" location="'Title_&amp;_Contents'!A1" display="Contents"/>
    <hyperlink ref="B2" location="Map_of_sheets!A1" display="Map of sheets"/>
  </hyperlinks>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73"/>
  <sheetViews>
    <sheetView showGridLines="0" workbookViewId="0"/>
  </sheetViews>
  <sheetFormatPr defaultRowHeight="12.75"/>
  <cols>
    <col min="1" max="1" width="10.28515625" customWidth="1"/>
    <col min="2" max="2" width="25.7109375" customWidth="1"/>
    <col min="3" max="12" width="10.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89" customFormat="1">
      <c r="A4" s="590" t="s">
        <v>26</v>
      </c>
      <c r="B4" s="590"/>
      <c r="C4" s="590"/>
      <c r="D4" s="590"/>
      <c r="E4" s="292"/>
      <c r="F4" s="590"/>
      <c r="G4" s="590"/>
    </row>
    <row r="5" spans="1:17" s="588" customFormat="1">
      <c r="A5" s="707" t="s">
        <v>759</v>
      </c>
      <c r="B5" s="707"/>
      <c r="C5" s="707"/>
      <c r="D5" s="707"/>
      <c r="E5" s="707"/>
      <c r="F5" s="707"/>
      <c r="G5" s="707"/>
      <c r="H5" s="707"/>
      <c r="I5" s="707"/>
      <c r="J5" s="707"/>
      <c r="K5" s="707"/>
    </row>
    <row r="6" spans="1:17" s="585" customFormat="1">
      <c r="A6" s="587" t="s">
        <v>1420</v>
      </c>
      <c r="B6" s="61"/>
      <c r="C6" s="61"/>
      <c r="D6" s="61"/>
      <c r="E6" s="292"/>
      <c r="F6" s="61"/>
      <c r="G6" s="61"/>
      <c r="H6" s="45"/>
      <c r="I6" s="45"/>
      <c r="J6" s="45"/>
      <c r="K6" s="45"/>
    </row>
    <row r="7" spans="1:17" s="585" customFormat="1">
      <c r="A7" s="586" t="s">
        <v>758</v>
      </c>
      <c r="B7" s="587"/>
      <c r="C7" s="61"/>
      <c r="D7" s="61"/>
      <c r="E7" s="292"/>
      <c r="F7" s="61"/>
      <c r="G7" s="61"/>
      <c r="H7" s="45"/>
      <c r="I7" s="45"/>
      <c r="J7" s="45"/>
      <c r="K7" s="45"/>
    </row>
    <row r="8" spans="1:17" s="585" customFormat="1">
      <c r="A8" s="587" t="s">
        <v>24</v>
      </c>
      <c r="B8" s="61"/>
      <c r="C8" s="61"/>
      <c r="D8" s="61"/>
      <c r="E8" s="292"/>
      <c r="F8" s="61"/>
      <c r="G8" s="61"/>
      <c r="H8" s="45"/>
      <c r="I8" s="45"/>
      <c r="J8" s="45"/>
      <c r="K8" s="45"/>
    </row>
    <row r="9" spans="1:17" s="583" customFormat="1">
      <c r="A9" s="584" t="s">
        <v>757</v>
      </c>
      <c r="B9" s="73"/>
      <c r="C9" s="71"/>
      <c r="D9" s="48"/>
      <c r="E9" s="48"/>
      <c r="F9" s="72"/>
      <c r="G9" s="48"/>
      <c r="H9" s="48"/>
      <c r="I9" s="72"/>
      <c r="J9" s="49"/>
      <c r="K9" s="49"/>
    </row>
    <row r="10" spans="1:17">
      <c r="A10">
        <f>SUM(A11:A54)</f>
        <v>0</v>
      </c>
    </row>
    <row r="11" spans="1:17" ht="15.75">
      <c r="B11" s="78" t="s">
        <v>756</v>
      </c>
    </row>
    <row r="13" spans="1:17" ht="13.15" customHeight="1">
      <c r="B13" s="1148" t="s">
        <v>1035</v>
      </c>
      <c r="C13" s="1148"/>
      <c r="D13" s="1148"/>
      <c r="E13" s="1148"/>
      <c r="F13" s="1148"/>
      <c r="G13" s="1148"/>
      <c r="H13" s="1148"/>
      <c r="I13" s="1148"/>
      <c r="J13" s="1148"/>
      <c r="K13" s="1148"/>
      <c r="L13" s="1148"/>
      <c r="M13" s="1148"/>
      <c r="N13" s="1148"/>
      <c r="O13" s="1148"/>
      <c r="P13" s="1148"/>
      <c r="Q13" s="1148"/>
    </row>
    <row r="14" spans="1:17">
      <c r="B14" s="1148"/>
      <c r="C14" s="1148"/>
      <c r="D14" s="1148"/>
      <c r="E14" s="1148"/>
      <c r="F14" s="1148"/>
      <c r="G14" s="1148"/>
      <c r="H14" s="1148"/>
      <c r="I14" s="1148"/>
      <c r="J14" s="1148"/>
      <c r="K14" s="1148"/>
      <c r="L14" s="1148"/>
      <c r="M14" s="1148"/>
      <c r="N14" s="1148"/>
      <c r="O14" s="1148"/>
      <c r="P14" s="1148"/>
      <c r="Q14" s="1148"/>
    </row>
    <row r="15" spans="1:17">
      <c r="B15" s="1148"/>
      <c r="C15" s="1148"/>
      <c r="D15" s="1148"/>
      <c r="E15" s="1148"/>
      <c r="F15" s="1148"/>
      <c r="G15" s="1148"/>
      <c r="H15" s="1148"/>
      <c r="I15" s="1148"/>
      <c r="J15" s="1148"/>
      <c r="K15" s="1148"/>
      <c r="L15" s="1148"/>
      <c r="M15" s="1148"/>
      <c r="N15" s="1148"/>
      <c r="O15" s="1148"/>
      <c r="P15" s="1148"/>
      <c r="Q15" s="1148"/>
    </row>
    <row r="16" spans="1:17">
      <c r="B16" s="572"/>
      <c r="C16" s="572"/>
      <c r="D16" s="572"/>
      <c r="E16" s="572"/>
      <c r="F16" s="572"/>
      <c r="G16" s="572"/>
      <c r="H16" s="572"/>
      <c r="I16" s="572"/>
      <c r="J16" s="572"/>
      <c r="K16" s="572"/>
    </row>
    <row r="17" spans="2:17" ht="13.15" customHeight="1">
      <c r="B17" s="723" t="s">
        <v>1036</v>
      </c>
      <c r="C17" s="723"/>
      <c r="D17" s="723"/>
      <c r="E17" s="723"/>
      <c r="F17" s="723"/>
      <c r="G17" s="723"/>
      <c r="H17" s="723"/>
      <c r="I17" s="723"/>
      <c r="J17" s="723"/>
      <c r="K17" s="723"/>
      <c r="L17" s="174"/>
      <c r="M17" s="174"/>
      <c r="N17" s="174"/>
      <c r="O17" s="174"/>
      <c r="P17" s="174"/>
      <c r="Q17" s="174"/>
    </row>
    <row r="18" spans="2:17">
      <c r="B18" s="723"/>
      <c r="C18" s="723"/>
      <c r="D18" s="723"/>
      <c r="E18" s="723"/>
      <c r="F18" s="723"/>
      <c r="G18" s="723"/>
      <c r="H18" s="723"/>
      <c r="I18" s="723"/>
      <c r="J18" s="723"/>
      <c r="K18" s="723"/>
      <c r="L18" s="174"/>
      <c r="M18" s="174"/>
      <c r="N18" s="174"/>
      <c r="O18" s="174"/>
      <c r="P18" s="174"/>
      <c r="Q18" s="174"/>
    </row>
    <row r="20" spans="2:17" ht="28.15" customHeight="1">
      <c r="B20" s="1256" t="s">
        <v>62</v>
      </c>
      <c r="C20" s="1258" t="s">
        <v>755</v>
      </c>
      <c r="D20" s="1259"/>
      <c r="E20" s="1260"/>
      <c r="F20" s="1258" t="s">
        <v>754</v>
      </c>
      <c r="G20" s="1261"/>
      <c r="H20" s="1260"/>
    </row>
    <row r="21" spans="2:17" s="154" customFormat="1" ht="30">
      <c r="B21" s="1257"/>
      <c r="C21" s="691" t="s">
        <v>684</v>
      </c>
      <c r="D21" s="692" t="s">
        <v>683</v>
      </c>
      <c r="E21" s="692" t="s">
        <v>682</v>
      </c>
      <c r="F21" s="691" t="s">
        <v>684</v>
      </c>
      <c r="G21" s="692" t="s">
        <v>683</v>
      </c>
      <c r="H21" s="692" t="s">
        <v>682</v>
      </c>
    </row>
    <row r="22" spans="2:17">
      <c r="B22" s="690" t="str">
        <f>Outputs_for_conversion_rates!B16</f>
        <v>Primary</v>
      </c>
      <c r="C22" s="592">
        <f>RAW_DATA_INPUTS!C609</f>
        <v>0.89808924141631397</v>
      </c>
      <c r="D22" s="592">
        <f>RAW_DATA_INPUTS!D609</f>
        <v>0.91345446548949272</v>
      </c>
      <c r="E22" s="592">
        <f>RAW_DATA_INPUTS!E609</f>
        <v>0.8889564402392216</v>
      </c>
      <c r="F22" s="592">
        <f>Data_selected_by_user_testing!E147</f>
        <v>0.83928297218040937</v>
      </c>
      <c r="G22" s="592">
        <f>Data_selected_by_user_testing!F147</f>
        <v>0.87746653545124054</v>
      </c>
      <c r="H22" s="592">
        <f>Data_selected_by_user_testing!G147</f>
        <v>0.86439783053042718</v>
      </c>
      <c r="M22" s="10"/>
    </row>
    <row r="23" spans="2:17">
      <c r="B23" s="690" t="str">
        <f>Outputs_for_conversion_rates!B17</f>
        <v>Art &amp; Design</v>
      </c>
      <c r="C23" s="592">
        <f>RAW_DATA_INPUTS!C591</f>
        <v>0.89656936503147322</v>
      </c>
      <c r="D23" s="592">
        <f>RAW_DATA_INPUTS!D591</f>
        <v>0.92295825515150209</v>
      </c>
      <c r="E23" s="592">
        <f>RAW_DATA_INPUTS!E591</f>
        <v>0.9198829039812646</v>
      </c>
      <c r="F23" s="592">
        <f>Data_selected_by_user_testing!E158</f>
        <v>0.78660236593530231</v>
      </c>
      <c r="G23" s="592">
        <f>Data_selected_by_user_testing!F158</f>
        <v>0.80585818016158572</v>
      </c>
      <c r="H23" s="592">
        <f>Data_selected_by_user_testing!G158</f>
        <v>0.7466071428571428</v>
      </c>
      <c r="M23" s="10"/>
    </row>
    <row r="24" spans="2:17">
      <c r="B24" s="690" t="str">
        <f>Outputs_for_conversion_rates!B18</f>
        <v>Biology</v>
      </c>
      <c r="C24" s="592">
        <f>RAW_DATA_INPUTS!C592</f>
        <v>0.89007223715777162</v>
      </c>
      <c r="D24" s="592">
        <f>RAW_DATA_INPUTS!D592</f>
        <v>0.93345721234230128</v>
      </c>
      <c r="E24" s="592">
        <f>RAW_DATA_INPUTS!E592</f>
        <v>0.82330924855491328</v>
      </c>
      <c r="F24" s="592">
        <f>Data_selected_by_user_testing!E159</f>
        <v>0.77630557603914196</v>
      </c>
      <c r="G24" s="592">
        <f>Data_selected_by_user_testing!F159</f>
        <v>0.84332016988389991</v>
      </c>
      <c r="H24" s="592">
        <f>Data_selected_by_user_testing!G159</f>
        <v>0.74606776978353895</v>
      </c>
      <c r="M24" s="10"/>
    </row>
    <row r="25" spans="2:17">
      <c r="B25" s="690" t="str">
        <f>Outputs_for_conversion_rates!B19</f>
        <v>Business Studies</v>
      </c>
      <c r="C25" s="592">
        <f>RAW_DATA_INPUTS!C593</f>
        <v>0.91113769387108645</v>
      </c>
      <c r="D25" s="592">
        <f>RAW_DATA_INPUTS!D593</f>
        <v>0.89903436509185042</v>
      </c>
      <c r="E25" s="592">
        <f>RAW_DATA_INPUTS!E593</f>
        <v>0.99009592526642132</v>
      </c>
      <c r="F25" s="592">
        <f>Data_selected_by_user_testing!E160</f>
        <v>0.77066613049513188</v>
      </c>
      <c r="G25" s="592">
        <f>Data_selected_by_user_testing!F160</f>
        <v>0.75397740099470079</v>
      </c>
      <c r="H25" s="592">
        <f>Data_selected_by_user_testing!G160</f>
        <v>0.78624999999999989</v>
      </c>
      <c r="M25" s="10"/>
    </row>
    <row r="26" spans="2:17">
      <c r="B26" s="690" t="str">
        <f>Outputs_for_conversion_rates!B20</f>
        <v>Chemistry</v>
      </c>
      <c r="C26" s="592">
        <f>RAW_DATA_INPUTS!C594</f>
        <v>0.85386825276324407</v>
      </c>
      <c r="D26" s="592">
        <f>RAW_DATA_INPUTS!D594</f>
        <v>0.88185171865961465</v>
      </c>
      <c r="E26" s="592">
        <f>RAW_DATA_INPUTS!E594</f>
        <v>0.86057692307692302</v>
      </c>
      <c r="F26" s="592">
        <f>Data_selected_by_user_testing!E161</f>
        <v>0.77463926074233702</v>
      </c>
      <c r="G26" s="592">
        <f>Data_selected_by_user_testing!F161</f>
        <v>0.82467230669115987</v>
      </c>
      <c r="H26" s="592">
        <f>Data_selected_by_user_testing!G161</f>
        <v>0.84727272727272718</v>
      </c>
      <c r="M26" s="10"/>
    </row>
    <row r="27" spans="2:17">
      <c r="B27" s="690" t="str">
        <f>Outputs_for_conversion_rates!B21</f>
        <v>Classics</v>
      </c>
      <c r="C27" s="592">
        <f>RAW_DATA_INPUTS!C595</f>
        <v>0.97731182795698934</v>
      </c>
      <c r="D27" s="592">
        <f>RAW_DATA_INPUTS!D595</f>
        <v>0.81221849084909792</v>
      </c>
      <c r="E27" s="592">
        <f>RAW_DATA_INPUTS!E595</f>
        <v>0.79009592526642136</v>
      </c>
      <c r="F27" s="592">
        <f>Data_selected_by_user_testing!E162</f>
        <v>0.70887633984121257</v>
      </c>
      <c r="G27" s="592">
        <f>Data_selected_by_user_testing!F162</f>
        <v>0.75397740099470079</v>
      </c>
      <c r="H27" s="592">
        <f>Data_selected_by_user_testing!G162</f>
        <v>0.74606776978353895</v>
      </c>
      <c r="M27" s="10"/>
    </row>
    <row r="28" spans="2:17">
      <c r="B28" s="690" t="str">
        <f>Outputs_for_conversion_rates!B22</f>
        <v>Computing</v>
      </c>
      <c r="C28" s="592">
        <f>RAW_DATA_INPUTS!C596</f>
        <v>0.82588388485461328</v>
      </c>
      <c r="D28" s="592">
        <f>RAW_DATA_INPUTS!D596</f>
        <v>0.85934535104364329</v>
      </c>
      <c r="E28" s="592">
        <f>RAW_DATA_INPUTS!E596</f>
        <v>0.82399999999999995</v>
      </c>
      <c r="F28" s="592">
        <f>Data_selected_by_user_testing!E163</f>
        <v>0.75461185604952075</v>
      </c>
      <c r="G28" s="592">
        <f>Data_selected_by_user_testing!F163</f>
        <v>0.84674696499537272</v>
      </c>
      <c r="H28" s="592">
        <f>Data_selected_by_user_testing!G163</f>
        <v>0.85203551912568298</v>
      </c>
    </row>
    <row r="29" spans="2:17">
      <c r="B29" s="690" t="str">
        <f>Outputs_for_conversion_rates!B23</f>
        <v>Design &amp; Technology</v>
      </c>
      <c r="C29" s="592">
        <f>RAW_DATA_INPUTS!C597</f>
        <v>0.87062962695262991</v>
      </c>
      <c r="D29" s="592">
        <f>RAW_DATA_INPUTS!D597</f>
        <v>0.91258552375302027</v>
      </c>
      <c r="E29" s="592">
        <f>RAW_DATA_INPUTS!E597</f>
        <v>0.79009592526642136</v>
      </c>
      <c r="F29" s="592">
        <f>Data_selected_by_user_testing!E164</f>
        <v>0.76878652315207763</v>
      </c>
      <c r="G29" s="592">
        <f>Data_selected_by_user_testing!F164</f>
        <v>0.85993280574696063</v>
      </c>
      <c r="H29" s="592">
        <f>Data_selected_by_user_testing!G164</f>
        <v>0.74606776978353895</v>
      </c>
    </row>
    <row r="30" spans="2:17">
      <c r="B30" s="690" t="str">
        <f>Outputs_for_conversion_rates!B24</f>
        <v>Drama</v>
      </c>
      <c r="C30" s="592">
        <f>RAW_DATA_INPUTS!C598</f>
        <v>0.94343157795330468</v>
      </c>
      <c r="D30" s="592">
        <f>RAW_DATA_INPUTS!D598</f>
        <v>0.93265320816294772</v>
      </c>
      <c r="E30" s="592">
        <f>RAW_DATA_INPUTS!E598</f>
        <v>0.88679999999999992</v>
      </c>
      <c r="F30" s="592">
        <f>Data_selected_by_user_testing!E165</f>
        <v>0.79328432052498199</v>
      </c>
      <c r="G30" s="592">
        <f>Data_selected_by_user_testing!F165</f>
        <v>0.85010707787694928</v>
      </c>
      <c r="H30" s="592">
        <f>Data_selected_by_user_testing!G165</f>
        <v>0.84171201814058949</v>
      </c>
    </row>
    <row r="31" spans="2:17">
      <c r="B31" s="690" t="str">
        <f>Outputs_for_conversion_rates!B25</f>
        <v>English</v>
      </c>
      <c r="C31" s="592">
        <f>RAW_DATA_INPUTS!C599</f>
        <v>0.91441398125881368</v>
      </c>
      <c r="D31" s="592">
        <f>RAW_DATA_INPUTS!D599</f>
        <v>0.90891045160166772</v>
      </c>
      <c r="E31" s="592">
        <f>RAW_DATA_INPUTS!E599</f>
        <v>0.93082688995565976</v>
      </c>
      <c r="F31" s="592">
        <f>Data_selected_by_user_testing!E166</f>
        <v>0.83124840240454523</v>
      </c>
      <c r="G31" s="592">
        <f>Data_selected_by_user_testing!F166</f>
        <v>0.86746222500815862</v>
      </c>
      <c r="H31" s="592">
        <f>Data_selected_by_user_testing!G166</f>
        <v>0.85333577382722825</v>
      </c>
    </row>
    <row r="32" spans="2:17">
      <c r="B32" s="690" t="str">
        <f>Outputs_for_conversion_rates!B26</f>
        <v>Food</v>
      </c>
      <c r="C32" s="592">
        <f>RAW_DATA_INPUTS!C600</f>
        <v>0.79153162963911161</v>
      </c>
      <c r="D32" s="592">
        <f>RAW_DATA_INPUTS!D600</f>
        <v>0.81221849084909792</v>
      </c>
      <c r="E32" s="592">
        <f>RAW_DATA_INPUTS!E600</f>
        <v>0.79009592526642136</v>
      </c>
      <c r="F32" s="592">
        <f>Data_selected_by_user_testing!E167</f>
        <v>0.70887633984121257</v>
      </c>
      <c r="G32" s="592">
        <f>Data_selected_by_user_testing!F167</f>
        <v>0.75397740099470079</v>
      </c>
      <c r="H32" s="592">
        <f>Data_selected_by_user_testing!G167</f>
        <v>0.74606776978353895</v>
      </c>
    </row>
    <row r="33" spans="1:11">
      <c r="B33" s="690" t="str">
        <f>Outputs_for_conversion_rates!B27</f>
        <v>Geography</v>
      </c>
      <c r="C33" s="592">
        <f>RAW_DATA_INPUTS!C601</f>
        <v>0.92668048553325288</v>
      </c>
      <c r="D33" s="592">
        <f>RAW_DATA_INPUTS!D601</f>
        <v>0.93042615596963429</v>
      </c>
      <c r="E33" s="592">
        <f>RAW_DATA_INPUTS!E601</f>
        <v>0.79009592526642136</v>
      </c>
      <c r="F33" s="592">
        <f>Data_selected_by_user_testing!E168</f>
        <v>0.78829949901542928</v>
      </c>
      <c r="G33" s="592">
        <f>Data_selected_by_user_testing!F168</f>
        <v>0.87675456123417173</v>
      </c>
      <c r="H33" s="592">
        <f>Data_selected_by_user_testing!G168</f>
        <v>0.74606776978353895</v>
      </c>
    </row>
    <row r="34" spans="1:11">
      <c r="B34" s="690" t="str">
        <f>Outputs_for_conversion_rates!B28</f>
        <v>History</v>
      </c>
      <c r="C34" s="592">
        <f>RAW_DATA_INPUTS!C602</f>
        <v>0.93544459296492899</v>
      </c>
      <c r="D34" s="592">
        <f>RAW_DATA_INPUTS!D602</f>
        <v>0.92527113009375483</v>
      </c>
      <c r="E34" s="592">
        <f>RAW_DATA_INPUTS!E602</f>
        <v>0.97750000000000004</v>
      </c>
      <c r="F34" s="592">
        <f>Data_selected_by_user_testing!E169</f>
        <v>0.81848076885305765</v>
      </c>
      <c r="G34" s="592">
        <f>Data_selected_by_user_testing!F169</f>
        <v>0.81360034974441753</v>
      </c>
      <c r="H34" s="592">
        <f>Data_selected_by_user_testing!G169</f>
        <v>0.89924468378900846</v>
      </c>
    </row>
    <row r="35" spans="1:11">
      <c r="B35" s="690" t="str">
        <f>Outputs_for_conversion_rates!B29</f>
        <v>Mathematics</v>
      </c>
      <c r="C35" s="592">
        <f>RAW_DATA_INPUTS!C603</f>
        <v>0.85604696770853506</v>
      </c>
      <c r="D35" s="592">
        <f>RAW_DATA_INPUTS!D603</f>
        <v>0.88802330988697831</v>
      </c>
      <c r="E35" s="592">
        <f>RAW_DATA_INPUTS!E603</f>
        <v>0.87497383280539864</v>
      </c>
      <c r="F35" s="592">
        <f>Data_selected_by_user_testing!E170</f>
        <v>0.80027700012184266</v>
      </c>
      <c r="G35" s="592">
        <f>Data_selected_by_user_testing!F170</f>
        <v>0.86604610223536049</v>
      </c>
      <c r="H35" s="592">
        <f>Data_selected_by_user_testing!G170</f>
        <v>0.81980810234541579</v>
      </c>
    </row>
    <row r="36" spans="1:11">
      <c r="B36" s="690" t="str">
        <f>Outputs_for_conversion_rates!B30</f>
        <v>Modern Foreign Languages</v>
      </c>
      <c r="C36" s="592">
        <f>RAW_DATA_INPUTS!C604</f>
        <v>0.8849898250020789</v>
      </c>
      <c r="D36" s="592">
        <f>RAW_DATA_INPUTS!D604</f>
        <v>0.8974279891326703</v>
      </c>
      <c r="E36" s="592">
        <f>RAW_DATA_INPUTS!E604</f>
        <v>0.868024193548387</v>
      </c>
      <c r="F36" s="592">
        <f>Data_selected_by_user_testing!E171</f>
        <v>0.74532971727539366</v>
      </c>
      <c r="G36" s="592">
        <f>Data_selected_by_user_testing!F171</f>
        <v>0.82740125816212773</v>
      </c>
      <c r="H36" s="592">
        <f>Data_selected_by_user_testing!G171</f>
        <v>0.82076492537313417</v>
      </c>
    </row>
    <row r="37" spans="1:11">
      <c r="B37" s="690" t="str">
        <f>Outputs_for_conversion_rates!B31</f>
        <v>Music</v>
      </c>
      <c r="C37" s="592">
        <f>RAW_DATA_INPUTS!C605</f>
        <v>0.91022698247932821</v>
      </c>
      <c r="D37" s="592">
        <f>RAW_DATA_INPUTS!D605</f>
        <v>0.9265320910973085</v>
      </c>
      <c r="E37" s="592">
        <f>RAW_DATA_INPUTS!E605</f>
        <v>0.826021505376344</v>
      </c>
      <c r="F37" s="592">
        <f>Data_selected_by_user_testing!E172</f>
        <v>0.77017704513632146</v>
      </c>
      <c r="G37" s="592">
        <f>Data_selected_by_user_testing!F172</f>
        <v>0.75397740099470079</v>
      </c>
      <c r="H37" s="592">
        <f>Data_selected_by_user_testing!G172</f>
        <v>0.90388235294117647</v>
      </c>
    </row>
    <row r="38" spans="1:11">
      <c r="B38" s="690" t="str">
        <f>Outputs_for_conversion_rates!B32</f>
        <v>Others</v>
      </c>
      <c r="C38" s="592">
        <f>RAW_DATA_INPUTS!C606</f>
        <v>0.93052551192152122</v>
      </c>
      <c r="D38" s="592">
        <f>RAW_DATA_INPUTS!D606</f>
        <v>0.88262376956884969</v>
      </c>
      <c r="E38" s="592">
        <f>RAW_DATA_INPUTS!E606</f>
        <v>0.93804347826086953</v>
      </c>
      <c r="F38" s="592">
        <f>Data_selected_by_user_testing!E173</f>
        <v>0.79755969833255524</v>
      </c>
      <c r="G38" s="592">
        <f>Data_selected_by_user_testing!F173</f>
        <v>0.8206238835406614</v>
      </c>
      <c r="H38" s="592">
        <f>Data_selected_by_user_testing!G173</f>
        <v>0.74606776978353895</v>
      </c>
    </row>
    <row r="39" spans="1:11">
      <c r="B39" s="690" t="str">
        <f>Outputs_for_conversion_rates!B33</f>
        <v>Physical Education</v>
      </c>
      <c r="C39" s="592">
        <f>RAW_DATA_INPUTS!C607</f>
        <v>0.95566050189650253</v>
      </c>
      <c r="D39" s="592">
        <f>RAW_DATA_INPUTS!D607</f>
        <v>0.94857884127932124</v>
      </c>
      <c r="E39" s="592">
        <f>RAW_DATA_INPUTS!E607</f>
        <v>0.91079608237066789</v>
      </c>
      <c r="F39" s="592">
        <f>Data_selected_by_user_testing!E174</f>
        <v>0.76009039562858272</v>
      </c>
      <c r="G39" s="592">
        <f>Data_selected_by_user_testing!F174</f>
        <v>0.78307799648525545</v>
      </c>
      <c r="H39" s="592">
        <f>Data_selected_by_user_testing!G174</f>
        <v>0.77451742919389965</v>
      </c>
    </row>
    <row r="40" spans="1:11">
      <c r="B40" s="690" t="str">
        <f>Outputs_for_conversion_rates!B34</f>
        <v>Physics</v>
      </c>
      <c r="C40" s="592">
        <f>RAW_DATA_INPUTS!C608</f>
        <v>0.79387529802514867</v>
      </c>
      <c r="D40" s="592">
        <f>RAW_DATA_INPUTS!D608</f>
        <v>0.8935458623830459</v>
      </c>
      <c r="E40" s="592">
        <f>RAW_DATA_INPUTS!E608</f>
        <v>0.79009592526642136</v>
      </c>
      <c r="F40" s="592">
        <f>Data_selected_by_user_testing!E175</f>
        <v>0.76356772684046392</v>
      </c>
      <c r="G40" s="592">
        <f>Data_selected_by_user_testing!F175</f>
        <v>0.83289009661835745</v>
      </c>
      <c r="H40" s="592">
        <f>Data_selected_by_user_testing!G175</f>
        <v>0.8077104377104376</v>
      </c>
    </row>
    <row r="41" spans="1:11">
      <c r="B41" s="690" t="str">
        <f>Outputs_for_conversion_rates!B35</f>
        <v>Religious Education</v>
      </c>
      <c r="C41" s="592">
        <f>RAW_DATA_INPUTS!C610</f>
        <v>0.89709120808106446</v>
      </c>
      <c r="D41" s="592">
        <f>RAW_DATA_INPUTS!D610</f>
        <v>0.89654943358782835</v>
      </c>
      <c r="E41" s="592">
        <f>RAW_DATA_INPUTS!E610</f>
        <v>0.83054347826086949</v>
      </c>
      <c r="F41" s="592">
        <f>Data_selected_by_user_testing!E176</f>
        <v>0.77156468695812641</v>
      </c>
      <c r="G41" s="592">
        <f>Data_selected_by_user_testing!F176</f>
        <v>0.79621526992562441</v>
      </c>
      <c r="H41" s="592">
        <f>Data_selected_by_user_testing!G176</f>
        <v>0.8527499999999999</v>
      </c>
    </row>
    <row r="42" spans="1:11">
      <c r="A42" s="309"/>
      <c r="C42" s="688"/>
      <c r="D42" s="688"/>
      <c r="E42" s="688"/>
      <c r="F42" s="689"/>
      <c r="G42" s="689"/>
      <c r="H42" s="689"/>
      <c r="I42" s="689"/>
      <c r="J42" s="689"/>
      <c r="K42" s="689"/>
    </row>
    <row r="43" spans="1:11" ht="15">
      <c r="B43" s="607" t="s">
        <v>1121</v>
      </c>
    </row>
    <row r="44" spans="1:11">
      <c r="B44" s="606" t="s">
        <v>681</v>
      </c>
      <c r="C44" s="606" t="s">
        <v>680</v>
      </c>
      <c r="D44" s="606"/>
      <c r="E44" s="606" t="s">
        <v>679</v>
      </c>
    </row>
    <row r="45" spans="1:11" ht="15">
      <c r="B45" s="605" t="s">
        <v>677</v>
      </c>
      <c r="C45" s="604" t="s">
        <v>678</v>
      </c>
      <c r="D45" s="603"/>
      <c r="E45" s="687">
        <f>RAW_DATA_INPUTS!E615</f>
        <v>0.48835031870070944</v>
      </c>
    </row>
    <row r="46" spans="1:11" ht="15">
      <c r="B46" s="605" t="s">
        <v>677</v>
      </c>
      <c r="C46" s="604" t="s">
        <v>676</v>
      </c>
      <c r="D46" s="603"/>
      <c r="E46" s="687">
        <f>RAW_DATA_INPUTS!E616</f>
        <v>8.5418992401598906E-2</v>
      </c>
    </row>
    <row r="47" spans="1:11" ht="15">
      <c r="B47" s="602" t="s">
        <v>753</v>
      </c>
      <c r="C47" s="601"/>
      <c r="D47" s="600"/>
      <c r="E47" s="687">
        <f>RAW_DATA_INPUTS!E617</f>
        <v>0.25517663581691813</v>
      </c>
      <c r="F47" s="187">
        <f>E45+E46+E49</f>
        <v>1</v>
      </c>
      <c r="I47" s="187"/>
      <c r="J47" s="187"/>
    </row>
    <row r="48" spans="1:11" ht="15">
      <c r="B48" s="597" t="s">
        <v>674</v>
      </c>
      <c r="C48" s="596"/>
      <c r="D48" s="1"/>
      <c r="E48" s="687">
        <f>RAW_DATA_INPUTS!E618</f>
        <v>0.11401202780078505</v>
      </c>
    </row>
    <row r="49" spans="2:17" ht="15">
      <c r="B49" s="594" t="s">
        <v>673</v>
      </c>
      <c r="C49" s="593"/>
      <c r="D49" s="593"/>
      <c r="E49" s="687">
        <f>RAW_DATA_INPUTS!E620</f>
        <v>0.42623068889769167</v>
      </c>
    </row>
    <row r="51" spans="2:17">
      <c r="B51" s="76"/>
    </row>
    <row r="52" spans="2:17" ht="15.75">
      <c r="B52" s="78" t="s">
        <v>1037</v>
      </c>
    </row>
    <row r="54" spans="2:17">
      <c r="B54" s="8" t="str">
        <f>Outputs_for_conversion_rates!B15</f>
        <v>Subject</v>
      </c>
      <c r="C54" s="8" t="str">
        <f>Outputs_for_conversion_rates!C15</f>
        <v>2018/19</v>
      </c>
      <c r="D54" s="8" t="str">
        <f>Outputs_for_conversion_rates!D15</f>
        <v>2019/20</v>
      </c>
      <c r="E54" s="8" t="str">
        <f>Outputs_for_conversion_rates!E15</f>
        <v>2020/21</v>
      </c>
      <c r="F54" s="8" t="str">
        <f>Outputs_for_conversion_rates!F15</f>
        <v>2021/22</v>
      </c>
      <c r="G54" s="8" t="str">
        <f>Outputs_for_conversion_rates!G15</f>
        <v>2022/23</v>
      </c>
      <c r="H54" s="8" t="str">
        <f>Outputs_for_conversion_rates!H15</f>
        <v>2023/24</v>
      </c>
      <c r="I54" s="8" t="str">
        <f>Outputs_for_conversion_rates!I15</f>
        <v>2024/25</v>
      </c>
      <c r="J54" s="8" t="str">
        <f>Outputs_for_conversion_rates!J15</f>
        <v>2025/26</v>
      </c>
      <c r="K54" s="8" t="str">
        <f>Outputs_for_conversion_rates!K15</f>
        <v>2026/27</v>
      </c>
      <c r="L54" s="8" t="str">
        <f>Outputs_for_conversion_rates!L15</f>
        <v>2027/28</v>
      </c>
      <c r="M54" s="192"/>
      <c r="N54" s="192"/>
      <c r="O54" s="192"/>
      <c r="P54" s="192"/>
      <c r="Q54" s="192"/>
    </row>
    <row r="55" spans="2:17">
      <c r="B55" s="8" t="str">
        <f>Outputs_for_conversion_rates!B16</f>
        <v>Primary</v>
      </c>
      <c r="C55" s="324">
        <f>Outputs_for_conversion_rates!C16</f>
        <v>9261.3894379838766</v>
      </c>
      <c r="D55" s="324">
        <f>Outputs_for_conversion_rates!D16</f>
        <v>8615.4640660919995</v>
      </c>
      <c r="E55" s="324">
        <f>Outputs_for_conversion_rates!E16</f>
        <v>8689.2204255933138</v>
      </c>
      <c r="F55" s="324">
        <f>Outputs_for_conversion_rates!F16</f>
        <v>8577.1528135586341</v>
      </c>
      <c r="G55" s="324">
        <f>Outputs_for_conversion_rates!G16</f>
        <v>8412.6175752891286</v>
      </c>
      <c r="H55" s="324">
        <f>Outputs_for_conversion_rates!H16</f>
        <v>8298.3649107028759</v>
      </c>
      <c r="I55" s="324">
        <f>Outputs_for_conversion_rates!I16</f>
        <v>8586.24910557986</v>
      </c>
      <c r="J55" s="324">
        <f>Outputs_for_conversion_rates!J16</f>
        <v>8818.7669568512229</v>
      </c>
      <c r="K55" s="324">
        <f>Outputs_for_conversion_rates!K16</f>
        <v>8878.4391182439995</v>
      </c>
      <c r="L55" s="324">
        <f>Outputs_for_conversion_rates!L16</f>
        <v>8822.6729877941652</v>
      </c>
      <c r="M55" s="192"/>
      <c r="N55" s="192"/>
      <c r="O55" s="192"/>
      <c r="P55" s="192"/>
      <c r="Q55" s="192"/>
    </row>
    <row r="56" spans="2:17">
      <c r="B56" s="8" t="str">
        <f>Outputs_for_conversion_rates!B17</f>
        <v>Art &amp; Design</v>
      </c>
      <c r="C56" s="324">
        <f>Outputs_for_conversion_rates!C17</f>
        <v>404.3544073580598</v>
      </c>
      <c r="D56" s="324">
        <f>Outputs_for_conversion_rates!D17</f>
        <v>406.36232466689569</v>
      </c>
      <c r="E56" s="324">
        <f>Outputs_for_conversion_rates!E17</f>
        <v>456.63178405120954</v>
      </c>
      <c r="F56" s="324">
        <f>Outputs_for_conversion_rates!F17</f>
        <v>465.7667228325875</v>
      </c>
      <c r="G56" s="324">
        <f>Outputs_for_conversion_rates!G17</f>
        <v>469.15160440701885</v>
      </c>
      <c r="H56" s="324">
        <f>Outputs_for_conversion_rates!H17</f>
        <v>476.38929012035948</v>
      </c>
      <c r="I56" s="324">
        <f>Outputs_for_conversion_rates!I17</f>
        <v>458.53882389538251</v>
      </c>
      <c r="J56" s="324">
        <f>Outputs_for_conversion_rates!J17</f>
        <v>440.63607689976425</v>
      </c>
      <c r="K56" s="324">
        <f>Outputs_for_conversion_rates!K17</f>
        <v>431.44871307712634</v>
      </c>
      <c r="L56" s="324">
        <f>Outputs_for_conversion_rates!L17</f>
        <v>441.048874098483</v>
      </c>
      <c r="M56" s="192"/>
      <c r="N56" s="192"/>
      <c r="O56" s="192"/>
      <c r="P56" s="192"/>
      <c r="Q56" s="192"/>
    </row>
    <row r="57" spans="2:17">
      <c r="B57" s="8" t="str">
        <f>Outputs_for_conversion_rates!B18</f>
        <v>Biology</v>
      </c>
      <c r="C57" s="324">
        <f>Outputs_for_conversion_rates!C18</f>
        <v>791.59356334404015</v>
      </c>
      <c r="D57" s="324">
        <f>Outputs_for_conversion_rates!D18</f>
        <v>751.07188246536145</v>
      </c>
      <c r="E57" s="324">
        <f>Outputs_for_conversion_rates!E18</f>
        <v>742.34740767933624</v>
      </c>
      <c r="F57" s="324">
        <f>Outputs_for_conversion_rates!F18</f>
        <v>757.51430981039391</v>
      </c>
      <c r="G57" s="324">
        <f>Outputs_for_conversion_rates!G18</f>
        <v>778.8698083887549</v>
      </c>
      <c r="H57" s="324">
        <f>Outputs_for_conversion_rates!H18</f>
        <v>764.5898704679912</v>
      </c>
      <c r="I57" s="324">
        <f>Outputs_for_conversion_rates!I18</f>
        <v>743.42740673001265</v>
      </c>
      <c r="J57" s="324">
        <f>Outputs_for_conversion_rates!J18</f>
        <v>752.06719990943736</v>
      </c>
      <c r="K57" s="324">
        <f>Outputs_for_conversion_rates!K18</f>
        <v>747.60971622487477</v>
      </c>
      <c r="L57" s="324">
        <f>Outputs_for_conversion_rates!L18</f>
        <v>720.50145539362711</v>
      </c>
      <c r="M57" s="192"/>
      <c r="N57" s="192"/>
      <c r="O57" s="192"/>
      <c r="P57" s="192"/>
      <c r="Q57" s="192"/>
    </row>
    <row r="58" spans="2:17">
      <c r="B58" s="8" t="str">
        <f>Outputs_for_conversion_rates!B19</f>
        <v>Business Studies</v>
      </c>
      <c r="C58" s="324">
        <f>Outputs_for_conversion_rates!C19</f>
        <v>159.39687919426885</v>
      </c>
      <c r="D58" s="324">
        <f>Outputs_for_conversion_rates!D19</f>
        <v>120.05260632674926</v>
      </c>
      <c r="E58" s="324">
        <f>Outputs_for_conversion_rates!E19</f>
        <v>178.65039956106415</v>
      </c>
      <c r="F58" s="324">
        <f>Outputs_for_conversion_rates!F19</f>
        <v>206.16971080207168</v>
      </c>
      <c r="G58" s="324">
        <f>Outputs_for_conversion_rates!G19</f>
        <v>223.561952272507</v>
      </c>
      <c r="H58" s="324">
        <f>Outputs_for_conversion_rates!H19</f>
        <v>216.86359733196548</v>
      </c>
      <c r="I58" s="324">
        <f>Outputs_for_conversion_rates!I19</f>
        <v>223.74536110075363</v>
      </c>
      <c r="J58" s="324">
        <f>Outputs_for_conversion_rates!J19</f>
        <v>230.776412152022</v>
      </c>
      <c r="K58" s="324">
        <f>Outputs_for_conversion_rates!K19</f>
        <v>232.09905917383315</v>
      </c>
      <c r="L58" s="324">
        <f>Outputs_for_conversion_rates!L19</f>
        <v>218.12452164449067</v>
      </c>
      <c r="M58" s="192"/>
      <c r="N58" s="192"/>
      <c r="O58" s="192"/>
      <c r="P58" s="192"/>
      <c r="Q58" s="192"/>
    </row>
    <row r="59" spans="2:17">
      <c r="B59" s="8" t="str">
        <f>Outputs_for_conversion_rates!B20</f>
        <v>Chemistry</v>
      </c>
      <c r="C59" s="324">
        <f>Outputs_for_conversion_rates!C20</f>
        <v>672.30979514811543</v>
      </c>
      <c r="D59" s="324">
        <f>Outputs_for_conversion_rates!D20</f>
        <v>672.80014795664204</v>
      </c>
      <c r="E59" s="324">
        <f>Outputs_for_conversion_rates!E20</f>
        <v>663.01595827661049</v>
      </c>
      <c r="F59" s="324">
        <f>Outputs_for_conversion_rates!F20</f>
        <v>675.50291660863343</v>
      </c>
      <c r="G59" s="324">
        <f>Outputs_for_conversion_rates!G20</f>
        <v>693.21484926962512</v>
      </c>
      <c r="H59" s="324">
        <f>Outputs_for_conversion_rates!H20</f>
        <v>675.23827658775735</v>
      </c>
      <c r="I59" s="324">
        <f>Outputs_for_conversion_rates!I20</f>
        <v>655.00112708518122</v>
      </c>
      <c r="J59" s="324">
        <f>Outputs_for_conversion_rates!J20</f>
        <v>664.70582115232446</v>
      </c>
      <c r="K59" s="324">
        <f>Outputs_for_conversion_rates!K20</f>
        <v>660.00926317929702</v>
      </c>
      <c r="L59" s="324">
        <f>Outputs_for_conversion_rates!L20</f>
        <v>629.67875678047812</v>
      </c>
      <c r="M59" s="192"/>
      <c r="N59" s="192"/>
      <c r="O59" s="192"/>
      <c r="P59" s="192"/>
      <c r="Q59" s="192"/>
    </row>
    <row r="60" spans="2:17">
      <c r="B60" s="8" t="str">
        <f>Outputs_for_conversion_rates!B21</f>
        <v>Classics</v>
      </c>
      <c r="C60" s="324">
        <f>Outputs_for_conversion_rates!C21</f>
        <v>19.239359964925082</v>
      </c>
      <c r="D60" s="324">
        <f>Outputs_for_conversion_rates!D21</f>
        <v>18.699539958503959</v>
      </c>
      <c r="E60" s="324">
        <f>Outputs_for_conversion_rates!E21</f>
        <v>18.465105340228241</v>
      </c>
      <c r="F60" s="324">
        <f>Outputs_for_conversion_rates!F21</f>
        <v>18.558123357196617</v>
      </c>
      <c r="G60" s="324">
        <f>Outputs_for_conversion_rates!G21</f>
        <v>18.889725051827121</v>
      </c>
      <c r="H60" s="324">
        <f>Outputs_for_conversion_rates!H21</f>
        <v>18.783860295436192</v>
      </c>
      <c r="I60" s="324">
        <f>Outputs_for_conversion_rates!I21</f>
        <v>18.497778655832143</v>
      </c>
      <c r="J60" s="324">
        <f>Outputs_for_conversion_rates!J21</f>
        <v>18.051427277426964</v>
      </c>
      <c r="K60" s="324">
        <f>Outputs_for_conversion_rates!K21</f>
        <v>17.810199265671187</v>
      </c>
      <c r="L60" s="324">
        <f>Outputs_for_conversion_rates!L21</f>
        <v>17.794581275068612</v>
      </c>
      <c r="M60" s="192"/>
      <c r="N60" s="192"/>
      <c r="O60" s="192"/>
      <c r="P60" s="192"/>
      <c r="Q60" s="192"/>
    </row>
    <row r="61" spans="2:17">
      <c r="B61" s="8" t="str">
        <f>Outputs_for_conversion_rates!B22</f>
        <v>Computing</v>
      </c>
      <c r="C61" s="324">
        <f>Outputs_for_conversion_rates!C22</f>
        <v>300.10021835802866</v>
      </c>
      <c r="D61" s="324">
        <f>Outputs_for_conversion_rates!D22</f>
        <v>288.62431792545931</v>
      </c>
      <c r="E61" s="324">
        <f>Outputs_for_conversion_rates!E22</f>
        <v>382.94466430713265</v>
      </c>
      <c r="F61" s="324">
        <f>Outputs_for_conversion_rates!F22</f>
        <v>411.91694005381186</v>
      </c>
      <c r="G61" s="324">
        <f>Outputs_for_conversion_rates!G22</f>
        <v>418.82002314172166</v>
      </c>
      <c r="H61" s="324">
        <f>Outputs_for_conversion_rates!H22</f>
        <v>422.11678109256576</v>
      </c>
      <c r="I61" s="324">
        <f>Outputs_for_conversion_rates!I22</f>
        <v>409.23904804699561</v>
      </c>
      <c r="J61" s="324">
        <f>Outputs_for_conversion_rates!J22</f>
        <v>399.93811525790977</v>
      </c>
      <c r="K61" s="324">
        <f>Outputs_for_conversion_rates!K22</f>
        <v>393.98052070016467</v>
      </c>
      <c r="L61" s="324">
        <f>Outputs_for_conversion_rates!L22</f>
        <v>396.08759693665428</v>
      </c>
      <c r="M61" s="192"/>
      <c r="N61" s="192"/>
      <c r="O61" s="192"/>
      <c r="P61" s="192"/>
      <c r="Q61" s="192"/>
    </row>
    <row r="62" spans="2:17">
      <c r="B62" s="8" t="str">
        <f>Outputs_for_conversion_rates!B23</f>
        <v>Design &amp; Technology</v>
      </c>
      <c r="C62" s="324">
        <f>Outputs_for_conversion_rates!C23</f>
        <v>484.24132853611241</v>
      </c>
      <c r="D62" s="324">
        <f>Outputs_for_conversion_rates!D23</f>
        <v>437.85502023539584</v>
      </c>
      <c r="E62" s="324">
        <f>Outputs_for_conversion_rates!E23</f>
        <v>532.19147415527823</v>
      </c>
      <c r="F62" s="324">
        <f>Outputs_for_conversion_rates!F23</f>
        <v>559.76580514124919</v>
      </c>
      <c r="G62" s="324">
        <f>Outputs_for_conversion_rates!G23</f>
        <v>548.50863088027461</v>
      </c>
      <c r="H62" s="324">
        <f>Outputs_for_conversion_rates!H23</f>
        <v>558.76548012409455</v>
      </c>
      <c r="I62" s="324">
        <f>Outputs_for_conversion_rates!I23</f>
        <v>524.37450838800487</v>
      </c>
      <c r="J62" s="324">
        <f>Outputs_for_conversion_rates!J23</f>
        <v>490.56260437541215</v>
      </c>
      <c r="K62" s="324">
        <f>Outputs_for_conversion_rates!K23</f>
        <v>474.01566976704044</v>
      </c>
      <c r="L62" s="324">
        <f>Outputs_for_conversion_rates!L23</f>
        <v>495.43509878236938</v>
      </c>
      <c r="M62" s="192"/>
      <c r="N62" s="192"/>
      <c r="O62" s="192"/>
      <c r="P62" s="192"/>
      <c r="Q62" s="192"/>
    </row>
    <row r="63" spans="2:17">
      <c r="B63" s="8" t="str">
        <f>Outputs_for_conversion_rates!B24</f>
        <v>Drama</v>
      </c>
      <c r="C63" s="324">
        <f>Outputs_for_conversion_rates!C24</f>
        <v>259.30619789531664</v>
      </c>
      <c r="D63" s="324">
        <f>Outputs_for_conversion_rates!D24</f>
        <v>250.49081552492615</v>
      </c>
      <c r="E63" s="324">
        <f>Outputs_for_conversion_rates!E24</f>
        <v>248.66840591435727</v>
      </c>
      <c r="F63" s="324">
        <f>Outputs_for_conversion_rates!F24</f>
        <v>268.17037472553329</v>
      </c>
      <c r="G63" s="324">
        <f>Outputs_for_conversion_rates!G24</f>
        <v>269.96860929641196</v>
      </c>
      <c r="H63" s="324">
        <f>Outputs_for_conversion_rates!H24</f>
        <v>276.11818141061917</v>
      </c>
      <c r="I63" s="324">
        <f>Outputs_for_conversion_rates!I24</f>
        <v>265.17097906111178</v>
      </c>
      <c r="J63" s="324">
        <f>Outputs_for_conversion_rates!J24</f>
        <v>255.07403250337106</v>
      </c>
      <c r="K63" s="324">
        <f>Outputs_for_conversion_rates!K24</f>
        <v>250.59599760692285</v>
      </c>
      <c r="L63" s="324">
        <f>Outputs_for_conversion_rates!L24</f>
        <v>258.73418495090129</v>
      </c>
      <c r="M63" s="192"/>
      <c r="N63" s="192"/>
      <c r="O63" s="192"/>
      <c r="P63" s="192"/>
      <c r="Q63" s="192"/>
    </row>
    <row r="64" spans="2:17">
      <c r="B64" s="8" t="str">
        <f>Outputs_for_conversion_rates!B25</f>
        <v>English</v>
      </c>
      <c r="C64" s="324">
        <f>Outputs_for_conversion_rates!C25</f>
        <v>1885.4780905457687</v>
      </c>
      <c r="D64" s="324">
        <f>Outputs_for_conversion_rates!D25</f>
        <v>1805.5771405256191</v>
      </c>
      <c r="E64" s="324">
        <f>Outputs_for_conversion_rates!E25</f>
        <v>1762.9712818209305</v>
      </c>
      <c r="F64" s="324">
        <f>Outputs_for_conversion_rates!F25</f>
        <v>1770.7045711034389</v>
      </c>
      <c r="G64" s="324">
        <f>Outputs_for_conversion_rates!G25</f>
        <v>1785.9105490217041</v>
      </c>
      <c r="H64" s="324">
        <f>Outputs_for_conversion_rates!H25</f>
        <v>1765.4814188305229</v>
      </c>
      <c r="I64" s="324">
        <f>Outputs_for_conversion_rates!I25</f>
        <v>1684.1517756017215</v>
      </c>
      <c r="J64" s="324">
        <f>Outputs_for_conversion_rates!J25</f>
        <v>1673.8568078539488</v>
      </c>
      <c r="K64" s="324">
        <f>Outputs_for_conversion_rates!K25</f>
        <v>1650.9659275508629</v>
      </c>
      <c r="L64" s="324">
        <f>Outputs_for_conversion_rates!L25</f>
        <v>1619.2057289902434</v>
      </c>
      <c r="M64" s="192"/>
      <c r="N64" s="192"/>
      <c r="O64" s="192"/>
      <c r="P64" s="192"/>
      <c r="Q64" s="192"/>
    </row>
    <row r="65" spans="2:17">
      <c r="B65" s="8" t="str">
        <f>Outputs_for_conversion_rates!B26</f>
        <v>Food</v>
      </c>
      <c r="C65" s="324">
        <f>Outputs_for_conversion_rates!C26</f>
        <v>96.069693340465733</v>
      </c>
      <c r="D65" s="324">
        <f>Outputs_for_conversion_rates!D26</f>
        <v>84.52005879254601</v>
      </c>
      <c r="E65" s="324">
        <f>Outputs_for_conversion_rates!E26</f>
        <v>113.98359401741193</v>
      </c>
      <c r="F65" s="324">
        <f>Outputs_for_conversion_rates!F26</f>
        <v>121.56542606427438</v>
      </c>
      <c r="G65" s="324">
        <f>Outputs_for_conversion_rates!G26</f>
        <v>121.88547320494415</v>
      </c>
      <c r="H65" s="324">
        <f>Outputs_for_conversion_rates!H26</f>
        <v>116.99335251533084</v>
      </c>
      <c r="I65" s="324">
        <f>Outputs_for_conversion_rates!I26</f>
        <v>111.1943214808052</v>
      </c>
      <c r="J65" s="324">
        <f>Outputs_for_conversion_rates!J26</f>
        <v>111.94155988826897</v>
      </c>
      <c r="K65" s="324">
        <f>Outputs_for_conversion_rates!K26</f>
        <v>110.12250669715969</v>
      </c>
      <c r="L65" s="324">
        <f>Outputs_for_conversion_rates!L26</f>
        <v>104.01826238395492</v>
      </c>
      <c r="M65" s="192"/>
      <c r="N65" s="192"/>
      <c r="O65" s="192"/>
      <c r="P65" s="192"/>
      <c r="Q65" s="192"/>
    </row>
    <row r="66" spans="2:17">
      <c r="B66" s="8" t="str">
        <f>Outputs_for_conversion_rates!B27</f>
        <v>Geography</v>
      </c>
      <c r="C66" s="324">
        <f>Outputs_for_conversion_rates!C27</f>
        <v>1037.6121686405004</v>
      </c>
      <c r="D66" s="324">
        <f>Outputs_for_conversion_rates!D27</f>
        <v>1019.6958437796293</v>
      </c>
      <c r="E66" s="324">
        <f>Outputs_for_conversion_rates!E27</f>
        <v>793.56037550334008</v>
      </c>
      <c r="F66" s="324">
        <f>Outputs_for_conversion_rates!F27</f>
        <v>752.55387333773729</v>
      </c>
      <c r="G66" s="324">
        <f>Outputs_for_conversion_rates!G27</f>
        <v>758.34691395315554</v>
      </c>
      <c r="H66" s="324">
        <f>Outputs_for_conversion_rates!H27</f>
        <v>767.30885743344857</v>
      </c>
      <c r="I66" s="324">
        <f>Outputs_for_conversion_rates!I27</f>
        <v>709.13954858047441</v>
      </c>
      <c r="J66" s="324">
        <f>Outputs_for_conversion_rates!J27</f>
        <v>678.24983078306946</v>
      </c>
      <c r="K66" s="324">
        <f>Outputs_for_conversion_rates!K27</f>
        <v>658.04004888371003</v>
      </c>
      <c r="L66" s="324">
        <f>Outputs_for_conversion_rates!L27</f>
        <v>669.39000648684646</v>
      </c>
      <c r="M66" s="192"/>
      <c r="N66" s="192"/>
      <c r="O66" s="192"/>
      <c r="P66" s="192"/>
      <c r="Q66" s="192"/>
    </row>
    <row r="67" spans="2:17">
      <c r="B67" s="8" t="str">
        <f>Outputs_for_conversion_rates!B28</f>
        <v>History</v>
      </c>
      <c r="C67" s="324">
        <f>Outputs_for_conversion_rates!C28</f>
        <v>942.73270484617319</v>
      </c>
      <c r="D67" s="324">
        <f>Outputs_for_conversion_rates!D28</f>
        <v>996.94278490286547</v>
      </c>
      <c r="E67" s="324">
        <f>Outputs_for_conversion_rates!E28</f>
        <v>789.99355225076374</v>
      </c>
      <c r="F67" s="324">
        <f>Outputs_for_conversion_rates!F28</f>
        <v>779.26955201282249</v>
      </c>
      <c r="G67" s="324">
        <f>Outputs_for_conversion_rates!G28</f>
        <v>790.40680266664549</v>
      </c>
      <c r="H67" s="324">
        <f>Outputs_for_conversion_rates!H28</f>
        <v>797.8410969536385</v>
      </c>
      <c r="I67" s="324">
        <f>Outputs_for_conversion_rates!I28</f>
        <v>742.27605152290118</v>
      </c>
      <c r="J67" s="324">
        <f>Outputs_for_conversion_rates!J28</f>
        <v>712.35643694239832</v>
      </c>
      <c r="K67" s="324">
        <f>Outputs_for_conversion_rates!K28</f>
        <v>692.21434559396494</v>
      </c>
      <c r="L67" s="324">
        <f>Outputs_for_conversion_rates!L28</f>
        <v>700.19936399464461</v>
      </c>
      <c r="M67" s="192"/>
      <c r="N67" s="192"/>
      <c r="O67" s="192"/>
      <c r="P67" s="192"/>
      <c r="Q67" s="192"/>
    </row>
    <row r="68" spans="2:17">
      <c r="B68" s="8" t="str">
        <f>Outputs_for_conversion_rates!B29</f>
        <v>Mathematics</v>
      </c>
      <c r="C68" s="324">
        <f>Outputs_for_conversion_rates!C29</f>
        <v>2035.5046716654276</v>
      </c>
      <c r="D68" s="324">
        <f>Outputs_for_conversion_rates!D29</f>
        <v>1968.1461855575735</v>
      </c>
      <c r="E68" s="324">
        <f>Outputs_for_conversion_rates!E29</f>
        <v>1947.9619131505408</v>
      </c>
      <c r="F68" s="324">
        <f>Outputs_for_conversion_rates!F29</f>
        <v>1896.8411100785097</v>
      </c>
      <c r="G68" s="324">
        <f>Outputs_for_conversion_rates!G29</f>
        <v>1909.845832497668</v>
      </c>
      <c r="H68" s="324">
        <f>Outputs_for_conversion_rates!H29</f>
        <v>1886.7247330900409</v>
      </c>
      <c r="I68" s="324">
        <f>Outputs_for_conversion_rates!I29</f>
        <v>1801.6255615099292</v>
      </c>
      <c r="J68" s="324">
        <f>Outputs_for_conversion_rates!J29</f>
        <v>1780.5811194123255</v>
      </c>
      <c r="K68" s="324">
        <f>Outputs_for_conversion_rates!K29</f>
        <v>1751.1935298301896</v>
      </c>
      <c r="L68" s="324">
        <f>Outputs_for_conversion_rates!L29</f>
        <v>1718.804185447965</v>
      </c>
      <c r="M68" s="192"/>
      <c r="N68" s="192"/>
      <c r="O68" s="192"/>
      <c r="P68" s="192"/>
      <c r="Q68" s="192"/>
    </row>
    <row r="69" spans="2:17">
      <c r="B69" s="8" t="str">
        <f>Outputs_for_conversion_rates!B30</f>
        <v>Modern Foreign Languages</v>
      </c>
      <c r="C69" s="324">
        <f>Outputs_for_conversion_rates!C30</f>
        <v>2246.8767087711881</v>
      </c>
      <c r="D69" s="324">
        <f>Outputs_for_conversion_rates!D30</f>
        <v>2456.4307270805525</v>
      </c>
      <c r="E69" s="324">
        <f>Outputs_for_conversion_rates!E30</f>
        <v>1663.4949321542495</v>
      </c>
      <c r="F69" s="324">
        <f>Outputs_for_conversion_rates!F30</f>
        <v>1292.2139799683209</v>
      </c>
      <c r="G69" s="324">
        <f>Outputs_for_conversion_rates!G30</f>
        <v>1282.829706288406</v>
      </c>
      <c r="H69" s="324">
        <f>Outputs_for_conversion_rates!H30</f>
        <v>1286.0693615834268</v>
      </c>
      <c r="I69" s="324">
        <f>Outputs_for_conversion_rates!I30</f>
        <v>1170.9608155127744</v>
      </c>
      <c r="J69" s="324">
        <f>Outputs_for_conversion_rates!J30</f>
        <v>1111.7492842818872</v>
      </c>
      <c r="K69" s="324">
        <f>Outputs_for_conversion_rates!K30</f>
        <v>1068.7495720210816</v>
      </c>
      <c r="L69" s="324">
        <f>Outputs_for_conversion_rates!L30</f>
        <v>1079.0387592830723</v>
      </c>
      <c r="M69" s="192"/>
      <c r="N69" s="192"/>
      <c r="O69" s="192"/>
      <c r="P69" s="192"/>
      <c r="Q69" s="192"/>
    </row>
    <row r="70" spans="2:17">
      <c r="B70" s="8" t="str">
        <f>Outputs_for_conversion_rates!B31</f>
        <v>Music</v>
      </c>
      <c r="C70" s="324">
        <f>Outputs_for_conversion_rates!C31</f>
        <v>283.30480097954103</v>
      </c>
      <c r="D70" s="324">
        <f>Outputs_for_conversion_rates!D31</f>
        <v>292.98316711763658</v>
      </c>
      <c r="E70" s="324">
        <f>Outputs_for_conversion_rates!E31</f>
        <v>288.68995979180949</v>
      </c>
      <c r="F70" s="324">
        <f>Outputs_for_conversion_rates!F31</f>
        <v>283.63955969071992</v>
      </c>
      <c r="G70" s="324">
        <f>Outputs_for_conversion_rates!G31</f>
        <v>280.69394340745771</v>
      </c>
      <c r="H70" s="324">
        <f>Outputs_for_conversion_rates!H31</f>
        <v>291.40374783165453</v>
      </c>
      <c r="I70" s="324">
        <f>Outputs_for_conversion_rates!I31</f>
        <v>275.98796709906992</v>
      </c>
      <c r="J70" s="324">
        <f>Outputs_for_conversion_rates!J31</f>
        <v>258.32754304953204</v>
      </c>
      <c r="K70" s="324">
        <f>Outputs_for_conversion_rates!K31</f>
        <v>251.3785646999111</v>
      </c>
      <c r="L70" s="324">
        <f>Outputs_for_conversion_rates!L31</f>
        <v>267.78307260588684</v>
      </c>
      <c r="M70" s="192"/>
      <c r="N70" s="192"/>
      <c r="O70" s="192"/>
      <c r="P70" s="192"/>
      <c r="Q70" s="192"/>
    </row>
    <row r="71" spans="2:17">
      <c r="B71" s="8" t="str">
        <f>Outputs_for_conversion_rates!B32</f>
        <v>Others</v>
      </c>
      <c r="C71" s="324">
        <f>Outputs_for_conversion_rates!C32</f>
        <v>586.47931349226599</v>
      </c>
      <c r="D71" s="324">
        <f>Outputs_for_conversion_rates!D32</f>
        <v>483.29675169836116</v>
      </c>
      <c r="E71" s="324">
        <f>Outputs_for_conversion_rates!E32</f>
        <v>616.5485438280856</v>
      </c>
      <c r="F71" s="324">
        <f>Outputs_for_conversion_rates!F32</f>
        <v>719.10029516384361</v>
      </c>
      <c r="G71" s="324">
        <f>Outputs_for_conversion_rates!G32</f>
        <v>759.28214014938408</v>
      </c>
      <c r="H71" s="324">
        <f>Outputs_for_conversion_rates!H32</f>
        <v>758.57071224166032</v>
      </c>
      <c r="I71" s="324">
        <f>Outputs_for_conversion_rates!I32</f>
        <v>770.63075327197714</v>
      </c>
      <c r="J71" s="324">
        <f>Outputs_for_conversion_rates!J32</f>
        <v>763.2423471273778</v>
      </c>
      <c r="K71" s="324">
        <f>Outputs_for_conversion_rates!K32</f>
        <v>760.05626738159845</v>
      </c>
      <c r="L71" s="324">
        <f>Outputs_for_conversion_rates!L32</f>
        <v>752.05525307413541</v>
      </c>
      <c r="M71" s="192"/>
      <c r="N71" s="192"/>
      <c r="O71" s="192"/>
      <c r="P71" s="192"/>
      <c r="Q71" s="192"/>
    </row>
    <row r="72" spans="2:17">
      <c r="B72" s="8" t="str">
        <f>Outputs_for_conversion_rates!B33</f>
        <v>Physical Education</v>
      </c>
      <c r="C72" s="324">
        <f>Outputs_for_conversion_rates!C33</f>
        <v>692.64765828628947</v>
      </c>
      <c r="D72" s="324">
        <f>Outputs_for_conversion_rates!D33</f>
        <v>676.11066487291328</v>
      </c>
      <c r="E72" s="324">
        <f>Outputs_for_conversion_rates!E33</f>
        <v>765.04607651995229</v>
      </c>
      <c r="F72" s="324">
        <f>Outputs_for_conversion_rates!F33</f>
        <v>804.71738262743474</v>
      </c>
      <c r="G72" s="324">
        <f>Outputs_for_conversion_rates!G33</f>
        <v>817.70806156841695</v>
      </c>
      <c r="H72" s="324">
        <f>Outputs_for_conversion_rates!H33</f>
        <v>823.33943594343305</v>
      </c>
      <c r="I72" s="324">
        <f>Outputs_for_conversion_rates!I33</f>
        <v>785.76143025029569</v>
      </c>
      <c r="J72" s="324">
        <f>Outputs_for_conversion_rates!J33</f>
        <v>775.40032357723612</v>
      </c>
      <c r="K72" s="324">
        <f>Outputs_for_conversion_rates!K33</f>
        <v>766.34932565655254</v>
      </c>
      <c r="L72" s="324">
        <f>Outputs_for_conversion_rates!L33</f>
        <v>768.44651112310908</v>
      </c>
      <c r="M72" s="192"/>
      <c r="N72" s="192"/>
      <c r="O72" s="192"/>
      <c r="P72" s="192"/>
      <c r="Q72" s="192"/>
    </row>
    <row r="73" spans="2:17">
      <c r="B73" s="8" t="str">
        <f>Outputs_for_conversion_rates!B34</f>
        <v>Physics</v>
      </c>
      <c r="C73" s="324">
        <f>Outputs_for_conversion_rates!C34</f>
        <v>655.08044505185046</v>
      </c>
      <c r="D73" s="324">
        <f>Outputs_for_conversion_rates!D34</f>
        <v>652.92796065870823</v>
      </c>
      <c r="E73" s="324">
        <f>Outputs_for_conversion_rates!E34</f>
        <v>640.41783708506523</v>
      </c>
      <c r="F73" s="324">
        <f>Outputs_for_conversion_rates!F34</f>
        <v>650.86355528510296</v>
      </c>
      <c r="G73" s="324">
        <f>Outputs_for_conversion_rates!G34</f>
        <v>666.25283482291013</v>
      </c>
      <c r="H73" s="324">
        <f>Outputs_for_conversion_rates!H34</f>
        <v>645.52606278511507</v>
      </c>
      <c r="I73" s="324">
        <f>Outputs_for_conversion_rates!I34</f>
        <v>623.05923014187033</v>
      </c>
      <c r="J73" s="324">
        <f>Outputs_for_conversion_rates!J34</f>
        <v>633.66816273966424</v>
      </c>
      <c r="K73" s="324">
        <f>Outputs_for_conversion_rates!K34</f>
        <v>628.43633909903542</v>
      </c>
      <c r="L73" s="324">
        <f>Outputs_for_conversion_rates!L34</f>
        <v>595.33723772110443</v>
      </c>
      <c r="M73" s="192"/>
      <c r="N73" s="192"/>
      <c r="O73" s="192"/>
      <c r="P73" s="192"/>
      <c r="Q73" s="192"/>
    </row>
    <row r="74" spans="2:17">
      <c r="B74" s="8" t="str">
        <f>Outputs_for_conversion_rates!B35</f>
        <v>Religious Education</v>
      </c>
      <c r="C74" s="324">
        <f>Outputs_for_conversion_rates!C35</f>
        <v>450.99728260204085</v>
      </c>
      <c r="D74" s="324">
        <f>Outputs_for_conversion_rates!D35</f>
        <v>420.63483639185677</v>
      </c>
      <c r="E74" s="324">
        <f>Outputs_for_conversion_rates!E35</f>
        <v>415.66902984842403</v>
      </c>
      <c r="F74" s="324">
        <f>Outputs_for_conversion_rates!F35</f>
        <v>413.9456773252067</v>
      </c>
      <c r="G74" s="324">
        <f>Outputs_for_conversion_rates!G35</f>
        <v>416.16354381759879</v>
      </c>
      <c r="H74" s="324">
        <f>Outputs_for_conversion_rates!H35</f>
        <v>415.18252384223445</v>
      </c>
      <c r="I74" s="324">
        <f>Outputs_for_conversion_rates!I35</f>
        <v>395.8984533711037</v>
      </c>
      <c r="J74" s="324">
        <f>Outputs_for_conversion_rates!J35</f>
        <v>387.86575406253547</v>
      </c>
      <c r="K74" s="324">
        <f>Outputs_for_conversion_rates!K35</f>
        <v>381.2053380442689</v>
      </c>
      <c r="L74" s="324">
        <f>Outputs_for_conversion_rates!L35</f>
        <v>380.23156843230981</v>
      </c>
      <c r="M74" s="192"/>
      <c r="N74" s="192"/>
      <c r="O74" s="192"/>
      <c r="P74" s="192"/>
      <c r="Q74" s="192"/>
    </row>
    <row r="75" spans="2:17">
      <c r="B75" s="8" t="str">
        <f>Outputs_for_conversion_rates!B36</f>
        <v>Total</v>
      </c>
      <c r="C75" s="324">
        <f>Outputs_for_conversion_rates!C36</f>
        <v>23264.714726004262</v>
      </c>
      <c r="D75" s="324">
        <f>Outputs_for_conversion_rates!D36</f>
        <v>22418.686842530198</v>
      </c>
      <c r="E75" s="324">
        <f>Outputs_for_conversion_rates!E36</f>
        <v>21710.472720849102</v>
      </c>
      <c r="F75" s="324">
        <f>Outputs_for_conversion_rates!F36</f>
        <v>21425.932699547528</v>
      </c>
      <c r="G75" s="324">
        <f>Outputs_for_conversion_rates!G36</f>
        <v>21422.928579395561</v>
      </c>
      <c r="H75" s="324">
        <f>Outputs_for_conversion_rates!H36</f>
        <v>21261.671551184172</v>
      </c>
      <c r="I75" s="324">
        <f>Outputs_for_conversion_rates!I36</f>
        <v>20954.930046886057</v>
      </c>
      <c r="J75" s="324">
        <f>Outputs_for_conversion_rates!J36</f>
        <v>20957.817816097137</v>
      </c>
      <c r="K75" s="324">
        <f>Outputs_for_conversion_rates!K36</f>
        <v>20804.720022697271</v>
      </c>
      <c r="L75" s="324">
        <f>Outputs_for_conversion_rates!L36</f>
        <v>20654.588007199516</v>
      </c>
      <c r="M75" s="192"/>
      <c r="N75" s="192"/>
      <c r="O75" s="192"/>
      <c r="P75" s="192"/>
      <c r="Q75" s="192"/>
    </row>
    <row r="77" spans="2:17" ht="15.75">
      <c r="B77" s="740" t="s">
        <v>1039</v>
      </c>
      <c r="C77" s="731"/>
      <c r="D77" s="731"/>
      <c r="E77" s="731"/>
      <c r="F77" s="731"/>
      <c r="G77" s="731"/>
      <c r="H77" s="731"/>
      <c r="I77" s="731"/>
      <c r="J77" s="732"/>
      <c r="K77" s="731"/>
      <c r="L77" s="731"/>
    </row>
    <row r="78" spans="2:17" ht="15.75">
      <c r="B78" s="740"/>
      <c r="C78" s="731"/>
      <c r="D78" s="731"/>
      <c r="E78" s="731"/>
      <c r="F78" s="731"/>
      <c r="G78" s="731"/>
      <c r="H78" s="731"/>
      <c r="I78" s="731"/>
      <c r="J78" s="731"/>
      <c r="K78" s="731"/>
      <c r="L78" s="731"/>
    </row>
    <row r="79" spans="2:17">
      <c r="B79" s="726" t="s">
        <v>1038</v>
      </c>
      <c r="C79" s="731"/>
      <c r="D79" s="731"/>
      <c r="E79" s="731"/>
      <c r="F79" s="731"/>
      <c r="G79" s="731"/>
      <c r="H79" s="731"/>
      <c r="I79" s="731"/>
      <c r="J79" s="731"/>
      <c r="K79" s="731"/>
      <c r="L79" s="731"/>
    </row>
    <row r="81" spans="2:12">
      <c r="B81" s="746" t="str">
        <f>B54</f>
        <v>Subject</v>
      </c>
      <c r="C81" s="8" t="s">
        <v>135</v>
      </c>
      <c r="D81" s="8" t="str">
        <f>C54</f>
        <v>2018/19</v>
      </c>
      <c r="E81" s="8" t="str">
        <f t="shared" ref="E81:L81" si="0">D54</f>
        <v>2019/20</v>
      </c>
      <c r="F81" s="8" t="str">
        <f t="shared" si="0"/>
        <v>2020/21</v>
      </c>
      <c r="G81" s="8" t="str">
        <f t="shared" si="0"/>
        <v>2021/22</v>
      </c>
      <c r="H81" s="8" t="str">
        <f t="shared" si="0"/>
        <v>2022/23</v>
      </c>
      <c r="I81" s="8" t="str">
        <f t="shared" si="0"/>
        <v>2023/24</v>
      </c>
      <c r="J81" s="8" t="str">
        <f t="shared" si="0"/>
        <v>2024/25</v>
      </c>
      <c r="K81" s="8" t="str">
        <f t="shared" si="0"/>
        <v>2025/26</v>
      </c>
      <c r="L81" s="8" t="str">
        <f t="shared" si="0"/>
        <v>2026/27</v>
      </c>
    </row>
    <row r="82" spans="2:12">
      <c r="B82" s="746" t="str">
        <f t="shared" ref="B82:B101" si="1">B55</f>
        <v>Primary</v>
      </c>
      <c r="C82" s="742">
        <f t="shared" ref="C82:C101" si="2">C22</f>
        <v>0.89808924141631397</v>
      </c>
      <c r="D82" s="743">
        <f>C82</f>
        <v>0.89808924141631397</v>
      </c>
      <c r="E82" s="743">
        <f t="shared" ref="E82:L82" si="3">D82</f>
        <v>0.89808924141631397</v>
      </c>
      <c r="F82" s="743">
        <f t="shared" si="3"/>
        <v>0.89808924141631397</v>
      </c>
      <c r="G82" s="743">
        <f t="shared" si="3"/>
        <v>0.89808924141631397</v>
      </c>
      <c r="H82" s="743">
        <f t="shared" si="3"/>
        <v>0.89808924141631397</v>
      </c>
      <c r="I82" s="743">
        <f t="shared" si="3"/>
        <v>0.89808924141631397</v>
      </c>
      <c r="J82" s="743">
        <f t="shared" si="3"/>
        <v>0.89808924141631397</v>
      </c>
      <c r="K82" s="743">
        <f t="shared" si="3"/>
        <v>0.89808924141631397</v>
      </c>
      <c r="L82" s="743">
        <f t="shared" si="3"/>
        <v>0.89808924141631397</v>
      </c>
    </row>
    <row r="83" spans="2:12">
      <c r="B83" s="746" t="str">
        <f t="shared" si="1"/>
        <v>Art &amp; Design</v>
      </c>
      <c r="C83" s="742">
        <f t="shared" si="2"/>
        <v>0.89656936503147322</v>
      </c>
      <c r="D83" s="743">
        <f t="shared" ref="D83:L101" si="4">C83</f>
        <v>0.89656936503147322</v>
      </c>
      <c r="E83" s="743">
        <f t="shared" si="4"/>
        <v>0.89656936503147322</v>
      </c>
      <c r="F83" s="743">
        <f t="shared" si="4"/>
        <v>0.89656936503147322</v>
      </c>
      <c r="G83" s="743">
        <f t="shared" si="4"/>
        <v>0.89656936503147322</v>
      </c>
      <c r="H83" s="743">
        <f t="shared" si="4"/>
        <v>0.89656936503147322</v>
      </c>
      <c r="I83" s="743">
        <f t="shared" si="4"/>
        <v>0.89656936503147322</v>
      </c>
      <c r="J83" s="743">
        <f t="shared" si="4"/>
        <v>0.89656936503147322</v>
      </c>
      <c r="K83" s="743">
        <f t="shared" si="4"/>
        <v>0.89656936503147322</v>
      </c>
      <c r="L83" s="743">
        <f t="shared" si="4"/>
        <v>0.89656936503147322</v>
      </c>
    </row>
    <row r="84" spans="2:12">
      <c r="B84" s="746" t="str">
        <f t="shared" si="1"/>
        <v>Biology</v>
      </c>
      <c r="C84" s="742">
        <f t="shared" si="2"/>
        <v>0.89007223715777162</v>
      </c>
      <c r="D84" s="743">
        <f t="shared" si="4"/>
        <v>0.89007223715777162</v>
      </c>
      <c r="E84" s="743">
        <f t="shared" si="4"/>
        <v>0.89007223715777162</v>
      </c>
      <c r="F84" s="743">
        <f t="shared" si="4"/>
        <v>0.89007223715777162</v>
      </c>
      <c r="G84" s="743">
        <f t="shared" si="4"/>
        <v>0.89007223715777162</v>
      </c>
      <c r="H84" s="743">
        <f t="shared" si="4"/>
        <v>0.89007223715777162</v>
      </c>
      <c r="I84" s="743">
        <f t="shared" si="4"/>
        <v>0.89007223715777162</v>
      </c>
      <c r="J84" s="743">
        <f t="shared" si="4"/>
        <v>0.89007223715777162</v>
      </c>
      <c r="K84" s="743">
        <f t="shared" si="4"/>
        <v>0.89007223715777162</v>
      </c>
      <c r="L84" s="743">
        <f t="shared" si="4"/>
        <v>0.89007223715777162</v>
      </c>
    </row>
    <row r="85" spans="2:12">
      <c r="B85" s="746" t="str">
        <f t="shared" si="1"/>
        <v>Business Studies</v>
      </c>
      <c r="C85" s="742">
        <f t="shared" si="2"/>
        <v>0.91113769387108645</v>
      </c>
      <c r="D85" s="743">
        <f t="shared" si="4"/>
        <v>0.91113769387108645</v>
      </c>
      <c r="E85" s="743">
        <f t="shared" si="4"/>
        <v>0.91113769387108645</v>
      </c>
      <c r="F85" s="743">
        <f t="shared" si="4"/>
        <v>0.91113769387108645</v>
      </c>
      <c r="G85" s="743">
        <f t="shared" si="4"/>
        <v>0.91113769387108645</v>
      </c>
      <c r="H85" s="743">
        <f t="shared" si="4"/>
        <v>0.91113769387108645</v>
      </c>
      <c r="I85" s="743">
        <f t="shared" si="4"/>
        <v>0.91113769387108645</v>
      </c>
      <c r="J85" s="743">
        <f t="shared" si="4"/>
        <v>0.91113769387108645</v>
      </c>
      <c r="K85" s="743">
        <f t="shared" si="4"/>
        <v>0.91113769387108645</v>
      </c>
      <c r="L85" s="743">
        <f t="shared" si="4"/>
        <v>0.91113769387108645</v>
      </c>
    </row>
    <row r="86" spans="2:12">
      <c r="B86" s="746" t="str">
        <f t="shared" si="1"/>
        <v>Chemistry</v>
      </c>
      <c r="C86" s="742">
        <f t="shared" si="2"/>
        <v>0.85386825276324407</v>
      </c>
      <c r="D86" s="743">
        <f t="shared" si="4"/>
        <v>0.85386825276324407</v>
      </c>
      <c r="E86" s="743">
        <f t="shared" si="4"/>
        <v>0.85386825276324407</v>
      </c>
      <c r="F86" s="743">
        <f t="shared" si="4"/>
        <v>0.85386825276324407</v>
      </c>
      <c r="G86" s="743">
        <f t="shared" si="4"/>
        <v>0.85386825276324407</v>
      </c>
      <c r="H86" s="743">
        <f t="shared" si="4"/>
        <v>0.85386825276324407</v>
      </c>
      <c r="I86" s="743">
        <f t="shared" si="4"/>
        <v>0.85386825276324407</v>
      </c>
      <c r="J86" s="743">
        <f t="shared" si="4"/>
        <v>0.85386825276324407</v>
      </c>
      <c r="K86" s="743">
        <f t="shared" si="4"/>
        <v>0.85386825276324407</v>
      </c>
      <c r="L86" s="743">
        <f t="shared" si="4"/>
        <v>0.85386825276324407</v>
      </c>
    </row>
    <row r="87" spans="2:12">
      <c r="B87" s="746" t="str">
        <f t="shared" si="1"/>
        <v>Classics</v>
      </c>
      <c r="C87" s="742">
        <f t="shared" si="2"/>
        <v>0.97731182795698934</v>
      </c>
      <c r="D87" s="743">
        <f t="shared" si="4"/>
        <v>0.97731182795698934</v>
      </c>
      <c r="E87" s="743">
        <f t="shared" si="4"/>
        <v>0.97731182795698934</v>
      </c>
      <c r="F87" s="743">
        <f t="shared" si="4"/>
        <v>0.97731182795698934</v>
      </c>
      <c r="G87" s="743">
        <f t="shared" si="4"/>
        <v>0.97731182795698934</v>
      </c>
      <c r="H87" s="743">
        <f t="shared" si="4"/>
        <v>0.97731182795698934</v>
      </c>
      <c r="I87" s="743">
        <f t="shared" si="4"/>
        <v>0.97731182795698934</v>
      </c>
      <c r="J87" s="743">
        <f t="shared" si="4"/>
        <v>0.97731182795698934</v>
      </c>
      <c r="K87" s="743">
        <f t="shared" si="4"/>
        <v>0.97731182795698934</v>
      </c>
      <c r="L87" s="743">
        <f t="shared" si="4"/>
        <v>0.97731182795698934</v>
      </c>
    </row>
    <row r="88" spans="2:12">
      <c r="B88" s="746" t="str">
        <f t="shared" si="1"/>
        <v>Computing</v>
      </c>
      <c r="C88" s="742">
        <f t="shared" si="2"/>
        <v>0.82588388485461328</v>
      </c>
      <c r="D88" s="743">
        <f t="shared" si="4"/>
        <v>0.82588388485461328</v>
      </c>
      <c r="E88" s="743">
        <f t="shared" si="4"/>
        <v>0.82588388485461328</v>
      </c>
      <c r="F88" s="743">
        <f t="shared" si="4"/>
        <v>0.82588388485461328</v>
      </c>
      <c r="G88" s="743">
        <f t="shared" si="4"/>
        <v>0.82588388485461328</v>
      </c>
      <c r="H88" s="743">
        <f t="shared" si="4"/>
        <v>0.82588388485461328</v>
      </c>
      <c r="I88" s="743">
        <f t="shared" si="4"/>
        <v>0.82588388485461328</v>
      </c>
      <c r="J88" s="743">
        <f t="shared" si="4"/>
        <v>0.82588388485461328</v>
      </c>
      <c r="K88" s="743">
        <f t="shared" si="4"/>
        <v>0.82588388485461328</v>
      </c>
      <c r="L88" s="743">
        <f t="shared" si="4"/>
        <v>0.82588388485461328</v>
      </c>
    </row>
    <row r="89" spans="2:12">
      <c r="B89" s="746" t="str">
        <f t="shared" si="1"/>
        <v>Design &amp; Technology</v>
      </c>
      <c r="C89" s="742">
        <f t="shared" si="2"/>
        <v>0.87062962695262991</v>
      </c>
      <c r="D89" s="743">
        <f t="shared" si="4"/>
        <v>0.87062962695262991</v>
      </c>
      <c r="E89" s="743">
        <f t="shared" si="4"/>
        <v>0.87062962695262991</v>
      </c>
      <c r="F89" s="743">
        <f t="shared" si="4"/>
        <v>0.87062962695262991</v>
      </c>
      <c r="G89" s="743">
        <f t="shared" si="4"/>
        <v>0.87062962695262991</v>
      </c>
      <c r="H89" s="743">
        <f t="shared" si="4"/>
        <v>0.87062962695262991</v>
      </c>
      <c r="I89" s="743">
        <f t="shared" si="4"/>
        <v>0.87062962695262991</v>
      </c>
      <c r="J89" s="743">
        <f t="shared" si="4"/>
        <v>0.87062962695262991</v>
      </c>
      <c r="K89" s="743">
        <f t="shared" si="4"/>
        <v>0.87062962695262991</v>
      </c>
      <c r="L89" s="743">
        <f t="shared" si="4"/>
        <v>0.87062962695262991</v>
      </c>
    </row>
    <row r="90" spans="2:12">
      <c r="B90" s="746" t="str">
        <f t="shared" si="1"/>
        <v>Drama</v>
      </c>
      <c r="C90" s="742">
        <f t="shared" si="2"/>
        <v>0.94343157795330468</v>
      </c>
      <c r="D90" s="743">
        <f t="shared" si="4"/>
        <v>0.94343157795330468</v>
      </c>
      <c r="E90" s="743">
        <f t="shared" si="4"/>
        <v>0.94343157795330468</v>
      </c>
      <c r="F90" s="743">
        <f t="shared" si="4"/>
        <v>0.94343157795330468</v>
      </c>
      <c r="G90" s="743">
        <f t="shared" si="4"/>
        <v>0.94343157795330468</v>
      </c>
      <c r="H90" s="743">
        <f t="shared" si="4"/>
        <v>0.94343157795330468</v>
      </c>
      <c r="I90" s="743">
        <f t="shared" si="4"/>
        <v>0.94343157795330468</v>
      </c>
      <c r="J90" s="743">
        <f t="shared" si="4"/>
        <v>0.94343157795330468</v>
      </c>
      <c r="K90" s="743">
        <f t="shared" si="4"/>
        <v>0.94343157795330468</v>
      </c>
      <c r="L90" s="743">
        <f t="shared" si="4"/>
        <v>0.94343157795330468</v>
      </c>
    </row>
    <row r="91" spans="2:12">
      <c r="B91" s="746" t="str">
        <f t="shared" si="1"/>
        <v>English</v>
      </c>
      <c r="C91" s="742">
        <f t="shared" si="2"/>
        <v>0.91441398125881368</v>
      </c>
      <c r="D91" s="743">
        <f t="shared" si="4"/>
        <v>0.91441398125881368</v>
      </c>
      <c r="E91" s="743">
        <f t="shared" si="4"/>
        <v>0.91441398125881368</v>
      </c>
      <c r="F91" s="743">
        <f t="shared" si="4"/>
        <v>0.91441398125881368</v>
      </c>
      <c r="G91" s="743">
        <f t="shared" si="4"/>
        <v>0.91441398125881368</v>
      </c>
      <c r="H91" s="743">
        <f t="shared" si="4"/>
        <v>0.91441398125881368</v>
      </c>
      <c r="I91" s="743">
        <f t="shared" si="4"/>
        <v>0.91441398125881368</v>
      </c>
      <c r="J91" s="743">
        <f t="shared" si="4"/>
        <v>0.91441398125881368</v>
      </c>
      <c r="K91" s="743">
        <f t="shared" si="4"/>
        <v>0.91441398125881368</v>
      </c>
      <c r="L91" s="743">
        <f t="shared" si="4"/>
        <v>0.91441398125881368</v>
      </c>
    </row>
    <row r="92" spans="2:12">
      <c r="B92" s="746" t="str">
        <f t="shared" si="1"/>
        <v>Food</v>
      </c>
      <c r="C92" s="742">
        <f t="shared" si="2"/>
        <v>0.79153162963911161</v>
      </c>
      <c r="D92" s="743">
        <f t="shared" si="4"/>
        <v>0.79153162963911161</v>
      </c>
      <c r="E92" s="743">
        <f t="shared" si="4"/>
        <v>0.79153162963911161</v>
      </c>
      <c r="F92" s="743">
        <f t="shared" si="4"/>
        <v>0.79153162963911161</v>
      </c>
      <c r="G92" s="743">
        <f t="shared" si="4"/>
        <v>0.79153162963911161</v>
      </c>
      <c r="H92" s="743">
        <f t="shared" si="4"/>
        <v>0.79153162963911161</v>
      </c>
      <c r="I92" s="743">
        <f t="shared" si="4"/>
        <v>0.79153162963911161</v>
      </c>
      <c r="J92" s="743">
        <f t="shared" si="4"/>
        <v>0.79153162963911161</v>
      </c>
      <c r="K92" s="743">
        <f t="shared" si="4"/>
        <v>0.79153162963911161</v>
      </c>
      <c r="L92" s="743">
        <f t="shared" si="4"/>
        <v>0.79153162963911161</v>
      </c>
    </row>
    <row r="93" spans="2:12">
      <c r="B93" s="746" t="str">
        <f t="shared" si="1"/>
        <v>Geography</v>
      </c>
      <c r="C93" s="742">
        <f t="shared" si="2"/>
        <v>0.92668048553325288</v>
      </c>
      <c r="D93" s="743">
        <f t="shared" si="4"/>
        <v>0.92668048553325288</v>
      </c>
      <c r="E93" s="743">
        <f t="shared" si="4"/>
        <v>0.92668048553325288</v>
      </c>
      <c r="F93" s="743">
        <f t="shared" si="4"/>
        <v>0.92668048553325288</v>
      </c>
      <c r="G93" s="743">
        <f t="shared" si="4"/>
        <v>0.92668048553325288</v>
      </c>
      <c r="H93" s="743">
        <f t="shared" si="4"/>
        <v>0.92668048553325288</v>
      </c>
      <c r="I93" s="743">
        <f t="shared" si="4"/>
        <v>0.92668048553325288</v>
      </c>
      <c r="J93" s="743">
        <f t="shared" si="4"/>
        <v>0.92668048553325288</v>
      </c>
      <c r="K93" s="743">
        <f t="shared" si="4"/>
        <v>0.92668048553325288</v>
      </c>
      <c r="L93" s="743">
        <f t="shared" si="4"/>
        <v>0.92668048553325288</v>
      </c>
    </row>
    <row r="94" spans="2:12">
      <c r="B94" s="746" t="str">
        <f t="shared" si="1"/>
        <v>History</v>
      </c>
      <c r="C94" s="742">
        <f t="shared" si="2"/>
        <v>0.93544459296492899</v>
      </c>
      <c r="D94" s="743">
        <f t="shared" si="4"/>
        <v>0.93544459296492899</v>
      </c>
      <c r="E94" s="743">
        <f t="shared" si="4"/>
        <v>0.93544459296492899</v>
      </c>
      <c r="F94" s="743">
        <f t="shared" si="4"/>
        <v>0.93544459296492899</v>
      </c>
      <c r="G94" s="743">
        <f t="shared" si="4"/>
        <v>0.93544459296492899</v>
      </c>
      <c r="H94" s="743">
        <f t="shared" si="4"/>
        <v>0.93544459296492899</v>
      </c>
      <c r="I94" s="743">
        <f t="shared" si="4"/>
        <v>0.93544459296492899</v>
      </c>
      <c r="J94" s="743">
        <f t="shared" si="4"/>
        <v>0.93544459296492899</v>
      </c>
      <c r="K94" s="743">
        <f t="shared" si="4"/>
        <v>0.93544459296492899</v>
      </c>
      <c r="L94" s="743">
        <f t="shared" si="4"/>
        <v>0.93544459296492899</v>
      </c>
    </row>
    <row r="95" spans="2:12">
      <c r="B95" s="746" t="str">
        <f t="shared" si="1"/>
        <v>Mathematics</v>
      </c>
      <c r="C95" s="742">
        <f t="shared" si="2"/>
        <v>0.85604696770853506</v>
      </c>
      <c r="D95" s="743">
        <f t="shared" si="4"/>
        <v>0.85604696770853506</v>
      </c>
      <c r="E95" s="743">
        <f t="shared" si="4"/>
        <v>0.85604696770853506</v>
      </c>
      <c r="F95" s="743">
        <f t="shared" si="4"/>
        <v>0.85604696770853506</v>
      </c>
      <c r="G95" s="743">
        <f t="shared" si="4"/>
        <v>0.85604696770853506</v>
      </c>
      <c r="H95" s="743">
        <f t="shared" si="4"/>
        <v>0.85604696770853506</v>
      </c>
      <c r="I95" s="743">
        <f t="shared" si="4"/>
        <v>0.85604696770853506</v>
      </c>
      <c r="J95" s="743">
        <f t="shared" si="4"/>
        <v>0.85604696770853506</v>
      </c>
      <c r="K95" s="743">
        <f t="shared" si="4"/>
        <v>0.85604696770853506</v>
      </c>
      <c r="L95" s="743">
        <f t="shared" si="4"/>
        <v>0.85604696770853506</v>
      </c>
    </row>
    <row r="96" spans="2:12">
      <c r="B96" s="746" t="str">
        <f t="shared" si="1"/>
        <v>Modern Foreign Languages</v>
      </c>
      <c r="C96" s="742">
        <f t="shared" si="2"/>
        <v>0.8849898250020789</v>
      </c>
      <c r="D96" s="743">
        <f t="shared" si="4"/>
        <v>0.8849898250020789</v>
      </c>
      <c r="E96" s="743">
        <f t="shared" si="4"/>
        <v>0.8849898250020789</v>
      </c>
      <c r="F96" s="743">
        <f t="shared" si="4"/>
        <v>0.8849898250020789</v>
      </c>
      <c r="G96" s="743">
        <f t="shared" si="4"/>
        <v>0.8849898250020789</v>
      </c>
      <c r="H96" s="743">
        <f t="shared" si="4"/>
        <v>0.8849898250020789</v>
      </c>
      <c r="I96" s="743">
        <f t="shared" si="4"/>
        <v>0.8849898250020789</v>
      </c>
      <c r="J96" s="743">
        <f t="shared" si="4"/>
        <v>0.8849898250020789</v>
      </c>
      <c r="K96" s="743">
        <f t="shared" si="4"/>
        <v>0.8849898250020789</v>
      </c>
      <c r="L96" s="743">
        <f t="shared" si="4"/>
        <v>0.8849898250020789</v>
      </c>
    </row>
    <row r="97" spans="2:12">
      <c r="B97" s="746" t="str">
        <f t="shared" si="1"/>
        <v>Music</v>
      </c>
      <c r="C97" s="742">
        <f t="shared" si="2"/>
        <v>0.91022698247932821</v>
      </c>
      <c r="D97" s="743">
        <f t="shared" si="4"/>
        <v>0.91022698247932821</v>
      </c>
      <c r="E97" s="743">
        <f t="shared" si="4"/>
        <v>0.91022698247932821</v>
      </c>
      <c r="F97" s="743">
        <f t="shared" si="4"/>
        <v>0.91022698247932821</v>
      </c>
      <c r="G97" s="743">
        <f t="shared" si="4"/>
        <v>0.91022698247932821</v>
      </c>
      <c r="H97" s="743">
        <f t="shared" si="4"/>
        <v>0.91022698247932821</v>
      </c>
      <c r="I97" s="743">
        <f t="shared" si="4"/>
        <v>0.91022698247932821</v>
      </c>
      <c r="J97" s="743">
        <f t="shared" si="4"/>
        <v>0.91022698247932821</v>
      </c>
      <c r="K97" s="743">
        <f t="shared" si="4"/>
        <v>0.91022698247932821</v>
      </c>
      <c r="L97" s="743">
        <f t="shared" si="4"/>
        <v>0.91022698247932821</v>
      </c>
    </row>
    <row r="98" spans="2:12">
      <c r="B98" s="746" t="str">
        <f t="shared" si="1"/>
        <v>Others</v>
      </c>
      <c r="C98" s="742">
        <f t="shared" si="2"/>
        <v>0.93052551192152122</v>
      </c>
      <c r="D98" s="743">
        <f t="shared" si="4"/>
        <v>0.93052551192152122</v>
      </c>
      <c r="E98" s="743">
        <f t="shared" si="4"/>
        <v>0.93052551192152122</v>
      </c>
      <c r="F98" s="743">
        <f t="shared" si="4"/>
        <v>0.93052551192152122</v>
      </c>
      <c r="G98" s="743">
        <f t="shared" si="4"/>
        <v>0.93052551192152122</v>
      </c>
      <c r="H98" s="743">
        <f t="shared" si="4"/>
        <v>0.93052551192152122</v>
      </c>
      <c r="I98" s="743">
        <f t="shared" si="4"/>
        <v>0.93052551192152122</v>
      </c>
      <c r="J98" s="743">
        <f t="shared" si="4"/>
        <v>0.93052551192152122</v>
      </c>
      <c r="K98" s="743">
        <f t="shared" si="4"/>
        <v>0.93052551192152122</v>
      </c>
      <c r="L98" s="743">
        <f t="shared" si="4"/>
        <v>0.93052551192152122</v>
      </c>
    </row>
    <row r="99" spans="2:12">
      <c r="B99" s="746" t="str">
        <f t="shared" si="1"/>
        <v>Physical Education</v>
      </c>
      <c r="C99" s="742">
        <f t="shared" si="2"/>
        <v>0.95566050189650253</v>
      </c>
      <c r="D99" s="743">
        <f t="shared" si="4"/>
        <v>0.95566050189650253</v>
      </c>
      <c r="E99" s="743">
        <f t="shared" si="4"/>
        <v>0.95566050189650253</v>
      </c>
      <c r="F99" s="743">
        <f t="shared" si="4"/>
        <v>0.95566050189650253</v>
      </c>
      <c r="G99" s="743">
        <f t="shared" si="4"/>
        <v>0.95566050189650253</v>
      </c>
      <c r="H99" s="743">
        <f t="shared" si="4"/>
        <v>0.95566050189650253</v>
      </c>
      <c r="I99" s="743">
        <f t="shared" si="4"/>
        <v>0.95566050189650253</v>
      </c>
      <c r="J99" s="743">
        <f t="shared" si="4"/>
        <v>0.95566050189650253</v>
      </c>
      <c r="K99" s="743">
        <f t="shared" si="4"/>
        <v>0.95566050189650253</v>
      </c>
      <c r="L99" s="743">
        <f t="shared" si="4"/>
        <v>0.95566050189650253</v>
      </c>
    </row>
    <row r="100" spans="2:12">
      <c r="B100" s="746" t="str">
        <f t="shared" si="1"/>
        <v>Physics</v>
      </c>
      <c r="C100" s="742">
        <f t="shared" si="2"/>
        <v>0.79387529802514867</v>
      </c>
      <c r="D100" s="743">
        <f t="shared" si="4"/>
        <v>0.79387529802514867</v>
      </c>
      <c r="E100" s="743">
        <f t="shared" si="4"/>
        <v>0.79387529802514867</v>
      </c>
      <c r="F100" s="743">
        <f t="shared" si="4"/>
        <v>0.79387529802514867</v>
      </c>
      <c r="G100" s="743">
        <f t="shared" si="4"/>
        <v>0.79387529802514867</v>
      </c>
      <c r="H100" s="743">
        <f t="shared" si="4"/>
        <v>0.79387529802514867</v>
      </c>
      <c r="I100" s="743">
        <f t="shared" si="4"/>
        <v>0.79387529802514867</v>
      </c>
      <c r="J100" s="743">
        <f t="shared" si="4"/>
        <v>0.79387529802514867</v>
      </c>
      <c r="K100" s="743">
        <f t="shared" si="4"/>
        <v>0.79387529802514867</v>
      </c>
      <c r="L100" s="743">
        <f t="shared" si="4"/>
        <v>0.79387529802514867</v>
      </c>
    </row>
    <row r="101" spans="2:12">
      <c r="B101" s="746" t="str">
        <f t="shared" si="1"/>
        <v>Religious Education</v>
      </c>
      <c r="C101" s="742">
        <f t="shared" si="2"/>
        <v>0.89709120808106446</v>
      </c>
      <c r="D101" s="743">
        <f t="shared" si="4"/>
        <v>0.89709120808106446</v>
      </c>
      <c r="E101" s="743">
        <f t="shared" si="4"/>
        <v>0.89709120808106446</v>
      </c>
      <c r="F101" s="743">
        <f t="shared" si="4"/>
        <v>0.89709120808106446</v>
      </c>
      <c r="G101" s="743">
        <f t="shared" si="4"/>
        <v>0.89709120808106446</v>
      </c>
      <c r="H101" s="743">
        <f t="shared" si="4"/>
        <v>0.89709120808106446</v>
      </c>
      <c r="I101" s="743">
        <f t="shared" si="4"/>
        <v>0.89709120808106446</v>
      </c>
      <c r="J101" s="743">
        <f t="shared" si="4"/>
        <v>0.89709120808106446</v>
      </c>
      <c r="K101" s="743">
        <f t="shared" si="4"/>
        <v>0.89709120808106446</v>
      </c>
      <c r="L101" s="743">
        <f t="shared" si="4"/>
        <v>0.89709120808106446</v>
      </c>
    </row>
    <row r="102" spans="2:12">
      <c r="B102" s="747"/>
      <c r="C102" s="731"/>
      <c r="D102" s="731"/>
      <c r="E102" s="731"/>
      <c r="F102" s="731"/>
      <c r="G102" s="731"/>
      <c r="H102" s="731"/>
      <c r="I102" s="731"/>
      <c r="J102" s="731"/>
      <c r="K102" s="731"/>
      <c r="L102" s="731"/>
    </row>
    <row r="103" spans="2:12">
      <c r="B103" s="748" t="s">
        <v>683</v>
      </c>
      <c r="C103" s="731"/>
      <c r="D103" s="731"/>
      <c r="E103" s="731"/>
      <c r="F103" s="731"/>
      <c r="G103" s="731"/>
      <c r="H103" s="731"/>
      <c r="I103" s="731"/>
      <c r="J103" s="731"/>
      <c r="K103" s="731"/>
      <c r="L103" s="731"/>
    </row>
    <row r="105" spans="2:12">
      <c r="B105" s="746" t="str">
        <f t="shared" ref="B105:L105" si="5">B81</f>
        <v>Subject</v>
      </c>
      <c r="C105" s="8" t="str">
        <f t="shared" si="5"/>
        <v>2017/18</v>
      </c>
      <c r="D105" s="8" t="str">
        <f t="shared" si="5"/>
        <v>2018/19</v>
      </c>
      <c r="E105" s="8" t="str">
        <f t="shared" si="5"/>
        <v>2019/20</v>
      </c>
      <c r="F105" s="8" t="str">
        <f t="shared" si="5"/>
        <v>2020/21</v>
      </c>
      <c r="G105" s="8" t="str">
        <f t="shared" si="5"/>
        <v>2021/22</v>
      </c>
      <c r="H105" s="8" t="str">
        <f t="shared" si="5"/>
        <v>2022/23</v>
      </c>
      <c r="I105" s="8" t="str">
        <f t="shared" si="5"/>
        <v>2023/24</v>
      </c>
      <c r="J105" s="8" t="str">
        <f t="shared" si="5"/>
        <v>2024/25</v>
      </c>
      <c r="K105" s="8" t="str">
        <f t="shared" si="5"/>
        <v>2025/26</v>
      </c>
      <c r="L105" s="8" t="str">
        <f t="shared" si="5"/>
        <v>2026/27</v>
      </c>
    </row>
    <row r="106" spans="2:12">
      <c r="B106" s="746" t="str">
        <f t="shared" ref="B106:B125" si="6">B82</f>
        <v>Primary</v>
      </c>
      <c r="C106" s="742">
        <f t="shared" ref="C106:C125" si="7">D22</f>
        <v>0.91345446548949272</v>
      </c>
      <c r="D106" s="743">
        <f>C106</f>
        <v>0.91345446548949272</v>
      </c>
      <c r="E106" s="743">
        <f t="shared" ref="E106:L106" si="8">D106</f>
        <v>0.91345446548949272</v>
      </c>
      <c r="F106" s="743">
        <f t="shared" si="8"/>
        <v>0.91345446548949272</v>
      </c>
      <c r="G106" s="743">
        <f t="shared" si="8"/>
        <v>0.91345446548949272</v>
      </c>
      <c r="H106" s="743">
        <f t="shared" si="8"/>
        <v>0.91345446548949272</v>
      </c>
      <c r="I106" s="743">
        <f t="shared" si="8"/>
        <v>0.91345446548949272</v>
      </c>
      <c r="J106" s="743">
        <f t="shared" si="8"/>
        <v>0.91345446548949272</v>
      </c>
      <c r="K106" s="743">
        <f t="shared" si="8"/>
        <v>0.91345446548949272</v>
      </c>
      <c r="L106" s="743">
        <f t="shared" si="8"/>
        <v>0.91345446548949272</v>
      </c>
    </row>
    <row r="107" spans="2:12">
      <c r="B107" s="746" t="str">
        <f t="shared" si="6"/>
        <v>Art &amp; Design</v>
      </c>
      <c r="C107" s="742">
        <f t="shared" si="7"/>
        <v>0.92295825515150209</v>
      </c>
      <c r="D107" s="743">
        <f t="shared" ref="D107:L107" si="9">C107</f>
        <v>0.92295825515150209</v>
      </c>
      <c r="E107" s="743">
        <f t="shared" si="9"/>
        <v>0.92295825515150209</v>
      </c>
      <c r="F107" s="743">
        <f t="shared" si="9"/>
        <v>0.92295825515150209</v>
      </c>
      <c r="G107" s="743">
        <f t="shared" si="9"/>
        <v>0.92295825515150209</v>
      </c>
      <c r="H107" s="743">
        <f t="shared" si="9"/>
        <v>0.92295825515150209</v>
      </c>
      <c r="I107" s="743">
        <f t="shared" si="9"/>
        <v>0.92295825515150209</v>
      </c>
      <c r="J107" s="743">
        <f t="shared" si="9"/>
        <v>0.92295825515150209</v>
      </c>
      <c r="K107" s="743">
        <f t="shared" si="9"/>
        <v>0.92295825515150209</v>
      </c>
      <c r="L107" s="743">
        <f t="shared" si="9"/>
        <v>0.92295825515150209</v>
      </c>
    </row>
    <row r="108" spans="2:12">
      <c r="B108" s="746" t="str">
        <f t="shared" si="6"/>
        <v>Biology</v>
      </c>
      <c r="C108" s="742">
        <f t="shared" si="7"/>
        <v>0.93345721234230128</v>
      </c>
      <c r="D108" s="743">
        <f t="shared" ref="D108:L108" si="10">C108</f>
        <v>0.93345721234230128</v>
      </c>
      <c r="E108" s="743">
        <f t="shared" si="10"/>
        <v>0.93345721234230128</v>
      </c>
      <c r="F108" s="743">
        <f t="shared" si="10"/>
        <v>0.93345721234230128</v>
      </c>
      <c r="G108" s="743">
        <f t="shared" si="10"/>
        <v>0.93345721234230128</v>
      </c>
      <c r="H108" s="743">
        <f t="shared" si="10"/>
        <v>0.93345721234230128</v>
      </c>
      <c r="I108" s="743">
        <f t="shared" si="10"/>
        <v>0.93345721234230128</v>
      </c>
      <c r="J108" s="743">
        <f t="shared" si="10"/>
        <v>0.93345721234230128</v>
      </c>
      <c r="K108" s="743">
        <f t="shared" si="10"/>
        <v>0.93345721234230128</v>
      </c>
      <c r="L108" s="743">
        <f t="shared" si="10"/>
        <v>0.93345721234230128</v>
      </c>
    </row>
    <row r="109" spans="2:12">
      <c r="B109" s="746" t="str">
        <f t="shared" si="6"/>
        <v>Business Studies</v>
      </c>
      <c r="C109" s="742">
        <f t="shared" si="7"/>
        <v>0.89903436509185042</v>
      </c>
      <c r="D109" s="743">
        <f t="shared" ref="D109:L109" si="11">C109</f>
        <v>0.89903436509185042</v>
      </c>
      <c r="E109" s="743">
        <f t="shared" si="11"/>
        <v>0.89903436509185042</v>
      </c>
      <c r="F109" s="743">
        <f t="shared" si="11"/>
        <v>0.89903436509185042</v>
      </c>
      <c r="G109" s="743">
        <f t="shared" si="11"/>
        <v>0.89903436509185042</v>
      </c>
      <c r="H109" s="743">
        <f t="shared" si="11"/>
        <v>0.89903436509185042</v>
      </c>
      <c r="I109" s="743">
        <f t="shared" si="11"/>
        <v>0.89903436509185042</v>
      </c>
      <c r="J109" s="743">
        <f t="shared" si="11"/>
        <v>0.89903436509185042</v>
      </c>
      <c r="K109" s="743">
        <f t="shared" si="11"/>
        <v>0.89903436509185042</v>
      </c>
      <c r="L109" s="743">
        <f t="shared" si="11"/>
        <v>0.89903436509185042</v>
      </c>
    </row>
    <row r="110" spans="2:12">
      <c r="B110" s="746" t="str">
        <f t="shared" si="6"/>
        <v>Chemistry</v>
      </c>
      <c r="C110" s="742">
        <f t="shared" si="7"/>
        <v>0.88185171865961465</v>
      </c>
      <c r="D110" s="743">
        <f t="shared" ref="D110:L110" si="12">C110</f>
        <v>0.88185171865961465</v>
      </c>
      <c r="E110" s="743">
        <f t="shared" si="12"/>
        <v>0.88185171865961465</v>
      </c>
      <c r="F110" s="743">
        <f t="shared" si="12"/>
        <v>0.88185171865961465</v>
      </c>
      <c r="G110" s="743">
        <f t="shared" si="12"/>
        <v>0.88185171865961465</v>
      </c>
      <c r="H110" s="743">
        <f t="shared" si="12"/>
        <v>0.88185171865961465</v>
      </c>
      <c r="I110" s="743">
        <f t="shared" si="12"/>
        <v>0.88185171865961465</v>
      </c>
      <c r="J110" s="743">
        <f t="shared" si="12"/>
        <v>0.88185171865961465</v>
      </c>
      <c r="K110" s="743">
        <f t="shared" si="12"/>
        <v>0.88185171865961465</v>
      </c>
      <c r="L110" s="743">
        <f t="shared" si="12"/>
        <v>0.88185171865961465</v>
      </c>
    </row>
    <row r="111" spans="2:12">
      <c r="B111" s="746" t="str">
        <f t="shared" si="6"/>
        <v>Classics</v>
      </c>
      <c r="C111" s="742">
        <f t="shared" si="7"/>
        <v>0.81221849084909792</v>
      </c>
      <c r="D111" s="743">
        <f t="shared" ref="D111:L111" si="13">C111</f>
        <v>0.81221849084909792</v>
      </c>
      <c r="E111" s="743">
        <f t="shared" si="13"/>
        <v>0.81221849084909792</v>
      </c>
      <c r="F111" s="743">
        <f t="shared" si="13"/>
        <v>0.81221849084909792</v>
      </c>
      <c r="G111" s="743">
        <f t="shared" si="13"/>
        <v>0.81221849084909792</v>
      </c>
      <c r="H111" s="743">
        <f t="shared" si="13"/>
        <v>0.81221849084909792</v>
      </c>
      <c r="I111" s="743">
        <f t="shared" si="13"/>
        <v>0.81221849084909792</v>
      </c>
      <c r="J111" s="743">
        <f t="shared" si="13"/>
        <v>0.81221849084909792</v>
      </c>
      <c r="K111" s="743">
        <f t="shared" si="13"/>
        <v>0.81221849084909792</v>
      </c>
      <c r="L111" s="743">
        <f t="shared" si="13"/>
        <v>0.81221849084909792</v>
      </c>
    </row>
    <row r="112" spans="2:12">
      <c r="B112" s="746" t="str">
        <f t="shared" si="6"/>
        <v>Computing</v>
      </c>
      <c r="C112" s="742">
        <f t="shared" si="7"/>
        <v>0.85934535104364329</v>
      </c>
      <c r="D112" s="743">
        <f t="shared" ref="D112:L112" si="14">C112</f>
        <v>0.85934535104364329</v>
      </c>
      <c r="E112" s="743">
        <f t="shared" si="14"/>
        <v>0.85934535104364329</v>
      </c>
      <c r="F112" s="743">
        <f t="shared" si="14"/>
        <v>0.85934535104364329</v>
      </c>
      <c r="G112" s="743">
        <f t="shared" si="14"/>
        <v>0.85934535104364329</v>
      </c>
      <c r="H112" s="743">
        <f t="shared" si="14"/>
        <v>0.85934535104364329</v>
      </c>
      <c r="I112" s="743">
        <f t="shared" si="14"/>
        <v>0.85934535104364329</v>
      </c>
      <c r="J112" s="743">
        <f t="shared" si="14"/>
        <v>0.85934535104364329</v>
      </c>
      <c r="K112" s="743">
        <f t="shared" si="14"/>
        <v>0.85934535104364329</v>
      </c>
      <c r="L112" s="743">
        <f t="shared" si="14"/>
        <v>0.85934535104364329</v>
      </c>
    </row>
    <row r="113" spans="2:12">
      <c r="B113" s="746" t="str">
        <f t="shared" si="6"/>
        <v>Design &amp; Technology</v>
      </c>
      <c r="C113" s="742">
        <f t="shared" si="7"/>
        <v>0.91258552375302027</v>
      </c>
      <c r="D113" s="743">
        <f t="shared" ref="D113:L113" si="15">C113</f>
        <v>0.91258552375302027</v>
      </c>
      <c r="E113" s="743">
        <f t="shared" si="15"/>
        <v>0.91258552375302027</v>
      </c>
      <c r="F113" s="743">
        <f t="shared" si="15"/>
        <v>0.91258552375302027</v>
      </c>
      <c r="G113" s="743">
        <f t="shared" si="15"/>
        <v>0.91258552375302027</v>
      </c>
      <c r="H113" s="743">
        <f t="shared" si="15"/>
        <v>0.91258552375302027</v>
      </c>
      <c r="I113" s="743">
        <f t="shared" si="15"/>
        <v>0.91258552375302027</v>
      </c>
      <c r="J113" s="743">
        <f t="shared" si="15"/>
        <v>0.91258552375302027</v>
      </c>
      <c r="K113" s="743">
        <f t="shared" si="15"/>
        <v>0.91258552375302027</v>
      </c>
      <c r="L113" s="743">
        <f t="shared" si="15"/>
        <v>0.91258552375302027</v>
      </c>
    </row>
    <row r="114" spans="2:12">
      <c r="B114" s="746" t="str">
        <f t="shared" si="6"/>
        <v>Drama</v>
      </c>
      <c r="C114" s="742">
        <f t="shared" si="7"/>
        <v>0.93265320816294772</v>
      </c>
      <c r="D114" s="743">
        <f t="shared" ref="D114:L114" si="16">C114</f>
        <v>0.93265320816294772</v>
      </c>
      <c r="E114" s="743">
        <f t="shared" si="16"/>
        <v>0.93265320816294772</v>
      </c>
      <c r="F114" s="743">
        <f t="shared" si="16"/>
        <v>0.93265320816294772</v>
      </c>
      <c r="G114" s="743">
        <f t="shared" si="16"/>
        <v>0.93265320816294772</v>
      </c>
      <c r="H114" s="743">
        <f t="shared" si="16"/>
        <v>0.93265320816294772</v>
      </c>
      <c r="I114" s="743">
        <f t="shared" si="16"/>
        <v>0.93265320816294772</v>
      </c>
      <c r="J114" s="743">
        <f t="shared" si="16"/>
        <v>0.93265320816294772</v>
      </c>
      <c r="K114" s="743">
        <f t="shared" si="16"/>
        <v>0.93265320816294772</v>
      </c>
      <c r="L114" s="743">
        <f t="shared" si="16"/>
        <v>0.93265320816294772</v>
      </c>
    </row>
    <row r="115" spans="2:12">
      <c r="B115" s="746" t="str">
        <f t="shared" si="6"/>
        <v>English</v>
      </c>
      <c r="C115" s="742">
        <f t="shared" si="7"/>
        <v>0.90891045160166772</v>
      </c>
      <c r="D115" s="743">
        <f t="shared" ref="D115:L115" si="17">C115</f>
        <v>0.90891045160166772</v>
      </c>
      <c r="E115" s="743">
        <f t="shared" si="17"/>
        <v>0.90891045160166772</v>
      </c>
      <c r="F115" s="743">
        <f t="shared" si="17"/>
        <v>0.90891045160166772</v>
      </c>
      <c r="G115" s="743">
        <f t="shared" si="17"/>
        <v>0.90891045160166772</v>
      </c>
      <c r="H115" s="743">
        <f t="shared" si="17"/>
        <v>0.90891045160166772</v>
      </c>
      <c r="I115" s="743">
        <f t="shared" si="17"/>
        <v>0.90891045160166772</v>
      </c>
      <c r="J115" s="743">
        <f t="shared" si="17"/>
        <v>0.90891045160166772</v>
      </c>
      <c r="K115" s="743">
        <f t="shared" si="17"/>
        <v>0.90891045160166772</v>
      </c>
      <c r="L115" s="743">
        <f t="shared" si="17"/>
        <v>0.90891045160166772</v>
      </c>
    </row>
    <row r="116" spans="2:12">
      <c r="B116" s="746" t="str">
        <f t="shared" si="6"/>
        <v>Food</v>
      </c>
      <c r="C116" s="742">
        <f t="shared" si="7"/>
        <v>0.81221849084909792</v>
      </c>
      <c r="D116" s="743">
        <f t="shared" ref="D116:L116" si="18">C116</f>
        <v>0.81221849084909792</v>
      </c>
      <c r="E116" s="743">
        <f t="shared" si="18"/>
        <v>0.81221849084909792</v>
      </c>
      <c r="F116" s="743">
        <f t="shared" si="18"/>
        <v>0.81221849084909792</v>
      </c>
      <c r="G116" s="743">
        <f t="shared" si="18"/>
        <v>0.81221849084909792</v>
      </c>
      <c r="H116" s="743">
        <f t="shared" si="18"/>
        <v>0.81221849084909792</v>
      </c>
      <c r="I116" s="743">
        <f t="shared" si="18"/>
        <v>0.81221849084909792</v>
      </c>
      <c r="J116" s="743">
        <f t="shared" si="18"/>
        <v>0.81221849084909792</v>
      </c>
      <c r="K116" s="743">
        <f t="shared" si="18"/>
        <v>0.81221849084909792</v>
      </c>
      <c r="L116" s="743">
        <f t="shared" si="18"/>
        <v>0.81221849084909792</v>
      </c>
    </row>
    <row r="117" spans="2:12">
      <c r="B117" s="746" t="str">
        <f t="shared" si="6"/>
        <v>Geography</v>
      </c>
      <c r="C117" s="742">
        <f t="shared" si="7"/>
        <v>0.93042615596963429</v>
      </c>
      <c r="D117" s="743">
        <f t="shared" ref="D117:L117" si="19">C117</f>
        <v>0.93042615596963429</v>
      </c>
      <c r="E117" s="743">
        <f t="shared" si="19"/>
        <v>0.93042615596963429</v>
      </c>
      <c r="F117" s="743">
        <f t="shared" si="19"/>
        <v>0.93042615596963429</v>
      </c>
      <c r="G117" s="743">
        <f t="shared" si="19"/>
        <v>0.93042615596963429</v>
      </c>
      <c r="H117" s="743">
        <f t="shared" si="19"/>
        <v>0.93042615596963429</v>
      </c>
      <c r="I117" s="743">
        <f t="shared" si="19"/>
        <v>0.93042615596963429</v>
      </c>
      <c r="J117" s="743">
        <f t="shared" si="19"/>
        <v>0.93042615596963429</v>
      </c>
      <c r="K117" s="743">
        <f t="shared" si="19"/>
        <v>0.93042615596963429</v>
      </c>
      <c r="L117" s="743">
        <f t="shared" si="19"/>
        <v>0.93042615596963429</v>
      </c>
    </row>
    <row r="118" spans="2:12">
      <c r="B118" s="746" t="str">
        <f t="shared" si="6"/>
        <v>History</v>
      </c>
      <c r="C118" s="742">
        <f t="shared" si="7"/>
        <v>0.92527113009375483</v>
      </c>
      <c r="D118" s="743">
        <f t="shared" ref="D118:L118" si="20">C118</f>
        <v>0.92527113009375483</v>
      </c>
      <c r="E118" s="743">
        <f t="shared" si="20"/>
        <v>0.92527113009375483</v>
      </c>
      <c r="F118" s="743">
        <f t="shared" si="20"/>
        <v>0.92527113009375483</v>
      </c>
      <c r="G118" s="743">
        <f t="shared" si="20"/>
        <v>0.92527113009375483</v>
      </c>
      <c r="H118" s="743">
        <f t="shared" si="20"/>
        <v>0.92527113009375483</v>
      </c>
      <c r="I118" s="743">
        <f t="shared" si="20"/>
        <v>0.92527113009375483</v>
      </c>
      <c r="J118" s="743">
        <f t="shared" si="20"/>
        <v>0.92527113009375483</v>
      </c>
      <c r="K118" s="743">
        <f t="shared" si="20"/>
        <v>0.92527113009375483</v>
      </c>
      <c r="L118" s="743">
        <f t="shared" si="20"/>
        <v>0.92527113009375483</v>
      </c>
    </row>
    <row r="119" spans="2:12">
      <c r="B119" s="746" t="str">
        <f t="shared" si="6"/>
        <v>Mathematics</v>
      </c>
      <c r="C119" s="742">
        <f t="shared" si="7"/>
        <v>0.88802330988697831</v>
      </c>
      <c r="D119" s="743">
        <f t="shared" ref="D119:L119" si="21">C119</f>
        <v>0.88802330988697831</v>
      </c>
      <c r="E119" s="743">
        <f t="shared" si="21"/>
        <v>0.88802330988697831</v>
      </c>
      <c r="F119" s="743">
        <f t="shared" si="21"/>
        <v>0.88802330988697831</v>
      </c>
      <c r="G119" s="743">
        <f t="shared" si="21"/>
        <v>0.88802330988697831</v>
      </c>
      <c r="H119" s="743">
        <f t="shared" si="21"/>
        <v>0.88802330988697831</v>
      </c>
      <c r="I119" s="743">
        <f t="shared" si="21"/>
        <v>0.88802330988697831</v>
      </c>
      <c r="J119" s="743">
        <f t="shared" si="21"/>
        <v>0.88802330988697831</v>
      </c>
      <c r="K119" s="743">
        <f t="shared" si="21"/>
        <v>0.88802330988697831</v>
      </c>
      <c r="L119" s="743">
        <f t="shared" si="21"/>
        <v>0.88802330988697831</v>
      </c>
    </row>
    <row r="120" spans="2:12">
      <c r="B120" s="746" t="str">
        <f t="shared" si="6"/>
        <v>Modern Foreign Languages</v>
      </c>
      <c r="C120" s="742">
        <f t="shared" si="7"/>
        <v>0.8974279891326703</v>
      </c>
      <c r="D120" s="743">
        <f t="shared" ref="D120:L120" si="22">C120</f>
        <v>0.8974279891326703</v>
      </c>
      <c r="E120" s="743">
        <f t="shared" si="22"/>
        <v>0.8974279891326703</v>
      </c>
      <c r="F120" s="743">
        <f t="shared" si="22"/>
        <v>0.8974279891326703</v>
      </c>
      <c r="G120" s="743">
        <f t="shared" si="22"/>
        <v>0.8974279891326703</v>
      </c>
      <c r="H120" s="743">
        <f t="shared" si="22"/>
        <v>0.8974279891326703</v>
      </c>
      <c r="I120" s="743">
        <f t="shared" si="22"/>
        <v>0.8974279891326703</v>
      </c>
      <c r="J120" s="743">
        <f t="shared" si="22"/>
        <v>0.8974279891326703</v>
      </c>
      <c r="K120" s="743">
        <f t="shared" si="22"/>
        <v>0.8974279891326703</v>
      </c>
      <c r="L120" s="743">
        <f t="shared" si="22"/>
        <v>0.8974279891326703</v>
      </c>
    </row>
    <row r="121" spans="2:12">
      <c r="B121" s="746" t="str">
        <f t="shared" si="6"/>
        <v>Music</v>
      </c>
      <c r="C121" s="742">
        <f t="shared" si="7"/>
        <v>0.9265320910973085</v>
      </c>
      <c r="D121" s="743">
        <f t="shared" ref="D121:L121" si="23">C121</f>
        <v>0.9265320910973085</v>
      </c>
      <c r="E121" s="743">
        <f t="shared" si="23"/>
        <v>0.9265320910973085</v>
      </c>
      <c r="F121" s="743">
        <f t="shared" si="23"/>
        <v>0.9265320910973085</v>
      </c>
      <c r="G121" s="743">
        <f t="shared" si="23"/>
        <v>0.9265320910973085</v>
      </c>
      <c r="H121" s="743">
        <f t="shared" si="23"/>
        <v>0.9265320910973085</v>
      </c>
      <c r="I121" s="743">
        <f t="shared" si="23"/>
        <v>0.9265320910973085</v>
      </c>
      <c r="J121" s="743">
        <f t="shared" si="23"/>
        <v>0.9265320910973085</v>
      </c>
      <c r="K121" s="743">
        <f t="shared" si="23"/>
        <v>0.9265320910973085</v>
      </c>
      <c r="L121" s="743">
        <f t="shared" si="23"/>
        <v>0.9265320910973085</v>
      </c>
    </row>
    <row r="122" spans="2:12">
      <c r="B122" s="746" t="str">
        <f t="shared" si="6"/>
        <v>Others</v>
      </c>
      <c r="C122" s="742">
        <f t="shared" si="7"/>
        <v>0.88262376956884969</v>
      </c>
      <c r="D122" s="743">
        <f t="shared" ref="D122:L122" si="24">C122</f>
        <v>0.88262376956884969</v>
      </c>
      <c r="E122" s="743">
        <f t="shared" si="24"/>
        <v>0.88262376956884969</v>
      </c>
      <c r="F122" s="743">
        <f t="shared" si="24"/>
        <v>0.88262376956884969</v>
      </c>
      <c r="G122" s="743">
        <f t="shared" si="24"/>
        <v>0.88262376956884969</v>
      </c>
      <c r="H122" s="743">
        <f t="shared" si="24"/>
        <v>0.88262376956884969</v>
      </c>
      <c r="I122" s="743">
        <f t="shared" si="24"/>
        <v>0.88262376956884969</v>
      </c>
      <c r="J122" s="743">
        <f t="shared" si="24"/>
        <v>0.88262376956884969</v>
      </c>
      <c r="K122" s="743">
        <f t="shared" si="24"/>
        <v>0.88262376956884969</v>
      </c>
      <c r="L122" s="743">
        <f t="shared" si="24"/>
        <v>0.88262376956884969</v>
      </c>
    </row>
    <row r="123" spans="2:12">
      <c r="B123" s="746" t="str">
        <f t="shared" si="6"/>
        <v>Physical Education</v>
      </c>
      <c r="C123" s="742">
        <f t="shared" si="7"/>
        <v>0.94857884127932124</v>
      </c>
      <c r="D123" s="743">
        <f t="shared" ref="D123:L123" si="25">C123</f>
        <v>0.94857884127932124</v>
      </c>
      <c r="E123" s="743">
        <f t="shared" si="25"/>
        <v>0.94857884127932124</v>
      </c>
      <c r="F123" s="743">
        <f t="shared" si="25"/>
        <v>0.94857884127932124</v>
      </c>
      <c r="G123" s="743">
        <f t="shared" si="25"/>
        <v>0.94857884127932124</v>
      </c>
      <c r="H123" s="743">
        <f t="shared" si="25"/>
        <v>0.94857884127932124</v>
      </c>
      <c r="I123" s="743">
        <f t="shared" si="25"/>
        <v>0.94857884127932124</v>
      </c>
      <c r="J123" s="743">
        <f t="shared" si="25"/>
        <v>0.94857884127932124</v>
      </c>
      <c r="K123" s="743">
        <f t="shared" si="25"/>
        <v>0.94857884127932124</v>
      </c>
      <c r="L123" s="743">
        <f t="shared" si="25"/>
        <v>0.94857884127932124</v>
      </c>
    </row>
    <row r="124" spans="2:12">
      <c r="B124" s="746" t="str">
        <f t="shared" si="6"/>
        <v>Physics</v>
      </c>
      <c r="C124" s="742">
        <f t="shared" si="7"/>
        <v>0.8935458623830459</v>
      </c>
      <c r="D124" s="743">
        <f t="shared" ref="D124:L124" si="26">C124</f>
        <v>0.8935458623830459</v>
      </c>
      <c r="E124" s="743">
        <f t="shared" si="26"/>
        <v>0.8935458623830459</v>
      </c>
      <c r="F124" s="743">
        <f t="shared" si="26"/>
        <v>0.8935458623830459</v>
      </c>
      <c r="G124" s="743">
        <f t="shared" si="26"/>
        <v>0.8935458623830459</v>
      </c>
      <c r="H124" s="743">
        <f t="shared" si="26"/>
        <v>0.8935458623830459</v>
      </c>
      <c r="I124" s="743">
        <f t="shared" si="26"/>
        <v>0.8935458623830459</v>
      </c>
      <c r="J124" s="743">
        <f t="shared" si="26"/>
        <v>0.8935458623830459</v>
      </c>
      <c r="K124" s="743">
        <f t="shared" si="26"/>
        <v>0.8935458623830459</v>
      </c>
      <c r="L124" s="743">
        <f t="shared" si="26"/>
        <v>0.8935458623830459</v>
      </c>
    </row>
    <row r="125" spans="2:12">
      <c r="B125" s="746" t="str">
        <f t="shared" si="6"/>
        <v>Religious Education</v>
      </c>
      <c r="C125" s="742">
        <f t="shared" si="7"/>
        <v>0.89654943358782835</v>
      </c>
      <c r="D125" s="743">
        <f t="shared" ref="D125:L125" si="27">C125</f>
        <v>0.89654943358782835</v>
      </c>
      <c r="E125" s="743">
        <f t="shared" si="27"/>
        <v>0.89654943358782835</v>
      </c>
      <c r="F125" s="743">
        <f t="shared" si="27"/>
        <v>0.89654943358782835</v>
      </c>
      <c r="G125" s="743">
        <f t="shared" si="27"/>
        <v>0.89654943358782835</v>
      </c>
      <c r="H125" s="743">
        <f t="shared" si="27"/>
        <v>0.89654943358782835</v>
      </c>
      <c r="I125" s="743">
        <f t="shared" si="27"/>
        <v>0.89654943358782835</v>
      </c>
      <c r="J125" s="743">
        <f t="shared" si="27"/>
        <v>0.89654943358782835</v>
      </c>
      <c r="K125" s="743">
        <f t="shared" si="27"/>
        <v>0.89654943358782835</v>
      </c>
      <c r="L125" s="743">
        <f t="shared" si="27"/>
        <v>0.89654943358782835</v>
      </c>
    </row>
    <row r="127" spans="2:12">
      <c r="B127" s="748" t="s">
        <v>682</v>
      </c>
      <c r="C127" s="731"/>
      <c r="D127" s="731"/>
      <c r="E127" s="731"/>
      <c r="F127" s="731"/>
      <c r="G127" s="731"/>
      <c r="H127" s="731"/>
      <c r="I127" s="731"/>
      <c r="J127" s="731"/>
      <c r="K127" s="731"/>
      <c r="L127" s="731"/>
    </row>
    <row r="129" spans="2:12">
      <c r="B129" s="730" t="str">
        <f t="shared" ref="B129:L129" si="28">B105</f>
        <v>Subject</v>
      </c>
      <c r="C129" s="729" t="str">
        <f t="shared" si="28"/>
        <v>2017/18</v>
      </c>
      <c r="D129" s="729" t="str">
        <f t="shared" si="28"/>
        <v>2018/19</v>
      </c>
      <c r="E129" s="729" t="str">
        <f t="shared" si="28"/>
        <v>2019/20</v>
      </c>
      <c r="F129" s="729" t="str">
        <f t="shared" si="28"/>
        <v>2020/21</v>
      </c>
      <c r="G129" s="729" t="str">
        <f t="shared" si="28"/>
        <v>2021/22</v>
      </c>
      <c r="H129" s="729" t="str">
        <f t="shared" si="28"/>
        <v>2022/23</v>
      </c>
      <c r="I129" s="729" t="str">
        <f t="shared" si="28"/>
        <v>2023/24</v>
      </c>
      <c r="J129" s="729" t="str">
        <f t="shared" si="28"/>
        <v>2024/25</v>
      </c>
      <c r="K129" s="729" t="str">
        <f t="shared" si="28"/>
        <v>2025/26</v>
      </c>
      <c r="L129" s="729" t="str">
        <f t="shared" si="28"/>
        <v>2026/27</v>
      </c>
    </row>
    <row r="130" spans="2:12">
      <c r="B130" s="730" t="str">
        <f t="shared" ref="B130:B149" si="29">B106</f>
        <v>Primary</v>
      </c>
      <c r="C130" s="742">
        <f t="shared" ref="C130:C149" si="30">E22</f>
        <v>0.8889564402392216</v>
      </c>
      <c r="D130" s="743">
        <f>C130</f>
        <v>0.8889564402392216</v>
      </c>
      <c r="E130" s="743">
        <f t="shared" ref="E130:L130" si="31">D130</f>
        <v>0.8889564402392216</v>
      </c>
      <c r="F130" s="743">
        <f t="shared" si="31"/>
        <v>0.8889564402392216</v>
      </c>
      <c r="G130" s="743">
        <f t="shared" si="31"/>
        <v>0.8889564402392216</v>
      </c>
      <c r="H130" s="743">
        <f t="shared" si="31"/>
        <v>0.8889564402392216</v>
      </c>
      <c r="I130" s="743">
        <f t="shared" si="31"/>
        <v>0.8889564402392216</v>
      </c>
      <c r="J130" s="743">
        <f t="shared" si="31"/>
        <v>0.8889564402392216</v>
      </c>
      <c r="K130" s="743">
        <f t="shared" si="31"/>
        <v>0.8889564402392216</v>
      </c>
      <c r="L130" s="743">
        <f t="shared" si="31"/>
        <v>0.8889564402392216</v>
      </c>
    </row>
    <row r="131" spans="2:12">
      <c r="B131" s="730" t="str">
        <f t="shared" si="29"/>
        <v>Art &amp; Design</v>
      </c>
      <c r="C131" s="742">
        <f t="shared" si="30"/>
        <v>0.9198829039812646</v>
      </c>
      <c r="D131" s="743">
        <f t="shared" ref="D131:L131" si="32">C131</f>
        <v>0.9198829039812646</v>
      </c>
      <c r="E131" s="743">
        <f t="shared" si="32"/>
        <v>0.9198829039812646</v>
      </c>
      <c r="F131" s="743">
        <f t="shared" si="32"/>
        <v>0.9198829039812646</v>
      </c>
      <c r="G131" s="743">
        <f t="shared" si="32"/>
        <v>0.9198829039812646</v>
      </c>
      <c r="H131" s="743">
        <f t="shared" si="32"/>
        <v>0.9198829039812646</v>
      </c>
      <c r="I131" s="743">
        <f t="shared" si="32"/>
        <v>0.9198829039812646</v>
      </c>
      <c r="J131" s="743">
        <f t="shared" si="32"/>
        <v>0.9198829039812646</v>
      </c>
      <c r="K131" s="743">
        <f t="shared" si="32"/>
        <v>0.9198829039812646</v>
      </c>
      <c r="L131" s="743">
        <f t="shared" si="32"/>
        <v>0.9198829039812646</v>
      </c>
    </row>
    <row r="132" spans="2:12">
      <c r="B132" s="746" t="str">
        <f t="shared" si="29"/>
        <v>Biology</v>
      </c>
      <c r="C132" s="742">
        <f t="shared" si="30"/>
        <v>0.82330924855491328</v>
      </c>
      <c r="D132" s="743">
        <f t="shared" ref="D132:L132" si="33">C132</f>
        <v>0.82330924855491328</v>
      </c>
      <c r="E132" s="743">
        <f t="shared" si="33"/>
        <v>0.82330924855491328</v>
      </c>
      <c r="F132" s="743">
        <f t="shared" si="33"/>
        <v>0.82330924855491328</v>
      </c>
      <c r="G132" s="743">
        <f t="shared" si="33"/>
        <v>0.82330924855491328</v>
      </c>
      <c r="H132" s="743">
        <f t="shared" si="33"/>
        <v>0.82330924855491328</v>
      </c>
      <c r="I132" s="743">
        <f t="shared" si="33"/>
        <v>0.82330924855491328</v>
      </c>
      <c r="J132" s="743">
        <f t="shared" si="33"/>
        <v>0.82330924855491328</v>
      </c>
      <c r="K132" s="743">
        <f t="shared" si="33"/>
        <v>0.82330924855491328</v>
      </c>
      <c r="L132" s="743">
        <f t="shared" si="33"/>
        <v>0.82330924855491328</v>
      </c>
    </row>
    <row r="133" spans="2:12">
      <c r="B133" s="746" t="str">
        <f t="shared" si="29"/>
        <v>Business Studies</v>
      </c>
      <c r="C133" s="742">
        <f t="shared" si="30"/>
        <v>0.99009592526642132</v>
      </c>
      <c r="D133" s="743">
        <f t="shared" ref="D133:L133" si="34">C133</f>
        <v>0.99009592526642132</v>
      </c>
      <c r="E133" s="743">
        <f t="shared" si="34"/>
        <v>0.99009592526642132</v>
      </c>
      <c r="F133" s="743">
        <f t="shared" si="34"/>
        <v>0.99009592526642132</v>
      </c>
      <c r="G133" s="743">
        <f t="shared" si="34"/>
        <v>0.99009592526642132</v>
      </c>
      <c r="H133" s="743">
        <f t="shared" si="34"/>
        <v>0.99009592526642132</v>
      </c>
      <c r="I133" s="743">
        <f t="shared" si="34"/>
        <v>0.99009592526642132</v>
      </c>
      <c r="J133" s="743">
        <f t="shared" si="34"/>
        <v>0.99009592526642132</v>
      </c>
      <c r="K133" s="743">
        <f t="shared" si="34"/>
        <v>0.99009592526642132</v>
      </c>
      <c r="L133" s="743">
        <f t="shared" si="34"/>
        <v>0.99009592526642132</v>
      </c>
    </row>
    <row r="134" spans="2:12">
      <c r="B134" s="746" t="str">
        <f t="shared" si="29"/>
        <v>Chemistry</v>
      </c>
      <c r="C134" s="742">
        <f t="shared" si="30"/>
        <v>0.86057692307692302</v>
      </c>
      <c r="D134" s="743">
        <f t="shared" ref="D134:L134" si="35">C134</f>
        <v>0.86057692307692302</v>
      </c>
      <c r="E134" s="743">
        <f t="shared" si="35"/>
        <v>0.86057692307692302</v>
      </c>
      <c r="F134" s="743">
        <f t="shared" si="35"/>
        <v>0.86057692307692302</v>
      </c>
      <c r="G134" s="743">
        <f t="shared" si="35"/>
        <v>0.86057692307692302</v>
      </c>
      <c r="H134" s="743">
        <f t="shared" si="35"/>
        <v>0.86057692307692302</v>
      </c>
      <c r="I134" s="743">
        <f t="shared" si="35"/>
        <v>0.86057692307692302</v>
      </c>
      <c r="J134" s="743">
        <f t="shared" si="35"/>
        <v>0.86057692307692302</v>
      </c>
      <c r="K134" s="743">
        <f t="shared" si="35"/>
        <v>0.86057692307692302</v>
      </c>
      <c r="L134" s="743">
        <f t="shared" si="35"/>
        <v>0.86057692307692302</v>
      </c>
    </row>
    <row r="135" spans="2:12">
      <c r="B135" s="746" t="str">
        <f t="shared" si="29"/>
        <v>Classics</v>
      </c>
      <c r="C135" s="742">
        <f t="shared" si="30"/>
        <v>0.79009592526642136</v>
      </c>
      <c r="D135" s="743">
        <f t="shared" ref="D135:L135" si="36">C135</f>
        <v>0.79009592526642136</v>
      </c>
      <c r="E135" s="743">
        <f t="shared" si="36"/>
        <v>0.79009592526642136</v>
      </c>
      <c r="F135" s="743">
        <f t="shared" si="36"/>
        <v>0.79009592526642136</v>
      </c>
      <c r="G135" s="743">
        <f t="shared" si="36"/>
        <v>0.79009592526642136</v>
      </c>
      <c r="H135" s="743">
        <f t="shared" si="36"/>
        <v>0.79009592526642136</v>
      </c>
      <c r="I135" s="743">
        <f t="shared" si="36"/>
        <v>0.79009592526642136</v>
      </c>
      <c r="J135" s="743">
        <f t="shared" si="36"/>
        <v>0.79009592526642136</v>
      </c>
      <c r="K135" s="743">
        <f t="shared" si="36"/>
        <v>0.79009592526642136</v>
      </c>
      <c r="L135" s="743">
        <f t="shared" si="36"/>
        <v>0.79009592526642136</v>
      </c>
    </row>
    <row r="136" spans="2:12">
      <c r="B136" s="746" t="str">
        <f t="shared" si="29"/>
        <v>Computing</v>
      </c>
      <c r="C136" s="742">
        <f t="shared" si="30"/>
        <v>0.82399999999999995</v>
      </c>
      <c r="D136" s="743">
        <f t="shared" ref="D136:L136" si="37">C136</f>
        <v>0.82399999999999995</v>
      </c>
      <c r="E136" s="743">
        <f t="shared" si="37"/>
        <v>0.82399999999999995</v>
      </c>
      <c r="F136" s="743">
        <f t="shared" si="37"/>
        <v>0.82399999999999995</v>
      </c>
      <c r="G136" s="743">
        <f t="shared" si="37"/>
        <v>0.82399999999999995</v>
      </c>
      <c r="H136" s="743">
        <f t="shared" si="37"/>
        <v>0.82399999999999995</v>
      </c>
      <c r="I136" s="743">
        <f t="shared" si="37"/>
        <v>0.82399999999999995</v>
      </c>
      <c r="J136" s="743">
        <f t="shared" si="37"/>
        <v>0.82399999999999995</v>
      </c>
      <c r="K136" s="743">
        <f t="shared" si="37"/>
        <v>0.82399999999999995</v>
      </c>
      <c r="L136" s="743">
        <f t="shared" si="37"/>
        <v>0.82399999999999995</v>
      </c>
    </row>
    <row r="137" spans="2:12">
      <c r="B137" s="746" t="str">
        <f t="shared" si="29"/>
        <v>Design &amp; Technology</v>
      </c>
      <c r="C137" s="742">
        <f t="shared" si="30"/>
        <v>0.79009592526642136</v>
      </c>
      <c r="D137" s="743">
        <f t="shared" ref="D137:L137" si="38">C137</f>
        <v>0.79009592526642136</v>
      </c>
      <c r="E137" s="743">
        <f t="shared" si="38"/>
        <v>0.79009592526642136</v>
      </c>
      <c r="F137" s="743">
        <f t="shared" si="38"/>
        <v>0.79009592526642136</v>
      </c>
      <c r="G137" s="743">
        <f t="shared" si="38"/>
        <v>0.79009592526642136</v>
      </c>
      <c r="H137" s="743">
        <f t="shared" si="38"/>
        <v>0.79009592526642136</v>
      </c>
      <c r="I137" s="743">
        <f t="shared" si="38"/>
        <v>0.79009592526642136</v>
      </c>
      <c r="J137" s="743">
        <f t="shared" si="38"/>
        <v>0.79009592526642136</v>
      </c>
      <c r="K137" s="743">
        <f t="shared" si="38"/>
        <v>0.79009592526642136</v>
      </c>
      <c r="L137" s="743">
        <f t="shared" si="38"/>
        <v>0.79009592526642136</v>
      </c>
    </row>
    <row r="138" spans="2:12">
      <c r="B138" s="746" t="str">
        <f t="shared" si="29"/>
        <v>Drama</v>
      </c>
      <c r="C138" s="742">
        <f t="shared" si="30"/>
        <v>0.88679999999999992</v>
      </c>
      <c r="D138" s="743">
        <f t="shared" ref="D138:L138" si="39">C138</f>
        <v>0.88679999999999992</v>
      </c>
      <c r="E138" s="743">
        <f t="shared" si="39"/>
        <v>0.88679999999999992</v>
      </c>
      <c r="F138" s="743">
        <f t="shared" si="39"/>
        <v>0.88679999999999992</v>
      </c>
      <c r="G138" s="743">
        <f t="shared" si="39"/>
        <v>0.88679999999999992</v>
      </c>
      <c r="H138" s="743">
        <f t="shared" si="39"/>
        <v>0.88679999999999992</v>
      </c>
      <c r="I138" s="743">
        <f t="shared" si="39"/>
        <v>0.88679999999999992</v>
      </c>
      <c r="J138" s="743">
        <f t="shared" si="39"/>
        <v>0.88679999999999992</v>
      </c>
      <c r="K138" s="743">
        <f t="shared" si="39"/>
        <v>0.88679999999999992</v>
      </c>
      <c r="L138" s="743">
        <f t="shared" si="39"/>
        <v>0.88679999999999992</v>
      </c>
    </row>
    <row r="139" spans="2:12">
      <c r="B139" s="746" t="str">
        <f t="shared" si="29"/>
        <v>English</v>
      </c>
      <c r="C139" s="742">
        <f t="shared" si="30"/>
        <v>0.93082688995565976</v>
      </c>
      <c r="D139" s="743">
        <f t="shared" ref="D139:L139" si="40">C139</f>
        <v>0.93082688995565976</v>
      </c>
      <c r="E139" s="743">
        <f t="shared" si="40"/>
        <v>0.93082688995565976</v>
      </c>
      <c r="F139" s="743">
        <f t="shared" si="40"/>
        <v>0.93082688995565976</v>
      </c>
      <c r="G139" s="743">
        <f t="shared" si="40"/>
        <v>0.93082688995565976</v>
      </c>
      <c r="H139" s="743">
        <f t="shared" si="40"/>
        <v>0.93082688995565976</v>
      </c>
      <c r="I139" s="743">
        <f t="shared" si="40"/>
        <v>0.93082688995565976</v>
      </c>
      <c r="J139" s="743">
        <f t="shared" si="40"/>
        <v>0.93082688995565976</v>
      </c>
      <c r="K139" s="743">
        <f t="shared" si="40"/>
        <v>0.93082688995565976</v>
      </c>
      <c r="L139" s="743">
        <f t="shared" si="40"/>
        <v>0.93082688995565976</v>
      </c>
    </row>
    <row r="140" spans="2:12">
      <c r="B140" s="746" t="str">
        <f t="shared" si="29"/>
        <v>Food</v>
      </c>
      <c r="C140" s="742">
        <f t="shared" si="30"/>
        <v>0.79009592526642136</v>
      </c>
      <c r="D140" s="743">
        <f t="shared" ref="D140:L140" si="41">C140</f>
        <v>0.79009592526642136</v>
      </c>
      <c r="E140" s="743">
        <f t="shared" si="41"/>
        <v>0.79009592526642136</v>
      </c>
      <c r="F140" s="743">
        <f t="shared" si="41"/>
        <v>0.79009592526642136</v>
      </c>
      <c r="G140" s="743">
        <f t="shared" si="41"/>
        <v>0.79009592526642136</v>
      </c>
      <c r="H140" s="743">
        <f t="shared" si="41"/>
        <v>0.79009592526642136</v>
      </c>
      <c r="I140" s="743">
        <f t="shared" si="41"/>
        <v>0.79009592526642136</v>
      </c>
      <c r="J140" s="743">
        <f t="shared" si="41"/>
        <v>0.79009592526642136</v>
      </c>
      <c r="K140" s="743">
        <f t="shared" si="41"/>
        <v>0.79009592526642136</v>
      </c>
      <c r="L140" s="743">
        <f t="shared" si="41"/>
        <v>0.79009592526642136</v>
      </c>
    </row>
    <row r="141" spans="2:12">
      <c r="B141" s="746" t="str">
        <f t="shared" si="29"/>
        <v>Geography</v>
      </c>
      <c r="C141" s="742">
        <f t="shared" si="30"/>
        <v>0.79009592526642136</v>
      </c>
      <c r="D141" s="743">
        <f t="shared" ref="D141:L141" si="42">C141</f>
        <v>0.79009592526642136</v>
      </c>
      <c r="E141" s="743">
        <f t="shared" si="42"/>
        <v>0.79009592526642136</v>
      </c>
      <c r="F141" s="743">
        <f t="shared" si="42"/>
        <v>0.79009592526642136</v>
      </c>
      <c r="G141" s="743">
        <f t="shared" si="42"/>
        <v>0.79009592526642136</v>
      </c>
      <c r="H141" s="743">
        <f t="shared" si="42"/>
        <v>0.79009592526642136</v>
      </c>
      <c r="I141" s="743">
        <f t="shared" si="42"/>
        <v>0.79009592526642136</v>
      </c>
      <c r="J141" s="743">
        <f t="shared" si="42"/>
        <v>0.79009592526642136</v>
      </c>
      <c r="K141" s="743">
        <f t="shared" si="42"/>
        <v>0.79009592526642136</v>
      </c>
      <c r="L141" s="743">
        <f t="shared" si="42"/>
        <v>0.79009592526642136</v>
      </c>
    </row>
    <row r="142" spans="2:12">
      <c r="B142" s="746" t="str">
        <f t="shared" si="29"/>
        <v>History</v>
      </c>
      <c r="C142" s="742">
        <f t="shared" si="30"/>
        <v>0.97750000000000004</v>
      </c>
      <c r="D142" s="743">
        <f t="shared" ref="D142:L142" si="43">C142</f>
        <v>0.97750000000000004</v>
      </c>
      <c r="E142" s="743">
        <f t="shared" si="43"/>
        <v>0.97750000000000004</v>
      </c>
      <c r="F142" s="743">
        <f t="shared" si="43"/>
        <v>0.97750000000000004</v>
      </c>
      <c r="G142" s="743">
        <f t="shared" si="43"/>
        <v>0.97750000000000004</v>
      </c>
      <c r="H142" s="743">
        <f t="shared" si="43"/>
        <v>0.97750000000000004</v>
      </c>
      <c r="I142" s="743">
        <f t="shared" si="43"/>
        <v>0.97750000000000004</v>
      </c>
      <c r="J142" s="743">
        <f t="shared" si="43"/>
        <v>0.97750000000000004</v>
      </c>
      <c r="K142" s="743">
        <f t="shared" si="43"/>
        <v>0.97750000000000004</v>
      </c>
      <c r="L142" s="743">
        <f t="shared" si="43"/>
        <v>0.97750000000000004</v>
      </c>
    </row>
    <row r="143" spans="2:12">
      <c r="B143" s="746" t="str">
        <f t="shared" si="29"/>
        <v>Mathematics</v>
      </c>
      <c r="C143" s="742">
        <f t="shared" si="30"/>
        <v>0.87497383280539864</v>
      </c>
      <c r="D143" s="743">
        <f t="shared" ref="D143:L143" si="44">C143</f>
        <v>0.87497383280539864</v>
      </c>
      <c r="E143" s="743">
        <f t="shared" si="44"/>
        <v>0.87497383280539864</v>
      </c>
      <c r="F143" s="743">
        <f t="shared" si="44"/>
        <v>0.87497383280539864</v>
      </c>
      <c r="G143" s="743">
        <f t="shared" si="44"/>
        <v>0.87497383280539864</v>
      </c>
      <c r="H143" s="743">
        <f t="shared" si="44"/>
        <v>0.87497383280539864</v>
      </c>
      <c r="I143" s="743">
        <f t="shared" si="44"/>
        <v>0.87497383280539864</v>
      </c>
      <c r="J143" s="743">
        <f t="shared" si="44"/>
        <v>0.87497383280539864</v>
      </c>
      <c r="K143" s="743">
        <f t="shared" si="44"/>
        <v>0.87497383280539864</v>
      </c>
      <c r="L143" s="743">
        <f t="shared" si="44"/>
        <v>0.87497383280539864</v>
      </c>
    </row>
    <row r="144" spans="2:12">
      <c r="B144" s="746" t="str">
        <f t="shared" si="29"/>
        <v>Modern Foreign Languages</v>
      </c>
      <c r="C144" s="742">
        <f t="shared" si="30"/>
        <v>0.868024193548387</v>
      </c>
      <c r="D144" s="743">
        <f t="shared" ref="D144:L144" si="45">C144</f>
        <v>0.868024193548387</v>
      </c>
      <c r="E144" s="743">
        <f t="shared" si="45"/>
        <v>0.868024193548387</v>
      </c>
      <c r="F144" s="743">
        <f t="shared" si="45"/>
        <v>0.868024193548387</v>
      </c>
      <c r="G144" s="743">
        <f t="shared" si="45"/>
        <v>0.868024193548387</v>
      </c>
      <c r="H144" s="743">
        <f t="shared" si="45"/>
        <v>0.868024193548387</v>
      </c>
      <c r="I144" s="743">
        <f t="shared" si="45"/>
        <v>0.868024193548387</v>
      </c>
      <c r="J144" s="743">
        <f t="shared" si="45"/>
        <v>0.868024193548387</v>
      </c>
      <c r="K144" s="743">
        <f t="shared" si="45"/>
        <v>0.868024193548387</v>
      </c>
      <c r="L144" s="743">
        <f t="shared" si="45"/>
        <v>0.868024193548387</v>
      </c>
    </row>
    <row r="145" spans="2:12">
      <c r="B145" s="746" t="str">
        <f t="shared" si="29"/>
        <v>Music</v>
      </c>
      <c r="C145" s="742">
        <f t="shared" si="30"/>
        <v>0.826021505376344</v>
      </c>
      <c r="D145" s="743">
        <f t="shared" ref="D145:L145" si="46">C145</f>
        <v>0.826021505376344</v>
      </c>
      <c r="E145" s="743">
        <f t="shared" si="46"/>
        <v>0.826021505376344</v>
      </c>
      <c r="F145" s="743">
        <f t="shared" si="46"/>
        <v>0.826021505376344</v>
      </c>
      <c r="G145" s="743">
        <f t="shared" si="46"/>
        <v>0.826021505376344</v>
      </c>
      <c r="H145" s="743">
        <f t="shared" si="46"/>
        <v>0.826021505376344</v>
      </c>
      <c r="I145" s="743">
        <f t="shared" si="46"/>
        <v>0.826021505376344</v>
      </c>
      <c r="J145" s="743">
        <f t="shared" si="46"/>
        <v>0.826021505376344</v>
      </c>
      <c r="K145" s="743">
        <f t="shared" si="46"/>
        <v>0.826021505376344</v>
      </c>
      <c r="L145" s="743">
        <f t="shared" si="46"/>
        <v>0.826021505376344</v>
      </c>
    </row>
    <row r="146" spans="2:12">
      <c r="B146" s="746" t="str">
        <f t="shared" si="29"/>
        <v>Others</v>
      </c>
      <c r="C146" s="742">
        <f t="shared" si="30"/>
        <v>0.93804347826086953</v>
      </c>
      <c r="D146" s="743">
        <f t="shared" ref="D146:L146" si="47">C146</f>
        <v>0.93804347826086953</v>
      </c>
      <c r="E146" s="743">
        <f t="shared" si="47"/>
        <v>0.93804347826086953</v>
      </c>
      <c r="F146" s="743">
        <f t="shared" si="47"/>
        <v>0.93804347826086953</v>
      </c>
      <c r="G146" s="743">
        <f t="shared" si="47"/>
        <v>0.93804347826086953</v>
      </c>
      <c r="H146" s="743">
        <f t="shared" si="47"/>
        <v>0.93804347826086953</v>
      </c>
      <c r="I146" s="743">
        <f t="shared" si="47"/>
        <v>0.93804347826086953</v>
      </c>
      <c r="J146" s="743">
        <f t="shared" si="47"/>
        <v>0.93804347826086953</v>
      </c>
      <c r="K146" s="743">
        <f t="shared" si="47"/>
        <v>0.93804347826086953</v>
      </c>
      <c r="L146" s="743">
        <f t="shared" si="47"/>
        <v>0.93804347826086953</v>
      </c>
    </row>
    <row r="147" spans="2:12">
      <c r="B147" s="746" t="str">
        <f t="shared" si="29"/>
        <v>Physical Education</v>
      </c>
      <c r="C147" s="742">
        <f t="shared" si="30"/>
        <v>0.91079608237066789</v>
      </c>
      <c r="D147" s="743">
        <f t="shared" ref="D147:L147" si="48">C147</f>
        <v>0.91079608237066789</v>
      </c>
      <c r="E147" s="743">
        <f t="shared" si="48"/>
        <v>0.91079608237066789</v>
      </c>
      <c r="F147" s="743">
        <f t="shared" si="48"/>
        <v>0.91079608237066789</v>
      </c>
      <c r="G147" s="743">
        <f t="shared" si="48"/>
        <v>0.91079608237066789</v>
      </c>
      <c r="H147" s="743">
        <f t="shared" si="48"/>
        <v>0.91079608237066789</v>
      </c>
      <c r="I147" s="743">
        <f t="shared" si="48"/>
        <v>0.91079608237066789</v>
      </c>
      <c r="J147" s="743">
        <f t="shared" si="48"/>
        <v>0.91079608237066789</v>
      </c>
      <c r="K147" s="743">
        <f t="shared" si="48"/>
        <v>0.91079608237066789</v>
      </c>
      <c r="L147" s="743">
        <f t="shared" si="48"/>
        <v>0.91079608237066789</v>
      </c>
    </row>
    <row r="148" spans="2:12">
      <c r="B148" s="746" t="str">
        <f t="shared" si="29"/>
        <v>Physics</v>
      </c>
      <c r="C148" s="742">
        <f t="shared" si="30"/>
        <v>0.79009592526642136</v>
      </c>
      <c r="D148" s="743">
        <f t="shared" ref="D148:L148" si="49">C148</f>
        <v>0.79009592526642136</v>
      </c>
      <c r="E148" s="743">
        <f t="shared" si="49"/>
        <v>0.79009592526642136</v>
      </c>
      <c r="F148" s="743">
        <f t="shared" si="49"/>
        <v>0.79009592526642136</v>
      </c>
      <c r="G148" s="743">
        <f t="shared" si="49"/>
        <v>0.79009592526642136</v>
      </c>
      <c r="H148" s="743">
        <f t="shared" si="49"/>
        <v>0.79009592526642136</v>
      </c>
      <c r="I148" s="743">
        <f t="shared" si="49"/>
        <v>0.79009592526642136</v>
      </c>
      <c r="J148" s="743">
        <f t="shared" si="49"/>
        <v>0.79009592526642136</v>
      </c>
      <c r="K148" s="743">
        <f t="shared" si="49"/>
        <v>0.79009592526642136</v>
      </c>
      <c r="L148" s="743">
        <f t="shared" si="49"/>
        <v>0.79009592526642136</v>
      </c>
    </row>
    <row r="149" spans="2:12">
      <c r="B149" s="746" t="str">
        <f t="shared" si="29"/>
        <v>Religious Education</v>
      </c>
      <c r="C149" s="742">
        <f t="shared" si="30"/>
        <v>0.83054347826086949</v>
      </c>
      <c r="D149" s="743">
        <f t="shared" ref="D149:L149" si="50">C149</f>
        <v>0.83054347826086949</v>
      </c>
      <c r="E149" s="743">
        <f t="shared" si="50"/>
        <v>0.83054347826086949</v>
      </c>
      <c r="F149" s="743">
        <f t="shared" si="50"/>
        <v>0.83054347826086949</v>
      </c>
      <c r="G149" s="743">
        <f t="shared" si="50"/>
        <v>0.83054347826086949</v>
      </c>
      <c r="H149" s="743">
        <f t="shared" si="50"/>
        <v>0.83054347826086949</v>
      </c>
      <c r="I149" s="743">
        <f t="shared" si="50"/>
        <v>0.83054347826086949</v>
      </c>
      <c r="J149" s="743">
        <f t="shared" si="50"/>
        <v>0.83054347826086949</v>
      </c>
      <c r="K149" s="743">
        <f t="shared" si="50"/>
        <v>0.83054347826086949</v>
      </c>
      <c r="L149" s="743">
        <f t="shared" si="50"/>
        <v>0.83054347826086949</v>
      </c>
    </row>
    <row r="151" spans="2:12" ht="15.75">
      <c r="B151" s="740" t="s">
        <v>1040</v>
      </c>
      <c r="C151" s="731"/>
      <c r="D151" s="731"/>
      <c r="E151" s="731"/>
      <c r="F151" s="731"/>
      <c r="G151" s="731"/>
      <c r="H151" s="731"/>
      <c r="I151" s="731"/>
      <c r="J151" s="732"/>
      <c r="K151" s="731"/>
      <c r="L151" s="731"/>
    </row>
    <row r="153" spans="2:12">
      <c r="B153" s="748" t="s">
        <v>684</v>
      </c>
      <c r="C153" s="731"/>
      <c r="D153" s="731"/>
      <c r="E153" s="731"/>
      <c r="F153" s="731"/>
      <c r="G153" s="731"/>
      <c r="H153" s="731"/>
      <c r="I153" s="731"/>
      <c r="J153" s="731"/>
      <c r="K153" s="731"/>
      <c r="L153" s="731"/>
    </row>
    <row r="155" spans="2:12">
      <c r="B155" s="746" t="str">
        <f t="shared" ref="B155:L155" si="51">B129</f>
        <v>Subject</v>
      </c>
      <c r="C155" s="729" t="str">
        <f t="shared" si="51"/>
        <v>2017/18</v>
      </c>
      <c r="D155" s="729" t="str">
        <f t="shared" si="51"/>
        <v>2018/19</v>
      </c>
      <c r="E155" s="729" t="str">
        <f t="shared" si="51"/>
        <v>2019/20</v>
      </c>
      <c r="F155" s="729" t="str">
        <f t="shared" si="51"/>
        <v>2020/21</v>
      </c>
      <c r="G155" s="729" t="str">
        <f t="shared" si="51"/>
        <v>2021/22</v>
      </c>
      <c r="H155" s="729" t="str">
        <f t="shared" si="51"/>
        <v>2022/23</v>
      </c>
      <c r="I155" s="729" t="str">
        <f t="shared" si="51"/>
        <v>2023/24</v>
      </c>
      <c r="J155" s="729" t="str">
        <f t="shared" si="51"/>
        <v>2024/25</v>
      </c>
      <c r="K155" s="729" t="str">
        <f t="shared" si="51"/>
        <v>2025/26</v>
      </c>
      <c r="L155" s="729" t="str">
        <f t="shared" si="51"/>
        <v>2026/27</v>
      </c>
    </row>
    <row r="156" spans="2:12">
      <c r="B156" s="746" t="str">
        <f t="shared" ref="B156:B175" si="52">B130</f>
        <v>Primary</v>
      </c>
      <c r="C156" s="742">
        <f t="shared" ref="C156:C175" si="53">F22</f>
        <v>0.83928297218040937</v>
      </c>
      <c r="D156" s="743">
        <f>C156</f>
        <v>0.83928297218040937</v>
      </c>
      <c r="E156" s="743">
        <f t="shared" ref="E156:L156" si="54">D156</f>
        <v>0.83928297218040937</v>
      </c>
      <c r="F156" s="743">
        <f t="shared" si="54"/>
        <v>0.83928297218040937</v>
      </c>
      <c r="G156" s="743">
        <f t="shared" si="54"/>
        <v>0.83928297218040937</v>
      </c>
      <c r="H156" s="743">
        <f t="shared" si="54"/>
        <v>0.83928297218040937</v>
      </c>
      <c r="I156" s="743">
        <f t="shared" si="54"/>
        <v>0.83928297218040937</v>
      </c>
      <c r="J156" s="743">
        <f t="shared" si="54"/>
        <v>0.83928297218040937</v>
      </c>
      <c r="K156" s="743">
        <f t="shared" si="54"/>
        <v>0.83928297218040937</v>
      </c>
      <c r="L156" s="743">
        <f t="shared" si="54"/>
        <v>0.83928297218040937</v>
      </c>
    </row>
    <row r="157" spans="2:12">
      <c r="B157" s="746" t="str">
        <f t="shared" si="52"/>
        <v>Art &amp; Design</v>
      </c>
      <c r="C157" s="742">
        <f t="shared" si="53"/>
        <v>0.78660236593530231</v>
      </c>
      <c r="D157" s="743">
        <f t="shared" ref="D157:L157" si="55">C157</f>
        <v>0.78660236593530231</v>
      </c>
      <c r="E157" s="743">
        <f t="shared" si="55"/>
        <v>0.78660236593530231</v>
      </c>
      <c r="F157" s="743">
        <f t="shared" si="55"/>
        <v>0.78660236593530231</v>
      </c>
      <c r="G157" s="743">
        <f t="shared" si="55"/>
        <v>0.78660236593530231</v>
      </c>
      <c r="H157" s="743">
        <f t="shared" si="55"/>
        <v>0.78660236593530231</v>
      </c>
      <c r="I157" s="743">
        <f t="shared" si="55"/>
        <v>0.78660236593530231</v>
      </c>
      <c r="J157" s="743">
        <f t="shared" si="55"/>
        <v>0.78660236593530231</v>
      </c>
      <c r="K157" s="743">
        <f t="shared" si="55"/>
        <v>0.78660236593530231</v>
      </c>
      <c r="L157" s="743">
        <f t="shared" si="55"/>
        <v>0.78660236593530231</v>
      </c>
    </row>
    <row r="158" spans="2:12">
      <c r="B158" s="746" t="str">
        <f t="shared" si="52"/>
        <v>Biology</v>
      </c>
      <c r="C158" s="742">
        <f t="shared" si="53"/>
        <v>0.77630557603914196</v>
      </c>
      <c r="D158" s="743">
        <f t="shared" ref="D158:L158" si="56">C158</f>
        <v>0.77630557603914196</v>
      </c>
      <c r="E158" s="743">
        <f t="shared" si="56"/>
        <v>0.77630557603914196</v>
      </c>
      <c r="F158" s="743">
        <f t="shared" si="56"/>
        <v>0.77630557603914196</v>
      </c>
      <c r="G158" s="743">
        <f t="shared" si="56"/>
        <v>0.77630557603914196</v>
      </c>
      <c r="H158" s="743">
        <f t="shared" si="56"/>
        <v>0.77630557603914196</v>
      </c>
      <c r="I158" s="743">
        <f t="shared" si="56"/>
        <v>0.77630557603914196</v>
      </c>
      <c r="J158" s="743">
        <f t="shared" si="56"/>
        <v>0.77630557603914196</v>
      </c>
      <c r="K158" s="743">
        <f t="shared" si="56"/>
        <v>0.77630557603914196</v>
      </c>
      <c r="L158" s="743">
        <f t="shared" si="56"/>
        <v>0.77630557603914196</v>
      </c>
    </row>
    <row r="159" spans="2:12">
      <c r="B159" s="746" t="str">
        <f t="shared" si="52"/>
        <v>Business Studies</v>
      </c>
      <c r="C159" s="742">
        <f t="shared" si="53"/>
        <v>0.77066613049513188</v>
      </c>
      <c r="D159" s="743">
        <f t="shared" ref="D159:L159" si="57">C159</f>
        <v>0.77066613049513188</v>
      </c>
      <c r="E159" s="743">
        <f t="shared" si="57"/>
        <v>0.77066613049513188</v>
      </c>
      <c r="F159" s="743">
        <f t="shared" si="57"/>
        <v>0.77066613049513188</v>
      </c>
      <c r="G159" s="743">
        <f t="shared" si="57"/>
        <v>0.77066613049513188</v>
      </c>
      <c r="H159" s="743">
        <f t="shared" si="57"/>
        <v>0.77066613049513188</v>
      </c>
      <c r="I159" s="743">
        <f t="shared" si="57"/>
        <v>0.77066613049513188</v>
      </c>
      <c r="J159" s="743">
        <f t="shared" si="57"/>
        <v>0.77066613049513188</v>
      </c>
      <c r="K159" s="743">
        <f t="shared" si="57"/>
        <v>0.77066613049513188</v>
      </c>
      <c r="L159" s="743">
        <f t="shared" si="57"/>
        <v>0.77066613049513188</v>
      </c>
    </row>
    <row r="160" spans="2:12">
      <c r="B160" s="746" t="str">
        <f t="shared" si="52"/>
        <v>Chemistry</v>
      </c>
      <c r="C160" s="742">
        <f t="shared" si="53"/>
        <v>0.77463926074233702</v>
      </c>
      <c r="D160" s="743">
        <f t="shared" ref="D160:L160" si="58">C160</f>
        <v>0.77463926074233702</v>
      </c>
      <c r="E160" s="743">
        <f t="shared" si="58"/>
        <v>0.77463926074233702</v>
      </c>
      <c r="F160" s="743">
        <f t="shared" si="58"/>
        <v>0.77463926074233702</v>
      </c>
      <c r="G160" s="743">
        <f t="shared" si="58"/>
        <v>0.77463926074233702</v>
      </c>
      <c r="H160" s="743">
        <f t="shared" si="58"/>
        <v>0.77463926074233702</v>
      </c>
      <c r="I160" s="743">
        <f t="shared" si="58"/>
        <v>0.77463926074233702</v>
      </c>
      <c r="J160" s="743">
        <f t="shared" si="58"/>
        <v>0.77463926074233702</v>
      </c>
      <c r="K160" s="743">
        <f t="shared" si="58"/>
        <v>0.77463926074233702</v>
      </c>
      <c r="L160" s="743">
        <f t="shared" si="58"/>
        <v>0.77463926074233702</v>
      </c>
    </row>
    <row r="161" spans="2:12">
      <c r="B161" s="746" t="str">
        <f t="shared" si="52"/>
        <v>Classics</v>
      </c>
      <c r="C161" s="742">
        <f t="shared" si="53"/>
        <v>0.70887633984121257</v>
      </c>
      <c r="D161" s="743">
        <f t="shared" ref="D161:L161" si="59">C161</f>
        <v>0.70887633984121257</v>
      </c>
      <c r="E161" s="743">
        <f t="shared" si="59"/>
        <v>0.70887633984121257</v>
      </c>
      <c r="F161" s="743">
        <f t="shared" si="59"/>
        <v>0.70887633984121257</v>
      </c>
      <c r="G161" s="743">
        <f t="shared" si="59"/>
        <v>0.70887633984121257</v>
      </c>
      <c r="H161" s="743">
        <f t="shared" si="59"/>
        <v>0.70887633984121257</v>
      </c>
      <c r="I161" s="743">
        <f t="shared" si="59"/>
        <v>0.70887633984121257</v>
      </c>
      <c r="J161" s="743">
        <f t="shared" si="59"/>
        <v>0.70887633984121257</v>
      </c>
      <c r="K161" s="743">
        <f t="shared" si="59"/>
        <v>0.70887633984121257</v>
      </c>
      <c r="L161" s="743">
        <f t="shared" si="59"/>
        <v>0.70887633984121257</v>
      </c>
    </row>
    <row r="162" spans="2:12">
      <c r="B162" s="746" t="str">
        <f t="shared" si="52"/>
        <v>Computing</v>
      </c>
      <c r="C162" s="742">
        <f t="shared" si="53"/>
        <v>0.75461185604952075</v>
      </c>
      <c r="D162" s="743">
        <f t="shared" ref="D162:L162" si="60">C162</f>
        <v>0.75461185604952075</v>
      </c>
      <c r="E162" s="743">
        <f t="shared" si="60"/>
        <v>0.75461185604952075</v>
      </c>
      <c r="F162" s="743">
        <f t="shared" si="60"/>
        <v>0.75461185604952075</v>
      </c>
      <c r="G162" s="743">
        <f t="shared" si="60"/>
        <v>0.75461185604952075</v>
      </c>
      <c r="H162" s="743">
        <f t="shared" si="60"/>
        <v>0.75461185604952075</v>
      </c>
      <c r="I162" s="743">
        <f t="shared" si="60"/>
        <v>0.75461185604952075</v>
      </c>
      <c r="J162" s="743">
        <f t="shared" si="60"/>
        <v>0.75461185604952075</v>
      </c>
      <c r="K162" s="743">
        <f t="shared" si="60"/>
        <v>0.75461185604952075</v>
      </c>
      <c r="L162" s="743">
        <f t="shared" si="60"/>
        <v>0.75461185604952075</v>
      </c>
    </row>
    <row r="163" spans="2:12">
      <c r="B163" s="746" t="str">
        <f t="shared" si="52"/>
        <v>Design &amp; Technology</v>
      </c>
      <c r="C163" s="742">
        <f t="shared" si="53"/>
        <v>0.76878652315207763</v>
      </c>
      <c r="D163" s="743">
        <f t="shared" ref="D163:L163" si="61">C163</f>
        <v>0.76878652315207763</v>
      </c>
      <c r="E163" s="743">
        <f t="shared" si="61"/>
        <v>0.76878652315207763</v>
      </c>
      <c r="F163" s="743">
        <f t="shared" si="61"/>
        <v>0.76878652315207763</v>
      </c>
      <c r="G163" s="743">
        <f t="shared" si="61"/>
        <v>0.76878652315207763</v>
      </c>
      <c r="H163" s="743">
        <f t="shared" si="61"/>
        <v>0.76878652315207763</v>
      </c>
      <c r="I163" s="743">
        <f t="shared" si="61"/>
        <v>0.76878652315207763</v>
      </c>
      <c r="J163" s="743">
        <f t="shared" si="61"/>
        <v>0.76878652315207763</v>
      </c>
      <c r="K163" s="743">
        <f t="shared" si="61"/>
        <v>0.76878652315207763</v>
      </c>
      <c r="L163" s="743">
        <f t="shared" si="61"/>
        <v>0.76878652315207763</v>
      </c>
    </row>
    <row r="164" spans="2:12">
      <c r="B164" s="746" t="str">
        <f t="shared" si="52"/>
        <v>Drama</v>
      </c>
      <c r="C164" s="742">
        <f t="shared" si="53"/>
        <v>0.79328432052498199</v>
      </c>
      <c r="D164" s="743">
        <f t="shared" ref="D164:L164" si="62">C164</f>
        <v>0.79328432052498199</v>
      </c>
      <c r="E164" s="743">
        <f t="shared" si="62"/>
        <v>0.79328432052498199</v>
      </c>
      <c r="F164" s="743">
        <f t="shared" si="62"/>
        <v>0.79328432052498199</v>
      </c>
      <c r="G164" s="743">
        <f t="shared" si="62"/>
        <v>0.79328432052498199</v>
      </c>
      <c r="H164" s="743">
        <f t="shared" si="62"/>
        <v>0.79328432052498199</v>
      </c>
      <c r="I164" s="743">
        <f t="shared" si="62"/>
        <v>0.79328432052498199</v>
      </c>
      <c r="J164" s="743">
        <f t="shared" si="62"/>
        <v>0.79328432052498199</v>
      </c>
      <c r="K164" s="743">
        <f t="shared" si="62"/>
        <v>0.79328432052498199</v>
      </c>
      <c r="L164" s="743">
        <f t="shared" si="62"/>
        <v>0.79328432052498199</v>
      </c>
    </row>
    <row r="165" spans="2:12">
      <c r="B165" s="746" t="str">
        <f t="shared" si="52"/>
        <v>English</v>
      </c>
      <c r="C165" s="742">
        <f t="shared" si="53"/>
        <v>0.83124840240454523</v>
      </c>
      <c r="D165" s="743">
        <f t="shared" ref="D165:L165" si="63">C165</f>
        <v>0.83124840240454523</v>
      </c>
      <c r="E165" s="743">
        <f t="shared" si="63"/>
        <v>0.83124840240454523</v>
      </c>
      <c r="F165" s="743">
        <f t="shared" si="63"/>
        <v>0.83124840240454523</v>
      </c>
      <c r="G165" s="743">
        <f t="shared" si="63"/>
        <v>0.83124840240454523</v>
      </c>
      <c r="H165" s="743">
        <f t="shared" si="63"/>
        <v>0.83124840240454523</v>
      </c>
      <c r="I165" s="743">
        <f t="shared" si="63"/>
        <v>0.83124840240454523</v>
      </c>
      <c r="J165" s="743">
        <f t="shared" si="63"/>
        <v>0.83124840240454523</v>
      </c>
      <c r="K165" s="743">
        <f t="shared" si="63"/>
        <v>0.83124840240454523</v>
      </c>
      <c r="L165" s="743">
        <f t="shared" si="63"/>
        <v>0.83124840240454523</v>
      </c>
    </row>
    <row r="166" spans="2:12">
      <c r="B166" s="746" t="str">
        <f t="shared" si="52"/>
        <v>Food</v>
      </c>
      <c r="C166" s="742">
        <f t="shared" si="53"/>
        <v>0.70887633984121257</v>
      </c>
      <c r="D166" s="743">
        <f t="shared" ref="D166:L166" si="64">C166</f>
        <v>0.70887633984121257</v>
      </c>
      <c r="E166" s="743">
        <f t="shared" si="64"/>
        <v>0.70887633984121257</v>
      </c>
      <c r="F166" s="743">
        <f t="shared" si="64"/>
        <v>0.70887633984121257</v>
      </c>
      <c r="G166" s="743">
        <f t="shared" si="64"/>
        <v>0.70887633984121257</v>
      </c>
      <c r="H166" s="743">
        <f t="shared" si="64"/>
        <v>0.70887633984121257</v>
      </c>
      <c r="I166" s="743">
        <f t="shared" si="64"/>
        <v>0.70887633984121257</v>
      </c>
      <c r="J166" s="743">
        <f t="shared" si="64"/>
        <v>0.70887633984121257</v>
      </c>
      <c r="K166" s="743">
        <f t="shared" si="64"/>
        <v>0.70887633984121257</v>
      </c>
      <c r="L166" s="743">
        <f t="shared" si="64"/>
        <v>0.70887633984121257</v>
      </c>
    </row>
    <row r="167" spans="2:12">
      <c r="B167" s="746" t="str">
        <f t="shared" si="52"/>
        <v>Geography</v>
      </c>
      <c r="C167" s="742">
        <f t="shared" si="53"/>
        <v>0.78829949901542928</v>
      </c>
      <c r="D167" s="743">
        <f t="shared" ref="D167:L167" si="65">C167</f>
        <v>0.78829949901542928</v>
      </c>
      <c r="E167" s="743">
        <f t="shared" si="65"/>
        <v>0.78829949901542928</v>
      </c>
      <c r="F167" s="743">
        <f t="shared" si="65"/>
        <v>0.78829949901542928</v>
      </c>
      <c r="G167" s="743">
        <f t="shared" si="65"/>
        <v>0.78829949901542928</v>
      </c>
      <c r="H167" s="743">
        <f t="shared" si="65"/>
        <v>0.78829949901542928</v>
      </c>
      <c r="I167" s="743">
        <f t="shared" si="65"/>
        <v>0.78829949901542928</v>
      </c>
      <c r="J167" s="743">
        <f t="shared" si="65"/>
        <v>0.78829949901542928</v>
      </c>
      <c r="K167" s="743">
        <f t="shared" si="65"/>
        <v>0.78829949901542928</v>
      </c>
      <c r="L167" s="743">
        <f t="shared" si="65"/>
        <v>0.78829949901542928</v>
      </c>
    </row>
    <row r="168" spans="2:12">
      <c r="B168" s="746" t="str">
        <f t="shared" si="52"/>
        <v>History</v>
      </c>
      <c r="C168" s="742">
        <f t="shared" si="53"/>
        <v>0.81848076885305765</v>
      </c>
      <c r="D168" s="743">
        <f t="shared" ref="D168:L168" si="66">C168</f>
        <v>0.81848076885305765</v>
      </c>
      <c r="E168" s="743">
        <f t="shared" si="66"/>
        <v>0.81848076885305765</v>
      </c>
      <c r="F168" s="743">
        <f t="shared" si="66"/>
        <v>0.81848076885305765</v>
      </c>
      <c r="G168" s="743">
        <f t="shared" si="66"/>
        <v>0.81848076885305765</v>
      </c>
      <c r="H168" s="743">
        <f t="shared" si="66"/>
        <v>0.81848076885305765</v>
      </c>
      <c r="I168" s="743">
        <f t="shared" si="66"/>
        <v>0.81848076885305765</v>
      </c>
      <c r="J168" s="743">
        <f t="shared" si="66"/>
        <v>0.81848076885305765</v>
      </c>
      <c r="K168" s="743">
        <f t="shared" si="66"/>
        <v>0.81848076885305765</v>
      </c>
      <c r="L168" s="743">
        <f t="shared" si="66"/>
        <v>0.81848076885305765</v>
      </c>
    </row>
    <row r="169" spans="2:12">
      <c r="B169" s="746" t="str">
        <f t="shared" si="52"/>
        <v>Mathematics</v>
      </c>
      <c r="C169" s="742">
        <f t="shared" si="53"/>
        <v>0.80027700012184266</v>
      </c>
      <c r="D169" s="743">
        <f t="shared" ref="D169:L169" si="67">C169</f>
        <v>0.80027700012184266</v>
      </c>
      <c r="E169" s="743">
        <f t="shared" si="67"/>
        <v>0.80027700012184266</v>
      </c>
      <c r="F169" s="743">
        <f t="shared" si="67"/>
        <v>0.80027700012184266</v>
      </c>
      <c r="G169" s="743">
        <f t="shared" si="67"/>
        <v>0.80027700012184266</v>
      </c>
      <c r="H169" s="743">
        <f t="shared" si="67"/>
        <v>0.80027700012184266</v>
      </c>
      <c r="I169" s="743">
        <f t="shared" si="67"/>
        <v>0.80027700012184266</v>
      </c>
      <c r="J169" s="743">
        <f t="shared" si="67"/>
        <v>0.80027700012184266</v>
      </c>
      <c r="K169" s="743">
        <f t="shared" si="67"/>
        <v>0.80027700012184266</v>
      </c>
      <c r="L169" s="743">
        <f t="shared" si="67"/>
        <v>0.80027700012184266</v>
      </c>
    </row>
    <row r="170" spans="2:12">
      <c r="B170" s="746" t="str">
        <f t="shared" si="52"/>
        <v>Modern Foreign Languages</v>
      </c>
      <c r="C170" s="742">
        <f t="shared" si="53"/>
        <v>0.74532971727539366</v>
      </c>
      <c r="D170" s="743">
        <f t="shared" ref="D170:L170" si="68">C170</f>
        <v>0.74532971727539366</v>
      </c>
      <c r="E170" s="743">
        <f t="shared" si="68"/>
        <v>0.74532971727539366</v>
      </c>
      <c r="F170" s="743">
        <f t="shared" si="68"/>
        <v>0.74532971727539366</v>
      </c>
      <c r="G170" s="743">
        <f t="shared" si="68"/>
        <v>0.74532971727539366</v>
      </c>
      <c r="H170" s="743">
        <f t="shared" si="68"/>
        <v>0.74532971727539366</v>
      </c>
      <c r="I170" s="743">
        <f t="shared" si="68"/>
        <v>0.74532971727539366</v>
      </c>
      <c r="J170" s="743">
        <f t="shared" si="68"/>
        <v>0.74532971727539366</v>
      </c>
      <c r="K170" s="743">
        <f t="shared" si="68"/>
        <v>0.74532971727539366</v>
      </c>
      <c r="L170" s="743">
        <f t="shared" si="68"/>
        <v>0.74532971727539366</v>
      </c>
    </row>
    <row r="171" spans="2:12">
      <c r="B171" s="746" t="str">
        <f t="shared" si="52"/>
        <v>Music</v>
      </c>
      <c r="C171" s="742">
        <f t="shared" si="53"/>
        <v>0.77017704513632146</v>
      </c>
      <c r="D171" s="743">
        <f t="shared" ref="D171:L171" si="69">C171</f>
        <v>0.77017704513632146</v>
      </c>
      <c r="E171" s="743">
        <f t="shared" si="69"/>
        <v>0.77017704513632146</v>
      </c>
      <c r="F171" s="743">
        <f t="shared" si="69"/>
        <v>0.77017704513632146</v>
      </c>
      <c r="G171" s="743">
        <f t="shared" si="69"/>
        <v>0.77017704513632146</v>
      </c>
      <c r="H171" s="743">
        <f t="shared" si="69"/>
        <v>0.77017704513632146</v>
      </c>
      <c r="I171" s="743">
        <f t="shared" si="69"/>
        <v>0.77017704513632146</v>
      </c>
      <c r="J171" s="743">
        <f t="shared" si="69"/>
        <v>0.77017704513632146</v>
      </c>
      <c r="K171" s="743">
        <f t="shared" si="69"/>
        <v>0.77017704513632146</v>
      </c>
      <c r="L171" s="743">
        <f t="shared" si="69"/>
        <v>0.77017704513632146</v>
      </c>
    </row>
    <row r="172" spans="2:12">
      <c r="B172" s="746" t="str">
        <f t="shared" si="52"/>
        <v>Others</v>
      </c>
      <c r="C172" s="742">
        <f t="shared" si="53"/>
        <v>0.79755969833255524</v>
      </c>
      <c r="D172" s="743">
        <f t="shared" ref="D172:L172" si="70">C172</f>
        <v>0.79755969833255524</v>
      </c>
      <c r="E172" s="743">
        <f t="shared" si="70"/>
        <v>0.79755969833255524</v>
      </c>
      <c r="F172" s="743">
        <f t="shared" si="70"/>
        <v>0.79755969833255524</v>
      </c>
      <c r="G172" s="743">
        <f t="shared" si="70"/>
        <v>0.79755969833255524</v>
      </c>
      <c r="H172" s="743">
        <f t="shared" si="70"/>
        <v>0.79755969833255524</v>
      </c>
      <c r="I172" s="743">
        <f t="shared" si="70"/>
        <v>0.79755969833255524</v>
      </c>
      <c r="J172" s="743">
        <f t="shared" si="70"/>
        <v>0.79755969833255524</v>
      </c>
      <c r="K172" s="743">
        <f t="shared" si="70"/>
        <v>0.79755969833255524</v>
      </c>
      <c r="L172" s="743">
        <f t="shared" si="70"/>
        <v>0.79755969833255524</v>
      </c>
    </row>
    <row r="173" spans="2:12">
      <c r="B173" s="746" t="str">
        <f t="shared" si="52"/>
        <v>Physical Education</v>
      </c>
      <c r="C173" s="742">
        <f t="shared" si="53"/>
        <v>0.76009039562858272</v>
      </c>
      <c r="D173" s="743">
        <f t="shared" ref="D173:L173" si="71">C173</f>
        <v>0.76009039562858272</v>
      </c>
      <c r="E173" s="743">
        <f t="shared" si="71"/>
        <v>0.76009039562858272</v>
      </c>
      <c r="F173" s="743">
        <f t="shared" si="71"/>
        <v>0.76009039562858272</v>
      </c>
      <c r="G173" s="743">
        <f t="shared" si="71"/>
        <v>0.76009039562858272</v>
      </c>
      <c r="H173" s="743">
        <f t="shared" si="71"/>
        <v>0.76009039562858272</v>
      </c>
      <c r="I173" s="743">
        <f t="shared" si="71"/>
        <v>0.76009039562858272</v>
      </c>
      <c r="J173" s="743">
        <f t="shared" si="71"/>
        <v>0.76009039562858272</v>
      </c>
      <c r="K173" s="743">
        <f t="shared" si="71"/>
        <v>0.76009039562858272</v>
      </c>
      <c r="L173" s="743">
        <f t="shared" si="71"/>
        <v>0.76009039562858272</v>
      </c>
    </row>
    <row r="174" spans="2:12">
      <c r="B174" s="746" t="str">
        <f t="shared" si="52"/>
        <v>Physics</v>
      </c>
      <c r="C174" s="742">
        <f t="shared" si="53"/>
        <v>0.76356772684046392</v>
      </c>
      <c r="D174" s="743">
        <f t="shared" ref="D174:L174" si="72">C174</f>
        <v>0.76356772684046392</v>
      </c>
      <c r="E174" s="743">
        <f t="shared" si="72"/>
        <v>0.76356772684046392</v>
      </c>
      <c r="F174" s="743">
        <f t="shared" si="72"/>
        <v>0.76356772684046392</v>
      </c>
      <c r="G174" s="743">
        <f t="shared" si="72"/>
        <v>0.76356772684046392</v>
      </c>
      <c r="H174" s="743">
        <f t="shared" si="72"/>
        <v>0.76356772684046392</v>
      </c>
      <c r="I174" s="743">
        <f t="shared" si="72"/>
        <v>0.76356772684046392</v>
      </c>
      <c r="J174" s="743">
        <f t="shared" si="72"/>
        <v>0.76356772684046392</v>
      </c>
      <c r="K174" s="743">
        <f t="shared" si="72"/>
        <v>0.76356772684046392</v>
      </c>
      <c r="L174" s="743">
        <f t="shared" si="72"/>
        <v>0.76356772684046392</v>
      </c>
    </row>
    <row r="175" spans="2:12">
      <c r="B175" s="746" t="str">
        <f t="shared" si="52"/>
        <v>Religious Education</v>
      </c>
      <c r="C175" s="742">
        <f t="shared" si="53"/>
        <v>0.77156468695812641</v>
      </c>
      <c r="D175" s="743">
        <f t="shared" ref="D175:L175" si="73">C175</f>
        <v>0.77156468695812641</v>
      </c>
      <c r="E175" s="743">
        <f t="shared" si="73"/>
        <v>0.77156468695812641</v>
      </c>
      <c r="F175" s="743">
        <f t="shared" si="73"/>
        <v>0.77156468695812641</v>
      </c>
      <c r="G175" s="743">
        <f t="shared" si="73"/>
        <v>0.77156468695812641</v>
      </c>
      <c r="H175" s="743">
        <f t="shared" si="73"/>
        <v>0.77156468695812641</v>
      </c>
      <c r="I175" s="743">
        <f t="shared" si="73"/>
        <v>0.77156468695812641</v>
      </c>
      <c r="J175" s="743">
        <f t="shared" si="73"/>
        <v>0.77156468695812641</v>
      </c>
      <c r="K175" s="743">
        <f t="shared" si="73"/>
        <v>0.77156468695812641</v>
      </c>
      <c r="L175" s="743">
        <f t="shared" si="73"/>
        <v>0.77156468695812641</v>
      </c>
    </row>
    <row r="177" spans="2:12">
      <c r="B177" s="748" t="s">
        <v>683</v>
      </c>
      <c r="C177" s="731"/>
      <c r="D177" s="731"/>
      <c r="E177" s="731"/>
      <c r="F177" s="731"/>
      <c r="G177" s="731"/>
      <c r="H177" s="731"/>
      <c r="I177" s="731"/>
      <c r="J177" s="731"/>
      <c r="K177" s="731"/>
      <c r="L177" s="731"/>
    </row>
    <row r="179" spans="2:12">
      <c r="B179" s="746" t="str">
        <f t="shared" ref="B179:L179" si="74">B155</f>
        <v>Subject</v>
      </c>
      <c r="C179" s="729" t="str">
        <f t="shared" si="74"/>
        <v>2017/18</v>
      </c>
      <c r="D179" s="729" t="str">
        <f t="shared" si="74"/>
        <v>2018/19</v>
      </c>
      <c r="E179" s="729" t="str">
        <f t="shared" si="74"/>
        <v>2019/20</v>
      </c>
      <c r="F179" s="729" t="str">
        <f t="shared" si="74"/>
        <v>2020/21</v>
      </c>
      <c r="G179" s="729" t="str">
        <f t="shared" si="74"/>
        <v>2021/22</v>
      </c>
      <c r="H179" s="729" t="str">
        <f t="shared" si="74"/>
        <v>2022/23</v>
      </c>
      <c r="I179" s="729" t="str">
        <f t="shared" si="74"/>
        <v>2023/24</v>
      </c>
      <c r="J179" s="729" t="str">
        <f t="shared" si="74"/>
        <v>2024/25</v>
      </c>
      <c r="K179" s="729" t="str">
        <f t="shared" si="74"/>
        <v>2025/26</v>
      </c>
      <c r="L179" s="729" t="str">
        <f t="shared" si="74"/>
        <v>2026/27</v>
      </c>
    </row>
    <row r="180" spans="2:12">
      <c r="B180" s="746" t="str">
        <f t="shared" ref="B180:B199" si="75">B156</f>
        <v>Primary</v>
      </c>
      <c r="C180" s="742">
        <f t="shared" ref="C180:C199" si="76">G22</f>
        <v>0.87746653545124054</v>
      </c>
      <c r="D180" s="743">
        <f>C180</f>
        <v>0.87746653545124054</v>
      </c>
      <c r="E180" s="743">
        <f t="shared" ref="E180:L180" si="77">D180</f>
        <v>0.87746653545124054</v>
      </c>
      <c r="F180" s="743">
        <f t="shared" si="77"/>
        <v>0.87746653545124054</v>
      </c>
      <c r="G180" s="743">
        <f t="shared" si="77"/>
        <v>0.87746653545124054</v>
      </c>
      <c r="H180" s="743">
        <f t="shared" si="77"/>
        <v>0.87746653545124054</v>
      </c>
      <c r="I180" s="743">
        <f t="shared" si="77"/>
        <v>0.87746653545124054</v>
      </c>
      <c r="J180" s="743">
        <f t="shared" si="77"/>
        <v>0.87746653545124054</v>
      </c>
      <c r="K180" s="743">
        <f t="shared" si="77"/>
        <v>0.87746653545124054</v>
      </c>
      <c r="L180" s="743">
        <f t="shared" si="77"/>
        <v>0.87746653545124054</v>
      </c>
    </row>
    <row r="181" spans="2:12">
      <c r="B181" s="746" t="str">
        <f t="shared" si="75"/>
        <v>Art &amp; Design</v>
      </c>
      <c r="C181" s="742">
        <f t="shared" si="76"/>
        <v>0.80585818016158572</v>
      </c>
      <c r="D181" s="743">
        <f t="shared" ref="D181:L181" si="78">C181</f>
        <v>0.80585818016158572</v>
      </c>
      <c r="E181" s="743">
        <f t="shared" si="78"/>
        <v>0.80585818016158572</v>
      </c>
      <c r="F181" s="743">
        <f t="shared" si="78"/>
        <v>0.80585818016158572</v>
      </c>
      <c r="G181" s="743">
        <f t="shared" si="78"/>
        <v>0.80585818016158572</v>
      </c>
      <c r="H181" s="743">
        <f t="shared" si="78"/>
        <v>0.80585818016158572</v>
      </c>
      <c r="I181" s="743">
        <f t="shared" si="78"/>
        <v>0.80585818016158572</v>
      </c>
      <c r="J181" s="743">
        <f t="shared" si="78"/>
        <v>0.80585818016158572</v>
      </c>
      <c r="K181" s="743">
        <f t="shared" si="78"/>
        <v>0.80585818016158572</v>
      </c>
      <c r="L181" s="743">
        <f t="shared" si="78"/>
        <v>0.80585818016158572</v>
      </c>
    </row>
    <row r="182" spans="2:12">
      <c r="B182" s="746" t="str">
        <f t="shared" si="75"/>
        <v>Biology</v>
      </c>
      <c r="C182" s="742">
        <f t="shared" si="76"/>
        <v>0.84332016988389991</v>
      </c>
      <c r="D182" s="743">
        <f t="shared" ref="D182:L182" si="79">C182</f>
        <v>0.84332016988389991</v>
      </c>
      <c r="E182" s="743">
        <f t="shared" si="79"/>
        <v>0.84332016988389991</v>
      </c>
      <c r="F182" s="743">
        <f t="shared" si="79"/>
        <v>0.84332016988389991</v>
      </c>
      <c r="G182" s="743">
        <f t="shared" si="79"/>
        <v>0.84332016988389991</v>
      </c>
      <c r="H182" s="743">
        <f t="shared" si="79"/>
        <v>0.84332016988389991</v>
      </c>
      <c r="I182" s="743">
        <f t="shared" si="79"/>
        <v>0.84332016988389991</v>
      </c>
      <c r="J182" s="743">
        <f t="shared" si="79"/>
        <v>0.84332016988389991</v>
      </c>
      <c r="K182" s="743">
        <f t="shared" si="79"/>
        <v>0.84332016988389991</v>
      </c>
      <c r="L182" s="743">
        <f t="shared" si="79"/>
        <v>0.84332016988389991</v>
      </c>
    </row>
    <row r="183" spans="2:12">
      <c r="B183" s="746" t="str">
        <f t="shared" si="75"/>
        <v>Business Studies</v>
      </c>
      <c r="C183" s="742">
        <f t="shared" si="76"/>
        <v>0.75397740099470079</v>
      </c>
      <c r="D183" s="743">
        <f t="shared" ref="D183:L183" si="80">C183</f>
        <v>0.75397740099470079</v>
      </c>
      <c r="E183" s="743">
        <f t="shared" si="80"/>
        <v>0.75397740099470079</v>
      </c>
      <c r="F183" s="743">
        <f t="shared" si="80"/>
        <v>0.75397740099470079</v>
      </c>
      <c r="G183" s="743">
        <f t="shared" si="80"/>
        <v>0.75397740099470079</v>
      </c>
      <c r="H183" s="743">
        <f t="shared" si="80"/>
        <v>0.75397740099470079</v>
      </c>
      <c r="I183" s="743">
        <f t="shared" si="80"/>
        <v>0.75397740099470079</v>
      </c>
      <c r="J183" s="743">
        <f t="shared" si="80"/>
        <v>0.75397740099470079</v>
      </c>
      <c r="K183" s="743">
        <f t="shared" si="80"/>
        <v>0.75397740099470079</v>
      </c>
      <c r="L183" s="743">
        <f t="shared" si="80"/>
        <v>0.75397740099470079</v>
      </c>
    </row>
    <row r="184" spans="2:12">
      <c r="B184" s="746" t="str">
        <f t="shared" si="75"/>
        <v>Chemistry</v>
      </c>
      <c r="C184" s="742">
        <f t="shared" si="76"/>
        <v>0.82467230669115987</v>
      </c>
      <c r="D184" s="743">
        <f t="shared" ref="D184:L184" si="81">C184</f>
        <v>0.82467230669115987</v>
      </c>
      <c r="E184" s="743">
        <f t="shared" si="81"/>
        <v>0.82467230669115987</v>
      </c>
      <c r="F184" s="743">
        <f t="shared" si="81"/>
        <v>0.82467230669115987</v>
      </c>
      <c r="G184" s="743">
        <f t="shared" si="81"/>
        <v>0.82467230669115987</v>
      </c>
      <c r="H184" s="743">
        <f t="shared" si="81"/>
        <v>0.82467230669115987</v>
      </c>
      <c r="I184" s="743">
        <f t="shared" si="81"/>
        <v>0.82467230669115987</v>
      </c>
      <c r="J184" s="743">
        <f t="shared" si="81"/>
        <v>0.82467230669115987</v>
      </c>
      <c r="K184" s="743">
        <f t="shared" si="81"/>
        <v>0.82467230669115987</v>
      </c>
      <c r="L184" s="743">
        <f t="shared" si="81"/>
        <v>0.82467230669115987</v>
      </c>
    </row>
    <row r="185" spans="2:12">
      <c r="B185" s="746" t="str">
        <f t="shared" si="75"/>
        <v>Classics</v>
      </c>
      <c r="C185" s="742">
        <f t="shared" si="76"/>
        <v>0.75397740099470079</v>
      </c>
      <c r="D185" s="743">
        <f t="shared" ref="D185:L185" si="82">C185</f>
        <v>0.75397740099470079</v>
      </c>
      <c r="E185" s="743">
        <f t="shared" si="82"/>
        <v>0.75397740099470079</v>
      </c>
      <c r="F185" s="743">
        <f t="shared" si="82"/>
        <v>0.75397740099470079</v>
      </c>
      <c r="G185" s="743">
        <f t="shared" si="82"/>
        <v>0.75397740099470079</v>
      </c>
      <c r="H185" s="743">
        <f t="shared" si="82"/>
        <v>0.75397740099470079</v>
      </c>
      <c r="I185" s="743">
        <f t="shared" si="82"/>
        <v>0.75397740099470079</v>
      </c>
      <c r="J185" s="743">
        <f t="shared" si="82"/>
        <v>0.75397740099470079</v>
      </c>
      <c r="K185" s="743">
        <f t="shared" si="82"/>
        <v>0.75397740099470079</v>
      </c>
      <c r="L185" s="743">
        <f t="shared" si="82"/>
        <v>0.75397740099470079</v>
      </c>
    </row>
    <row r="186" spans="2:12">
      <c r="B186" s="746" t="str">
        <f t="shared" si="75"/>
        <v>Computing</v>
      </c>
      <c r="C186" s="742">
        <f t="shared" si="76"/>
        <v>0.84674696499537272</v>
      </c>
      <c r="D186" s="743">
        <f t="shared" ref="D186:L186" si="83">C186</f>
        <v>0.84674696499537272</v>
      </c>
      <c r="E186" s="743">
        <f t="shared" si="83"/>
        <v>0.84674696499537272</v>
      </c>
      <c r="F186" s="743">
        <f t="shared" si="83"/>
        <v>0.84674696499537272</v>
      </c>
      <c r="G186" s="743">
        <f t="shared" si="83"/>
        <v>0.84674696499537272</v>
      </c>
      <c r="H186" s="743">
        <f t="shared" si="83"/>
        <v>0.84674696499537272</v>
      </c>
      <c r="I186" s="743">
        <f t="shared" si="83"/>
        <v>0.84674696499537272</v>
      </c>
      <c r="J186" s="743">
        <f t="shared" si="83"/>
        <v>0.84674696499537272</v>
      </c>
      <c r="K186" s="743">
        <f t="shared" si="83"/>
        <v>0.84674696499537272</v>
      </c>
      <c r="L186" s="743">
        <f t="shared" si="83"/>
        <v>0.84674696499537272</v>
      </c>
    </row>
    <row r="187" spans="2:12">
      <c r="B187" s="746" t="str">
        <f t="shared" si="75"/>
        <v>Design &amp; Technology</v>
      </c>
      <c r="C187" s="742">
        <f t="shared" si="76"/>
        <v>0.85993280574696063</v>
      </c>
      <c r="D187" s="743">
        <f t="shared" ref="D187:L187" si="84">C187</f>
        <v>0.85993280574696063</v>
      </c>
      <c r="E187" s="743">
        <f t="shared" si="84"/>
        <v>0.85993280574696063</v>
      </c>
      <c r="F187" s="743">
        <f t="shared" si="84"/>
        <v>0.85993280574696063</v>
      </c>
      <c r="G187" s="743">
        <f t="shared" si="84"/>
        <v>0.85993280574696063</v>
      </c>
      <c r="H187" s="743">
        <f t="shared" si="84"/>
        <v>0.85993280574696063</v>
      </c>
      <c r="I187" s="743">
        <f t="shared" si="84"/>
        <v>0.85993280574696063</v>
      </c>
      <c r="J187" s="743">
        <f t="shared" si="84"/>
        <v>0.85993280574696063</v>
      </c>
      <c r="K187" s="743">
        <f t="shared" si="84"/>
        <v>0.85993280574696063</v>
      </c>
      <c r="L187" s="743">
        <f t="shared" si="84"/>
        <v>0.85993280574696063</v>
      </c>
    </row>
    <row r="188" spans="2:12">
      <c r="B188" s="746" t="str">
        <f t="shared" si="75"/>
        <v>Drama</v>
      </c>
      <c r="C188" s="742">
        <f t="shared" si="76"/>
        <v>0.85010707787694928</v>
      </c>
      <c r="D188" s="743">
        <f t="shared" ref="D188:L188" si="85">C188</f>
        <v>0.85010707787694928</v>
      </c>
      <c r="E188" s="743">
        <f t="shared" si="85"/>
        <v>0.85010707787694928</v>
      </c>
      <c r="F188" s="743">
        <f t="shared" si="85"/>
        <v>0.85010707787694928</v>
      </c>
      <c r="G188" s="743">
        <f t="shared" si="85"/>
        <v>0.85010707787694928</v>
      </c>
      <c r="H188" s="743">
        <f t="shared" si="85"/>
        <v>0.85010707787694928</v>
      </c>
      <c r="I188" s="743">
        <f t="shared" si="85"/>
        <v>0.85010707787694928</v>
      </c>
      <c r="J188" s="743">
        <f t="shared" si="85"/>
        <v>0.85010707787694928</v>
      </c>
      <c r="K188" s="743">
        <f t="shared" si="85"/>
        <v>0.85010707787694928</v>
      </c>
      <c r="L188" s="743">
        <f t="shared" si="85"/>
        <v>0.85010707787694928</v>
      </c>
    </row>
    <row r="189" spans="2:12">
      <c r="B189" s="746" t="str">
        <f t="shared" si="75"/>
        <v>English</v>
      </c>
      <c r="C189" s="742">
        <f t="shared" si="76"/>
        <v>0.86746222500815862</v>
      </c>
      <c r="D189" s="743">
        <f t="shared" ref="D189:L189" si="86">C189</f>
        <v>0.86746222500815862</v>
      </c>
      <c r="E189" s="743">
        <f t="shared" si="86"/>
        <v>0.86746222500815862</v>
      </c>
      <c r="F189" s="743">
        <f t="shared" si="86"/>
        <v>0.86746222500815862</v>
      </c>
      <c r="G189" s="743">
        <f t="shared" si="86"/>
        <v>0.86746222500815862</v>
      </c>
      <c r="H189" s="743">
        <f t="shared" si="86"/>
        <v>0.86746222500815862</v>
      </c>
      <c r="I189" s="743">
        <f t="shared" si="86"/>
        <v>0.86746222500815862</v>
      </c>
      <c r="J189" s="743">
        <f t="shared" si="86"/>
        <v>0.86746222500815862</v>
      </c>
      <c r="K189" s="743">
        <f t="shared" si="86"/>
        <v>0.86746222500815862</v>
      </c>
      <c r="L189" s="743">
        <f t="shared" si="86"/>
        <v>0.86746222500815862</v>
      </c>
    </row>
    <row r="190" spans="2:12">
      <c r="B190" s="746" t="str">
        <f t="shared" si="75"/>
        <v>Food</v>
      </c>
      <c r="C190" s="742">
        <f t="shared" si="76"/>
        <v>0.75397740099470079</v>
      </c>
      <c r="D190" s="743">
        <f t="shared" ref="D190:L190" si="87">C190</f>
        <v>0.75397740099470079</v>
      </c>
      <c r="E190" s="743">
        <f t="shared" si="87"/>
        <v>0.75397740099470079</v>
      </c>
      <c r="F190" s="743">
        <f t="shared" si="87"/>
        <v>0.75397740099470079</v>
      </c>
      <c r="G190" s="743">
        <f t="shared" si="87"/>
        <v>0.75397740099470079</v>
      </c>
      <c r="H190" s="743">
        <f t="shared" si="87"/>
        <v>0.75397740099470079</v>
      </c>
      <c r="I190" s="743">
        <f t="shared" si="87"/>
        <v>0.75397740099470079</v>
      </c>
      <c r="J190" s="743">
        <f t="shared" si="87"/>
        <v>0.75397740099470079</v>
      </c>
      <c r="K190" s="743">
        <f t="shared" si="87"/>
        <v>0.75397740099470079</v>
      </c>
      <c r="L190" s="743">
        <f t="shared" si="87"/>
        <v>0.75397740099470079</v>
      </c>
    </row>
    <row r="191" spans="2:12">
      <c r="B191" s="746" t="str">
        <f t="shared" si="75"/>
        <v>Geography</v>
      </c>
      <c r="C191" s="742">
        <f t="shared" si="76"/>
        <v>0.87675456123417173</v>
      </c>
      <c r="D191" s="743">
        <f t="shared" ref="D191:L191" si="88">C191</f>
        <v>0.87675456123417173</v>
      </c>
      <c r="E191" s="743">
        <f t="shared" si="88"/>
        <v>0.87675456123417173</v>
      </c>
      <c r="F191" s="743">
        <f t="shared" si="88"/>
        <v>0.87675456123417173</v>
      </c>
      <c r="G191" s="743">
        <f t="shared" si="88"/>
        <v>0.87675456123417173</v>
      </c>
      <c r="H191" s="743">
        <f t="shared" si="88"/>
        <v>0.87675456123417173</v>
      </c>
      <c r="I191" s="743">
        <f t="shared" si="88"/>
        <v>0.87675456123417173</v>
      </c>
      <c r="J191" s="743">
        <f t="shared" si="88"/>
        <v>0.87675456123417173</v>
      </c>
      <c r="K191" s="743">
        <f t="shared" si="88"/>
        <v>0.87675456123417173</v>
      </c>
      <c r="L191" s="743">
        <f t="shared" si="88"/>
        <v>0.87675456123417173</v>
      </c>
    </row>
    <row r="192" spans="2:12">
      <c r="B192" s="746" t="str">
        <f t="shared" si="75"/>
        <v>History</v>
      </c>
      <c r="C192" s="742">
        <f t="shared" si="76"/>
        <v>0.81360034974441753</v>
      </c>
      <c r="D192" s="743">
        <f t="shared" ref="D192:L192" si="89">C192</f>
        <v>0.81360034974441753</v>
      </c>
      <c r="E192" s="743">
        <f t="shared" si="89"/>
        <v>0.81360034974441753</v>
      </c>
      <c r="F192" s="743">
        <f t="shared" si="89"/>
        <v>0.81360034974441753</v>
      </c>
      <c r="G192" s="743">
        <f t="shared" si="89"/>
        <v>0.81360034974441753</v>
      </c>
      <c r="H192" s="743">
        <f t="shared" si="89"/>
        <v>0.81360034974441753</v>
      </c>
      <c r="I192" s="743">
        <f t="shared" si="89"/>
        <v>0.81360034974441753</v>
      </c>
      <c r="J192" s="743">
        <f t="shared" si="89"/>
        <v>0.81360034974441753</v>
      </c>
      <c r="K192" s="743">
        <f t="shared" si="89"/>
        <v>0.81360034974441753</v>
      </c>
      <c r="L192" s="743">
        <f t="shared" si="89"/>
        <v>0.81360034974441753</v>
      </c>
    </row>
    <row r="193" spans="2:12">
      <c r="B193" s="746" t="str">
        <f t="shared" si="75"/>
        <v>Mathematics</v>
      </c>
      <c r="C193" s="742">
        <f t="shared" si="76"/>
        <v>0.86604610223536049</v>
      </c>
      <c r="D193" s="743">
        <f t="shared" ref="D193:L193" si="90">C193</f>
        <v>0.86604610223536049</v>
      </c>
      <c r="E193" s="743">
        <f t="shared" si="90"/>
        <v>0.86604610223536049</v>
      </c>
      <c r="F193" s="743">
        <f t="shared" si="90"/>
        <v>0.86604610223536049</v>
      </c>
      <c r="G193" s="743">
        <f t="shared" si="90"/>
        <v>0.86604610223536049</v>
      </c>
      <c r="H193" s="743">
        <f t="shared" si="90"/>
        <v>0.86604610223536049</v>
      </c>
      <c r="I193" s="743">
        <f t="shared" si="90"/>
        <v>0.86604610223536049</v>
      </c>
      <c r="J193" s="743">
        <f t="shared" si="90"/>
        <v>0.86604610223536049</v>
      </c>
      <c r="K193" s="743">
        <f t="shared" si="90"/>
        <v>0.86604610223536049</v>
      </c>
      <c r="L193" s="743">
        <f t="shared" si="90"/>
        <v>0.86604610223536049</v>
      </c>
    </row>
    <row r="194" spans="2:12">
      <c r="B194" s="746" t="str">
        <f t="shared" si="75"/>
        <v>Modern Foreign Languages</v>
      </c>
      <c r="C194" s="742">
        <f t="shared" si="76"/>
        <v>0.82740125816212773</v>
      </c>
      <c r="D194" s="743">
        <f t="shared" ref="D194:L194" si="91">C194</f>
        <v>0.82740125816212773</v>
      </c>
      <c r="E194" s="743">
        <f t="shared" si="91"/>
        <v>0.82740125816212773</v>
      </c>
      <c r="F194" s="743">
        <f t="shared" si="91"/>
        <v>0.82740125816212773</v>
      </c>
      <c r="G194" s="743">
        <f t="shared" si="91"/>
        <v>0.82740125816212773</v>
      </c>
      <c r="H194" s="743">
        <f t="shared" si="91"/>
        <v>0.82740125816212773</v>
      </c>
      <c r="I194" s="743">
        <f t="shared" si="91"/>
        <v>0.82740125816212773</v>
      </c>
      <c r="J194" s="743">
        <f t="shared" si="91"/>
        <v>0.82740125816212773</v>
      </c>
      <c r="K194" s="743">
        <f t="shared" si="91"/>
        <v>0.82740125816212773</v>
      </c>
      <c r="L194" s="743">
        <f t="shared" si="91"/>
        <v>0.82740125816212773</v>
      </c>
    </row>
    <row r="195" spans="2:12">
      <c r="B195" s="746" t="str">
        <f t="shared" si="75"/>
        <v>Music</v>
      </c>
      <c r="C195" s="742">
        <f t="shared" si="76"/>
        <v>0.75397740099470079</v>
      </c>
      <c r="D195" s="743">
        <f t="shared" ref="D195:L195" si="92">C195</f>
        <v>0.75397740099470079</v>
      </c>
      <c r="E195" s="743">
        <f t="shared" si="92"/>
        <v>0.75397740099470079</v>
      </c>
      <c r="F195" s="743">
        <f t="shared" si="92"/>
        <v>0.75397740099470079</v>
      </c>
      <c r="G195" s="743">
        <f t="shared" si="92"/>
        <v>0.75397740099470079</v>
      </c>
      <c r="H195" s="743">
        <f t="shared" si="92"/>
        <v>0.75397740099470079</v>
      </c>
      <c r="I195" s="743">
        <f t="shared" si="92"/>
        <v>0.75397740099470079</v>
      </c>
      <c r="J195" s="743">
        <f t="shared" si="92"/>
        <v>0.75397740099470079</v>
      </c>
      <c r="K195" s="743">
        <f t="shared" si="92"/>
        <v>0.75397740099470079</v>
      </c>
      <c r="L195" s="743">
        <f t="shared" si="92"/>
        <v>0.75397740099470079</v>
      </c>
    </row>
    <row r="196" spans="2:12">
      <c r="B196" s="746" t="str">
        <f t="shared" si="75"/>
        <v>Others</v>
      </c>
      <c r="C196" s="742">
        <f t="shared" si="76"/>
        <v>0.8206238835406614</v>
      </c>
      <c r="D196" s="743">
        <f t="shared" ref="D196:L196" si="93">C196</f>
        <v>0.8206238835406614</v>
      </c>
      <c r="E196" s="743">
        <f t="shared" si="93"/>
        <v>0.8206238835406614</v>
      </c>
      <c r="F196" s="743">
        <f t="shared" si="93"/>
        <v>0.8206238835406614</v>
      </c>
      <c r="G196" s="743">
        <f t="shared" si="93"/>
        <v>0.8206238835406614</v>
      </c>
      <c r="H196" s="743">
        <f t="shared" si="93"/>
        <v>0.8206238835406614</v>
      </c>
      <c r="I196" s="743">
        <f t="shared" si="93"/>
        <v>0.8206238835406614</v>
      </c>
      <c r="J196" s="743">
        <f t="shared" si="93"/>
        <v>0.8206238835406614</v>
      </c>
      <c r="K196" s="743">
        <f t="shared" si="93"/>
        <v>0.8206238835406614</v>
      </c>
      <c r="L196" s="743">
        <f t="shared" si="93"/>
        <v>0.8206238835406614</v>
      </c>
    </row>
    <row r="197" spans="2:12">
      <c r="B197" s="746" t="str">
        <f t="shared" si="75"/>
        <v>Physical Education</v>
      </c>
      <c r="C197" s="742">
        <f t="shared" si="76"/>
        <v>0.78307799648525545</v>
      </c>
      <c r="D197" s="743">
        <f t="shared" ref="D197:L197" si="94">C197</f>
        <v>0.78307799648525545</v>
      </c>
      <c r="E197" s="743">
        <f t="shared" si="94"/>
        <v>0.78307799648525545</v>
      </c>
      <c r="F197" s="743">
        <f t="shared" si="94"/>
        <v>0.78307799648525545</v>
      </c>
      <c r="G197" s="743">
        <f t="shared" si="94"/>
        <v>0.78307799648525545</v>
      </c>
      <c r="H197" s="743">
        <f t="shared" si="94"/>
        <v>0.78307799648525545</v>
      </c>
      <c r="I197" s="743">
        <f t="shared" si="94"/>
        <v>0.78307799648525545</v>
      </c>
      <c r="J197" s="743">
        <f t="shared" si="94"/>
        <v>0.78307799648525545</v>
      </c>
      <c r="K197" s="743">
        <f t="shared" si="94"/>
        <v>0.78307799648525545</v>
      </c>
      <c r="L197" s="743">
        <f t="shared" si="94"/>
        <v>0.78307799648525545</v>
      </c>
    </row>
    <row r="198" spans="2:12">
      <c r="B198" s="746" t="str">
        <f t="shared" si="75"/>
        <v>Physics</v>
      </c>
      <c r="C198" s="742">
        <f t="shared" si="76"/>
        <v>0.83289009661835745</v>
      </c>
      <c r="D198" s="743">
        <f t="shared" ref="D198:L198" si="95">C198</f>
        <v>0.83289009661835745</v>
      </c>
      <c r="E198" s="743">
        <f t="shared" si="95"/>
        <v>0.83289009661835745</v>
      </c>
      <c r="F198" s="743">
        <f t="shared" si="95"/>
        <v>0.83289009661835745</v>
      </c>
      <c r="G198" s="743">
        <f t="shared" si="95"/>
        <v>0.83289009661835745</v>
      </c>
      <c r="H198" s="743">
        <f t="shared" si="95"/>
        <v>0.83289009661835745</v>
      </c>
      <c r="I198" s="743">
        <f t="shared" si="95"/>
        <v>0.83289009661835745</v>
      </c>
      <c r="J198" s="743">
        <f t="shared" si="95"/>
        <v>0.83289009661835745</v>
      </c>
      <c r="K198" s="743">
        <f t="shared" si="95"/>
        <v>0.83289009661835745</v>
      </c>
      <c r="L198" s="743">
        <f t="shared" si="95"/>
        <v>0.83289009661835745</v>
      </c>
    </row>
    <row r="199" spans="2:12">
      <c r="B199" s="746" t="str">
        <f t="shared" si="75"/>
        <v>Religious Education</v>
      </c>
      <c r="C199" s="742">
        <f t="shared" si="76"/>
        <v>0.79621526992562441</v>
      </c>
      <c r="D199" s="743">
        <f t="shared" ref="D199:L199" si="96">C199</f>
        <v>0.79621526992562441</v>
      </c>
      <c r="E199" s="743">
        <f t="shared" si="96"/>
        <v>0.79621526992562441</v>
      </c>
      <c r="F199" s="743">
        <f t="shared" si="96"/>
        <v>0.79621526992562441</v>
      </c>
      <c r="G199" s="743">
        <f t="shared" si="96"/>
        <v>0.79621526992562441</v>
      </c>
      <c r="H199" s="743">
        <f t="shared" si="96"/>
        <v>0.79621526992562441</v>
      </c>
      <c r="I199" s="743">
        <f t="shared" si="96"/>
        <v>0.79621526992562441</v>
      </c>
      <c r="J199" s="743">
        <f t="shared" si="96"/>
        <v>0.79621526992562441</v>
      </c>
      <c r="K199" s="743">
        <f t="shared" si="96"/>
        <v>0.79621526992562441</v>
      </c>
      <c r="L199" s="743">
        <f t="shared" si="96"/>
        <v>0.79621526992562441</v>
      </c>
    </row>
    <row r="201" spans="2:12">
      <c r="B201" s="748" t="s">
        <v>682</v>
      </c>
      <c r="C201" s="731"/>
      <c r="D201" s="731"/>
      <c r="E201" s="731"/>
      <c r="F201" s="731"/>
      <c r="G201" s="731"/>
      <c r="H201" s="731"/>
      <c r="I201" s="731"/>
      <c r="J201" s="731"/>
      <c r="K201" s="731"/>
      <c r="L201" s="731"/>
    </row>
    <row r="203" spans="2:12">
      <c r="B203" s="730" t="str">
        <f t="shared" ref="B203:L203" si="97">B179</f>
        <v>Subject</v>
      </c>
      <c r="C203" s="729" t="str">
        <f t="shared" si="97"/>
        <v>2017/18</v>
      </c>
      <c r="D203" s="729" t="str">
        <f t="shared" si="97"/>
        <v>2018/19</v>
      </c>
      <c r="E203" s="729" t="str">
        <f t="shared" si="97"/>
        <v>2019/20</v>
      </c>
      <c r="F203" s="729" t="str">
        <f t="shared" si="97"/>
        <v>2020/21</v>
      </c>
      <c r="G203" s="729" t="str">
        <f t="shared" si="97"/>
        <v>2021/22</v>
      </c>
      <c r="H203" s="729" t="str">
        <f t="shared" si="97"/>
        <v>2022/23</v>
      </c>
      <c r="I203" s="729" t="str">
        <f t="shared" si="97"/>
        <v>2023/24</v>
      </c>
      <c r="J203" s="729" t="str">
        <f t="shared" si="97"/>
        <v>2024/25</v>
      </c>
      <c r="K203" s="729" t="str">
        <f t="shared" si="97"/>
        <v>2025/26</v>
      </c>
      <c r="L203" s="729" t="str">
        <f t="shared" si="97"/>
        <v>2026/27</v>
      </c>
    </row>
    <row r="204" spans="2:12">
      <c r="B204" s="730" t="str">
        <f t="shared" ref="B204:B223" si="98">B180</f>
        <v>Primary</v>
      </c>
      <c r="C204" s="742">
        <f t="shared" ref="C204:C223" si="99">H22</f>
        <v>0.86439783053042718</v>
      </c>
      <c r="D204" s="743">
        <f>C204</f>
        <v>0.86439783053042718</v>
      </c>
      <c r="E204" s="743">
        <f t="shared" ref="E204:L204" si="100">D204</f>
        <v>0.86439783053042718</v>
      </c>
      <c r="F204" s="743">
        <f t="shared" si="100"/>
        <v>0.86439783053042718</v>
      </c>
      <c r="G204" s="743">
        <f t="shared" si="100"/>
        <v>0.86439783053042718</v>
      </c>
      <c r="H204" s="743">
        <f t="shared" si="100"/>
        <v>0.86439783053042718</v>
      </c>
      <c r="I204" s="743">
        <f t="shared" si="100"/>
        <v>0.86439783053042718</v>
      </c>
      <c r="J204" s="743">
        <f t="shared" si="100"/>
        <v>0.86439783053042718</v>
      </c>
      <c r="K204" s="743">
        <f t="shared" si="100"/>
        <v>0.86439783053042718</v>
      </c>
      <c r="L204" s="743">
        <f t="shared" si="100"/>
        <v>0.86439783053042718</v>
      </c>
    </row>
    <row r="205" spans="2:12">
      <c r="B205" s="730" t="str">
        <f t="shared" si="98"/>
        <v>Art &amp; Design</v>
      </c>
      <c r="C205" s="742">
        <f t="shared" si="99"/>
        <v>0.7466071428571428</v>
      </c>
      <c r="D205" s="743">
        <f t="shared" ref="D205:L205" si="101">C205</f>
        <v>0.7466071428571428</v>
      </c>
      <c r="E205" s="743">
        <f t="shared" si="101"/>
        <v>0.7466071428571428</v>
      </c>
      <c r="F205" s="743">
        <f t="shared" si="101"/>
        <v>0.7466071428571428</v>
      </c>
      <c r="G205" s="743">
        <f t="shared" si="101"/>
        <v>0.7466071428571428</v>
      </c>
      <c r="H205" s="743">
        <f t="shared" si="101"/>
        <v>0.7466071428571428</v>
      </c>
      <c r="I205" s="743">
        <f t="shared" si="101"/>
        <v>0.7466071428571428</v>
      </c>
      <c r="J205" s="743">
        <f t="shared" si="101"/>
        <v>0.7466071428571428</v>
      </c>
      <c r="K205" s="743">
        <f t="shared" si="101"/>
        <v>0.7466071428571428</v>
      </c>
      <c r="L205" s="743">
        <f t="shared" si="101"/>
        <v>0.7466071428571428</v>
      </c>
    </row>
    <row r="206" spans="2:12">
      <c r="B206" s="730" t="str">
        <f t="shared" si="98"/>
        <v>Biology</v>
      </c>
      <c r="C206" s="742">
        <f t="shared" si="99"/>
        <v>0.74606776978353895</v>
      </c>
      <c r="D206" s="743">
        <f t="shared" ref="D206:L206" si="102">C206</f>
        <v>0.74606776978353895</v>
      </c>
      <c r="E206" s="743">
        <f t="shared" si="102"/>
        <v>0.74606776978353895</v>
      </c>
      <c r="F206" s="743">
        <f t="shared" si="102"/>
        <v>0.74606776978353895</v>
      </c>
      <c r="G206" s="743">
        <f t="shared" si="102"/>
        <v>0.74606776978353895</v>
      </c>
      <c r="H206" s="743">
        <f t="shared" si="102"/>
        <v>0.74606776978353895</v>
      </c>
      <c r="I206" s="743">
        <f t="shared" si="102"/>
        <v>0.74606776978353895</v>
      </c>
      <c r="J206" s="743">
        <f t="shared" si="102"/>
        <v>0.74606776978353895</v>
      </c>
      <c r="K206" s="743">
        <f t="shared" si="102"/>
        <v>0.74606776978353895</v>
      </c>
      <c r="L206" s="743">
        <f t="shared" si="102"/>
        <v>0.74606776978353895</v>
      </c>
    </row>
    <row r="207" spans="2:12">
      <c r="B207" s="730" t="str">
        <f t="shared" si="98"/>
        <v>Business Studies</v>
      </c>
      <c r="C207" s="742">
        <f t="shared" si="99"/>
        <v>0.78624999999999989</v>
      </c>
      <c r="D207" s="743">
        <f t="shared" ref="D207:L207" si="103">C207</f>
        <v>0.78624999999999989</v>
      </c>
      <c r="E207" s="743">
        <f t="shared" si="103"/>
        <v>0.78624999999999989</v>
      </c>
      <c r="F207" s="743">
        <f t="shared" si="103"/>
        <v>0.78624999999999989</v>
      </c>
      <c r="G207" s="743">
        <f t="shared" si="103"/>
        <v>0.78624999999999989</v>
      </c>
      <c r="H207" s="743">
        <f t="shared" si="103"/>
        <v>0.78624999999999989</v>
      </c>
      <c r="I207" s="743">
        <f t="shared" si="103"/>
        <v>0.78624999999999989</v>
      </c>
      <c r="J207" s="743">
        <f t="shared" si="103"/>
        <v>0.78624999999999989</v>
      </c>
      <c r="K207" s="743">
        <f t="shared" si="103"/>
        <v>0.78624999999999989</v>
      </c>
      <c r="L207" s="743">
        <f t="shared" si="103"/>
        <v>0.78624999999999989</v>
      </c>
    </row>
    <row r="208" spans="2:12">
      <c r="B208" s="730" t="str">
        <f t="shared" si="98"/>
        <v>Chemistry</v>
      </c>
      <c r="C208" s="742">
        <f t="shared" si="99"/>
        <v>0.84727272727272718</v>
      </c>
      <c r="D208" s="743">
        <f t="shared" ref="D208:L208" si="104">C208</f>
        <v>0.84727272727272718</v>
      </c>
      <c r="E208" s="743">
        <f t="shared" si="104"/>
        <v>0.84727272727272718</v>
      </c>
      <c r="F208" s="743">
        <f t="shared" si="104"/>
        <v>0.84727272727272718</v>
      </c>
      <c r="G208" s="743">
        <f t="shared" si="104"/>
        <v>0.84727272727272718</v>
      </c>
      <c r="H208" s="743">
        <f t="shared" si="104"/>
        <v>0.84727272727272718</v>
      </c>
      <c r="I208" s="743">
        <f t="shared" si="104"/>
        <v>0.84727272727272718</v>
      </c>
      <c r="J208" s="743">
        <f t="shared" si="104"/>
        <v>0.84727272727272718</v>
      </c>
      <c r="K208" s="743">
        <f t="shared" si="104"/>
        <v>0.84727272727272718</v>
      </c>
      <c r="L208" s="743">
        <f t="shared" si="104"/>
        <v>0.84727272727272718</v>
      </c>
    </row>
    <row r="209" spans="2:12">
      <c r="B209" s="730" t="str">
        <f t="shared" si="98"/>
        <v>Classics</v>
      </c>
      <c r="C209" s="742">
        <f t="shared" si="99"/>
        <v>0.74606776978353895</v>
      </c>
      <c r="D209" s="743">
        <f t="shared" ref="D209:L209" si="105">C209</f>
        <v>0.74606776978353895</v>
      </c>
      <c r="E209" s="743">
        <f t="shared" si="105"/>
        <v>0.74606776978353895</v>
      </c>
      <c r="F209" s="743">
        <f t="shared" si="105"/>
        <v>0.74606776978353895</v>
      </c>
      <c r="G209" s="743">
        <f t="shared" si="105"/>
        <v>0.74606776978353895</v>
      </c>
      <c r="H209" s="743">
        <f t="shared" si="105"/>
        <v>0.74606776978353895</v>
      </c>
      <c r="I209" s="743">
        <f t="shared" si="105"/>
        <v>0.74606776978353895</v>
      </c>
      <c r="J209" s="743">
        <f t="shared" si="105"/>
        <v>0.74606776978353895</v>
      </c>
      <c r="K209" s="743">
        <f t="shared" si="105"/>
        <v>0.74606776978353895</v>
      </c>
      <c r="L209" s="743">
        <f t="shared" si="105"/>
        <v>0.74606776978353895</v>
      </c>
    </row>
    <row r="210" spans="2:12">
      <c r="B210" s="730" t="str">
        <f t="shared" si="98"/>
        <v>Computing</v>
      </c>
      <c r="C210" s="742">
        <f t="shared" si="99"/>
        <v>0.85203551912568298</v>
      </c>
      <c r="D210" s="743">
        <f t="shared" ref="D210:L210" si="106">C210</f>
        <v>0.85203551912568298</v>
      </c>
      <c r="E210" s="743">
        <f t="shared" si="106"/>
        <v>0.85203551912568298</v>
      </c>
      <c r="F210" s="743">
        <f t="shared" si="106"/>
        <v>0.85203551912568298</v>
      </c>
      <c r="G210" s="743">
        <f t="shared" si="106"/>
        <v>0.85203551912568298</v>
      </c>
      <c r="H210" s="743">
        <f t="shared" si="106"/>
        <v>0.85203551912568298</v>
      </c>
      <c r="I210" s="743">
        <f t="shared" si="106"/>
        <v>0.85203551912568298</v>
      </c>
      <c r="J210" s="743">
        <f t="shared" si="106"/>
        <v>0.85203551912568298</v>
      </c>
      <c r="K210" s="743">
        <f t="shared" si="106"/>
        <v>0.85203551912568298</v>
      </c>
      <c r="L210" s="743">
        <f t="shared" si="106"/>
        <v>0.85203551912568298</v>
      </c>
    </row>
    <row r="211" spans="2:12">
      <c r="B211" s="730" t="str">
        <f t="shared" si="98"/>
        <v>Design &amp; Technology</v>
      </c>
      <c r="C211" s="742">
        <f t="shared" si="99"/>
        <v>0.74606776978353895</v>
      </c>
      <c r="D211" s="743">
        <f t="shared" ref="D211:L211" si="107">C211</f>
        <v>0.74606776978353895</v>
      </c>
      <c r="E211" s="743">
        <f t="shared" si="107"/>
        <v>0.74606776978353895</v>
      </c>
      <c r="F211" s="743">
        <f t="shared" si="107"/>
        <v>0.74606776978353895</v>
      </c>
      <c r="G211" s="743">
        <f t="shared" si="107"/>
        <v>0.74606776978353895</v>
      </c>
      <c r="H211" s="743">
        <f t="shared" si="107"/>
        <v>0.74606776978353895</v>
      </c>
      <c r="I211" s="743">
        <f t="shared" si="107"/>
        <v>0.74606776978353895</v>
      </c>
      <c r="J211" s="743">
        <f t="shared" si="107"/>
        <v>0.74606776978353895</v>
      </c>
      <c r="K211" s="743">
        <f t="shared" si="107"/>
        <v>0.74606776978353895</v>
      </c>
      <c r="L211" s="743">
        <f t="shared" si="107"/>
        <v>0.74606776978353895</v>
      </c>
    </row>
    <row r="212" spans="2:12">
      <c r="B212" s="730" t="str">
        <f t="shared" si="98"/>
        <v>Drama</v>
      </c>
      <c r="C212" s="742">
        <f t="shared" si="99"/>
        <v>0.84171201814058949</v>
      </c>
      <c r="D212" s="743">
        <f t="shared" ref="D212:L212" si="108">C212</f>
        <v>0.84171201814058949</v>
      </c>
      <c r="E212" s="743">
        <f t="shared" si="108"/>
        <v>0.84171201814058949</v>
      </c>
      <c r="F212" s="743">
        <f t="shared" si="108"/>
        <v>0.84171201814058949</v>
      </c>
      <c r="G212" s="743">
        <f t="shared" si="108"/>
        <v>0.84171201814058949</v>
      </c>
      <c r="H212" s="743">
        <f t="shared" si="108"/>
        <v>0.84171201814058949</v>
      </c>
      <c r="I212" s="743">
        <f t="shared" si="108"/>
        <v>0.84171201814058949</v>
      </c>
      <c r="J212" s="743">
        <f t="shared" si="108"/>
        <v>0.84171201814058949</v>
      </c>
      <c r="K212" s="743">
        <f t="shared" si="108"/>
        <v>0.84171201814058949</v>
      </c>
      <c r="L212" s="743">
        <f t="shared" si="108"/>
        <v>0.84171201814058949</v>
      </c>
    </row>
    <row r="213" spans="2:12">
      <c r="B213" s="730" t="str">
        <f t="shared" si="98"/>
        <v>English</v>
      </c>
      <c r="C213" s="742">
        <f t="shared" si="99"/>
        <v>0.85333577382722825</v>
      </c>
      <c r="D213" s="743">
        <f t="shared" ref="D213:L213" si="109">C213</f>
        <v>0.85333577382722825</v>
      </c>
      <c r="E213" s="743">
        <f t="shared" si="109"/>
        <v>0.85333577382722825</v>
      </c>
      <c r="F213" s="743">
        <f t="shared" si="109"/>
        <v>0.85333577382722825</v>
      </c>
      <c r="G213" s="743">
        <f t="shared" si="109"/>
        <v>0.85333577382722825</v>
      </c>
      <c r="H213" s="743">
        <f t="shared" si="109"/>
        <v>0.85333577382722825</v>
      </c>
      <c r="I213" s="743">
        <f t="shared" si="109"/>
        <v>0.85333577382722825</v>
      </c>
      <c r="J213" s="743">
        <f t="shared" si="109"/>
        <v>0.85333577382722825</v>
      </c>
      <c r="K213" s="743">
        <f t="shared" si="109"/>
        <v>0.85333577382722825</v>
      </c>
      <c r="L213" s="743">
        <f t="shared" si="109"/>
        <v>0.85333577382722825</v>
      </c>
    </row>
    <row r="214" spans="2:12">
      <c r="B214" s="730" t="str">
        <f t="shared" si="98"/>
        <v>Food</v>
      </c>
      <c r="C214" s="742">
        <f t="shared" si="99"/>
        <v>0.74606776978353895</v>
      </c>
      <c r="D214" s="743">
        <f t="shared" ref="D214:L214" si="110">C214</f>
        <v>0.74606776978353895</v>
      </c>
      <c r="E214" s="743">
        <f t="shared" si="110"/>
        <v>0.74606776978353895</v>
      </c>
      <c r="F214" s="743">
        <f t="shared" si="110"/>
        <v>0.74606776978353895</v>
      </c>
      <c r="G214" s="743">
        <f t="shared" si="110"/>
        <v>0.74606776978353895</v>
      </c>
      <c r="H214" s="743">
        <f t="shared" si="110"/>
        <v>0.74606776978353895</v>
      </c>
      <c r="I214" s="743">
        <f t="shared" si="110"/>
        <v>0.74606776978353895</v>
      </c>
      <c r="J214" s="743">
        <f t="shared" si="110"/>
        <v>0.74606776978353895</v>
      </c>
      <c r="K214" s="743">
        <f t="shared" si="110"/>
        <v>0.74606776978353895</v>
      </c>
      <c r="L214" s="743">
        <f t="shared" si="110"/>
        <v>0.74606776978353895</v>
      </c>
    </row>
    <row r="215" spans="2:12">
      <c r="B215" s="730" t="str">
        <f t="shared" si="98"/>
        <v>Geography</v>
      </c>
      <c r="C215" s="742">
        <f t="shared" si="99"/>
        <v>0.74606776978353895</v>
      </c>
      <c r="D215" s="743">
        <f t="shared" ref="D215:L215" si="111">C215</f>
        <v>0.74606776978353895</v>
      </c>
      <c r="E215" s="743">
        <f t="shared" si="111"/>
        <v>0.74606776978353895</v>
      </c>
      <c r="F215" s="743">
        <f t="shared" si="111"/>
        <v>0.74606776978353895</v>
      </c>
      <c r="G215" s="743">
        <f t="shared" si="111"/>
        <v>0.74606776978353895</v>
      </c>
      <c r="H215" s="743">
        <f t="shared" si="111"/>
        <v>0.74606776978353895</v>
      </c>
      <c r="I215" s="743">
        <f t="shared" si="111"/>
        <v>0.74606776978353895</v>
      </c>
      <c r="J215" s="743">
        <f t="shared" si="111"/>
        <v>0.74606776978353895</v>
      </c>
      <c r="K215" s="743">
        <f t="shared" si="111"/>
        <v>0.74606776978353895</v>
      </c>
      <c r="L215" s="743">
        <f t="shared" si="111"/>
        <v>0.74606776978353895</v>
      </c>
    </row>
    <row r="216" spans="2:12">
      <c r="B216" s="730" t="str">
        <f t="shared" si="98"/>
        <v>History</v>
      </c>
      <c r="C216" s="742">
        <f t="shared" si="99"/>
        <v>0.89924468378900846</v>
      </c>
      <c r="D216" s="743">
        <f t="shared" ref="D216:L216" si="112">C216</f>
        <v>0.89924468378900846</v>
      </c>
      <c r="E216" s="743">
        <f t="shared" si="112"/>
        <v>0.89924468378900846</v>
      </c>
      <c r="F216" s="743">
        <f t="shared" si="112"/>
        <v>0.89924468378900846</v>
      </c>
      <c r="G216" s="743">
        <f t="shared" si="112"/>
        <v>0.89924468378900846</v>
      </c>
      <c r="H216" s="743">
        <f t="shared" si="112"/>
        <v>0.89924468378900846</v>
      </c>
      <c r="I216" s="743">
        <f t="shared" si="112"/>
        <v>0.89924468378900846</v>
      </c>
      <c r="J216" s="743">
        <f t="shared" si="112"/>
        <v>0.89924468378900846</v>
      </c>
      <c r="K216" s="743">
        <f t="shared" si="112"/>
        <v>0.89924468378900846</v>
      </c>
      <c r="L216" s="743">
        <f t="shared" si="112"/>
        <v>0.89924468378900846</v>
      </c>
    </row>
    <row r="217" spans="2:12">
      <c r="B217" s="730" t="str">
        <f t="shared" si="98"/>
        <v>Mathematics</v>
      </c>
      <c r="C217" s="742">
        <f t="shared" si="99"/>
        <v>0.81980810234541579</v>
      </c>
      <c r="D217" s="743">
        <f t="shared" ref="D217:L217" si="113">C217</f>
        <v>0.81980810234541579</v>
      </c>
      <c r="E217" s="743">
        <f t="shared" si="113"/>
        <v>0.81980810234541579</v>
      </c>
      <c r="F217" s="743">
        <f t="shared" si="113"/>
        <v>0.81980810234541579</v>
      </c>
      <c r="G217" s="743">
        <f t="shared" si="113"/>
        <v>0.81980810234541579</v>
      </c>
      <c r="H217" s="743">
        <f t="shared" si="113"/>
        <v>0.81980810234541579</v>
      </c>
      <c r="I217" s="743">
        <f t="shared" si="113"/>
        <v>0.81980810234541579</v>
      </c>
      <c r="J217" s="743">
        <f t="shared" si="113"/>
        <v>0.81980810234541579</v>
      </c>
      <c r="K217" s="743">
        <f t="shared" si="113"/>
        <v>0.81980810234541579</v>
      </c>
      <c r="L217" s="743">
        <f t="shared" si="113"/>
        <v>0.81980810234541579</v>
      </c>
    </row>
    <row r="218" spans="2:12">
      <c r="B218" s="730" t="str">
        <f t="shared" si="98"/>
        <v>Modern Foreign Languages</v>
      </c>
      <c r="C218" s="742">
        <f t="shared" si="99"/>
        <v>0.82076492537313417</v>
      </c>
      <c r="D218" s="743">
        <f t="shared" ref="D218:L218" si="114">C218</f>
        <v>0.82076492537313417</v>
      </c>
      <c r="E218" s="743">
        <f t="shared" si="114"/>
        <v>0.82076492537313417</v>
      </c>
      <c r="F218" s="743">
        <f t="shared" si="114"/>
        <v>0.82076492537313417</v>
      </c>
      <c r="G218" s="743">
        <f t="shared" si="114"/>
        <v>0.82076492537313417</v>
      </c>
      <c r="H218" s="743">
        <f t="shared" si="114"/>
        <v>0.82076492537313417</v>
      </c>
      <c r="I218" s="743">
        <f t="shared" si="114"/>
        <v>0.82076492537313417</v>
      </c>
      <c r="J218" s="743">
        <f t="shared" si="114"/>
        <v>0.82076492537313417</v>
      </c>
      <c r="K218" s="743">
        <f t="shared" si="114"/>
        <v>0.82076492537313417</v>
      </c>
      <c r="L218" s="743">
        <f t="shared" si="114"/>
        <v>0.82076492537313417</v>
      </c>
    </row>
    <row r="219" spans="2:12">
      <c r="B219" s="730" t="str">
        <f t="shared" si="98"/>
        <v>Music</v>
      </c>
      <c r="C219" s="742">
        <f t="shared" si="99"/>
        <v>0.90388235294117647</v>
      </c>
      <c r="D219" s="743">
        <f t="shared" ref="D219:L219" si="115">C219</f>
        <v>0.90388235294117647</v>
      </c>
      <c r="E219" s="743">
        <f t="shared" si="115"/>
        <v>0.90388235294117647</v>
      </c>
      <c r="F219" s="743">
        <f t="shared" si="115"/>
        <v>0.90388235294117647</v>
      </c>
      <c r="G219" s="743">
        <f t="shared" si="115"/>
        <v>0.90388235294117647</v>
      </c>
      <c r="H219" s="743">
        <f t="shared" si="115"/>
        <v>0.90388235294117647</v>
      </c>
      <c r="I219" s="743">
        <f t="shared" si="115"/>
        <v>0.90388235294117647</v>
      </c>
      <c r="J219" s="743">
        <f t="shared" si="115"/>
        <v>0.90388235294117647</v>
      </c>
      <c r="K219" s="743">
        <f t="shared" si="115"/>
        <v>0.90388235294117647</v>
      </c>
      <c r="L219" s="743">
        <f t="shared" si="115"/>
        <v>0.90388235294117647</v>
      </c>
    </row>
    <row r="220" spans="2:12">
      <c r="B220" s="730" t="str">
        <f t="shared" si="98"/>
        <v>Others</v>
      </c>
      <c r="C220" s="742">
        <f t="shared" si="99"/>
        <v>0.74606776978353895</v>
      </c>
      <c r="D220" s="743">
        <f t="shared" ref="D220:L220" si="116">C220</f>
        <v>0.74606776978353895</v>
      </c>
      <c r="E220" s="743">
        <f t="shared" si="116"/>
        <v>0.74606776978353895</v>
      </c>
      <c r="F220" s="743">
        <f t="shared" si="116"/>
        <v>0.74606776978353895</v>
      </c>
      <c r="G220" s="743">
        <f t="shared" si="116"/>
        <v>0.74606776978353895</v>
      </c>
      <c r="H220" s="743">
        <f t="shared" si="116"/>
        <v>0.74606776978353895</v>
      </c>
      <c r="I220" s="743">
        <f t="shared" si="116"/>
        <v>0.74606776978353895</v>
      </c>
      <c r="J220" s="743">
        <f t="shared" si="116"/>
        <v>0.74606776978353895</v>
      </c>
      <c r="K220" s="743">
        <f t="shared" si="116"/>
        <v>0.74606776978353895</v>
      </c>
      <c r="L220" s="743">
        <f t="shared" si="116"/>
        <v>0.74606776978353895</v>
      </c>
    </row>
    <row r="221" spans="2:12">
      <c r="B221" s="730" t="str">
        <f t="shared" si="98"/>
        <v>Physical Education</v>
      </c>
      <c r="C221" s="742">
        <f t="shared" si="99"/>
        <v>0.77451742919389965</v>
      </c>
      <c r="D221" s="743">
        <f t="shared" ref="D221:L221" si="117">C221</f>
        <v>0.77451742919389965</v>
      </c>
      <c r="E221" s="743">
        <f t="shared" si="117"/>
        <v>0.77451742919389965</v>
      </c>
      <c r="F221" s="743">
        <f t="shared" si="117"/>
        <v>0.77451742919389965</v>
      </c>
      <c r="G221" s="743">
        <f t="shared" si="117"/>
        <v>0.77451742919389965</v>
      </c>
      <c r="H221" s="743">
        <f t="shared" si="117"/>
        <v>0.77451742919389965</v>
      </c>
      <c r="I221" s="743">
        <f t="shared" si="117"/>
        <v>0.77451742919389965</v>
      </c>
      <c r="J221" s="743">
        <f t="shared" si="117"/>
        <v>0.77451742919389965</v>
      </c>
      <c r="K221" s="743">
        <f t="shared" si="117"/>
        <v>0.77451742919389965</v>
      </c>
      <c r="L221" s="743">
        <f t="shared" si="117"/>
        <v>0.77451742919389965</v>
      </c>
    </row>
    <row r="222" spans="2:12">
      <c r="B222" s="730" t="str">
        <f t="shared" si="98"/>
        <v>Physics</v>
      </c>
      <c r="C222" s="742">
        <f t="shared" si="99"/>
        <v>0.8077104377104376</v>
      </c>
      <c r="D222" s="743">
        <f t="shared" ref="D222:L222" si="118">C222</f>
        <v>0.8077104377104376</v>
      </c>
      <c r="E222" s="743">
        <f t="shared" si="118"/>
        <v>0.8077104377104376</v>
      </c>
      <c r="F222" s="743">
        <f t="shared" si="118"/>
        <v>0.8077104377104376</v>
      </c>
      <c r="G222" s="743">
        <f t="shared" si="118"/>
        <v>0.8077104377104376</v>
      </c>
      <c r="H222" s="743">
        <f t="shared" si="118"/>
        <v>0.8077104377104376</v>
      </c>
      <c r="I222" s="743">
        <f t="shared" si="118"/>
        <v>0.8077104377104376</v>
      </c>
      <c r="J222" s="743">
        <f t="shared" si="118"/>
        <v>0.8077104377104376</v>
      </c>
      <c r="K222" s="743">
        <f t="shared" si="118"/>
        <v>0.8077104377104376</v>
      </c>
      <c r="L222" s="743">
        <f t="shared" si="118"/>
        <v>0.8077104377104376</v>
      </c>
    </row>
    <row r="223" spans="2:12">
      <c r="B223" s="746" t="str">
        <f t="shared" si="98"/>
        <v>Religious Education</v>
      </c>
      <c r="C223" s="742">
        <f t="shared" si="99"/>
        <v>0.8527499999999999</v>
      </c>
      <c r="D223" s="743">
        <f t="shared" ref="D223:L223" si="119">C223</f>
        <v>0.8527499999999999</v>
      </c>
      <c r="E223" s="743">
        <f t="shared" si="119"/>
        <v>0.8527499999999999</v>
      </c>
      <c r="F223" s="743">
        <f t="shared" si="119"/>
        <v>0.8527499999999999</v>
      </c>
      <c r="G223" s="743">
        <f t="shared" si="119"/>
        <v>0.8527499999999999</v>
      </c>
      <c r="H223" s="743">
        <f t="shared" si="119"/>
        <v>0.8527499999999999</v>
      </c>
      <c r="I223" s="743">
        <f t="shared" si="119"/>
        <v>0.8527499999999999</v>
      </c>
      <c r="J223" s="743">
        <f t="shared" si="119"/>
        <v>0.8527499999999999</v>
      </c>
      <c r="K223" s="743">
        <f t="shared" si="119"/>
        <v>0.8527499999999999</v>
      </c>
      <c r="L223" s="743">
        <f t="shared" si="119"/>
        <v>0.8527499999999999</v>
      </c>
    </row>
    <row r="225" spans="2:12" ht="15.75">
      <c r="B225" s="740" t="s">
        <v>1041</v>
      </c>
      <c r="C225" s="740"/>
      <c r="D225" s="731"/>
      <c r="E225" s="812"/>
      <c r="F225" s="731"/>
      <c r="G225" s="812" t="s">
        <v>1135</v>
      </c>
      <c r="H225" s="731"/>
      <c r="I225" s="731"/>
      <c r="J225" s="731"/>
      <c r="K225" s="731"/>
      <c r="L225" s="731"/>
    </row>
    <row r="227" spans="2:12">
      <c r="B227" s="746" t="str">
        <f t="shared" ref="B227:L227" si="120">B203</f>
        <v>Subject</v>
      </c>
      <c r="C227" s="729" t="str">
        <f t="shared" si="120"/>
        <v>2017/18</v>
      </c>
      <c r="D227" s="729" t="str">
        <f t="shared" si="120"/>
        <v>2018/19</v>
      </c>
      <c r="E227" s="729" t="str">
        <f t="shared" si="120"/>
        <v>2019/20</v>
      </c>
      <c r="F227" s="729" t="str">
        <f t="shared" si="120"/>
        <v>2020/21</v>
      </c>
      <c r="G227" s="729" t="str">
        <f t="shared" si="120"/>
        <v>2021/22</v>
      </c>
      <c r="H227" s="729" t="str">
        <f t="shared" si="120"/>
        <v>2022/23</v>
      </c>
      <c r="I227" s="729" t="str">
        <f t="shared" si="120"/>
        <v>2023/24</v>
      </c>
      <c r="J227" s="729" t="str">
        <f t="shared" si="120"/>
        <v>2024/25</v>
      </c>
      <c r="K227" s="729" t="str">
        <f t="shared" si="120"/>
        <v>2025/26</v>
      </c>
      <c r="L227" s="729" t="str">
        <f t="shared" si="120"/>
        <v>2026/27</v>
      </c>
    </row>
    <row r="228" spans="2:12">
      <c r="B228" s="746" t="str">
        <f t="shared" ref="B228:B247" si="121">B204</f>
        <v>Primary</v>
      </c>
      <c r="C228" s="744">
        <f t="shared" ref="C228:L228" si="122">C55/((C156*$E$45)+(C180*$E$46)+(C204*$E$49))</f>
        <v>10854.259675248011</v>
      </c>
      <c r="D228" s="744">
        <f t="shared" si="122"/>
        <v>10097.24132888725</v>
      </c>
      <c r="E228" s="744">
        <f t="shared" si="122"/>
        <v>10183.683075461993</v>
      </c>
      <c r="F228" s="744">
        <f t="shared" si="122"/>
        <v>10052.340908030779</v>
      </c>
      <c r="G228" s="744">
        <f t="shared" si="122"/>
        <v>9859.5071854166054</v>
      </c>
      <c r="H228" s="744">
        <f t="shared" si="122"/>
        <v>9725.6041573329312</v>
      </c>
      <c r="I228" s="744">
        <f t="shared" si="122"/>
        <v>10063.001675115611</v>
      </c>
      <c r="J228" s="744">
        <f t="shared" si="122"/>
        <v>10335.510368733345</v>
      </c>
      <c r="K228" s="744">
        <f t="shared" si="122"/>
        <v>10405.445570084894</v>
      </c>
      <c r="L228" s="744">
        <f t="shared" si="122"/>
        <v>10340.088199569436</v>
      </c>
    </row>
    <row r="229" spans="2:12">
      <c r="B229" s="746" t="str">
        <f t="shared" si="121"/>
        <v>Art &amp; Design</v>
      </c>
      <c r="C229" s="744">
        <f t="shared" ref="C229:L229" si="123">C56/((C157*$E$45)+(C181*$E$46)+(C205*$E$49))</f>
        <v>524.31848331423043</v>
      </c>
      <c r="D229" s="744">
        <f t="shared" si="123"/>
        <v>526.9221105749491</v>
      </c>
      <c r="E229" s="744">
        <f t="shared" si="123"/>
        <v>592.10553932405185</v>
      </c>
      <c r="F229" s="744">
        <f t="shared" si="123"/>
        <v>603.95063649589792</v>
      </c>
      <c r="G229" s="744">
        <f t="shared" si="123"/>
        <v>608.33974649694846</v>
      </c>
      <c r="H229" s="744">
        <f t="shared" si="123"/>
        <v>617.72471257341181</v>
      </c>
      <c r="I229" s="744">
        <f t="shared" si="123"/>
        <v>594.57836074140607</v>
      </c>
      <c r="J229" s="744">
        <f t="shared" si="123"/>
        <v>571.36421745252403</v>
      </c>
      <c r="K229" s="744">
        <f t="shared" si="123"/>
        <v>559.45114175090089</v>
      </c>
      <c r="L229" s="744">
        <f t="shared" si="123"/>
        <v>571.8994835389326</v>
      </c>
    </row>
    <row r="230" spans="2:12">
      <c r="B230" s="746" t="str">
        <f t="shared" si="121"/>
        <v>Biology</v>
      </c>
      <c r="C230" s="744">
        <f t="shared" ref="C230:L230" si="124">C57/((C158*$E$45)+(C182*$E$46)+(C206*$E$49))</f>
        <v>1029.1909172525259</v>
      </c>
      <c r="D230" s="744">
        <f t="shared" si="124"/>
        <v>976.50662591498258</v>
      </c>
      <c r="E230" s="744">
        <f t="shared" si="124"/>
        <v>965.16349400566799</v>
      </c>
      <c r="F230" s="744">
        <f t="shared" si="124"/>
        <v>984.88275227022564</v>
      </c>
      <c r="G230" s="744">
        <f t="shared" si="124"/>
        <v>1012.6481184733057</v>
      </c>
      <c r="H230" s="744">
        <f t="shared" si="124"/>
        <v>994.08204733839875</v>
      </c>
      <c r="I230" s="744">
        <f t="shared" si="124"/>
        <v>966.5676555161557</v>
      </c>
      <c r="J230" s="744">
        <f t="shared" si="124"/>
        <v>977.80068857625349</v>
      </c>
      <c r="K230" s="744">
        <f t="shared" si="124"/>
        <v>972.00528808995716</v>
      </c>
      <c r="L230" s="744">
        <f t="shared" si="124"/>
        <v>936.76046407676984</v>
      </c>
    </row>
    <row r="231" spans="2:12">
      <c r="B231" s="746" t="str">
        <f t="shared" si="121"/>
        <v>Business Studies</v>
      </c>
      <c r="C231" s="744">
        <f t="shared" ref="C231:L231" si="125">C58/((C159*$E$45)+(C183*$E$46)+(C207*$E$49))</f>
        <v>205.4393455430683</v>
      </c>
      <c r="D231" s="744">
        <f t="shared" si="125"/>
        <v>154.73031215653668</v>
      </c>
      <c r="E231" s="744">
        <f t="shared" si="125"/>
        <v>230.25432713837159</v>
      </c>
      <c r="F231" s="744">
        <f t="shared" si="125"/>
        <v>265.72270845001691</v>
      </c>
      <c r="G231" s="744">
        <f t="shared" si="125"/>
        <v>288.138772825145</v>
      </c>
      <c r="H231" s="744">
        <f t="shared" si="125"/>
        <v>279.50556957702577</v>
      </c>
      <c r="I231" s="744">
        <f t="shared" si="125"/>
        <v>288.37516007332869</v>
      </c>
      <c r="J231" s="744">
        <f t="shared" si="125"/>
        <v>297.43716011846141</v>
      </c>
      <c r="K231" s="744">
        <f t="shared" si="125"/>
        <v>299.14185935673322</v>
      </c>
      <c r="L231" s="744">
        <f t="shared" si="125"/>
        <v>281.13071723897468</v>
      </c>
    </row>
    <row r="232" spans="2:12">
      <c r="B232" s="746" t="str">
        <f t="shared" si="121"/>
        <v>Chemistry</v>
      </c>
      <c r="C232" s="744">
        <f t="shared" ref="C232:L232" si="126">C59/((C160*$E$45)+(C184*$E$46)+(C208*$E$49))</f>
        <v>830.14363919117704</v>
      </c>
      <c r="D232" s="744">
        <f t="shared" si="126"/>
        <v>830.74910897295854</v>
      </c>
      <c r="E232" s="744">
        <f t="shared" si="126"/>
        <v>818.66794804664971</v>
      </c>
      <c r="F232" s="744">
        <f t="shared" si="126"/>
        <v>834.0863892280554</v>
      </c>
      <c r="G232" s="744">
        <f t="shared" si="126"/>
        <v>855.95643833698648</v>
      </c>
      <c r="H232" s="744">
        <f t="shared" si="126"/>
        <v>833.75962137253532</v>
      </c>
      <c r="I232" s="744">
        <f t="shared" si="126"/>
        <v>808.77152651483152</v>
      </c>
      <c r="J232" s="744">
        <f t="shared" si="126"/>
        <v>820.75452915479821</v>
      </c>
      <c r="K232" s="744">
        <f t="shared" si="126"/>
        <v>814.95539049054241</v>
      </c>
      <c r="L232" s="744">
        <f t="shared" si="126"/>
        <v>777.50438629257485</v>
      </c>
    </row>
    <row r="233" spans="2:12">
      <c r="B233" s="746" t="str">
        <f t="shared" si="121"/>
        <v>Classics</v>
      </c>
      <c r="C233" s="744">
        <f t="shared" ref="C233:L233" si="127">C60/((C161*$E$45)+(C185*$E$46)+(C209*$E$49))</f>
        <v>26.406619347563627</v>
      </c>
      <c r="D233" s="744">
        <f t="shared" si="127"/>
        <v>25.665699615735249</v>
      </c>
      <c r="E233" s="744">
        <f t="shared" si="127"/>
        <v>25.343930817917428</v>
      </c>
      <c r="F233" s="744">
        <f t="shared" si="127"/>
        <v>25.471600936415502</v>
      </c>
      <c r="G233" s="744">
        <f t="shared" si="127"/>
        <v>25.92673456565673</v>
      </c>
      <c r="H233" s="744">
        <f t="shared" si="127"/>
        <v>25.781431898133786</v>
      </c>
      <c r="I233" s="744">
        <f t="shared" si="127"/>
        <v>25.388775958792589</v>
      </c>
      <c r="J233" s="744">
        <f t="shared" si="127"/>
        <v>24.776144823126234</v>
      </c>
      <c r="K233" s="744">
        <f t="shared" si="127"/>
        <v>24.445051881676129</v>
      </c>
      <c r="L233" s="744">
        <f t="shared" si="127"/>
        <v>24.423615704299756</v>
      </c>
    </row>
    <row r="234" spans="2:12">
      <c r="B234" s="746" t="str">
        <f t="shared" si="121"/>
        <v>Computing</v>
      </c>
      <c r="C234" s="744">
        <f t="shared" ref="C234:L234" si="128">C61/((C162*$E$45)+(C186*$E$46)+(C210*$E$49))</f>
        <v>373.25577509170205</v>
      </c>
      <c r="D234" s="744">
        <f t="shared" si="128"/>
        <v>358.9823895731231</v>
      </c>
      <c r="E234" s="744">
        <f t="shared" si="128"/>
        <v>476.29524655214715</v>
      </c>
      <c r="F234" s="744">
        <f t="shared" si="128"/>
        <v>512.33010617059551</v>
      </c>
      <c r="G234" s="744">
        <f t="shared" si="128"/>
        <v>520.91595673277743</v>
      </c>
      <c r="H234" s="744">
        <f t="shared" si="128"/>
        <v>525.01636675901727</v>
      </c>
      <c r="I234" s="744">
        <f t="shared" si="128"/>
        <v>508.99942330043643</v>
      </c>
      <c r="J234" s="744">
        <f t="shared" si="128"/>
        <v>497.43119820463096</v>
      </c>
      <c r="K234" s="744">
        <f t="shared" si="128"/>
        <v>490.02131831017414</v>
      </c>
      <c r="L234" s="744">
        <f t="shared" si="128"/>
        <v>492.6420374090518</v>
      </c>
    </row>
    <row r="235" spans="2:12">
      <c r="B235" s="746" t="str">
        <f t="shared" si="121"/>
        <v>Design &amp; Technology</v>
      </c>
      <c r="C235" s="744">
        <f t="shared" ref="C235:L235" si="129">C62/((C163*$E$45)+(C187*$E$46)+(C211*$E$49))</f>
        <v>631.43624085436363</v>
      </c>
      <c r="D235" s="744">
        <f t="shared" si="129"/>
        <v>570.94987916966136</v>
      </c>
      <c r="E235" s="744">
        <f t="shared" si="129"/>
        <v>693.96179973161975</v>
      </c>
      <c r="F235" s="744">
        <f t="shared" si="129"/>
        <v>729.91790441704836</v>
      </c>
      <c r="G235" s="744">
        <f t="shared" si="129"/>
        <v>715.2388851365572</v>
      </c>
      <c r="H235" s="744">
        <f t="shared" si="129"/>
        <v>728.61351044808634</v>
      </c>
      <c r="I235" s="744">
        <f t="shared" si="129"/>
        <v>683.7687096583378</v>
      </c>
      <c r="J235" s="744">
        <f t="shared" si="129"/>
        <v>639.67899589850128</v>
      </c>
      <c r="K235" s="744">
        <f t="shared" si="129"/>
        <v>618.10228699106642</v>
      </c>
      <c r="L235" s="744">
        <f t="shared" si="129"/>
        <v>646.0325831918741</v>
      </c>
    </row>
    <row r="236" spans="2:12">
      <c r="B236" s="746" t="str">
        <f t="shared" si="121"/>
        <v>Drama</v>
      </c>
      <c r="C236" s="744">
        <f t="shared" ref="C236:L236" si="130">C63/((C164*$E$45)+(C188*$E$46)+(C212*$E$49))</f>
        <v>316.69847469244741</v>
      </c>
      <c r="D236" s="744">
        <f t="shared" si="130"/>
        <v>305.93198251758457</v>
      </c>
      <c r="E236" s="744">
        <f t="shared" si="130"/>
        <v>303.70621873478052</v>
      </c>
      <c r="F236" s="744">
        <f t="shared" si="130"/>
        <v>327.52456101170719</v>
      </c>
      <c r="G236" s="744">
        <f t="shared" si="130"/>
        <v>329.72079908992851</v>
      </c>
      <c r="H236" s="744">
        <f t="shared" si="130"/>
        <v>337.23145685433292</v>
      </c>
      <c r="I236" s="744">
        <f t="shared" si="130"/>
        <v>323.86130868827092</v>
      </c>
      <c r="J236" s="744">
        <f t="shared" si="130"/>
        <v>311.52960354646569</v>
      </c>
      <c r="K236" s="744">
        <f t="shared" si="130"/>
        <v>306.06044456439912</v>
      </c>
      <c r="L236" s="744">
        <f t="shared" si="130"/>
        <v>315.99985804359352</v>
      </c>
    </row>
    <row r="237" spans="2:12">
      <c r="B237" s="746" t="str">
        <f t="shared" si="121"/>
        <v>English</v>
      </c>
      <c r="C237" s="744">
        <f t="shared" ref="C237:L237" si="131">C64/((C165*$E$45)+(C189*$E$46)+(C213*$E$49))</f>
        <v>2234.6246339685758</v>
      </c>
      <c r="D237" s="744">
        <f t="shared" si="131"/>
        <v>2139.9278925490903</v>
      </c>
      <c r="E237" s="744">
        <f t="shared" si="131"/>
        <v>2089.4324230497218</v>
      </c>
      <c r="F237" s="744">
        <f t="shared" si="131"/>
        <v>2098.5977370456517</v>
      </c>
      <c r="G237" s="744">
        <f t="shared" si="131"/>
        <v>2116.6195072322794</v>
      </c>
      <c r="H237" s="744">
        <f t="shared" si="131"/>
        <v>2092.4073788576929</v>
      </c>
      <c r="I237" s="744">
        <f t="shared" si="131"/>
        <v>1996.0173835868654</v>
      </c>
      <c r="J237" s="744">
        <f t="shared" si="131"/>
        <v>1983.8160280524578</v>
      </c>
      <c r="K237" s="744">
        <f t="shared" si="131"/>
        <v>1956.6862908918977</v>
      </c>
      <c r="L237" s="744">
        <f t="shared" si="131"/>
        <v>1919.0448447042359</v>
      </c>
    </row>
    <row r="238" spans="2:12">
      <c r="B238" s="746" t="str">
        <f t="shared" si="121"/>
        <v>Food</v>
      </c>
      <c r="C238" s="744">
        <f t="shared" ref="C238:L238" si="132">C65/((C166*$E$45)+(C190*$E$46)+(C214*$E$49))</f>
        <v>131.85863913892032</v>
      </c>
      <c r="D238" s="744">
        <f t="shared" si="132"/>
        <v>116.00640685747219</v>
      </c>
      <c r="E238" s="744">
        <f t="shared" si="132"/>
        <v>156.44602442972942</v>
      </c>
      <c r="F238" s="744">
        <f t="shared" si="132"/>
        <v>166.8523244929153</v>
      </c>
      <c r="G238" s="744">
        <f t="shared" si="132"/>
        <v>167.29159913782814</v>
      </c>
      <c r="H238" s="744">
        <f t="shared" si="132"/>
        <v>160.57701148582348</v>
      </c>
      <c r="I238" s="744">
        <f t="shared" si="132"/>
        <v>152.61766120636511</v>
      </c>
      <c r="J238" s="744">
        <f t="shared" si="132"/>
        <v>153.64326913842461</v>
      </c>
      <c r="K238" s="744">
        <f t="shared" si="132"/>
        <v>151.14656211292245</v>
      </c>
      <c r="L238" s="744">
        <f t="shared" si="132"/>
        <v>142.76829712504366</v>
      </c>
    </row>
    <row r="239" spans="2:12">
      <c r="B239" s="746" t="str">
        <f t="shared" si="121"/>
        <v>Geography</v>
      </c>
      <c r="C239" s="744">
        <f t="shared" ref="C239:L239" si="133">C66/((C167*$E$45)+(C191*$E$46)+(C215*$E$49))</f>
        <v>1333.9407204349386</v>
      </c>
      <c r="D239" s="744">
        <f t="shared" si="133"/>
        <v>1310.9077260129764</v>
      </c>
      <c r="E239" s="744">
        <f t="shared" si="133"/>
        <v>1020.1909065836179</v>
      </c>
      <c r="F239" s="744">
        <f t="shared" si="133"/>
        <v>967.47348027107728</v>
      </c>
      <c r="G239" s="744">
        <f t="shared" si="133"/>
        <v>974.92093800681744</v>
      </c>
      <c r="H239" s="744">
        <f t="shared" si="133"/>
        <v>986.44229608636135</v>
      </c>
      <c r="I239" s="744">
        <f t="shared" si="133"/>
        <v>911.66058852388699</v>
      </c>
      <c r="J239" s="744">
        <f t="shared" si="133"/>
        <v>871.9491687294468</v>
      </c>
      <c r="K239" s="744">
        <f t="shared" si="133"/>
        <v>845.9677357418343</v>
      </c>
      <c r="L239" s="744">
        <f t="shared" si="133"/>
        <v>860.55909374592432</v>
      </c>
    </row>
    <row r="240" spans="2:12">
      <c r="B240" s="746" t="str">
        <f t="shared" si="121"/>
        <v>History</v>
      </c>
      <c r="C240" s="744">
        <f t="shared" ref="C240:L240" si="134">C67/((C168*$E$45)+(C192*$E$46)+(C216*$E$49))</f>
        <v>1105.860449572705</v>
      </c>
      <c r="D240" s="744">
        <f t="shared" si="134"/>
        <v>1169.4508853289865</v>
      </c>
      <c r="E240" s="744">
        <f t="shared" si="134"/>
        <v>926.69175510795276</v>
      </c>
      <c r="F240" s="744">
        <f t="shared" si="134"/>
        <v>914.11210483870423</v>
      </c>
      <c r="G240" s="744">
        <f t="shared" si="134"/>
        <v>927.17651318237176</v>
      </c>
      <c r="H240" s="744">
        <f t="shared" si="134"/>
        <v>935.8972162832697</v>
      </c>
      <c r="I240" s="744">
        <f t="shared" si="134"/>
        <v>870.71735585762622</v>
      </c>
      <c r="J240" s="744">
        <f t="shared" si="134"/>
        <v>835.6205375750402</v>
      </c>
      <c r="K240" s="744">
        <f t="shared" si="134"/>
        <v>811.99311690806803</v>
      </c>
      <c r="L240" s="744">
        <f t="shared" si="134"/>
        <v>821.35983983284746</v>
      </c>
    </row>
    <row r="241" spans="2:23">
      <c r="B241" s="746" t="str">
        <f t="shared" si="121"/>
        <v>Mathematics</v>
      </c>
      <c r="C241" s="744">
        <f t="shared" ref="C241:L241" si="135">C68/((C169*$E$45)+(C193*$E$46)+(C217*$E$49))</f>
        <v>2499.9452941099198</v>
      </c>
      <c r="D241" s="744">
        <f t="shared" si="135"/>
        <v>2417.2176380609062</v>
      </c>
      <c r="E241" s="744">
        <f t="shared" si="135"/>
        <v>2392.4279249635106</v>
      </c>
      <c r="F241" s="744">
        <f t="shared" si="135"/>
        <v>2329.6429002715849</v>
      </c>
      <c r="G241" s="744">
        <f t="shared" si="135"/>
        <v>2345.6149071480813</v>
      </c>
      <c r="H241" s="744">
        <f t="shared" si="135"/>
        <v>2317.2182719237303</v>
      </c>
      <c r="I241" s="744">
        <f t="shared" si="135"/>
        <v>2212.7020423685858</v>
      </c>
      <c r="J241" s="744">
        <f t="shared" si="135"/>
        <v>2186.8558948645236</v>
      </c>
      <c r="K241" s="744">
        <f t="shared" si="135"/>
        <v>2150.7629458756201</v>
      </c>
      <c r="L241" s="744">
        <f t="shared" si="135"/>
        <v>2110.9833323995194</v>
      </c>
    </row>
    <row r="242" spans="2:23">
      <c r="B242" s="746" t="str">
        <f t="shared" si="121"/>
        <v>Modern Foreign Languages</v>
      </c>
      <c r="C242" s="744">
        <f t="shared" ref="C242:L242" si="136">C69/((C170*$E$45)+(C194*$E$46)+(C218*$E$49))</f>
        <v>2864.1131889763569</v>
      </c>
      <c r="D242" s="744">
        <f t="shared" si="136"/>
        <v>3131.2335099534189</v>
      </c>
      <c r="E242" s="744">
        <f t="shared" si="136"/>
        <v>2120.4713887412081</v>
      </c>
      <c r="F242" s="744">
        <f t="shared" si="136"/>
        <v>1647.1963452907892</v>
      </c>
      <c r="G242" s="744">
        <f t="shared" si="136"/>
        <v>1635.2341304034815</v>
      </c>
      <c r="H242" s="744">
        <f t="shared" si="136"/>
        <v>1639.3637470495503</v>
      </c>
      <c r="I242" s="744">
        <f t="shared" si="136"/>
        <v>1492.6338870274792</v>
      </c>
      <c r="J242" s="744">
        <f t="shared" si="136"/>
        <v>1417.1564356498213</v>
      </c>
      <c r="K242" s="744">
        <f t="shared" si="136"/>
        <v>1362.3443302380761</v>
      </c>
      <c r="L242" s="744">
        <f t="shared" si="136"/>
        <v>1375.4600463011225</v>
      </c>
    </row>
    <row r="243" spans="2:23">
      <c r="B243" s="746" t="str">
        <f t="shared" si="121"/>
        <v>Music</v>
      </c>
      <c r="C243" s="744">
        <f t="shared" ref="C243:L243" si="137">C70/((C171*$E$45)+(C195*$E$46)+(C219*$E$49))</f>
        <v>343.07431916611068</v>
      </c>
      <c r="D243" s="744">
        <f t="shared" si="137"/>
        <v>354.79455426974118</v>
      </c>
      <c r="E243" s="744">
        <f t="shared" si="137"/>
        <v>349.59559832104389</v>
      </c>
      <c r="F243" s="744">
        <f t="shared" si="137"/>
        <v>343.47970275483044</v>
      </c>
      <c r="G243" s="744">
        <f t="shared" si="137"/>
        <v>339.9126424811933</v>
      </c>
      <c r="H243" s="744">
        <f t="shared" si="137"/>
        <v>352.88192097040206</v>
      </c>
      <c r="I243" s="744">
        <f t="shared" si="137"/>
        <v>334.21383465149972</v>
      </c>
      <c r="J243" s="744">
        <f t="shared" si="137"/>
        <v>312.82754703465997</v>
      </c>
      <c r="K243" s="744">
        <f t="shared" si="137"/>
        <v>304.41252544676809</v>
      </c>
      <c r="L243" s="744">
        <f t="shared" si="137"/>
        <v>324.27793316890597</v>
      </c>
    </row>
    <row r="244" spans="2:23">
      <c r="B244" s="746" t="str">
        <f t="shared" si="121"/>
        <v>Others</v>
      </c>
      <c r="C244" s="744">
        <f t="shared" ref="C244:L244" si="138">C71/((C172*$E$45)+(C196*$E$46)+(C220*$E$49))</f>
        <v>754.23431700028323</v>
      </c>
      <c r="D244" s="744">
        <f t="shared" si="138"/>
        <v>621.53768605254629</v>
      </c>
      <c r="E244" s="744">
        <f t="shared" si="138"/>
        <v>792.90447105911028</v>
      </c>
      <c r="F244" s="744">
        <f t="shared" si="138"/>
        <v>924.78985618093066</v>
      </c>
      <c r="G244" s="744">
        <f t="shared" si="138"/>
        <v>976.46521064145941</v>
      </c>
      <c r="H244" s="744">
        <f t="shared" si="138"/>
        <v>975.55028776228426</v>
      </c>
      <c r="I244" s="744">
        <f t="shared" si="138"/>
        <v>991.0599512751071</v>
      </c>
      <c r="J244" s="744">
        <f t="shared" si="138"/>
        <v>981.55818482914356</v>
      </c>
      <c r="K244" s="744">
        <f t="shared" si="138"/>
        <v>977.46076719533642</v>
      </c>
      <c r="L244" s="744">
        <f t="shared" si="138"/>
        <v>967.17116375550688</v>
      </c>
    </row>
    <row r="245" spans="2:23">
      <c r="B245" s="746" t="str">
        <f t="shared" si="121"/>
        <v>Physical Education</v>
      </c>
      <c r="C245" s="744">
        <f t="shared" ref="C245:L245" si="139">C72/((C173*$E$45)+(C197*$E$46)+(C221*$E$49))</f>
        <v>901.64639023750351</v>
      </c>
      <c r="D245" s="744">
        <f t="shared" si="139"/>
        <v>880.11954287409401</v>
      </c>
      <c r="E245" s="744">
        <f t="shared" si="139"/>
        <v>995.89022644824558</v>
      </c>
      <c r="F245" s="744">
        <f t="shared" si="139"/>
        <v>1047.531908218047</v>
      </c>
      <c r="G245" s="744">
        <f t="shared" si="139"/>
        <v>1064.4423801351115</v>
      </c>
      <c r="H245" s="744">
        <f t="shared" si="139"/>
        <v>1071.7729591337784</v>
      </c>
      <c r="I245" s="744">
        <f t="shared" si="139"/>
        <v>1022.8562079108395</v>
      </c>
      <c r="J245" s="744">
        <f t="shared" si="139"/>
        <v>1009.3687524652477</v>
      </c>
      <c r="K245" s="744">
        <f t="shared" si="139"/>
        <v>997.58671652590363</v>
      </c>
      <c r="L245" s="744">
        <f t="shared" si="139"/>
        <v>1000.316704396299</v>
      </c>
    </row>
    <row r="246" spans="2:23">
      <c r="B246" s="746" t="str">
        <f t="shared" si="121"/>
        <v>Physics</v>
      </c>
      <c r="C246" s="744">
        <f t="shared" ref="C246:L246" si="140">C73/((C174*$E$45)+(C198*$E$46)+(C222*$E$49))</f>
        <v>830.99961288819281</v>
      </c>
      <c r="D246" s="744">
        <f t="shared" si="140"/>
        <v>828.26908763597362</v>
      </c>
      <c r="E246" s="744">
        <f t="shared" si="140"/>
        <v>812.39942166531876</v>
      </c>
      <c r="F246" s="744">
        <f t="shared" si="140"/>
        <v>825.65029466288388</v>
      </c>
      <c r="G246" s="744">
        <f t="shared" si="140"/>
        <v>845.17230212798802</v>
      </c>
      <c r="H246" s="744">
        <f t="shared" si="140"/>
        <v>818.87944043454172</v>
      </c>
      <c r="I246" s="744">
        <f t="shared" si="140"/>
        <v>790.379231993909</v>
      </c>
      <c r="J246" s="744">
        <f t="shared" si="140"/>
        <v>803.83714994660545</v>
      </c>
      <c r="K246" s="744">
        <f t="shared" si="140"/>
        <v>797.20034151658479</v>
      </c>
      <c r="L246" s="744">
        <f t="shared" si="140"/>
        <v>755.21261216247376</v>
      </c>
    </row>
    <row r="247" spans="2:23">
      <c r="B247" s="746" t="str">
        <f t="shared" si="121"/>
        <v>Religious Education</v>
      </c>
      <c r="C247" s="744">
        <f t="shared" ref="C247:L247" si="141">C74/((C175*$E$45)+(C199*$E$46)+(C223*$E$49))</f>
        <v>557.97574826629204</v>
      </c>
      <c r="D247" s="744">
        <f t="shared" si="141"/>
        <v>520.41120121275321</v>
      </c>
      <c r="E247" s="744">
        <f t="shared" si="141"/>
        <v>514.26748432419163</v>
      </c>
      <c r="F247" s="744">
        <f t="shared" si="141"/>
        <v>512.13534528308514</v>
      </c>
      <c r="G247" s="744">
        <f t="shared" si="141"/>
        <v>514.87929910140372</v>
      </c>
      <c r="H247" s="744">
        <f t="shared" si="141"/>
        <v>513.66557703270314</v>
      </c>
      <c r="I247" s="744">
        <f t="shared" si="141"/>
        <v>489.807243366769</v>
      </c>
      <c r="J247" s="744">
        <f t="shared" si="141"/>
        <v>479.86915375913952</v>
      </c>
      <c r="K247" s="744">
        <f t="shared" si="141"/>
        <v>471.62885885067465</v>
      </c>
      <c r="L247" s="744">
        <f t="shared" si="141"/>
        <v>470.42410696228848</v>
      </c>
    </row>
    <row r="248" spans="2:23">
      <c r="B248" s="746" t="s">
        <v>8</v>
      </c>
      <c r="C248" s="744">
        <f>SUM(C228:C247)</f>
        <v>28349.42248429489</v>
      </c>
      <c r="D248" s="744">
        <f t="shared" ref="D248:L248" si="142">SUM(D228:D247)</f>
        <v>27337.555568190739</v>
      </c>
      <c r="E248" s="744">
        <f t="shared" si="142"/>
        <v>26459.899204506852</v>
      </c>
      <c r="F248" s="744">
        <f t="shared" si="142"/>
        <v>26113.689566321238</v>
      </c>
      <c r="G248" s="744">
        <f t="shared" si="142"/>
        <v>26124.122066671924</v>
      </c>
      <c r="H248" s="744">
        <f t="shared" si="142"/>
        <v>25931.974981174015</v>
      </c>
      <c r="I248" s="744">
        <f t="shared" si="142"/>
        <v>25527.977983336095</v>
      </c>
      <c r="J248" s="744">
        <f t="shared" si="142"/>
        <v>25512.785028552615</v>
      </c>
      <c r="K248" s="744">
        <f t="shared" si="142"/>
        <v>25316.818542824029</v>
      </c>
      <c r="L248" s="744">
        <f t="shared" si="142"/>
        <v>25134.059319619675</v>
      </c>
    </row>
    <row r="250" spans="2:23" ht="15.75">
      <c r="B250" s="740" t="s">
        <v>1042</v>
      </c>
      <c r="C250" s="731"/>
      <c r="D250" s="731"/>
      <c r="E250" s="731"/>
      <c r="F250" s="731"/>
      <c r="G250" s="812" t="s">
        <v>1136</v>
      </c>
      <c r="H250" s="731"/>
      <c r="I250" s="731"/>
      <c r="J250" s="731"/>
      <c r="K250" s="731"/>
      <c r="L250" s="731"/>
    </row>
    <row r="252" spans="2:23">
      <c r="B252" s="746" t="str">
        <f>B227</f>
        <v>Subject</v>
      </c>
      <c r="C252" s="729" t="str">
        <f>C227</f>
        <v>2017/18</v>
      </c>
      <c r="D252" s="729" t="str">
        <f t="shared" ref="D252:L252" si="143">D227</f>
        <v>2018/19</v>
      </c>
      <c r="E252" s="729" t="str">
        <f t="shared" si="143"/>
        <v>2019/20</v>
      </c>
      <c r="F252" s="729" t="str">
        <f t="shared" si="143"/>
        <v>2020/21</v>
      </c>
      <c r="G252" s="729" t="str">
        <f t="shared" si="143"/>
        <v>2021/22</v>
      </c>
      <c r="H252" s="729" t="str">
        <f t="shared" si="143"/>
        <v>2022/23</v>
      </c>
      <c r="I252" s="729" t="str">
        <f t="shared" si="143"/>
        <v>2023/24</v>
      </c>
      <c r="J252" s="729" t="str">
        <f t="shared" si="143"/>
        <v>2024/25</v>
      </c>
      <c r="K252" s="729" t="str">
        <f t="shared" si="143"/>
        <v>2025/26</v>
      </c>
      <c r="L252" s="729" t="str">
        <f t="shared" si="143"/>
        <v>2026/27</v>
      </c>
    </row>
    <row r="253" spans="2:23">
      <c r="B253" s="746" t="str">
        <f t="shared" ref="B253:B273" si="144">B228</f>
        <v>Primary</v>
      </c>
      <c r="C253" s="744">
        <f t="shared" ref="C253:L253" si="145">C55/((C82*C156*$E$45)+(C106*C180*$E$46)+(C130*C204*$E$49))</f>
        <v>12120.954810176481</v>
      </c>
      <c r="D253" s="744">
        <f t="shared" si="145"/>
        <v>11275.592211413737</v>
      </c>
      <c r="E253" s="744">
        <f t="shared" si="145"/>
        <v>11372.121733950818</v>
      </c>
      <c r="F253" s="744">
        <f t="shared" si="145"/>
        <v>11225.451898905803</v>
      </c>
      <c r="G253" s="744">
        <f t="shared" si="145"/>
        <v>11010.114427017737</v>
      </c>
      <c r="H253" s="744">
        <f t="shared" si="145"/>
        <v>10860.584878167052</v>
      </c>
      <c r="I253" s="744">
        <f t="shared" si="145"/>
        <v>11237.356780486234</v>
      </c>
      <c r="J253" s="744">
        <f t="shared" si="145"/>
        <v>11541.667314741562</v>
      </c>
      <c r="K253" s="744">
        <f t="shared" si="145"/>
        <v>11619.763973618792</v>
      </c>
      <c r="L253" s="744">
        <f t="shared" si="145"/>
        <v>11546.77937971449</v>
      </c>
      <c r="N253" s="10"/>
      <c r="O253" s="10"/>
      <c r="P253" s="10"/>
      <c r="Q253" s="10"/>
      <c r="R253" s="10"/>
      <c r="S253" s="10"/>
      <c r="T253" s="10"/>
      <c r="U253" s="10"/>
      <c r="V253" s="10"/>
      <c r="W253" s="10"/>
    </row>
    <row r="254" spans="2:23">
      <c r="B254" s="746" t="str">
        <f t="shared" si="144"/>
        <v>Art &amp; Design</v>
      </c>
      <c r="C254" s="744">
        <f t="shared" ref="C254:L254" si="146">C56/((C83*C157*$E$45)+(C107*C181*$E$46)+(C131*C205*$E$49))</f>
        <v>577.09697709165653</v>
      </c>
      <c r="D254" s="744">
        <f t="shared" si="146"/>
        <v>579.96268842827885</v>
      </c>
      <c r="E254" s="744">
        <f t="shared" si="146"/>
        <v>651.70755511655113</v>
      </c>
      <c r="F254" s="744">
        <f t="shared" si="146"/>
        <v>664.74499321718838</v>
      </c>
      <c r="G254" s="744">
        <f t="shared" si="146"/>
        <v>669.57591601380284</v>
      </c>
      <c r="H254" s="744">
        <f t="shared" si="146"/>
        <v>679.90558343006444</v>
      </c>
      <c r="I254" s="744">
        <f t="shared" si="146"/>
        <v>654.42929354511489</v>
      </c>
      <c r="J254" s="744">
        <f t="shared" si="146"/>
        <v>628.87838823827781</v>
      </c>
      <c r="K254" s="744">
        <f t="shared" si="146"/>
        <v>615.76612881188157</v>
      </c>
      <c r="L254" s="744">
        <f t="shared" si="146"/>
        <v>629.46753481661972</v>
      </c>
      <c r="N254" s="10"/>
      <c r="O254" s="10"/>
      <c r="P254" s="10"/>
      <c r="Q254" s="10"/>
      <c r="R254" s="10"/>
      <c r="S254" s="10"/>
      <c r="T254" s="10"/>
      <c r="U254" s="10"/>
      <c r="V254" s="10"/>
      <c r="W254" s="10"/>
    </row>
    <row r="255" spans="2:23">
      <c r="B255" s="746" t="str">
        <f t="shared" si="144"/>
        <v>Biology</v>
      </c>
      <c r="C255" s="744">
        <f t="shared" ref="C255:L255" si="147">C57/((C84*C158*$E$45)+(C108*C182*$E$46)+(C132*C206*$E$49))</f>
        <v>1187.7114497941952</v>
      </c>
      <c r="D255" s="744">
        <f t="shared" si="147"/>
        <v>1126.9124911200001</v>
      </c>
      <c r="E255" s="744">
        <f t="shared" si="147"/>
        <v>1113.8222399145347</v>
      </c>
      <c r="F255" s="744">
        <f t="shared" si="147"/>
        <v>1136.5787454662809</v>
      </c>
      <c r="G255" s="744">
        <f t="shared" si="147"/>
        <v>1168.6206560528622</v>
      </c>
      <c r="H255" s="744">
        <f t="shared" si="147"/>
        <v>1147.1949566078174</v>
      </c>
      <c r="I255" s="744">
        <f t="shared" si="147"/>
        <v>1115.4426765851367</v>
      </c>
      <c r="J255" s="744">
        <f t="shared" si="147"/>
        <v>1128.4058710301586</v>
      </c>
      <c r="K255" s="744">
        <f t="shared" si="147"/>
        <v>1121.7178373540626</v>
      </c>
      <c r="L255" s="744">
        <f t="shared" si="147"/>
        <v>1081.0444498175762</v>
      </c>
    </row>
    <row r="256" spans="2:23">
      <c r="B256" s="746" t="str">
        <f t="shared" si="144"/>
        <v>Business Studies</v>
      </c>
      <c r="C256" s="744">
        <f t="shared" ref="C256:L256" si="148">C58/((C85*C159*$E$45)+(C109*C183*$E$46)+(C133*C207*$E$49))</f>
        <v>217.57177227814842</v>
      </c>
      <c r="D256" s="744">
        <f t="shared" si="148"/>
        <v>163.8680660321287</v>
      </c>
      <c r="E256" s="744">
        <f t="shared" si="148"/>
        <v>243.85222751649474</v>
      </c>
      <c r="F256" s="744">
        <f t="shared" si="148"/>
        <v>281.41522968344844</v>
      </c>
      <c r="G256" s="744">
        <f t="shared" si="148"/>
        <v>305.15509723756918</v>
      </c>
      <c r="H256" s="744">
        <f t="shared" si="148"/>
        <v>296.01205150713486</v>
      </c>
      <c r="I256" s="744">
        <f t="shared" si="148"/>
        <v>305.40544457193852</v>
      </c>
      <c r="J256" s="744">
        <f t="shared" si="148"/>
        <v>315.00261012458503</v>
      </c>
      <c r="K256" s="744">
        <f t="shared" si="148"/>
        <v>316.8079820872515</v>
      </c>
      <c r="L256" s="744">
        <f t="shared" si="148"/>
        <v>297.73317389529876</v>
      </c>
    </row>
    <row r="257" spans="2:12">
      <c r="B257" s="746" t="str">
        <f t="shared" si="144"/>
        <v>Chemistry</v>
      </c>
      <c r="C257" s="744">
        <f t="shared" ref="C257:L257" si="149">C59/((C86*C160*$E$45)+(C110*C184*$E$46)+(C134*C208*$E$49))</f>
        <v>966.07666319765076</v>
      </c>
      <c r="D257" s="744">
        <f t="shared" si="149"/>
        <v>966.78127647038559</v>
      </c>
      <c r="E257" s="744">
        <f t="shared" si="149"/>
        <v>952.72186905673129</v>
      </c>
      <c r="F257" s="744">
        <f t="shared" si="149"/>
        <v>970.66502431930064</v>
      </c>
      <c r="G257" s="744">
        <f t="shared" si="149"/>
        <v>996.11621501650393</v>
      </c>
      <c r="H257" s="744">
        <f t="shared" si="149"/>
        <v>970.2847494071076</v>
      </c>
      <c r="I257" s="744">
        <f t="shared" si="149"/>
        <v>941.20494422626291</v>
      </c>
      <c r="J257" s="744">
        <f t="shared" si="149"/>
        <v>955.15012028854881</v>
      </c>
      <c r="K257" s="744">
        <f t="shared" si="149"/>
        <v>948.40139360355818</v>
      </c>
      <c r="L257" s="744">
        <f t="shared" si="149"/>
        <v>904.81792267047354</v>
      </c>
    </row>
    <row r="258" spans="2:12">
      <c r="B258" s="746" t="str">
        <f t="shared" si="144"/>
        <v>Classics</v>
      </c>
      <c r="C258" s="744">
        <f t="shared" ref="C258:L258" si="150">C60/((C87*C161*$E$45)+(C111*C185*$E$46)+(C135*C209*$E$49))</f>
        <v>29.973264994570943</v>
      </c>
      <c r="D258" s="744">
        <f t="shared" si="150"/>
        <v>29.1322719401591</v>
      </c>
      <c r="E258" s="744">
        <f t="shared" si="150"/>
        <v>28.767043005813594</v>
      </c>
      <c r="F258" s="744">
        <f t="shared" si="150"/>
        <v>28.911957061008021</v>
      </c>
      <c r="G258" s="744">
        <f t="shared" si="150"/>
        <v>29.428563927552897</v>
      </c>
      <c r="H258" s="744">
        <f t="shared" si="150"/>
        <v>29.263635759325066</v>
      </c>
      <c r="I258" s="744">
        <f t="shared" si="150"/>
        <v>28.817945216107095</v>
      </c>
      <c r="J258" s="744">
        <f t="shared" si="150"/>
        <v>28.122568230073217</v>
      </c>
      <c r="K258" s="744">
        <f t="shared" si="150"/>
        <v>27.746755774063718</v>
      </c>
      <c r="L258" s="744">
        <f t="shared" si="150"/>
        <v>27.72242429048697</v>
      </c>
    </row>
    <row r="259" spans="2:12">
      <c r="B259" s="746" t="str">
        <f t="shared" si="144"/>
        <v>Computing</v>
      </c>
      <c r="C259" s="744">
        <f t="shared" ref="C259:L259" si="151">C61/((C88*C162*$E$45)+(C112*C186*$E$46)+(C136*C210*$E$49))</f>
        <v>450.76851629455996</v>
      </c>
      <c r="D259" s="744">
        <f t="shared" si="151"/>
        <v>433.53102596737239</v>
      </c>
      <c r="E259" s="744">
        <f t="shared" si="151"/>
        <v>575.20583989280658</v>
      </c>
      <c r="F259" s="744">
        <f t="shared" si="151"/>
        <v>618.72393469281337</v>
      </c>
      <c r="G259" s="744">
        <f t="shared" si="151"/>
        <v>629.09277926887046</v>
      </c>
      <c r="H259" s="744">
        <f t="shared" si="151"/>
        <v>634.04470732215611</v>
      </c>
      <c r="I259" s="744">
        <f t="shared" si="151"/>
        <v>614.70158038292914</v>
      </c>
      <c r="J259" s="744">
        <f t="shared" si="151"/>
        <v>600.73102182608807</v>
      </c>
      <c r="K259" s="744">
        <f t="shared" si="151"/>
        <v>591.78235769590924</v>
      </c>
      <c r="L259" s="744">
        <f t="shared" si="151"/>
        <v>594.94731250346888</v>
      </c>
    </row>
    <row r="260" spans="2:12">
      <c r="B260" s="746" t="str">
        <f t="shared" si="144"/>
        <v>Design &amp; Technology</v>
      </c>
      <c r="C260" s="744">
        <f t="shared" ref="C260:L260" si="152">C62/((C89*C163*$E$45)+(C113*C187*$E$46)+(C137*C211*$E$49))</f>
        <v>750.58903626833126</v>
      </c>
      <c r="D260" s="744">
        <f t="shared" si="152"/>
        <v>678.68882372609664</v>
      </c>
      <c r="E260" s="744">
        <f t="shared" si="152"/>
        <v>824.91324502188422</v>
      </c>
      <c r="F260" s="744">
        <f t="shared" si="152"/>
        <v>867.6543108930523</v>
      </c>
      <c r="G260" s="744">
        <f t="shared" si="152"/>
        <v>850.20534261685646</v>
      </c>
      <c r="H260" s="744">
        <f t="shared" si="152"/>
        <v>866.10377617753966</v>
      </c>
      <c r="I260" s="744">
        <f t="shared" si="152"/>
        <v>812.79670631268834</v>
      </c>
      <c r="J260" s="744">
        <f t="shared" si="152"/>
        <v>760.38720932916794</v>
      </c>
      <c r="K260" s="744">
        <f t="shared" si="152"/>
        <v>734.73894890819361</v>
      </c>
      <c r="L260" s="744">
        <f t="shared" si="152"/>
        <v>767.93972636070032</v>
      </c>
    </row>
    <row r="261" spans="2:12">
      <c r="B261" s="746" t="str">
        <f t="shared" si="144"/>
        <v>Drama</v>
      </c>
      <c r="C261" s="744">
        <f t="shared" ref="C261:L261" si="153">C63/((C90*C164*$E$45)+(C114*C188*$E$46)+(C138*C212*$E$49))</f>
        <v>345.11470491922063</v>
      </c>
      <c r="D261" s="744">
        <f t="shared" si="153"/>
        <v>333.38217360990109</v>
      </c>
      <c r="E261" s="744">
        <f t="shared" si="153"/>
        <v>330.95669994171158</v>
      </c>
      <c r="F261" s="744">
        <f t="shared" si="153"/>
        <v>356.91217754402464</v>
      </c>
      <c r="G261" s="744">
        <f t="shared" si="153"/>
        <v>359.3054762709408</v>
      </c>
      <c r="H261" s="744">
        <f t="shared" si="153"/>
        <v>367.49003870253716</v>
      </c>
      <c r="I261" s="744">
        <f t="shared" si="153"/>
        <v>352.92023458984693</v>
      </c>
      <c r="J261" s="744">
        <f t="shared" si="153"/>
        <v>339.48204930872771</v>
      </c>
      <c r="K261" s="744">
        <f t="shared" si="153"/>
        <v>333.52216210028701</v>
      </c>
      <c r="L261" s="744">
        <f t="shared" si="153"/>
        <v>344.35340387773311</v>
      </c>
    </row>
    <row r="262" spans="2:12">
      <c r="B262" s="746" t="str">
        <f t="shared" si="144"/>
        <v>English</v>
      </c>
      <c r="C262" s="744">
        <f t="shared" ref="C262:L262" si="154">C64/((C91*C165*$E$45)+(C115*C189*$E$46)+(C139*C213*$E$49))</f>
        <v>2426.2873096074586</v>
      </c>
      <c r="D262" s="744">
        <f t="shared" si="154"/>
        <v>2323.4684744104111</v>
      </c>
      <c r="E262" s="744">
        <f t="shared" si="154"/>
        <v>2268.6420328789732</v>
      </c>
      <c r="F262" s="744">
        <f t="shared" si="154"/>
        <v>2278.593451429927</v>
      </c>
      <c r="G262" s="744">
        <f t="shared" si="154"/>
        <v>2298.1609401418104</v>
      </c>
      <c r="H262" s="744">
        <f t="shared" si="154"/>
        <v>2271.872149209833</v>
      </c>
      <c r="I262" s="744">
        <f t="shared" si="154"/>
        <v>2167.2148305963751</v>
      </c>
      <c r="J262" s="744">
        <f t="shared" si="154"/>
        <v>2153.9669706904515</v>
      </c>
      <c r="K262" s="744">
        <f t="shared" si="154"/>
        <v>2124.5103290759926</v>
      </c>
      <c r="L262" s="744">
        <f t="shared" si="154"/>
        <v>2083.6403942278298</v>
      </c>
    </row>
    <row r="263" spans="2:12">
      <c r="B263" s="746" t="str">
        <f t="shared" si="144"/>
        <v>Food</v>
      </c>
      <c r="C263" s="744">
        <f t="shared" ref="C263:L263" si="155">C65/((C92*C166*$E$45)+(C116*C190*$E$46)+(C140*C214*$E$49))</f>
        <v>166.33410185907249</v>
      </c>
      <c r="D263" s="744">
        <f t="shared" si="155"/>
        <v>146.33718063938591</v>
      </c>
      <c r="E263" s="744">
        <f t="shared" si="155"/>
        <v>197.35004951420458</v>
      </c>
      <c r="F263" s="744">
        <f t="shared" si="155"/>
        <v>210.47715734718025</v>
      </c>
      <c r="G263" s="744">
        <f t="shared" si="155"/>
        <v>211.03128375109421</v>
      </c>
      <c r="H263" s="744">
        <f t="shared" si="155"/>
        <v>202.56111513913442</v>
      </c>
      <c r="I263" s="744">
        <f t="shared" si="155"/>
        <v>192.52073106751774</v>
      </c>
      <c r="J263" s="744">
        <f t="shared" si="155"/>
        <v>193.81449213886424</v>
      </c>
      <c r="K263" s="744">
        <f t="shared" si="155"/>
        <v>190.66500171939609</v>
      </c>
      <c r="L263" s="744">
        <f t="shared" si="155"/>
        <v>180.09617444348353</v>
      </c>
    </row>
    <row r="264" spans="2:12">
      <c r="B264" s="746" t="str">
        <f t="shared" si="144"/>
        <v>Geography</v>
      </c>
      <c r="C264" s="744">
        <f t="shared" ref="C264:L264" si="156">C66/((C93*C167*$E$45)+(C117*C191*$E$46)+(C141*C215*$E$49))</f>
        <v>1531.1469289044046</v>
      </c>
      <c r="D264" s="744">
        <f t="shared" si="156"/>
        <v>1504.7087985344428</v>
      </c>
      <c r="E264" s="744">
        <f t="shared" si="156"/>
        <v>1171.0131864048562</v>
      </c>
      <c r="F264" s="744">
        <f t="shared" si="156"/>
        <v>1110.5021575700273</v>
      </c>
      <c r="G264" s="744">
        <f t="shared" si="156"/>
        <v>1119.050627427448</v>
      </c>
      <c r="H264" s="744">
        <f t="shared" si="156"/>
        <v>1132.2752720987266</v>
      </c>
      <c r="I264" s="744">
        <f t="shared" si="156"/>
        <v>1046.4380380159587</v>
      </c>
      <c r="J264" s="744">
        <f t="shared" si="156"/>
        <v>1000.8557887231527</v>
      </c>
      <c r="K264" s="744">
        <f t="shared" si="156"/>
        <v>971.03333055983364</v>
      </c>
      <c r="L264" s="744">
        <f t="shared" si="156"/>
        <v>987.78183568772477</v>
      </c>
    </row>
    <row r="265" spans="2:12">
      <c r="B265" s="746" t="str">
        <f t="shared" si="144"/>
        <v>History</v>
      </c>
      <c r="C265" s="744">
        <f t="shared" ref="C265:L265" si="157">C67/((C94*C168*$E$45)+(C118*C192*$E$46)+(C142*C216*$E$49))</f>
        <v>1159.7619052471459</v>
      </c>
      <c r="D265" s="744">
        <f t="shared" si="157"/>
        <v>1226.4518433462051</v>
      </c>
      <c r="E265" s="744">
        <f t="shared" si="157"/>
        <v>971.86023416977423</v>
      </c>
      <c r="F265" s="744">
        <f t="shared" si="157"/>
        <v>958.66743107310538</v>
      </c>
      <c r="G265" s="744">
        <f t="shared" si="157"/>
        <v>972.36862014938811</v>
      </c>
      <c r="H265" s="744">
        <f t="shared" si="157"/>
        <v>981.51438465095782</v>
      </c>
      <c r="I265" s="744">
        <f t="shared" si="157"/>
        <v>913.15755071210424</v>
      </c>
      <c r="J265" s="744">
        <f t="shared" si="157"/>
        <v>876.35005582859299</v>
      </c>
      <c r="K265" s="744">
        <f t="shared" si="157"/>
        <v>851.5709958491974</v>
      </c>
      <c r="L265" s="744">
        <f t="shared" si="157"/>
        <v>861.39426824252848</v>
      </c>
    </row>
    <row r="266" spans="2:12">
      <c r="B266" s="746" t="str">
        <f t="shared" si="144"/>
        <v>Mathematics</v>
      </c>
      <c r="C266" s="744">
        <f t="shared" ref="C266:L266" si="158">C68/((C95*C169*$E$45)+(C119*C193*$E$46)+(C143*C217*$E$49))</f>
        <v>2883.194525759046</v>
      </c>
      <c r="D266" s="744">
        <f t="shared" si="158"/>
        <v>2787.7844679424343</v>
      </c>
      <c r="E266" s="744">
        <f t="shared" si="158"/>
        <v>2759.1944162857258</v>
      </c>
      <c r="F266" s="744">
        <f t="shared" si="158"/>
        <v>2686.7842559842552</v>
      </c>
      <c r="G266" s="744">
        <f t="shared" si="158"/>
        <v>2705.204820186279</v>
      </c>
      <c r="H266" s="744">
        <f t="shared" si="158"/>
        <v>2672.4548942492102</v>
      </c>
      <c r="I266" s="744">
        <f t="shared" si="158"/>
        <v>2551.9160082118424</v>
      </c>
      <c r="J266" s="744">
        <f t="shared" si="158"/>
        <v>2522.1075675346615</v>
      </c>
      <c r="K266" s="744">
        <f t="shared" si="158"/>
        <v>2480.4814594800223</v>
      </c>
      <c r="L266" s="744">
        <f t="shared" si="158"/>
        <v>2434.6035100379568</v>
      </c>
    </row>
    <row r="267" spans="2:12">
      <c r="B267" s="746" t="str">
        <f t="shared" si="144"/>
        <v>Modern Foreign Languages</v>
      </c>
      <c r="C267" s="744">
        <f t="shared" ref="C267:L267" si="159">C69/((C96*C170*$E$45)+(C120*C194*$E$46)+(C144*C218*$E$49))</f>
        <v>3260.0651406684383</v>
      </c>
      <c r="D267" s="744">
        <f t="shared" si="159"/>
        <v>3564.1137551342372</v>
      </c>
      <c r="E267" s="744">
        <f t="shared" si="159"/>
        <v>2413.6178984918847</v>
      </c>
      <c r="F267" s="744">
        <f t="shared" si="159"/>
        <v>1874.9145130811667</v>
      </c>
      <c r="G267" s="744">
        <f t="shared" si="159"/>
        <v>1861.298570837894</v>
      </c>
      <c r="H267" s="744">
        <f t="shared" si="159"/>
        <v>1865.9990901204387</v>
      </c>
      <c r="I267" s="744">
        <f t="shared" si="159"/>
        <v>1698.9844261769103</v>
      </c>
      <c r="J267" s="744">
        <f t="shared" si="159"/>
        <v>1613.0725253868641</v>
      </c>
      <c r="K267" s="744">
        <f t="shared" si="159"/>
        <v>1550.6828702478019</v>
      </c>
      <c r="L267" s="744">
        <f t="shared" si="159"/>
        <v>1565.6117804936027</v>
      </c>
    </row>
    <row r="268" spans="2:12">
      <c r="B268" s="746" t="str">
        <f t="shared" si="144"/>
        <v>Music</v>
      </c>
      <c r="C268" s="744">
        <f t="shared" ref="C268:L268" si="160">C70/((C97*C171*$E$45)+(C121*C195*$E$46)+(C145*C219*$E$49))</f>
        <v>393.33766666889568</v>
      </c>
      <c r="D268" s="744">
        <f t="shared" si="160"/>
        <v>406.77501732713841</v>
      </c>
      <c r="E268" s="744">
        <f t="shared" si="160"/>
        <v>400.8143694799154</v>
      </c>
      <c r="F268" s="744">
        <f t="shared" si="160"/>
        <v>393.80244245065768</v>
      </c>
      <c r="G268" s="744">
        <f t="shared" si="160"/>
        <v>389.71277707345877</v>
      </c>
      <c r="H268" s="744">
        <f t="shared" si="160"/>
        <v>404.58216674891997</v>
      </c>
      <c r="I268" s="744">
        <f t="shared" si="160"/>
        <v>383.179044732389</v>
      </c>
      <c r="J268" s="744">
        <f t="shared" si="160"/>
        <v>358.65948147751101</v>
      </c>
      <c r="K268" s="744">
        <f t="shared" si="160"/>
        <v>349.01158662955197</v>
      </c>
      <c r="L268" s="744">
        <f t="shared" si="160"/>
        <v>371.78744796433364</v>
      </c>
    </row>
    <row r="269" spans="2:12">
      <c r="B269" s="746" t="str">
        <f t="shared" si="144"/>
        <v>Others</v>
      </c>
      <c r="C269" s="744">
        <f t="shared" ref="C269:L269" si="161">C71/((C98*C172*$E$45)+(C122*C196*$E$46)+(C146*C220*$E$49))</f>
        <v>811.63141166826551</v>
      </c>
      <c r="D269" s="744">
        <f t="shared" si="161"/>
        <v>668.83659118319588</v>
      </c>
      <c r="E269" s="744">
        <f t="shared" si="161"/>
        <v>853.24435743427398</v>
      </c>
      <c r="F269" s="744">
        <f t="shared" si="161"/>
        <v>995.16619643327533</v>
      </c>
      <c r="G269" s="744">
        <f t="shared" si="161"/>
        <v>1050.7740359917625</v>
      </c>
      <c r="H269" s="744">
        <f t="shared" si="161"/>
        <v>1049.7894876474948</v>
      </c>
      <c r="I269" s="744">
        <f t="shared" si="161"/>
        <v>1066.4794337394167</v>
      </c>
      <c r="J269" s="744">
        <f t="shared" si="161"/>
        <v>1056.2545845910097</v>
      </c>
      <c r="K269" s="744">
        <f t="shared" si="161"/>
        <v>1051.8453542187458</v>
      </c>
      <c r="L269" s="744">
        <f t="shared" si="161"/>
        <v>1040.7727138241928</v>
      </c>
    </row>
    <row r="270" spans="2:12">
      <c r="B270" s="746" t="str">
        <f t="shared" si="144"/>
        <v>Physical Education</v>
      </c>
      <c r="C270" s="744">
        <f t="shared" ref="C270:L270" si="162">C72/((C99*C173*$E$45)+(C123*C197*$E$46)+(C147*C221*$E$49))</f>
        <v>963.54025513764725</v>
      </c>
      <c r="D270" s="744">
        <f t="shared" si="162"/>
        <v>940.5356890179014</v>
      </c>
      <c r="E270" s="744">
        <f t="shared" si="162"/>
        <v>1064.2534959057152</v>
      </c>
      <c r="F270" s="744">
        <f t="shared" si="162"/>
        <v>1119.4401408775921</v>
      </c>
      <c r="G270" s="744">
        <f t="shared" si="162"/>
        <v>1137.5114386744754</v>
      </c>
      <c r="H270" s="744">
        <f t="shared" si="162"/>
        <v>1145.3452281014163</v>
      </c>
      <c r="I270" s="744">
        <f t="shared" si="162"/>
        <v>1093.0705675868437</v>
      </c>
      <c r="J270" s="744">
        <f t="shared" si="162"/>
        <v>1078.6572605499464</v>
      </c>
      <c r="K270" s="744">
        <f t="shared" si="162"/>
        <v>1066.0664422003647</v>
      </c>
      <c r="L270" s="744">
        <f t="shared" si="162"/>
        <v>1068.9838311431301</v>
      </c>
    </row>
    <row r="271" spans="2:12">
      <c r="B271" s="746" t="str">
        <f t="shared" si="144"/>
        <v>Physics</v>
      </c>
      <c r="C271" s="744">
        <f t="shared" ref="C271:L271" si="163">C73/((C100*C174*$E$45)+(C124*C198*$E$46)+(C148*C222*$E$49))</f>
        <v>1037.1677722766806</v>
      </c>
      <c r="D271" s="744">
        <f t="shared" si="163"/>
        <v>1033.7598130561623</v>
      </c>
      <c r="E271" s="744">
        <f t="shared" si="163"/>
        <v>1013.9529372811508</v>
      </c>
      <c r="F271" s="744">
        <f t="shared" si="163"/>
        <v>1030.4913065107582</v>
      </c>
      <c r="G271" s="744">
        <f t="shared" si="163"/>
        <v>1054.8566572027746</v>
      </c>
      <c r="H271" s="744">
        <f t="shared" si="163"/>
        <v>1022.0406265254661</v>
      </c>
      <c r="I271" s="744">
        <f t="shared" si="163"/>
        <v>986.46961392889443</v>
      </c>
      <c r="J271" s="744">
        <f t="shared" si="163"/>
        <v>1003.2663952582722</v>
      </c>
      <c r="K271" s="744">
        <f t="shared" si="163"/>
        <v>994.98301737501697</v>
      </c>
      <c r="L271" s="744">
        <f t="shared" si="163"/>
        <v>942.57827609504864</v>
      </c>
    </row>
    <row r="272" spans="2:12">
      <c r="B272" s="746" t="str">
        <f t="shared" si="144"/>
        <v>Religious Education</v>
      </c>
      <c r="C272" s="744">
        <f t="shared" ref="C272:L272" si="164">C74/((C101*C175*$E$45)+(C125*C199*$E$46)+(C149*C223*$E$49))</f>
        <v>643.48147436594184</v>
      </c>
      <c r="D272" s="744">
        <f t="shared" si="164"/>
        <v>600.16043362715345</v>
      </c>
      <c r="E272" s="744">
        <f t="shared" si="164"/>
        <v>593.07523679947383</v>
      </c>
      <c r="F272" s="744">
        <f t="shared" si="164"/>
        <v>590.61636295417236</v>
      </c>
      <c r="G272" s="744">
        <f t="shared" si="164"/>
        <v>593.78080774248076</v>
      </c>
      <c r="H272" s="744">
        <f t="shared" si="164"/>
        <v>592.38109159233511</v>
      </c>
      <c r="I272" s="744">
        <f t="shared" si="164"/>
        <v>564.86664177803425</v>
      </c>
      <c r="J272" s="744">
        <f t="shared" si="164"/>
        <v>553.40561220288089</v>
      </c>
      <c r="K272" s="744">
        <f t="shared" si="164"/>
        <v>543.9025520190205</v>
      </c>
      <c r="L272" s="744">
        <f t="shared" si="164"/>
        <v>542.51318066409567</v>
      </c>
    </row>
    <row r="273" spans="2:12">
      <c r="B273" s="746" t="str">
        <f t="shared" si="144"/>
        <v>Total</v>
      </c>
      <c r="C273" s="744">
        <f t="shared" ref="C273:L273" si="165">SUM(C253:C272)</f>
        <v>31921.805687177806</v>
      </c>
      <c r="D273" s="744">
        <f t="shared" si="165"/>
        <v>30790.783092926726</v>
      </c>
      <c r="E273" s="744">
        <f t="shared" si="165"/>
        <v>29801.08666806329</v>
      </c>
      <c r="F273" s="744">
        <f t="shared" si="165"/>
        <v>29400.513687495037</v>
      </c>
      <c r="G273" s="744">
        <f t="shared" si="165"/>
        <v>29411.365052601563</v>
      </c>
      <c r="H273" s="744">
        <f t="shared" si="165"/>
        <v>29191.699883164678</v>
      </c>
      <c r="I273" s="744">
        <f t="shared" si="165"/>
        <v>28727.372492462546</v>
      </c>
      <c r="J273" s="744">
        <f t="shared" si="165"/>
        <v>28708.237887499399</v>
      </c>
      <c r="K273" s="744">
        <f t="shared" si="165"/>
        <v>28485.000479328941</v>
      </c>
      <c r="L273" s="744">
        <f t="shared" si="165"/>
        <v>28274.568740770777</v>
      </c>
    </row>
  </sheetData>
  <mergeCells count="4">
    <mergeCell ref="B20:B21"/>
    <mergeCell ref="C20:E20"/>
    <mergeCell ref="F20:H20"/>
    <mergeCell ref="B13:Q15"/>
  </mergeCells>
  <hyperlinks>
    <hyperlink ref="A2" location="'Title_&amp;_Contents'!A1" display="Contents"/>
    <hyperlink ref="B2" location="Map_of_sheets!A1" display="Map of sheets"/>
  </hyperlinks>
  <pageMargins left="0.7" right="0.7" top="0.75" bottom="0.75" header="0.3" footer="0.3"/>
  <pageSetup paperSize="9" orientation="portrait" r:id="rId1"/>
  <ignoredErrors>
    <ignoredError sqref="C129:L129 C155 D155:L155 C179:L179 C203:L203 C227:L227 C252 D252:L252" unlockedFormula="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Y415"/>
  <sheetViews>
    <sheetView showGridLines="0" workbookViewId="0"/>
  </sheetViews>
  <sheetFormatPr defaultRowHeight="12.75"/>
  <cols>
    <col min="2" max="2" width="30.7109375" customWidth="1"/>
    <col min="3" max="24" width="14.7109375" customWidth="1"/>
    <col min="25" max="25" width="11.7109375" customWidth="1"/>
    <col min="26" max="26" width="10.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c r="A4" s="58" t="s">
        <v>26</v>
      </c>
      <c r="B4" s="58"/>
      <c r="C4" s="58"/>
      <c r="D4" s="58"/>
      <c r="E4" s="292"/>
      <c r="F4" s="58"/>
      <c r="G4" s="58"/>
      <c r="H4" s="58"/>
      <c r="I4" s="58"/>
      <c r="J4" s="58"/>
      <c r="K4" s="58"/>
      <c r="L4" s="58"/>
      <c r="M4" s="58"/>
      <c r="N4" s="58"/>
      <c r="O4" s="58"/>
    </row>
    <row r="5" spans="1:17" s="47" customFormat="1">
      <c r="A5" s="1199" t="s">
        <v>292</v>
      </c>
      <c r="B5" s="1199"/>
      <c r="C5" s="1199"/>
      <c r="D5" s="1199"/>
      <c r="E5" s="1199"/>
      <c r="F5" s="1199"/>
      <c r="G5" s="1199"/>
      <c r="H5" s="1199"/>
      <c r="I5" s="1199"/>
      <c r="J5" s="1199"/>
      <c r="K5" s="1199"/>
      <c r="L5" s="1199"/>
      <c r="M5" s="1199"/>
      <c r="N5" s="1199"/>
      <c r="O5" s="1199"/>
      <c r="P5" s="59"/>
      <c r="Q5" s="59"/>
    </row>
    <row r="6" spans="1:17" s="46" customFormat="1">
      <c r="A6" s="56" t="s">
        <v>1420</v>
      </c>
      <c r="B6" s="61"/>
      <c r="C6" s="61"/>
      <c r="D6" s="61"/>
      <c r="E6" s="292"/>
      <c r="F6" s="61"/>
      <c r="G6" s="61"/>
      <c r="H6" s="61"/>
      <c r="I6" s="61"/>
      <c r="J6" s="61"/>
      <c r="K6" s="61"/>
      <c r="L6" s="61"/>
      <c r="M6" s="61"/>
      <c r="N6" s="61"/>
      <c r="O6" s="61"/>
      <c r="P6" s="45"/>
      <c r="Q6" s="45"/>
    </row>
    <row r="7" spans="1:17" s="46" customFormat="1">
      <c r="A7" s="54" t="s">
        <v>343</v>
      </c>
      <c r="B7" s="56"/>
      <c r="C7" s="61"/>
      <c r="D7" s="61"/>
      <c r="E7" s="292"/>
      <c r="F7" s="61"/>
      <c r="G7" s="61"/>
      <c r="H7" s="61"/>
      <c r="I7" s="61"/>
      <c r="J7" s="61"/>
      <c r="K7" s="61"/>
      <c r="L7" s="61"/>
      <c r="M7" s="61"/>
      <c r="N7" s="61"/>
      <c r="O7" s="61"/>
      <c r="P7" s="45"/>
      <c r="Q7" s="45"/>
    </row>
    <row r="8" spans="1:17" s="46" customFormat="1">
      <c r="A8" s="56" t="s">
        <v>24</v>
      </c>
      <c r="B8" s="61"/>
      <c r="C8" s="61"/>
      <c r="D8" s="61"/>
      <c r="E8" s="292"/>
      <c r="F8" s="61"/>
      <c r="G8" s="61"/>
      <c r="H8" s="61"/>
      <c r="I8" s="61"/>
      <c r="J8" s="61"/>
      <c r="K8" s="61"/>
      <c r="L8" s="61"/>
      <c r="M8" s="61"/>
      <c r="N8" s="61"/>
      <c r="O8" s="61"/>
      <c r="P8" s="45"/>
      <c r="Q8" s="45"/>
    </row>
    <row r="9" spans="1:17" s="50" customFormat="1">
      <c r="A9" s="55" t="s">
        <v>119</v>
      </c>
      <c r="B9" s="73"/>
      <c r="C9" s="71"/>
      <c r="D9" s="293"/>
      <c r="E9" s="293"/>
      <c r="F9" s="293"/>
      <c r="G9" s="72"/>
      <c r="H9" s="293"/>
      <c r="I9" s="293"/>
      <c r="J9" s="72"/>
      <c r="K9" s="294"/>
      <c r="L9" s="294"/>
      <c r="M9" s="294"/>
      <c r="N9" s="294"/>
      <c r="O9" s="294"/>
      <c r="P9" s="49"/>
      <c r="Q9" s="49"/>
    </row>
    <row r="11" spans="1:17">
      <c r="B11" s="76" t="s">
        <v>230</v>
      </c>
    </row>
    <row r="12" spans="1:17">
      <c r="B12" s="76"/>
    </row>
    <row r="13" spans="1:17">
      <c r="B13" s="150" t="s">
        <v>635</v>
      </c>
    </row>
    <row r="14" spans="1:17">
      <c r="B14" s="76"/>
    </row>
    <row r="15" spans="1:17">
      <c r="B15" s="150" t="s">
        <v>1338</v>
      </c>
    </row>
    <row r="16" spans="1:17">
      <c r="B16" s="76"/>
    </row>
    <row r="17" spans="2:25">
      <c r="B17" s="233"/>
      <c r="C17" s="77" t="str">
        <f>Data_selected_by_user_testing!D15</f>
        <v>2014/15</v>
      </c>
      <c r="D17" s="77" t="str">
        <f>Data_selected_by_user_testing!E15</f>
        <v>2015/16</v>
      </c>
      <c r="E17" s="77" t="str">
        <f>Data_selected_by_user_testing!F15</f>
        <v>2016/17</v>
      </c>
      <c r="F17" s="77" t="str">
        <f>Data_selected_by_user_testing!G15</f>
        <v>2017/18</v>
      </c>
      <c r="G17" s="77" t="str">
        <f>Data_selected_by_user_testing!H15</f>
        <v>2018/19</v>
      </c>
      <c r="H17" s="77" t="str">
        <f>Data_selected_by_user_testing!I15</f>
        <v>2019/20</v>
      </c>
      <c r="I17" s="77" t="str">
        <f>Data_selected_by_user_testing!J15</f>
        <v>2020/21</v>
      </c>
      <c r="J17" s="160"/>
      <c r="K17" s="160"/>
      <c r="L17" s="232"/>
    </row>
    <row r="18" spans="2:25" s="319" customFormat="1">
      <c r="B18" s="152" t="str">
        <f>Data_selected_by_user_testing!C16</f>
        <v>Male scalar selected</v>
      </c>
      <c r="C18" s="518">
        <f>Data_selected_by_user_testing!D16</f>
        <v>1</v>
      </c>
      <c r="D18" s="518">
        <f>Data_selected_by_user_testing!E16</f>
        <v>1</v>
      </c>
      <c r="E18" s="518">
        <f>Data_selected_by_user_testing!F16</f>
        <v>1</v>
      </c>
      <c r="F18" s="518">
        <f>Data_selected_by_user_testing!G16</f>
        <v>1</v>
      </c>
      <c r="G18" s="518">
        <f>Data_selected_by_user_testing!H16</f>
        <v>1</v>
      </c>
      <c r="H18" s="518">
        <f>Data_selected_by_user_testing!I16</f>
        <v>1</v>
      </c>
      <c r="I18" s="518">
        <f>Data_selected_by_user_testing!J16</f>
        <v>1</v>
      </c>
      <c r="J18" s="159"/>
      <c r="K18" s="159"/>
      <c r="L18" s="154"/>
    </row>
    <row r="19" spans="2:25" s="319" customFormat="1">
      <c r="B19" s="152" t="str">
        <f>Data_selected_by_user_testing!C17</f>
        <v>Female scalar selected</v>
      </c>
      <c r="C19" s="518">
        <f>Data_selected_by_user_testing!D17</f>
        <v>1</v>
      </c>
      <c r="D19" s="518">
        <f>Data_selected_by_user_testing!E17</f>
        <v>1</v>
      </c>
      <c r="E19" s="518">
        <f>Data_selected_by_user_testing!F17</f>
        <v>1</v>
      </c>
      <c r="F19" s="518">
        <f>Data_selected_by_user_testing!G17</f>
        <v>1</v>
      </c>
      <c r="G19" s="518">
        <f>Data_selected_by_user_testing!H17</f>
        <v>1</v>
      </c>
      <c r="H19" s="518">
        <f>Data_selected_by_user_testing!I17</f>
        <v>1</v>
      </c>
      <c r="I19" s="518">
        <f>Data_selected_by_user_testing!J17</f>
        <v>1</v>
      </c>
      <c r="J19" s="159"/>
      <c r="K19" s="159"/>
      <c r="L19" s="154"/>
    </row>
    <row r="21" spans="2:25">
      <c r="B21" s="76" t="s">
        <v>232</v>
      </c>
    </row>
    <row r="22" spans="2:25">
      <c r="B22" s="76"/>
    </row>
    <row r="23" spans="2:25">
      <c r="B23" s="150" t="s">
        <v>622</v>
      </c>
    </row>
    <row r="24" spans="2:25">
      <c r="B24" s="76"/>
    </row>
    <row r="25" spans="2:25">
      <c r="B25" s="150" t="s">
        <v>1338</v>
      </c>
    </row>
    <row r="27" spans="2:25" s="5" customFormat="1">
      <c r="B27" s="141"/>
      <c r="C27" s="141" t="str">
        <f>Data_selected_by_user_testing!D34</f>
        <v>2004/05</v>
      </c>
      <c r="D27" s="141" t="str">
        <f>Data_selected_by_user_testing!E34</f>
        <v>2005/06</v>
      </c>
      <c r="E27" s="141" t="str">
        <f>Data_selected_by_user_testing!F34</f>
        <v>2006/07</v>
      </c>
      <c r="F27" s="141" t="str">
        <f>Data_selected_by_user_testing!G34</f>
        <v>2007/08</v>
      </c>
      <c r="G27" s="141" t="str">
        <f>Data_selected_by_user_testing!H34</f>
        <v>2008/09</v>
      </c>
      <c r="H27" s="141" t="str">
        <f>Data_selected_by_user_testing!I34</f>
        <v>2009/10</v>
      </c>
      <c r="I27" s="141" t="str">
        <f>Data_selected_by_user_testing!J34</f>
        <v>2010/11</v>
      </c>
      <c r="J27" s="141" t="str">
        <f>Data_selected_by_user_testing!K34</f>
        <v>2011/12</v>
      </c>
      <c r="K27" s="141" t="str">
        <f>Data_selected_by_user_testing!L34</f>
        <v>2012/13</v>
      </c>
      <c r="L27" s="141" t="str">
        <f>Data_selected_by_user_testing!M34</f>
        <v>2013/14</v>
      </c>
      <c r="M27" s="141" t="str">
        <f>Data_selected_by_user_testing!N34</f>
        <v>2014/15</v>
      </c>
      <c r="N27" s="141" t="str">
        <f>Data_selected_by_user_testing!O34</f>
        <v>2015/16</v>
      </c>
      <c r="O27" s="141" t="str">
        <f>Data_selected_by_user_testing!P34</f>
        <v>2016/17</v>
      </c>
      <c r="P27" s="141" t="str">
        <f>Data_selected_by_user_testing!Q34</f>
        <v>2017/18</v>
      </c>
      <c r="Q27" s="141" t="str">
        <f>Data_selected_by_user_testing!R34</f>
        <v>2018/19</v>
      </c>
      <c r="R27" s="141" t="str">
        <f>Data_selected_by_user_testing!S34</f>
        <v>2019/20</v>
      </c>
      <c r="S27" s="141" t="str">
        <f>Data_selected_by_user_testing!T34</f>
        <v>2020/21</v>
      </c>
      <c r="T27" s="141" t="str">
        <f>Data_selected_by_user_testing!U34</f>
        <v>2021/22</v>
      </c>
      <c r="U27" s="141" t="str">
        <f>Data_selected_by_user_testing!V34</f>
        <v>2022/23</v>
      </c>
      <c r="V27" s="141" t="str">
        <f>Data_selected_by_user_testing!W34</f>
        <v>2023/24</v>
      </c>
      <c r="W27" s="141" t="str">
        <f>Data_selected_by_user_testing!X34</f>
        <v>2024/25</v>
      </c>
      <c r="X27" s="141" t="str">
        <f>Data_selected_by_user_testing!Y34</f>
        <v>2025/26</v>
      </c>
      <c r="Y27" s="141" t="str">
        <f>Data_selected_by_user_testing!Z34</f>
        <v>2026/27</v>
      </c>
    </row>
    <row r="28" spans="2:25" s="5" customFormat="1" ht="25.5">
      <c r="B28" s="152" t="str">
        <f>Data_selected_by_user_testing!C35</f>
        <v>State Funded Primary Pupils (FTE)</v>
      </c>
      <c r="C28" s="414">
        <f>Data_selected_by_user_testing!D35</f>
        <v>4133670.5</v>
      </c>
      <c r="D28" s="414">
        <f>Data_selected_by_user_testing!E35</f>
        <v>4085271.436729731</v>
      </c>
      <c r="E28" s="414">
        <f>Data_selected_by_user_testing!F35</f>
        <v>4047195.5</v>
      </c>
      <c r="F28" s="414">
        <f>Data_selected_by_user_testing!G35</f>
        <v>4028055.5</v>
      </c>
      <c r="G28" s="414">
        <f>Data_selected_by_user_testing!H35</f>
        <v>4016161.5</v>
      </c>
      <c r="H28" s="414">
        <f>Data_selected_by_user_testing!I35</f>
        <v>4036364.5</v>
      </c>
      <c r="I28" s="414">
        <f>Data_selected_by_user_testing!J35</f>
        <v>4074368</v>
      </c>
      <c r="J28" s="414">
        <f>Data_selected_by_user_testing!K35</f>
        <v>4150277.5</v>
      </c>
      <c r="K28" s="414">
        <f>Data_selected_by_user_testing!L35</f>
        <v>4247394.5</v>
      </c>
      <c r="L28" s="414">
        <f>Data_selected_by_user_testing!M35</f>
        <v>4359000</v>
      </c>
      <c r="M28" s="414">
        <f>Data_selected_by_user_testing!N35</f>
        <v>4463434</v>
      </c>
      <c r="N28" s="414">
        <f>Data_selected_by_user_testing!O35</f>
        <v>4574041.5</v>
      </c>
      <c r="O28" s="414">
        <f>Data_selected_by_user_testing!P35</f>
        <v>4669403.6051013358</v>
      </c>
      <c r="P28" s="414">
        <f>Data_selected_by_user_testing!Q35</f>
        <v>4728615.0056829667</v>
      </c>
      <c r="Q28" s="414">
        <f>Data_selected_by_user_testing!R35</f>
        <v>4754148.1072515734</v>
      </c>
      <c r="R28" s="414">
        <f>Data_selected_by_user_testing!S35</f>
        <v>4754929.3367273957</v>
      </c>
      <c r="S28" s="414">
        <f>Data_selected_by_user_testing!T35</f>
        <v>4765188.6443500407</v>
      </c>
      <c r="T28" s="414">
        <f>Data_selected_by_user_testing!U35</f>
        <v>4768353.1674103234</v>
      </c>
      <c r="U28" s="414">
        <f>Data_selected_by_user_testing!V35</f>
        <v>4760117.7392643597</v>
      </c>
      <c r="V28" s="414">
        <f>Data_selected_by_user_testing!W35</f>
        <v>4744856.0009206505</v>
      </c>
      <c r="W28" s="414">
        <f>Data_selected_by_user_testing!X35</f>
        <v>4754081.3268117374</v>
      </c>
      <c r="X28" s="414">
        <f>Data_selected_by_user_testing!Y35</f>
        <v>4780859.047119638</v>
      </c>
      <c r="Y28" s="414">
        <f>Data_selected_by_user_testing!Z35</f>
        <v>4809841.7847702289</v>
      </c>
    </row>
    <row r="29" spans="2:25" s="5" customFormat="1">
      <c r="B29" s="141" t="str">
        <f>Data_selected_by_user_testing!C36</f>
        <v>Pupils FTE KS3</v>
      </c>
      <c r="C29" s="414">
        <f>Data_selected_by_user_testing!D36</f>
        <v>1783139.5</v>
      </c>
      <c r="D29" s="414">
        <f>Data_selected_by_user_testing!E36</f>
        <v>1758000.0007601124</v>
      </c>
      <c r="E29" s="414">
        <f>Data_selected_by_user_testing!F36</f>
        <v>1722930</v>
      </c>
      <c r="F29" s="414">
        <f>Data_selected_by_user_testing!G36</f>
        <v>1701531</v>
      </c>
      <c r="G29" s="414">
        <f>Data_selected_by_user_testing!H36</f>
        <v>1691158</v>
      </c>
      <c r="H29" s="414">
        <f>Data_selected_by_user_testing!I36</f>
        <v>1680949</v>
      </c>
      <c r="I29" s="414">
        <f>Data_selected_by_user_testing!J36</f>
        <v>1672689.5</v>
      </c>
      <c r="J29" s="414">
        <f>Data_selected_by_user_testing!K36</f>
        <v>1641887</v>
      </c>
      <c r="K29" s="414">
        <f>Data_selected_by_user_testing!L36</f>
        <v>1612821</v>
      </c>
      <c r="L29" s="414">
        <f>Data_selected_by_user_testing!M36</f>
        <v>1587472</v>
      </c>
      <c r="M29" s="414">
        <f>Data_selected_by_user_testing!N36</f>
        <v>1595949</v>
      </c>
      <c r="N29" s="414">
        <f>Data_selected_by_user_testing!O36</f>
        <v>1630717</v>
      </c>
      <c r="O29" s="414">
        <f>Data_selected_by_user_testing!P36</f>
        <v>1684263.7099882406</v>
      </c>
      <c r="P29" s="414">
        <f>Data_selected_by_user_testing!Q36</f>
        <v>1728753.1396461697</v>
      </c>
      <c r="Q29" s="414">
        <f>Data_selected_by_user_testing!R36</f>
        <v>1776887.7109150444</v>
      </c>
      <c r="R29" s="414">
        <f>Data_selected_by_user_testing!S36</f>
        <v>1837687.6258995868</v>
      </c>
      <c r="S29" s="414">
        <f>Data_selected_by_user_testing!T36</f>
        <v>1881127.9885499382</v>
      </c>
      <c r="T29" s="414">
        <f>Data_selected_by_user_testing!U36</f>
        <v>1915313.121305503</v>
      </c>
      <c r="U29" s="414">
        <f>Data_selected_by_user_testing!V36</f>
        <v>1940527.0547370678</v>
      </c>
      <c r="V29" s="414">
        <f>Data_selected_by_user_testing!W36</f>
        <v>1979340.1487121659</v>
      </c>
      <c r="W29" s="414">
        <f>Data_selected_by_user_testing!X36</f>
        <v>1983726.1049581233</v>
      </c>
      <c r="X29" s="414">
        <f>Data_selected_by_user_testing!Y36</f>
        <v>1956668.4677220159</v>
      </c>
      <c r="Y29" s="414">
        <f>Data_selected_by_user_testing!Z36</f>
        <v>1918632.3095877871</v>
      </c>
    </row>
    <row r="30" spans="2:25" s="5" customFormat="1">
      <c r="B30" s="141" t="str">
        <f>Data_selected_by_user_testing!C37</f>
        <v>Pupils FTE KS4</v>
      </c>
      <c r="C30" s="414">
        <f>Data_selected_by_user_testing!D37</f>
        <v>1170159</v>
      </c>
      <c r="D30" s="414">
        <f>Data_selected_by_user_testing!E37</f>
        <v>1185802.5625101563</v>
      </c>
      <c r="E30" s="414">
        <f>Data_selected_by_user_testing!F37</f>
        <v>1189358</v>
      </c>
      <c r="F30" s="414">
        <f>Data_selected_by_user_testing!G37</f>
        <v>1166918.5</v>
      </c>
      <c r="G30" s="414">
        <f>Data_selected_by_user_testing!H37</f>
        <v>1146150</v>
      </c>
      <c r="H30" s="414">
        <f>Data_selected_by_user_testing!I37</f>
        <v>1133977</v>
      </c>
      <c r="I30" s="414">
        <f>Data_selected_by_user_testing!J37</f>
        <v>1116342.5</v>
      </c>
      <c r="J30" s="414">
        <f>Data_selected_by_user_testing!K37</f>
        <v>1120567</v>
      </c>
      <c r="K30" s="414">
        <f>Data_selected_by_user_testing!L37</f>
        <v>1117099</v>
      </c>
      <c r="L30" s="414">
        <f>Data_selected_by_user_testing!M37</f>
        <v>1099417.5</v>
      </c>
      <c r="M30" s="414">
        <f>Data_selected_by_user_testing!N37</f>
        <v>1081078</v>
      </c>
      <c r="N30" s="414">
        <f>Data_selected_by_user_testing!O37</f>
        <v>1057483</v>
      </c>
      <c r="O30" s="414">
        <f>Data_selected_by_user_testing!P37</f>
        <v>1040625.6043942383</v>
      </c>
      <c r="P30" s="414">
        <f>Data_selected_by_user_testing!Q37</f>
        <v>1058358.5821559713</v>
      </c>
      <c r="Q30" s="414">
        <f>Data_selected_by_user_testing!R37</f>
        <v>1097644.5657882683</v>
      </c>
      <c r="R30" s="414">
        <f>Data_selected_by_user_testing!S37</f>
        <v>1127512.3599218801</v>
      </c>
      <c r="S30" s="414">
        <f>Data_selected_by_user_testing!T37</f>
        <v>1152699.2067537962</v>
      </c>
      <c r="T30" s="414">
        <f>Data_selected_by_user_testing!U37</f>
        <v>1187590.8202413935</v>
      </c>
      <c r="U30" s="414">
        <f>Data_selected_by_user_testing!V37</f>
        <v>1233917.8070985656</v>
      </c>
      <c r="V30" s="414">
        <f>Data_selected_by_user_testing!W37</f>
        <v>1255218.8994874852</v>
      </c>
      <c r="W30" s="414">
        <f>Data_selected_by_user_testing!X37</f>
        <v>1264502.0497479856</v>
      </c>
      <c r="X30" s="414">
        <f>Data_selected_by_user_testing!Y37</f>
        <v>1292760.7570925467</v>
      </c>
      <c r="Y30" s="414">
        <f>Data_selected_by_user_testing!Z37</f>
        <v>1318712.4272962825</v>
      </c>
    </row>
    <row r="31" spans="2:25" s="5" customFormat="1">
      <c r="B31" s="141" t="str">
        <f>Data_selected_by_user_testing!C38</f>
        <v>Pupils FTE KS5</v>
      </c>
      <c r="C31" s="414">
        <f>Data_selected_by_user_testing!D38</f>
        <v>355184.5</v>
      </c>
      <c r="D31" s="414">
        <f>Data_selected_by_user_testing!E38</f>
        <v>361355</v>
      </c>
      <c r="E31" s="414">
        <f>Data_selected_by_user_testing!F38</f>
        <v>370116</v>
      </c>
      <c r="F31" s="414">
        <f>Data_selected_by_user_testing!G38</f>
        <v>380453</v>
      </c>
      <c r="G31" s="414">
        <f>Data_selected_by_user_testing!H38</f>
        <v>394342</v>
      </c>
      <c r="H31" s="414">
        <f>Data_selected_by_user_testing!I38</f>
        <v>412859.5</v>
      </c>
      <c r="I31" s="414">
        <f>Data_selected_by_user_testing!J38</f>
        <v>423222</v>
      </c>
      <c r="J31" s="414">
        <f>Data_selected_by_user_testing!K38</f>
        <v>423232.5</v>
      </c>
      <c r="K31" s="414">
        <f>Data_selected_by_user_testing!L38</f>
        <v>428860</v>
      </c>
      <c r="L31" s="414">
        <f>Data_selected_by_user_testing!M38</f>
        <v>439034.5</v>
      </c>
      <c r="M31" s="414">
        <f>Data_selected_by_user_testing!N38</f>
        <v>442772</v>
      </c>
      <c r="N31" s="414">
        <f>Data_selected_by_user_testing!O38</f>
        <v>433788</v>
      </c>
      <c r="O31" s="414">
        <f>Data_selected_by_user_testing!P38</f>
        <v>428545.20451393852</v>
      </c>
      <c r="P31" s="414">
        <f>Data_selected_by_user_testing!Q38</f>
        <v>419361.78857838438</v>
      </c>
      <c r="Q31" s="414">
        <f>Data_selected_by_user_testing!R38</f>
        <v>410245.50884306151</v>
      </c>
      <c r="R31" s="414">
        <f>Data_selected_by_user_testing!S38</f>
        <v>406321.98384626833</v>
      </c>
      <c r="S31" s="414">
        <f>Data_selected_by_user_testing!T38</f>
        <v>407908.7817738661</v>
      </c>
      <c r="T31" s="414">
        <f>Data_selected_by_user_testing!U38</f>
        <v>414599.54691593052</v>
      </c>
      <c r="U31" s="414">
        <f>Data_selected_by_user_testing!V38</f>
        <v>427051.82731021068</v>
      </c>
      <c r="V31" s="414">
        <f>Data_selected_by_user_testing!W38</f>
        <v>439692.43116813409</v>
      </c>
      <c r="W31" s="414">
        <f>Data_selected_by_user_testing!X38</f>
        <v>453063.3820700291</v>
      </c>
      <c r="X31" s="414">
        <f>Data_selected_by_user_testing!Y38</f>
        <v>462667.53121151531</v>
      </c>
      <c r="Y31" s="414">
        <f>Data_selected_by_user_testing!Z38</f>
        <v>470577.77984100528</v>
      </c>
    </row>
    <row r="33" spans="2:15">
      <c r="B33" s="76" t="s">
        <v>1355</v>
      </c>
    </row>
    <row r="35" spans="2:15">
      <c r="B35" s="150" t="s">
        <v>296</v>
      </c>
    </row>
    <row r="36" spans="2:15">
      <c r="B36" s="150"/>
    </row>
    <row r="37" spans="2:15">
      <c r="B37" s="150" t="s">
        <v>1338</v>
      </c>
    </row>
    <row r="39" spans="2:15">
      <c r="B39" s="141" t="s">
        <v>293</v>
      </c>
      <c r="C39" s="548">
        <f>Data_selected_by_user_testing!D61</f>
        <v>22</v>
      </c>
    </row>
    <row r="40" spans="2:15">
      <c r="B40" s="141" t="s">
        <v>294</v>
      </c>
      <c r="C40" s="548">
        <f>Data_selected_by_user_testing!D73</f>
        <v>16</v>
      </c>
    </row>
    <row r="42" spans="2:15">
      <c r="B42" s="76" t="s">
        <v>1358</v>
      </c>
    </row>
    <row r="43" spans="2:15" ht="12.75" customHeight="1">
      <c r="B43" s="1021"/>
      <c r="C43" s="1021"/>
      <c r="D43" s="1021"/>
      <c r="E43" s="1021"/>
      <c r="F43" s="1021"/>
      <c r="G43" s="1021"/>
      <c r="H43" s="1021"/>
      <c r="I43" s="1021"/>
      <c r="J43" s="1021"/>
      <c r="K43" s="1021"/>
      <c r="L43" s="1021"/>
      <c r="M43" s="1021"/>
      <c r="N43" s="1021"/>
      <c r="O43" s="1021"/>
    </row>
    <row r="44" spans="2:15">
      <c r="B44" s="1022" t="s">
        <v>295</v>
      </c>
      <c r="C44" s="1021"/>
      <c r="D44" s="1021"/>
      <c r="E44" s="1021"/>
      <c r="F44" s="1021"/>
      <c r="G44" s="1021"/>
      <c r="H44" s="1021"/>
      <c r="I44" s="1021"/>
      <c r="J44" s="1021"/>
      <c r="K44" s="1021"/>
      <c r="L44" s="1021"/>
      <c r="M44" s="1021"/>
      <c r="N44" s="1021"/>
      <c r="O44" s="1021"/>
    </row>
    <row r="45" spans="2:15">
      <c r="B45" s="225"/>
      <c r="C45" s="225"/>
      <c r="D45" s="225"/>
      <c r="E45" s="225"/>
      <c r="F45" s="225"/>
      <c r="G45" s="225"/>
      <c r="H45" s="225"/>
      <c r="I45" s="225"/>
      <c r="J45" s="225"/>
      <c r="K45" s="225"/>
      <c r="L45" s="225"/>
      <c r="M45" s="225"/>
      <c r="N45" s="225"/>
      <c r="O45" s="225"/>
    </row>
    <row r="46" spans="2:15">
      <c r="B46" s="150" t="s">
        <v>1338</v>
      </c>
    </row>
    <row r="48" spans="2:15">
      <c r="B48" s="152" t="s">
        <v>271</v>
      </c>
      <c r="C48" s="549">
        <f>Data_selected_by_user_testing!D87</f>
        <v>0.5</v>
      </c>
    </row>
    <row r="49" spans="2:4" s="494" customFormat="1">
      <c r="B49" s="152" t="s">
        <v>272</v>
      </c>
      <c r="C49" s="549">
        <f>Data_selected_by_user_testing!D97</f>
        <v>0.6</v>
      </c>
    </row>
    <row r="51" spans="2:4">
      <c r="B51" s="76" t="s">
        <v>297</v>
      </c>
    </row>
    <row r="52" spans="2:4">
      <c r="B52" s="12"/>
    </row>
    <row r="53" spans="2:4">
      <c r="B53" s="150" t="s">
        <v>1507</v>
      </c>
    </row>
    <row r="54" spans="2:4">
      <c r="B54" s="12"/>
    </row>
    <row r="55" spans="2:4">
      <c r="B55" s="150" t="s">
        <v>298</v>
      </c>
    </row>
    <row r="56" spans="2:4">
      <c r="B56" s="12"/>
    </row>
    <row r="57" spans="2:4">
      <c r="B57" s="108" t="s">
        <v>766</v>
      </c>
    </row>
    <row r="59" spans="2:4">
      <c r="B59" s="8" t="str">
        <f>Calc_PRIM_retirement_rates!B122</f>
        <v>Age group</v>
      </c>
      <c r="C59" s="8" t="s">
        <v>290</v>
      </c>
      <c r="D59" s="8" t="s">
        <v>245</v>
      </c>
    </row>
    <row r="60" spans="2:4">
      <c r="B60" s="8" t="str">
        <f>Calc_PRIM_retirement_rates!B124</f>
        <v>20-24</v>
      </c>
      <c r="C60" s="550">
        <f>Calc_PRIM_retirement_rates!G124</f>
        <v>0</v>
      </c>
      <c r="D60" s="550">
        <f>Calc_SEC_retirement_rates!G124</f>
        <v>0</v>
      </c>
    </row>
    <row r="61" spans="2:4">
      <c r="B61" s="8" t="str">
        <f>Calc_PRIM_retirement_rates!B125</f>
        <v>25-29</v>
      </c>
      <c r="C61" s="550">
        <f>Calc_PRIM_retirement_rates!G125</f>
        <v>0</v>
      </c>
      <c r="D61" s="550">
        <f>Calc_SEC_retirement_rates!G125</f>
        <v>0</v>
      </c>
    </row>
    <row r="62" spans="2:4">
      <c r="B62" s="8" t="str">
        <f>Calc_PRIM_retirement_rates!B126</f>
        <v>30-34</v>
      </c>
      <c r="C62" s="550">
        <f>Calc_PRIM_retirement_rates!G126</f>
        <v>0</v>
      </c>
      <c r="D62" s="550">
        <f>Calc_SEC_retirement_rates!G126</f>
        <v>0</v>
      </c>
    </row>
    <row r="63" spans="2:4">
      <c r="B63" s="8" t="str">
        <f>Calc_PRIM_retirement_rates!B127</f>
        <v>35-39</v>
      </c>
      <c r="C63" s="550">
        <f>Calc_PRIM_retirement_rates!G127</f>
        <v>0</v>
      </c>
      <c r="D63" s="550">
        <f>Calc_SEC_retirement_rates!G127</f>
        <v>3.9968674104207038E-4</v>
      </c>
    </row>
    <row r="64" spans="2:4">
      <c r="B64" s="8" t="str">
        <f>Calc_PRIM_retirement_rates!B128</f>
        <v>40-44</v>
      </c>
      <c r="C64" s="550">
        <f>Calc_PRIM_retirement_rates!G128</f>
        <v>0</v>
      </c>
      <c r="D64" s="550">
        <f>Calc_SEC_retirement_rates!G128</f>
        <v>5.1051213531259107E-4</v>
      </c>
    </row>
    <row r="65" spans="2:4">
      <c r="B65" s="8" t="str">
        <f>Calc_PRIM_retirement_rates!B129</f>
        <v>45-49</v>
      </c>
      <c r="C65" s="550">
        <f>Calc_PRIM_retirement_rates!G129</f>
        <v>1.9444776968007057E-3</v>
      </c>
      <c r="D65" s="550">
        <f>Calc_SEC_retirement_rates!G129</f>
        <v>1.2543546375370393E-3</v>
      </c>
    </row>
    <row r="66" spans="2:4">
      <c r="B66" s="8" t="str">
        <f>Calc_PRIM_retirement_rates!B130</f>
        <v>50-54</v>
      </c>
      <c r="C66" s="550">
        <f>Calc_PRIM_retirement_rates!G130</f>
        <v>2.1977834159325773E-2</v>
      </c>
      <c r="D66" s="550">
        <f>Calc_SEC_retirement_rates!G130</f>
        <v>2.8132335213982167E-2</v>
      </c>
    </row>
    <row r="67" spans="2:4">
      <c r="B67" s="8" t="str">
        <f>Calc_PRIM_retirement_rates!B131</f>
        <v>55-59</v>
      </c>
      <c r="C67" s="550">
        <f>Calc_PRIM_retirement_rates!G131</f>
        <v>0.20248379456166227</v>
      </c>
      <c r="D67" s="550">
        <f>Calc_SEC_retirement_rates!G131</f>
        <v>0.2092635429236277</v>
      </c>
    </row>
    <row r="68" spans="2:4">
      <c r="B68" s="8" t="str">
        <f>Calc_PRIM_retirement_rates!B132</f>
        <v>60-64</v>
      </c>
      <c r="C68" s="550">
        <f>Calc_PRIM_retirement_rates!G132</f>
        <v>0.35026378285919502</v>
      </c>
      <c r="D68" s="550">
        <f>Calc_SEC_retirement_rates!G132</f>
        <v>0.37517651101155397</v>
      </c>
    </row>
    <row r="69" spans="2:4">
      <c r="B69" s="8" t="str">
        <f>Calc_PRIM_retirement_rates!B133</f>
        <v>65 plus</v>
      </c>
      <c r="C69" s="550">
        <f>Calc_PRIM_retirement_rates!G133</f>
        <v>0.27504487405355904</v>
      </c>
      <c r="D69" s="550">
        <f>Calc_SEC_retirement_rates!G133</f>
        <v>0.43030195769056356</v>
      </c>
    </row>
    <row r="70" spans="2:4">
      <c r="B70" s="8" t="str">
        <f>Calc_PRIM_retirement_rates!B134</f>
        <v>Total</v>
      </c>
      <c r="C70" s="550">
        <f>Calc_PRIM_retirement_rates!G134</f>
        <v>2.4398939518855467E-2</v>
      </c>
      <c r="D70" s="550">
        <f>Calc_SEC_retirement_rates!G134</f>
        <v>3.072426494825696E-2</v>
      </c>
    </row>
    <row r="72" spans="2:4">
      <c r="B72" s="108" t="s">
        <v>291</v>
      </c>
      <c r="C72" s="5"/>
      <c r="D72" s="5"/>
    </row>
    <row r="73" spans="2:4">
      <c r="B73" s="12"/>
      <c r="C73" s="5"/>
      <c r="D73" s="5"/>
    </row>
    <row r="74" spans="2:4">
      <c r="B74" s="8" t="str">
        <f>B59</f>
        <v>Age group</v>
      </c>
      <c r="C74" s="8" t="str">
        <f>C59</f>
        <v xml:space="preserve">Primary </v>
      </c>
      <c r="D74" s="8" t="str">
        <f>D59</f>
        <v>Secondary</v>
      </c>
    </row>
    <row r="75" spans="2:4">
      <c r="B75" s="8" t="str">
        <f t="shared" ref="B75:B85" si="0">B60</f>
        <v>20-24</v>
      </c>
      <c r="C75" s="550">
        <f>Calc_PRIM_retirement_rates!G140</f>
        <v>0</v>
      </c>
      <c r="D75" s="550">
        <f>Calc_SEC_retirement_rates!G140</f>
        <v>0</v>
      </c>
    </row>
    <row r="76" spans="2:4">
      <c r="B76" s="8" t="str">
        <f t="shared" si="0"/>
        <v>25-29</v>
      </c>
      <c r="C76" s="550">
        <f>Calc_PRIM_retirement_rates!G141</f>
        <v>0</v>
      </c>
      <c r="D76" s="550">
        <f>Calc_SEC_retirement_rates!G141</f>
        <v>0</v>
      </c>
    </row>
    <row r="77" spans="2:4">
      <c r="B77" s="8" t="str">
        <f t="shared" si="0"/>
        <v>30-34</v>
      </c>
      <c r="C77" s="550">
        <f>Calc_PRIM_retirement_rates!G142</f>
        <v>1.4322146225021122E-4</v>
      </c>
      <c r="D77" s="550">
        <f>Calc_SEC_retirement_rates!G142</f>
        <v>1.2076609086515382E-4</v>
      </c>
    </row>
    <row r="78" spans="2:4">
      <c r="B78" s="8" t="str">
        <f t="shared" si="0"/>
        <v>35-39</v>
      </c>
      <c r="C78" s="550">
        <f>Calc_PRIM_retirement_rates!G143</f>
        <v>2.5750941077234236E-4</v>
      </c>
      <c r="D78" s="550">
        <f>Calc_SEC_retirement_rates!G143</f>
        <v>3.4158963079412239E-4</v>
      </c>
    </row>
    <row r="79" spans="2:4">
      <c r="B79" s="8" t="str">
        <f t="shared" si="0"/>
        <v>40-44</v>
      </c>
      <c r="C79" s="550">
        <f>Calc_PRIM_retirement_rates!G144</f>
        <v>6.0223098012162171E-4</v>
      </c>
      <c r="D79" s="550">
        <f>Calc_SEC_retirement_rates!G144</f>
        <v>5.4960987977184668E-4</v>
      </c>
    </row>
    <row r="80" spans="2:4">
      <c r="B80" s="8" t="str">
        <f t="shared" si="0"/>
        <v>45-49</v>
      </c>
      <c r="C80" s="550">
        <f>Calc_PRIM_retirement_rates!G145</f>
        <v>8.4278894631661786E-4</v>
      </c>
      <c r="D80" s="550">
        <f>Calc_SEC_retirement_rates!G145</f>
        <v>1.1142435456509329E-3</v>
      </c>
    </row>
    <row r="81" spans="2:4">
      <c r="B81" s="8" t="str">
        <f t="shared" si="0"/>
        <v>50-54</v>
      </c>
      <c r="C81" s="550">
        <f>Calc_PRIM_retirement_rates!G146</f>
        <v>1.7234205033927558E-2</v>
      </c>
      <c r="D81" s="550">
        <f>Calc_SEC_retirement_rates!G146</f>
        <v>2.3947261584249764E-2</v>
      </c>
    </row>
    <row r="82" spans="2:4">
      <c r="B82" s="8" t="str">
        <f t="shared" si="0"/>
        <v>55-59</v>
      </c>
      <c r="C82" s="550">
        <f>Calc_PRIM_retirement_rates!G147</f>
        <v>0.16646657827021769</v>
      </c>
      <c r="D82" s="550">
        <f>Calc_SEC_retirement_rates!G147</f>
        <v>0.19452873956824734</v>
      </c>
    </row>
    <row r="83" spans="2:4">
      <c r="B83" s="8" t="str">
        <f t="shared" si="0"/>
        <v>60-64</v>
      </c>
      <c r="C83" s="550">
        <f>Calc_PRIM_retirement_rates!G148</f>
        <v>0.33025662912694265</v>
      </c>
      <c r="D83" s="550">
        <f>Calc_SEC_retirement_rates!G148</f>
        <v>0.40041878429279087</v>
      </c>
    </row>
    <row r="84" spans="2:4">
      <c r="B84" s="8" t="str">
        <f t="shared" si="0"/>
        <v>65 plus</v>
      </c>
      <c r="C84" s="550">
        <f>Calc_PRIM_retirement_rates!G149</f>
        <v>0.30218026857111902</v>
      </c>
      <c r="D84" s="550">
        <f>Calc_SEC_retirement_rates!G149</f>
        <v>0.45342650135892726</v>
      </c>
    </row>
    <row r="85" spans="2:4">
      <c r="B85" s="8" t="str">
        <f t="shared" si="0"/>
        <v>Total</v>
      </c>
      <c r="C85" s="550">
        <f>Calc_PRIM_retirement_rates!G150</f>
        <v>2.4454870688384749E-2</v>
      </c>
      <c r="D85" s="550">
        <f>Calc_SEC_retirement_rates!G150</f>
        <v>2.4783751230498006E-2</v>
      </c>
    </row>
    <row r="87" spans="2:4">
      <c r="B87" s="76" t="s">
        <v>554</v>
      </c>
    </row>
    <row r="88" spans="2:4">
      <c r="B88" s="12"/>
    </row>
    <row r="89" spans="2:4">
      <c r="B89" s="150" t="s">
        <v>1508</v>
      </c>
    </row>
    <row r="91" spans="2:4">
      <c r="B91" s="150" t="s">
        <v>555</v>
      </c>
    </row>
    <row r="93" spans="2:4">
      <c r="B93" s="108" t="s">
        <v>766</v>
      </c>
      <c r="C93" s="5"/>
      <c r="D93" s="5"/>
    </row>
    <row r="94" spans="2:4">
      <c r="B94" s="5"/>
      <c r="C94" s="5"/>
      <c r="D94" s="5"/>
    </row>
    <row r="95" spans="2:4">
      <c r="B95" s="8" t="str">
        <f>Calc_PRIM_death_rates!B122</f>
        <v>Age group</v>
      </c>
      <c r="C95" s="8" t="s">
        <v>290</v>
      </c>
      <c r="D95" s="8" t="s">
        <v>245</v>
      </c>
    </row>
    <row r="96" spans="2:4">
      <c r="B96" s="8" t="str">
        <f>Calc_PRIM_death_rates!B124</f>
        <v>20-24</v>
      </c>
      <c r="C96" s="550">
        <f>Calc_PRIM_death_rates!G124</f>
        <v>0</v>
      </c>
      <c r="D96" s="550">
        <f>Calc_SEC_death_rates!G124</f>
        <v>0</v>
      </c>
    </row>
    <row r="97" spans="2:4">
      <c r="B97" s="8" t="str">
        <f>Calc_PRIM_death_rates!B125</f>
        <v>25-29</v>
      </c>
      <c r="C97" s="550">
        <f>Calc_PRIM_death_rates!G125</f>
        <v>0</v>
      </c>
      <c r="D97" s="550">
        <f>Calc_SEC_death_rates!G125</f>
        <v>0</v>
      </c>
    </row>
    <row r="98" spans="2:4">
      <c r="B98" s="8" t="str">
        <f>Calc_PRIM_death_rates!B126</f>
        <v>30-34</v>
      </c>
      <c r="C98" s="550">
        <f>Calc_PRIM_death_rates!G126</f>
        <v>0</v>
      </c>
      <c r="D98" s="550">
        <f>Calc_SEC_death_rates!G126</f>
        <v>2.3250860804411352E-4</v>
      </c>
    </row>
    <row r="99" spans="2:4">
      <c r="B99" s="8" t="str">
        <f>Calc_PRIM_death_rates!B127</f>
        <v>35-39</v>
      </c>
      <c r="C99" s="550">
        <f>Calc_PRIM_death_rates!G127</f>
        <v>0</v>
      </c>
      <c r="D99" s="550">
        <f>Calc_SEC_death_rates!G127</f>
        <v>4.2236000845111523E-4</v>
      </c>
    </row>
    <row r="100" spans="2:4">
      <c r="B100" s="8" t="str">
        <f>Calc_PRIM_death_rates!B128</f>
        <v>40-44</v>
      </c>
      <c r="C100" s="550">
        <f>Calc_PRIM_death_rates!G128</f>
        <v>9.0801714489689256E-4</v>
      </c>
      <c r="D100" s="550">
        <f>Calc_SEC_death_rates!G128</f>
        <v>7.5942763616187493E-4</v>
      </c>
    </row>
    <row r="101" spans="2:4">
      <c r="B101" s="8" t="str">
        <f>Calc_PRIM_death_rates!B129</f>
        <v>45-49</v>
      </c>
      <c r="C101" s="550">
        <f>Calc_PRIM_death_rates!G129</f>
        <v>1.6613273859223529E-3</v>
      </c>
      <c r="D101" s="550">
        <f>Calc_SEC_death_rates!G129</f>
        <v>8.1015067762966911E-4</v>
      </c>
    </row>
    <row r="102" spans="2:4">
      <c r="B102" s="8" t="str">
        <f>Calc_PRIM_death_rates!B130</f>
        <v>50-54</v>
      </c>
      <c r="C102" s="550">
        <f>Calc_PRIM_death_rates!G130</f>
        <v>2.2810580779350728E-3</v>
      </c>
      <c r="D102" s="550">
        <f>Calc_SEC_death_rates!G130</f>
        <v>1.5937840995852927E-3</v>
      </c>
    </row>
    <row r="103" spans="2:4">
      <c r="B103" s="8" t="str">
        <f>Calc_PRIM_death_rates!B131</f>
        <v>55-59</v>
      </c>
      <c r="C103" s="550">
        <f>Calc_PRIM_death_rates!G131</f>
        <v>2.5730893739128007E-3</v>
      </c>
      <c r="D103" s="550">
        <f>Calc_SEC_death_rates!G131</f>
        <v>1.435828938670516E-3</v>
      </c>
    </row>
    <row r="104" spans="2:4">
      <c r="B104" s="8" t="str">
        <f>Calc_PRIM_death_rates!B132</f>
        <v>60-64</v>
      </c>
      <c r="C104" s="550">
        <f>Calc_PRIM_death_rates!G132</f>
        <v>0</v>
      </c>
      <c r="D104" s="550">
        <f>Calc_SEC_death_rates!G132</f>
        <v>2.9015442792043895E-3</v>
      </c>
    </row>
    <row r="105" spans="2:4">
      <c r="B105" s="8" t="str">
        <f>Calc_PRIM_death_rates!B133</f>
        <v>65 plus</v>
      </c>
      <c r="C105" s="550">
        <f>Calc_PRIM_death_rates!G133</f>
        <v>0</v>
      </c>
      <c r="D105" s="550">
        <f>Calc_SEC_death_rates!G133</f>
        <v>9.4548473292265043E-3</v>
      </c>
    </row>
    <row r="106" spans="2:4">
      <c r="B106" s="8" t="str">
        <f>Calc_PRIM_death_rates!B134</f>
        <v>Total</v>
      </c>
      <c r="C106" s="550">
        <f>Calc_PRIM_death_rates!G134</f>
        <v>6.6709936388589482E-4</v>
      </c>
      <c r="D106" s="550">
        <f>Calc_SEC_death_rates!G134</f>
        <v>7.1155339764435535E-4</v>
      </c>
    </row>
    <row r="107" spans="2:4">
      <c r="B107" s="5"/>
      <c r="C107" s="5"/>
      <c r="D107" s="5"/>
    </row>
    <row r="108" spans="2:4">
      <c r="B108" s="108" t="s">
        <v>291</v>
      </c>
      <c r="C108" s="5"/>
      <c r="D108" s="5"/>
    </row>
    <row r="109" spans="2:4">
      <c r="B109" s="5"/>
      <c r="C109" s="5"/>
      <c r="D109" s="5"/>
    </row>
    <row r="110" spans="2:4">
      <c r="B110" s="8" t="str">
        <f>B95</f>
        <v>Age group</v>
      </c>
      <c r="C110" s="8" t="str">
        <f>C95</f>
        <v xml:space="preserve">Primary </v>
      </c>
      <c r="D110" s="8" t="str">
        <f>D95</f>
        <v>Secondary</v>
      </c>
    </row>
    <row r="111" spans="2:4">
      <c r="B111" s="8" t="str">
        <f t="shared" ref="B111:B121" si="1">B96</f>
        <v>20-24</v>
      </c>
      <c r="C111" s="550">
        <f>Calc_PRIM_death_rates!G140</f>
        <v>0</v>
      </c>
      <c r="D111" s="550">
        <f>Calc_SEC_death_rates!G140</f>
        <v>0</v>
      </c>
    </row>
    <row r="112" spans="2:4">
      <c r="B112" s="8" t="str">
        <f t="shared" si="1"/>
        <v>25-29</v>
      </c>
      <c r="C112" s="550">
        <f>Calc_PRIM_death_rates!G141</f>
        <v>1.4859258616083389E-4</v>
      </c>
      <c r="D112" s="550">
        <f>Calc_SEC_death_rates!G141</f>
        <v>0</v>
      </c>
    </row>
    <row r="113" spans="2:17">
      <c r="B113" s="8" t="str">
        <f t="shared" si="1"/>
        <v>30-34</v>
      </c>
      <c r="C113" s="550">
        <f>Calc_PRIM_death_rates!G142</f>
        <v>1.5425840262641189E-4</v>
      </c>
      <c r="D113" s="550">
        <f>Calc_SEC_death_rates!G142</f>
        <v>6.7678079811225606E-5</v>
      </c>
    </row>
    <row r="114" spans="2:17">
      <c r="B114" s="8" t="str">
        <f t="shared" si="1"/>
        <v>35-39</v>
      </c>
      <c r="C114" s="550">
        <f>Calc_PRIM_death_rates!G143</f>
        <v>2.5438467906137952E-4</v>
      </c>
      <c r="D114" s="550">
        <f>Calc_SEC_death_rates!G143</f>
        <v>2.5893886796059972E-4</v>
      </c>
    </row>
    <row r="115" spans="2:17">
      <c r="B115" s="8" t="str">
        <f t="shared" si="1"/>
        <v>40-44</v>
      </c>
      <c r="C115" s="550">
        <f>Calc_PRIM_death_rates!G144</f>
        <v>4.0325729155036823E-4</v>
      </c>
      <c r="D115" s="550">
        <f>Calc_SEC_death_rates!G144</f>
        <v>2.9088421622349873E-4</v>
      </c>
    </row>
    <row r="116" spans="2:17">
      <c r="B116" s="8" t="str">
        <f t="shared" si="1"/>
        <v>45-49</v>
      </c>
      <c r="C116" s="550">
        <f>Calc_PRIM_death_rates!G145</f>
        <v>6.8470305826109088E-4</v>
      </c>
      <c r="D116" s="550">
        <f>Calc_SEC_death_rates!G145</f>
        <v>4.2810294746726326E-4</v>
      </c>
    </row>
    <row r="117" spans="2:17">
      <c r="B117" s="8" t="str">
        <f t="shared" si="1"/>
        <v>50-54</v>
      </c>
      <c r="C117" s="550">
        <f>Calc_PRIM_death_rates!G146</f>
        <v>6.7493895576339565E-4</v>
      </c>
      <c r="D117" s="550">
        <f>Calc_SEC_death_rates!G146</f>
        <v>5.730522277043248E-4</v>
      </c>
    </row>
    <row r="118" spans="2:17">
      <c r="B118" s="8" t="str">
        <f t="shared" si="1"/>
        <v>55-59</v>
      </c>
      <c r="C118" s="550">
        <f>Calc_PRIM_death_rates!G147</f>
        <v>9.2546675344712512E-4</v>
      </c>
      <c r="D118" s="550">
        <f>Calc_SEC_death_rates!G147</f>
        <v>1.5778707877641119E-3</v>
      </c>
    </row>
    <row r="119" spans="2:17">
      <c r="B119" s="8" t="str">
        <f t="shared" si="1"/>
        <v>60-64</v>
      </c>
      <c r="C119" s="550">
        <f>Calc_PRIM_death_rates!G148</f>
        <v>1.0257393520868832E-3</v>
      </c>
      <c r="D119" s="550">
        <f>Calc_SEC_death_rates!G148</f>
        <v>2.3866832034090272E-3</v>
      </c>
    </row>
    <row r="120" spans="2:17">
      <c r="B120" s="8" t="str">
        <f t="shared" si="1"/>
        <v>65 plus</v>
      </c>
      <c r="C120" s="550">
        <f>Calc_PRIM_death_rates!G149</f>
        <v>0</v>
      </c>
      <c r="D120" s="550">
        <f>Calc_SEC_death_rates!G149</f>
        <v>1.4599933933477515E-2</v>
      </c>
    </row>
    <row r="121" spans="2:17">
      <c r="B121" s="8" t="str">
        <f t="shared" si="1"/>
        <v>Total</v>
      </c>
      <c r="C121" s="550">
        <f>Calc_PRIM_death_rates!G150</f>
        <v>3.836953913516582E-4</v>
      </c>
      <c r="D121" s="550">
        <f>Calc_SEC_death_rates!G150</f>
        <v>3.78000311462821E-4</v>
      </c>
    </row>
    <row r="123" spans="2:17">
      <c r="B123" s="76" t="s">
        <v>299</v>
      </c>
    </row>
    <row r="124" spans="2:17">
      <c r="B124" s="12"/>
    </row>
    <row r="125" spans="2:17">
      <c r="B125" s="150" t="s">
        <v>1509</v>
      </c>
    </row>
    <row r="127" spans="2:17" ht="12.75" customHeight="1">
      <c r="B127" s="807" t="s">
        <v>440</v>
      </c>
      <c r="C127" s="807"/>
      <c r="D127" s="807"/>
      <c r="E127" s="807"/>
      <c r="F127" s="807"/>
      <c r="G127" s="807"/>
      <c r="H127" s="807"/>
      <c r="I127" s="807"/>
      <c r="J127" s="807"/>
      <c r="K127" s="807"/>
      <c r="L127" s="807"/>
      <c r="M127" s="807"/>
      <c r="N127" s="807"/>
      <c r="O127" s="807"/>
      <c r="P127" s="807"/>
      <c r="Q127" s="807"/>
    </row>
    <row r="129" spans="2:4">
      <c r="B129" s="108" t="s">
        <v>766</v>
      </c>
      <c r="C129" s="5"/>
      <c r="D129" s="5"/>
    </row>
    <row r="130" spans="2:4">
      <c r="B130" s="5"/>
      <c r="C130" s="5"/>
      <c r="D130" s="5"/>
    </row>
    <row r="131" spans="2:4">
      <c r="B131" s="8" t="str">
        <f t="shared" ref="B131:B142" si="2">B110</f>
        <v>Age group</v>
      </c>
      <c r="C131" s="8" t="s">
        <v>290</v>
      </c>
      <c r="D131" s="8" t="str">
        <f>D110</f>
        <v>Secondary</v>
      </c>
    </row>
    <row r="132" spans="2:4">
      <c r="B132" s="8" t="str">
        <f t="shared" si="2"/>
        <v>20-24</v>
      </c>
      <c r="C132" s="550">
        <f>Calculation_PRIM_wastage_rates!G124</f>
        <v>0.11296392894877813</v>
      </c>
      <c r="D132" s="550">
        <f>Calculation_SEC_wastage_rates!G124</f>
        <v>0.12811416345529325</v>
      </c>
    </row>
    <row r="133" spans="2:4">
      <c r="B133" s="8" t="str">
        <f t="shared" si="2"/>
        <v>25-29</v>
      </c>
      <c r="C133" s="550">
        <f>Calculation_PRIM_wastage_rates!G125</f>
        <v>0.1056937933378603</v>
      </c>
      <c r="D133" s="550">
        <f>Calculation_SEC_wastage_rates!G125</f>
        <v>9.8285782452461085E-2</v>
      </c>
    </row>
    <row r="134" spans="2:4">
      <c r="B134" s="8" t="str">
        <f t="shared" si="2"/>
        <v>30-34</v>
      </c>
      <c r="C134" s="550">
        <f>Calculation_PRIM_wastage_rates!G126</f>
        <v>8.8476065462397502E-2</v>
      </c>
      <c r="D134" s="550">
        <f>Calculation_SEC_wastage_rates!G126</f>
        <v>6.8301165737690489E-2</v>
      </c>
    </row>
    <row r="135" spans="2:4">
      <c r="B135" s="8" t="str">
        <f t="shared" si="2"/>
        <v>35-39</v>
      </c>
      <c r="C135" s="550">
        <f>Calculation_PRIM_wastage_rates!G127</f>
        <v>7.3388314035979521E-2</v>
      </c>
      <c r="D135" s="550">
        <f>Calculation_SEC_wastage_rates!G127</f>
        <v>6.6004100030155208E-2</v>
      </c>
    </row>
    <row r="136" spans="2:4">
      <c r="B136" s="8" t="str">
        <f t="shared" si="2"/>
        <v>40-44</v>
      </c>
      <c r="C136" s="550">
        <f>Calculation_PRIM_wastage_rates!G128</f>
        <v>7.6396665856450358E-2</v>
      </c>
      <c r="D136" s="550">
        <f>Calculation_SEC_wastage_rates!G128</f>
        <v>6.9052916257921926E-2</v>
      </c>
    </row>
    <row r="137" spans="2:4">
      <c r="B137" s="8" t="str">
        <f t="shared" si="2"/>
        <v>45-49</v>
      </c>
      <c r="C137" s="550">
        <f>Calculation_PRIM_wastage_rates!G129</f>
        <v>8.4952310478084658E-2</v>
      </c>
      <c r="D137" s="550">
        <f>Calculation_SEC_wastage_rates!G129</f>
        <v>7.9836701122599357E-2</v>
      </c>
    </row>
    <row r="138" spans="2:4">
      <c r="B138" s="8" t="str">
        <f t="shared" si="2"/>
        <v>50-54</v>
      </c>
      <c r="C138" s="550">
        <f>Calculation_PRIM_wastage_rates!G130</f>
        <v>8.2933171496721331E-2</v>
      </c>
      <c r="D138" s="550">
        <f>Calculation_SEC_wastage_rates!G130</f>
        <v>7.9154325825221916E-2</v>
      </c>
    </row>
    <row r="139" spans="2:4">
      <c r="B139" s="8" t="str">
        <f t="shared" si="2"/>
        <v>55-59</v>
      </c>
      <c r="C139" s="550">
        <f>Calculation_PRIM_wastage_rates!G131</f>
        <v>4.5892868186629361E-2</v>
      </c>
      <c r="D139" s="550">
        <f>Calculation_SEC_wastage_rates!G131</f>
        <v>4.8523625874645544E-2</v>
      </c>
    </row>
    <row r="140" spans="2:4">
      <c r="B140" s="8" t="str">
        <f t="shared" si="2"/>
        <v>60-64</v>
      </c>
      <c r="C140" s="550">
        <f>Calculation_PRIM_wastage_rates!G132</f>
        <v>1.614169784070206E-2</v>
      </c>
      <c r="D140" s="550">
        <f>Calculation_SEC_wastage_rates!G132</f>
        <v>1.860024427796168E-2</v>
      </c>
    </row>
    <row r="141" spans="2:4">
      <c r="B141" s="8" t="str">
        <f t="shared" si="2"/>
        <v>65 plus</v>
      </c>
      <c r="C141" s="550">
        <f>Calculation_PRIM_wastage_rates!G133</f>
        <v>2.9568652942134083E-2</v>
      </c>
      <c r="D141" s="550">
        <f>Calculation_SEC_wastage_rates!G133</f>
        <v>2.0673360590148106E-2</v>
      </c>
    </row>
    <row r="142" spans="2:4">
      <c r="B142" s="8" t="str">
        <f t="shared" si="2"/>
        <v>Total</v>
      </c>
      <c r="C142" s="550">
        <f>Calculation_PRIM_wastage_rates!G134</f>
        <v>8.3231538706728544E-2</v>
      </c>
      <c r="D142" s="550">
        <f>Calculation_SEC_wastage_rates!G134</f>
        <v>7.4064250984494442E-2</v>
      </c>
    </row>
    <row r="143" spans="2:4">
      <c r="B143" s="5"/>
      <c r="C143" s="5"/>
      <c r="D143" s="5"/>
    </row>
    <row r="144" spans="2:4">
      <c r="B144" s="108" t="s">
        <v>291</v>
      </c>
      <c r="C144" s="5"/>
      <c r="D144" s="5"/>
    </row>
    <row r="145" spans="2:4">
      <c r="B145" s="5"/>
      <c r="C145" s="5"/>
      <c r="D145" s="5"/>
    </row>
    <row r="146" spans="2:4">
      <c r="B146" s="8" t="str">
        <f>B131</f>
        <v>Age group</v>
      </c>
      <c r="C146" s="8" t="str">
        <f>C131</f>
        <v xml:space="preserve">Primary </v>
      </c>
      <c r="D146" s="8" t="str">
        <f>D131</f>
        <v>Secondary</v>
      </c>
    </row>
    <row r="147" spans="2:4">
      <c r="B147" s="8" t="str">
        <f t="shared" ref="B147:B157" si="3">B132</f>
        <v>20-24</v>
      </c>
      <c r="C147" s="550">
        <f>Calculation_PRIM_wastage_rates!G140</f>
        <v>9.4308011869168651E-2</v>
      </c>
      <c r="D147" s="550">
        <f>Calculation_SEC_wastage_rates!G140</f>
        <v>0.11276838177302007</v>
      </c>
    </row>
    <row r="148" spans="2:4">
      <c r="B148" s="8" t="str">
        <f t="shared" si="3"/>
        <v>25-29</v>
      </c>
      <c r="C148" s="550">
        <f>Calculation_PRIM_wastage_rates!G141</f>
        <v>8.827524492598901E-2</v>
      </c>
      <c r="D148" s="550">
        <f>Calculation_SEC_wastage_rates!G141</f>
        <v>9.7860608614392358E-2</v>
      </c>
    </row>
    <row r="149" spans="2:4">
      <c r="B149" s="8" t="str">
        <f t="shared" si="3"/>
        <v>30-34</v>
      </c>
      <c r="C149" s="550">
        <f>Calculation_PRIM_wastage_rates!G142</f>
        <v>7.9775683759502364E-2</v>
      </c>
      <c r="D149" s="550">
        <f>Calculation_SEC_wastage_rates!G142</f>
        <v>9.0307123142648951E-2</v>
      </c>
    </row>
    <row r="150" spans="2:4">
      <c r="B150" s="8" t="str">
        <f t="shared" si="3"/>
        <v>35-39</v>
      </c>
      <c r="C150" s="550">
        <f>Calculation_PRIM_wastage_rates!G143</f>
        <v>7.5692673212471598E-2</v>
      </c>
      <c r="D150" s="550">
        <f>Calculation_SEC_wastage_rates!G143</f>
        <v>7.9726660619077544E-2</v>
      </c>
    </row>
    <row r="151" spans="2:4">
      <c r="B151" s="8" t="str">
        <f t="shared" si="3"/>
        <v>40-44</v>
      </c>
      <c r="C151" s="550">
        <f>Calculation_PRIM_wastage_rates!G144</f>
        <v>7.0704004259759895E-2</v>
      </c>
      <c r="D151" s="550">
        <f>Calculation_SEC_wastage_rates!G144</f>
        <v>7.6062086402962775E-2</v>
      </c>
    </row>
    <row r="152" spans="2:4">
      <c r="B152" s="8" t="str">
        <f t="shared" si="3"/>
        <v>45-49</v>
      </c>
      <c r="C152" s="550">
        <f>Calculation_PRIM_wastage_rates!G145</f>
        <v>7.4399513361481595E-2</v>
      </c>
      <c r="D152" s="550">
        <f>Calculation_SEC_wastage_rates!G145</f>
        <v>8.2231886669618254E-2</v>
      </c>
    </row>
    <row r="153" spans="2:4">
      <c r="B153" s="8" t="str">
        <f t="shared" si="3"/>
        <v>50-54</v>
      </c>
      <c r="C153" s="550">
        <f>Calculation_PRIM_wastage_rates!G146</f>
        <v>8.0023129963471523E-2</v>
      </c>
      <c r="D153" s="550">
        <f>Calculation_SEC_wastage_rates!G146</f>
        <v>8.3247002333023484E-2</v>
      </c>
    </row>
    <row r="154" spans="2:4">
      <c r="B154" s="8" t="str">
        <f t="shared" si="3"/>
        <v>55-59</v>
      </c>
      <c r="C154" s="550">
        <f>Calculation_PRIM_wastage_rates!G147</f>
        <v>4.9278845389007932E-2</v>
      </c>
      <c r="D154" s="550">
        <f>Calculation_SEC_wastage_rates!G147</f>
        <v>5.1262259412022566E-2</v>
      </c>
    </row>
    <row r="155" spans="2:4">
      <c r="B155" s="8" t="str">
        <f t="shared" si="3"/>
        <v>60-64</v>
      </c>
      <c r="C155" s="550">
        <f>Calculation_PRIM_wastage_rates!G148</f>
        <v>1.9073370068660899E-2</v>
      </c>
      <c r="D155" s="550">
        <f>Calculation_SEC_wastage_rates!G148</f>
        <v>2.2334141329082582E-2</v>
      </c>
    </row>
    <row r="156" spans="2:4">
      <c r="B156" s="8" t="str">
        <f t="shared" si="3"/>
        <v>65 plus</v>
      </c>
      <c r="C156" s="550">
        <f>Calculation_PRIM_wastage_rates!G149</f>
        <v>2.0231310070917986E-2</v>
      </c>
      <c r="D156" s="550">
        <f>Calculation_SEC_wastage_rates!G149</f>
        <v>3.427129235260052E-2</v>
      </c>
    </row>
    <row r="157" spans="2:4">
      <c r="B157" s="8" t="str">
        <f t="shared" si="3"/>
        <v>Total</v>
      </c>
      <c r="C157" s="550">
        <f>Calculation_PRIM_wastage_rates!G150</f>
        <v>7.5562589606870373E-2</v>
      </c>
      <c r="D157" s="550">
        <f>Calculation_SEC_wastage_rates!G150</f>
        <v>8.3641034033025863E-2</v>
      </c>
    </row>
    <row r="159" spans="2:4">
      <c r="B159" s="76" t="s">
        <v>300</v>
      </c>
    </row>
    <row r="160" spans="2:4">
      <c r="B160" s="12"/>
    </row>
    <row r="161" spans="2:17">
      <c r="B161" s="150" t="s">
        <v>636</v>
      </c>
    </row>
    <row r="163" spans="2:17">
      <c r="B163" s="150" t="s">
        <v>301</v>
      </c>
    </row>
    <row r="165" spans="2:17">
      <c r="B165" s="108" t="s">
        <v>35</v>
      </c>
      <c r="C165" s="5"/>
      <c r="D165" s="5"/>
      <c r="E165" s="5"/>
      <c r="F165" s="5"/>
      <c r="G165" s="5"/>
      <c r="H165" s="5"/>
      <c r="I165" s="5"/>
      <c r="J165" s="5"/>
      <c r="K165" s="5"/>
      <c r="L165" s="5"/>
      <c r="M165" s="5"/>
      <c r="N165" s="5"/>
      <c r="O165" s="5"/>
      <c r="P165" s="5"/>
      <c r="Q165" s="5"/>
    </row>
    <row r="166" spans="2:17">
      <c r="B166" s="12"/>
      <c r="C166" s="5"/>
      <c r="D166" s="5"/>
      <c r="E166" s="5"/>
      <c r="F166" s="5"/>
      <c r="G166" s="5"/>
      <c r="H166" s="5"/>
      <c r="I166" s="5"/>
      <c r="J166" s="5"/>
      <c r="K166" s="5"/>
      <c r="L166" s="5"/>
      <c r="M166" s="5"/>
      <c r="N166" s="5"/>
      <c r="O166" s="5"/>
      <c r="P166" s="5"/>
      <c r="Q166" s="5"/>
    </row>
    <row r="167" spans="2:17">
      <c r="B167" s="108" t="s">
        <v>49</v>
      </c>
      <c r="C167" s="5"/>
      <c r="D167" s="5"/>
      <c r="E167" s="5"/>
      <c r="F167" s="5"/>
      <c r="G167" s="5"/>
      <c r="H167" s="5"/>
      <c r="I167" s="5"/>
      <c r="J167" s="5"/>
      <c r="K167" s="5"/>
      <c r="L167" s="5"/>
      <c r="M167" s="5"/>
      <c r="N167" s="5"/>
      <c r="O167" s="5"/>
      <c r="P167" s="5"/>
      <c r="Q167" s="5"/>
    </row>
    <row r="168" spans="2:17">
      <c r="B168" s="76"/>
      <c r="C168" s="5"/>
      <c r="D168" s="5"/>
      <c r="E168" s="5"/>
      <c r="F168" s="5"/>
      <c r="G168" s="5"/>
      <c r="H168" s="5"/>
      <c r="I168" s="5"/>
      <c r="J168" s="5"/>
      <c r="K168" s="5"/>
      <c r="L168" s="5"/>
      <c r="M168" s="5"/>
      <c r="N168" s="5"/>
      <c r="O168" s="5"/>
      <c r="P168" s="5"/>
      <c r="Q168" s="5"/>
    </row>
    <row r="169" spans="2:17">
      <c r="B169" s="8" t="str">
        <f>Projected_PRIM_wastage_rates!B54</f>
        <v>Age group</v>
      </c>
      <c r="C169" s="8" t="str">
        <f>Projected_PRIM_wastage_rates!C54</f>
        <v>2014/15</v>
      </c>
      <c r="D169" s="8" t="str">
        <f>Projected_PRIM_wastage_rates!D54</f>
        <v>2015/16</v>
      </c>
      <c r="E169" s="8" t="str">
        <f>Projected_PRIM_wastage_rates!E54</f>
        <v>2016/17</v>
      </c>
      <c r="F169" s="8" t="str">
        <f>Projected_PRIM_wastage_rates!F54</f>
        <v>2017/18</v>
      </c>
      <c r="G169" s="8" t="str">
        <f>Projected_PRIM_wastage_rates!G54</f>
        <v>2018/19</v>
      </c>
      <c r="H169" s="8" t="str">
        <f>Projected_PRIM_wastage_rates!H54</f>
        <v>2019/20</v>
      </c>
      <c r="I169" s="8" t="str">
        <f>Projected_PRIM_wastage_rates!I54</f>
        <v>2020/21</v>
      </c>
      <c r="J169" s="8" t="str">
        <f>Projected_PRIM_wastage_rates!J54</f>
        <v>2021/22</v>
      </c>
      <c r="K169" s="8" t="str">
        <f>Projected_PRIM_wastage_rates!K54</f>
        <v>2022/23</v>
      </c>
      <c r="L169" s="8" t="str">
        <f>Projected_PRIM_wastage_rates!L54</f>
        <v>2023/24</v>
      </c>
      <c r="M169" s="8" t="str">
        <f>Projected_PRIM_wastage_rates!M54</f>
        <v>2024/25</v>
      </c>
      <c r="N169" s="8" t="str">
        <f>Projected_PRIM_wastage_rates!N54</f>
        <v>2025/26</v>
      </c>
      <c r="O169" s="8" t="str">
        <f>Projected_PRIM_wastage_rates!O54</f>
        <v>2026/27</v>
      </c>
      <c r="P169" s="8" t="str">
        <f>Projected_PRIM_wastage_rates!P54</f>
        <v>2027/28</v>
      </c>
      <c r="Q169" s="167"/>
    </row>
    <row r="170" spans="2:17">
      <c r="B170" s="8" t="str">
        <f>Projected_PRIM_wastage_rates!B55</f>
        <v>20-24</v>
      </c>
      <c r="C170" s="163">
        <f>Projected_PRIM_wastage_rates!C55</f>
        <v>0.11296392894877813</v>
      </c>
      <c r="D170" s="163">
        <f>Projected_PRIM_wastage_rates!D55</f>
        <v>0.11296392894877813</v>
      </c>
      <c r="E170" s="163">
        <f>Projected_PRIM_wastage_rates!E55</f>
        <v>0.11296392894877813</v>
      </c>
      <c r="F170" s="163">
        <f>Projected_PRIM_wastage_rates!F55</f>
        <v>0.11296392894877813</v>
      </c>
      <c r="G170" s="163">
        <f>Projected_PRIM_wastage_rates!G55</f>
        <v>0.11296392894877813</v>
      </c>
      <c r="H170" s="163">
        <f>Projected_PRIM_wastage_rates!H55</f>
        <v>0.11296392894877813</v>
      </c>
      <c r="I170" s="163">
        <f>Projected_PRIM_wastage_rates!I55</f>
        <v>0.11296392894877813</v>
      </c>
      <c r="J170" s="163">
        <f>Projected_PRIM_wastage_rates!J55</f>
        <v>0.11296392894877813</v>
      </c>
      <c r="K170" s="163">
        <f>Projected_PRIM_wastage_rates!K55</f>
        <v>0.11296392894877813</v>
      </c>
      <c r="L170" s="163">
        <f>Projected_PRIM_wastage_rates!L55</f>
        <v>0.11296392894877813</v>
      </c>
      <c r="M170" s="163">
        <f>Projected_PRIM_wastage_rates!M55</f>
        <v>0.11296392894877813</v>
      </c>
      <c r="N170" s="163">
        <f>Projected_PRIM_wastage_rates!N55</f>
        <v>0.11296392894877813</v>
      </c>
      <c r="O170" s="163">
        <f>Projected_PRIM_wastage_rates!O55</f>
        <v>0.11296392894877813</v>
      </c>
      <c r="P170" s="163">
        <f>Projected_PRIM_wastage_rates!P55</f>
        <v>0.11296392894877813</v>
      </c>
      <c r="Q170" s="551"/>
    </row>
    <row r="171" spans="2:17">
      <c r="B171" s="8" t="str">
        <f>Projected_PRIM_wastage_rates!B56</f>
        <v>25-29</v>
      </c>
      <c r="C171" s="163">
        <f>Projected_PRIM_wastage_rates!C56</f>
        <v>0.1056937933378603</v>
      </c>
      <c r="D171" s="163">
        <f>Projected_PRIM_wastage_rates!D56</f>
        <v>0.1056937933378603</v>
      </c>
      <c r="E171" s="163">
        <f>Projected_PRIM_wastage_rates!E56</f>
        <v>0.1056937933378603</v>
      </c>
      <c r="F171" s="163">
        <f>Projected_PRIM_wastage_rates!F56</f>
        <v>0.1056937933378603</v>
      </c>
      <c r="G171" s="163">
        <f>Projected_PRIM_wastage_rates!G56</f>
        <v>0.1056937933378603</v>
      </c>
      <c r="H171" s="163">
        <f>Projected_PRIM_wastage_rates!H56</f>
        <v>0.1056937933378603</v>
      </c>
      <c r="I171" s="163">
        <f>Projected_PRIM_wastage_rates!I56</f>
        <v>0.1056937933378603</v>
      </c>
      <c r="J171" s="163">
        <f>Projected_PRIM_wastage_rates!J56</f>
        <v>0.1056937933378603</v>
      </c>
      <c r="K171" s="163">
        <f>Projected_PRIM_wastage_rates!K56</f>
        <v>0.1056937933378603</v>
      </c>
      <c r="L171" s="163">
        <f>Projected_PRIM_wastage_rates!L56</f>
        <v>0.1056937933378603</v>
      </c>
      <c r="M171" s="163">
        <f>Projected_PRIM_wastage_rates!M56</f>
        <v>0.1056937933378603</v>
      </c>
      <c r="N171" s="163">
        <f>Projected_PRIM_wastage_rates!N56</f>
        <v>0.1056937933378603</v>
      </c>
      <c r="O171" s="163">
        <f>Projected_PRIM_wastage_rates!O56</f>
        <v>0.1056937933378603</v>
      </c>
      <c r="P171" s="163">
        <f>Projected_PRIM_wastage_rates!P56</f>
        <v>0.1056937933378603</v>
      </c>
      <c r="Q171" s="551"/>
    </row>
    <row r="172" spans="2:17">
      <c r="B172" s="8" t="str">
        <f>Projected_PRIM_wastage_rates!B57</f>
        <v>30-34</v>
      </c>
      <c r="C172" s="163">
        <f>Projected_PRIM_wastage_rates!C57</f>
        <v>8.8476065462397502E-2</v>
      </c>
      <c r="D172" s="163">
        <f>Projected_PRIM_wastage_rates!D57</f>
        <v>8.8476065462397502E-2</v>
      </c>
      <c r="E172" s="163">
        <f>Projected_PRIM_wastage_rates!E57</f>
        <v>8.8476065462397502E-2</v>
      </c>
      <c r="F172" s="163">
        <f>Projected_PRIM_wastage_rates!F57</f>
        <v>8.8476065462397502E-2</v>
      </c>
      <c r="G172" s="163">
        <f>Projected_PRIM_wastage_rates!G57</f>
        <v>8.8476065462397502E-2</v>
      </c>
      <c r="H172" s="163">
        <f>Projected_PRIM_wastage_rates!H57</f>
        <v>8.8476065462397502E-2</v>
      </c>
      <c r="I172" s="163">
        <f>Projected_PRIM_wastage_rates!I57</f>
        <v>8.8476065462397502E-2</v>
      </c>
      <c r="J172" s="163">
        <f>Projected_PRIM_wastage_rates!J57</f>
        <v>8.8476065462397502E-2</v>
      </c>
      <c r="K172" s="163">
        <f>Projected_PRIM_wastage_rates!K57</f>
        <v>8.8476065462397502E-2</v>
      </c>
      <c r="L172" s="163">
        <f>Projected_PRIM_wastage_rates!L57</f>
        <v>8.8476065462397502E-2</v>
      </c>
      <c r="M172" s="163">
        <f>Projected_PRIM_wastage_rates!M57</f>
        <v>8.8476065462397502E-2</v>
      </c>
      <c r="N172" s="163">
        <f>Projected_PRIM_wastage_rates!N57</f>
        <v>8.8476065462397502E-2</v>
      </c>
      <c r="O172" s="163">
        <f>Projected_PRIM_wastage_rates!O57</f>
        <v>8.8476065462397502E-2</v>
      </c>
      <c r="P172" s="163">
        <f>Projected_PRIM_wastage_rates!P57</f>
        <v>8.8476065462397502E-2</v>
      </c>
      <c r="Q172" s="551"/>
    </row>
    <row r="173" spans="2:17">
      <c r="B173" s="8" t="str">
        <f>Projected_PRIM_wastage_rates!B58</f>
        <v>35-39</v>
      </c>
      <c r="C173" s="163">
        <f>Projected_PRIM_wastage_rates!C58</f>
        <v>7.3388314035979521E-2</v>
      </c>
      <c r="D173" s="163">
        <f>Projected_PRIM_wastage_rates!D58</f>
        <v>7.3388314035979521E-2</v>
      </c>
      <c r="E173" s="163">
        <f>Projected_PRIM_wastage_rates!E58</f>
        <v>7.3388314035979521E-2</v>
      </c>
      <c r="F173" s="163">
        <f>Projected_PRIM_wastage_rates!F58</f>
        <v>7.3388314035979521E-2</v>
      </c>
      <c r="G173" s="163">
        <f>Projected_PRIM_wastage_rates!G58</f>
        <v>7.3388314035979521E-2</v>
      </c>
      <c r="H173" s="163">
        <f>Projected_PRIM_wastage_rates!H58</f>
        <v>7.3388314035979521E-2</v>
      </c>
      <c r="I173" s="163">
        <f>Projected_PRIM_wastage_rates!I58</f>
        <v>7.3388314035979521E-2</v>
      </c>
      <c r="J173" s="163">
        <f>Projected_PRIM_wastage_rates!J58</f>
        <v>7.3388314035979521E-2</v>
      </c>
      <c r="K173" s="163">
        <f>Projected_PRIM_wastage_rates!K58</f>
        <v>7.3388314035979521E-2</v>
      </c>
      <c r="L173" s="163">
        <f>Projected_PRIM_wastage_rates!L58</f>
        <v>7.3388314035979521E-2</v>
      </c>
      <c r="M173" s="163">
        <f>Projected_PRIM_wastage_rates!M58</f>
        <v>7.3388314035979521E-2</v>
      </c>
      <c r="N173" s="163">
        <f>Projected_PRIM_wastage_rates!N58</f>
        <v>7.3388314035979521E-2</v>
      </c>
      <c r="O173" s="163">
        <f>Projected_PRIM_wastage_rates!O58</f>
        <v>7.3388314035979521E-2</v>
      </c>
      <c r="P173" s="163">
        <f>Projected_PRIM_wastage_rates!P58</f>
        <v>7.3388314035979521E-2</v>
      </c>
      <c r="Q173" s="551"/>
    </row>
    <row r="174" spans="2:17">
      <c r="B174" s="8" t="str">
        <f>Projected_PRIM_wastage_rates!B59</f>
        <v>40-44</v>
      </c>
      <c r="C174" s="163">
        <f>Projected_PRIM_wastage_rates!C59</f>
        <v>7.6396665856450358E-2</v>
      </c>
      <c r="D174" s="163">
        <f>Projected_PRIM_wastage_rates!D59</f>
        <v>7.6396665856450358E-2</v>
      </c>
      <c r="E174" s="163">
        <f>Projected_PRIM_wastage_rates!E59</f>
        <v>7.6396665856450358E-2</v>
      </c>
      <c r="F174" s="163">
        <f>Projected_PRIM_wastage_rates!F59</f>
        <v>7.6396665856450358E-2</v>
      </c>
      <c r="G174" s="163">
        <f>Projected_PRIM_wastage_rates!G59</f>
        <v>7.6396665856450358E-2</v>
      </c>
      <c r="H174" s="163">
        <f>Projected_PRIM_wastage_rates!H59</f>
        <v>7.6396665856450358E-2</v>
      </c>
      <c r="I174" s="163">
        <f>Projected_PRIM_wastage_rates!I59</f>
        <v>7.6396665856450358E-2</v>
      </c>
      <c r="J174" s="163">
        <f>Projected_PRIM_wastage_rates!J59</f>
        <v>7.6396665856450358E-2</v>
      </c>
      <c r="K174" s="163">
        <f>Projected_PRIM_wastage_rates!K59</f>
        <v>7.6396665856450358E-2</v>
      </c>
      <c r="L174" s="163">
        <f>Projected_PRIM_wastage_rates!L59</f>
        <v>7.6396665856450358E-2</v>
      </c>
      <c r="M174" s="163">
        <f>Projected_PRIM_wastage_rates!M59</f>
        <v>7.6396665856450358E-2</v>
      </c>
      <c r="N174" s="163">
        <f>Projected_PRIM_wastage_rates!N59</f>
        <v>7.6396665856450358E-2</v>
      </c>
      <c r="O174" s="163">
        <f>Projected_PRIM_wastage_rates!O59</f>
        <v>7.6396665856450358E-2</v>
      </c>
      <c r="P174" s="163">
        <f>Projected_PRIM_wastage_rates!P59</f>
        <v>7.6396665856450358E-2</v>
      </c>
      <c r="Q174" s="551"/>
    </row>
    <row r="175" spans="2:17">
      <c r="B175" s="8" t="str">
        <f>Projected_PRIM_wastage_rates!B60</f>
        <v>45-49</v>
      </c>
      <c r="C175" s="163">
        <f>Projected_PRIM_wastage_rates!C60</f>
        <v>8.4952310478084658E-2</v>
      </c>
      <c r="D175" s="163">
        <f>Projected_PRIM_wastage_rates!D60</f>
        <v>8.4952310478084658E-2</v>
      </c>
      <c r="E175" s="163">
        <f>Projected_PRIM_wastage_rates!E60</f>
        <v>8.4952310478084658E-2</v>
      </c>
      <c r="F175" s="163">
        <f>Projected_PRIM_wastage_rates!F60</f>
        <v>8.4952310478084658E-2</v>
      </c>
      <c r="G175" s="163">
        <f>Projected_PRIM_wastage_rates!G60</f>
        <v>8.4952310478084658E-2</v>
      </c>
      <c r="H175" s="163">
        <f>Projected_PRIM_wastage_rates!H60</f>
        <v>8.4952310478084658E-2</v>
      </c>
      <c r="I175" s="163">
        <f>Projected_PRIM_wastage_rates!I60</f>
        <v>8.4952310478084658E-2</v>
      </c>
      <c r="J175" s="163">
        <f>Projected_PRIM_wastage_rates!J60</f>
        <v>8.4952310478084658E-2</v>
      </c>
      <c r="K175" s="163">
        <f>Projected_PRIM_wastage_rates!K60</f>
        <v>8.4952310478084658E-2</v>
      </c>
      <c r="L175" s="163">
        <f>Projected_PRIM_wastage_rates!L60</f>
        <v>8.4952310478084658E-2</v>
      </c>
      <c r="M175" s="163">
        <f>Projected_PRIM_wastage_rates!M60</f>
        <v>8.4952310478084658E-2</v>
      </c>
      <c r="N175" s="163">
        <f>Projected_PRIM_wastage_rates!N60</f>
        <v>8.4952310478084658E-2</v>
      </c>
      <c r="O175" s="163">
        <f>Projected_PRIM_wastage_rates!O60</f>
        <v>8.4952310478084658E-2</v>
      </c>
      <c r="P175" s="163">
        <f>Projected_PRIM_wastage_rates!P60</f>
        <v>8.4952310478084658E-2</v>
      </c>
      <c r="Q175" s="551"/>
    </row>
    <row r="176" spans="2:17">
      <c r="B176" s="8" t="str">
        <f>Projected_PRIM_wastage_rates!B61</f>
        <v>50-54</v>
      </c>
      <c r="C176" s="163">
        <f>Projected_PRIM_wastage_rates!C61</f>
        <v>8.2933171496721331E-2</v>
      </c>
      <c r="D176" s="163">
        <f>Projected_PRIM_wastage_rates!D61</f>
        <v>8.2933171496721331E-2</v>
      </c>
      <c r="E176" s="163">
        <f>Projected_PRIM_wastage_rates!E61</f>
        <v>8.2933171496721331E-2</v>
      </c>
      <c r="F176" s="163">
        <f>Projected_PRIM_wastage_rates!F61</f>
        <v>8.2933171496721331E-2</v>
      </c>
      <c r="G176" s="163">
        <f>Projected_PRIM_wastage_rates!G61</f>
        <v>8.2933171496721331E-2</v>
      </c>
      <c r="H176" s="163">
        <f>Projected_PRIM_wastage_rates!H61</f>
        <v>8.2933171496721331E-2</v>
      </c>
      <c r="I176" s="163">
        <f>Projected_PRIM_wastage_rates!I61</f>
        <v>8.2933171496721331E-2</v>
      </c>
      <c r="J176" s="163">
        <f>Projected_PRIM_wastage_rates!J61</f>
        <v>8.2933171496721331E-2</v>
      </c>
      <c r="K176" s="163">
        <f>Projected_PRIM_wastage_rates!K61</f>
        <v>8.2933171496721331E-2</v>
      </c>
      <c r="L176" s="163">
        <f>Projected_PRIM_wastage_rates!L61</f>
        <v>8.2933171496721331E-2</v>
      </c>
      <c r="M176" s="163">
        <f>Projected_PRIM_wastage_rates!M61</f>
        <v>8.2933171496721331E-2</v>
      </c>
      <c r="N176" s="163">
        <f>Projected_PRIM_wastage_rates!N61</f>
        <v>8.2933171496721331E-2</v>
      </c>
      <c r="O176" s="163">
        <f>Projected_PRIM_wastage_rates!O61</f>
        <v>8.2933171496721331E-2</v>
      </c>
      <c r="P176" s="163">
        <f>Projected_PRIM_wastage_rates!P61</f>
        <v>8.2933171496721331E-2</v>
      </c>
      <c r="Q176" s="551"/>
    </row>
    <row r="177" spans="2:17">
      <c r="B177" s="8" t="str">
        <f>Projected_PRIM_wastage_rates!B62</f>
        <v>55-59</v>
      </c>
      <c r="C177" s="163">
        <f>Projected_PRIM_wastage_rates!C62</f>
        <v>4.5892868186629361E-2</v>
      </c>
      <c r="D177" s="163">
        <f>Projected_PRIM_wastage_rates!D62</f>
        <v>4.5892868186629361E-2</v>
      </c>
      <c r="E177" s="163">
        <f>Projected_PRIM_wastage_rates!E62</f>
        <v>4.5892868186629361E-2</v>
      </c>
      <c r="F177" s="163">
        <f>Projected_PRIM_wastage_rates!F62</f>
        <v>4.5892868186629361E-2</v>
      </c>
      <c r="G177" s="163">
        <f>Projected_PRIM_wastage_rates!G62</f>
        <v>4.5892868186629361E-2</v>
      </c>
      <c r="H177" s="163">
        <f>Projected_PRIM_wastage_rates!H62</f>
        <v>4.5892868186629361E-2</v>
      </c>
      <c r="I177" s="163">
        <f>Projected_PRIM_wastage_rates!I62</f>
        <v>4.5892868186629361E-2</v>
      </c>
      <c r="J177" s="163">
        <f>Projected_PRIM_wastage_rates!J62</f>
        <v>4.5892868186629361E-2</v>
      </c>
      <c r="K177" s="163">
        <f>Projected_PRIM_wastage_rates!K62</f>
        <v>4.5892868186629361E-2</v>
      </c>
      <c r="L177" s="163">
        <f>Projected_PRIM_wastage_rates!L62</f>
        <v>4.5892868186629361E-2</v>
      </c>
      <c r="M177" s="163">
        <f>Projected_PRIM_wastage_rates!M62</f>
        <v>4.5892868186629361E-2</v>
      </c>
      <c r="N177" s="163">
        <f>Projected_PRIM_wastage_rates!N62</f>
        <v>4.5892868186629361E-2</v>
      </c>
      <c r="O177" s="163">
        <f>Projected_PRIM_wastage_rates!O62</f>
        <v>4.5892868186629361E-2</v>
      </c>
      <c r="P177" s="163">
        <f>Projected_PRIM_wastage_rates!P62</f>
        <v>4.5892868186629361E-2</v>
      </c>
      <c r="Q177" s="551"/>
    </row>
    <row r="178" spans="2:17">
      <c r="B178" s="8" t="str">
        <f>Projected_PRIM_wastage_rates!B63</f>
        <v>60-64</v>
      </c>
      <c r="C178" s="163">
        <f>Projected_PRIM_wastage_rates!C63</f>
        <v>1.614169784070206E-2</v>
      </c>
      <c r="D178" s="163">
        <f>Projected_PRIM_wastage_rates!D63</f>
        <v>1.614169784070206E-2</v>
      </c>
      <c r="E178" s="163">
        <f>Projected_PRIM_wastage_rates!E63</f>
        <v>1.614169784070206E-2</v>
      </c>
      <c r="F178" s="163">
        <f>Projected_PRIM_wastage_rates!F63</f>
        <v>1.614169784070206E-2</v>
      </c>
      <c r="G178" s="163">
        <f>Projected_PRIM_wastage_rates!G63</f>
        <v>1.614169784070206E-2</v>
      </c>
      <c r="H178" s="163">
        <f>Projected_PRIM_wastage_rates!H63</f>
        <v>1.614169784070206E-2</v>
      </c>
      <c r="I178" s="163">
        <f>Projected_PRIM_wastage_rates!I63</f>
        <v>1.614169784070206E-2</v>
      </c>
      <c r="J178" s="163">
        <f>Projected_PRIM_wastage_rates!J63</f>
        <v>1.614169784070206E-2</v>
      </c>
      <c r="K178" s="163">
        <f>Projected_PRIM_wastage_rates!K63</f>
        <v>1.614169784070206E-2</v>
      </c>
      <c r="L178" s="163">
        <f>Projected_PRIM_wastage_rates!L63</f>
        <v>1.614169784070206E-2</v>
      </c>
      <c r="M178" s="163">
        <f>Projected_PRIM_wastage_rates!M63</f>
        <v>1.614169784070206E-2</v>
      </c>
      <c r="N178" s="163">
        <f>Projected_PRIM_wastage_rates!N63</f>
        <v>1.614169784070206E-2</v>
      </c>
      <c r="O178" s="163">
        <f>Projected_PRIM_wastage_rates!O63</f>
        <v>1.614169784070206E-2</v>
      </c>
      <c r="P178" s="163">
        <f>Projected_PRIM_wastage_rates!P63</f>
        <v>1.614169784070206E-2</v>
      </c>
      <c r="Q178" s="551"/>
    </row>
    <row r="179" spans="2:17">
      <c r="B179" s="8" t="str">
        <f>Projected_PRIM_wastage_rates!B64</f>
        <v>65 plus</v>
      </c>
      <c r="C179" s="163">
        <f>Projected_PRIM_wastage_rates!C64</f>
        <v>2.9568652942134083E-2</v>
      </c>
      <c r="D179" s="163">
        <f>Projected_PRIM_wastage_rates!D64</f>
        <v>2.9568652942134083E-2</v>
      </c>
      <c r="E179" s="163">
        <f>Projected_PRIM_wastage_rates!E64</f>
        <v>2.9568652942134083E-2</v>
      </c>
      <c r="F179" s="163">
        <f>Projected_PRIM_wastage_rates!F64</f>
        <v>2.9568652942134083E-2</v>
      </c>
      <c r="G179" s="163">
        <f>Projected_PRIM_wastage_rates!G64</f>
        <v>2.9568652942134083E-2</v>
      </c>
      <c r="H179" s="163">
        <f>Projected_PRIM_wastage_rates!H64</f>
        <v>2.9568652942134083E-2</v>
      </c>
      <c r="I179" s="163">
        <f>Projected_PRIM_wastage_rates!I64</f>
        <v>2.9568652942134083E-2</v>
      </c>
      <c r="J179" s="163">
        <f>Projected_PRIM_wastage_rates!J64</f>
        <v>2.9568652942134083E-2</v>
      </c>
      <c r="K179" s="163">
        <f>Projected_PRIM_wastage_rates!K64</f>
        <v>2.9568652942134083E-2</v>
      </c>
      <c r="L179" s="163">
        <f>Projected_PRIM_wastage_rates!L64</f>
        <v>2.9568652942134083E-2</v>
      </c>
      <c r="M179" s="163">
        <f>Projected_PRIM_wastage_rates!M64</f>
        <v>2.9568652942134083E-2</v>
      </c>
      <c r="N179" s="163">
        <f>Projected_PRIM_wastage_rates!N64</f>
        <v>2.9568652942134083E-2</v>
      </c>
      <c r="O179" s="163">
        <f>Projected_PRIM_wastage_rates!O64</f>
        <v>2.9568652942134083E-2</v>
      </c>
      <c r="P179" s="163">
        <f>Projected_PRIM_wastage_rates!P64</f>
        <v>2.9568652942134083E-2</v>
      </c>
      <c r="Q179" s="551"/>
    </row>
    <row r="180" spans="2:17">
      <c r="B180" s="8" t="str">
        <f>Projected_PRIM_wastage_rates!B65</f>
        <v>Total</v>
      </c>
      <c r="C180" s="163">
        <f>Projected_PRIM_wastage_rates!C65</f>
        <v>8.3231538706728544E-2</v>
      </c>
      <c r="D180" s="163">
        <f>Projected_PRIM_wastage_rates!D65</f>
        <v>8.3231538706728544E-2</v>
      </c>
      <c r="E180" s="163">
        <f>Projected_PRIM_wastage_rates!E65</f>
        <v>8.3231538706728544E-2</v>
      </c>
      <c r="F180" s="163">
        <f>Projected_PRIM_wastage_rates!F65</f>
        <v>8.3231538706728544E-2</v>
      </c>
      <c r="G180" s="163">
        <f>Projected_PRIM_wastage_rates!G65</f>
        <v>8.3231538706728544E-2</v>
      </c>
      <c r="H180" s="163">
        <f>Projected_PRIM_wastage_rates!H65</f>
        <v>8.3231538706728544E-2</v>
      </c>
      <c r="I180" s="163">
        <f>Projected_PRIM_wastage_rates!I65</f>
        <v>8.3231538706728544E-2</v>
      </c>
      <c r="J180" s="163">
        <f>Projected_PRIM_wastage_rates!J65</f>
        <v>8.3231538706728544E-2</v>
      </c>
      <c r="K180" s="163">
        <f>Projected_PRIM_wastage_rates!K65</f>
        <v>8.3231538706728544E-2</v>
      </c>
      <c r="L180" s="163">
        <f>Projected_PRIM_wastage_rates!L65</f>
        <v>8.3231538706728544E-2</v>
      </c>
      <c r="M180" s="163">
        <f>Projected_PRIM_wastage_rates!M65</f>
        <v>8.3231538706728544E-2</v>
      </c>
      <c r="N180" s="163">
        <f>Projected_PRIM_wastage_rates!N65</f>
        <v>8.3231538706728544E-2</v>
      </c>
      <c r="O180" s="163">
        <f>Projected_PRIM_wastage_rates!O65</f>
        <v>8.3231538706728544E-2</v>
      </c>
      <c r="P180" s="163">
        <f>Projected_PRIM_wastage_rates!P65</f>
        <v>8.3231538706728544E-2</v>
      </c>
      <c r="Q180" s="551"/>
    </row>
    <row r="181" spans="2:17">
      <c r="B181" s="5"/>
      <c r="C181" s="5"/>
      <c r="D181" s="5"/>
      <c r="E181" s="5"/>
      <c r="F181" s="5"/>
      <c r="G181" s="5"/>
      <c r="H181" s="5"/>
      <c r="I181" s="5"/>
      <c r="J181" s="5"/>
      <c r="K181" s="5"/>
      <c r="L181" s="5"/>
      <c r="M181" s="5"/>
      <c r="N181" s="5"/>
      <c r="O181" s="5"/>
      <c r="P181" s="5"/>
      <c r="Q181" s="245"/>
    </row>
    <row r="182" spans="2:17">
      <c r="B182" s="108" t="s">
        <v>50</v>
      </c>
      <c r="C182" s="5"/>
      <c r="D182" s="5"/>
      <c r="E182" s="5"/>
      <c r="F182" s="5"/>
      <c r="G182" s="5"/>
      <c r="H182" s="5"/>
      <c r="I182" s="5"/>
      <c r="J182" s="5"/>
      <c r="K182" s="5"/>
      <c r="L182" s="5"/>
      <c r="M182" s="5"/>
      <c r="N182" s="5"/>
      <c r="O182" s="5"/>
      <c r="P182" s="5"/>
      <c r="Q182" s="245"/>
    </row>
    <row r="183" spans="2:17">
      <c r="B183" s="5"/>
      <c r="C183" s="5"/>
      <c r="D183" s="5"/>
      <c r="E183" s="5"/>
      <c r="F183" s="5"/>
      <c r="G183" s="5"/>
      <c r="H183" s="5"/>
      <c r="I183" s="5"/>
      <c r="J183" s="5"/>
      <c r="K183" s="5"/>
      <c r="L183" s="5"/>
      <c r="M183" s="5"/>
      <c r="N183" s="5"/>
      <c r="O183" s="5"/>
      <c r="P183" s="5"/>
      <c r="Q183" s="245"/>
    </row>
    <row r="184" spans="2:17">
      <c r="B184" s="8" t="str">
        <f>Projected_PRIM_wastage_rates!B69</f>
        <v>Age group</v>
      </c>
      <c r="C184" s="8" t="str">
        <f>Projected_PRIM_wastage_rates!C69</f>
        <v>2014/15</v>
      </c>
      <c r="D184" s="8" t="str">
        <f>Projected_PRIM_wastage_rates!D69</f>
        <v>2015/16</v>
      </c>
      <c r="E184" s="8" t="str">
        <f>Projected_PRIM_wastage_rates!E69</f>
        <v>2016/17</v>
      </c>
      <c r="F184" s="8" t="str">
        <f>Projected_PRIM_wastage_rates!F69</f>
        <v>2017/18</v>
      </c>
      <c r="G184" s="8" t="str">
        <f>Projected_PRIM_wastage_rates!G69</f>
        <v>2018/19</v>
      </c>
      <c r="H184" s="8" t="str">
        <f>Projected_PRIM_wastage_rates!H69</f>
        <v>2019/20</v>
      </c>
      <c r="I184" s="8" t="str">
        <f>Projected_PRIM_wastage_rates!I69</f>
        <v>2020/21</v>
      </c>
      <c r="J184" s="8" t="str">
        <f>Projected_PRIM_wastage_rates!J69</f>
        <v>2021/22</v>
      </c>
      <c r="K184" s="8" t="str">
        <f>Projected_PRIM_wastage_rates!K69</f>
        <v>2022/23</v>
      </c>
      <c r="L184" s="8" t="str">
        <f>Projected_PRIM_wastage_rates!L69</f>
        <v>2023/24</v>
      </c>
      <c r="M184" s="8" t="str">
        <f>Projected_PRIM_wastage_rates!M69</f>
        <v>2024/25</v>
      </c>
      <c r="N184" s="8" t="str">
        <f>Projected_PRIM_wastage_rates!N69</f>
        <v>2025/26</v>
      </c>
      <c r="O184" s="8" t="str">
        <f>Projected_PRIM_wastage_rates!O69</f>
        <v>2026/27</v>
      </c>
      <c r="P184" s="8" t="str">
        <f>Projected_PRIM_wastage_rates!P69</f>
        <v>2027/28</v>
      </c>
      <c r="Q184" s="167"/>
    </row>
    <row r="185" spans="2:17">
      <c r="B185" s="8" t="str">
        <f>Projected_PRIM_wastage_rates!B70</f>
        <v>20-24</v>
      </c>
      <c r="C185" s="163">
        <f>Projected_PRIM_wastage_rates!C70</f>
        <v>9.4308011869168651E-2</v>
      </c>
      <c r="D185" s="163">
        <f>Projected_PRIM_wastage_rates!D70</f>
        <v>9.4308011869168651E-2</v>
      </c>
      <c r="E185" s="163">
        <f>Projected_PRIM_wastage_rates!E70</f>
        <v>9.4308011869168651E-2</v>
      </c>
      <c r="F185" s="163">
        <f>Projected_PRIM_wastage_rates!F70</f>
        <v>9.4308011869168651E-2</v>
      </c>
      <c r="G185" s="163">
        <f>Projected_PRIM_wastage_rates!G70</f>
        <v>9.4308011869168651E-2</v>
      </c>
      <c r="H185" s="163">
        <f>Projected_PRIM_wastage_rates!H70</f>
        <v>9.4308011869168651E-2</v>
      </c>
      <c r="I185" s="163">
        <f>Projected_PRIM_wastage_rates!I70</f>
        <v>9.4308011869168651E-2</v>
      </c>
      <c r="J185" s="163">
        <f>Projected_PRIM_wastage_rates!J70</f>
        <v>9.4308011869168651E-2</v>
      </c>
      <c r="K185" s="163">
        <f>Projected_PRIM_wastage_rates!K70</f>
        <v>9.4308011869168651E-2</v>
      </c>
      <c r="L185" s="163">
        <f>Projected_PRIM_wastage_rates!L70</f>
        <v>9.4308011869168651E-2</v>
      </c>
      <c r="M185" s="163">
        <f>Projected_PRIM_wastage_rates!M70</f>
        <v>9.4308011869168651E-2</v>
      </c>
      <c r="N185" s="163">
        <f>Projected_PRIM_wastage_rates!N70</f>
        <v>9.4308011869168651E-2</v>
      </c>
      <c r="O185" s="163">
        <f>Projected_PRIM_wastage_rates!O70</f>
        <v>9.4308011869168651E-2</v>
      </c>
      <c r="P185" s="163">
        <f>Projected_PRIM_wastage_rates!P70</f>
        <v>9.4308011869168651E-2</v>
      </c>
      <c r="Q185" s="551"/>
    </row>
    <row r="186" spans="2:17">
      <c r="B186" s="8" t="str">
        <f>Projected_PRIM_wastage_rates!B71</f>
        <v>25-29</v>
      </c>
      <c r="C186" s="163">
        <f>Projected_PRIM_wastage_rates!C71</f>
        <v>8.827524492598901E-2</v>
      </c>
      <c r="D186" s="163">
        <f>Projected_PRIM_wastage_rates!D71</f>
        <v>8.827524492598901E-2</v>
      </c>
      <c r="E186" s="163">
        <f>Projected_PRIM_wastage_rates!E71</f>
        <v>8.827524492598901E-2</v>
      </c>
      <c r="F186" s="163">
        <f>Projected_PRIM_wastage_rates!F71</f>
        <v>8.827524492598901E-2</v>
      </c>
      <c r="G186" s="163">
        <f>Projected_PRIM_wastage_rates!G71</f>
        <v>8.827524492598901E-2</v>
      </c>
      <c r="H186" s="163">
        <f>Projected_PRIM_wastage_rates!H71</f>
        <v>8.827524492598901E-2</v>
      </c>
      <c r="I186" s="163">
        <f>Projected_PRIM_wastage_rates!I71</f>
        <v>8.827524492598901E-2</v>
      </c>
      <c r="J186" s="163">
        <f>Projected_PRIM_wastage_rates!J71</f>
        <v>8.827524492598901E-2</v>
      </c>
      <c r="K186" s="163">
        <f>Projected_PRIM_wastage_rates!K71</f>
        <v>8.827524492598901E-2</v>
      </c>
      <c r="L186" s="163">
        <f>Projected_PRIM_wastage_rates!L71</f>
        <v>8.827524492598901E-2</v>
      </c>
      <c r="M186" s="163">
        <f>Projected_PRIM_wastage_rates!M71</f>
        <v>8.827524492598901E-2</v>
      </c>
      <c r="N186" s="163">
        <f>Projected_PRIM_wastage_rates!N71</f>
        <v>8.827524492598901E-2</v>
      </c>
      <c r="O186" s="163">
        <f>Projected_PRIM_wastage_rates!O71</f>
        <v>8.827524492598901E-2</v>
      </c>
      <c r="P186" s="163">
        <f>Projected_PRIM_wastage_rates!P71</f>
        <v>8.827524492598901E-2</v>
      </c>
      <c r="Q186" s="551"/>
    </row>
    <row r="187" spans="2:17">
      <c r="B187" s="8" t="str">
        <f>Projected_PRIM_wastage_rates!B72</f>
        <v>30-34</v>
      </c>
      <c r="C187" s="163">
        <f>Projected_PRIM_wastage_rates!C72</f>
        <v>7.9775683759502364E-2</v>
      </c>
      <c r="D187" s="163">
        <f>Projected_PRIM_wastage_rates!D72</f>
        <v>7.9775683759502364E-2</v>
      </c>
      <c r="E187" s="163">
        <f>Projected_PRIM_wastage_rates!E72</f>
        <v>7.9775683759502364E-2</v>
      </c>
      <c r="F187" s="163">
        <f>Projected_PRIM_wastage_rates!F72</f>
        <v>7.9775683759502364E-2</v>
      </c>
      <c r="G187" s="163">
        <f>Projected_PRIM_wastage_rates!G72</f>
        <v>7.9775683759502364E-2</v>
      </c>
      <c r="H187" s="163">
        <f>Projected_PRIM_wastage_rates!H72</f>
        <v>7.9775683759502364E-2</v>
      </c>
      <c r="I187" s="163">
        <f>Projected_PRIM_wastage_rates!I72</f>
        <v>7.9775683759502364E-2</v>
      </c>
      <c r="J187" s="163">
        <f>Projected_PRIM_wastage_rates!J72</f>
        <v>7.9775683759502364E-2</v>
      </c>
      <c r="K187" s="163">
        <f>Projected_PRIM_wastage_rates!K72</f>
        <v>7.9775683759502364E-2</v>
      </c>
      <c r="L187" s="163">
        <f>Projected_PRIM_wastage_rates!L72</f>
        <v>7.9775683759502364E-2</v>
      </c>
      <c r="M187" s="163">
        <f>Projected_PRIM_wastage_rates!M72</f>
        <v>7.9775683759502364E-2</v>
      </c>
      <c r="N187" s="163">
        <f>Projected_PRIM_wastage_rates!N72</f>
        <v>7.9775683759502364E-2</v>
      </c>
      <c r="O187" s="163">
        <f>Projected_PRIM_wastage_rates!O72</f>
        <v>7.9775683759502364E-2</v>
      </c>
      <c r="P187" s="163">
        <f>Projected_PRIM_wastage_rates!P72</f>
        <v>7.9775683759502364E-2</v>
      </c>
      <c r="Q187" s="551"/>
    </row>
    <row r="188" spans="2:17">
      <c r="B188" s="8" t="str">
        <f>Projected_PRIM_wastage_rates!B73</f>
        <v>35-39</v>
      </c>
      <c r="C188" s="163">
        <f>Projected_PRIM_wastage_rates!C73</f>
        <v>7.5692673212471598E-2</v>
      </c>
      <c r="D188" s="163">
        <f>Projected_PRIM_wastage_rates!D73</f>
        <v>7.5692673212471598E-2</v>
      </c>
      <c r="E188" s="163">
        <f>Projected_PRIM_wastage_rates!E73</f>
        <v>7.5692673212471598E-2</v>
      </c>
      <c r="F188" s="163">
        <f>Projected_PRIM_wastage_rates!F73</f>
        <v>7.5692673212471598E-2</v>
      </c>
      <c r="G188" s="163">
        <f>Projected_PRIM_wastage_rates!G73</f>
        <v>7.5692673212471598E-2</v>
      </c>
      <c r="H188" s="163">
        <f>Projected_PRIM_wastage_rates!H73</f>
        <v>7.5692673212471598E-2</v>
      </c>
      <c r="I188" s="163">
        <f>Projected_PRIM_wastage_rates!I73</f>
        <v>7.5692673212471598E-2</v>
      </c>
      <c r="J188" s="163">
        <f>Projected_PRIM_wastage_rates!J73</f>
        <v>7.5692673212471598E-2</v>
      </c>
      <c r="K188" s="163">
        <f>Projected_PRIM_wastage_rates!K73</f>
        <v>7.5692673212471598E-2</v>
      </c>
      <c r="L188" s="163">
        <f>Projected_PRIM_wastage_rates!L73</f>
        <v>7.5692673212471598E-2</v>
      </c>
      <c r="M188" s="163">
        <f>Projected_PRIM_wastage_rates!M73</f>
        <v>7.5692673212471598E-2</v>
      </c>
      <c r="N188" s="163">
        <f>Projected_PRIM_wastage_rates!N73</f>
        <v>7.5692673212471598E-2</v>
      </c>
      <c r="O188" s="163">
        <f>Projected_PRIM_wastage_rates!O73</f>
        <v>7.5692673212471598E-2</v>
      </c>
      <c r="P188" s="163">
        <f>Projected_PRIM_wastage_rates!P73</f>
        <v>7.5692673212471598E-2</v>
      </c>
      <c r="Q188" s="551"/>
    </row>
    <row r="189" spans="2:17">
      <c r="B189" s="8" t="str">
        <f>Projected_PRIM_wastage_rates!B74</f>
        <v>40-44</v>
      </c>
      <c r="C189" s="163">
        <f>Projected_PRIM_wastage_rates!C74</f>
        <v>7.0704004259759895E-2</v>
      </c>
      <c r="D189" s="163">
        <f>Projected_PRIM_wastage_rates!D74</f>
        <v>7.0704004259759895E-2</v>
      </c>
      <c r="E189" s="163">
        <f>Projected_PRIM_wastage_rates!E74</f>
        <v>7.0704004259759895E-2</v>
      </c>
      <c r="F189" s="163">
        <f>Projected_PRIM_wastage_rates!F74</f>
        <v>7.0704004259759895E-2</v>
      </c>
      <c r="G189" s="163">
        <f>Projected_PRIM_wastage_rates!G74</f>
        <v>7.0704004259759895E-2</v>
      </c>
      <c r="H189" s="163">
        <f>Projected_PRIM_wastage_rates!H74</f>
        <v>7.0704004259759895E-2</v>
      </c>
      <c r="I189" s="163">
        <f>Projected_PRIM_wastage_rates!I74</f>
        <v>7.0704004259759895E-2</v>
      </c>
      <c r="J189" s="163">
        <f>Projected_PRIM_wastage_rates!J74</f>
        <v>7.0704004259759895E-2</v>
      </c>
      <c r="K189" s="163">
        <f>Projected_PRIM_wastage_rates!K74</f>
        <v>7.0704004259759895E-2</v>
      </c>
      <c r="L189" s="163">
        <f>Projected_PRIM_wastage_rates!L74</f>
        <v>7.0704004259759895E-2</v>
      </c>
      <c r="M189" s="163">
        <f>Projected_PRIM_wastage_rates!M74</f>
        <v>7.0704004259759895E-2</v>
      </c>
      <c r="N189" s="163">
        <f>Projected_PRIM_wastage_rates!N74</f>
        <v>7.0704004259759895E-2</v>
      </c>
      <c r="O189" s="163">
        <f>Projected_PRIM_wastage_rates!O74</f>
        <v>7.0704004259759895E-2</v>
      </c>
      <c r="P189" s="163">
        <f>Projected_PRIM_wastage_rates!P74</f>
        <v>7.0704004259759895E-2</v>
      </c>
      <c r="Q189" s="551"/>
    </row>
    <row r="190" spans="2:17">
      <c r="B190" s="8" t="str">
        <f>Projected_PRIM_wastage_rates!B75</f>
        <v>45-49</v>
      </c>
      <c r="C190" s="163">
        <f>Projected_PRIM_wastage_rates!C75</f>
        <v>7.4399513361481595E-2</v>
      </c>
      <c r="D190" s="163">
        <f>Projected_PRIM_wastage_rates!D75</f>
        <v>7.4399513361481595E-2</v>
      </c>
      <c r="E190" s="163">
        <f>Projected_PRIM_wastage_rates!E75</f>
        <v>7.4399513361481595E-2</v>
      </c>
      <c r="F190" s="163">
        <f>Projected_PRIM_wastage_rates!F75</f>
        <v>7.4399513361481595E-2</v>
      </c>
      <c r="G190" s="163">
        <f>Projected_PRIM_wastage_rates!G75</f>
        <v>7.4399513361481595E-2</v>
      </c>
      <c r="H190" s="163">
        <f>Projected_PRIM_wastage_rates!H75</f>
        <v>7.4399513361481595E-2</v>
      </c>
      <c r="I190" s="163">
        <f>Projected_PRIM_wastage_rates!I75</f>
        <v>7.4399513361481595E-2</v>
      </c>
      <c r="J190" s="163">
        <f>Projected_PRIM_wastage_rates!J75</f>
        <v>7.4399513361481595E-2</v>
      </c>
      <c r="K190" s="163">
        <f>Projected_PRIM_wastage_rates!K75</f>
        <v>7.4399513361481595E-2</v>
      </c>
      <c r="L190" s="163">
        <f>Projected_PRIM_wastage_rates!L75</f>
        <v>7.4399513361481595E-2</v>
      </c>
      <c r="M190" s="163">
        <f>Projected_PRIM_wastage_rates!M75</f>
        <v>7.4399513361481595E-2</v>
      </c>
      <c r="N190" s="163">
        <f>Projected_PRIM_wastage_rates!N75</f>
        <v>7.4399513361481595E-2</v>
      </c>
      <c r="O190" s="163">
        <f>Projected_PRIM_wastage_rates!O75</f>
        <v>7.4399513361481595E-2</v>
      </c>
      <c r="P190" s="163">
        <f>Projected_PRIM_wastage_rates!P75</f>
        <v>7.4399513361481595E-2</v>
      </c>
      <c r="Q190" s="551"/>
    </row>
    <row r="191" spans="2:17">
      <c r="B191" s="8" t="str">
        <f>Projected_PRIM_wastage_rates!B76</f>
        <v>50-54</v>
      </c>
      <c r="C191" s="163">
        <f>Projected_PRIM_wastage_rates!C76</f>
        <v>8.0023129963471523E-2</v>
      </c>
      <c r="D191" s="163">
        <f>Projected_PRIM_wastage_rates!D76</f>
        <v>8.0023129963471523E-2</v>
      </c>
      <c r="E191" s="163">
        <f>Projected_PRIM_wastage_rates!E76</f>
        <v>8.0023129963471523E-2</v>
      </c>
      <c r="F191" s="163">
        <f>Projected_PRIM_wastage_rates!F76</f>
        <v>8.0023129963471523E-2</v>
      </c>
      <c r="G191" s="163">
        <f>Projected_PRIM_wastage_rates!G76</f>
        <v>8.0023129963471523E-2</v>
      </c>
      <c r="H191" s="163">
        <f>Projected_PRIM_wastage_rates!H76</f>
        <v>8.0023129963471523E-2</v>
      </c>
      <c r="I191" s="163">
        <f>Projected_PRIM_wastage_rates!I76</f>
        <v>8.0023129963471523E-2</v>
      </c>
      <c r="J191" s="163">
        <f>Projected_PRIM_wastage_rates!J76</f>
        <v>8.0023129963471523E-2</v>
      </c>
      <c r="K191" s="163">
        <f>Projected_PRIM_wastage_rates!K76</f>
        <v>8.0023129963471523E-2</v>
      </c>
      <c r="L191" s="163">
        <f>Projected_PRIM_wastage_rates!L76</f>
        <v>8.0023129963471523E-2</v>
      </c>
      <c r="M191" s="163">
        <f>Projected_PRIM_wastage_rates!M76</f>
        <v>8.0023129963471523E-2</v>
      </c>
      <c r="N191" s="163">
        <f>Projected_PRIM_wastage_rates!N76</f>
        <v>8.0023129963471523E-2</v>
      </c>
      <c r="O191" s="163">
        <f>Projected_PRIM_wastage_rates!O76</f>
        <v>8.0023129963471523E-2</v>
      </c>
      <c r="P191" s="163">
        <f>Projected_PRIM_wastage_rates!P76</f>
        <v>8.0023129963471523E-2</v>
      </c>
      <c r="Q191" s="551"/>
    </row>
    <row r="192" spans="2:17">
      <c r="B192" s="8" t="str">
        <f>Projected_PRIM_wastage_rates!B77</f>
        <v>55-59</v>
      </c>
      <c r="C192" s="163">
        <f>Projected_PRIM_wastage_rates!C77</f>
        <v>4.9278845389007932E-2</v>
      </c>
      <c r="D192" s="163">
        <f>Projected_PRIM_wastage_rates!D77</f>
        <v>4.9278845389007932E-2</v>
      </c>
      <c r="E192" s="163">
        <f>Projected_PRIM_wastage_rates!E77</f>
        <v>4.9278845389007932E-2</v>
      </c>
      <c r="F192" s="163">
        <f>Projected_PRIM_wastage_rates!F77</f>
        <v>4.9278845389007932E-2</v>
      </c>
      <c r="G192" s="163">
        <f>Projected_PRIM_wastage_rates!G77</f>
        <v>4.9278845389007932E-2</v>
      </c>
      <c r="H192" s="163">
        <f>Projected_PRIM_wastage_rates!H77</f>
        <v>4.9278845389007932E-2</v>
      </c>
      <c r="I192" s="163">
        <f>Projected_PRIM_wastage_rates!I77</f>
        <v>4.9278845389007932E-2</v>
      </c>
      <c r="J192" s="163">
        <f>Projected_PRIM_wastage_rates!J77</f>
        <v>4.9278845389007932E-2</v>
      </c>
      <c r="K192" s="163">
        <f>Projected_PRIM_wastage_rates!K77</f>
        <v>4.9278845389007932E-2</v>
      </c>
      <c r="L192" s="163">
        <f>Projected_PRIM_wastage_rates!L77</f>
        <v>4.9278845389007932E-2</v>
      </c>
      <c r="M192" s="163">
        <f>Projected_PRIM_wastage_rates!M77</f>
        <v>4.9278845389007932E-2</v>
      </c>
      <c r="N192" s="163">
        <f>Projected_PRIM_wastage_rates!N77</f>
        <v>4.9278845389007932E-2</v>
      </c>
      <c r="O192" s="163">
        <f>Projected_PRIM_wastage_rates!O77</f>
        <v>4.9278845389007932E-2</v>
      </c>
      <c r="P192" s="163">
        <f>Projected_PRIM_wastage_rates!P77</f>
        <v>4.9278845389007932E-2</v>
      </c>
      <c r="Q192" s="551"/>
    </row>
    <row r="193" spans="2:17">
      <c r="B193" s="8" t="str">
        <f>Projected_PRIM_wastage_rates!B78</f>
        <v>60-64</v>
      </c>
      <c r="C193" s="163">
        <f>Projected_PRIM_wastage_rates!C78</f>
        <v>1.9073370068660899E-2</v>
      </c>
      <c r="D193" s="163">
        <f>Projected_PRIM_wastage_rates!D78</f>
        <v>1.9073370068660899E-2</v>
      </c>
      <c r="E193" s="163">
        <f>Projected_PRIM_wastage_rates!E78</f>
        <v>1.9073370068660899E-2</v>
      </c>
      <c r="F193" s="163">
        <f>Projected_PRIM_wastage_rates!F78</f>
        <v>1.9073370068660899E-2</v>
      </c>
      <c r="G193" s="163">
        <f>Projected_PRIM_wastage_rates!G78</f>
        <v>1.9073370068660899E-2</v>
      </c>
      <c r="H193" s="163">
        <f>Projected_PRIM_wastage_rates!H78</f>
        <v>1.9073370068660899E-2</v>
      </c>
      <c r="I193" s="163">
        <f>Projected_PRIM_wastage_rates!I78</f>
        <v>1.9073370068660899E-2</v>
      </c>
      <c r="J193" s="163">
        <f>Projected_PRIM_wastage_rates!J78</f>
        <v>1.9073370068660899E-2</v>
      </c>
      <c r="K193" s="163">
        <f>Projected_PRIM_wastage_rates!K78</f>
        <v>1.9073370068660899E-2</v>
      </c>
      <c r="L193" s="163">
        <f>Projected_PRIM_wastage_rates!L78</f>
        <v>1.9073370068660899E-2</v>
      </c>
      <c r="M193" s="163">
        <f>Projected_PRIM_wastage_rates!M78</f>
        <v>1.9073370068660899E-2</v>
      </c>
      <c r="N193" s="163">
        <f>Projected_PRIM_wastage_rates!N78</f>
        <v>1.9073370068660899E-2</v>
      </c>
      <c r="O193" s="163">
        <f>Projected_PRIM_wastage_rates!O78</f>
        <v>1.9073370068660899E-2</v>
      </c>
      <c r="P193" s="163">
        <f>Projected_PRIM_wastage_rates!P78</f>
        <v>1.9073370068660899E-2</v>
      </c>
      <c r="Q193" s="551"/>
    </row>
    <row r="194" spans="2:17">
      <c r="B194" s="8" t="str">
        <f>Projected_PRIM_wastage_rates!B79</f>
        <v>65 plus</v>
      </c>
      <c r="C194" s="163">
        <f>Projected_PRIM_wastage_rates!C79</f>
        <v>2.0231310070917986E-2</v>
      </c>
      <c r="D194" s="163">
        <f>Projected_PRIM_wastage_rates!D79</f>
        <v>2.0231310070917986E-2</v>
      </c>
      <c r="E194" s="163">
        <f>Projected_PRIM_wastage_rates!E79</f>
        <v>2.0231310070917986E-2</v>
      </c>
      <c r="F194" s="163">
        <f>Projected_PRIM_wastage_rates!F79</f>
        <v>2.0231310070917986E-2</v>
      </c>
      <c r="G194" s="163">
        <f>Projected_PRIM_wastage_rates!G79</f>
        <v>2.0231310070917986E-2</v>
      </c>
      <c r="H194" s="163">
        <f>Projected_PRIM_wastage_rates!H79</f>
        <v>2.0231310070917986E-2</v>
      </c>
      <c r="I194" s="163">
        <f>Projected_PRIM_wastage_rates!I79</f>
        <v>2.0231310070917986E-2</v>
      </c>
      <c r="J194" s="163">
        <f>Projected_PRIM_wastage_rates!J79</f>
        <v>2.0231310070917986E-2</v>
      </c>
      <c r="K194" s="163">
        <f>Projected_PRIM_wastage_rates!K79</f>
        <v>2.0231310070917986E-2</v>
      </c>
      <c r="L194" s="163">
        <f>Projected_PRIM_wastage_rates!L79</f>
        <v>2.0231310070917986E-2</v>
      </c>
      <c r="M194" s="163">
        <f>Projected_PRIM_wastage_rates!M79</f>
        <v>2.0231310070917986E-2</v>
      </c>
      <c r="N194" s="163">
        <f>Projected_PRIM_wastage_rates!N79</f>
        <v>2.0231310070917986E-2</v>
      </c>
      <c r="O194" s="163">
        <f>Projected_PRIM_wastage_rates!O79</f>
        <v>2.0231310070917986E-2</v>
      </c>
      <c r="P194" s="163">
        <f>Projected_PRIM_wastage_rates!P79</f>
        <v>2.0231310070917986E-2</v>
      </c>
      <c r="Q194" s="551"/>
    </row>
    <row r="195" spans="2:17">
      <c r="B195" s="8" t="str">
        <f>Projected_PRIM_wastage_rates!B80</f>
        <v>Total</v>
      </c>
      <c r="C195" s="163">
        <f>Projected_PRIM_wastage_rates!C80</f>
        <v>7.5562589606870373E-2</v>
      </c>
      <c r="D195" s="163">
        <f>Projected_PRIM_wastage_rates!D80</f>
        <v>7.5562589606870373E-2</v>
      </c>
      <c r="E195" s="163">
        <f>Projected_PRIM_wastage_rates!E80</f>
        <v>7.5562589606870373E-2</v>
      </c>
      <c r="F195" s="163">
        <f>Projected_PRIM_wastage_rates!F80</f>
        <v>7.5562589606870373E-2</v>
      </c>
      <c r="G195" s="163">
        <f>Projected_PRIM_wastage_rates!G80</f>
        <v>7.5562589606870373E-2</v>
      </c>
      <c r="H195" s="163">
        <f>Projected_PRIM_wastage_rates!H80</f>
        <v>7.5562589606870373E-2</v>
      </c>
      <c r="I195" s="163">
        <f>Projected_PRIM_wastage_rates!I80</f>
        <v>7.5562589606870373E-2</v>
      </c>
      <c r="J195" s="163">
        <f>Projected_PRIM_wastage_rates!J80</f>
        <v>7.5562589606870373E-2</v>
      </c>
      <c r="K195" s="163">
        <f>Projected_PRIM_wastage_rates!K80</f>
        <v>7.5562589606870373E-2</v>
      </c>
      <c r="L195" s="163">
        <f>Projected_PRIM_wastage_rates!L80</f>
        <v>7.5562589606870373E-2</v>
      </c>
      <c r="M195" s="163">
        <f>Projected_PRIM_wastage_rates!M80</f>
        <v>7.5562589606870373E-2</v>
      </c>
      <c r="N195" s="163">
        <f>Projected_PRIM_wastage_rates!N80</f>
        <v>7.5562589606870373E-2</v>
      </c>
      <c r="O195" s="163">
        <f>Projected_PRIM_wastage_rates!O80</f>
        <v>7.5562589606870373E-2</v>
      </c>
      <c r="P195" s="163">
        <f>Projected_PRIM_wastage_rates!P80</f>
        <v>7.5562589606870373E-2</v>
      </c>
      <c r="Q195" s="551"/>
    </row>
    <row r="196" spans="2:17">
      <c r="B196" s="5"/>
      <c r="C196" s="5"/>
      <c r="D196" s="5"/>
      <c r="E196" s="5"/>
      <c r="F196" s="5"/>
      <c r="G196" s="5"/>
      <c r="H196" s="5"/>
      <c r="I196" s="5"/>
      <c r="J196" s="5"/>
      <c r="K196" s="5"/>
      <c r="L196" s="5"/>
      <c r="M196" s="5"/>
      <c r="N196" s="5"/>
      <c r="O196" s="5"/>
      <c r="P196" s="5"/>
      <c r="Q196" s="5"/>
    </row>
    <row r="197" spans="2:17">
      <c r="B197" s="108" t="s">
        <v>707</v>
      </c>
      <c r="C197" s="5"/>
      <c r="D197" s="5"/>
      <c r="E197" s="5"/>
      <c r="F197" s="5"/>
      <c r="G197" s="5"/>
      <c r="H197" s="5"/>
      <c r="I197" s="5"/>
      <c r="J197" s="5"/>
      <c r="K197" s="5"/>
      <c r="L197" s="5"/>
      <c r="M197" s="5"/>
      <c r="N197" s="5"/>
      <c r="O197" s="5"/>
      <c r="P197" s="5"/>
      <c r="Q197" s="5"/>
    </row>
    <row r="198" spans="2:17">
      <c r="B198" s="5"/>
      <c r="C198" s="5"/>
      <c r="D198" s="5"/>
      <c r="E198" s="5"/>
      <c r="F198" s="5"/>
      <c r="G198" s="5"/>
      <c r="H198" s="5"/>
      <c r="I198" s="5"/>
      <c r="J198" s="5"/>
      <c r="K198" s="5"/>
      <c r="L198" s="5"/>
      <c r="M198" s="5"/>
      <c r="N198" s="5"/>
      <c r="O198" s="5"/>
      <c r="P198" s="5"/>
      <c r="Q198" s="5"/>
    </row>
    <row r="199" spans="2:17">
      <c r="B199" s="108" t="s">
        <v>49</v>
      </c>
      <c r="C199" s="5"/>
      <c r="D199" s="5"/>
      <c r="E199" s="5"/>
      <c r="F199" s="5"/>
      <c r="G199" s="5"/>
      <c r="H199" s="5"/>
      <c r="I199" s="5"/>
      <c r="J199" s="5"/>
      <c r="K199" s="5"/>
      <c r="L199" s="5"/>
      <c r="M199" s="5"/>
      <c r="N199" s="5"/>
      <c r="O199" s="5"/>
      <c r="P199" s="5"/>
      <c r="Q199" s="5"/>
    </row>
    <row r="200" spans="2:17">
      <c r="B200" s="76"/>
      <c r="C200" s="5"/>
      <c r="D200" s="5"/>
      <c r="E200" s="5"/>
      <c r="F200" s="5"/>
      <c r="G200" s="5"/>
      <c r="H200" s="5"/>
      <c r="I200" s="5"/>
      <c r="J200" s="5"/>
      <c r="K200" s="5"/>
      <c r="L200" s="5"/>
      <c r="M200" s="5"/>
      <c r="N200" s="5"/>
      <c r="O200" s="5"/>
      <c r="P200" s="5"/>
      <c r="Q200" s="5"/>
    </row>
    <row r="201" spans="2:17">
      <c r="B201" s="8" t="str">
        <f>B184</f>
        <v>Age group</v>
      </c>
      <c r="C201" s="8" t="str">
        <f t="shared" ref="C201:P201" si="4">C184</f>
        <v>2014/15</v>
      </c>
      <c r="D201" s="8" t="str">
        <f t="shared" si="4"/>
        <v>2015/16</v>
      </c>
      <c r="E201" s="8" t="str">
        <f t="shared" si="4"/>
        <v>2016/17</v>
      </c>
      <c r="F201" s="8" t="str">
        <f t="shared" si="4"/>
        <v>2017/18</v>
      </c>
      <c r="G201" s="8" t="str">
        <f t="shared" si="4"/>
        <v>2018/19</v>
      </c>
      <c r="H201" s="8" t="str">
        <f t="shared" si="4"/>
        <v>2019/20</v>
      </c>
      <c r="I201" s="8" t="str">
        <f t="shared" si="4"/>
        <v>2020/21</v>
      </c>
      <c r="J201" s="8" t="str">
        <f t="shared" si="4"/>
        <v>2021/22</v>
      </c>
      <c r="K201" s="8" t="str">
        <f t="shared" si="4"/>
        <v>2022/23</v>
      </c>
      <c r="L201" s="8" t="str">
        <f t="shared" si="4"/>
        <v>2023/24</v>
      </c>
      <c r="M201" s="8" t="str">
        <f t="shared" si="4"/>
        <v>2024/25</v>
      </c>
      <c r="N201" s="8" t="str">
        <f t="shared" si="4"/>
        <v>2025/26</v>
      </c>
      <c r="O201" s="8" t="str">
        <f t="shared" si="4"/>
        <v>2026/27</v>
      </c>
      <c r="P201" s="8" t="str">
        <f t="shared" si="4"/>
        <v>2027/28</v>
      </c>
      <c r="Q201" s="167"/>
    </row>
    <row r="202" spans="2:17">
      <c r="B202" s="8" t="str">
        <f t="shared" ref="B202:B212" si="5">B185</f>
        <v>20-24</v>
      </c>
      <c r="C202" s="163">
        <f>Projected_SEC_wastage_rates!C55</f>
        <v>0.12811416345529325</v>
      </c>
      <c r="D202" s="163">
        <f>Projected_SEC_wastage_rates!D55</f>
        <v>0.12811416345529325</v>
      </c>
      <c r="E202" s="163">
        <f>Projected_SEC_wastage_rates!E55</f>
        <v>0.12811416345529325</v>
      </c>
      <c r="F202" s="163">
        <f>Projected_SEC_wastage_rates!F55</f>
        <v>0.12811416345529325</v>
      </c>
      <c r="G202" s="163">
        <f>Projected_SEC_wastage_rates!G55</f>
        <v>0.12811416345529325</v>
      </c>
      <c r="H202" s="552">
        <f>Projected_SEC_wastage_rates!H55</f>
        <v>0.12811416345529325</v>
      </c>
      <c r="I202" s="552">
        <f>Projected_SEC_wastage_rates!I55</f>
        <v>0.12811416345529325</v>
      </c>
      <c r="J202" s="552">
        <f>Projected_SEC_wastage_rates!J55</f>
        <v>0.12811416345529325</v>
      </c>
      <c r="K202" s="163">
        <f>Projected_SEC_wastage_rates!K55</f>
        <v>0.12811416345529325</v>
      </c>
      <c r="L202" s="163">
        <f>Projected_SEC_wastage_rates!L55</f>
        <v>0.12811416345529325</v>
      </c>
      <c r="M202" s="163">
        <f>Projected_SEC_wastage_rates!M55</f>
        <v>0.12811416345529325</v>
      </c>
      <c r="N202" s="163">
        <f>Projected_SEC_wastage_rates!N55</f>
        <v>0.12811416345529325</v>
      </c>
      <c r="O202" s="163">
        <f>Projected_SEC_wastage_rates!O55</f>
        <v>0.12811416345529325</v>
      </c>
      <c r="P202" s="163">
        <f>Projected_SEC_wastage_rates!P55</f>
        <v>0.12811416345529325</v>
      </c>
      <c r="Q202" s="551"/>
    </row>
    <row r="203" spans="2:17">
      <c r="B203" s="8" t="str">
        <f t="shared" si="5"/>
        <v>25-29</v>
      </c>
      <c r="C203" s="163">
        <f>Projected_SEC_wastage_rates!C56</f>
        <v>9.8285782452461085E-2</v>
      </c>
      <c r="D203" s="163">
        <f>Projected_SEC_wastage_rates!D56</f>
        <v>9.8285782452461085E-2</v>
      </c>
      <c r="E203" s="163">
        <f>Projected_SEC_wastage_rates!E56</f>
        <v>9.8285782452461085E-2</v>
      </c>
      <c r="F203" s="163">
        <f>Projected_SEC_wastage_rates!F56</f>
        <v>9.8285782452461085E-2</v>
      </c>
      <c r="G203" s="163">
        <f>Projected_SEC_wastage_rates!G56</f>
        <v>9.8285782452461085E-2</v>
      </c>
      <c r="H203" s="552">
        <f>Projected_SEC_wastage_rates!H56</f>
        <v>9.8285782452461085E-2</v>
      </c>
      <c r="I203" s="552">
        <f>Projected_SEC_wastage_rates!I56</f>
        <v>9.8285782452461085E-2</v>
      </c>
      <c r="J203" s="552">
        <f>Projected_SEC_wastage_rates!J56</f>
        <v>9.8285782452461085E-2</v>
      </c>
      <c r="K203" s="163">
        <f>Projected_SEC_wastage_rates!K56</f>
        <v>9.8285782452461085E-2</v>
      </c>
      <c r="L203" s="163">
        <f>Projected_SEC_wastage_rates!L56</f>
        <v>9.8285782452461085E-2</v>
      </c>
      <c r="M203" s="163">
        <f>Projected_SEC_wastage_rates!M56</f>
        <v>9.8285782452461085E-2</v>
      </c>
      <c r="N203" s="163">
        <f>Projected_SEC_wastage_rates!N56</f>
        <v>9.8285782452461085E-2</v>
      </c>
      <c r="O203" s="163">
        <f>Projected_SEC_wastage_rates!O56</f>
        <v>9.8285782452461085E-2</v>
      </c>
      <c r="P203" s="163">
        <f>Projected_SEC_wastage_rates!P56</f>
        <v>9.8285782452461085E-2</v>
      </c>
      <c r="Q203" s="551"/>
    </row>
    <row r="204" spans="2:17">
      <c r="B204" s="8" t="str">
        <f t="shared" si="5"/>
        <v>30-34</v>
      </c>
      <c r="C204" s="163">
        <f>Projected_SEC_wastage_rates!C57</f>
        <v>6.8301165737690489E-2</v>
      </c>
      <c r="D204" s="163">
        <f>Projected_SEC_wastage_rates!D57</f>
        <v>6.8301165737690489E-2</v>
      </c>
      <c r="E204" s="163">
        <f>Projected_SEC_wastage_rates!E57</f>
        <v>6.8301165737690489E-2</v>
      </c>
      <c r="F204" s="163">
        <f>Projected_SEC_wastage_rates!F57</f>
        <v>6.8301165737690489E-2</v>
      </c>
      <c r="G204" s="163">
        <f>Projected_SEC_wastage_rates!G57</f>
        <v>6.8301165737690489E-2</v>
      </c>
      <c r="H204" s="552">
        <f>Projected_SEC_wastage_rates!H57</f>
        <v>6.8301165737690489E-2</v>
      </c>
      <c r="I204" s="552">
        <f>Projected_SEC_wastage_rates!I57</f>
        <v>6.8301165737690489E-2</v>
      </c>
      <c r="J204" s="552">
        <f>Projected_SEC_wastage_rates!J57</f>
        <v>6.8301165737690489E-2</v>
      </c>
      <c r="K204" s="163">
        <f>Projected_SEC_wastage_rates!K57</f>
        <v>6.8301165737690489E-2</v>
      </c>
      <c r="L204" s="163">
        <f>Projected_SEC_wastage_rates!L57</f>
        <v>6.8301165737690489E-2</v>
      </c>
      <c r="M204" s="163">
        <f>Projected_SEC_wastage_rates!M57</f>
        <v>6.8301165737690489E-2</v>
      </c>
      <c r="N204" s="163">
        <f>Projected_SEC_wastage_rates!N57</f>
        <v>6.8301165737690489E-2</v>
      </c>
      <c r="O204" s="163">
        <f>Projected_SEC_wastage_rates!O57</f>
        <v>6.8301165737690489E-2</v>
      </c>
      <c r="P204" s="163">
        <f>Projected_SEC_wastage_rates!P57</f>
        <v>6.8301165737690489E-2</v>
      </c>
      <c r="Q204" s="551"/>
    </row>
    <row r="205" spans="2:17">
      <c r="B205" s="8" t="str">
        <f t="shared" si="5"/>
        <v>35-39</v>
      </c>
      <c r="C205" s="163">
        <f>Projected_SEC_wastage_rates!C58</f>
        <v>6.6004100030155208E-2</v>
      </c>
      <c r="D205" s="163">
        <f>Projected_SEC_wastage_rates!D58</f>
        <v>6.6004100030155208E-2</v>
      </c>
      <c r="E205" s="163">
        <f>Projected_SEC_wastage_rates!E58</f>
        <v>6.6004100030155208E-2</v>
      </c>
      <c r="F205" s="163">
        <f>Projected_SEC_wastage_rates!F58</f>
        <v>6.6004100030155208E-2</v>
      </c>
      <c r="G205" s="163">
        <f>Projected_SEC_wastage_rates!G58</f>
        <v>6.6004100030155208E-2</v>
      </c>
      <c r="H205" s="552">
        <f>Projected_SEC_wastage_rates!H58</f>
        <v>6.6004100030155208E-2</v>
      </c>
      <c r="I205" s="552">
        <f>Projected_SEC_wastage_rates!I58</f>
        <v>6.6004100030155208E-2</v>
      </c>
      <c r="J205" s="552">
        <f>Projected_SEC_wastage_rates!J58</f>
        <v>6.6004100030155208E-2</v>
      </c>
      <c r="K205" s="163">
        <f>Projected_SEC_wastage_rates!K58</f>
        <v>6.6004100030155208E-2</v>
      </c>
      <c r="L205" s="163">
        <f>Projected_SEC_wastage_rates!L58</f>
        <v>6.6004100030155208E-2</v>
      </c>
      <c r="M205" s="163">
        <f>Projected_SEC_wastage_rates!M58</f>
        <v>6.6004100030155208E-2</v>
      </c>
      <c r="N205" s="163">
        <f>Projected_SEC_wastage_rates!N58</f>
        <v>6.6004100030155208E-2</v>
      </c>
      <c r="O205" s="163">
        <f>Projected_SEC_wastage_rates!O58</f>
        <v>6.6004100030155208E-2</v>
      </c>
      <c r="P205" s="163">
        <f>Projected_SEC_wastage_rates!P58</f>
        <v>6.6004100030155208E-2</v>
      </c>
      <c r="Q205" s="551"/>
    </row>
    <row r="206" spans="2:17">
      <c r="B206" s="8" t="str">
        <f t="shared" si="5"/>
        <v>40-44</v>
      </c>
      <c r="C206" s="163">
        <f>Projected_SEC_wastage_rates!C59</f>
        <v>6.9052916257921926E-2</v>
      </c>
      <c r="D206" s="163">
        <f>Projected_SEC_wastage_rates!D59</f>
        <v>6.9052916257921926E-2</v>
      </c>
      <c r="E206" s="163">
        <f>Projected_SEC_wastage_rates!E59</f>
        <v>6.9052916257921926E-2</v>
      </c>
      <c r="F206" s="163">
        <f>Projected_SEC_wastage_rates!F59</f>
        <v>6.9052916257921926E-2</v>
      </c>
      <c r="G206" s="163">
        <f>Projected_SEC_wastage_rates!G59</f>
        <v>6.9052916257921926E-2</v>
      </c>
      <c r="H206" s="552">
        <f>Projected_SEC_wastage_rates!H59</f>
        <v>6.9052916257921926E-2</v>
      </c>
      <c r="I206" s="552">
        <f>Projected_SEC_wastage_rates!I59</f>
        <v>6.9052916257921926E-2</v>
      </c>
      <c r="J206" s="552">
        <f>Projected_SEC_wastage_rates!J59</f>
        <v>6.9052916257921926E-2</v>
      </c>
      <c r="K206" s="163">
        <f>Projected_SEC_wastage_rates!K59</f>
        <v>6.9052916257921926E-2</v>
      </c>
      <c r="L206" s="163">
        <f>Projected_SEC_wastage_rates!L59</f>
        <v>6.9052916257921926E-2</v>
      </c>
      <c r="M206" s="163">
        <f>Projected_SEC_wastage_rates!M59</f>
        <v>6.9052916257921926E-2</v>
      </c>
      <c r="N206" s="163">
        <f>Projected_SEC_wastage_rates!N59</f>
        <v>6.9052916257921926E-2</v>
      </c>
      <c r="O206" s="163">
        <f>Projected_SEC_wastage_rates!O59</f>
        <v>6.9052916257921926E-2</v>
      </c>
      <c r="P206" s="163">
        <f>Projected_SEC_wastage_rates!P59</f>
        <v>6.9052916257921926E-2</v>
      </c>
      <c r="Q206" s="551"/>
    </row>
    <row r="207" spans="2:17">
      <c r="B207" s="8" t="str">
        <f t="shared" si="5"/>
        <v>45-49</v>
      </c>
      <c r="C207" s="163">
        <f>Projected_SEC_wastage_rates!C60</f>
        <v>7.9836701122599357E-2</v>
      </c>
      <c r="D207" s="163">
        <f>Projected_SEC_wastage_rates!D60</f>
        <v>7.9836701122599357E-2</v>
      </c>
      <c r="E207" s="163">
        <f>Projected_SEC_wastage_rates!E60</f>
        <v>7.9836701122599357E-2</v>
      </c>
      <c r="F207" s="163">
        <f>Projected_SEC_wastage_rates!F60</f>
        <v>7.9836701122599357E-2</v>
      </c>
      <c r="G207" s="163">
        <f>Projected_SEC_wastage_rates!G60</f>
        <v>7.9836701122599357E-2</v>
      </c>
      <c r="H207" s="552">
        <f>Projected_SEC_wastage_rates!H60</f>
        <v>7.9836701122599357E-2</v>
      </c>
      <c r="I207" s="552">
        <f>Projected_SEC_wastage_rates!I60</f>
        <v>7.9836701122599357E-2</v>
      </c>
      <c r="J207" s="552">
        <f>Projected_SEC_wastage_rates!J60</f>
        <v>7.9836701122599357E-2</v>
      </c>
      <c r="K207" s="163">
        <f>Projected_SEC_wastage_rates!K60</f>
        <v>7.9836701122599357E-2</v>
      </c>
      <c r="L207" s="163">
        <f>Projected_SEC_wastage_rates!L60</f>
        <v>7.9836701122599357E-2</v>
      </c>
      <c r="M207" s="163">
        <f>Projected_SEC_wastage_rates!M60</f>
        <v>7.9836701122599357E-2</v>
      </c>
      <c r="N207" s="163">
        <f>Projected_SEC_wastage_rates!N60</f>
        <v>7.9836701122599357E-2</v>
      </c>
      <c r="O207" s="163">
        <f>Projected_SEC_wastage_rates!O60</f>
        <v>7.9836701122599357E-2</v>
      </c>
      <c r="P207" s="163">
        <f>Projected_SEC_wastage_rates!P60</f>
        <v>7.9836701122599357E-2</v>
      </c>
      <c r="Q207" s="551"/>
    </row>
    <row r="208" spans="2:17">
      <c r="B208" s="8" t="str">
        <f t="shared" si="5"/>
        <v>50-54</v>
      </c>
      <c r="C208" s="163">
        <f>Projected_SEC_wastage_rates!C61</f>
        <v>7.9154325825221916E-2</v>
      </c>
      <c r="D208" s="163">
        <f>Projected_SEC_wastage_rates!D61</f>
        <v>7.9154325825221916E-2</v>
      </c>
      <c r="E208" s="163">
        <f>Projected_SEC_wastage_rates!E61</f>
        <v>7.9154325825221916E-2</v>
      </c>
      <c r="F208" s="163">
        <f>Projected_SEC_wastage_rates!F61</f>
        <v>7.9154325825221916E-2</v>
      </c>
      <c r="G208" s="163">
        <f>Projected_SEC_wastage_rates!G61</f>
        <v>7.9154325825221916E-2</v>
      </c>
      <c r="H208" s="552">
        <f>Projected_SEC_wastage_rates!H61</f>
        <v>7.9154325825221916E-2</v>
      </c>
      <c r="I208" s="552">
        <f>Projected_SEC_wastage_rates!I61</f>
        <v>7.9154325825221916E-2</v>
      </c>
      <c r="J208" s="552">
        <f>Projected_SEC_wastage_rates!J61</f>
        <v>7.9154325825221916E-2</v>
      </c>
      <c r="K208" s="163">
        <f>Projected_SEC_wastage_rates!K61</f>
        <v>7.9154325825221916E-2</v>
      </c>
      <c r="L208" s="163">
        <f>Projected_SEC_wastage_rates!L61</f>
        <v>7.9154325825221916E-2</v>
      </c>
      <c r="M208" s="163">
        <f>Projected_SEC_wastage_rates!M61</f>
        <v>7.9154325825221916E-2</v>
      </c>
      <c r="N208" s="163">
        <f>Projected_SEC_wastage_rates!N61</f>
        <v>7.9154325825221916E-2</v>
      </c>
      <c r="O208" s="163">
        <f>Projected_SEC_wastage_rates!O61</f>
        <v>7.9154325825221916E-2</v>
      </c>
      <c r="P208" s="163">
        <f>Projected_SEC_wastage_rates!P61</f>
        <v>7.9154325825221916E-2</v>
      </c>
      <c r="Q208" s="551"/>
    </row>
    <row r="209" spans="2:17">
      <c r="B209" s="8" t="str">
        <f t="shared" si="5"/>
        <v>55-59</v>
      </c>
      <c r="C209" s="163">
        <f>Projected_SEC_wastage_rates!C62</f>
        <v>4.8523625874645544E-2</v>
      </c>
      <c r="D209" s="163">
        <f>Projected_SEC_wastage_rates!D62</f>
        <v>4.8523625874645544E-2</v>
      </c>
      <c r="E209" s="163">
        <f>Projected_SEC_wastage_rates!E62</f>
        <v>4.8523625874645544E-2</v>
      </c>
      <c r="F209" s="163">
        <f>Projected_SEC_wastage_rates!F62</f>
        <v>4.8523625874645544E-2</v>
      </c>
      <c r="G209" s="163">
        <f>Projected_SEC_wastage_rates!G62</f>
        <v>4.8523625874645544E-2</v>
      </c>
      <c r="H209" s="552">
        <f>Projected_SEC_wastage_rates!H62</f>
        <v>4.8523625874645544E-2</v>
      </c>
      <c r="I209" s="552">
        <f>Projected_SEC_wastage_rates!I62</f>
        <v>4.8523625874645544E-2</v>
      </c>
      <c r="J209" s="552">
        <f>Projected_SEC_wastage_rates!J62</f>
        <v>4.8523625874645544E-2</v>
      </c>
      <c r="K209" s="163">
        <f>Projected_SEC_wastage_rates!K62</f>
        <v>4.8523625874645544E-2</v>
      </c>
      <c r="L209" s="163">
        <f>Projected_SEC_wastage_rates!L62</f>
        <v>4.8523625874645544E-2</v>
      </c>
      <c r="M209" s="163">
        <f>Projected_SEC_wastage_rates!M62</f>
        <v>4.8523625874645544E-2</v>
      </c>
      <c r="N209" s="163">
        <f>Projected_SEC_wastage_rates!N62</f>
        <v>4.8523625874645544E-2</v>
      </c>
      <c r="O209" s="163">
        <f>Projected_SEC_wastage_rates!O62</f>
        <v>4.8523625874645544E-2</v>
      </c>
      <c r="P209" s="163">
        <f>Projected_SEC_wastage_rates!P62</f>
        <v>4.8523625874645544E-2</v>
      </c>
      <c r="Q209" s="551"/>
    </row>
    <row r="210" spans="2:17">
      <c r="B210" s="8" t="str">
        <f t="shared" si="5"/>
        <v>60-64</v>
      </c>
      <c r="C210" s="163">
        <f>Projected_SEC_wastage_rates!C63</f>
        <v>1.860024427796168E-2</v>
      </c>
      <c r="D210" s="163">
        <f>Projected_SEC_wastage_rates!D63</f>
        <v>1.860024427796168E-2</v>
      </c>
      <c r="E210" s="163">
        <f>Projected_SEC_wastage_rates!E63</f>
        <v>1.860024427796168E-2</v>
      </c>
      <c r="F210" s="163">
        <f>Projected_SEC_wastage_rates!F63</f>
        <v>1.860024427796168E-2</v>
      </c>
      <c r="G210" s="163">
        <f>Projected_SEC_wastage_rates!G63</f>
        <v>1.860024427796168E-2</v>
      </c>
      <c r="H210" s="552">
        <f>Projected_SEC_wastage_rates!H63</f>
        <v>1.860024427796168E-2</v>
      </c>
      <c r="I210" s="552">
        <f>Projected_SEC_wastage_rates!I63</f>
        <v>1.860024427796168E-2</v>
      </c>
      <c r="J210" s="552">
        <f>Projected_SEC_wastage_rates!J63</f>
        <v>1.860024427796168E-2</v>
      </c>
      <c r="K210" s="163">
        <f>Projected_SEC_wastage_rates!K63</f>
        <v>1.860024427796168E-2</v>
      </c>
      <c r="L210" s="163">
        <f>Projected_SEC_wastage_rates!L63</f>
        <v>1.860024427796168E-2</v>
      </c>
      <c r="M210" s="163">
        <f>Projected_SEC_wastage_rates!M63</f>
        <v>1.860024427796168E-2</v>
      </c>
      <c r="N210" s="163">
        <f>Projected_SEC_wastage_rates!N63</f>
        <v>1.860024427796168E-2</v>
      </c>
      <c r="O210" s="163">
        <f>Projected_SEC_wastage_rates!O63</f>
        <v>1.860024427796168E-2</v>
      </c>
      <c r="P210" s="163">
        <f>Projected_SEC_wastage_rates!P63</f>
        <v>1.860024427796168E-2</v>
      </c>
      <c r="Q210" s="551"/>
    </row>
    <row r="211" spans="2:17">
      <c r="B211" s="8" t="str">
        <f t="shared" si="5"/>
        <v>65 plus</v>
      </c>
      <c r="C211" s="163">
        <f>Projected_SEC_wastage_rates!C64</f>
        <v>2.0673360590148106E-2</v>
      </c>
      <c r="D211" s="163">
        <f>Projected_SEC_wastage_rates!D64</f>
        <v>2.0673360590148106E-2</v>
      </c>
      <c r="E211" s="163">
        <f>Projected_SEC_wastage_rates!E64</f>
        <v>2.0673360590148106E-2</v>
      </c>
      <c r="F211" s="163">
        <f>Projected_SEC_wastage_rates!F64</f>
        <v>2.0673360590148106E-2</v>
      </c>
      <c r="G211" s="163">
        <f>Projected_SEC_wastage_rates!G64</f>
        <v>2.0673360590148106E-2</v>
      </c>
      <c r="H211" s="552">
        <f>Projected_SEC_wastage_rates!H64</f>
        <v>2.0673360590148106E-2</v>
      </c>
      <c r="I211" s="552">
        <f>Projected_SEC_wastage_rates!I64</f>
        <v>2.0673360590148106E-2</v>
      </c>
      <c r="J211" s="552">
        <f>Projected_SEC_wastage_rates!J64</f>
        <v>2.0673360590148106E-2</v>
      </c>
      <c r="K211" s="163">
        <f>Projected_SEC_wastage_rates!K64</f>
        <v>2.0673360590148106E-2</v>
      </c>
      <c r="L211" s="163">
        <f>Projected_SEC_wastage_rates!L64</f>
        <v>2.0673360590148106E-2</v>
      </c>
      <c r="M211" s="163">
        <f>Projected_SEC_wastage_rates!M64</f>
        <v>2.0673360590148106E-2</v>
      </c>
      <c r="N211" s="163">
        <f>Projected_SEC_wastage_rates!N64</f>
        <v>2.0673360590148106E-2</v>
      </c>
      <c r="O211" s="163">
        <f>Projected_SEC_wastage_rates!O64</f>
        <v>2.0673360590148106E-2</v>
      </c>
      <c r="P211" s="163">
        <f>Projected_SEC_wastage_rates!P64</f>
        <v>2.0673360590148106E-2</v>
      </c>
      <c r="Q211" s="551"/>
    </row>
    <row r="212" spans="2:17">
      <c r="B212" s="8" t="str">
        <f t="shared" si="5"/>
        <v>Total</v>
      </c>
      <c r="C212" s="163">
        <f>Projected_SEC_wastage_rates!C65</f>
        <v>7.4064250984494442E-2</v>
      </c>
      <c r="D212" s="163">
        <f>Projected_SEC_wastage_rates!D65</f>
        <v>7.4064250984494442E-2</v>
      </c>
      <c r="E212" s="163">
        <f>Projected_SEC_wastage_rates!E65</f>
        <v>7.4064250984494442E-2</v>
      </c>
      <c r="F212" s="163">
        <f>Projected_SEC_wastage_rates!F65</f>
        <v>7.4064250984494442E-2</v>
      </c>
      <c r="G212" s="163">
        <f>Projected_SEC_wastage_rates!G65</f>
        <v>7.4064250984494442E-2</v>
      </c>
      <c r="H212" s="552">
        <f>Projected_SEC_wastage_rates!H65</f>
        <v>7.4064250984494442E-2</v>
      </c>
      <c r="I212" s="552">
        <f>Projected_SEC_wastage_rates!I65</f>
        <v>7.4064250984494442E-2</v>
      </c>
      <c r="J212" s="552">
        <f>Projected_SEC_wastage_rates!J65</f>
        <v>7.4064250984494442E-2</v>
      </c>
      <c r="K212" s="163">
        <f>Projected_SEC_wastage_rates!K65</f>
        <v>7.4064250984494442E-2</v>
      </c>
      <c r="L212" s="163">
        <f>Projected_SEC_wastage_rates!L65</f>
        <v>7.4064250984494442E-2</v>
      </c>
      <c r="M212" s="163">
        <f>Projected_SEC_wastage_rates!M65</f>
        <v>7.4064250984494442E-2</v>
      </c>
      <c r="N212" s="163">
        <f>Projected_SEC_wastage_rates!N65</f>
        <v>7.4064250984494442E-2</v>
      </c>
      <c r="O212" s="163">
        <f>Projected_SEC_wastage_rates!O65</f>
        <v>7.4064250984494442E-2</v>
      </c>
      <c r="P212" s="163">
        <f>Projected_SEC_wastage_rates!P65</f>
        <v>7.4064250984494442E-2</v>
      </c>
      <c r="Q212" s="551"/>
    </row>
    <row r="213" spans="2:17">
      <c r="B213" s="5"/>
      <c r="C213" s="5"/>
      <c r="D213" s="5"/>
      <c r="E213" s="5"/>
      <c r="F213" s="5"/>
      <c r="G213" s="5"/>
      <c r="H213" s="5"/>
      <c r="I213" s="5"/>
      <c r="J213" s="5"/>
      <c r="K213" s="5"/>
      <c r="L213" s="5"/>
      <c r="M213" s="5"/>
      <c r="N213" s="5"/>
      <c r="O213" s="5"/>
      <c r="P213" s="5"/>
      <c r="Q213" s="245"/>
    </row>
    <row r="214" spans="2:17">
      <c r="B214" s="108" t="s">
        <v>50</v>
      </c>
      <c r="C214" s="5"/>
      <c r="D214" s="5"/>
      <c r="E214" s="5"/>
      <c r="F214" s="5"/>
      <c r="G214" s="5"/>
      <c r="H214" s="5"/>
      <c r="I214" s="5"/>
      <c r="J214" s="5"/>
      <c r="K214" s="5"/>
      <c r="L214" s="5"/>
      <c r="M214" s="5"/>
      <c r="N214" s="5"/>
      <c r="O214" s="5"/>
      <c r="P214" s="5"/>
      <c r="Q214" s="245"/>
    </row>
    <row r="215" spans="2:17">
      <c r="B215" s="5"/>
      <c r="C215" s="5"/>
      <c r="D215" s="5"/>
      <c r="E215" s="5"/>
      <c r="F215" s="5"/>
      <c r="G215" s="5"/>
      <c r="H215" s="5"/>
      <c r="I215" s="5"/>
      <c r="J215" s="5"/>
      <c r="K215" s="5"/>
      <c r="L215" s="5"/>
      <c r="M215" s="5"/>
      <c r="N215" s="5"/>
      <c r="O215" s="5"/>
      <c r="P215" s="5"/>
      <c r="Q215" s="245"/>
    </row>
    <row r="216" spans="2:17">
      <c r="B216" s="8" t="str">
        <f>B201</f>
        <v>Age group</v>
      </c>
      <c r="C216" s="8" t="str">
        <f t="shared" ref="C216:P216" si="6">C201</f>
        <v>2014/15</v>
      </c>
      <c r="D216" s="8" t="str">
        <f t="shared" si="6"/>
        <v>2015/16</v>
      </c>
      <c r="E216" s="8" t="str">
        <f t="shared" si="6"/>
        <v>2016/17</v>
      </c>
      <c r="F216" s="8" t="str">
        <f t="shared" si="6"/>
        <v>2017/18</v>
      </c>
      <c r="G216" s="8" t="str">
        <f t="shared" si="6"/>
        <v>2018/19</v>
      </c>
      <c r="H216" s="8" t="str">
        <f t="shared" si="6"/>
        <v>2019/20</v>
      </c>
      <c r="I216" s="8" t="str">
        <f t="shared" si="6"/>
        <v>2020/21</v>
      </c>
      <c r="J216" s="8" t="str">
        <f t="shared" si="6"/>
        <v>2021/22</v>
      </c>
      <c r="K216" s="8" t="str">
        <f t="shared" si="6"/>
        <v>2022/23</v>
      </c>
      <c r="L216" s="8" t="str">
        <f t="shared" si="6"/>
        <v>2023/24</v>
      </c>
      <c r="M216" s="8" t="str">
        <f t="shared" si="6"/>
        <v>2024/25</v>
      </c>
      <c r="N216" s="8" t="str">
        <f t="shared" si="6"/>
        <v>2025/26</v>
      </c>
      <c r="O216" s="8" t="str">
        <f t="shared" si="6"/>
        <v>2026/27</v>
      </c>
      <c r="P216" s="8" t="str">
        <f t="shared" si="6"/>
        <v>2027/28</v>
      </c>
      <c r="Q216" s="167"/>
    </row>
    <row r="217" spans="2:17">
      <c r="B217" s="8" t="str">
        <f t="shared" ref="B217:B227" si="7">B202</f>
        <v>20-24</v>
      </c>
      <c r="C217" s="163">
        <f>Projected_SEC_wastage_rates!C70</f>
        <v>0.11276838177302007</v>
      </c>
      <c r="D217" s="163">
        <f>Projected_SEC_wastage_rates!D70</f>
        <v>0.11276838177302007</v>
      </c>
      <c r="E217" s="163">
        <f>Projected_SEC_wastage_rates!E70</f>
        <v>0.11276838177302007</v>
      </c>
      <c r="F217" s="163">
        <f>Projected_SEC_wastage_rates!F70</f>
        <v>0.11276838177302007</v>
      </c>
      <c r="G217" s="163">
        <f>Projected_SEC_wastage_rates!G70</f>
        <v>0.11276838177302007</v>
      </c>
      <c r="H217" s="552">
        <f>Projected_SEC_wastage_rates!H70</f>
        <v>0.11276838177302007</v>
      </c>
      <c r="I217" s="552">
        <f>Projected_SEC_wastage_rates!I70</f>
        <v>0.11276838177302007</v>
      </c>
      <c r="J217" s="552">
        <f>Projected_SEC_wastage_rates!J70</f>
        <v>0.11276838177302007</v>
      </c>
      <c r="K217" s="163">
        <f>Projected_SEC_wastage_rates!K70</f>
        <v>0.11276838177302007</v>
      </c>
      <c r="L217" s="163">
        <f>Projected_SEC_wastage_rates!L70</f>
        <v>0.11276838177302007</v>
      </c>
      <c r="M217" s="163">
        <f>Projected_SEC_wastage_rates!M70</f>
        <v>0.11276838177302007</v>
      </c>
      <c r="N217" s="163">
        <f>Projected_SEC_wastage_rates!N70</f>
        <v>0.11276838177302007</v>
      </c>
      <c r="O217" s="163">
        <f>Projected_SEC_wastage_rates!O70</f>
        <v>0.11276838177302007</v>
      </c>
      <c r="P217" s="163">
        <f>Projected_SEC_wastage_rates!P70</f>
        <v>0.11276838177302007</v>
      </c>
      <c r="Q217" s="551"/>
    </row>
    <row r="218" spans="2:17">
      <c r="B218" s="8" t="str">
        <f t="shared" si="7"/>
        <v>25-29</v>
      </c>
      <c r="C218" s="163">
        <f>Projected_SEC_wastage_rates!C71</f>
        <v>9.7860608614392358E-2</v>
      </c>
      <c r="D218" s="163">
        <f>Projected_SEC_wastage_rates!D71</f>
        <v>9.7860608614392358E-2</v>
      </c>
      <c r="E218" s="163">
        <f>Projected_SEC_wastage_rates!E71</f>
        <v>9.7860608614392358E-2</v>
      </c>
      <c r="F218" s="163">
        <f>Projected_SEC_wastage_rates!F71</f>
        <v>9.7860608614392358E-2</v>
      </c>
      <c r="G218" s="163">
        <f>Projected_SEC_wastage_rates!G71</f>
        <v>9.7860608614392358E-2</v>
      </c>
      <c r="H218" s="552">
        <f>Projected_SEC_wastage_rates!H71</f>
        <v>9.7860608614392358E-2</v>
      </c>
      <c r="I218" s="552">
        <f>Projected_SEC_wastage_rates!I71</f>
        <v>9.7860608614392358E-2</v>
      </c>
      <c r="J218" s="552">
        <f>Projected_SEC_wastage_rates!J71</f>
        <v>9.7860608614392358E-2</v>
      </c>
      <c r="K218" s="163">
        <f>Projected_SEC_wastage_rates!K71</f>
        <v>9.7860608614392358E-2</v>
      </c>
      <c r="L218" s="163">
        <f>Projected_SEC_wastage_rates!L71</f>
        <v>9.7860608614392358E-2</v>
      </c>
      <c r="M218" s="163">
        <f>Projected_SEC_wastage_rates!M71</f>
        <v>9.7860608614392358E-2</v>
      </c>
      <c r="N218" s="163">
        <f>Projected_SEC_wastage_rates!N71</f>
        <v>9.7860608614392358E-2</v>
      </c>
      <c r="O218" s="163">
        <f>Projected_SEC_wastage_rates!O71</f>
        <v>9.7860608614392358E-2</v>
      </c>
      <c r="P218" s="163">
        <f>Projected_SEC_wastage_rates!P71</f>
        <v>9.7860608614392358E-2</v>
      </c>
      <c r="Q218" s="551"/>
    </row>
    <row r="219" spans="2:17">
      <c r="B219" s="8" t="str">
        <f t="shared" si="7"/>
        <v>30-34</v>
      </c>
      <c r="C219" s="163">
        <f>Projected_SEC_wastage_rates!C72</f>
        <v>9.0307123142648951E-2</v>
      </c>
      <c r="D219" s="163">
        <f>Projected_SEC_wastage_rates!D72</f>
        <v>9.0307123142648951E-2</v>
      </c>
      <c r="E219" s="163">
        <f>Projected_SEC_wastage_rates!E72</f>
        <v>9.0307123142648951E-2</v>
      </c>
      <c r="F219" s="163">
        <f>Projected_SEC_wastage_rates!F72</f>
        <v>9.0307123142648951E-2</v>
      </c>
      <c r="G219" s="163">
        <f>Projected_SEC_wastage_rates!G72</f>
        <v>9.0307123142648951E-2</v>
      </c>
      <c r="H219" s="552">
        <f>Projected_SEC_wastage_rates!H72</f>
        <v>9.0307123142648951E-2</v>
      </c>
      <c r="I219" s="552">
        <f>Projected_SEC_wastage_rates!I72</f>
        <v>9.0307123142648951E-2</v>
      </c>
      <c r="J219" s="552">
        <f>Projected_SEC_wastage_rates!J72</f>
        <v>9.0307123142648951E-2</v>
      </c>
      <c r="K219" s="163">
        <f>Projected_SEC_wastage_rates!K72</f>
        <v>9.0307123142648951E-2</v>
      </c>
      <c r="L219" s="163">
        <f>Projected_SEC_wastage_rates!L72</f>
        <v>9.0307123142648951E-2</v>
      </c>
      <c r="M219" s="163">
        <f>Projected_SEC_wastage_rates!M72</f>
        <v>9.0307123142648951E-2</v>
      </c>
      <c r="N219" s="163">
        <f>Projected_SEC_wastage_rates!N72</f>
        <v>9.0307123142648951E-2</v>
      </c>
      <c r="O219" s="163">
        <f>Projected_SEC_wastage_rates!O72</f>
        <v>9.0307123142648951E-2</v>
      </c>
      <c r="P219" s="163">
        <f>Projected_SEC_wastage_rates!P72</f>
        <v>9.0307123142648951E-2</v>
      </c>
      <c r="Q219" s="551"/>
    </row>
    <row r="220" spans="2:17">
      <c r="B220" s="8" t="str">
        <f t="shared" si="7"/>
        <v>35-39</v>
      </c>
      <c r="C220" s="163">
        <f>Projected_SEC_wastage_rates!C73</f>
        <v>7.9726660619077544E-2</v>
      </c>
      <c r="D220" s="163">
        <f>Projected_SEC_wastage_rates!D73</f>
        <v>7.9726660619077544E-2</v>
      </c>
      <c r="E220" s="163">
        <f>Projected_SEC_wastage_rates!E73</f>
        <v>7.9726660619077544E-2</v>
      </c>
      <c r="F220" s="163">
        <f>Projected_SEC_wastage_rates!F73</f>
        <v>7.9726660619077544E-2</v>
      </c>
      <c r="G220" s="163">
        <f>Projected_SEC_wastage_rates!G73</f>
        <v>7.9726660619077544E-2</v>
      </c>
      <c r="H220" s="552">
        <f>Projected_SEC_wastage_rates!H73</f>
        <v>7.9726660619077544E-2</v>
      </c>
      <c r="I220" s="552">
        <f>Projected_SEC_wastage_rates!I73</f>
        <v>7.9726660619077544E-2</v>
      </c>
      <c r="J220" s="552">
        <f>Projected_SEC_wastage_rates!J73</f>
        <v>7.9726660619077544E-2</v>
      </c>
      <c r="K220" s="163">
        <f>Projected_SEC_wastage_rates!K73</f>
        <v>7.9726660619077544E-2</v>
      </c>
      <c r="L220" s="163">
        <f>Projected_SEC_wastage_rates!L73</f>
        <v>7.9726660619077544E-2</v>
      </c>
      <c r="M220" s="163">
        <f>Projected_SEC_wastage_rates!M73</f>
        <v>7.9726660619077544E-2</v>
      </c>
      <c r="N220" s="163">
        <f>Projected_SEC_wastage_rates!N73</f>
        <v>7.9726660619077544E-2</v>
      </c>
      <c r="O220" s="163">
        <f>Projected_SEC_wastage_rates!O73</f>
        <v>7.9726660619077544E-2</v>
      </c>
      <c r="P220" s="163">
        <f>Projected_SEC_wastage_rates!P73</f>
        <v>7.9726660619077544E-2</v>
      </c>
      <c r="Q220" s="551"/>
    </row>
    <row r="221" spans="2:17">
      <c r="B221" s="8" t="str">
        <f t="shared" si="7"/>
        <v>40-44</v>
      </c>
      <c r="C221" s="163">
        <f>Projected_SEC_wastage_rates!C74</f>
        <v>7.6062086402962775E-2</v>
      </c>
      <c r="D221" s="163">
        <f>Projected_SEC_wastage_rates!D74</f>
        <v>7.6062086402962775E-2</v>
      </c>
      <c r="E221" s="163">
        <f>Projected_SEC_wastage_rates!E74</f>
        <v>7.6062086402962775E-2</v>
      </c>
      <c r="F221" s="163">
        <f>Projected_SEC_wastage_rates!F74</f>
        <v>7.6062086402962775E-2</v>
      </c>
      <c r="G221" s="163">
        <f>Projected_SEC_wastage_rates!G74</f>
        <v>7.6062086402962775E-2</v>
      </c>
      <c r="H221" s="552">
        <f>Projected_SEC_wastage_rates!H74</f>
        <v>7.6062086402962775E-2</v>
      </c>
      <c r="I221" s="552">
        <f>Projected_SEC_wastage_rates!I74</f>
        <v>7.6062086402962775E-2</v>
      </c>
      <c r="J221" s="552">
        <f>Projected_SEC_wastage_rates!J74</f>
        <v>7.6062086402962775E-2</v>
      </c>
      <c r="K221" s="163">
        <f>Projected_SEC_wastage_rates!K74</f>
        <v>7.6062086402962775E-2</v>
      </c>
      <c r="L221" s="163">
        <f>Projected_SEC_wastage_rates!L74</f>
        <v>7.6062086402962775E-2</v>
      </c>
      <c r="M221" s="163">
        <f>Projected_SEC_wastage_rates!M74</f>
        <v>7.6062086402962775E-2</v>
      </c>
      <c r="N221" s="163">
        <f>Projected_SEC_wastage_rates!N74</f>
        <v>7.6062086402962775E-2</v>
      </c>
      <c r="O221" s="163">
        <f>Projected_SEC_wastage_rates!O74</f>
        <v>7.6062086402962775E-2</v>
      </c>
      <c r="P221" s="163">
        <f>Projected_SEC_wastage_rates!P74</f>
        <v>7.6062086402962775E-2</v>
      </c>
      <c r="Q221" s="551"/>
    </row>
    <row r="222" spans="2:17">
      <c r="B222" s="8" t="str">
        <f t="shared" si="7"/>
        <v>45-49</v>
      </c>
      <c r="C222" s="163">
        <f>Projected_SEC_wastage_rates!C75</f>
        <v>8.2231886669618254E-2</v>
      </c>
      <c r="D222" s="163">
        <f>Projected_SEC_wastage_rates!D75</f>
        <v>8.2231886669618254E-2</v>
      </c>
      <c r="E222" s="163">
        <f>Projected_SEC_wastage_rates!E75</f>
        <v>8.2231886669618254E-2</v>
      </c>
      <c r="F222" s="163">
        <f>Projected_SEC_wastage_rates!F75</f>
        <v>8.2231886669618254E-2</v>
      </c>
      <c r="G222" s="163">
        <f>Projected_SEC_wastage_rates!G75</f>
        <v>8.2231886669618254E-2</v>
      </c>
      <c r="H222" s="552">
        <f>Projected_SEC_wastage_rates!H75</f>
        <v>8.2231886669618254E-2</v>
      </c>
      <c r="I222" s="552">
        <f>Projected_SEC_wastage_rates!I75</f>
        <v>8.2231886669618254E-2</v>
      </c>
      <c r="J222" s="552">
        <f>Projected_SEC_wastage_rates!J75</f>
        <v>8.2231886669618254E-2</v>
      </c>
      <c r="K222" s="163">
        <f>Projected_SEC_wastage_rates!K75</f>
        <v>8.2231886669618254E-2</v>
      </c>
      <c r="L222" s="163">
        <f>Projected_SEC_wastage_rates!L75</f>
        <v>8.2231886669618254E-2</v>
      </c>
      <c r="M222" s="163">
        <f>Projected_SEC_wastage_rates!M75</f>
        <v>8.2231886669618254E-2</v>
      </c>
      <c r="N222" s="163">
        <f>Projected_SEC_wastage_rates!N75</f>
        <v>8.2231886669618254E-2</v>
      </c>
      <c r="O222" s="163">
        <f>Projected_SEC_wastage_rates!O75</f>
        <v>8.2231886669618254E-2</v>
      </c>
      <c r="P222" s="163">
        <f>Projected_SEC_wastage_rates!P75</f>
        <v>8.2231886669618254E-2</v>
      </c>
      <c r="Q222" s="551"/>
    </row>
    <row r="223" spans="2:17">
      <c r="B223" s="8" t="str">
        <f t="shared" si="7"/>
        <v>50-54</v>
      </c>
      <c r="C223" s="163">
        <f>Projected_SEC_wastage_rates!C76</f>
        <v>8.3247002333023484E-2</v>
      </c>
      <c r="D223" s="163">
        <f>Projected_SEC_wastage_rates!D76</f>
        <v>8.3247002333023484E-2</v>
      </c>
      <c r="E223" s="163">
        <f>Projected_SEC_wastage_rates!E76</f>
        <v>8.3247002333023484E-2</v>
      </c>
      <c r="F223" s="163">
        <f>Projected_SEC_wastage_rates!F76</f>
        <v>8.3247002333023484E-2</v>
      </c>
      <c r="G223" s="163">
        <f>Projected_SEC_wastage_rates!G76</f>
        <v>8.3247002333023484E-2</v>
      </c>
      <c r="H223" s="552">
        <f>Projected_SEC_wastage_rates!H76</f>
        <v>8.3247002333023484E-2</v>
      </c>
      <c r="I223" s="552">
        <f>Projected_SEC_wastage_rates!I76</f>
        <v>8.3247002333023484E-2</v>
      </c>
      <c r="J223" s="552">
        <f>Projected_SEC_wastage_rates!J76</f>
        <v>8.3247002333023484E-2</v>
      </c>
      <c r="K223" s="163">
        <f>Projected_SEC_wastage_rates!K76</f>
        <v>8.3247002333023484E-2</v>
      </c>
      <c r="L223" s="163">
        <f>Projected_SEC_wastage_rates!L76</f>
        <v>8.3247002333023484E-2</v>
      </c>
      <c r="M223" s="163">
        <f>Projected_SEC_wastage_rates!M76</f>
        <v>8.3247002333023484E-2</v>
      </c>
      <c r="N223" s="163">
        <f>Projected_SEC_wastage_rates!N76</f>
        <v>8.3247002333023484E-2</v>
      </c>
      <c r="O223" s="163">
        <f>Projected_SEC_wastage_rates!O76</f>
        <v>8.3247002333023484E-2</v>
      </c>
      <c r="P223" s="163">
        <f>Projected_SEC_wastage_rates!P76</f>
        <v>8.3247002333023484E-2</v>
      </c>
      <c r="Q223" s="551"/>
    </row>
    <row r="224" spans="2:17">
      <c r="B224" s="8" t="str">
        <f t="shared" si="7"/>
        <v>55-59</v>
      </c>
      <c r="C224" s="163">
        <f>Projected_SEC_wastage_rates!C77</f>
        <v>5.1262259412022566E-2</v>
      </c>
      <c r="D224" s="163">
        <f>Projected_SEC_wastage_rates!D77</f>
        <v>5.1262259412022566E-2</v>
      </c>
      <c r="E224" s="163">
        <f>Projected_SEC_wastage_rates!E77</f>
        <v>5.1262259412022566E-2</v>
      </c>
      <c r="F224" s="163">
        <f>Projected_SEC_wastage_rates!F77</f>
        <v>5.1262259412022566E-2</v>
      </c>
      <c r="G224" s="163">
        <f>Projected_SEC_wastage_rates!G77</f>
        <v>5.1262259412022566E-2</v>
      </c>
      <c r="H224" s="552">
        <f>Projected_SEC_wastage_rates!H77</f>
        <v>5.1262259412022566E-2</v>
      </c>
      <c r="I224" s="552">
        <f>Projected_SEC_wastage_rates!I77</f>
        <v>5.1262259412022566E-2</v>
      </c>
      <c r="J224" s="552">
        <f>Projected_SEC_wastage_rates!J77</f>
        <v>5.1262259412022566E-2</v>
      </c>
      <c r="K224" s="163">
        <f>Projected_SEC_wastage_rates!K77</f>
        <v>5.1262259412022566E-2</v>
      </c>
      <c r="L224" s="163">
        <f>Projected_SEC_wastage_rates!L77</f>
        <v>5.1262259412022566E-2</v>
      </c>
      <c r="M224" s="163">
        <f>Projected_SEC_wastage_rates!M77</f>
        <v>5.1262259412022566E-2</v>
      </c>
      <c r="N224" s="163">
        <f>Projected_SEC_wastage_rates!N77</f>
        <v>5.1262259412022566E-2</v>
      </c>
      <c r="O224" s="163">
        <f>Projected_SEC_wastage_rates!O77</f>
        <v>5.1262259412022566E-2</v>
      </c>
      <c r="P224" s="163">
        <f>Projected_SEC_wastage_rates!P77</f>
        <v>5.1262259412022566E-2</v>
      </c>
      <c r="Q224" s="551"/>
    </row>
    <row r="225" spans="2:17">
      <c r="B225" s="8" t="str">
        <f t="shared" si="7"/>
        <v>60-64</v>
      </c>
      <c r="C225" s="163">
        <f>Projected_SEC_wastage_rates!C78</f>
        <v>2.2334141329082582E-2</v>
      </c>
      <c r="D225" s="163">
        <f>Projected_SEC_wastage_rates!D78</f>
        <v>2.2334141329082582E-2</v>
      </c>
      <c r="E225" s="163">
        <f>Projected_SEC_wastage_rates!E78</f>
        <v>2.2334141329082582E-2</v>
      </c>
      <c r="F225" s="163">
        <f>Projected_SEC_wastage_rates!F78</f>
        <v>2.2334141329082582E-2</v>
      </c>
      <c r="G225" s="163">
        <f>Projected_SEC_wastage_rates!G78</f>
        <v>2.2334141329082582E-2</v>
      </c>
      <c r="H225" s="552">
        <f>Projected_SEC_wastage_rates!H78</f>
        <v>2.2334141329082582E-2</v>
      </c>
      <c r="I225" s="552">
        <f>Projected_SEC_wastage_rates!I78</f>
        <v>2.2334141329082582E-2</v>
      </c>
      <c r="J225" s="552">
        <f>Projected_SEC_wastage_rates!J78</f>
        <v>2.2334141329082582E-2</v>
      </c>
      <c r="K225" s="163">
        <f>Projected_SEC_wastage_rates!K78</f>
        <v>2.2334141329082582E-2</v>
      </c>
      <c r="L225" s="163">
        <f>Projected_SEC_wastage_rates!L78</f>
        <v>2.2334141329082582E-2</v>
      </c>
      <c r="M225" s="163">
        <f>Projected_SEC_wastage_rates!M78</f>
        <v>2.2334141329082582E-2</v>
      </c>
      <c r="N225" s="163">
        <f>Projected_SEC_wastage_rates!N78</f>
        <v>2.2334141329082582E-2</v>
      </c>
      <c r="O225" s="163">
        <f>Projected_SEC_wastage_rates!O78</f>
        <v>2.2334141329082582E-2</v>
      </c>
      <c r="P225" s="163">
        <f>Projected_SEC_wastage_rates!P78</f>
        <v>2.2334141329082582E-2</v>
      </c>
      <c r="Q225" s="551"/>
    </row>
    <row r="226" spans="2:17">
      <c r="B226" s="8" t="str">
        <f t="shared" si="7"/>
        <v>65 plus</v>
      </c>
      <c r="C226" s="163">
        <f>Projected_SEC_wastage_rates!C79</f>
        <v>3.427129235260052E-2</v>
      </c>
      <c r="D226" s="163">
        <f>Projected_SEC_wastage_rates!D79</f>
        <v>3.427129235260052E-2</v>
      </c>
      <c r="E226" s="163">
        <f>Projected_SEC_wastage_rates!E79</f>
        <v>3.427129235260052E-2</v>
      </c>
      <c r="F226" s="163">
        <f>Projected_SEC_wastage_rates!F79</f>
        <v>3.427129235260052E-2</v>
      </c>
      <c r="G226" s="163">
        <f>Projected_SEC_wastage_rates!G79</f>
        <v>3.427129235260052E-2</v>
      </c>
      <c r="H226" s="552">
        <f>Projected_SEC_wastage_rates!H79</f>
        <v>3.427129235260052E-2</v>
      </c>
      <c r="I226" s="552">
        <f>Projected_SEC_wastage_rates!I79</f>
        <v>3.427129235260052E-2</v>
      </c>
      <c r="J226" s="552">
        <f>Projected_SEC_wastage_rates!J79</f>
        <v>3.427129235260052E-2</v>
      </c>
      <c r="K226" s="163">
        <f>Projected_SEC_wastage_rates!K79</f>
        <v>3.427129235260052E-2</v>
      </c>
      <c r="L226" s="163">
        <f>Projected_SEC_wastage_rates!L79</f>
        <v>3.427129235260052E-2</v>
      </c>
      <c r="M226" s="163">
        <f>Projected_SEC_wastage_rates!M79</f>
        <v>3.427129235260052E-2</v>
      </c>
      <c r="N226" s="163">
        <f>Projected_SEC_wastage_rates!N79</f>
        <v>3.427129235260052E-2</v>
      </c>
      <c r="O226" s="163">
        <f>Projected_SEC_wastage_rates!O79</f>
        <v>3.427129235260052E-2</v>
      </c>
      <c r="P226" s="163">
        <f>Projected_SEC_wastage_rates!P79</f>
        <v>3.427129235260052E-2</v>
      </c>
      <c r="Q226" s="551"/>
    </row>
    <row r="227" spans="2:17">
      <c r="B227" s="8" t="str">
        <f t="shared" si="7"/>
        <v>Total</v>
      </c>
      <c r="C227" s="163">
        <f>Projected_SEC_wastage_rates!C80</f>
        <v>8.3641034033025863E-2</v>
      </c>
      <c r="D227" s="163">
        <f>Projected_SEC_wastage_rates!D80</f>
        <v>8.3641034033025863E-2</v>
      </c>
      <c r="E227" s="163">
        <f>Projected_SEC_wastage_rates!E80</f>
        <v>8.3641034033025863E-2</v>
      </c>
      <c r="F227" s="163">
        <f>Projected_SEC_wastage_rates!F80</f>
        <v>8.3641034033025863E-2</v>
      </c>
      <c r="G227" s="163">
        <f>Projected_SEC_wastage_rates!G80</f>
        <v>8.3641034033025863E-2</v>
      </c>
      <c r="H227" s="552">
        <f>Projected_SEC_wastage_rates!H80</f>
        <v>8.3641034033025863E-2</v>
      </c>
      <c r="I227" s="552">
        <f>Projected_SEC_wastage_rates!I80</f>
        <v>8.3641034033025863E-2</v>
      </c>
      <c r="J227" s="552">
        <f>Projected_SEC_wastage_rates!J80</f>
        <v>8.3641034033025863E-2</v>
      </c>
      <c r="K227" s="163">
        <f>Projected_SEC_wastage_rates!K80</f>
        <v>8.3641034033025863E-2</v>
      </c>
      <c r="L227" s="163">
        <f>Projected_SEC_wastage_rates!L80</f>
        <v>8.3641034033025863E-2</v>
      </c>
      <c r="M227" s="163">
        <f>Projected_SEC_wastage_rates!M80</f>
        <v>8.3641034033025863E-2</v>
      </c>
      <c r="N227" s="163">
        <f>Projected_SEC_wastage_rates!N80</f>
        <v>8.3641034033025863E-2</v>
      </c>
      <c r="O227" s="163">
        <f>Projected_SEC_wastage_rates!O80</f>
        <v>8.3641034033025863E-2</v>
      </c>
      <c r="P227" s="163">
        <f>Projected_SEC_wastage_rates!P80</f>
        <v>8.3641034033025863E-2</v>
      </c>
      <c r="Q227" s="551"/>
    </row>
    <row r="229" spans="2:17">
      <c r="B229" s="76" t="s">
        <v>302</v>
      </c>
    </row>
    <row r="230" spans="2:17">
      <c r="B230" s="12"/>
    </row>
    <row r="231" spans="2:17">
      <c r="B231" s="150" t="s">
        <v>303</v>
      </c>
    </row>
    <row r="233" spans="2:17" ht="25.5">
      <c r="B233" s="152" t="str">
        <f>Stock_calculations!B43</f>
        <v>Subject</v>
      </c>
      <c r="C233" s="152" t="str">
        <f>Stock_calculations!C43</f>
        <v>FTE rate</v>
      </c>
      <c r="D233" s="152" t="str">
        <f>Stock_calculations!D43</f>
        <v>Unqualified teacher rate</v>
      </c>
      <c r="F233" s="150"/>
    </row>
    <row r="234" spans="2:17">
      <c r="B234" s="152" t="s">
        <v>43</v>
      </c>
      <c r="C234" s="518">
        <f>Calc_Primary_teacher_need!Q16</f>
        <v>0.89</v>
      </c>
      <c r="D234" s="518">
        <f>Calc_Primary_teacher_need!N48</f>
        <v>2.9954703740919249E-2</v>
      </c>
      <c r="F234" s="150"/>
    </row>
    <row r="235" spans="2:17">
      <c r="B235" s="152" t="str">
        <f>Stock_calculations!B44</f>
        <v>Art &amp; Design</v>
      </c>
      <c r="C235" s="518">
        <f>Stock_calculations!C44</f>
        <v>0.93100000000000005</v>
      </c>
      <c r="D235" s="518">
        <f>Teacher_need_by_subject!C597</f>
        <v>5.8909913433939996E-2</v>
      </c>
      <c r="F235" s="150"/>
    </row>
    <row r="236" spans="2:17">
      <c r="B236" s="152" t="str">
        <f>Stock_calculations!B45</f>
        <v>Biology</v>
      </c>
      <c r="C236" s="518">
        <f>Stock_calculations!C45</f>
        <v>0.93100000000000005</v>
      </c>
      <c r="D236" s="518">
        <f>Teacher_need_by_subject!C598</f>
        <v>3.8128141845088857E-2</v>
      </c>
    </row>
    <row r="237" spans="2:17">
      <c r="B237" s="152" t="str">
        <f>Stock_calculations!B46</f>
        <v>Business Studies</v>
      </c>
      <c r="C237" s="518">
        <f>Stock_calculations!C46</f>
        <v>0.93100000000000005</v>
      </c>
      <c r="D237" s="518">
        <f>Teacher_need_by_subject!C599</f>
        <v>7.512836487244999E-2</v>
      </c>
    </row>
    <row r="238" spans="2:17">
      <c r="B238" s="152" t="str">
        <f>Stock_calculations!B47</f>
        <v>Chemistry</v>
      </c>
      <c r="C238" s="518">
        <f>Stock_calculations!C47</f>
        <v>0.93100000000000005</v>
      </c>
      <c r="D238" s="518">
        <f>Teacher_need_by_subject!C600</f>
        <v>4.670479162553192E-2</v>
      </c>
    </row>
    <row r="239" spans="2:17">
      <c r="B239" s="152" t="str">
        <f>Stock_calculations!B48</f>
        <v>Classics</v>
      </c>
      <c r="C239" s="518">
        <f>Stock_calculations!C48</f>
        <v>0.93100000000000005</v>
      </c>
      <c r="D239" s="518">
        <f>Teacher_need_by_subject!C601</f>
        <v>7.5860392627861428E-2</v>
      </c>
    </row>
    <row r="240" spans="2:17">
      <c r="B240" s="152" t="str">
        <f>Stock_calculations!B49</f>
        <v>Computing</v>
      </c>
      <c r="C240" s="518">
        <f>Stock_calculations!C49</f>
        <v>0.93100000000000005</v>
      </c>
      <c r="D240" s="518">
        <f>Teacher_need_by_subject!C602</f>
        <v>5.2800072970592159E-2</v>
      </c>
    </row>
    <row r="241" spans="2:4">
      <c r="B241" s="152" t="str">
        <f>Stock_calculations!B50</f>
        <v>Design &amp; Technology</v>
      </c>
      <c r="C241" s="518">
        <f>Stock_calculations!C50</f>
        <v>0.93100000000000005</v>
      </c>
      <c r="D241" s="518">
        <f>Teacher_need_by_subject!C603</f>
        <v>6.5282326752447217E-2</v>
      </c>
    </row>
    <row r="242" spans="2:4">
      <c r="B242" s="152" t="str">
        <f>Stock_calculations!B51</f>
        <v>Drama</v>
      </c>
      <c r="C242" s="518">
        <f>Stock_calculations!C51</f>
        <v>0.93100000000000005</v>
      </c>
      <c r="D242" s="518">
        <f>Teacher_need_by_subject!C604</f>
        <v>7.7019833615948927E-2</v>
      </c>
    </row>
    <row r="243" spans="2:4">
      <c r="B243" s="152" t="str">
        <f>Stock_calculations!B52</f>
        <v>English</v>
      </c>
      <c r="C243" s="518">
        <f>Stock_calculations!C52</f>
        <v>0.93100000000000005</v>
      </c>
      <c r="D243" s="518">
        <f>Teacher_need_by_subject!C605</f>
        <v>7.4381977472818855E-2</v>
      </c>
    </row>
    <row r="244" spans="2:4">
      <c r="B244" s="152" t="str">
        <f>Stock_calculations!B53</f>
        <v>Food</v>
      </c>
      <c r="C244" s="518">
        <f>Stock_calculations!C53</f>
        <v>0.93100000000000005</v>
      </c>
      <c r="D244" s="518">
        <f>Teacher_need_by_subject!C606</f>
        <v>9.1713975643362672E-2</v>
      </c>
    </row>
    <row r="245" spans="2:4">
      <c r="B245" s="152" t="str">
        <f>Stock_calculations!B54</f>
        <v>Geography</v>
      </c>
      <c r="C245" s="518">
        <f>Stock_calculations!C54</f>
        <v>0.93100000000000005</v>
      </c>
      <c r="D245" s="518">
        <f>Teacher_need_by_subject!C607</f>
        <v>3.8255695521574838E-2</v>
      </c>
    </row>
    <row r="246" spans="2:4">
      <c r="B246" s="152" t="str">
        <f>Stock_calculations!B55</f>
        <v>History</v>
      </c>
      <c r="C246" s="518">
        <f>Stock_calculations!C55</f>
        <v>0.93100000000000005</v>
      </c>
      <c r="D246" s="518">
        <f>Teacher_need_by_subject!C608</f>
        <v>4.7545449046448432E-2</v>
      </c>
    </row>
    <row r="247" spans="2:4">
      <c r="B247" s="152" t="str">
        <f>Stock_calculations!B56</f>
        <v>Mathematics</v>
      </c>
      <c r="C247" s="518">
        <f>Stock_calculations!C56</f>
        <v>0.93100000000000005</v>
      </c>
      <c r="D247" s="518">
        <f>Teacher_need_by_subject!C609</f>
        <v>5.4870266894444894E-2</v>
      </c>
    </row>
    <row r="248" spans="2:4">
      <c r="B248" s="152" t="str">
        <f>Stock_calculations!B57</f>
        <v>Modern Foreign Languages</v>
      </c>
      <c r="C248" s="518">
        <f>Stock_calculations!C57</f>
        <v>0.93100000000000005</v>
      </c>
      <c r="D248" s="518">
        <f>Teacher_need_by_subject!C610</f>
        <v>4.2484610330523712E-2</v>
      </c>
    </row>
    <row r="249" spans="2:4">
      <c r="B249" s="152" t="str">
        <f>Stock_calculations!B58</f>
        <v>Music</v>
      </c>
      <c r="C249" s="518">
        <f>Stock_calculations!C58</f>
        <v>0.93100000000000005</v>
      </c>
      <c r="D249" s="518">
        <f>Teacher_need_by_subject!C611</f>
        <v>5.4208287794685298E-2</v>
      </c>
    </row>
    <row r="250" spans="2:4">
      <c r="B250" s="152" t="str">
        <f>Stock_calculations!B59</f>
        <v>Others</v>
      </c>
      <c r="C250" s="518">
        <f>Stock_calculations!C59</f>
        <v>0.93100000000000005</v>
      </c>
      <c r="D250" s="518">
        <f>Teacher_need_by_subject!C612</f>
        <v>0.13067552640350238</v>
      </c>
    </row>
    <row r="251" spans="2:4">
      <c r="B251" s="152" t="str">
        <f>Stock_calculations!B60</f>
        <v>Physical Education</v>
      </c>
      <c r="C251" s="518">
        <f>Stock_calculations!C60</f>
        <v>0.93100000000000005</v>
      </c>
      <c r="D251" s="518">
        <f>Teacher_need_by_subject!C613</f>
        <v>3.9179398730569838E-2</v>
      </c>
    </row>
    <row r="252" spans="2:4">
      <c r="B252" s="152" t="str">
        <f>Stock_calculations!B61</f>
        <v>Physics</v>
      </c>
      <c r="C252" s="518">
        <f>Stock_calculations!C61</f>
        <v>0.93100000000000005</v>
      </c>
      <c r="D252" s="518">
        <f>Teacher_need_by_subject!C614</f>
        <v>3.6027952926980522E-2</v>
      </c>
    </row>
    <row r="253" spans="2:4">
      <c r="B253" s="152" t="str">
        <f>Stock_calculations!B62</f>
        <v>Religious Education</v>
      </c>
      <c r="C253" s="518">
        <f>Stock_calculations!C62</f>
        <v>0.93100000000000005</v>
      </c>
      <c r="D253" s="518">
        <f>Teacher_need_by_subject!C615</f>
        <v>4.6192057701311899E-2</v>
      </c>
    </row>
    <row r="254" spans="2:4">
      <c r="B254" s="150"/>
      <c r="C254" s="234"/>
      <c r="D254" s="234"/>
    </row>
    <row r="255" spans="2:4">
      <c r="B255" s="76" t="s">
        <v>304</v>
      </c>
      <c r="C255" s="234"/>
      <c r="D255" s="234"/>
    </row>
    <row r="256" spans="2:4">
      <c r="B256" s="12"/>
    </row>
    <row r="257" spans="2:15">
      <c r="B257" s="108" t="s">
        <v>43</v>
      </c>
      <c r="C257" s="150" t="s">
        <v>1138</v>
      </c>
    </row>
    <row r="258" spans="2:15">
      <c r="B258" s="5"/>
    </row>
    <row r="259" spans="2:15">
      <c r="B259" s="8"/>
      <c r="C259" s="8" t="str">
        <f>Calc_Primary_teacher_need!N18</f>
        <v>2015/16</v>
      </c>
      <c r="D259" s="8" t="str">
        <f>Calc_Primary_teacher_need!O18</f>
        <v>2016/17</v>
      </c>
      <c r="E259" s="8" t="str">
        <f>Calc_Primary_teacher_need!P18</f>
        <v>2017/18</v>
      </c>
      <c r="F259" s="8" t="str">
        <f>Calc_Primary_teacher_need!Q18</f>
        <v>2018/19</v>
      </c>
      <c r="G259" s="8" t="str">
        <f>Calc_Primary_teacher_need!R18</f>
        <v>2019/20</v>
      </c>
      <c r="H259" s="8" t="str">
        <f>Calc_Primary_teacher_need!S18</f>
        <v>2020/21</v>
      </c>
      <c r="I259" s="8" t="str">
        <f>Calc_Primary_teacher_need!T18</f>
        <v>2021/22</v>
      </c>
      <c r="J259" s="8" t="str">
        <f>Calc_Primary_teacher_need!U18</f>
        <v>2022/23</v>
      </c>
      <c r="K259" s="8" t="str">
        <f>Calc_Primary_teacher_need!V18</f>
        <v>2023/24</v>
      </c>
      <c r="L259" s="8" t="str">
        <f>Calc_Primary_teacher_need!W18</f>
        <v>2024/25</v>
      </c>
      <c r="M259" s="8" t="str">
        <f>Calc_Primary_teacher_need!X18</f>
        <v>2025/26</v>
      </c>
      <c r="N259" s="8" t="str">
        <f>Calc_Primary_teacher_need!Y18</f>
        <v>2026/27</v>
      </c>
      <c r="O259" s="8" t="str">
        <f>Calc_Primary_teacher_need!Z18</f>
        <v>2027/28</v>
      </c>
    </row>
    <row r="260" spans="2:15">
      <c r="B260" s="8" t="s">
        <v>306</v>
      </c>
      <c r="C260" s="418">
        <f>Calc_Primary_teacher_need!N37</f>
        <v>0</v>
      </c>
      <c r="D260" s="307">
        <f>Calc_Primary_teacher_need!O37</f>
        <v>232602.62811832089</v>
      </c>
      <c r="E260" s="307">
        <f>Calc_Primary_teacher_need!P37</f>
        <v>234068.12078866418</v>
      </c>
      <c r="F260" s="307">
        <f>Calc_Primary_teacher_need!Q37</f>
        <v>234698.36800995329</v>
      </c>
      <c r="G260" s="307">
        <f>Calc_Primary_teacher_need!R37</f>
        <v>234717.64993126446</v>
      </c>
      <c r="H260" s="307">
        <f>Calc_Primary_teacher_need!S37</f>
        <v>234970.59223511987</v>
      </c>
      <c r="I260" s="307">
        <f>Calc_Primary_teacher_need!T37</f>
        <v>235048.58736770522</v>
      </c>
      <c r="J260" s="307">
        <f>Calc_Primary_teacher_need!U37</f>
        <v>234845.43559539714</v>
      </c>
      <c r="K260" s="307">
        <f>Calc_Primary_teacher_need!V37</f>
        <v>234468.3541128762</v>
      </c>
      <c r="L260" s="307">
        <f>Calc_Primary_teacher_need!W37</f>
        <v>234696.06874065075</v>
      </c>
      <c r="M260" s="307">
        <f>Calc_Primary_teacher_need!X37</f>
        <v>235355.18410368785</v>
      </c>
      <c r="N260" s="307">
        <f>Calc_Primary_teacher_need!Y37</f>
        <v>236066.41862920893</v>
      </c>
      <c r="O260" s="307">
        <f>Calc_Primary_teacher_need!Z37</f>
        <v>236600.03962904977</v>
      </c>
    </row>
    <row r="261" spans="2:15">
      <c r="B261" s="8" t="s">
        <v>305</v>
      </c>
      <c r="C261" s="261">
        <f>Calc_Primary_teacher_need!N34</f>
        <v>19.867491083418759</v>
      </c>
      <c r="D261" s="261">
        <f>Calc_Primary_teacher_need!O34</f>
        <v>20.07459521362799</v>
      </c>
      <c r="E261" s="261">
        <f>Calc_Primary_teacher_need!P34</f>
        <v>20.201875376067751</v>
      </c>
      <c r="F261" s="261">
        <f>Calc_Primary_teacher_need!Q34</f>
        <v>20.2564174074272</v>
      </c>
      <c r="G261" s="261">
        <f>Calc_Primary_teacher_need!R34</f>
        <v>20.258081734031702</v>
      </c>
      <c r="H261" s="261">
        <f>Calc_Primary_teacher_need!S34</f>
        <v>20.27993630616475</v>
      </c>
      <c r="I261" s="261">
        <f>Calc_Primary_teacher_need!T34</f>
        <v>20.286670176625265</v>
      </c>
      <c r="J261" s="261">
        <f>Calc_Primary_teacher_need!U34</f>
        <v>20.269151611127398</v>
      </c>
      <c r="K261" s="261">
        <f>Calc_Primary_teacher_need!V34</f>
        <v>20.236658455991094</v>
      </c>
      <c r="L261" s="261">
        <f>Calc_Primary_teacher_need!W34</f>
        <v>20.256331315311471</v>
      </c>
      <c r="M261" s="261">
        <f>Calc_Primary_teacher_need!X34</f>
        <v>20.313378969436201</v>
      </c>
      <c r="N261" s="261">
        <f>Calc_Primary_teacher_need!Y34</f>
        <v>20.374951306924679</v>
      </c>
      <c r="O261" s="261">
        <f>Calc_Primary_teacher_need!Z34</f>
        <v>20.421112614383947</v>
      </c>
    </row>
    <row r="262" spans="2:15">
      <c r="B262" s="5"/>
      <c r="C262" s="5"/>
      <c r="D262" s="5"/>
      <c r="E262" s="5"/>
      <c r="F262" s="5"/>
      <c r="G262" s="5"/>
      <c r="H262" s="5"/>
      <c r="I262" s="5"/>
      <c r="J262" s="5"/>
      <c r="K262" s="5"/>
      <c r="L262" s="5"/>
      <c r="M262" s="5"/>
      <c r="N262" s="5"/>
      <c r="O262" s="5"/>
    </row>
    <row r="263" spans="2:15">
      <c r="B263" s="695" t="s">
        <v>245</v>
      </c>
      <c r="C263" s="5"/>
      <c r="D263" s="168"/>
      <c r="E263" s="168"/>
      <c r="F263" s="168"/>
      <c r="G263" s="5"/>
      <c r="H263" s="5"/>
      <c r="I263" s="5"/>
      <c r="J263" s="5"/>
      <c r="K263" s="5"/>
      <c r="L263" s="5"/>
      <c r="M263" s="5"/>
      <c r="N263" s="5"/>
      <c r="O263" s="5"/>
    </row>
    <row r="264" spans="2:15">
      <c r="B264" s="5"/>
      <c r="C264" s="5"/>
      <c r="D264" s="5"/>
      <c r="E264" s="5"/>
      <c r="F264" s="5"/>
      <c r="G264" s="5"/>
      <c r="H264" s="5"/>
      <c r="I264" s="5"/>
      <c r="J264" s="5"/>
      <c r="K264" s="5"/>
      <c r="L264" s="5"/>
      <c r="M264" s="5"/>
      <c r="N264" s="5"/>
      <c r="O264" s="5"/>
    </row>
    <row r="265" spans="2:15">
      <c r="B265" s="8"/>
      <c r="C265" s="8" t="str">
        <f>C259</f>
        <v>2015/16</v>
      </c>
      <c r="D265" s="8" t="str">
        <f t="shared" ref="D265:O265" si="8">D259</f>
        <v>2016/17</v>
      </c>
      <c r="E265" s="8" t="str">
        <f t="shared" si="8"/>
        <v>2017/18</v>
      </c>
      <c r="F265" s="8" t="str">
        <f t="shared" si="8"/>
        <v>2018/19</v>
      </c>
      <c r="G265" s="8" t="str">
        <f t="shared" si="8"/>
        <v>2019/20</v>
      </c>
      <c r="H265" s="8" t="str">
        <f t="shared" si="8"/>
        <v>2020/21</v>
      </c>
      <c r="I265" s="8" t="str">
        <f t="shared" si="8"/>
        <v>2021/22</v>
      </c>
      <c r="J265" s="8" t="str">
        <f t="shared" si="8"/>
        <v>2022/23</v>
      </c>
      <c r="K265" s="8" t="str">
        <f t="shared" si="8"/>
        <v>2023/24</v>
      </c>
      <c r="L265" s="8" t="str">
        <f t="shared" si="8"/>
        <v>2024/25</v>
      </c>
      <c r="M265" s="8" t="str">
        <f t="shared" si="8"/>
        <v>2025/26</v>
      </c>
      <c r="N265" s="8" t="str">
        <f t="shared" si="8"/>
        <v>2026/27</v>
      </c>
      <c r="O265" s="8" t="str">
        <f t="shared" si="8"/>
        <v>2027/28</v>
      </c>
    </row>
    <row r="266" spans="2:15">
      <c r="B266" s="8" t="s">
        <v>306</v>
      </c>
      <c r="C266" s="553">
        <f>Calc_overall_Sec_teacher_need!N37</f>
        <v>0</v>
      </c>
      <c r="D266" s="307">
        <f>Calc_overall_Sec_teacher_need!O37</f>
        <v>218034.63309116696</v>
      </c>
      <c r="E266" s="307">
        <f>Calc_overall_Sec_teacher_need!P37</f>
        <v>219486.86551450807</v>
      </c>
      <c r="F266" s="307">
        <f>Calc_overall_Sec_teacher_need!Q37</f>
        <v>221599.91201199332</v>
      </c>
      <c r="G266" s="307">
        <f>Calc_overall_Sec_teacher_need!R37</f>
        <v>223904.19918609213</v>
      </c>
      <c r="H266" s="307">
        <f>Calc_overall_Sec_teacher_need!S37</f>
        <v>225746.35750669448</v>
      </c>
      <c r="I266" s="307">
        <f>Calc_overall_Sec_teacher_need!T37</f>
        <v>227708.30485224701</v>
      </c>
      <c r="J266" s="307">
        <f>Calc_overall_Sec_teacher_need!U37</f>
        <v>229852.53002844812</v>
      </c>
      <c r="K266" s="307">
        <f>Calc_overall_Sec_teacher_need!V37</f>
        <v>231687.61221796015</v>
      </c>
      <c r="L266" s="307">
        <f>Calc_overall_Sec_teacher_need!W37</f>
        <v>232366.64084846911</v>
      </c>
      <c r="M266" s="307">
        <f>Calc_overall_Sec_teacher_need!X37</f>
        <v>232637.50655367912</v>
      </c>
      <c r="N266" s="307">
        <f>Calc_overall_Sec_teacher_need!Y37</f>
        <v>232532.7958936248</v>
      </c>
      <c r="O266" s="307">
        <f>Calc_overall_Sec_teacher_need!Z37</f>
        <v>232214.49623724938</v>
      </c>
    </row>
    <row r="267" spans="2:15">
      <c r="B267" s="8" t="s">
        <v>305</v>
      </c>
      <c r="C267" s="261">
        <f>Calc_overall_Sec_teacher_need!N34</f>
        <v>14.376115391672679</v>
      </c>
      <c r="D267" s="261">
        <f>Calc_overall_Sec_teacher_need!O34</f>
        <v>14.462998259445644</v>
      </c>
      <c r="E267" s="261">
        <f>Calc_overall_Sec_teacher_need!P34</f>
        <v>14.608953947490665</v>
      </c>
      <c r="F267" s="261">
        <f>Calc_overall_Sec_teacher_need!Q34</f>
        <v>14.823010333003189</v>
      </c>
      <c r="G267" s="261">
        <f>Calc_overall_Sec_teacher_need!R34</f>
        <v>15.057877350775287</v>
      </c>
      <c r="H267" s="261">
        <f>Calc_overall_Sec_teacher_need!S34</f>
        <v>15.246031054899905</v>
      </c>
      <c r="I267" s="261">
        <f>Calc_overall_Sec_teacher_need!T34</f>
        <v>15.447409749702491</v>
      </c>
      <c r="J267" s="261">
        <f>Calc_overall_Sec_teacher_need!U34</f>
        <v>15.668727634627725</v>
      </c>
      <c r="K267" s="261">
        <f>Calc_overall_Sec_teacher_need!V34</f>
        <v>15.85864450927671</v>
      </c>
      <c r="L267" s="261">
        <f>Calc_overall_Sec_teacher_need!W34</f>
        <v>15.928669981461855</v>
      </c>
      <c r="M267" s="261">
        <f>Calc_overall_Sec_teacher_need!X34</f>
        <v>15.956570421586527</v>
      </c>
      <c r="N267" s="261">
        <f>Calc_overall_Sec_teacher_need!Y34</f>
        <v>15.945804558344161</v>
      </c>
      <c r="O267" s="261">
        <f>Calc_overall_Sec_teacher_need!Z34</f>
        <v>15.913130818376334</v>
      </c>
    </row>
    <row r="269" spans="2:15">
      <c r="B269" s="76" t="s">
        <v>307</v>
      </c>
    </row>
    <row r="271" spans="2:15">
      <c r="B271" s="77" t="str">
        <f>Teacher_need_by_subject!B48</f>
        <v>Subject</v>
      </c>
      <c r="C271" s="152" t="str">
        <f>Teacher_need_by_subject!C49</f>
        <v>Key stage 3</v>
      </c>
      <c r="D271" s="152" t="str">
        <f>Teacher_need_by_subject!D49</f>
        <v>Key stage 4</v>
      </c>
      <c r="E271" s="152" t="str">
        <f>Teacher_need_by_subject!E49</f>
        <v>Key stage 5</v>
      </c>
    </row>
    <row r="272" spans="2:15">
      <c r="B272" s="77" t="str">
        <f>Teacher_need_by_subject!B50</f>
        <v>Art &amp; Design</v>
      </c>
      <c r="C272" s="517">
        <f>Teacher_need_by_subject!C50</f>
        <v>4.3323770464157786E-2</v>
      </c>
      <c r="D272" s="517">
        <f>Teacher_need_by_subject!D50</f>
        <v>3.9279018196982839E-2</v>
      </c>
      <c r="E272" s="517">
        <f>Teacher_need_by_subject!E50</f>
        <v>6.7746037234778289E-2</v>
      </c>
    </row>
    <row r="273" spans="2:5">
      <c r="B273" s="77" t="str">
        <f>Teacher_need_by_subject!B51</f>
        <v>Biology</v>
      </c>
      <c r="C273" s="517">
        <f>Teacher_need_by_subject!C51</f>
        <v>4.8905700375969592E-2</v>
      </c>
      <c r="D273" s="517">
        <f>Teacher_need_by_subject!D51</f>
        <v>7.883159634717532E-2</v>
      </c>
      <c r="E273" s="517">
        <f>Teacher_need_by_subject!E51</f>
        <v>9.0708092432248019E-2</v>
      </c>
    </row>
    <row r="274" spans="2:5">
      <c r="B274" s="77" t="str">
        <f>Teacher_need_by_subject!B52</f>
        <v>Business Studies</v>
      </c>
      <c r="C274" s="517">
        <f>Teacher_need_by_subject!C52</f>
        <v>2.8934155957164851E-3</v>
      </c>
      <c r="D274" s="517">
        <f>Teacher_need_by_subject!D52</f>
        <v>2.8744203925736869E-2</v>
      </c>
      <c r="E274" s="517">
        <f>Teacher_need_by_subject!E52</f>
        <v>8.735600339336265E-2</v>
      </c>
    </row>
    <row r="275" spans="2:5">
      <c r="B275" s="77" t="str">
        <f>Teacher_need_by_subject!B53</f>
        <v>Chemistry</v>
      </c>
      <c r="C275" s="517">
        <f>Teacher_need_by_subject!C53</f>
        <v>4.0894821112430917E-2</v>
      </c>
      <c r="D275" s="517">
        <f>Teacher_need_by_subject!D53</f>
        <v>7.2880024548858002E-2</v>
      </c>
      <c r="E275" s="517">
        <f>Teacher_need_by_subject!E53</f>
        <v>7.5612068568056287E-2</v>
      </c>
    </row>
    <row r="276" spans="2:5">
      <c r="B276" s="77" t="str">
        <f>Teacher_need_by_subject!B54</f>
        <v>Classics</v>
      </c>
      <c r="C276" s="517">
        <f>Teacher_need_by_subject!C54</f>
        <v>1.1451324785355153E-3</v>
      </c>
      <c r="D276" s="517">
        <f>Teacher_need_by_subject!D54</f>
        <v>1.4501812322278466E-3</v>
      </c>
      <c r="E276" s="517">
        <f>Teacher_need_by_subject!E54</f>
        <v>4.9618200595682683E-3</v>
      </c>
    </row>
    <row r="277" spans="2:5">
      <c r="B277" s="77" t="str">
        <f>Teacher_need_by_subject!B55</f>
        <v>Computing</v>
      </c>
      <c r="C277" s="517">
        <f>Teacher_need_by_subject!C55</f>
        <v>3.4974534514572421E-2</v>
      </c>
      <c r="D277" s="517">
        <f>Teacher_need_by_subject!D55</f>
        <v>4.2755793710158932E-2</v>
      </c>
      <c r="E277" s="517">
        <f>Teacher_need_by_subject!E55</f>
        <v>5.8796020175754062E-2</v>
      </c>
    </row>
    <row r="278" spans="2:5">
      <c r="B278" s="77" t="str">
        <f>Teacher_need_by_subject!B56</f>
        <v>Design &amp; Technology</v>
      </c>
      <c r="C278" s="518">
        <f>Teacher_need_by_subject!C56</f>
        <v>6.5710884843906081E-2</v>
      </c>
      <c r="D278" s="518">
        <f>Teacher_need_by_subject!D56</f>
        <v>4.6806426202596167E-2</v>
      </c>
      <c r="E278" s="518">
        <f>Teacher_need_by_subject!E56</f>
        <v>4.9680290833310284E-2</v>
      </c>
    </row>
    <row r="279" spans="2:5">
      <c r="B279" s="77" t="str">
        <f>Teacher_need_by_subject!B57</f>
        <v>Drama</v>
      </c>
      <c r="C279" s="517">
        <f>Teacher_need_by_subject!C57</f>
        <v>2.9355113732180384E-2</v>
      </c>
      <c r="D279" s="517">
        <f>Teacher_need_by_subject!D57</f>
        <v>2.2204901639080725E-2</v>
      </c>
      <c r="E279" s="517">
        <f>Teacher_need_by_subject!E57</f>
        <v>3.4966409859193893E-2</v>
      </c>
    </row>
    <row r="280" spans="2:5">
      <c r="B280" s="77" t="str">
        <f>Teacher_need_by_subject!B58</f>
        <v>English</v>
      </c>
      <c r="C280" s="517">
        <f>Teacher_need_by_subject!C58</f>
        <v>0.15308505215803844</v>
      </c>
      <c r="D280" s="517">
        <f>Teacher_need_by_subject!D58</f>
        <v>0.19612826116353643</v>
      </c>
      <c r="E280" s="517">
        <f>Teacher_need_by_subject!E58</f>
        <v>0.12085123147712708</v>
      </c>
    </row>
    <row r="281" spans="2:5">
      <c r="B281" s="77" t="str">
        <f>Teacher_need_by_subject!B59</f>
        <v>Food</v>
      </c>
      <c r="C281" s="517">
        <f>Teacher_need_by_subject!C59</f>
        <v>8.6804577373020587E-3</v>
      </c>
      <c r="D281" s="517">
        <f>Teacher_need_by_subject!D59</f>
        <v>1.8664222498139451E-2</v>
      </c>
      <c r="E281" s="517">
        <f>Teacher_need_by_subject!E59</f>
        <v>7.7089061938089573E-3</v>
      </c>
    </row>
    <row r="282" spans="2:5">
      <c r="B282" s="77" t="str">
        <f>Teacher_need_by_subject!B60</f>
        <v>Geography</v>
      </c>
      <c r="C282" s="517">
        <f>Teacher_need_by_subject!C60</f>
        <v>5.8922328031166663E-2</v>
      </c>
      <c r="D282" s="517">
        <f>Teacher_need_by_subject!D60</f>
        <v>5.233968583892129E-2</v>
      </c>
      <c r="E282" s="517">
        <f>Teacher_need_by_subject!E60</f>
        <v>5.4711575700572626E-2</v>
      </c>
    </row>
    <row r="283" spans="2:5">
      <c r="B283" s="77" t="str">
        <f>Teacher_need_by_subject!B61</f>
        <v>History</v>
      </c>
      <c r="C283" s="517">
        <f>Teacher_need_by_subject!C61</f>
        <v>6.0337352219913078E-2</v>
      </c>
      <c r="D283" s="517">
        <f>Teacher_need_by_subject!D61</f>
        <v>5.6338531210430802E-2</v>
      </c>
      <c r="E283" s="517">
        <f>Teacher_need_by_subject!E61</f>
        <v>7.0193495440168938E-2</v>
      </c>
    </row>
    <row r="284" spans="2:5">
      <c r="B284" s="77" t="str">
        <f>Teacher_need_by_subject!B62</f>
        <v>Mathematics</v>
      </c>
      <c r="C284" s="517">
        <f>Teacher_need_by_subject!C62</f>
        <v>0.14960620757617663</v>
      </c>
      <c r="D284" s="517">
        <f>Teacher_need_by_subject!D62</f>
        <v>0.18850056218397837</v>
      </c>
      <c r="E284" s="517">
        <f>Teacher_need_by_subject!E62</f>
        <v>0.1512300709102142</v>
      </c>
    </row>
    <row r="285" spans="2:5">
      <c r="B285" s="152" t="str">
        <f>Teacher_need_by_subject!B63</f>
        <v>Modern Foreign Languages</v>
      </c>
      <c r="C285" s="518">
        <f>Teacher_need_by_subject!C63</f>
        <v>9.0696375888642849E-2</v>
      </c>
      <c r="D285" s="518">
        <f>Teacher_need_by_subject!D63</f>
        <v>7.1068558076110913E-2</v>
      </c>
      <c r="E285" s="518">
        <f>Teacher_need_by_subject!E63</f>
        <v>6.0440703753907442E-2</v>
      </c>
    </row>
    <row r="286" spans="2:5">
      <c r="B286" s="77" t="str">
        <f>Teacher_need_by_subject!B64</f>
        <v>Music</v>
      </c>
      <c r="C286" s="517">
        <f>Teacher_need_by_subject!C64</f>
        <v>3.4249126611177787E-2</v>
      </c>
      <c r="D286" s="517">
        <f>Teacher_need_by_subject!D64</f>
        <v>1.7569760459506208E-2</v>
      </c>
      <c r="E286" s="517">
        <f>Teacher_need_by_subject!E64</f>
        <v>2.898832840004795E-2</v>
      </c>
    </row>
    <row r="287" spans="2:5">
      <c r="B287" s="77" t="str">
        <f>Teacher_need_by_subject!B65</f>
        <v>Others</v>
      </c>
      <c r="C287" s="517">
        <f>Teacher_need_by_subject!C65</f>
        <v>3.616300805105975E-2</v>
      </c>
      <c r="D287" s="517">
        <f>Teacher_need_by_subject!D65</f>
        <v>7.0543380839219169E-2</v>
      </c>
      <c r="E287" s="517">
        <f>Teacher_need_by_subject!E65</f>
        <v>0.30747599518658886</v>
      </c>
    </row>
    <row r="288" spans="2:5">
      <c r="B288" s="77" t="str">
        <f>Teacher_need_by_subject!B66</f>
        <v>Physical Education</v>
      </c>
      <c r="C288" s="517">
        <f>Teacher_need_by_subject!C66</f>
        <v>8.6819518040224031E-2</v>
      </c>
      <c r="D288" s="517">
        <f>Teacher_need_by_subject!D66</f>
        <v>0.10428249153887108</v>
      </c>
      <c r="E288" s="517">
        <f>Teacher_need_by_subject!E66</f>
        <v>7.3348160852766783E-2</v>
      </c>
    </row>
    <row r="289" spans="2:5">
      <c r="B289" s="77" t="str">
        <f>Teacher_need_by_subject!B67</f>
        <v>Physics</v>
      </c>
      <c r="C289" s="517">
        <f>Teacher_need_by_subject!C67</f>
        <v>3.9648463835233211E-2</v>
      </c>
      <c r="D289" s="517">
        <f>Teacher_need_by_subject!D67</f>
        <v>7.2978367500943275E-2</v>
      </c>
      <c r="E289" s="517">
        <f>Teacher_need_by_subject!E67</f>
        <v>6.225567788873828E-2</v>
      </c>
    </row>
    <row r="290" spans="2:5">
      <c r="B290" s="77" t="str">
        <f>Teacher_need_by_subject!B68</f>
        <v>Religious Education</v>
      </c>
      <c r="C290" s="517">
        <f>Teacher_need_by_subject!C68</f>
        <v>3.7778365590105452E-2</v>
      </c>
      <c r="D290" s="517">
        <f>Teacher_need_by_subject!D68</f>
        <v>4.3316594214753333E-2</v>
      </c>
      <c r="E290" s="517">
        <f>Teacher_need_by_subject!E68</f>
        <v>3.9290277739356554E-2</v>
      </c>
    </row>
    <row r="291" spans="2:5">
      <c r="B291" s="77" t="str">
        <f>Teacher_need_by_subject!B69</f>
        <v>Total</v>
      </c>
      <c r="C291" s="517">
        <f>Teacher_need_by_subject!C69</f>
        <v>1.023189628856509</v>
      </c>
      <c r="D291" s="517">
        <f>Teacher_need_by_subject!D69</f>
        <v>1.2246825613272267</v>
      </c>
      <c r="E291" s="517">
        <f>Teacher_need_by_subject!E69</f>
        <v>1.4463211660995692</v>
      </c>
    </row>
    <row r="293" spans="2:5">
      <c r="B293" s="76" t="s">
        <v>308</v>
      </c>
    </row>
    <row r="294" spans="2:5">
      <c r="B294" s="12"/>
    </row>
    <row r="295" spans="2:5">
      <c r="B295" s="150" t="s">
        <v>1339</v>
      </c>
    </row>
    <row r="297" spans="2:5">
      <c r="B297" s="150" t="s">
        <v>309</v>
      </c>
    </row>
    <row r="299" spans="2:5">
      <c r="B299" s="108" t="s">
        <v>767</v>
      </c>
      <c r="C299" s="5"/>
    </row>
    <row r="300" spans="2:5">
      <c r="B300" s="5"/>
      <c r="C300" s="5"/>
    </row>
    <row r="301" spans="2:5">
      <c r="B301" s="8" t="str">
        <f>Entrant_age_breakdowns!B57</f>
        <v>Age group</v>
      </c>
      <c r="C301" s="8" t="s">
        <v>290</v>
      </c>
    </row>
    <row r="302" spans="2:5">
      <c r="B302" s="8" t="str">
        <f>Entrant_age_breakdowns!B59</f>
        <v>20-24</v>
      </c>
      <c r="C302" s="550">
        <f>Entrant_age_breakdowns!K59</f>
        <v>0.31878946334664915</v>
      </c>
    </row>
    <row r="303" spans="2:5">
      <c r="B303" s="8" t="str">
        <f>Entrant_age_breakdowns!B60</f>
        <v>25-29</v>
      </c>
      <c r="C303" s="550">
        <f>Entrant_age_breakdowns!K60</f>
        <v>0.24026375797762417</v>
      </c>
    </row>
    <row r="304" spans="2:5">
      <c r="B304" s="8" t="str">
        <f>Entrant_age_breakdowns!B61</f>
        <v>30-34</v>
      </c>
      <c r="C304" s="550">
        <f>Entrant_age_breakdowns!K61</f>
        <v>0.11335929402038328</v>
      </c>
    </row>
    <row r="305" spans="2:3">
      <c r="B305" s="8" t="str">
        <f>Entrant_age_breakdowns!B62</f>
        <v>35-39</v>
      </c>
      <c r="C305" s="550">
        <f>Entrant_age_breakdowns!K62</f>
        <v>9.0781477394868776E-2</v>
      </c>
    </row>
    <row r="306" spans="2:3">
      <c r="B306" s="8" t="str">
        <f>Entrant_age_breakdowns!B63</f>
        <v>40-44</v>
      </c>
      <c r="C306" s="550">
        <f>Entrant_age_breakdowns!K63</f>
        <v>8.9239532918029579E-2</v>
      </c>
    </row>
    <row r="307" spans="2:3">
      <c r="B307" s="8" t="str">
        <f>Entrant_age_breakdowns!B64</f>
        <v>45-49</v>
      </c>
      <c r="C307" s="550">
        <f>Entrant_age_breakdowns!K64</f>
        <v>6.5732394840039066E-2</v>
      </c>
    </row>
    <row r="308" spans="2:3">
      <c r="B308" s="8" t="str">
        <f>Entrant_age_breakdowns!B65</f>
        <v>50-54</v>
      </c>
      <c r="C308" s="550">
        <f>Entrant_age_breakdowns!K65</f>
        <v>4.0535656278006954E-2</v>
      </c>
    </row>
    <row r="309" spans="2:3">
      <c r="B309" s="8" t="str">
        <f>Entrant_age_breakdowns!B66</f>
        <v>55-59</v>
      </c>
      <c r="C309" s="550">
        <f>Entrant_age_breakdowns!K66</f>
        <v>2.6073597539013012E-2</v>
      </c>
    </row>
    <row r="310" spans="2:3">
      <c r="B310" s="8" t="str">
        <f>Entrant_age_breakdowns!B67</f>
        <v>60-64</v>
      </c>
      <c r="C310" s="550">
        <f>Entrant_age_breakdowns!K67</f>
        <v>1.219894793973062E-2</v>
      </c>
    </row>
    <row r="311" spans="2:3">
      <c r="B311" s="8" t="str">
        <f>Entrant_age_breakdowns!B68</f>
        <v>65 plus</v>
      </c>
      <c r="C311" s="550">
        <f>Entrant_age_breakdowns!K68</f>
        <v>3.0258777456554182E-3</v>
      </c>
    </row>
    <row r="312" spans="2:3">
      <c r="B312" s="8" t="str">
        <f>Entrant_age_breakdowns!B69</f>
        <v>Total</v>
      </c>
      <c r="C312" s="550">
        <f>Entrant_age_breakdowns!K69</f>
        <v>1</v>
      </c>
    </row>
    <row r="313" spans="2:3">
      <c r="B313" s="5"/>
      <c r="C313" s="5"/>
    </row>
    <row r="314" spans="2:3">
      <c r="B314" s="108" t="s">
        <v>310</v>
      </c>
      <c r="C314" s="5"/>
    </row>
    <row r="315" spans="2:3">
      <c r="B315" s="5"/>
      <c r="C315" s="5"/>
    </row>
    <row r="316" spans="2:3">
      <c r="B316" s="8" t="str">
        <f>B301</f>
        <v>Age group</v>
      </c>
      <c r="C316" s="8" t="s">
        <v>245</v>
      </c>
    </row>
    <row r="317" spans="2:3">
      <c r="B317" s="8" t="str">
        <f t="shared" ref="B317:B327" si="9">B302</f>
        <v>20-24</v>
      </c>
      <c r="C317" s="550">
        <f>Entrant_age_breakdowns!K76</f>
        <v>0.25804097159887757</v>
      </c>
    </row>
    <row r="318" spans="2:3">
      <c r="B318" s="8" t="str">
        <f t="shared" si="9"/>
        <v>25-29</v>
      </c>
      <c r="C318" s="550">
        <f>Entrant_age_breakdowns!K77</f>
        <v>0.26680876199841336</v>
      </c>
    </row>
    <row r="319" spans="2:3">
      <c r="B319" s="8" t="str">
        <f t="shared" si="9"/>
        <v>30-34</v>
      </c>
      <c r="C319" s="550">
        <f>Entrant_age_breakdowns!K78</f>
        <v>0.1324478666497878</v>
      </c>
    </row>
    <row r="320" spans="2:3">
      <c r="B320" s="8" t="str">
        <f t="shared" si="9"/>
        <v>35-39</v>
      </c>
      <c r="C320" s="550">
        <f>Entrant_age_breakdowns!K79</f>
        <v>9.4639871890650956E-2</v>
      </c>
    </row>
    <row r="321" spans="2:3">
      <c r="B321" s="8" t="str">
        <f t="shared" si="9"/>
        <v>40-44</v>
      </c>
      <c r="C321" s="550">
        <f>Entrant_age_breakdowns!K80</f>
        <v>8.2225693587606535E-2</v>
      </c>
    </row>
    <row r="322" spans="2:3">
      <c r="B322" s="8" t="str">
        <f t="shared" si="9"/>
        <v>45-49</v>
      </c>
      <c r="C322" s="550">
        <f>Entrant_age_breakdowns!K81</f>
        <v>6.5430831543955681E-2</v>
      </c>
    </row>
    <row r="323" spans="2:3">
      <c r="B323" s="8" t="str">
        <f t="shared" si="9"/>
        <v>50-54</v>
      </c>
      <c r="C323" s="550">
        <f>Entrant_age_breakdowns!K82</f>
        <v>4.7864784012022654E-2</v>
      </c>
    </row>
    <row r="324" spans="2:3">
      <c r="B324" s="8" t="str">
        <f t="shared" si="9"/>
        <v>55-59</v>
      </c>
      <c r="C324" s="550">
        <f>Entrant_age_breakdowns!K83</f>
        <v>3.2587424529743725E-2</v>
      </c>
    </row>
    <row r="325" spans="2:3">
      <c r="B325" s="8" t="str">
        <f t="shared" si="9"/>
        <v>60-64</v>
      </c>
      <c r="C325" s="550">
        <f>Entrant_age_breakdowns!K84</f>
        <v>1.5952735014263433E-2</v>
      </c>
    </row>
    <row r="326" spans="2:3">
      <c r="B326" s="8" t="str">
        <f t="shared" si="9"/>
        <v>65 plus</v>
      </c>
      <c r="C326" s="550">
        <f>Entrant_age_breakdowns!K85</f>
        <v>4.0010591746783529E-3</v>
      </c>
    </row>
    <row r="327" spans="2:3">
      <c r="B327" s="8" t="str">
        <f t="shared" si="9"/>
        <v>Total</v>
      </c>
      <c r="C327" s="550">
        <f>Entrant_age_breakdowns!K86</f>
        <v>1</v>
      </c>
    </row>
    <row r="329" spans="2:3">
      <c r="B329" s="76" t="s">
        <v>762</v>
      </c>
    </row>
    <row r="330" spans="2:3">
      <c r="B330" s="76"/>
    </row>
    <row r="331" spans="2:3">
      <c r="B331" s="150" t="s">
        <v>708</v>
      </c>
    </row>
    <row r="332" spans="2:3">
      <c r="B332" s="76"/>
    </row>
    <row r="333" spans="2:3">
      <c r="B333" s="108" t="s">
        <v>35</v>
      </c>
    </row>
    <row r="334" spans="2:3">
      <c r="B334" s="76"/>
    </row>
    <row r="335" spans="2:3">
      <c r="B335" s="8" t="str">
        <f>Data_selected_by_user_testing!C131</f>
        <v>New to state-funded sector</v>
      </c>
      <c r="C335" s="652">
        <f>Data_selected_by_user_testing!D131</f>
        <v>0.15165474964071107</v>
      </c>
    </row>
    <row r="336" spans="2:3">
      <c r="B336" s="8" t="str">
        <f>Data_selected_by_user_testing!C132</f>
        <v>Re-entrants</v>
      </c>
      <c r="C336" s="652">
        <f>Data_selected_by_user_testing!D132</f>
        <v>0.3309755080600576</v>
      </c>
    </row>
    <row r="337" spans="2:3">
      <c r="B337" s="8" t="str">
        <f>Data_selected_by_user_testing!C133</f>
        <v>NQTs</v>
      </c>
      <c r="C337" s="652">
        <f>Data_selected_by_user_testing!D133</f>
        <v>0.51736974229923127</v>
      </c>
    </row>
    <row r="338" spans="2:3">
      <c r="B338" s="8" t="str">
        <f>Data_selected_by_user_testing!C134</f>
        <v>Total</v>
      </c>
      <c r="C338" s="652">
        <f>Data_selected_by_user_testing!D134</f>
        <v>1</v>
      </c>
    </row>
    <row r="339" spans="2:3">
      <c r="B339" s="76"/>
    </row>
    <row r="340" spans="2:3">
      <c r="B340" s="108" t="s">
        <v>707</v>
      </c>
    </row>
    <row r="341" spans="2:3">
      <c r="B341" s="76"/>
    </row>
    <row r="342" spans="2:3">
      <c r="B342" s="8" t="str">
        <f>Data_selected_by_user_testing!C138</f>
        <v>New to state-funded sector</v>
      </c>
      <c r="C342" s="652">
        <f>Data_selected_by_user_testing!D138</f>
        <v>0.14759014262490319</v>
      </c>
    </row>
    <row r="343" spans="2:3">
      <c r="B343" s="8" t="str">
        <f>Data_selected_by_user_testing!C139</f>
        <v>Re-entrants</v>
      </c>
      <c r="C343" s="652">
        <f>Data_selected_by_user_testing!D139</f>
        <v>0.35016108614476826</v>
      </c>
    </row>
    <row r="344" spans="2:3">
      <c r="B344" s="8" t="str">
        <f>Data_selected_by_user_testing!C140</f>
        <v>NQTs</v>
      </c>
      <c r="C344" s="652">
        <f>Data_selected_by_user_testing!D140</f>
        <v>0.50224877123032852</v>
      </c>
    </row>
    <row r="345" spans="2:3">
      <c r="B345" s="8" t="str">
        <f>Data_selected_by_user_testing!C141</f>
        <v>Total</v>
      </c>
      <c r="C345" s="652">
        <f>Data_selected_by_user_testing!D141</f>
        <v>1</v>
      </c>
    </row>
    <row r="346" spans="2:3">
      <c r="B346" s="76"/>
    </row>
    <row r="347" spans="2:3">
      <c r="B347" s="76" t="s">
        <v>768</v>
      </c>
    </row>
    <row r="348" spans="2:3">
      <c r="B348" s="76"/>
    </row>
    <row r="349" spans="2:3" ht="25.5">
      <c r="B349" s="141" t="str">
        <f>RAW_DATA_INPUTS!B423</f>
        <v>Phase</v>
      </c>
      <c r="C349" s="77" t="str">
        <f>RAW_DATA_INPUTS!C423</f>
        <v>Average FTE rate</v>
      </c>
    </row>
    <row r="350" spans="2:3">
      <c r="B350" s="8" t="str">
        <f>RAW_DATA_INPUTS!B424</f>
        <v xml:space="preserve">Primary </v>
      </c>
      <c r="C350" s="261">
        <f>RAW_DATA_INPUTS!C424</f>
        <v>0.57399999999999995</v>
      </c>
    </row>
    <row r="351" spans="2:3">
      <c r="B351" s="8" t="str">
        <f>RAW_DATA_INPUTS!B425</f>
        <v>Secondary</v>
      </c>
      <c r="C351" s="261">
        <f>RAW_DATA_INPUTS!C425</f>
        <v>0.61799999999999999</v>
      </c>
    </row>
    <row r="352" spans="2:3">
      <c r="B352" s="76"/>
    </row>
    <row r="353" spans="2:3">
      <c r="B353" s="76" t="s">
        <v>763</v>
      </c>
    </row>
    <row r="355" spans="2:3">
      <c r="B355" s="108" t="s">
        <v>35</v>
      </c>
    </row>
    <row r="357" spans="2:3" ht="25.5">
      <c r="B357" s="141" t="str">
        <f>'Calc_PRIM_part-time_entrants'!B46</f>
        <v>Entrant route</v>
      </c>
      <c r="C357" s="152" t="s">
        <v>706</v>
      </c>
    </row>
    <row r="358" spans="2:3">
      <c r="B358" s="141" t="str">
        <f>'Calc_PRIM_part-time_entrants'!B47</f>
        <v>New to state-funded sector</v>
      </c>
      <c r="C358" s="653">
        <f>'Calc_PRIM_part-time_entrants'!G47</f>
        <v>0.13962959375478964</v>
      </c>
    </row>
    <row r="359" spans="2:3">
      <c r="B359" s="141" t="str">
        <f>'Calc_PRIM_part-time_entrants'!B48</f>
        <v>Re-entrants</v>
      </c>
      <c r="C359" s="653">
        <f>'Calc_PRIM_part-time_entrants'!G48</f>
        <v>0.42839110364194799</v>
      </c>
    </row>
    <row r="360" spans="2:3">
      <c r="B360" s="141" t="str">
        <f>'Calc_PRIM_part-time_entrants'!B49</f>
        <v>NQTs</v>
      </c>
      <c r="C360" s="653">
        <f>'Calc_PRIM_part-time_entrants'!G49</f>
        <v>3.2640016481078032E-2</v>
      </c>
    </row>
    <row r="362" spans="2:3">
      <c r="B362" s="108" t="s">
        <v>707</v>
      </c>
    </row>
    <row r="364" spans="2:3" ht="25.5">
      <c r="B364" s="141" t="str">
        <f>B357</f>
        <v>Entrant route</v>
      </c>
      <c r="C364" s="152" t="s">
        <v>706</v>
      </c>
    </row>
    <row r="365" spans="2:3">
      <c r="B365" s="141" t="str">
        <f>B358</f>
        <v>New to state-funded sector</v>
      </c>
      <c r="C365" s="653">
        <f>'Calc_SEC_part-time_entrants'!G47</f>
        <v>0.14577851707120576</v>
      </c>
    </row>
    <row r="366" spans="2:3">
      <c r="B366" s="141" t="str">
        <f>B359</f>
        <v>Re-entrants</v>
      </c>
      <c r="C366" s="653">
        <f>'Calc_SEC_part-time_entrants'!G48</f>
        <v>0.29373104090513613</v>
      </c>
    </row>
    <row r="367" spans="2:3">
      <c r="B367" s="141" t="str">
        <f>B360</f>
        <v>NQTs</v>
      </c>
      <c r="C367" s="653">
        <f>'Calc_SEC_part-time_entrants'!G49</f>
        <v>3.8663210494639715E-2</v>
      </c>
    </row>
    <row r="369" spans="2:3">
      <c r="B369" s="76" t="s">
        <v>764</v>
      </c>
    </row>
    <row r="371" spans="2:3" ht="25.5">
      <c r="B371" s="141" t="s">
        <v>62</v>
      </c>
      <c r="C371" s="152" t="s">
        <v>705</v>
      </c>
    </row>
    <row r="372" spans="2:3">
      <c r="B372" s="8" t="str">
        <f>RAW_DATA_INPUTS!B478</f>
        <v>Art &amp; Design</v>
      </c>
      <c r="C372" s="652">
        <f>RAW_DATA_INPUTS!C509</f>
        <v>0.84955112611115624</v>
      </c>
    </row>
    <row r="373" spans="2:3">
      <c r="B373" s="8" t="str">
        <f>RAW_DATA_INPUTS!B479</f>
        <v>Biology</v>
      </c>
      <c r="C373" s="652">
        <f>RAW_DATA_INPUTS!C510</f>
        <v>0.81823358574382632</v>
      </c>
    </row>
    <row r="374" spans="2:3">
      <c r="B374" s="8" t="str">
        <f>RAW_DATA_INPUTS!B480</f>
        <v>Business Studies</v>
      </c>
      <c r="C374" s="652">
        <f>RAW_DATA_INPUTS!C511</f>
        <v>0.77100312492473477</v>
      </c>
    </row>
    <row r="375" spans="2:3">
      <c r="B375" s="8" t="str">
        <f>RAW_DATA_INPUTS!B481</f>
        <v>Chemistry</v>
      </c>
      <c r="C375" s="652">
        <f>RAW_DATA_INPUTS!C512</f>
        <v>0.85280215449592478</v>
      </c>
    </row>
    <row r="376" spans="2:3">
      <c r="B376" s="8" t="str">
        <f>RAW_DATA_INPUTS!B482</f>
        <v>Classics</v>
      </c>
      <c r="C376" s="652">
        <f>RAW_DATA_INPUTS!C513</f>
        <v>0.77100312492473477</v>
      </c>
    </row>
    <row r="377" spans="2:3">
      <c r="B377" s="8" t="str">
        <f>RAW_DATA_INPUTS!B483</f>
        <v>Computing</v>
      </c>
      <c r="C377" s="652">
        <f>RAW_DATA_INPUTS!C514</f>
        <v>0.82616744366744377</v>
      </c>
    </row>
    <row r="378" spans="2:3">
      <c r="B378" s="8" t="str">
        <f>RAW_DATA_INPUTS!B484</f>
        <v>Design &amp; Technology</v>
      </c>
      <c r="C378" s="652">
        <f>RAW_DATA_INPUTS!C515</f>
        <v>0.77100312492473477</v>
      </c>
    </row>
    <row r="379" spans="2:3">
      <c r="B379" s="8" t="str">
        <f>RAW_DATA_INPUTS!B485</f>
        <v>Drama</v>
      </c>
      <c r="C379" s="652">
        <f>RAW_DATA_INPUTS!C516</f>
        <v>0.77100312492473477</v>
      </c>
    </row>
    <row r="380" spans="2:3">
      <c r="B380" s="8" t="str">
        <f>RAW_DATA_INPUTS!B486</f>
        <v>English</v>
      </c>
      <c r="C380" s="652">
        <f>RAW_DATA_INPUTS!C517</f>
        <v>0.86361339316051755</v>
      </c>
    </row>
    <row r="381" spans="2:3">
      <c r="B381" s="8" t="s">
        <v>396</v>
      </c>
      <c r="C381" s="652">
        <f>RAW_DATA_INPUTS!C518</f>
        <v>0.77100312492473477</v>
      </c>
    </row>
    <row r="382" spans="2:3">
      <c r="B382" s="8" t="str">
        <f>RAW_DATA_INPUTS!B488</f>
        <v>Geography</v>
      </c>
      <c r="C382" s="652">
        <f>RAW_DATA_INPUTS!C519</f>
        <v>0.83697915796159184</v>
      </c>
    </row>
    <row r="383" spans="2:3">
      <c r="B383" s="8" t="str">
        <f>RAW_DATA_INPUTS!B489</f>
        <v>History</v>
      </c>
      <c r="C383" s="652">
        <f>RAW_DATA_INPUTS!C520</f>
        <v>0.84466209312509122</v>
      </c>
    </row>
    <row r="384" spans="2:3">
      <c r="B384" s="8" t="str">
        <f>RAW_DATA_INPUTS!B490</f>
        <v>Mathematics</v>
      </c>
      <c r="C384" s="652">
        <f>RAW_DATA_INPUTS!C521</f>
        <v>0.86691893505666273</v>
      </c>
    </row>
    <row r="385" spans="2:3">
      <c r="B385" s="8" t="str">
        <f>RAW_DATA_INPUTS!B491</f>
        <v>Modern Foreign Languages</v>
      </c>
      <c r="C385" s="652">
        <f>RAW_DATA_INPUTS!C522</f>
        <v>0.93442112589390902</v>
      </c>
    </row>
    <row r="386" spans="2:3">
      <c r="B386" s="8" t="str">
        <f>RAW_DATA_INPUTS!B492</f>
        <v>Music</v>
      </c>
      <c r="C386" s="652">
        <f>RAW_DATA_INPUTS!C523</f>
        <v>0.97100312492473473</v>
      </c>
    </row>
    <row r="387" spans="2:3">
      <c r="B387" s="8" t="str">
        <f>RAW_DATA_INPUTS!B493</f>
        <v>Others</v>
      </c>
      <c r="C387" s="652">
        <f>RAW_DATA_INPUTS!C524</f>
        <v>0.96840909090909089</v>
      </c>
    </row>
    <row r="388" spans="2:3">
      <c r="B388" s="8" t="str">
        <f>RAW_DATA_INPUTS!B494</f>
        <v>Physical Education</v>
      </c>
      <c r="C388" s="652">
        <f>RAW_DATA_INPUTS!C525</f>
        <v>0.89730125697841567</v>
      </c>
    </row>
    <row r="389" spans="2:3">
      <c r="B389" s="8" t="str">
        <f>RAW_DATA_INPUTS!B495</f>
        <v>Physics</v>
      </c>
      <c r="C389" s="652">
        <f>RAW_DATA_INPUTS!C526</f>
        <v>0.82333333333333336</v>
      </c>
    </row>
    <row r="390" spans="2:3">
      <c r="B390" s="8" t="str">
        <f>RAW_DATA_INPUTS!B496</f>
        <v>Primary</v>
      </c>
      <c r="C390" s="652">
        <f>RAW_DATA_INPUTS!C527</f>
        <v>0.8744427531662271</v>
      </c>
    </row>
    <row r="391" spans="2:3">
      <c r="B391" s="8" t="str">
        <f>RAW_DATA_INPUTS!B497</f>
        <v>Religious Education</v>
      </c>
      <c r="C391" s="652">
        <f>RAW_DATA_INPUTS!C528</f>
        <v>0.84087359943977591</v>
      </c>
    </row>
    <row r="393" spans="2:3">
      <c r="B393" s="76" t="s">
        <v>765</v>
      </c>
    </row>
    <row r="395" spans="2:3" ht="89.25">
      <c r="B395" s="141" t="str">
        <f t="shared" ref="B395:B415" si="10">B371</f>
        <v>Subject</v>
      </c>
      <c r="C395" s="152" t="s">
        <v>704</v>
      </c>
    </row>
    <row r="396" spans="2:3">
      <c r="B396" s="141" t="str">
        <f t="shared" si="10"/>
        <v>Art &amp; Design</v>
      </c>
      <c r="C396" s="652">
        <f>RAW_DATA_INPUTS!C478</f>
        <v>0.81967929652140181</v>
      </c>
    </row>
    <row r="397" spans="2:3">
      <c r="B397" s="141" t="str">
        <f t="shared" si="10"/>
        <v>Biology</v>
      </c>
      <c r="C397" s="652">
        <f>RAW_DATA_INPUTS!C479</f>
        <v>0.77418277297578086</v>
      </c>
    </row>
    <row r="398" spans="2:3">
      <c r="B398" s="141" t="str">
        <f t="shared" si="10"/>
        <v>Business Studies</v>
      </c>
      <c r="C398" s="652">
        <f>RAW_DATA_INPUTS!C480</f>
        <v>0.7018035937417032</v>
      </c>
    </row>
    <row r="399" spans="2:3">
      <c r="B399" s="141" t="str">
        <f t="shared" si="10"/>
        <v>Chemistry</v>
      </c>
      <c r="C399" s="652">
        <f>RAW_DATA_INPUTS!C481</f>
        <v>0.76362813176174793</v>
      </c>
    </row>
    <row r="400" spans="2:3">
      <c r="B400" s="141" t="str">
        <f t="shared" si="10"/>
        <v>Classics</v>
      </c>
      <c r="C400" s="652">
        <f>RAW_DATA_INPUTS!C482</f>
        <v>0.7018035937417032</v>
      </c>
    </row>
    <row r="401" spans="2:3">
      <c r="B401" s="141" t="str">
        <f t="shared" si="10"/>
        <v>Computing</v>
      </c>
      <c r="C401" s="652">
        <f>RAW_DATA_INPUTS!C483</f>
        <v>0.71621124010954529</v>
      </c>
    </row>
    <row r="402" spans="2:3">
      <c r="B402" s="141" t="str">
        <f t="shared" si="10"/>
        <v>Design &amp; Technology</v>
      </c>
      <c r="C402" s="652">
        <f>RAW_DATA_INPUTS!C484</f>
        <v>0.73987837168102821</v>
      </c>
    </row>
    <row r="403" spans="2:3">
      <c r="B403" s="141" t="str">
        <f t="shared" si="10"/>
        <v>Drama</v>
      </c>
      <c r="C403" s="652">
        <f>RAW_DATA_INPUTS!C485</f>
        <v>0.7018035937417032</v>
      </c>
    </row>
    <row r="404" spans="2:3">
      <c r="B404" s="141" t="str">
        <f t="shared" si="10"/>
        <v>English</v>
      </c>
      <c r="C404" s="652">
        <f>RAW_DATA_INPUTS!C486</f>
        <v>0.85247941912230762</v>
      </c>
    </row>
    <row r="405" spans="2:3">
      <c r="B405" s="141" t="str">
        <f t="shared" si="10"/>
        <v>Food</v>
      </c>
      <c r="C405" s="652">
        <f>RAW_DATA_INPUTS!C487</f>
        <v>0.7018035937417032</v>
      </c>
    </row>
    <row r="406" spans="2:3">
      <c r="B406" s="141" t="str">
        <f t="shared" si="10"/>
        <v>Geography</v>
      </c>
      <c r="C406" s="652">
        <f>RAW_DATA_INPUTS!C488</f>
        <v>0.81143624116313195</v>
      </c>
    </row>
    <row r="407" spans="2:3">
      <c r="B407" s="141" t="str">
        <f t="shared" si="10"/>
        <v>History</v>
      </c>
      <c r="C407" s="652">
        <f>RAW_DATA_INPUTS!C489</f>
        <v>0.8803475751301838</v>
      </c>
    </row>
    <row r="408" spans="2:3">
      <c r="B408" s="141" t="str">
        <f t="shared" si="10"/>
        <v>Mathematics</v>
      </c>
      <c r="C408" s="652">
        <f>RAW_DATA_INPUTS!C490</f>
        <v>0.82632651234210708</v>
      </c>
    </row>
    <row r="409" spans="2:3">
      <c r="B409" s="141" t="str">
        <f t="shared" si="10"/>
        <v>Modern Foreign Languages</v>
      </c>
      <c r="C409" s="652">
        <f>RAW_DATA_INPUTS!C491</f>
        <v>0.82621782631181129</v>
      </c>
    </row>
    <row r="410" spans="2:3">
      <c r="B410" s="141" t="str">
        <f t="shared" si="10"/>
        <v>Music</v>
      </c>
      <c r="C410" s="652">
        <f>RAW_DATA_INPUTS!C492</f>
        <v>0.85666666666666669</v>
      </c>
    </row>
    <row r="411" spans="2:3">
      <c r="B411" s="141" t="str">
        <f t="shared" si="10"/>
        <v>Others</v>
      </c>
      <c r="C411" s="652">
        <f>RAW_DATA_INPUTS!C493</f>
        <v>0.90180359374170316</v>
      </c>
    </row>
    <row r="412" spans="2:3">
      <c r="B412" s="141" t="str">
        <f t="shared" si="10"/>
        <v>Physical Education</v>
      </c>
      <c r="C412" s="652">
        <f>RAW_DATA_INPUTS!C494</f>
        <v>0.74404661295893915</v>
      </c>
    </row>
    <row r="413" spans="2:3">
      <c r="B413" s="141" t="str">
        <f t="shared" si="10"/>
        <v>Physics</v>
      </c>
      <c r="C413" s="652">
        <f>RAW_DATA_INPUTS!C495</f>
        <v>0.70571428571428574</v>
      </c>
    </row>
    <row r="414" spans="2:3">
      <c r="B414" s="141" t="str">
        <f t="shared" si="10"/>
        <v>Primary</v>
      </c>
      <c r="C414" s="652">
        <f>RAW_DATA_INPUTS!C496</f>
        <v>0.80550277030709261</v>
      </c>
    </row>
    <row r="415" spans="2:3">
      <c r="B415" s="141" t="str">
        <f t="shared" si="10"/>
        <v>Religious Education</v>
      </c>
      <c r="C415" s="652">
        <f>RAW_DATA_INPUTS!C497</f>
        <v>0.81897804795677143</v>
      </c>
    </row>
  </sheetData>
  <mergeCells count="1">
    <mergeCell ref="A5:O5"/>
  </mergeCells>
  <hyperlinks>
    <hyperlink ref="A2" location="'Title_&amp;_Contents'!A1" display="Contents"/>
    <hyperlink ref="B2" location="Map_of_sheets!A1" display="Map of sheets"/>
  </hyperlinks>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FFF00"/>
  </sheetPr>
  <dimension ref="A1:AD64"/>
  <sheetViews>
    <sheetView showGridLines="0" workbookViewId="0"/>
  </sheetViews>
  <sheetFormatPr defaultColWidth="9.140625" defaultRowHeight="12.75"/>
  <cols>
    <col min="1" max="1" width="9.140625" style="309"/>
    <col min="2" max="2" width="43.7109375" style="309" customWidth="1"/>
    <col min="3" max="14" width="9.7109375" style="309" customWidth="1"/>
    <col min="15" max="15" width="9.140625" style="309"/>
    <col min="16" max="16" width="13.5703125" style="309" customWidth="1"/>
    <col min="17" max="17" width="20.7109375" style="309" bestFit="1" customWidth="1"/>
    <col min="18" max="16384" width="9.140625" style="309"/>
  </cols>
  <sheetData>
    <row r="1" spans="1:30" s="344" customFormat="1" ht="15">
      <c r="A1" s="343" t="str">
        <f>ModelBanner</f>
        <v>TSM_201718 for publication</v>
      </c>
    </row>
    <row r="2" spans="1:30" s="344" customFormat="1" ht="15">
      <c r="A2" s="1003" t="s">
        <v>13</v>
      </c>
      <c r="B2" s="1003" t="s">
        <v>30</v>
      </c>
    </row>
    <row r="3" spans="1:30" s="344" customFormat="1" ht="15">
      <c r="A3" s="345"/>
    </row>
    <row r="4" spans="1:30" s="348" customFormat="1">
      <c r="A4" s="346" t="s">
        <v>26</v>
      </c>
      <c r="B4" s="346"/>
      <c r="C4" s="346"/>
      <c r="D4" s="346"/>
      <c r="E4" s="347"/>
      <c r="F4" s="751"/>
      <c r="G4" s="346"/>
      <c r="H4" s="346"/>
      <c r="I4" s="346"/>
      <c r="J4" s="346"/>
      <c r="K4" s="346"/>
      <c r="L4" s="346"/>
    </row>
    <row r="5" spans="1:30" s="350" customFormat="1">
      <c r="A5" s="1262" t="s">
        <v>267</v>
      </c>
      <c r="B5" s="1262"/>
      <c r="C5" s="1262"/>
      <c r="D5" s="1262"/>
      <c r="E5" s="1262"/>
      <c r="F5" s="1262"/>
      <c r="G5" s="1262"/>
      <c r="H5" s="1262"/>
      <c r="I5" s="1262"/>
      <c r="J5" s="1262"/>
      <c r="K5" s="1262"/>
      <c r="L5" s="1262"/>
      <c r="M5" s="349"/>
      <c r="N5" s="349"/>
      <c r="O5" s="349"/>
      <c r="P5" s="349"/>
      <c r="Q5" s="349"/>
    </row>
    <row r="6" spans="1:30" s="354" customFormat="1">
      <c r="A6" s="351" t="s">
        <v>1420</v>
      </c>
      <c r="B6" s="352"/>
      <c r="C6" s="352"/>
      <c r="D6" s="352"/>
      <c r="E6" s="347"/>
      <c r="F6" s="352"/>
      <c r="G6" s="352"/>
      <c r="H6" s="352"/>
      <c r="I6" s="352"/>
      <c r="J6" s="352"/>
      <c r="K6" s="352"/>
      <c r="L6" s="352"/>
      <c r="M6" s="353"/>
      <c r="N6" s="353"/>
      <c r="O6" s="353"/>
      <c r="P6" s="353"/>
      <c r="Q6" s="353"/>
    </row>
    <row r="7" spans="1:30" s="354" customFormat="1">
      <c r="A7" s="355" t="s">
        <v>348</v>
      </c>
      <c r="B7" s="351"/>
      <c r="C7" s="352"/>
      <c r="D7" s="352"/>
      <c r="E7" s="347"/>
      <c r="F7" s="752"/>
      <c r="G7" s="352"/>
      <c r="H7" s="352"/>
      <c r="I7" s="352"/>
      <c r="J7" s="352"/>
      <c r="K7" s="352"/>
      <c r="L7" s="352"/>
      <c r="M7" s="353"/>
      <c r="N7" s="353"/>
      <c r="O7" s="353"/>
      <c r="P7" s="353"/>
      <c r="Q7" s="353"/>
    </row>
    <row r="8" spans="1:30" s="354" customFormat="1">
      <c r="A8" s="351" t="s">
        <v>24</v>
      </c>
      <c r="B8" s="352"/>
      <c r="C8" s="352"/>
      <c r="D8" s="352"/>
      <c r="E8" s="347"/>
      <c r="F8" s="352"/>
      <c r="G8" s="352"/>
      <c r="H8" s="352"/>
      <c r="I8" s="352"/>
      <c r="J8" s="352"/>
      <c r="K8" s="352"/>
      <c r="L8" s="352"/>
      <c r="M8" s="353"/>
      <c r="N8" s="353"/>
      <c r="O8" s="353"/>
      <c r="P8" s="353"/>
      <c r="Q8" s="353"/>
    </row>
    <row r="9" spans="1:30" s="362" customFormat="1" ht="13.5" customHeight="1">
      <c r="A9" s="356" t="s">
        <v>119</v>
      </c>
      <c r="B9" s="357"/>
      <c r="C9" s="568"/>
      <c r="D9" s="376"/>
      <c r="E9" s="376"/>
      <c r="F9" s="376"/>
      <c r="G9" s="360"/>
      <c r="H9" s="376"/>
      <c r="I9" s="376"/>
      <c r="J9" s="360"/>
      <c r="K9" s="377"/>
      <c r="L9" s="377"/>
      <c r="M9" s="361"/>
      <c r="N9" s="361"/>
      <c r="O9" s="361"/>
      <c r="P9" s="361"/>
      <c r="Q9" s="361"/>
    </row>
    <row r="10" spans="1:30">
      <c r="H10" s="6"/>
    </row>
    <row r="11" spans="1:30">
      <c r="B11" s="341" t="s">
        <v>175</v>
      </c>
      <c r="P11" s="372"/>
      <c r="Q11" s="372"/>
      <c r="R11" s="372"/>
      <c r="S11" s="372"/>
      <c r="T11" s="372"/>
      <c r="U11" s="372"/>
      <c r="V11" s="372"/>
      <c r="W11" s="372"/>
      <c r="X11" s="372"/>
      <c r="Y11" s="372"/>
      <c r="Z11" s="372"/>
      <c r="AA11" s="372"/>
      <c r="AB11" s="372"/>
      <c r="AC11" s="372"/>
      <c r="AD11" s="372"/>
    </row>
    <row r="12" spans="1:30">
      <c r="P12" s="372"/>
      <c r="Q12" s="372"/>
      <c r="R12" s="372"/>
      <c r="S12" s="372"/>
      <c r="T12" s="372"/>
      <c r="U12" s="372"/>
      <c r="V12" s="372"/>
      <c r="W12" s="372"/>
      <c r="X12" s="372"/>
      <c r="Y12" s="372"/>
      <c r="Z12" s="372"/>
      <c r="AA12" s="372"/>
      <c r="AB12" s="372"/>
      <c r="AC12" s="372"/>
      <c r="AD12" s="372"/>
    </row>
    <row r="13" spans="1:30">
      <c r="B13" s="326" t="str">
        <f>Forecast_stock_figures!B14</f>
        <v>Phase/subject</v>
      </c>
      <c r="C13" s="326" t="str">
        <f>Forecast_stock_figures!C14</f>
        <v>2016/17</v>
      </c>
      <c r="D13" s="326" t="str">
        <f>Forecast_stock_figures!D14</f>
        <v>2017/18</v>
      </c>
      <c r="E13" s="326" t="str">
        <f>Forecast_stock_figures!E14</f>
        <v>2018/19</v>
      </c>
      <c r="F13" s="326" t="str">
        <f>Forecast_stock_figures!F14</f>
        <v>2019/20</v>
      </c>
      <c r="G13" s="326" t="str">
        <f>Forecast_stock_figures!G14</f>
        <v>2020/21</v>
      </c>
      <c r="H13" s="326" t="str">
        <f>Forecast_stock_figures!H14</f>
        <v>2021/22</v>
      </c>
      <c r="I13" s="326" t="str">
        <f>Forecast_stock_figures!I14</f>
        <v>2022/23</v>
      </c>
      <c r="J13" s="326" t="str">
        <f>Forecast_stock_figures!J14</f>
        <v>2023/24</v>
      </c>
      <c r="K13" s="326" t="str">
        <f>Forecast_stock_figures!K14</f>
        <v>2024/25</v>
      </c>
      <c r="L13" s="326" t="str">
        <f>Forecast_stock_figures!L14</f>
        <v>2025/26</v>
      </c>
      <c r="M13" s="326" t="str">
        <f>Forecast_stock_figures!M14</f>
        <v>2026/27</v>
      </c>
      <c r="N13" s="326" t="str">
        <f>Forecast_stock_figures!N14</f>
        <v>2027/28</v>
      </c>
      <c r="P13" s="374"/>
      <c r="Q13" s="374"/>
      <c r="R13" s="374"/>
      <c r="S13" s="374"/>
      <c r="T13" s="374"/>
      <c r="U13" s="374"/>
      <c r="V13" s="374"/>
      <c r="W13" s="374"/>
      <c r="X13" s="374"/>
      <c r="Y13" s="374"/>
      <c r="Z13" s="374"/>
      <c r="AA13" s="374"/>
      <c r="AB13" s="374"/>
      <c r="AC13" s="372"/>
      <c r="AD13" s="372"/>
    </row>
    <row r="14" spans="1:30">
      <c r="A14" s="378"/>
      <c r="B14" s="379" t="s">
        <v>486</v>
      </c>
      <c r="C14" s="324">
        <f>Forecast_stock_figures!C15</f>
        <v>242289.97801032916</v>
      </c>
      <c r="D14" s="324">
        <f>Forecast_stock_figures!D15</f>
        <v>243816.50498787969</v>
      </c>
      <c r="E14" s="324">
        <f>Forecast_stock_figures!E15</f>
        <v>244473.00051685341</v>
      </c>
      <c r="F14" s="324">
        <f>Forecast_stock_figures!F15</f>
        <v>244493.08548462985</v>
      </c>
      <c r="G14" s="324">
        <f>Forecast_stock_figures!G15</f>
        <v>244756.56223781532</v>
      </c>
      <c r="H14" s="324">
        <f>Forecast_stock_figures!H15</f>
        <v>244837.80568339408</v>
      </c>
      <c r="I14" s="324">
        <f>Forecast_stock_figures!I15</f>
        <v>244626.1931197551</v>
      </c>
      <c r="J14" s="324">
        <f>Forecast_stock_figures!J15</f>
        <v>244233.40708441578</v>
      </c>
      <c r="K14" s="324">
        <f>Forecast_stock_figures!K15</f>
        <v>244470.60548841688</v>
      </c>
      <c r="L14" s="324">
        <f>Forecast_stock_figures!L15</f>
        <v>245157.17144903576</v>
      </c>
      <c r="M14" s="324">
        <f>Forecast_stock_figures!M15</f>
        <v>245898.02721211434</v>
      </c>
      <c r="N14" s="324">
        <f>Forecast_stock_figures!N15</f>
        <v>246453.8722658148</v>
      </c>
      <c r="P14" s="374"/>
      <c r="Q14" s="374"/>
      <c r="R14" s="374"/>
      <c r="S14" s="374"/>
      <c r="T14" s="374"/>
      <c r="U14" s="374"/>
      <c r="V14" s="374"/>
      <c r="W14" s="374"/>
      <c r="X14" s="374"/>
      <c r="Y14" s="374"/>
      <c r="Z14" s="374"/>
      <c r="AA14" s="374"/>
      <c r="AB14" s="374"/>
      <c r="AC14" s="372"/>
      <c r="AD14" s="513"/>
    </row>
    <row r="15" spans="1:30">
      <c r="A15" s="378"/>
      <c r="B15" s="379" t="s">
        <v>607</v>
      </c>
      <c r="C15" s="324">
        <f>Forecast_stock_figures!C16</f>
        <v>8310.5880067254166</v>
      </c>
      <c r="D15" s="324">
        <f>Forecast_stock_figures!D16</f>
        <v>8341.9492808008581</v>
      </c>
      <c r="E15" s="324">
        <f>Forecast_stock_figures!E16</f>
        <v>8263.3569449253591</v>
      </c>
      <c r="F15" s="324">
        <f>Forecast_stock_figures!F16</f>
        <v>8200.1412123163773</v>
      </c>
      <c r="G15" s="324">
        <f>Forecast_stock_figures!G16</f>
        <v>8247.0972917838062</v>
      </c>
      <c r="H15" s="324">
        <f>Forecast_stock_figures!H16</f>
        <v>8308.7412098493205</v>
      </c>
      <c r="I15" s="324">
        <f>Forecast_stock_figures!I16</f>
        <v>8371.7661985209452</v>
      </c>
      <c r="J15" s="324">
        <f>Forecast_stock_figures!J16</f>
        <v>8443.8747079762379</v>
      </c>
      <c r="K15" s="324">
        <f>Forecast_stock_figures!K16</f>
        <v>8473.5651607866948</v>
      </c>
      <c r="L15" s="324">
        <f>Forecast_stock_figures!L16</f>
        <v>8465.4356425603892</v>
      </c>
      <c r="M15" s="324">
        <f>Forecast_stock_figures!M16</f>
        <v>8441.2110439638218</v>
      </c>
      <c r="N15" s="324">
        <f>Forecast_stock_figures!N16</f>
        <v>8440.59254846978</v>
      </c>
      <c r="P15" s="374"/>
      <c r="Q15" s="374"/>
      <c r="R15" s="374"/>
      <c r="S15" s="374"/>
      <c r="T15" s="374"/>
      <c r="U15" s="374"/>
      <c r="V15" s="374"/>
      <c r="W15" s="374"/>
      <c r="X15" s="374"/>
      <c r="Y15" s="374"/>
      <c r="Z15" s="374"/>
      <c r="AA15" s="374"/>
      <c r="AB15" s="374"/>
      <c r="AC15" s="372"/>
      <c r="AD15" s="513"/>
    </row>
    <row r="16" spans="1:30">
      <c r="A16" s="378"/>
      <c r="B16" s="379" t="s">
        <v>487</v>
      </c>
      <c r="C16" s="324">
        <f>Forecast_stock_figures!C17</f>
        <v>12786.987412851919</v>
      </c>
      <c r="D16" s="324">
        <f>Forecast_stock_figures!D17</f>
        <v>12855.738513404587</v>
      </c>
      <c r="E16" s="324">
        <f>Forecast_stock_figures!E17</f>
        <v>12998.316050469002</v>
      </c>
      <c r="F16" s="324">
        <f>Forecast_stock_figures!F17</f>
        <v>13138.105245734181</v>
      </c>
      <c r="G16" s="324">
        <f>Forecast_stock_figures!G17</f>
        <v>13246.541294911551</v>
      </c>
      <c r="H16" s="324">
        <f>Forecast_stock_figures!H17</f>
        <v>13373.709515062588</v>
      </c>
      <c r="I16" s="324">
        <f>Forecast_stock_figures!I17</f>
        <v>13528.547619574107</v>
      </c>
      <c r="J16" s="324">
        <f>Forecast_stock_figures!J17</f>
        <v>13635.027100789352</v>
      </c>
      <c r="K16" s="324">
        <f>Forecast_stock_figures!K17</f>
        <v>13684.461372087695</v>
      </c>
      <c r="L16" s="324">
        <f>Forecast_stock_figures!L17</f>
        <v>13743.463089448744</v>
      </c>
      <c r="M16" s="324">
        <f>Forecast_stock_figures!M17</f>
        <v>13784.393459502542</v>
      </c>
      <c r="N16" s="324">
        <f>Forecast_stock_figures!N17</f>
        <v>13763.711607784684</v>
      </c>
      <c r="P16" s="374"/>
      <c r="Q16" s="374"/>
      <c r="R16" s="374"/>
      <c r="S16" s="374"/>
      <c r="T16" s="374"/>
      <c r="U16" s="374"/>
      <c r="V16" s="374"/>
      <c r="W16" s="374"/>
      <c r="X16" s="374"/>
      <c r="Y16" s="374"/>
      <c r="Z16" s="374"/>
      <c r="AA16" s="374"/>
      <c r="AB16" s="374"/>
      <c r="AC16" s="372"/>
      <c r="AD16" s="513"/>
    </row>
    <row r="17" spans="1:30">
      <c r="A17" s="378"/>
      <c r="B17" s="379" t="s">
        <v>550</v>
      </c>
      <c r="C17" s="324">
        <f>Forecast_stock_figures!C18</f>
        <v>4112.7854114647489</v>
      </c>
      <c r="D17" s="324">
        <f>Forecast_stock_figures!D18</f>
        <v>4055.1181721093221</v>
      </c>
      <c r="E17" s="324">
        <f>Forecast_stock_figures!E18</f>
        <v>3888.3058629551306</v>
      </c>
      <c r="F17" s="324">
        <f>Forecast_stock_figures!F18</f>
        <v>3726.3896860129285</v>
      </c>
      <c r="G17" s="324">
        <f>Forecast_stock_figures!G18</f>
        <v>3700.1602214135623</v>
      </c>
      <c r="H17" s="324">
        <f>Forecast_stock_figures!H18</f>
        <v>3732.113720085189</v>
      </c>
      <c r="I17" s="324">
        <f>Forecast_stock_figures!I18</f>
        <v>3795.6822886090704</v>
      </c>
      <c r="J17" s="324">
        <f>Forecast_stock_figures!J18</f>
        <v>3839.0570157411021</v>
      </c>
      <c r="K17" s="324">
        <f>Forecast_stock_figures!K18</f>
        <v>3892.0307178782004</v>
      </c>
      <c r="L17" s="324">
        <f>Forecast_stock_figures!L18</f>
        <v>3954.0926367676466</v>
      </c>
      <c r="M17" s="324">
        <f>Forecast_stock_figures!M18</f>
        <v>4012.9661119373727</v>
      </c>
      <c r="N17" s="324">
        <f>Forecast_stock_figures!N18</f>
        <v>4038.2663451950598</v>
      </c>
      <c r="P17" s="374"/>
      <c r="Q17" s="374"/>
      <c r="R17" s="374"/>
      <c r="S17" s="374"/>
      <c r="T17" s="374"/>
      <c r="U17" s="374"/>
      <c r="V17" s="374"/>
      <c r="W17" s="374"/>
      <c r="X17" s="374"/>
      <c r="Y17" s="374"/>
      <c r="Z17" s="374"/>
      <c r="AA17" s="374"/>
      <c r="AB17" s="374"/>
      <c r="AC17" s="372"/>
      <c r="AD17" s="372"/>
    </row>
    <row r="18" spans="1:30">
      <c r="A18" s="378"/>
      <c r="B18" s="379" t="s">
        <v>488</v>
      </c>
      <c r="C18" s="324">
        <f>Forecast_stock_figures!C19</f>
        <v>11068.508981061603</v>
      </c>
      <c r="D18" s="324">
        <f>Forecast_stock_figures!D19</f>
        <v>11129.85258610651</v>
      </c>
      <c r="E18" s="324">
        <f>Forecast_stock_figures!E19</f>
        <v>11260.285419513875</v>
      </c>
      <c r="F18" s="324">
        <f>Forecast_stock_figures!F19</f>
        <v>11383.268474585764</v>
      </c>
      <c r="G18" s="324">
        <f>Forecast_stock_figures!G19</f>
        <v>11478.037676404865</v>
      </c>
      <c r="H18" s="324">
        <f>Forecast_stock_figures!H19</f>
        <v>11591.815611587474</v>
      </c>
      <c r="I18" s="324">
        <f>Forecast_stock_figures!I19</f>
        <v>11731.989151799509</v>
      </c>
      <c r="J18" s="324">
        <f>Forecast_stock_figures!J19</f>
        <v>11822.684634785315</v>
      </c>
      <c r="K18" s="324">
        <f>Forecast_stock_figures!K19</f>
        <v>11864.545594307421</v>
      </c>
      <c r="L18" s="324">
        <f>Forecast_stock_figures!L19</f>
        <v>11923.190684157031</v>
      </c>
      <c r="M18" s="324">
        <f>Forecast_stock_figures!M19</f>
        <v>11967.082084944395</v>
      </c>
      <c r="N18" s="324">
        <f>Forecast_stock_figures!N19</f>
        <v>11945.784885887244</v>
      </c>
      <c r="P18" s="374"/>
      <c r="Q18" s="374"/>
      <c r="R18" s="374"/>
      <c r="S18" s="374"/>
      <c r="T18" s="374"/>
      <c r="U18" s="374"/>
      <c r="V18" s="374"/>
      <c r="W18" s="374"/>
      <c r="X18" s="374"/>
      <c r="Y18" s="374"/>
      <c r="Z18" s="374"/>
      <c r="AA18" s="374"/>
      <c r="AB18" s="374"/>
      <c r="AC18" s="372"/>
      <c r="AD18" s="372"/>
    </row>
    <row r="19" spans="1:30">
      <c r="A19" s="378"/>
      <c r="B19" s="379" t="s">
        <v>489</v>
      </c>
      <c r="C19" s="324">
        <f>Forecast_stock_figures!C20</f>
        <v>318.24964480117319</v>
      </c>
      <c r="D19" s="324">
        <f>Forecast_stock_figures!D20</f>
        <v>316.66378192264295</v>
      </c>
      <c r="E19" s="324">
        <f>Forecast_stock_figures!E20</f>
        <v>316.17539575582185</v>
      </c>
      <c r="F19" s="324">
        <f>Forecast_stock_figures!F20</f>
        <v>316.8320077141023</v>
      </c>
      <c r="G19" s="324">
        <f>Forecast_stock_figures!G20</f>
        <v>318.22126343422786</v>
      </c>
      <c r="H19" s="324">
        <f>Forecast_stock_figures!H20</f>
        <v>320.55922029487579</v>
      </c>
      <c r="I19" s="324">
        <f>Forecast_stock_figures!I20</f>
        <v>323.9615218164621</v>
      </c>
      <c r="J19" s="324">
        <f>Forecast_stock_figures!J20</f>
        <v>327.23843536550851</v>
      </c>
      <c r="K19" s="324">
        <f>Forecast_stock_figures!K20</f>
        <v>329.9037008362418</v>
      </c>
      <c r="L19" s="324">
        <f>Forecast_stock_figures!L20</f>
        <v>331.60054560560565</v>
      </c>
      <c r="M19" s="324">
        <f>Forecast_stock_figures!M20</f>
        <v>332.77509243618636</v>
      </c>
      <c r="N19" s="324">
        <f>Forecast_stock_figures!N20</f>
        <v>333.88423337973057</v>
      </c>
      <c r="P19" s="371"/>
      <c r="Q19" s="371"/>
      <c r="R19" s="371"/>
      <c r="S19" s="371"/>
      <c r="T19" s="371"/>
      <c r="U19" s="371"/>
      <c r="V19" s="371"/>
      <c r="W19" s="371"/>
      <c r="X19" s="371"/>
      <c r="Y19" s="371"/>
      <c r="Z19" s="371"/>
      <c r="AA19" s="371"/>
      <c r="AB19" s="371"/>
      <c r="AC19" s="372"/>
      <c r="AD19" s="372"/>
    </row>
    <row r="20" spans="1:30">
      <c r="A20" s="378"/>
      <c r="B20" s="379" t="s">
        <v>490</v>
      </c>
      <c r="C20" s="324">
        <f>Forecast_stock_figures!C21</f>
        <v>7510.2346856737895</v>
      </c>
      <c r="D20" s="324">
        <f>Forecast_stock_figures!D21</f>
        <v>7534.6411432498553</v>
      </c>
      <c r="E20" s="324">
        <f>Forecast_stock_figures!E21</f>
        <v>7318.2295859772075</v>
      </c>
      <c r="F20" s="324">
        <f>Forecast_stock_figures!F21</f>
        <v>7103.8364078234217</v>
      </c>
      <c r="G20" s="324">
        <f>Forecast_stock_figures!G21</f>
        <v>7103.7888064980007</v>
      </c>
      <c r="H20" s="324">
        <f>Forecast_stock_figures!H21</f>
        <v>7160.731983145397</v>
      </c>
      <c r="I20" s="324">
        <f>Forecast_stock_figures!I21</f>
        <v>7223.7313653134643</v>
      </c>
      <c r="J20" s="324">
        <f>Forecast_stock_figures!J21</f>
        <v>7285.2061506055279</v>
      </c>
      <c r="K20" s="324">
        <f>Forecast_stock_figures!K21</f>
        <v>7313.0393557838233</v>
      </c>
      <c r="L20" s="324">
        <f>Forecast_stock_figures!L21</f>
        <v>7318.6843950857137</v>
      </c>
      <c r="M20" s="324">
        <f>Forecast_stock_figures!M21</f>
        <v>7311.6741857708776</v>
      </c>
      <c r="N20" s="324">
        <f>Forecast_stock_figures!N21</f>
        <v>7309.9188689425937</v>
      </c>
      <c r="P20" s="371"/>
      <c r="Q20" s="371"/>
      <c r="R20" s="371"/>
      <c r="S20" s="371"/>
      <c r="T20" s="371"/>
      <c r="U20" s="371"/>
      <c r="V20" s="371"/>
      <c r="W20" s="371"/>
      <c r="X20" s="371"/>
      <c r="Y20" s="371"/>
      <c r="Z20" s="371"/>
      <c r="AA20" s="371"/>
      <c r="AB20" s="371"/>
      <c r="AC20" s="372"/>
      <c r="AD20" s="513"/>
    </row>
    <row r="21" spans="1:30">
      <c r="A21" s="378"/>
      <c r="B21" s="379" t="s">
        <v>608</v>
      </c>
      <c r="C21" s="324">
        <f>Forecast_stock_figures!C22</f>
        <v>10441.074820779617</v>
      </c>
      <c r="D21" s="324">
        <f>Forecast_stock_figures!D22</f>
        <v>10527.780594865922</v>
      </c>
      <c r="E21" s="324">
        <f>Forecast_stock_figures!E22</f>
        <v>10281.479861267137</v>
      </c>
      <c r="F21" s="324">
        <f>Forecast_stock_figures!F22</f>
        <v>10046.130655005754</v>
      </c>
      <c r="G21" s="324">
        <f>Forecast_stock_figures!G22</f>
        <v>10046.550813318294</v>
      </c>
      <c r="H21" s="324">
        <f>Forecast_stock_figures!H22</f>
        <v>10118.934302150517</v>
      </c>
      <c r="I21" s="324">
        <f>Forecast_stock_figures!I22</f>
        <v>10174.289952080673</v>
      </c>
      <c r="J21" s="324">
        <f>Forecast_stock_figures!J22</f>
        <v>10255.565969553618</v>
      </c>
      <c r="K21" s="324">
        <f>Forecast_stock_figures!K22</f>
        <v>10267.945214707341</v>
      </c>
      <c r="L21" s="324">
        <f>Forecast_stock_figures!L22</f>
        <v>10218.290568571876</v>
      </c>
      <c r="M21" s="324">
        <f>Forecast_stock_figures!M22</f>
        <v>10146.573350413757</v>
      </c>
      <c r="N21" s="324">
        <f>Forecast_stock_figures!N22</f>
        <v>10130.573798685271</v>
      </c>
      <c r="P21" s="371"/>
      <c r="Q21" s="371"/>
      <c r="R21" s="371"/>
      <c r="S21" s="371"/>
      <c r="T21" s="371"/>
      <c r="U21" s="371"/>
      <c r="V21" s="371"/>
      <c r="W21" s="371"/>
      <c r="X21" s="371"/>
      <c r="Y21" s="371"/>
      <c r="Z21" s="371"/>
      <c r="AA21" s="371"/>
      <c r="AB21" s="371"/>
      <c r="AC21" s="372"/>
      <c r="AD21" s="513"/>
    </row>
    <row r="22" spans="1:30">
      <c r="A22" s="378"/>
      <c r="B22" s="379" t="s">
        <v>491</v>
      </c>
      <c r="C22" s="324">
        <f>Forecast_stock_figures!C23</f>
        <v>4997.2888230103827</v>
      </c>
      <c r="D22" s="324">
        <f>Forecast_stock_figures!D23</f>
        <v>5025.8114145193067</v>
      </c>
      <c r="E22" s="324">
        <f>Forecast_stock_figures!E23</f>
        <v>5018.1325596308079</v>
      </c>
      <c r="F22" s="324">
        <f>Forecast_stock_figures!F23</f>
        <v>5020.895461785487</v>
      </c>
      <c r="G22" s="324">
        <f>Forecast_stock_figures!G23</f>
        <v>5020.0737628608276</v>
      </c>
      <c r="H22" s="324">
        <f>Forecast_stock_figures!H23</f>
        <v>5057.9063715487991</v>
      </c>
      <c r="I22" s="324">
        <f>Forecast_stock_figures!I23</f>
        <v>5093.6859805130989</v>
      </c>
      <c r="J22" s="324">
        <f>Forecast_stock_figures!J23</f>
        <v>5136.0193195775992</v>
      </c>
      <c r="K22" s="324">
        <f>Forecast_stock_figures!K23</f>
        <v>5149.5011668603438</v>
      </c>
      <c r="L22" s="324">
        <f>Forecast_stock_figures!L23</f>
        <v>5138.9404800018383</v>
      </c>
      <c r="M22" s="324">
        <f>Forecast_stock_figures!M23</f>
        <v>5118.3350388019735</v>
      </c>
      <c r="N22" s="324">
        <f>Forecast_stock_figures!N23</f>
        <v>5114.396654662788</v>
      </c>
      <c r="P22" s="372"/>
      <c r="Q22" s="372"/>
      <c r="R22" s="372"/>
      <c r="S22" s="372"/>
      <c r="T22" s="372"/>
      <c r="U22" s="372"/>
      <c r="V22" s="372"/>
      <c r="W22" s="372"/>
      <c r="X22" s="372"/>
      <c r="Y22" s="372"/>
      <c r="Z22" s="372"/>
      <c r="AA22" s="372"/>
      <c r="AB22" s="372"/>
      <c r="AC22" s="372"/>
      <c r="AD22" s="372"/>
    </row>
    <row r="23" spans="1:30">
      <c r="A23" s="378"/>
      <c r="B23" s="379" t="s">
        <v>492</v>
      </c>
      <c r="C23" s="324">
        <f>Forecast_stock_figures!C24</f>
        <v>30045.430109827248</v>
      </c>
      <c r="D23" s="324">
        <f>Forecast_stock_figures!D24</f>
        <v>30333.400701627972</v>
      </c>
      <c r="E23" s="324">
        <f>Forecast_stock_figures!E24</f>
        <v>30740.580743117873</v>
      </c>
      <c r="F23" s="324">
        <f>Forecast_stock_figures!F24</f>
        <v>31138.164239620182</v>
      </c>
      <c r="G23" s="324">
        <f>Forecast_stock_figures!G24</f>
        <v>31431.480605286102</v>
      </c>
      <c r="H23" s="324">
        <f>Forecast_stock_figures!H24</f>
        <v>31724.957576132929</v>
      </c>
      <c r="I23" s="324">
        <f>Forecast_stock_figures!I24</f>
        <v>32026.858636939469</v>
      </c>
      <c r="J23" s="324">
        <f>Forecast_stock_figures!J24</f>
        <v>32259.412600544802</v>
      </c>
      <c r="K23" s="324">
        <f>Forecast_stock_figures!K24</f>
        <v>32303.914557396369</v>
      </c>
      <c r="L23" s="324">
        <f>Forecast_stock_figures!L24</f>
        <v>32322.338999171592</v>
      </c>
      <c r="M23" s="324">
        <f>Forecast_stock_figures!M24</f>
        <v>32290.376328559087</v>
      </c>
      <c r="N23" s="324">
        <f>Forecast_stock_figures!N24</f>
        <v>32194.629621922984</v>
      </c>
      <c r="P23" s="372"/>
      <c r="Q23" s="372"/>
      <c r="R23" s="372"/>
      <c r="S23" s="372"/>
      <c r="T23" s="372"/>
      <c r="U23" s="372"/>
      <c r="V23" s="372"/>
      <c r="W23" s="372"/>
      <c r="X23" s="372"/>
      <c r="Y23" s="372"/>
      <c r="Z23" s="372"/>
      <c r="AA23" s="372"/>
      <c r="AB23" s="372"/>
      <c r="AC23" s="372"/>
      <c r="AD23" s="372"/>
    </row>
    <row r="24" spans="1:30">
      <c r="A24" s="378"/>
      <c r="B24" s="379" t="s">
        <v>404</v>
      </c>
      <c r="C24" s="324">
        <f>Forecast_stock_figures!C25</f>
        <v>2075.8992087342663</v>
      </c>
      <c r="D24" s="324">
        <f>Forecast_stock_figures!D25</f>
        <v>2088.5494776737537</v>
      </c>
      <c r="E24" s="324">
        <f>Forecast_stock_figures!E25</f>
        <v>2020.5594005340956</v>
      </c>
      <c r="F24" s="324">
        <f>Forecast_stock_figures!F25</f>
        <v>1945.3740580544352</v>
      </c>
      <c r="G24" s="324">
        <f>Forecast_stock_figures!G25</f>
        <v>1944.7047009758676</v>
      </c>
      <c r="H24" s="324">
        <f>Forecast_stock_figures!H25</f>
        <v>1964.7747432789229</v>
      </c>
      <c r="I24" s="324">
        <f>Forecast_stock_figures!I25</f>
        <v>1987.6196856729764</v>
      </c>
      <c r="J24" s="324">
        <f>Forecast_stock_figures!J25</f>
        <v>2001.6146928070627</v>
      </c>
      <c r="K24" s="324">
        <f>Forecast_stock_figures!K25</f>
        <v>2005.2494063786851</v>
      </c>
      <c r="L24" s="324">
        <f>Forecast_stock_figures!L25</f>
        <v>2012.3431150457295</v>
      </c>
      <c r="M24" s="324">
        <f>Forecast_stock_figures!M25</f>
        <v>2016.9028684008081</v>
      </c>
      <c r="N24" s="324">
        <f>Forecast_stock_figures!N25</f>
        <v>2010.1952409179387</v>
      </c>
    </row>
    <row r="25" spans="1:30">
      <c r="A25" s="378"/>
      <c r="B25" s="379" t="s">
        <v>493</v>
      </c>
      <c r="C25" s="324">
        <f>Forecast_stock_figures!C26</f>
        <v>10518.362186302702</v>
      </c>
      <c r="D25" s="324">
        <f>Forecast_stock_figures!D26</f>
        <v>10592.197160123502</v>
      </c>
      <c r="E25" s="324">
        <f>Forecast_stock_figures!E26</f>
        <v>10991.644935793051</v>
      </c>
      <c r="F25" s="324">
        <f>Forecast_stock_figures!F26</f>
        <v>11415.269146232955</v>
      </c>
      <c r="G25" s="324">
        <f>Forecast_stock_figures!G26</f>
        <v>11567.794354132981</v>
      </c>
      <c r="H25" s="324">
        <f>Forecast_stock_figures!H26</f>
        <v>11664.678552531093</v>
      </c>
      <c r="I25" s="324">
        <f>Forecast_stock_figures!I26</f>
        <v>11757.312130654836</v>
      </c>
      <c r="J25" s="324">
        <f>Forecast_stock_figures!J26</f>
        <v>11847.832710968347</v>
      </c>
      <c r="K25" s="324">
        <f>Forecast_stock_figures!K26</f>
        <v>11867.451639056904</v>
      </c>
      <c r="L25" s="324">
        <f>Forecast_stock_figures!L26</f>
        <v>11851.220190458745</v>
      </c>
      <c r="M25" s="324">
        <f>Forecast_stock_figures!M26</f>
        <v>11813.654322341292</v>
      </c>
      <c r="N25" s="324">
        <f>Forecast_stock_figures!N26</f>
        <v>11789.047949016856</v>
      </c>
    </row>
    <row r="26" spans="1:30">
      <c r="A26" s="378"/>
      <c r="B26" s="379" t="s">
        <v>494</v>
      </c>
      <c r="C26" s="324">
        <f>Forecast_stock_figures!C27</f>
        <v>11192.678423023735</v>
      </c>
      <c r="D26" s="324">
        <f>Forecast_stock_figures!D27</f>
        <v>11256.687485244267</v>
      </c>
      <c r="E26" s="324">
        <f>Forecast_stock_figures!E27</f>
        <v>11599.369617515154</v>
      </c>
      <c r="F26" s="324">
        <f>Forecast_stock_figures!F27</f>
        <v>11967.19602921409</v>
      </c>
      <c r="G26" s="324">
        <f>Forecast_stock_figures!G27</f>
        <v>12089.537654010986</v>
      </c>
      <c r="H26" s="324">
        <f>Forecast_stock_figures!H27</f>
        <v>12190.325841181235</v>
      </c>
      <c r="I26" s="324">
        <f>Forecast_stock_figures!I27</f>
        <v>12292.037124641112</v>
      </c>
      <c r="J26" s="324">
        <f>Forecast_stock_figures!J27</f>
        <v>12389.451752886342</v>
      </c>
      <c r="K26" s="324">
        <f>Forecast_stock_figures!K27</f>
        <v>12418.332954775977</v>
      </c>
      <c r="L26" s="324">
        <f>Forecast_stock_figures!L27</f>
        <v>12411.854918401496</v>
      </c>
      <c r="M26" s="324">
        <f>Forecast_stock_figures!M27</f>
        <v>12383.558824959737</v>
      </c>
      <c r="N26" s="324">
        <f>Forecast_stock_figures!N27</f>
        <v>12364.268616074811</v>
      </c>
      <c r="Q26" s="554"/>
    </row>
    <row r="27" spans="1:30">
      <c r="A27" s="378"/>
      <c r="B27" s="379" t="s">
        <v>609</v>
      </c>
      <c r="C27" s="324">
        <f>Forecast_stock_figures!C28</f>
        <v>31128.110157317467</v>
      </c>
      <c r="D27" s="324">
        <f>Forecast_stock_figures!D28</f>
        <v>31665.531388362488</v>
      </c>
      <c r="E27" s="324">
        <f>Forecast_stock_figures!E28</f>
        <v>32100.361692253198</v>
      </c>
      <c r="F27" s="324">
        <f>Forecast_stock_figures!F28</f>
        <v>32582.828012347269</v>
      </c>
      <c r="G27" s="324">
        <f>Forecast_stock_figures!G28</f>
        <v>33003.668201745655</v>
      </c>
      <c r="H27" s="324">
        <f>Forecast_stock_figures!H28</f>
        <v>33301.534329916365</v>
      </c>
      <c r="I27" s="324">
        <f>Forecast_stock_figures!I28</f>
        <v>33615.152538711307</v>
      </c>
      <c r="J27" s="324">
        <f>Forecast_stock_figures!J28</f>
        <v>33865.334671084165</v>
      </c>
      <c r="K27" s="324">
        <f>Forecast_stock_figures!K28</f>
        <v>33930.636804597707</v>
      </c>
      <c r="L27" s="324">
        <f>Forecast_stock_figures!L28</f>
        <v>33958.682466908453</v>
      </c>
      <c r="M27" s="324">
        <f>Forecast_stock_figures!M28</f>
        <v>33933.81252854225</v>
      </c>
      <c r="N27" s="324">
        <f>Forecast_stock_figures!N28</f>
        <v>33853.43348167192</v>
      </c>
    </row>
    <row r="28" spans="1:30" ht="25.5">
      <c r="A28" s="378"/>
      <c r="B28" s="555" t="s">
        <v>610</v>
      </c>
      <c r="C28" s="282">
        <f>Forecast_stock_figures!C29</f>
        <v>14939.764306075618</v>
      </c>
      <c r="D28" s="282">
        <f>Forecast_stock_figures!D29</f>
        <v>15070.257443396837</v>
      </c>
      <c r="E28" s="282">
        <f>Forecast_stock_figures!E29</f>
        <v>16557.230196768789</v>
      </c>
      <c r="F28" s="282">
        <f>Forecast_stock_figures!F29</f>
        <v>18106.97526873889</v>
      </c>
      <c r="G28" s="282">
        <f>Forecast_stock_figures!G29</f>
        <v>18695.254319919968</v>
      </c>
      <c r="H28" s="282">
        <f>Forecast_stock_figures!H29</f>
        <v>18855.304901959025</v>
      </c>
      <c r="I28" s="282">
        <f>Forecast_stock_figures!I29</f>
        <v>18999.002831661492</v>
      </c>
      <c r="J28" s="282">
        <f>Forecast_stock_figures!J29</f>
        <v>19138.350839311574</v>
      </c>
      <c r="K28" s="282">
        <f>Forecast_stock_figures!K29</f>
        <v>19151.937836517376</v>
      </c>
      <c r="L28" s="282">
        <f>Forecast_stock_figures!L29</f>
        <v>19109.119672158304</v>
      </c>
      <c r="M28" s="282">
        <f>Forecast_stock_figures!M29</f>
        <v>19031.45661965046</v>
      </c>
      <c r="N28" s="282">
        <f>Forecast_stock_figures!N29</f>
        <v>18975.956019871268</v>
      </c>
    </row>
    <row r="29" spans="1:30">
      <c r="A29" s="378"/>
      <c r="B29" s="379" t="s">
        <v>495</v>
      </c>
      <c r="C29" s="324">
        <f>Forecast_stock_figures!C30</f>
        <v>5182.1227072399643</v>
      </c>
      <c r="D29" s="324">
        <f>Forecast_stock_figures!D30</f>
        <v>5224.0051096452526</v>
      </c>
      <c r="E29" s="324">
        <f>Forecast_stock_figures!E30</f>
        <v>5274.0985798285237</v>
      </c>
      <c r="F29" s="324">
        <f>Forecast_stock_figures!F30</f>
        <v>5340.7515597968822</v>
      </c>
      <c r="G29" s="324">
        <f>Forecast_stock_figures!G30</f>
        <v>5392.9701813324909</v>
      </c>
      <c r="H29" s="324">
        <f>Forecast_stock_figures!H30</f>
        <v>5429.8503815617332</v>
      </c>
      <c r="I29" s="324">
        <f>Forecast_stock_figures!I30</f>
        <v>5456.5282095905159</v>
      </c>
      <c r="J29" s="324">
        <f>Forecast_stock_figures!J30</f>
        <v>5501.1445781630673</v>
      </c>
      <c r="K29" s="324">
        <f>Forecast_stock_figures!K30</f>
        <v>5508.718496895669</v>
      </c>
      <c r="L29" s="324">
        <f>Forecast_stock_figures!L30</f>
        <v>5478.4692114884219</v>
      </c>
      <c r="M29" s="324">
        <f>Forecast_stock_figures!M30</f>
        <v>5435.9069019080916</v>
      </c>
      <c r="N29" s="324">
        <f>Forecast_stock_figures!N30</f>
        <v>5429.4623651065795</v>
      </c>
    </row>
    <row r="30" spans="1:30">
      <c r="A30" s="378"/>
      <c r="B30" s="379" t="s">
        <v>496</v>
      </c>
      <c r="C30" s="324">
        <f>Forecast_stock_figures!C31</f>
        <v>14320.519643904654</v>
      </c>
      <c r="D30" s="324">
        <f>Forecast_stock_figures!D31</f>
        <v>14167.017824214381</v>
      </c>
      <c r="E30" s="324">
        <f>Forecast_stock_figures!E31</f>
        <v>13644.45192629548</v>
      </c>
      <c r="F30" s="324">
        <f>Forecast_stock_figures!F31</f>
        <v>13168.958005566721</v>
      </c>
      <c r="G30" s="324">
        <f>Forecast_stock_figures!G31</f>
        <v>13028.336477663877</v>
      </c>
      <c r="H30" s="324">
        <f>Forecast_stock_figures!H31</f>
        <v>13119.243677203196</v>
      </c>
      <c r="I30" s="324">
        <f>Forecast_stock_figures!I31</f>
        <v>13287.741271802557</v>
      </c>
      <c r="J30" s="324">
        <f>Forecast_stock_figures!J31</f>
        <v>13441.112319312042</v>
      </c>
      <c r="K30" s="324">
        <f>Forecast_stock_figures!K31</f>
        <v>13605.666391187309</v>
      </c>
      <c r="L30" s="324">
        <f>Forecast_stock_figures!L31</f>
        <v>13740.245374084607</v>
      </c>
      <c r="M30" s="324">
        <f>Forecast_stock_figures!M31</f>
        <v>13856.137858966566</v>
      </c>
      <c r="N30" s="324">
        <f>Forecast_stock_figures!N31</f>
        <v>13945.356467368034</v>
      </c>
    </row>
    <row r="31" spans="1:30">
      <c r="A31" s="378"/>
      <c r="B31" s="379" t="s">
        <v>611</v>
      </c>
      <c r="C31" s="324">
        <f>Forecast_stock_figures!C32</f>
        <v>16924.886854184697</v>
      </c>
      <c r="D31" s="324">
        <f>Forecast_stock_figures!D32</f>
        <v>17045.013299898539</v>
      </c>
      <c r="E31" s="324">
        <f>Forecast_stock_figures!E32</f>
        <v>16956.087003196979</v>
      </c>
      <c r="F31" s="324">
        <f>Forecast_stock_figures!F32</f>
        <v>16863.039703106369</v>
      </c>
      <c r="G31" s="324">
        <f>Forecast_stock_figures!G32</f>
        <v>16951.559238171318</v>
      </c>
      <c r="H31" s="324">
        <f>Forecast_stock_figures!H32</f>
        <v>17100.221557807639</v>
      </c>
      <c r="I31" s="324">
        <f>Forecast_stock_figures!I32</f>
        <v>17247.144454354897</v>
      </c>
      <c r="J31" s="324">
        <f>Forecast_stock_figures!J32</f>
        <v>17376.861204319455</v>
      </c>
      <c r="K31" s="324">
        <f>Forecast_stock_figures!K32</f>
        <v>17403.765600561375</v>
      </c>
      <c r="L31" s="324">
        <f>Forecast_stock_figures!L32</f>
        <v>17393.955577466586</v>
      </c>
      <c r="M31" s="324">
        <f>Forecast_stock_figures!M32</f>
        <v>17354.566627480825</v>
      </c>
      <c r="N31" s="324">
        <f>Forecast_stock_figures!N32</f>
        <v>17312.191984170175</v>
      </c>
    </row>
    <row r="32" spans="1:30">
      <c r="A32" s="378"/>
      <c r="B32" s="379" t="s">
        <v>497</v>
      </c>
      <c r="C32" s="324">
        <f>Forecast_stock_figures!C33</f>
        <v>10725.251800299693</v>
      </c>
      <c r="D32" s="324">
        <f>Forecast_stock_figures!D33</f>
        <v>10795.237162264597</v>
      </c>
      <c r="E32" s="324">
        <f>Forecast_stock_figures!E33</f>
        <v>10936.738865252666</v>
      </c>
      <c r="F32" s="324">
        <f>Forecast_stock_figures!F33</f>
        <v>11065.944998845214</v>
      </c>
      <c r="G32" s="324">
        <f>Forecast_stock_figures!G33</f>
        <v>11162.671456202223</v>
      </c>
      <c r="H32" s="324">
        <f>Forecast_stock_figures!H33</f>
        <v>11276.285763812999</v>
      </c>
      <c r="I32" s="324">
        <f>Forecast_stock_figures!I33</f>
        <v>11413.977518269763</v>
      </c>
      <c r="J32" s="324">
        <f>Forecast_stock_figures!J33</f>
        <v>11499.237254241132</v>
      </c>
      <c r="K32" s="324">
        <f>Forecast_stock_figures!K33</f>
        <v>11533.927145164296</v>
      </c>
      <c r="L32" s="324">
        <f>Forecast_stock_figures!L33</f>
        <v>11589.923896002259</v>
      </c>
      <c r="M32" s="324">
        <f>Forecast_stock_figures!M33</f>
        <v>11631.942741265495</v>
      </c>
      <c r="N32" s="324">
        <f>Forecast_stock_figures!N33</f>
        <v>11604.656566877386</v>
      </c>
    </row>
    <row r="33" spans="1:16">
      <c r="A33" s="378"/>
      <c r="B33" s="379" t="s">
        <v>612</v>
      </c>
      <c r="C33" s="324">
        <f>Forecast_stock_figures!C34</f>
        <v>7377.2618621307392</v>
      </c>
      <c r="D33" s="324">
        <f>Forecast_stock_figures!D34</f>
        <v>7422.7824256240674</v>
      </c>
      <c r="E33" s="324">
        <f>Forecast_stock_figures!E34</f>
        <v>7500.1802969344735</v>
      </c>
      <c r="F33" s="324">
        <f>Forecast_stock_figures!F34</f>
        <v>7582.9020625192106</v>
      </c>
      <c r="G33" s="324">
        <f>Forecast_stock_figures!G34</f>
        <v>7654.767656974067</v>
      </c>
      <c r="H33" s="324">
        <f>Forecast_stock_figures!H34</f>
        <v>7720.9539954092179</v>
      </c>
      <c r="I33" s="324">
        <f>Forecast_stock_figures!I34</f>
        <v>7788.0683359980958</v>
      </c>
      <c r="J33" s="324">
        <f>Forecast_stock_figures!J34</f>
        <v>7848.1363830283999</v>
      </c>
      <c r="K33" s="324">
        <f>Forecast_stock_figures!K34</f>
        <v>7863.9567848257848</v>
      </c>
      <c r="L33" s="324">
        <f>Forecast_stock_figures!L34</f>
        <v>7862.2904175380427</v>
      </c>
      <c r="M33" s="324">
        <f>Forecast_stock_figures!M34</f>
        <v>7847.2755854418974</v>
      </c>
      <c r="N33" s="324">
        <f>Forecast_stock_figures!N34</f>
        <v>7831.5078431053325</v>
      </c>
    </row>
    <row r="34" spans="1:16">
      <c r="A34" s="380"/>
      <c r="B34" s="326" t="s">
        <v>542</v>
      </c>
      <c r="C34" s="324">
        <f>SUM(C15:C33)</f>
        <v>213976.00504540943</v>
      </c>
      <c r="D34" s="324">
        <f t="shared" ref="D34:N34" si="0">SUM(D15:D33)</f>
        <v>215448.23496505464</v>
      </c>
      <c r="E34" s="324">
        <f t="shared" si="0"/>
        <v>217665.58493798462</v>
      </c>
      <c r="F34" s="324">
        <f t="shared" si="0"/>
        <v>220113.00223502028</v>
      </c>
      <c r="G34" s="324">
        <f t="shared" si="0"/>
        <v>222083.21597704067</v>
      </c>
      <c r="H34" s="324">
        <f t="shared" si="0"/>
        <v>224012.64325451854</v>
      </c>
      <c r="I34" s="324">
        <f t="shared" si="0"/>
        <v>226115.09681652434</v>
      </c>
      <c r="J34" s="324">
        <f t="shared" si="0"/>
        <v>227913.16234106064</v>
      </c>
      <c r="K34" s="324">
        <f t="shared" si="0"/>
        <v>228568.5499006052</v>
      </c>
      <c r="L34" s="324">
        <f t="shared" si="0"/>
        <v>228824.14188092307</v>
      </c>
      <c r="M34" s="324">
        <f t="shared" si="0"/>
        <v>228710.60157528741</v>
      </c>
      <c r="N34" s="324">
        <f t="shared" si="0"/>
        <v>228387.83509911041</v>
      </c>
    </row>
    <row r="36" spans="1:16">
      <c r="B36" s="341" t="s">
        <v>392</v>
      </c>
      <c r="E36" s="705" t="s">
        <v>812</v>
      </c>
    </row>
    <row r="38" spans="1:16">
      <c r="B38" s="326" t="str">
        <f>B13</f>
        <v>Phase/subject</v>
      </c>
      <c r="C38" s="326" t="str">
        <f t="shared" ref="C38:N38" si="1">C13</f>
        <v>2016/17</v>
      </c>
      <c r="D38" s="326" t="str">
        <f t="shared" si="1"/>
        <v>2017/18</v>
      </c>
      <c r="E38" s="326" t="str">
        <f t="shared" si="1"/>
        <v>2018/19</v>
      </c>
      <c r="F38" s="326" t="str">
        <f t="shared" si="1"/>
        <v>2019/20</v>
      </c>
      <c r="G38" s="326" t="str">
        <f t="shared" si="1"/>
        <v>2020/21</v>
      </c>
      <c r="H38" s="326" t="str">
        <f t="shared" si="1"/>
        <v>2021/22</v>
      </c>
      <c r="I38" s="326" t="str">
        <f t="shared" si="1"/>
        <v>2022/23</v>
      </c>
      <c r="J38" s="326" t="str">
        <f t="shared" si="1"/>
        <v>2023/24</v>
      </c>
      <c r="K38" s="326" t="str">
        <f t="shared" si="1"/>
        <v>2024/25</v>
      </c>
      <c r="L38" s="326" t="str">
        <f t="shared" si="1"/>
        <v>2025/26</v>
      </c>
      <c r="M38" s="326" t="str">
        <f t="shared" si="1"/>
        <v>2026/27</v>
      </c>
      <c r="N38" s="326" t="str">
        <f t="shared" si="1"/>
        <v>2027/28</v>
      </c>
    </row>
    <row r="39" spans="1:16">
      <c r="B39" s="326" t="str">
        <f>Entrant_need_figures!B43</f>
        <v>PRIMARY All Central Scenario</v>
      </c>
      <c r="C39" s="388">
        <v>242289.97801032916</v>
      </c>
      <c r="D39" s="388">
        <v>243816.50498787969</v>
      </c>
      <c r="E39" s="388">
        <v>244473.00051685341</v>
      </c>
      <c r="F39" s="388">
        <v>244493.08548462985</v>
      </c>
      <c r="G39" s="388">
        <v>244756.56223781532</v>
      </c>
      <c r="H39" s="388">
        <v>244837.80568339408</v>
      </c>
      <c r="I39" s="388">
        <v>244626.1931197551</v>
      </c>
      <c r="J39" s="388">
        <v>244233.40708441578</v>
      </c>
      <c r="K39" s="388">
        <v>244470.60548841688</v>
      </c>
      <c r="L39" s="388">
        <v>245157.17144903576</v>
      </c>
      <c r="M39" s="388">
        <v>245898.02721211434</v>
      </c>
      <c r="N39" s="388">
        <v>246453.8722658148</v>
      </c>
      <c r="P39" s="962"/>
    </row>
    <row r="40" spans="1:16">
      <c r="B40" s="326" t="str">
        <f>Entrant_need_figures!B44</f>
        <v>ART &amp; DESIGN All Central Scenario</v>
      </c>
      <c r="C40" s="388">
        <v>8310.5880067254166</v>
      </c>
      <c r="D40" s="388">
        <v>8341.9492808008581</v>
      </c>
      <c r="E40" s="388">
        <v>8263.3569449253591</v>
      </c>
      <c r="F40" s="388">
        <v>8200.1412123163773</v>
      </c>
      <c r="G40" s="388">
        <v>8247.0972917838062</v>
      </c>
      <c r="H40" s="388">
        <v>8308.7412098493205</v>
      </c>
      <c r="I40" s="388">
        <v>8371.7661985209452</v>
      </c>
      <c r="J40" s="388">
        <v>8443.8747079762379</v>
      </c>
      <c r="K40" s="388">
        <v>8473.5651607866948</v>
      </c>
      <c r="L40" s="388">
        <v>8465.4356425603892</v>
      </c>
      <c r="M40" s="388">
        <v>8441.2110439638218</v>
      </c>
      <c r="N40" s="388">
        <v>8440.59254846978</v>
      </c>
      <c r="P40" s="962"/>
    </row>
    <row r="41" spans="1:16">
      <c r="B41" s="326" t="str">
        <f>Entrant_need_figures!B45</f>
        <v>BIOLOGY All Central Scenario</v>
      </c>
      <c r="C41" s="388">
        <v>12786.987412851919</v>
      </c>
      <c r="D41" s="388">
        <v>12855.738513404587</v>
      </c>
      <c r="E41" s="388">
        <v>12998.316050469002</v>
      </c>
      <c r="F41" s="388">
        <v>13138.105245734181</v>
      </c>
      <c r="G41" s="388">
        <v>13246.541294911551</v>
      </c>
      <c r="H41" s="388">
        <v>13373.709515062588</v>
      </c>
      <c r="I41" s="388">
        <v>13528.547619574107</v>
      </c>
      <c r="J41" s="388">
        <v>13635.027100789352</v>
      </c>
      <c r="K41" s="388">
        <v>13684.461372087695</v>
      </c>
      <c r="L41" s="388">
        <v>13743.463089448744</v>
      </c>
      <c r="M41" s="388">
        <v>13784.393459502542</v>
      </c>
      <c r="N41" s="388">
        <v>13763.711607784684</v>
      </c>
      <c r="P41" s="962"/>
    </row>
    <row r="42" spans="1:16">
      <c r="B42" s="326" t="str">
        <f>Entrant_need_figures!B46</f>
        <v>BUSINESS STUDIES All Central Scenario</v>
      </c>
      <c r="C42" s="388">
        <v>4112.7854114647489</v>
      </c>
      <c r="D42" s="388">
        <v>4055.1181721093221</v>
      </c>
      <c r="E42" s="388">
        <v>3888.3058629551306</v>
      </c>
      <c r="F42" s="388">
        <v>3726.3896860129285</v>
      </c>
      <c r="G42" s="388">
        <v>3700.1602214135623</v>
      </c>
      <c r="H42" s="388">
        <v>3732.113720085189</v>
      </c>
      <c r="I42" s="388">
        <v>3795.6822886090704</v>
      </c>
      <c r="J42" s="388">
        <v>3839.0570157411021</v>
      </c>
      <c r="K42" s="388">
        <v>3892.0307178782004</v>
      </c>
      <c r="L42" s="388">
        <v>3954.0926367676466</v>
      </c>
      <c r="M42" s="388">
        <v>4012.9661119373727</v>
      </c>
      <c r="N42" s="388">
        <v>4038.2663451950598</v>
      </c>
      <c r="P42" s="962"/>
    </row>
    <row r="43" spans="1:16">
      <c r="B43" s="326" t="str">
        <f>Entrant_need_figures!B47</f>
        <v>CHEMISTRY All Central Scenario</v>
      </c>
      <c r="C43" s="388">
        <v>11068.508981061603</v>
      </c>
      <c r="D43" s="388">
        <v>11129.85258610651</v>
      </c>
      <c r="E43" s="388">
        <v>11260.285419513875</v>
      </c>
      <c r="F43" s="388">
        <v>11383.268474585764</v>
      </c>
      <c r="G43" s="388">
        <v>11478.037676404865</v>
      </c>
      <c r="H43" s="388">
        <v>11591.815611587474</v>
      </c>
      <c r="I43" s="388">
        <v>11731.989151799509</v>
      </c>
      <c r="J43" s="388">
        <v>11822.684634785315</v>
      </c>
      <c r="K43" s="388">
        <v>11864.545594307421</v>
      </c>
      <c r="L43" s="388">
        <v>11923.190684157031</v>
      </c>
      <c r="M43" s="388">
        <v>11967.082084944395</v>
      </c>
      <c r="N43" s="388">
        <v>11945.784885887244</v>
      </c>
      <c r="P43" s="962"/>
    </row>
    <row r="44" spans="1:16">
      <c r="B44" s="326" t="str">
        <f>Entrant_need_figures!B48</f>
        <v>CLASSICS All Central Scenario</v>
      </c>
      <c r="C44" s="388">
        <v>318.24964480117319</v>
      </c>
      <c r="D44" s="388">
        <v>316.66378192264295</v>
      </c>
      <c r="E44" s="388">
        <v>316.17539575582185</v>
      </c>
      <c r="F44" s="388">
        <v>316.8320077141023</v>
      </c>
      <c r="G44" s="388">
        <v>318.22126343422786</v>
      </c>
      <c r="H44" s="388">
        <v>320.55922029487579</v>
      </c>
      <c r="I44" s="388">
        <v>323.9615218164621</v>
      </c>
      <c r="J44" s="388">
        <v>327.23843536550851</v>
      </c>
      <c r="K44" s="388">
        <v>329.9037008362418</v>
      </c>
      <c r="L44" s="388">
        <v>331.60054560560565</v>
      </c>
      <c r="M44" s="388">
        <v>332.77509243618636</v>
      </c>
      <c r="N44" s="388">
        <v>333.88423337973057</v>
      </c>
      <c r="P44" s="962"/>
    </row>
    <row r="45" spans="1:16">
      <c r="B45" s="326" t="str">
        <f>Entrant_need_figures!B49</f>
        <v>COMPUTING All Central Scenario</v>
      </c>
      <c r="C45" s="388">
        <v>7510.2346856737895</v>
      </c>
      <c r="D45" s="388">
        <v>7534.6411432498553</v>
      </c>
      <c r="E45" s="388">
        <v>7318.2295859772075</v>
      </c>
      <c r="F45" s="388">
        <v>7103.8364078234217</v>
      </c>
      <c r="G45" s="388">
        <v>7103.7888064980007</v>
      </c>
      <c r="H45" s="388">
        <v>7160.731983145397</v>
      </c>
      <c r="I45" s="388">
        <v>7223.7313653134643</v>
      </c>
      <c r="J45" s="388">
        <v>7285.2061506055279</v>
      </c>
      <c r="K45" s="388">
        <v>7313.0393557838233</v>
      </c>
      <c r="L45" s="388">
        <v>7318.6843950857137</v>
      </c>
      <c r="M45" s="388">
        <v>7311.6741857708776</v>
      </c>
      <c r="N45" s="388">
        <v>7309.9188689425937</v>
      </c>
      <c r="P45" s="962"/>
    </row>
    <row r="46" spans="1:16">
      <c r="B46" s="326" t="str">
        <f>Entrant_need_figures!B50</f>
        <v>DESIGN &amp; TECHNOLOGY All Central Scenario</v>
      </c>
      <c r="C46" s="388">
        <v>10441.074820779617</v>
      </c>
      <c r="D46" s="388">
        <v>10527.780594865922</v>
      </c>
      <c r="E46" s="388">
        <v>10281.479861267137</v>
      </c>
      <c r="F46" s="388">
        <v>10046.130655005754</v>
      </c>
      <c r="G46" s="388">
        <v>10046.550813318294</v>
      </c>
      <c r="H46" s="388">
        <v>10118.934302150517</v>
      </c>
      <c r="I46" s="388">
        <v>10174.289952080673</v>
      </c>
      <c r="J46" s="388">
        <v>10255.565969553618</v>
      </c>
      <c r="K46" s="388">
        <v>10267.945214707341</v>
      </c>
      <c r="L46" s="388">
        <v>10218.290568571876</v>
      </c>
      <c r="M46" s="388">
        <v>10146.573350413757</v>
      </c>
      <c r="N46" s="388">
        <v>10130.573798685271</v>
      </c>
      <c r="P46" s="962"/>
    </row>
    <row r="47" spans="1:16">
      <c r="B47" s="326" t="str">
        <f>Entrant_need_figures!B51</f>
        <v>DRAMA All Central Scenario</v>
      </c>
      <c r="C47" s="388">
        <v>4997.2888230103827</v>
      </c>
      <c r="D47" s="388">
        <v>5025.8114145193067</v>
      </c>
      <c r="E47" s="388">
        <v>5018.1325596308079</v>
      </c>
      <c r="F47" s="388">
        <v>5020.895461785487</v>
      </c>
      <c r="G47" s="388">
        <v>5020.0737628608276</v>
      </c>
      <c r="H47" s="388">
        <v>5057.9063715487991</v>
      </c>
      <c r="I47" s="388">
        <v>5093.6859805130989</v>
      </c>
      <c r="J47" s="388">
        <v>5136.0193195775992</v>
      </c>
      <c r="K47" s="388">
        <v>5149.5011668603438</v>
      </c>
      <c r="L47" s="388">
        <v>5138.9404800018383</v>
      </c>
      <c r="M47" s="388">
        <v>5118.3350388019735</v>
      </c>
      <c r="N47" s="388">
        <v>5114.396654662788</v>
      </c>
      <c r="P47" s="962"/>
    </row>
    <row r="48" spans="1:16">
      <c r="B48" s="326" t="str">
        <f>Entrant_need_figures!B52</f>
        <v>ENGLISH All Central Scenario</v>
      </c>
      <c r="C48" s="388">
        <v>30045.430109827248</v>
      </c>
      <c r="D48" s="388">
        <v>30333.400701627972</v>
      </c>
      <c r="E48" s="388">
        <v>30740.580743117873</v>
      </c>
      <c r="F48" s="388">
        <v>31138.164239620182</v>
      </c>
      <c r="G48" s="388">
        <v>31431.480605286102</v>
      </c>
      <c r="H48" s="388">
        <v>31724.957576132929</v>
      </c>
      <c r="I48" s="388">
        <v>32026.858636939469</v>
      </c>
      <c r="J48" s="388">
        <v>32259.412600544802</v>
      </c>
      <c r="K48" s="388">
        <v>32303.914557396369</v>
      </c>
      <c r="L48" s="388">
        <v>32322.338999171592</v>
      </c>
      <c r="M48" s="388">
        <v>32290.376328559087</v>
      </c>
      <c r="N48" s="388">
        <v>32194.629621922984</v>
      </c>
      <c r="P48" s="962"/>
    </row>
    <row r="49" spans="2:16">
      <c r="B49" s="326" t="str">
        <f>Entrant_need_figures!B53</f>
        <v>FOOD All Central Scenario</v>
      </c>
      <c r="C49" s="388">
        <v>2075.8992087342663</v>
      </c>
      <c r="D49" s="388">
        <v>2088.5494776737537</v>
      </c>
      <c r="E49" s="388">
        <v>2020.5594005340956</v>
      </c>
      <c r="F49" s="388">
        <v>1945.3740580544352</v>
      </c>
      <c r="G49" s="388">
        <v>1944.7047009758676</v>
      </c>
      <c r="H49" s="388">
        <v>1964.7747432789229</v>
      </c>
      <c r="I49" s="388">
        <v>1987.6196856729764</v>
      </c>
      <c r="J49" s="388">
        <v>2001.6146928070627</v>
      </c>
      <c r="K49" s="388">
        <v>2005.2494063786851</v>
      </c>
      <c r="L49" s="388">
        <v>2012.3431150457295</v>
      </c>
      <c r="M49" s="388">
        <v>2016.9028684008081</v>
      </c>
      <c r="N49" s="388">
        <v>2010.1952409179387</v>
      </c>
      <c r="P49" s="962"/>
    </row>
    <row r="50" spans="2:16">
      <c r="B50" s="326" t="str">
        <f>Entrant_need_figures!B54</f>
        <v>GEOGRAPHY All Central Scenario</v>
      </c>
      <c r="C50" s="388">
        <v>10518.362186302702</v>
      </c>
      <c r="D50" s="388">
        <v>10592.197160123502</v>
      </c>
      <c r="E50" s="388">
        <v>10991.644935793051</v>
      </c>
      <c r="F50" s="388">
        <v>11415.269146232955</v>
      </c>
      <c r="G50" s="388">
        <v>11567.794354132981</v>
      </c>
      <c r="H50" s="388">
        <v>11664.678552531093</v>
      </c>
      <c r="I50" s="388">
        <v>11757.312130654836</v>
      </c>
      <c r="J50" s="388">
        <v>11847.832710968347</v>
      </c>
      <c r="K50" s="388">
        <v>11867.451639056904</v>
      </c>
      <c r="L50" s="388">
        <v>11851.220190458745</v>
      </c>
      <c r="M50" s="388">
        <v>11813.654322341292</v>
      </c>
      <c r="N50" s="388">
        <v>11789.047949016856</v>
      </c>
      <c r="P50" s="962"/>
    </row>
    <row r="51" spans="2:16">
      <c r="B51" s="326" t="str">
        <f>Entrant_need_figures!B55</f>
        <v>HISTORY All Central Scenario</v>
      </c>
      <c r="C51" s="388">
        <v>11192.678423023735</v>
      </c>
      <c r="D51" s="388">
        <v>11256.687485244267</v>
      </c>
      <c r="E51" s="388">
        <v>11599.369617515154</v>
      </c>
      <c r="F51" s="388">
        <v>11967.19602921409</v>
      </c>
      <c r="G51" s="388">
        <v>12089.537654010986</v>
      </c>
      <c r="H51" s="388">
        <v>12190.325841181235</v>
      </c>
      <c r="I51" s="388">
        <v>12292.037124641112</v>
      </c>
      <c r="J51" s="388">
        <v>12389.451752886342</v>
      </c>
      <c r="K51" s="388">
        <v>12418.332954775977</v>
      </c>
      <c r="L51" s="388">
        <v>12411.854918401496</v>
      </c>
      <c r="M51" s="388">
        <v>12383.558824959737</v>
      </c>
      <c r="N51" s="388">
        <v>12364.268616074811</v>
      </c>
      <c r="P51" s="962"/>
    </row>
    <row r="52" spans="2:16">
      <c r="B52" s="326" t="str">
        <f>Entrant_need_figures!B56</f>
        <v>MATHEMATICS All Central Scenario</v>
      </c>
      <c r="C52" s="388">
        <v>31128.110157317467</v>
      </c>
      <c r="D52" s="388">
        <v>31665.531388362488</v>
      </c>
      <c r="E52" s="388">
        <v>32100.361692253198</v>
      </c>
      <c r="F52" s="388">
        <v>32582.828012347269</v>
      </c>
      <c r="G52" s="388">
        <v>33003.668201745655</v>
      </c>
      <c r="H52" s="388">
        <v>33301.534329916365</v>
      </c>
      <c r="I52" s="388">
        <v>33615.152538711307</v>
      </c>
      <c r="J52" s="388">
        <v>33865.334671084165</v>
      </c>
      <c r="K52" s="388">
        <v>33930.636804597707</v>
      </c>
      <c r="L52" s="388">
        <v>33958.682466908453</v>
      </c>
      <c r="M52" s="388">
        <v>33933.81252854225</v>
      </c>
      <c r="N52" s="388">
        <v>33853.43348167192</v>
      </c>
      <c r="P52" s="962"/>
    </row>
    <row r="53" spans="2:16" ht="25.5">
      <c r="B53" s="322" t="str">
        <f>Entrant_need_figures!B57</f>
        <v>MODERN FOREIGN LANGUAGES All Central Scenario</v>
      </c>
      <c r="C53" s="556">
        <v>14939.764306075618</v>
      </c>
      <c r="D53" s="556">
        <v>15070.257443396837</v>
      </c>
      <c r="E53" s="556">
        <v>16557.230196768789</v>
      </c>
      <c r="F53" s="556">
        <v>18106.97526873889</v>
      </c>
      <c r="G53" s="556">
        <v>18695.254319919968</v>
      </c>
      <c r="H53" s="556">
        <v>18855.304901959025</v>
      </c>
      <c r="I53" s="556">
        <v>18999.002831661492</v>
      </c>
      <c r="J53" s="556">
        <v>19138.350839311574</v>
      </c>
      <c r="K53" s="556">
        <v>19151.937836517376</v>
      </c>
      <c r="L53" s="556">
        <v>19109.119672158304</v>
      </c>
      <c r="M53" s="556">
        <v>19031.45661965046</v>
      </c>
      <c r="N53" s="556">
        <v>18975.956019871268</v>
      </c>
      <c r="P53" s="962"/>
    </row>
    <row r="54" spans="2:16">
      <c r="B54" s="326" t="str">
        <f>Entrant_need_figures!B58</f>
        <v>MUSIC All Central Scenario</v>
      </c>
      <c r="C54" s="388">
        <v>5182.1227072399643</v>
      </c>
      <c r="D54" s="388">
        <v>5224.0051096452526</v>
      </c>
      <c r="E54" s="388">
        <v>5274.0985798285237</v>
      </c>
      <c r="F54" s="388">
        <v>5340.7515597968822</v>
      </c>
      <c r="G54" s="388">
        <v>5392.9701813324909</v>
      </c>
      <c r="H54" s="388">
        <v>5429.8503815617332</v>
      </c>
      <c r="I54" s="388">
        <v>5456.5282095905159</v>
      </c>
      <c r="J54" s="388">
        <v>5501.1445781630673</v>
      </c>
      <c r="K54" s="388">
        <v>5508.718496895669</v>
      </c>
      <c r="L54" s="388">
        <v>5478.4692114884219</v>
      </c>
      <c r="M54" s="388">
        <v>5435.9069019080916</v>
      </c>
      <c r="N54" s="388">
        <v>5429.4623651065795</v>
      </c>
      <c r="P54" s="962"/>
    </row>
    <row r="55" spans="2:16">
      <c r="B55" s="326" t="str">
        <f>Entrant_need_figures!B59</f>
        <v>OTHERS All Central Scenario</v>
      </c>
      <c r="C55" s="388">
        <v>14320.519643904654</v>
      </c>
      <c r="D55" s="388">
        <v>14167.017824214381</v>
      </c>
      <c r="E55" s="388">
        <v>13644.45192629548</v>
      </c>
      <c r="F55" s="388">
        <v>13168.958005566721</v>
      </c>
      <c r="G55" s="388">
        <v>13028.336477663877</v>
      </c>
      <c r="H55" s="388">
        <v>13119.243677203196</v>
      </c>
      <c r="I55" s="388">
        <v>13287.741271802557</v>
      </c>
      <c r="J55" s="388">
        <v>13441.112319312042</v>
      </c>
      <c r="K55" s="388">
        <v>13605.666391187309</v>
      </c>
      <c r="L55" s="388">
        <v>13740.245374084607</v>
      </c>
      <c r="M55" s="388">
        <v>13856.137858966566</v>
      </c>
      <c r="N55" s="388">
        <v>13945.356467368034</v>
      </c>
      <c r="P55" s="962"/>
    </row>
    <row r="56" spans="2:16">
      <c r="B56" s="326" t="str">
        <f>Entrant_need_figures!B60</f>
        <v>PHYSICAL EDUCATION All Central Scenario</v>
      </c>
      <c r="C56" s="388">
        <v>16924.886854184697</v>
      </c>
      <c r="D56" s="388">
        <v>17045.013299898539</v>
      </c>
      <c r="E56" s="388">
        <v>16956.087003196979</v>
      </c>
      <c r="F56" s="388">
        <v>16863.039703106369</v>
      </c>
      <c r="G56" s="388">
        <v>16951.559238171318</v>
      </c>
      <c r="H56" s="388">
        <v>17100.221557807639</v>
      </c>
      <c r="I56" s="388">
        <v>17247.144454354897</v>
      </c>
      <c r="J56" s="388">
        <v>17376.861204319455</v>
      </c>
      <c r="K56" s="388">
        <v>17403.765600561375</v>
      </c>
      <c r="L56" s="388">
        <v>17393.955577466586</v>
      </c>
      <c r="M56" s="388">
        <v>17354.566627480825</v>
      </c>
      <c r="N56" s="388">
        <v>17312.191984170175</v>
      </c>
      <c r="P56" s="962"/>
    </row>
    <row r="57" spans="2:16">
      <c r="B57" s="326" t="str">
        <f>Entrant_need_figures!B61</f>
        <v>PHYSICS All Central Scenario</v>
      </c>
      <c r="C57" s="388">
        <v>10725.251800299693</v>
      </c>
      <c r="D57" s="388">
        <v>10795.237162264597</v>
      </c>
      <c r="E57" s="388">
        <v>10936.738865252666</v>
      </c>
      <c r="F57" s="388">
        <v>11065.944998845214</v>
      </c>
      <c r="G57" s="388">
        <v>11162.671456202223</v>
      </c>
      <c r="H57" s="388">
        <v>11276.285763812999</v>
      </c>
      <c r="I57" s="388">
        <v>11413.977518269763</v>
      </c>
      <c r="J57" s="388">
        <v>11499.237254241132</v>
      </c>
      <c r="K57" s="388">
        <v>11533.927145164296</v>
      </c>
      <c r="L57" s="388">
        <v>11589.923896002259</v>
      </c>
      <c r="M57" s="388">
        <v>11631.942741265495</v>
      </c>
      <c r="N57" s="388">
        <v>11604.656566877386</v>
      </c>
      <c r="P57" s="962"/>
    </row>
    <row r="58" spans="2:16">
      <c r="B58" s="326" t="str">
        <f>Entrant_need_figures!B62</f>
        <v>RELIGIOUS EDUCATION All Central Scenario</v>
      </c>
      <c r="C58" s="388">
        <v>7377.2618621307392</v>
      </c>
      <c r="D58" s="388">
        <v>7422.7824256240674</v>
      </c>
      <c r="E58" s="388">
        <v>7500.1802969344735</v>
      </c>
      <c r="F58" s="388">
        <v>7582.9020625192106</v>
      </c>
      <c r="G58" s="388">
        <v>7654.767656974067</v>
      </c>
      <c r="H58" s="388">
        <v>7720.9539954092179</v>
      </c>
      <c r="I58" s="388">
        <v>7788.0683359980958</v>
      </c>
      <c r="J58" s="388">
        <v>7848.1363830283999</v>
      </c>
      <c r="K58" s="388">
        <v>7863.9567848257848</v>
      </c>
      <c r="L58" s="388">
        <v>7862.2904175380427</v>
      </c>
      <c r="M58" s="388">
        <v>7847.2755854418974</v>
      </c>
      <c r="N58" s="388">
        <v>7831.5078431053325</v>
      </c>
      <c r="P58" s="962"/>
    </row>
    <row r="59" spans="2:16">
      <c r="B59" s="326" t="str">
        <f>Entrant_need_figures!B63</f>
        <v>SECONDARY All Central Scenario</v>
      </c>
      <c r="C59" s="388">
        <v>213976.00504540943</v>
      </c>
      <c r="D59" s="388">
        <v>215448.23496505464</v>
      </c>
      <c r="E59" s="388">
        <v>217665.58493798462</v>
      </c>
      <c r="F59" s="388">
        <v>220113.00223502028</v>
      </c>
      <c r="G59" s="388">
        <v>222083.21597704067</v>
      </c>
      <c r="H59" s="388">
        <v>224012.64325451854</v>
      </c>
      <c r="I59" s="388">
        <v>226115.09681652434</v>
      </c>
      <c r="J59" s="388">
        <v>227913.16234106064</v>
      </c>
      <c r="K59" s="388">
        <v>228568.5499006052</v>
      </c>
      <c r="L59" s="388">
        <v>228824.14188092307</v>
      </c>
      <c r="M59" s="388">
        <v>228710.60157528741</v>
      </c>
      <c r="N59" s="388">
        <v>228387.83509911041</v>
      </c>
      <c r="P59" s="962"/>
    </row>
    <row r="62" spans="2:16">
      <c r="B62" s="325" t="s">
        <v>1281</v>
      </c>
      <c r="C62" s="309">
        <f>C16+C18+C19+C20+C23+C25+C26+C27+C28+C32</f>
        <v>140233.57770723494</v>
      </c>
      <c r="D62" s="309">
        <f t="shared" ref="D62:N62" si="2">D16+D18+D19+D20+D23+D25+D26+D27+D28+D32</f>
        <v>141550.20736570327</v>
      </c>
      <c r="E62" s="309">
        <f t="shared" si="2"/>
        <v>144818.93250241663</v>
      </c>
      <c r="F62" s="309">
        <f t="shared" si="2"/>
        <v>148218.41983085609</v>
      </c>
      <c r="G62" s="309">
        <f t="shared" si="2"/>
        <v>150096.99563254658</v>
      </c>
      <c r="H62" s="309">
        <f t="shared" si="2"/>
        <v>151459.90329562401</v>
      </c>
      <c r="I62" s="309">
        <f t="shared" si="2"/>
        <v>152912.57043938152</v>
      </c>
      <c r="J62" s="309">
        <f t="shared" si="2"/>
        <v>154069.77615058207</v>
      </c>
      <c r="K62" s="309">
        <f t="shared" si="2"/>
        <v>154398.15096052381</v>
      </c>
      <c r="L62" s="309">
        <f t="shared" si="2"/>
        <v>154560.07885739792</v>
      </c>
      <c r="M62" s="309">
        <f t="shared" si="2"/>
        <v>154480.72618797232</v>
      </c>
      <c r="N62" s="309">
        <f t="shared" si="2"/>
        <v>154135.29185142947</v>
      </c>
      <c r="P62" s="6"/>
    </row>
    <row r="63" spans="2:16">
      <c r="B63" s="325" t="s">
        <v>1282</v>
      </c>
      <c r="C63" s="309">
        <f>C15+C17+C21+C22+C24+C29+C30+C31+C33</f>
        <v>73742.427338174472</v>
      </c>
      <c r="D63" s="309">
        <f t="shared" ref="D63:N63" si="3">D15+D17+D21+D22+D24+D29+D30+D31+D33</f>
        <v>73898.027599351408</v>
      </c>
      <c r="E63" s="309">
        <f t="shared" si="3"/>
        <v>72846.652435567987</v>
      </c>
      <c r="F63" s="309">
        <f t="shared" si="3"/>
        <v>71894.582404164175</v>
      </c>
      <c r="G63" s="309">
        <f t="shared" si="3"/>
        <v>71986.220344494111</v>
      </c>
      <c r="H63" s="309">
        <f t="shared" si="3"/>
        <v>72552.739958894541</v>
      </c>
      <c r="I63" s="309">
        <f t="shared" si="3"/>
        <v>73202.526377142829</v>
      </c>
      <c r="J63" s="309">
        <f t="shared" si="3"/>
        <v>73843.386190478574</v>
      </c>
      <c r="K63" s="309">
        <f t="shared" si="3"/>
        <v>74170.398940081403</v>
      </c>
      <c r="L63" s="309">
        <f t="shared" si="3"/>
        <v>74264.06302352513</v>
      </c>
      <c r="M63" s="309">
        <f t="shared" si="3"/>
        <v>74229.8753873151</v>
      </c>
      <c r="N63" s="309">
        <f t="shared" si="3"/>
        <v>74252.543247680951</v>
      </c>
      <c r="P63" s="6"/>
    </row>
    <row r="64" spans="2:16">
      <c r="C64" s="309">
        <f>SUM(C62:C63)-C34</f>
        <v>0</v>
      </c>
      <c r="D64" s="309">
        <f t="shared" ref="D64:N64" si="4">SUM(D62:D63)-D34</f>
        <v>0</v>
      </c>
      <c r="E64" s="309">
        <f t="shared" si="4"/>
        <v>0</v>
      </c>
      <c r="F64" s="309">
        <f t="shared" si="4"/>
        <v>0</v>
      </c>
      <c r="G64" s="309">
        <f t="shared" si="4"/>
        <v>0</v>
      </c>
      <c r="H64" s="309">
        <f t="shared" si="4"/>
        <v>0</v>
      </c>
      <c r="I64" s="309">
        <f t="shared" si="4"/>
        <v>0</v>
      </c>
      <c r="J64" s="309">
        <f t="shared" si="4"/>
        <v>0</v>
      </c>
      <c r="K64" s="309">
        <f t="shared" si="4"/>
        <v>0</v>
      </c>
      <c r="L64" s="309">
        <f t="shared" si="4"/>
        <v>0</v>
      </c>
      <c r="M64" s="309">
        <f t="shared" si="4"/>
        <v>0</v>
      </c>
      <c r="N64" s="309">
        <f t="shared" si="4"/>
        <v>0</v>
      </c>
    </row>
  </sheetData>
  <mergeCells count="1">
    <mergeCell ref="A5:L5"/>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FF00"/>
  </sheetPr>
  <dimension ref="A1:S9"/>
  <sheetViews>
    <sheetView showGridLines="0" zoomScaleNormal="100" workbookViewId="0"/>
  </sheetViews>
  <sheetFormatPr defaultRowHeight="12.75"/>
  <cols>
    <col min="1" max="1" width="8.7109375" customWidth="1"/>
    <col min="2" max="17" width="10.7109375" customWidth="1"/>
    <col min="18" max="23" width="8.7109375" customWidth="1"/>
  </cols>
  <sheetData>
    <row r="1" spans="1:19" s="66" customFormat="1" ht="15">
      <c r="A1" s="65" t="str">
        <f>ModelBanner</f>
        <v>TSM_201718 for publication</v>
      </c>
    </row>
    <row r="2" spans="1:19" s="66" customFormat="1" ht="15">
      <c r="A2" s="1003" t="s">
        <v>13</v>
      </c>
      <c r="B2" s="1003" t="s">
        <v>30</v>
      </c>
    </row>
    <row r="3" spans="1:19" s="66" customFormat="1" ht="15">
      <c r="A3" s="67"/>
    </row>
    <row r="4" spans="1:19" s="57" customFormat="1">
      <c r="A4" s="58" t="s">
        <v>26</v>
      </c>
      <c r="B4" s="58"/>
      <c r="C4" s="58"/>
      <c r="D4" s="58"/>
      <c r="E4" s="292"/>
      <c r="F4" s="58"/>
      <c r="G4" s="58"/>
      <c r="H4" s="58"/>
      <c r="I4" s="58"/>
      <c r="J4" s="58"/>
      <c r="K4" s="58"/>
      <c r="L4" s="58"/>
      <c r="M4" s="58"/>
      <c r="N4" s="58"/>
      <c r="O4" s="58"/>
      <c r="P4" s="58"/>
      <c r="Q4" s="58"/>
    </row>
    <row r="5" spans="1:19" s="47" customFormat="1" ht="13.15" customHeight="1">
      <c r="A5" s="60" t="s">
        <v>1325</v>
      </c>
      <c r="B5" s="60"/>
      <c r="C5" s="60"/>
      <c r="D5" s="60"/>
      <c r="E5" s="60"/>
      <c r="F5" s="60"/>
      <c r="G5" s="60"/>
      <c r="H5" s="60"/>
      <c r="I5" s="60"/>
      <c r="J5" s="60"/>
      <c r="K5" s="60"/>
      <c r="L5" s="60"/>
      <c r="M5" s="60"/>
      <c r="N5" s="60"/>
      <c r="O5" s="60"/>
      <c r="P5" s="60"/>
      <c r="Q5" s="60"/>
      <c r="R5" s="60"/>
      <c r="S5" s="60"/>
    </row>
    <row r="6" spans="1:19" s="46" customFormat="1" ht="13.5" customHeight="1">
      <c r="A6" s="56" t="s">
        <v>1420</v>
      </c>
      <c r="B6" s="61"/>
      <c r="C6" s="61"/>
      <c r="D6" s="61"/>
      <c r="E6" s="292"/>
      <c r="F6" s="61"/>
      <c r="G6" s="61"/>
      <c r="H6" s="61"/>
      <c r="I6" s="61"/>
      <c r="J6" s="61"/>
      <c r="K6" s="61"/>
      <c r="L6" s="61"/>
      <c r="M6" s="61"/>
      <c r="N6" s="61"/>
      <c r="O6" s="61"/>
      <c r="P6" s="61"/>
      <c r="Q6" s="61"/>
    </row>
    <row r="7" spans="1:19" s="46" customFormat="1">
      <c r="A7" s="54" t="s">
        <v>341</v>
      </c>
      <c r="B7" s="56"/>
      <c r="C7" s="61"/>
      <c r="D7" s="61"/>
      <c r="E7" s="292"/>
      <c r="F7" s="61"/>
      <c r="G7" s="61"/>
      <c r="H7" s="61"/>
      <c r="I7" s="61"/>
      <c r="J7" s="61"/>
      <c r="K7" s="61"/>
      <c r="L7" s="61"/>
      <c r="M7" s="61"/>
      <c r="N7" s="61"/>
      <c r="O7" s="61"/>
      <c r="P7" s="61"/>
      <c r="Q7" s="61"/>
    </row>
    <row r="8" spans="1:19" s="46" customFormat="1">
      <c r="A8" s="56" t="s">
        <v>24</v>
      </c>
      <c r="B8" s="61"/>
      <c r="C8" s="61"/>
      <c r="D8" s="61"/>
      <c r="E8" s="292"/>
      <c r="F8" s="61"/>
      <c r="G8" s="61"/>
      <c r="H8" s="61"/>
      <c r="I8" s="61"/>
      <c r="J8" s="61"/>
      <c r="K8" s="61"/>
      <c r="L8" s="61"/>
      <c r="M8" s="61"/>
      <c r="N8" s="61"/>
      <c r="O8" s="61"/>
      <c r="P8" s="61"/>
      <c r="Q8" s="61"/>
    </row>
    <row r="9" spans="1:19" s="50" customFormat="1" ht="13.5" customHeight="1">
      <c r="A9" s="55" t="s">
        <v>119</v>
      </c>
      <c r="B9" s="73"/>
      <c r="C9" s="71"/>
      <c r="D9" s="293"/>
      <c r="E9" s="293"/>
      <c r="F9" s="293"/>
      <c r="G9" s="72"/>
      <c r="H9" s="293"/>
      <c r="I9" s="293"/>
      <c r="J9" s="72"/>
      <c r="K9" s="294"/>
      <c r="L9" s="294"/>
      <c r="M9" s="294"/>
      <c r="N9" s="294"/>
      <c r="O9" s="294"/>
      <c r="P9" s="294"/>
      <c r="Q9" s="294"/>
    </row>
  </sheetData>
  <hyperlinks>
    <hyperlink ref="A2" location="'Title_&amp;_Contents'!A1" display="Contents"/>
    <hyperlink ref="B2" location="Map_of_sheets!A1" display="Map of sheets"/>
  </hyperlink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FFF00"/>
  </sheetPr>
  <dimension ref="A1:AE129"/>
  <sheetViews>
    <sheetView showGridLines="0" workbookViewId="0"/>
  </sheetViews>
  <sheetFormatPr defaultColWidth="9.140625" defaultRowHeight="12.75"/>
  <cols>
    <col min="1" max="1" width="9.140625" style="309"/>
    <col min="2" max="2" width="35.7109375" style="309" customWidth="1"/>
    <col min="3" max="14" width="10.7109375" style="309" customWidth="1"/>
    <col min="15" max="16384" width="9.140625" style="309"/>
  </cols>
  <sheetData>
    <row r="1" spans="1:31" s="344" customFormat="1" ht="15">
      <c r="A1" s="343" t="str">
        <f>ModelBanner</f>
        <v>TSM_201718 for publication</v>
      </c>
    </row>
    <row r="2" spans="1:31" s="344" customFormat="1" ht="15">
      <c r="A2" s="1003" t="s">
        <v>13</v>
      </c>
      <c r="B2" s="1003" t="s">
        <v>30</v>
      </c>
    </row>
    <row r="3" spans="1:31" s="344" customFormat="1" ht="15">
      <c r="A3" s="345"/>
    </row>
    <row r="4" spans="1:31" s="348" customFormat="1">
      <c r="A4" s="346" t="s">
        <v>26</v>
      </c>
      <c r="B4" s="346"/>
      <c r="C4" s="346"/>
      <c r="D4" s="346"/>
      <c r="E4" s="347"/>
      <c r="F4" s="346"/>
      <c r="G4" s="346"/>
      <c r="H4" s="346"/>
      <c r="I4" s="346"/>
      <c r="J4" s="346"/>
      <c r="K4" s="346"/>
      <c r="L4" s="346"/>
    </row>
    <row r="5" spans="1:31" s="350" customFormat="1">
      <c r="A5" s="706" t="s">
        <v>1735</v>
      </c>
      <c r="B5" s="706"/>
      <c r="C5" s="706"/>
      <c r="D5" s="706"/>
      <c r="E5" s="706"/>
      <c r="F5" s="706"/>
      <c r="G5" s="706"/>
      <c r="H5" s="706"/>
      <c r="I5" s="706"/>
      <c r="J5" s="706"/>
      <c r="K5" s="706"/>
      <c r="L5" s="706"/>
      <c r="M5" s="349"/>
      <c r="N5" s="349"/>
      <c r="O5" s="349"/>
      <c r="P5" s="349"/>
      <c r="Q5" s="349"/>
    </row>
    <row r="6" spans="1:31" s="354" customFormat="1">
      <c r="A6" s="351" t="s">
        <v>1420</v>
      </c>
      <c r="B6" s="352"/>
      <c r="C6" s="352"/>
      <c r="D6" s="352"/>
      <c r="E6" s="347"/>
      <c r="F6" s="352"/>
      <c r="G6" s="352"/>
      <c r="H6" s="352"/>
      <c r="I6" s="352"/>
      <c r="J6" s="352"/>
      <c r="K6" s="352"/>
      <c r="L6" s="352"/>
      <c r="M6" s="353"/>
      <c r="N6" s="353"/>
      <c r="O6" s="353"/>
      <c r="P6" s="353"/>
      <c r="Q6" s="353"/>
    </row>
    <row r="7" spans="1:31" s="354" customFormat="1">
      <c r="A7" s="355" t="s">
        <v>348</v>
      </c>
      <c r="B7" s="351"/>
      <c r="C7" s="352"/>
      <c r="D7" s="352"/>
      <c r="E7" s="347"/>
      <c r="F7" s="352"/>
      <c r="G7" s="352"/>
      <c r="H7" s="352"/>
      <c r="I7" s="352"/>
      <c r="J7" s="352"/>
      <c r="K7" s="352"/>
      <c r="L7" s="352"/>
      <c r="M7" s="353"/>
      <c r="N7" s="353"/>
      <c r="O7" s="353"/>
      <c r="P7" s="353"/>
      <c r="Q7" s="353"/>
    </row>
    <row r="8" spans="1:31" s="354" customFormat="1">
      <c r="A8" s="351" t="s">
        <v>24</v>
      </c>
      <c r="B8" s="352"/>
      <c r="C8" s="352"/>
      <c r="D8" s="352"/>
      <c r="E8" s="347"/>
      <c r="F8" s="352"/>
      <c r="G8" s="352"/>
      <c r="H8" s="352"/>
      <c r="I8" s="352"/>
      <c r="J8" s="352"/>
      <c r="K8" s="352"/>
      <c r="L8" s="352"/>
      <c r="M8" s="353"/>
      <c r="N8" s="353"/>
      <c r="O8" s="353"/>
      <c r="P8" s="353"/>
      <c r="Q8" s="353"/>
    </row>
    <row r="9" spans="1:31" s="354" customFormat="1" ht="15">
      <c r="A9" s="355" t="s">
        <v>119</v>
      </c>
      <c r="B9" s="352"/>
      <c r="C9" s="353"/>
      <c r="D9" s="353"/>
      <c r="E9" s="344"/>
      <c r="F9" s="353"/>
      <c r="G9" s="353"/>
      <c r="H9" s="353"/>
      <c r="I9" s="353"/>
      <c r="J9" s="353"/>
      <c r="K9" s="353"/>
      <c r="L9" s="353"/>
      <c r="M9" s="353"/>
      <c r="N9" s="353"/>
      <c r="O9" s="353"/>
      <c r="P9" s="353"/>
      <c r="Q9" s="353"/>
    </row>
    <row r="10" spans="1:31" s="362" customFormat="1" ht="13.5" customHeight="1">
      <c r="A10" s="356">
        <f>SUM(A14:A2220)</f>
        <v>0</v>
      </c>
      <c r="B10" s="357"/>
      <c r="C10" s="358"/>
      <c r="D10" s="359"/>
      <c r="E10" s="359"/>
      <c r="F10" s="359"/>
      <c r="G10" s="360"/>
      <c r="H10" s="359"/>
      <c r="I10" s="359"/>
      <c r="J10" s="360"/>
      <c r="K10" s="361"/>
      <c r="L10" s="361"/>
      <c r="M10" s="361"/>
      <c r="N10" s="361"/>
      <c r="O10" s="361"/>
      <c r="P10" s="361"/>
      <c r="Q10" s="361"/>
    </row>
    <row r="12" spans="1:31">
      <c r="B12" s="341" t="s">
        <v>390</v>
      </c>
    </row>
    <row r="13" spans="1:31">
      <c r="B13" s="341"/>
      <c r="C13" s="275"/>
      <c r="D13" s="275"/>
      <c r="E13" s="275"/>
      <c r="F13" s="275"/>
      <c r="G13" s="275"/>
      <c r="H13" s="275"/>
      <c r="I13" s="275"/>
      <c r="J13" s="275"/>
      <c r="K13" s="275"/>
      <c r="L13" s="275"/>
      <c r="M13" s="275"/>
      <c r="N13" s="275"/>
    </row>
    <row r="14" spans="1:31">
      <c r="B14" s="363"/>
      <c r="C14" s="363" t="str">
        <f>'Art_&amp;_Design_1'!C293</f>
        <v>2016/17</v>
      </c>
      <c r="D14" s="363" t="str">
        <f>'Art_&amp;_Design_1'!D293</f>
        <v>2017/18</v>
      </c>
      <c r="E14" s="363" t="str">
        <f>'Art_&amp;_Design_1'!E293</f>
        <v>2018/19</v>
      </c>
      <c r="F14" s="363" t="str">
        <f>'Art_&amp;_Design_1'!F293</f>
        <v>2019/20</v>
      </c>
      <c r="G14" s="363" t="str">
        <f>'Art_&amp;_Design_1'!G293</f>
        <v>2020/21</v>
      </c>
      <c r="H14" s="363" t="str">
        <f>'Art_&amp;_Design_1'!H293</f>
        <v>2021/22</v>
      </c>
      <c r="I14" s="363" t="str">
        <f>'Art_&amp;_Design_1'!I293</f>
        <v>2022/23</v>
      </c>
      <c r="J14" s="363" t="str">
        <f>'Art_&amp;_Design_1'!J293</f>
        <v>2023/24</v>
      </c>
      <c r="K14" s="363" t="str">
        <f>'Art_&amp;_Design_1'!K293</f>
        <v>2024/25</v>
      </c>
      <c r="L14" s="363" t="str">
        <f>'Art_&amp;_Design_1'!L293</f>
        <v>2025/26</v>
      </c>
      <c r="M14" s="363" t="str">
        <f>'Art_&amp;_Design_1'!M293</f>
        <v>2026/27</v>
      </c>
      <c r="N14" s="363" t="str">
        <f>'Art_&amp;_Design_1'!N293</f>
        <v>2027/28</v>
      </c>
      <c r="AD14" s="325"/>
      <c r="AE14" s="275"/>
    </row>
    <row r="15" spans="1:31">
      <c r="B15" s="363" t="str">
        <f>Primary_1!B296</f>
        <v>Primary</v>
      </c>
      <c r="C15" s="282">
        <f>OUTPUTS_FOR_SECTION_2_OF_MODEL!C83</f>
        <v>27538.544661464744</v>
      </c>
      <c r="D15" s="282">
        <f>OUTPUTS_FOR_SECTION_2_OF_MODEL!D83</f>
        <v>26105.002673937081</v>
      </c>
      <c r="E15" s="282">
        <f>OUTPUTS_FOR_SECTION_2_OF_MODEL!E83</f>
        <v>25804.401119795846</v>
      </c>
      <c r="F15" s="282">
        <f>OUTPUTS_FOR_SECTION_2_OF_MODEL!F83</f>
        <v>24509.091093232932</v>
      </c>
      <c r="G15" s="282">
        <f>OUTPUTS_FOR_SECTION_2_OF_MODEL!G83</f>
        <v>24656.998817781678</v>
      </c>
      <c r="H15" s="282">
        <f>OUTPUTS_FOR_SECTION_2_OF_MODEL!H83</f>
        <v>24432.263410506512</v>
      </c>
      <c r="I15" s="282">
        <f>OUTPUTS_FOR_SECTION_2_OF_MODEL!I83</f>
        <v>24102.311757997213</v>
      </c>
      <c r="J15" s="282">
        <f>OUTPUTS_FOR_SECTION_2_OF_MODEL!J83</f>
        <v>23873.194543470338</v>
      </c>
      <c r="K15" s="282">
        <f>OUTPUTS_FOR_SECTION_2_OF_MODEL!K83</f>
        <v>24450.504710155619</v>
      </c>
      <c r="L15" s="282">
        <f>OUTPUTS_FOR_SECTION_2_OF_MODEL!L83</f>
        <v>24916.785672652128</v>
      </c>
      <c r="M15" s="282">
        <f>OUTPUTS_FOR_SECTION_2_OF_MODEL!M83</f>
        <v>25036.449572418685</v>
      </c>
      <c r="N15" s="282">
        <f>OUTPUTS_FOR_SECTION_2_OF_MODEL!N83</f>
        <v>24924.618653464819</v>
      </c>
      <c r="AD15" s="325"/>
      <c r="AE15" s="275"/>
    </row>
    <row r="16" spans="1:31">
      <c r="B16" s="363" t="str">
        <f>'Art_&amp;_Design_1'!B296</f>
        <v>Art &amp; Design</v>
      </c>
      <c r="C16" s="282">
        <f>OUTPUTS_FOR_SECTION_2_OF_MODEL!C65</f>
        <v>818.75145377217302</v>
      </c>
      <c r="D16" s="282">
        <f>OUTPUTS_FOR_SECTION_2_OF_MODEL!D65</f>
        <v>927.93654352597684</v>
      </c>
      <c r="E16" s="282">
        <f>OUTPUTS_FOR_SECTION_2_OF_MODEL!E65</f>
        <v>817.25785947076361</v>
      </c>
      <c r="F16" s="282">
        <f>OUTPUTS_FOR_SECTION_2_OF_MODEL!F65</f>
        <v>821.31614638925009</v>
      </c>
      <c r="G16" s="282">
        <f>OUTPUTS_FOR_SECTION_2_OF_MODEL!G65</f>
        <v>922.91788492748583</v>
      </c>
      <c r="H16" s="282">
        <f>OUTPUTS_FOR_SECTION_2_OF_MODEL!H65</f>
        <v>941.38089751993812</v>
      </c>
      <c r="I16" s="282">
        <f>OUTPUTS_FOR_SECTION_2_OF_MODEL!I65</f>
        <v>948.22222537427285</v>
      </c>
      <c r="J16" s="282">
        <f>OUTPUTS_FOR_SECTION_2_OF_MODEL!J65</f>
        <v>962.85061924353772</v>
      </c>
      <c r="K16" s="282">
        <f>OUTPUTS_FOR_SECTION_2_OF_MODEL!K65</f>
        <v>926.77228411941587</v>
      </c>
      <c r="L16" s="282">
        <f>OUTPUTS_FOR_SECTION_2_OF_MODEL!L65</f>
        <v>890.58828211018431</v>
      </c>
      <c r="M16" s="282">
        <f>OUTPUTS_FOR_SECTION_2_OF_MODEL!M65</f>
        <v>872.01931104115033</v>
      </c>
      <c r="N16" s="282">
        <f>OUTPUTS_FOR_SECTION_2_OF_MODEL!N65</f>
        <v>891.42260405371076</v>
      </c>
      <c r="AD16" s="325"/>
      <c r="AE16" s="275"/>
    </row>
    <row r="17" spans="2:16">
      <c r="B17" s="363" t="str">
        <f>Biology_1!B296</f>
        <v>Biology</v>
      </c>
      <c r="C17" s="282">
        <f>OUTPUTS_FOR_SECTION_2_OF_MODEL!C66</f>
        <v>1914.5076796152448</v>
      </c>
      <c r="D17" s="282">
        <f>OUTPUTS_FOR_SECTION_2_OF_MODEL!D66</f>
        <v>1456.0427186937031</v>
      </c>
      <c r="E17" s="282">
        <f>OUTPUTS_FOR_SECTION_2_OF_MODEL!E66</f>
        <v>1622.9690753203779</v>
      </c>
      <c r="F17" s="282">
        <f>OUTPUTS_FOR_SECTION_2_OF_MODEL!F66</f>
        <v>1541.0689857592392</v>
      </c>
      <c r="G17" s="282">
        <f>OUTPUTS_FOR_SECTION_2_OF_MODEL!G66</f>
        <v>1523.4355793739348</v>
      </c>
      <c r="H17" s="282">
        <f>OUTPUTS_FOR_SECTION_2_OF_MODEL!H66</f>
        <v>1554.0900491778327</v>
      </c>
      <c r="I17" s="282">
        <f>OUTPUTS_FOR_SECTION_2_OF_MODEL!I66</f>
        <v>1597.2525539966007</v>
      </c>
      <c r="J17" s="282">
        <f>OUTPUTS_FOR_SECTION_2_OF_MODEL!J66</f>
        <v>1568.3907652139583</v>
      </c>
      <c r="K17" s="282">
        <f>OUTPUTS_FOR_SECTION_2_OF_MODEL!K66</f>
        <v>1525.6184113063307</v>
      </c>
      <c r="L17" s="282">
        <f>OUTPUTS_FOR_SECTION_2_OF_MODEL!L66</f>
        <v>1543.0806641013999</v>
      </c>
      <c r="M17" s="282">
        <f>OUTPUTS_FOR_SECTION_2_OF_MODEL!M66</f>
        <v>1534.0714545852397</v>
      </c>
      <c r="N17" s="282">
        <f>OUTPUTS_FOR_SECTION_2_OF_MODEL!N66</f>
        <v>1479.2817977451632</v>
      </c>
    </row>
    <row r="18" spans="2:16">
      <c r="B18" s="363" t="str">
        <f>Business_Studies_1!B296</f>
        <v>Business Studies</v>
      </c>
      <c r="C18" s="282">
        <f>OUTPUTS_FOR_SECTION_2_OF_MODEL!C67</f>
        <v>362.24872735684426</v>
      </c>
      <c r="D18" s="282">
        <f>OUTPUTS_FOR_SECTION_2_OF_MODEL!D67</f>
        <v>373.05911124335444</v>
      </c>
      <c r="E18" s="282">
        <f>OUTPUTS_FOR_SECTION_2_OF_MODEL!E67</f>
        <v>322.16379969187324</v>
      </c>
      <c r="F18" s="282">
        <f>OUTPUTS_FOR_SECTION_2_OF_MODEL!F67</f>
        <v>242.64341944863361</v>
      </c>
      <c r="G18" s="282">
        <f>OUTPUTS_FOR_SECTION_2_OF_MODEL!G67</f>
        <v>361.07790710831665</v>
      </c>
      <c r="H18" s="282">
        <f>OUTPUTS_FOR_SECTION_2_OF_MODEL!H67</f>
        <v>416.6983553825952</v>
      </c>
      <c r="I18" s="282">
        <f>OUTPUTS_FOR_SECTION_2_OF_MODEL!I67</f>
        <v>451.85055300150242</v>
      </c>
      <c r="J18" s="282">
        <f>OUTPUTS_FOR_SECTION_2_OF_MODEL!J67</f>
        <v>438.31222345428705</v>
      </c>
      <c r="K18" s="282">
        <f>OUTPUTS_FOR_SECTION_2_OF_MODEL!K67</f>
        <v>452.22124837084499</v>
      </c>
      <c r="L18" s="282">
        <f>OUTPUTS_FOR_SECTION_2_OF_MODEL!L67</f>
        <v>466.43200415197572</v>
      </c>
      <c r="M18" s="282">
        <f>OUTPUTS_FOR_SECTION_2_OF_MODEL!M67</f>
        <v>469.10526220038776</v>
      </c>
      <c r="N18" s="282">
        <f>OUTPUTS_FOR_SECTION_2_OF_MODEL!N67</f>
        <v>440.86073111453987</v>
      </c>
    </row>
    <row r="19" spans="2:16">
      <c r="B19" s="363" t="str">
        <f>Chemistry_1!B296</f>
        <v>Chemistry</v>
      </c>
      <c r="C19" s="282">
        <f>OUTPUTS_FOR_SECTION_2_OF_MODEL!C68</f>
        <v>1643.6448981347612</v>
      </c>
      <c r="D19" s="282">
        <f>OUTPUTS_FOR_SECTION_2_OF_MODEL!D68</f>
        <v>1300.1736948351936</v>
      </c>
      <c r="E19" s="282">
        <f>OUTPUTS_FOR_SECTION_2_OF_MODEL!E68</f>
        <v>1369.3635969078512</v>
      </c>
      <c r="F19" s="282">
        <f>OUTPUTS_FOR_SECTION_2_OF_MODEL!F68</f>
        <v>1370.3546697869631</v>
      </c>
      <c r="G19" s="282">
        <f>OUTPUTS_FOR_SECTION_2_OF_MODEL!G68</f>
        <v>1350.5794286394669</v>
      </c>
      <c r="H19" s="282">
        <f>OUTPUTS_FOR_SECTION_2_OF_MODEL!H68</f>
        <v>1375.8173502548311</v>
      </c>
      <c r="I19" s="282">
        <f>OUTPUTS_FOR_SECTION_2_OF_MODEL!I68</f>
        <v>1411.6156893113766</v>
      </c>
      <c r="J19" s="282">
        <f>OUTPUTS_FOR_SECTION_2_OF_MODEL!J68</f>
        <v>1375.2824750734162</v>
      </c>
      <c r="K19" s="282">
        <f>OUTPUTS_FOR_SECTION_2_OF_MODEL!K68</f>
        <v>1334.3803130509314</v>
      </c>
      <c r="L19" s="282">
        <f>OUTPUTS_FOR_SECTION_2_OF_MODEL!L68</f>
        <v>1353.9948822402539</v>
      </c>
      <c r="M19" s="282">
        <f>OUTPUTS_FOR_SECTION_2_OF_MODEL!M68</f>
        <v>1344.5024695298421</v>
      </c>
      <c r="N19" s="282">
        <f>OUTPUTS_FOR_SECTION_2_OF_MODEL!N68</f>
        <v>1283.2001953735639</v>
      </c>
    </row>
    <row r="20" spans="2:16">
      <c r="B20" s="363" t="str">
        <f>Classics_1!B296</f>
        <v>Classics</v>
      </c>
      <c r="C20" s="282">
        <f>OUTPUTS_FOR_SECTION_2_OF_MODEL!C69</f>
        <v>40.462977276203873</v>
      </c>
      <c r="D20" s="282">
        <f>OUTPUTS_FOR_SECTION_2_OF_MODEL!D69</f>
        <v>40.103914155770951</v>
      </c>
      <c r="E20" s="282">
        <f>OUTPUTS_FOR_SECTION_2_OF_MODEL!E69</f>
        <v>38.885487227047463</v>
      </c>
      <c r="F20" s="282">
        <f>OUTPUTS_FOR_SECTION_2_OF_MODEL!F69</f>
        <v>37.79443409415417</v>
      </c>
      <c r="G20" s="282">
        <f>OUTPUTS_FOR_SECTION_2_OF_MODEL!G69</f>
        <v>37.320608334297425</v>
      </c>
      <c r="H20" s="282">
        <f>OUTPUTS_FOR_SECTION_2_OF_MODEL!H69</f>
        <v>37.508610997447512</v>
      </c>
      <c r="I20" s="282">
        <f>OUTPUTS_FOR_SECTION_2_OF_MODEL!I69</f>
        <v>38.178825260527432</v>
      </c>
      <c r="J20" s="282">
        <f>OUTPUTS_FOR_SECTION_2_OF_MODEL!J69</f>
        <v>37.964857506925505</v>
      </c>
      <c r="K20" s="282">
        <f>OUTPUTS_FOR_SECTION_2_OF_MODEL!K69</f>
        <v>37.386645759601443</v>
      </c>
      <c r="L20" s="282">
        <f>OUTPUTS_FOR_SECTION_2_OF_MODEL!L69</f>
        <v>36.484506038977038</v>
      </c>
      <c r="M20" s="282">
        <f>OUTPUTS_FOR_SECTION_2_OF_MODEL!M69</f>
        <v>35.996949863146021</v>
      </c>
      <c r="N20" s="282">
        <f>OUTPUTS_FOR_SECTION_2_OF_MODEL!N69</f>
        <v>35.965383679281501</v>
      </c>
    </row>
    <row r="21" spans="2:16">
      <c r="B21" s="363" t="str">
        <f>Computing_1!B296</f>
        <v>Computing</v>
      </c>
      <c r="C21" s="282">
        <f>OUTPUTS_FOR_SECTION_2_OF_MODEL!C70</f>
        <v>709.32546447980587</v>
      </c>
      <c r="D21" s="282">
        <f>OUTPUTS_FOR_SECTION_2_OF_MODEL!D70</f>
        <v>843.57843472215291</v>
      </c>
      <c r="E21" s="282">
        <f>OUTPUTS_FOR_SECTION_2_OF_MODEL!E70</f>
        <v>606.54529199878812</v>
      </c>
      <c r="F21" s="282">
        <f>OUTPUTS_FOR_SECTION_2_OF_MODEL!F70</f>
        <v>583.35086242820535</v>
      </c>
      <c r="G21" s="282">
        <f>OUTPUTS_FOR_SECTION_2_OF_MODEL!G70</f>
        <v>773.9857188455577</v>
      </c>
      <c r="H21" s="282">
        <f>OUTPUTS_FOR_SECTION_2_OF_MODEL!H70</f>
        <v>832.54281536747317</v>
      </c>
      <c r="I21" s="282">
        <f>OUTPUTS_FOR_SECTION_2_OF_MODEL!I70</f>
        <v>846.49492966501373</v>
      </c>
      <c r="J21" s="282">
        <f>OUTPUTS_FOR_SECTION_2_OF_MODEL!J70</f>
        <v>853.1581471224514</v>
      </c>
      <c r="K21" s="282">
        <f>OUTPUTS_FOR_SECTION_2_OF_MODEL!K70</f>
        <v>827.13041414329996</v>
      </c>
      <c r="L21" s="282">
        <f>OUTPUTS_FOR_SECTION_2_OF_MODEL!L70</f>
        <v>808.33190401463776</v>
      </c>
      <c r="M21" s="282">
        <f>OUTPUTS_FOR_SECTION_2_OF_MODEL!M70</f>
        <v>796.29075672587828</v>
      </c>
      <c r="N21" s="282">
        <f>OUTPUTS_FOR_SECTION_2_OF_MODEL!N70</f>
        <v>800.54945796281163</v>
      </c>
      <c r="P21" s="325"/>
    </row>
    <row r="22" spans="2:16">
      <c r="B22" s="363" t="str">
        <f>'Design_&amp;_Technology_1'!B296</f>
        <v>Design &amp; Technology</v>
      </c>
      <c r="C22" s="282">
        <f>OUTPUTS_FOR_SECTION_2_OF_MODEL!C71</f>
        <v>1245.0689442608946</v>
      </c>
      <c r="D22" s="282">
        <f>OUTPUTS_FOR_SECTION_2_OF_MODEL!D71</f>
        <v>1311.846587985312</v>
      </c>
      <c r="E22" s="282">
        <f>OUTPUTS_FOR_SECTION_2_OF_MODEL!E71</f>
        <v>1012.1564823549604</v>
      </c>
      <c r="F22" s="282">
        <f>OUTPUTS_FOR_SECTION_2_OF_MODEL!F71</f>
        <v>918.40314532993511</v>
      </c>
      <c r="G22" s="282">
        <f>OUTPUTS_FOR_SECTION_2_OF_MODEL!G71</f>
        <v>1109.0705573766031</v>
      </c>
      <c r="H22" s="282">
        <f>OUTPUTS_FOR_SECTION_2_OF_MODEL!H71</f>
        <v>1164.802208393276</v>
      </c>
      <c r="I22" s="282">
        <f>OUTPUTS_FOR_SECTION_2_OF_MODEL!I71</f>
        <v>1142.0498555740651</v>
      </c>
      <c r="J22" s="282">
        <f>OUTPUTS_FOR_SECTION_2_OF_MODEL!J71</f>
        <v>1162.780409032571</v>
      </c>
      <c r="K22" s="282">
        <f>OUTPUTS_FOR_SECTION_2_OF_MODEL!K71</f>
        <v>1093.2713559971535</v>
      </c>
      <c r="L22" s="282">
        <f>OUTPUTS_FOR_SECTION_2_OF_MODEL!L71</f>
        <v>1024.9326813218624</v>
      </c>
      <c r="M22" s="282">
        <f>OUTPUTS_FOR_SECTION_2_OF_MODEL!M71</f>
        <v>991.48896928915133</v>
      </c>
      <c r="N22" s="282">
        <f>OUTPUTS_FOR_SECTION_2_OF_MODEL!N71</f>
        <v>1034.7806866282249</v>
      </c>
      <c r="P22" s="325"/>
    </row>
    <row r="23" spans="2:16">
      <c r="B23" s="363" t="str">
        <f>Drama_1!B296</f>
        <v>Drama</v>
      </c>
      <c r="C23" s="282">
        <f>OUTPUTS_FOR_SECTION_2_OF_MODEL!C72</f>
        <v>500.66562407477022</v>
      </c>
      <c r="D23" s="282">
        <f>OUTPUTS_FOR_SECTION_2_OF_MODEL!D72</f>
        <v>535.81534290220816</v>
      </c>
      <c r="E23" s="282">
        <f>OUTPUTS_FOR_SECTION_2_OF_MODEL!E72</f>
        <v>524.0947653422545</v>
      </c>
      <c r="F23" s="282">
        <f>OUTPUTS_FOR_SECTION_2_OF_MODEL!F72</f>
        <v>506.27762177873194</v>
      </c>
      <c r="G23" s="282">
        <f>OUTPUTS_FOR_SECTION_2_OF_MODEL!G72</f>
        <v>502.59427234489328</v>
      </c>
      <c r="H23" s="282">
        <f>OUTPUTS_FOR_SECTION_2_OF_MODEL!H72</f>
        <v>542.0105294600877</v>
      </c>
      <c r="I23" s="282">
        <f>OUTPUTS_FOR_SECTION_2_OF_MODEL!I72</f>
        <v>545.64501769486344</v>
      </c>
      <c r="J23" s="282">
        <f>OUTPUTS_FOR_SECTION_2_OF_MODEL!J72</f>
        <v>558.07417897334494</v>
      </c>
      <c r="K23" s="282">
        <f>OUTPUTS_FOR_SECTION_2_OF_MODEL!K72</f>
        <v>535.94832354417588</v>
      </c>
      <c r="L23" s="282">
        <f>OUTPUTS_FOR_SECTION_2_OF_MODEL!L72</f>
        <v>515.54095619313125</v>
      </c>
      <c r="M23" s="282">
        <f>OUTPUTS_FOR_SECTION_2_OF_MODEL!M72</f>
        <v>506.49020975013286</v>
      </c>
      <c r="N23" s="282">
        <f>OUTPUTS_FOR_SECTION_2_OF_MODEL!N72</f>
        <v>522.93864569563834</v>
      </c>
    </row>
    <row r="24" spans="2:16">
      <c r="B24" s="363" t="str">
        <f>English_1!B296</f>
        <v>English</v>
      </c>
      <c r="C24" s="282">
        <f>OUTPUTS_FOR_SECTION_2_OF_MODEL!C73</f>
        <v>3778.1104864577228</v>
      </c>
      <c r="D24" s="282">
        <f>OUTPUTS_FOR_SECTION_2_OF_MODEL!D73</f>
        <v>3599.4228192505816</v>
      </c>
      <c r="E24" s="282">
        <f>OUTPUTS_FOR_SECTION_2_OF_MODEL!E73</f>
        <v>3862.8994883252717</v>
      </c>
      <c r="F24" s="282">
        <f>OUTPUTS_FOR_SECTION_2_OF_MODEL!F73</f>
        <v>3701.4082860658532</v>
      </c>
      <c r="G24" s="282">
        <f>OUTPUTS_FOR_SECTION_2_OF_MODEL!G73</f>
        <v>3615.2957762173473</v>
      </c>
      <c r="H24" s="282">
        <f>OUTPUTS_FOR_SECTION_2_OF_MODEL!H73</f>
        <v>3630.9258555009756</v>
      </c>
      <c r="I24" s="282">
        <f>OUTPUTS_FOR_SECTION_2_OF_MODEL!I73</f>
        <v>3661.6593030373506</v>
      </c>
      <c r="J24" s="282">
        <f>OUTPUTS_FOR_SECTION_2_OF_MODEL!J73</f>
        <v>3620.3691206946369</v>
      </c>
      <c r="K24" s="282">
        <f>OUTPUTS_FOR_SECTION_2_OF_MODEL!K73</f>
        <v>3455.9903259364196</v>
      </c>
      <c r="L24" s="282">
        <f>OUTPUTS_FOR_SECTION_2_OF_MODEL!L73</f>
        <v>3435.1827295512644</v>
      </c>
      <c r="M24" s="282">
        <f>OUTPUTS_FOR_SECTION_2_OF_MODEL!M73</f>
        <v>3388.9169995444304</v>
      </c>
      <c r="N24" s="282">
        <f>OUTPUTS_FOR_SECTION_2_OF_MODEL!N73</f>
        <v>3324.7251138627344</v>
      </c>
    </row>
    <row r="25" spans="2:16">
      <c r="B25" s="363" t="str">
        <f>Food_1!B296</f>
        <v>Food</v>
      </c>
      <c r="C25" s="282">
        <f>OUTPUTS_FOR_SECTION_2_OF_MODEL!C74</f>
        <v>234.07235550154263</v>
      </c>
      <c r="D25" s="282">
        <f>OUTPUTS_FOR_SECTION_2_OF_MODEL!D74</f>
        <v>284.27617634968738</v>
      </c>
      <c r="E25" s="282">
        <f>OUTPUTS_FOR_SECTION_2_OF_MODEL!E74</f>
        <v>194.17053582383005</v>
      </c>
      <c r="F25" s="282">
        <f>OUTPUTS_FOR_SECTION_2_OF_MODEL!F74</f>
        <v>170.8270791023503</v>
      </c>
      <c r="G25" s="282">
        <f>OUTPUTS_FOR_SECTION_2_OF_MODEL!G74</f>
        <v>230.37708101191996</v>
      </c>
      <c r="H25" s="282">
        <f>OUTPUTS_FOR_SECTION_2_OF_MODEL!H74</f>
        <v>245.70104364650734</v>
      </c>
      <c r="I25" s="282">
        <f>OUTPUTS_FOR_SECTION_2_OF_MODEL!I74</f>
        <v>246.34790451003173</v>
      </c>
      <c r="J25" s="282">
        <f>OUTPUTS_FOR_SECTION_2_OF_MODEL!J74</f>
        <v>236.46023169056463</v>
      </c>
      <c r="K25" s="282">
        <f>OUTPUTS_FOR_SECTION_2_OF_MODEL!K74</f>
        <v>224.73956387035648</v>
      </c>
      <c r="L25" s="282">
        <f>OUTPUTS_FOR_SECTION_2_OF_MODEL!L74</f>
        <v>226.24983913949038</v>
      </c>
      <c r="M25" s="282">
        <f>OUTPUTS_FOR_SECTION_2_OF_MODEL!M74</f>
        <v>222.57327350751743</v>
      </c>
      <c r="N25" s="282">
        <f>OUTPUTS_FOR_SECTION_2_OF_MODEL!N74</f>
        <v>210.23572617202188</v>
      </c>
    </row>
    <row r="26" spans="2:16">
      <c r="B26" s="363" t="str">
        <f>Geography_1!B296</f>
        <v>Geography</v>
      </c>
      <c r="C26" s="282">
        <f>OUTPUTS_FOR_SECTION_2_OF_MODEL!C75</f>
        <v>1091.6578874521288</v>
      </c>
      <c r="D26" s="282">
        <f>OUTPUTS_FOR_SECTION_2_OF_MODEL!D75</f>
        <v>1176.8486226628406</v>
      </c>
      <c r="E26" s="282">
        <f>OUTPUTS_FOR_SECTION_2_OF_MODEL!E75</f>
        <v>1578.1307391323012</v>
      </c>
      <c r="F26" s="282">
        <f>OUTPUTS_FOR_SECTION_2_OF_MODEL!F75</f>
        <v>1559.9435854724363</v>
      </c>
      <c r="G26" s="282">
        <f>OUTPUTS_FOR_SECTION_2_OF_MODEL!G75</f>
        <v>1330.3897823669502</v>
      </c>
      <c r="H26" s="282">
        <f>OUTPUTS_FOR_SECTION_2_OF_MODEL!H75</f>
        <v>1288.7634130233025</v>
      </c>
      <c r="I26" s="282">
        <f>OUTPUTS_FOR_SECTION_2_OF_MODEL!I75</f>
        <v>1294.644023061835</v>
      </c>
      <c r="J26" s="282">
        <f>OUTPUTS_FOR_SECTION_2_OF_MODEL!J75</f>
        <v>1303.7414380971634</v>
      </c>
      <c r="K26" s="282">
        <f>OUTPUTS_FOR_SECTION_2_OF_MODEL!K75</f>
        <v>1244.6928236847466</v>
      </c>
      <c r="L26" s="282">
        <f>OUTPUTS_FOR_SECTION_2_OF_MODEL!L75</f>
        <v>1213.3361672022436</v>
      </c>
      <c r="M26" s="282">
        <f>OUTPUTS_FOR_SECTION_2_OF_MODEL!M75</f>
        <v>1192.8208878862974</v>
      </c>
      <c r="N26" s="282">
        <f>OUTPUTS_FOR_SECTION_2_OF_MODEL!N75</f>
        <v>1204.3424150166754</v>
      </c>
    </row>
    <row r="27" spans="2:16">
      <c r="B27" s="363" t="str">
        <f>History_1!B296</f>
        <v>History</v>
      </c>
      <c r="C27" s="282">
        <f>OUTPUTS_FOR_SECTION_2_OF_MODEL!C76</f>
        <v>1081.6752707668475</v>
      </c>
      <c r="D27" s="282">
        <f>OUTPUTS_FOR_SECTION_2_OF_MODEL!D76</f>
        <v>1242.6293981653848</v>
      </c>
      <c r="E27" s="282">
        <f>OUTPUTS_FOR_SECTION_2_OF_MODEL!E76</f>
        <v>1516.6921585404023</v>
      </c>
      <c r="F27" s="282">
        <f>OUTPUTS_FOR_SECTION_2_OF_MODEL!F76</f>
        <v>1571.7216952093804</v>
      </c>
      <c r="G27" s="282">
        <f>OUTPUTS_FOR_SECTION_2_OF_MODEL!G76</f>
        <v>1361.6441528973978</v>
      </c>
      <c r="H27" s="282">
        <f>OUTPUTS_FOR_SECTION_2_OF_MODEL!H76</f>
        <v>1350.7580453005312</v>
      </c>
      <c r="I27" s="282">
        <f>OUTPUTS_FOR_SECTION_2_OF_MODEL!I76</f>
        <v>1362.0636501364806</v>
      </c>
      <c r="J27" s="282">
        <f>OUTPUTS_FOR_SECTION_2_OF_MODEL!J76</f>
        <v>1369.6103235530522</v>
      </c>
      <c r="K27" s="282">
        <f>OUTPUTS_FOR_SECTION_2_OF_MODEL!K76</f>
        <v>1313.2053394274715</v>
      </c>
      <c r="L27" s="282">
        <f>OUTPUTS_FOR_SECTION_2_OF_MODEL!L76</f>
        <v>1282.8334505470709</v>
      </c>
      <c r="M27" s="282">
        <f>OUTPUTS_FOR_SECTION_2_OF_MODEL!M76</f>
        <v>1262.3868850136987</v>
      </c>
      <c r="N27" s="282">
        <f>OUTPUTS_FOR_SECTION_2_OF_MODEL!N76</f>
        <v>1270.4926074627915</v>
      </c>
    </row>
    <row r="28" spans="2:16">
      <c r="B28" s="363" t="str">
        <f>Mathematics_1!B296</f>
        <v>Mathematics</v>
      </c>
      <c r="C28" s="282">
        <f>OUTPUTS_FOR_SECTION_2_OF_MODEL!C77</f>
        <v>4533.0586834746464</v>
      </c>
      <c r="D28" s="282">
        <f>OUTPUTS_FOR_SECTION_2_OF_MODEL!D77</f>
        <v>4151.1912952787143</v>
      </c>
      <c r="E28" s="282">
        <f>OUTPUTS_FOR_SECTION_2_OF_MODEL!E77</f>
        <v>4253.0396385280801</v>
      </c>
      <c r="F28" s="282">
        <f>OUTPUTS_FOR_SECTION_2_OF_MODEL!F77</f>
        <v>4116.8985425687888</v>
      </c>
      <c r="G28" s="282">
        <f>OUTPUTS_FOR_SECTION_2_OF_MODEL!G77</f>
        <v>4076.1032526889899</v>
      </c>
      <c r="H28" s="282">
        <f>OUTPUTS_FOR_SECTION_2_OF_MODEL!H77</f>
        <v>3972.780827279938</v>
      </c>
      <c r="I28" s="282">
        <f>OUTPUTS_FOR_SECTION_2_OF_MODEL!I77</f>
        <v>3999.0652238733483</v>
      </c>
      <c r="J28" s="282">
        <f>OUTPUTS_FOR_SECTION_2_OF_MODEL!J77</f>
        <v>3952.3341882604354</v>
      </c>
      <c r="K28" s="282">
        <f>OUTPUTS_FOR_SECTION_2_OF_MODEL!K77</f>
        <v>3780.3366397170557</v>
      </c>
      <c r="L28" s="282">
        <f>OUTPUTS_FOR_SECTION_2_OF_MODEL!L77</f>
        <v>3737.8028243573672</v>
      </c>
      <c r="M28" s="282">
        <f>OUTPUTS_FOR_SECTION_2_OF_MODEL!M77</f>
        <v>3678.4063194105711</v>
      </c>
      <c r="N28" s="282">
        <f>OUTPUTS_FOR_SECTION_2_OF_MODEL!N77</f>
        <v>3612.9428403986103</v>
      </c>
    </row>
    <row r="29" spans="2:16">
      <c r="B29" s="363" t="str">
        <f>Modern_Foreign_Languages_1!B296</f>
        <v>Modern Foreign Languages</v>
      </c>
      <c r="C29" s="282">
        <f>OUTPUTS_FOR_SECTION_2_OF_MODEL!C78</f>
        <v>1598.4891505508069</v>
      </c>
      <c r="D29" s="282">
        <f>OUTPUTS_FOR_SECTION_2_OF_MODEL!D78</f>
        <v>1814.5522420788348</v>
      </c>
      <c r="E29" s="282">
        <f>OUTPUTS_FOR_SECTION_2_OF_MODEL!E78</f>
        <v>3169.8238040684982</v>
      </c>
      <c r="F29" s="282">
        <f>OUTPUTS_FOR_SECTION_2_OF_MODEL!F78</f>
        <v>3382.5455067966113</v>
      </c>
      <c r="G29" s="282">
        <f>OUTPUTS_FOR_SECTION_2_OF_MODEL!G78</f>
        <v>2577.6234451171326</v>
      </c>
      <c r="H29" s="282">
        <f>OUTPUTS_FOR_SECTION_2_OF_MODEL!H78</f>
        <v>2200.730093337505</v>
      </c>
      <c r="I29" s="282">
        <f>OUTPUTS_FOR_SECTION_2_OF_MODEL!I78</f>
        <v>2191.2039640264884</v>
      </c>
      <c r="J29" s="282">
        <f>OUTPUTS_FOR_SECTION_2_OF_MODEL!J78</f>
        <v>2194.4925909694066</v>
      </c>
      <c r="K29" s="282">
        <f>OUTPUTS_FOR_SECTION_2_OF_MODEL!K78</f>
        <v>2077.6440279294093</v>
      </c>
      <c r="L29" s="282">
        <f>OUTPUTS_FOR_SECTION_2_OF_MODEL!L78</f>
        <v>2017.5374365779689</v>
      </c>
      <c r="M29" s="282">
        <f>OUTPUTS_FOR_SECTION_2_OF_MODEL!M78</f>
        <v>1973.8877271487099</v>
      </c>
      <c r="N29" s="282">
        <f>OUTPUTS_FOR_SECTION_2_OF_MODEL!N78</f>
        <v>1984.3324489999882</v>
      </c>
    </row>
    <row r="30" spans="2:16">
      <c r="B30" s="363" t="str">
        <f>Music_1!B296</f>
        <v>Music</v>
      </c>
      <c r="C30" s="282">
        <f>OUTPUTS_FOR_SECTION_2_OF_MODEL!C79</f>
        <v>518.19712238615239</v>
      </c>
      <c r="D30" s="282">
        <f>OUTPUTS_FOR_SECTION_2_OF_MODEL!D79</f>
        <v>563.21972711972126</v>
      </c>
      <c r="E30" s="282">
        <f>OUTPUTS_FOR_SECTION_2_OF_MODEL!E79</f>
        <v>572.59936089012535</v>
      </c>
      <c r="F30" s="282">
        <f>OUTPUTS_FOR_SECTION_2_OF_MODEL!F79</f>
        <v>592.16071758430417</v>
      </c>
      <c r="G30" s="282">
        <f>OUTPUTS_FOR_SECTION_2_OF_MODEL!G79</f>
        <v>583.48353399109374</v>
      </c>
      <c r="H30" s="282">
        <f>OUTPUTS_FOR_SECTION_2_OF_MODEL!H79</f>
        <v>573.27595593338151</v>
      </c>
      <c r="I30" s="282">
        <f>OUTPUTS_FOR_SECTION_2_OF_MODEL!I79</f>
        <v>567.32244580792019</v>
      </c>
      <c r="J30" s="282">
        <f>OUTPUTS_FOR_SECTION_2_OF_MODEL!J79</f>
        <v>588.9684862115779</v>
      </c>
      <c r="K30" s="282">
        <f>OUTPUTS_FOR_SECTION_2_OF_MODEL!K79</f>
        <v>557.81099730005849</v>
      </c>
      <c r="L30" s="282">
        <f>OUTPUTS_FOR_SECTION_2_OF_MODEL!L79</f>
        <v>522.11676448490664</v>
      </c>
      <c r="M30" s="282">
        <f>OUTPUTS_FOR_SECTION_2_OF_MODEL!M79</f>
        <v>508.07188932545034</v>
      </c>
      <c r="N30" s="282">
        <f>OUTPUTS_FOR_SECTION_2_OF_MODEL!N79</f>
        <v>541.22773670326114</v>
      </c>
    </row>
    <row r="31" spans="2:16">
      <c r="B31" s="363" t="str">
        <f>Others_1!B296</f>
        <v>Others</v>
      </c>
      <c r="C31" s="282">
        <f>OUTPUTS_FOR_SECTION_2_OF_MODEL!C80</f>
        <v>1500.072456160216</v>
      </c>
      <c r="D31" s="282">
        <f>OUTPUTS_FOR_SECTION_2_OF_MODEL!D80</f>
        <v>1426.8587676432212</v>
      </c>
      <c r="E31" s="282">
        <f>OUTPUTS_FOR_SECTION_2_OF_MODEL!E80</f>
        <v>1185.3582393233153</v>
      </c>
      <c r="F31" s="282">
        <f>OUTPUTS_FOR_SECTION_2_OF_MODEL!F80</f>
        <v>976.81158309329089</v>
      </c>
      <c r="G31" s="282">
        <f>OUTPUTS_FOR_SECTION_2_OF_MODEL!G80</f>
        <v>1246.1324373362588</v>
      </c>
      <c r="H31" s="282">
        <f>OUTPUTS_FOR_SECTION_2_OF_MODEL!H80</f>
        <v>1453.4041357684314</v>
      </c>
      <c r="I31" s="282">
        <f>OUTPUTS_FOR_SECTION_2_OF_MODEL!I80</f>
        <v>1534.617368578306</v>
      </c>
      <c r="J31" s="282">
        <f>OUTPUTS_FOR_SECTION_2_OF_MODEL!J80</f>
        <v>1533.1794714305215</v>
      </c>
      <c r="K31" s="282">
        <f>OUTPUTS_FOR_SECTION_2_OF_MODEL!K80</f>
        <v>1557.5545323627464</v>
      </c>
      <c r="L31" s="282">
        <f>OUTPUTS_FOR_SECTION_2_OF_MODEL!L80</f>
        <v>1542.6215110310686</v>
      </c>
      <c r="M31" s="282">
        <f>OUTPUTS_FOR_SECTION_2_OF_MODEL!M80</f>
        <v>1536.1819899927011</v>
      </c>
      <c r="N31" s="282">
        <f>OUTPUTS_FOR_SECTION_2_OF_MODEL!N80</f>
        <v>1520.0108002949419</v>
      </c>
    </row>
    <row r="32" spans="2:16">
      <c r="B32" s="363" t="str">
        <f>Physical_Education_1!B296</f>
        <v>Physical Education</v>
      </c>
      <c r="C32" s="282">
        <f>OUTPUTS_FOR_SECTION_2_OF_MODEL!C81</f>
        <v>1349.2738287837035</v>
      </c>
      <c r="D32" s="282">
        <f>OUTPUTS_FOR_SECTION_2_OF_MODEL!D81</f>
        <v>1686.8057178190093</v>
      </c>
      <c r="E32" s="282">
        <f>OUTPUTS_FOR_SECTION_2_OF_MODEL!E81</f>
        <v>1515.9865558265149</v>
      </c>
      <c r="F32" s="282">
        <f>OUTPUTS_FOR_SECTION_2_OF_MODEL!F81</f>
        <v>1482.5629363650601</v>
      </c>
      <c r="G32" s="282">
        <f>OUTPUTS_FOR_SECTION_2_OF_MODEL!G81</f>
        <v>1662.3140725742633</v>
      </c>
      <c r="H32" s="282">
        <f>OUTPUTS_FOR_SECTION_2_OF_MODEL!H81</f>
        <v>1742.4954335829016</v>
      </c>
      <c r="I32" s="282">
        <f>OUTPUTS_FOR_SECTION_2_OF_MODEL!I81</f>
        <v>1768.7514463063585</v>
      </c>
      <c r="J32" s="282">
        <f>OUTPUTS_FOR_SECTION_2_OF_MODEL!J81</f>
        <v>1780.1332561342128</v>
      </c>
      <c r="K32" s="282">
        <f>OUTPUTS_FOR_SECTION_2_OF_MODEL!K81</f>
        <v>1704.1827534635227</v>
      </c>
      <c r="L32" s="282">
        <f>OUTPUTS_FOR_SECTION_2_OF_MODEL!L81</f>
        <v>1683.241480888559</v>
      </c>
      <c r="M32" s="282">
        <f>OUTPUTS_FOR_SECTION_2_OF_MODEL!M81</f>
        <v>1664.9481247333433</v>
      </c>
      <c r="N32" s="282">
        <f>OUTPUTS_FOR_SECTION_2_OF_MODEL!N81</f>
        <v>1669.1868353152549</v>
      </c>
    </row>
    <row r="33" spans="2:14">
      <c r="B33" s="363" t="str">
        <f>Physics_1!B296</f>
        <v>Physics</v>
      </c>
      <c r="C33" s="282">
        <f>OUTPUTS_FOR_SECTION_2_OF_MODEL!C82</f>
        <v>1631.0443069596247</v>
      </c>
      <c r="D33" s="282">
        <f>OUTPUTS_FOR_SECTION_2_OF_MODEL!D82</f>
        <v>1285.3823896686515</v>
      </c>
      <c r="E33" s="282">
        <f>OUTPUTS_FOR_SECTION_2_OF_MODEL!E82</f>
        <v>1355.7186393380998</v>
      </c>
      <c r="F33" s="282">
        <f>OUTPUTS_FOR_SECTION_2_OF_MODEL!F82</f>
        <v>1351.3681617479645</v>
      </c>
      <c r="G33" s="282">
        <f>OUTPUTS_FOR_SECTION_2_OF_MODEL!G82</f>
        <v>1326.0834198792879</v>
      </c>
      <c r="H33" s="282">
        <f>OUTPUTS_FOR_SECTION_2_OF_MODEL!H82</f>
        <v>1347.1957044035869</v>
      </c>
      <c r="I33" s="282">
        <f>OUTPUTS_FOR_SECTION_2_OF_MODEL!I82</f>
        <v>1378.2996306252403</v>
      </c>
      <c r="J33" s="282">
        <f>OUTPUTS_FOR_SECTION_2_OF_MODEL!J82</f>
        <v>1336.4078717100294</v>
      </c>
      <c r="K33" s="282">
        <f>OUTPUTS_FOR_SECTION_2_OF_MODEL!K82</f>
        <v>1290.9992024313312</v>
      </c>
      <c r="L33" s="282">
        <f>OUTPUTS_FOR_SECTION_2_OF_MODEL!L82</f>
        <v>1312.4413665041593</v>
      </c>
      <c r="M33" s="282">
        <f>OUTPUTS_FOR_SECTION_2_OF_MODEL!M82</f>
        <v>1301.8671056283961</v>
      </c>
      <c r="N33" s="282">
        <f>OUTPUTS_FOR_SECTION_2_OF_MODEL!N82</f>
        <v>1234.9691066198673</v>
      </c>
    </row>
    <row r="34" spans="2:14">
      <c r="B34" s="363" t="str">
        <f>Religious_Education_1!B296</f>
        <v>Religious Education</v>
      </c>
      <c r="C34" s="282">
        <f>OUTPUTS_FOR_SECTION_2_OF_MODEL!C84</f>
        <v>775.65420682677745</v>
      </c>
      <c r="D34" s="282">
        <f>OUTPUTS_FOR_SECTION_2_OF_MODEL!D84</f>
        <v>844.58048482276604</v>
      </c>
      <c r="E34" s="282">
        <f>OUTPUTS_FOR_SECTION_2_OF_MODEL!E84</f>
        <v>931.01598996858297</v>
      </c>
      <c r="F34" s="282">
        <f>OUTPUTS_FOR_SECTION_2_OF_MODEL!F84</f>
        <v>869.6491609035586</v>
      </c>
      <c r="G34" s="282">
        <f>OUTPUTS_FOR_SECTION_2_OF_MODEL!G84</f>
        <v>859.61255847662369</v>
      </c>
      <c r="H34" s="282">
        <f>OUTPUTS_FOR_SECTION_2_OF_MODEL!H84</f>
        <v>856.12941752747361</v>
      </c>
      <c r="I34" s="282">
        <f>OUTPUTS_FOR_SECTION_2_OF_MODEL!I84</f>
        <v>860.61204165418258</v>
      </c>
      <c r="J34" s="282">
        <f>OUTPUTS_FOR_SECTION_2_OF_MODEL!J84</f>
        <v>858.62926053302999</v>
      </c>
      <c r="K34" s="282">
        <f>OUTPUTS_FOR_SECTION_2_OF_MODEL!K84</f>
        <v>819.65340700371758</v>
      </c>
      <c r="L34" s="282">
        <f>OUTPUTS_FOR_SECTION_2_OF_MODEL!L84</f>
        <v>803.41817740504644</v>
      </c>
      <c r="M34" s="282">
        <f>OUTPUTS_FOR_SECTION_2_OF_MODEL!M84</f>
        <v>789.95652782432785</v>
      </c>
      <c r="N34" s="282">
        <f>OUTPUTS_FOR_SECTION_2_OF_MODEL!N84</f>
        <v>787.98840072046607</v>
      </c>
    </row>
    <row r="35" spans="2:14" ht="25.5">
      <c r="B35" s="322" t="s">
        <v>1510</v>
      </c>
      <c r="C35" s="282">
        <f t="shared" ref="C35:N35" si="0">SUM(C16:C34)</f>
        <v>25325.981524290863</v>
      </c>
      <c r="D35" s="282">
        <f t="shared" si="0"/>
        <v>24864.32398892309</v>
      </c>
      <c r="E35" s="282">
        <f t="shared" si="0"/>
        <v>26448.871508078941</v>
      </c>
      <c r="F35" s="282">
        <f t="shared" si="0"/>
        <v>25797.106539924709</v>
      </c>
      <c r="G35" s="282">
        <f t="shared" si="0"/>
        <v>25450.041469507818</v>
      </c>
      <c r="H35" s="282">
        <f t="shared" si="0"/>
        <v>25527.010741858019</v>
      </c>
      <c r="I35" s="282">
        <f t="shared" si="0"/>
        <v>25845.896651495765</v>
      </c>
      <c r="J35" s="282">
        <f t="shared" si="0"/>
        <v>25731.139914905129</v>
      </c>
      <c r="K35" s="282">
        <f t="shared" si="0"/>
        <v>24759.538609418585</v>
      </c>
      <c r="L35" s="282">
        <f t="shared" si="0"/>
        <v>24416.167627861571</v>
      </c>
      <c r="M35" s="282">
        <f t="shared" si="0"/>
        <v>24069.983113000369</v>
      </c>
      <c r="N35" s="282">
        <f t="shared" si="0"/>
        <v>23849.453533819546</v>
      </c>
    </row>
    <row r="36" spans="2:14">
      <c r="C36" s="275"/>
      <c r="D36" s="275"/>
      <c r="E36" s="275"/>
      <c r="F36" s="275"/>
      <c r="G36" s="275"/>
      <c r="H36" s="275"/>
      <c r="I36" s="275"/>
      <c r="J36" s="275"/>
      <c r="K36" s="275"/>
      <c r="L36" s="275"/>
      <c r="M36" s="275"/>
      <c r="N36" s="275"/>
    </row>
    <row r="37" spans="2:14">
      <c r="B37" s="326"/>
      <c r="C37" s="326" t="str">
        <f t="shared" ref="C37:N37" si="1">C14</f>
        <v>2016/17</v>
      </c>
      <c r="D37" s="326" t="str">
        <f t="shared" si="1"/>
        <v>2017/18</v>
      </c>
      <c r="E37" s="326" t="str">
        <f t="shared" si="1"/>
        <v>2018/19</v>
      </c>
      <c r="F37" s="326" t="str">
        <f t="shared" si="1"/>
        <v>2019/20</v>
      </c>
      <c r="G37" s="326" t="str">
        <f t="shared" si="1"/>
        <v>2020/21</v>
      </c>
      <c r="H37" s="326" t="str">
        <f t="shared" si="1"/>
        <v>2021/22</v>
      </c>
      <c r="I37" s="326" t="str">
        <f t="shared" si="1"/>
        <v>2022/23</v>
      </c>
      <c r="J37" s="326" t="str">
        <f t="shared" si="1"/>
        <v>2023/24</v>
      </c>
      <c r="K37" s="326" t="str">
        <f t="shared" si="1"/>
        <v>2024/25</v>
      </c>
      <c r="L37" s="326" t="str">
        <f t="shared" si="1"/>
        <v>2025/26</v>
      </c>
      <c r="M37" s="326" t="str">
        <f t="shared" si="1"/>
        <v>2026/27</v>
      </c>
      <c r="N37" s="326" t="str">
        <f t="shared" si="1"/>
        <v>2027/28</v>
      </c>
    </row>
    <row r="38" spans="2:14">
      <c r="B38" s="326" t="s">
        <v>391</v>
      </c>
      <c r="C38" s="324">
        <f>C35+C15</f>
        <v>52864.526185755603</v>
      </c>
      <c r="D38" s="324">
        <f t="shared" ref="D38:N38" si="2">D35+D15</f>
        <v>50969.32666286017</v>
      </c>
      <c r="E38" s="324">
        <f t="shared" si="2"/>
        <v>52253.272627874787</v>
      </c>
      <c r="F38" s="324">
        <f t="shared" si="2"/>
        <v>50306.197633157644</v>
      </c>
      <c r="G38" s="324">
        <f t="shared" si="2"/>
        <v>50107.040287289492</v>
      </c>
      <c r="H38" s="324">
        <f t="shared" si="2"/>
        <v>49959.274152364531</v>
      </c>
      <c r="I38" s="324">
        <f t="shared" si="2"/>
        <v>49948.208409492974</v>
      </c>
      <c r="J38" s="324">
        <f t="shared" si="2"/>
        <v>49604.334458375466</v>
      </c>
      <c r="K38" s="324">
        <f t="shared" si="2"/>
        <v>49210.043319574208</v>
      </c>
      <c r="L38" s="324">
        <f t="shared" si="2"/>
        <v>49332.953300513698</v>
      </c>
      <c r="M38" s="324">
        <f t="shared" si="2"/>
        <v>49106.432685419059</v>
      </c>
      <c r="N38" s="324">
        <f t="shared" si="2"/>
        <v>48774.072187284364</v>
      </c>
    </row>
    <row r="40" spans="2:14">
      <c r="B40" s="341" t="s">
        <v>389</v>
      </c>
      <c r="E40" s="705" t="s">
        <v>812</v>
      </c>
    </row>
    <row r="42" spans="2:14">
      <c r="B42" s="326"/>
      <c r="C42" s="326" t="str">
        <f t="shared" ref="C42:N42" si="3">C14</f>
        <v>2016/17</v>
      </c>
      <c r="D42" s="326" t="str">
        <f t="shared" si="3"/>
        <v>2017/18</v>
      </c>
      <c r="E42" s="326" t="str">
        <f t="shared" si="3"/>
        <v>2018/19</v>
      </c>
      <c r="F42" s="326" t="str">
        <f t="shared" si="3"/>
        <v>2019/20</v>
      </c>
      <c r="G42" s="326" t="str">
        <f t="shared" si="3"/>
        <v>2020/21</v>
      </c>
      <c r="H42" s="326" t="str">
        <f t="shared" si="3"/>
        <v>2021/22</v>
      </c>
      <c r="I42" s="326" t="str">
        <f t="shared" si="3"/>
        <v>2022/23</v>
      </c>
      <c r="J42" s="326" t="str">
        <f t="shared" si="3"/>
        <v>2023/24</v>
      </c>
      <c r="K42" s="326" t="str">
        <f t="shared" si="3"/>
        <v>2024/25</v>
      </c>
      <c r="L42" s="326" t="str">
        <f t="shared" si="3"/>
        <v>2025/26</v>
      </c>
      <c r="M42" s="326" t="str">
        <f t="shared" si="3"/>
        <v>2026/27</v>
      </c>
      <c r="N42" s="326" t="str">
        <f t="shared" si="3"/>
        <v>2027/28</v>
      </c>
    </row>
    <row r="43" spans="2:14">
      <c r="B43" s="326" t="s">
        <v>527</v>
      </c>
      <c r="C43" s="388">
        <v>27538.544661464744</v>
      </c>
      <c r="D43" s="388">
        <v>26105.002673937081</v>
      </c>
      <c r="E43" s="388">
        <v>25804.401119795846</v>
      </c>
      <c r="F43" s="388">
        <v>24509.091093232932</v>
      </c>
      <c r="G43" s="388">
        <v>24656.998817781678</v>
      </c>
      <c r="H43" s="388">
        <v>24432.263410506512</v>
      </c>
      <c r="I43" s="388">
        <v>24102.311757997213</v>
      </c>
      <c r="J43" s="388">
        <v>23873.194543470338</v>
      </c>
      <c r="K43" s="388">
        <v>24450.504710155619</v>
      </c>
      <c r="L43" s="388">
        <v>24916.785672652128</v>
      </c>
      <c r="M43" s="388">
        <v>25036.449572418685</v>
      </c>
      <c r="N43" s="388">
        <v>24924.618653464819</v>
      </c>
    </row>
    <row r="44" spans="2:14">
      <c r="B44" s="326" t="s">
        <v>601</v>
      </c>
      <c r="C44" s="388">
        <v>818.75145377217302</v>
      </c>
      <c r="D44" s="388">
        <v>927.93654352597684</v>
      </c>
      <c r="E44" s="388">
        <v>817.25785947076361</v>
      </c>
      <c r="F44" s="388">
        <v>821.31614638925009</v>
      </c>
      <c r="G44" s="388">
        <v>922.91788492748583</v>
      </c>
      <c r="H44" s="388">
        <v>941.38089751993812</v>
      </c>
      <c r="I44" s="388">
        <v>948.22222537427285</v>
      </c>
      <c r="J44" s="388">
        <v>962.85061924353772</v>
      </c>
      <c r="K44" s="388">
        <v>926.77228411941587</v>
      </c>
      <c r="L44" s="388">
        <v>890.58828211018431</v>
      </c>
      <c r="M44" s="388">
        <v>872.01931104115033</v>
      </c>
      <c r="N44" s="388">
        <v>891.42260405371076</v>
      </c>
    </row>
    <row r="45" spans="2:14">
      <c r="B45" s="326" t="s">
        <v>528</v>
      </c>
      <c r="C45" s="388">
        <v>1914.5076796152448</v>
      </c>
      <c r="D45" s="388">
        <v>1456.0427186937031</v>
      </c>
      <c r="E45" s="388">
        <v>1622.9690753203779</v>
      </c>
      <c r="F45" s="388">
        <v>1541.0689857592392</v>
      </c>
      <c r="G45" s="388">
        <v>1523.4355793739348</v>
      </c>
      <c r="H45" s="388">
        <v>1554.0900491778327</v>
      </c>
      <c r="I45" s="388">
        <v>1597.2525539966007</v>
      </c>
      <c r="J45" s="388">
        <v>1568.3907652139583</v>
      </c>
      <c r="K45" s="388">
        <v>1525.6184113063307</v>
      </c>
      <c r="L45" s="388">
        <v>1543.0806641013999</v>
      </c>
      <c r="M45" s="388">
        <v>1534.0714545852397</v>
      </c>
      <c r="N45" s="388">
        <v>1479.2817977451632</v>
      </c>
    </row>
    <row r="46" spans="2:14" ht="25.5">
      <c r="B46" s="322" t="s">
        <v>549</v>
      </c>
      <c r="C46" s="556">
        <v>362.24872735684426</v>
      </c>
      <c r="D46" s="556">
        <v>373.05911124335444</v>
      </c>
      <c r="E46" s="556">
        <v>322.16379969187324</v>
      </c>
      <c r="F46" s="556">
        <v>242.64341944863361</v>
      </c>
      <c r="G46" s="556">
        <v>361.07790710831665</v>
      </c>
      <c r="H46" s="556">
        <v>416.6983553825952</v>
      </c>
      <c r="I46" s="556">
        <v>451.85055300150242</v>
      </c>
      <c r="J46" s="556">
        <v>438.31222345428705</v>
      </c>
      <c r="K46" s="556">
        <v>452.22124837084499</v>
      </c>
      <c r="L46" s="556">
        <v>466.43200415197572</v>
      </c>
      <c r="M46" s="556">
        <v>469.10526220038776</v>
      </c>
      <c r="N46" s="556">
        <v>440.86073111453987</v>
      </c>
    </row>
    <row r="47" spans="2:14">
      <c r="B47" s="326" t="s">
        <v>529</v>
      </c>
      <c r="C47" s="388">
        <v>1643.6448981347612</v>
      </c>
      <c r="D47" s="388">
        <v>1300.1736948351936</v>
      </c>
      <c r="E47" s="388">
        <v>1369.3635969078512</v>
      </c>
      <c r="F47" s="388">
        <v>1370.3546697869631</v>
      </c>
      <c r="G47" s="388">
        <v>1350.5794286394669</v>
      </c>
      <c r="H47" s="388">
        <v>1375.8173502548311</v>
      </c>
      <c r="I47" s="388">
        <v>1411.6156893113766</v>
      </c>
      <c r="J47" s="388">
        <v>1375.2824750734162</v>
      </c>
      <c r="K47" s="388">
        <v>1334.3803130509314</v>
      </c>
      <c r="L47" s="388">
        <v>1353.9948822402539</v>
      </c>
      <c r="M47" s="388">
        <v>1344.5024695298421</v>
      </c>
      <c r="N47" s="388">
        <v>1283.2001953735639</v>
      </c>
    </row>
    <row r="48" spans="2:14">
      <c r="B48" s="326" t="s">
        <v>530</v>
      </c>
      <c r="C48" s="388">
        <v>40.462977276203873</v>
      </c>
      <c r="D48" s="388">
        <v>40.103914155770951</v>
      </c>
      <c r="E48" s="388">
        <v>38.885487227047463</v>
      </c>
      <c r="F48" s="388">
        <v>37.79443409415417</v>
      </c>
      <c r="G48" s="388">
        <v>37.320608334297425</v>
      </c>
      <c r="H48" s="388">
        <v>37.508610997447512</v>
      </c>
      <c r="I48" s="388">
        <v>38.178825260527432</v>
      </c>
      <c r="J48" s="388">
        <v>37.964857506925505</v>
      </c>
      <c r="K48" s="388">
        <v>37.386645759601443</v>
      </c>
      <c r="L48" s="388">
        <v>36.484506038977038</v>
      </c>
      <c r="M48" s="388">
        <v>35.996949863146021</v>
      </c>
      <c r="N48" s="388">
        <v>35.965383679281501</v>
      </c>
    </row>
    <row r="49" spans="2:14">
      <c r="B49" s="326" t="s">
        <v>531</v>
      </c>
      <c r="C49" s="388">
        <v>709.32546447980587</v>
      </c>
      <c r="D49" s="388">
        <v>843.57843472215291</v>
      </c>
      <c r="E49" s="388">
        <v>606.54529199878812</v>
      </c>
      <c r="F49" s="388">
        <v>583.35086242820535</v>
      </c>
      <c r="G49" s="388">
        <v>773.9857188455577</v>
      </c>
      <c r="H49" s="388">
        <v>832.54281536747317</v>
      </c>
      <c r="I49" s="388">
        <v>846.49492966501373</v>
      </c>
      <c r="J49" s="388">
        <v>853.1581471224514</v>
      </c>
      <c r="K49" s="388">
        <v>827.13041414329996</v>
      </c>
      <c r="L49" s="388">
        <v>808.33190401463776</v>
      </c>
      <c r="M49" s="388">
        <v>796.29075672587828</v>
      </c>
      <c r="N49" s="388">
        <v>800.54945796281163</v>
      </c>
    </row>
    <row r="50" spans="2:14" ht="25.5">
      <c r="B50" s="322" t="s">
        <v>602</v>
      </c>
      <c r="C50" s="556">
        <v>1245.0689442608946</v>
      </c>
      <c r="D50" s="556">
        <v>1311.846587985312</v>
      </c>
      <c r="E50" s="556">
        <v>1012.1564823549604</v>
      </c>
      <c r="F50" s="556">
        <v>918.40314532993511</v>
      </c>
      <c r="G50" s="556">
        <v>1109.0705573766031</v>
      </c>
      <c r="H50" s="556">
        <v>1164.802208393276</v>
      </c>
      <c r="I50" s="556">
        <v>1142.0498555740651</v>
      </c>
      <c r="J50" s="556">
        <v>1162.780409032571</v>
      </c>
      <c r="K50" s="556">
        <v>1093.2713559971535</v>
      </c>
      <c r="L50" s="556">
        <v>1024.9326813218624</v>
      </c>
      <c r="M50" s="556">
        <v>991.48896928915133</v>
      </c>
      <c r="N50" s="556">
        <v>1034.7806866282249</v>
      </c>
    </row>
    <row r="51" spans="2:14">
      <c r="B51" s="326" t="s">
        <v>532</v>
      </c>
      <c r="C51" s="388">
        <v>500.66562407477022</v>
      </c>
      <c r="D51" s="388">
        <v>535.81534290220816</v>
      </c>
      <c r="E51" s="388">
        <v>524.0947653422545</v>
      </c>
      <c r="F51" s="388">
        <v>506.27762177873194</v>
      </c>
      <c r="G51" s="388">
        <v>502.59427234489328</v>
      </c>
      <c r="H51" s="388">
        <v>542.0105294600877</v>
      </c>
      <c r="I51" s="388">
        <v>545.64501769486344</v>
      </c>
      <c r="J51" s="388">
        <v>558.07417897334494</v>
      </c>
      <c r="K51" s="388">
        <v>535.94832354417588</v>
      </c>
      <c r="L51" s="388">
        <v>515.54095619313125</v>
      </c>
      <c r="M51" s="388">
        <v>506.49020975013286</v>
      </c>
      <c r="N51" s="388">
        <v>522.93864569563834</v>
      </c>
    </row>
    <row r="52" spans="2:14">
      <c r="B52" s="326" t="s">
        <v>533</v>
      </c>
      <c r="C52" s="388">
        <v>3778.1104864577228</v>
      </c>
      <c r="D52" s="388">
        <v>3599.4228192505816</v>
      </c>
      <c r="E52" s="388">
        <v>3862.8994883252717</v>
      </c>
      <c r="F52" s="388">
        <v>3701.4082860658532</v>
      </c>
      <c r="G52" s="388">
        <v>3615.2957762173473</v>
      </c>
      <c r="H52" s="388">
        <v>3630.9258555009756</v>
      </c>
      <c r="I52" s="388">
        <v>3661.6593030373506</v>
      </c>
      <c r="J52" s="388">
        <v>3620.3691206946369</v>
      </c>
      <c r="K52" s="388">
        <v>3455.9903259364196</v>
      </c>
      <c r="L52" s="388">
        <v>3435.1827295512644</v>
      </c>
      <c r="M52" s="388">
        <v>3388.9169995444304</v>
      </c>
      <c r="N52" s="388">
        <v>3324.7251138627344</v>
      </c>
    </row>
    <row r="53" spans="2:14">
      <c r="B53" s="326" t="s">
        <v>400</v>
      </c>
      <c r="C53" s="388">
        <v>234.07235550154263</v>
      </c>
      <c r="D53" s="388">
        <v>284.27617634968738</v>
      </c>
      <c r="E53" s="388">
        <v>194.17053582383005</v>
      </c>
      <c r="F53" s="388">
        <v>170.8270791023503</v>
      </c>
      <c r="G53" s="388">
        <v>230.37708101191996</v>
      </c>
      <c r="H53" s="388">
        <v>245.70104364650734</v>
      </c>
      <c r="I53" s="388">
        <v>246.34790451003173</v>
      </c>
      <c r="J53" s="388">
        <v>236.46023169056463</v>
      </c>
      <c r="K53" s="388">
        <v>224.73956387035648</v>
      </c>
      <c r="L53" s="388">
        <v>226.24983913949038</v>
      </c>
      <c r="M53" s="388">
        <v>222.57327350751743</v>
      </c>
      <c r="N53" s="388">
        <v>210.23572617202188</v>
      </c>
    </row>
    <row r="54" spans="2:14">
      <c r="B54" s="326" t="s">
        <v>534</v>
      </c>
      <c r="C54" s="388">
        <v>1091.6578874521288</v>
      </c>
      <c r="D54" s="388">
        <v>1176.8486226628406</v>
      </c>
      <c r="E54" s="388">
        <v>1578.1307391323012</v>
      </c>
      <c r="F54" s="388">
        <v>1559.9435854724363</v>
      </c>
      <c r="G54" s="388">
        <v>1330.3897823669502</v>
      </c>
      <c r="H54" s="388">
        <v>1288.7634130233025</v>
      </c>
      <c r="I54" s="388">
        <v>1294.644023061835</v>
      </c>
      <c r="J54" s="388">
        <v>1303.7414380971634</v>
      </c>
      <c r="K54" s="388">
        <v>1244.6928236847466</v>
      </c>
      <c r="L54" s="388">
        <v>1213.3361672022436</v>
      </c>
      <c r="M54" s="388">
        <v>1192.8208878862974</v>
      </c>
      <c r="N54" s="388">
        <v>1204.3424150166754</v>
      </c>
    </row>
    <row r="55" spans="2:14">
      <c r="B55" s="326" t="s">
        <v>535</v>
      </c>
      <c r="C55" s="388">
        <v>1081.6752707668475</v>
      </c>
      <c r="D55" s="388">
        <v>1242.6293981653848</v>
      </c>
      <c r="E55" s="388">
        <v>1516.6921585404023</v>
      </c>
      <c r="F55" s="388">
        <v>1571.7216952093804</v>
      </c>
      <c r="G55" s="388">
        <v>1361.6441528973978</v>
      </c>
      <c r="H55" s="388">
        <v>1350.7580453005312</v>
      </c>
      <c r="I55" s="388">
        <v>1362.0636501364806</v>
      </c>
      <c r="J55" s="388">
        <v>1369.6103235530522</v>
      </c>
      <c r="K55" s="388">
        <v>1313.2053394274715</v>
      </c>
      <c r="L55" s="388">
        <v>1282.8334505470709</v>
      </c>
      <c r="M55" s="388">
        <v>1262.3868850136987</v>
      </c>
      <c r="N55" s="388">
        <v>1270.4926074627915</v>
      </c>
    </row>
    <row r="56" spans="2:14">
      <c r="B56" s="326" t="s">
        <v>603</v>
      </c>
      <c r="C56" s="388">
        <v>4533.0586834746464</v>
      </c>
      <c r="D56" s="388">
        <v>4151.1912952787143</v>
      </c>
      <c r="E56" s="388">
        <v>4253.0396385280801</v>
      </c>
      <c r="F56" s="388">
        <v>4116.8985425687888</v>
      </c>
      <c r="G56" s="388">
        <v>4076.1032526889899</v>
      </c>
      <c r="H56" s="388">
        <v>3972.780827279938</v>
      </c>
      <c r="I56" s="388">
        <v>3999.0652238733483</v>
      </c>
      <c r="J56" s="388">
        <v>3952.3341882604354</v>
      </c>
      <c r="K56" s="388">
        <v>3780.3366397170557</v>
      </c>
      <c r="L56" s="388">
        <v>3737.8028243573672</v>
      </c>
      <c r="M56" s="388">
        <v>3678.4063194105711</v>
      </c>
      <c r="N56" s="388">
        <v>3612.9428403986103</v>
      </c>
    </row>
    <row r="57" spans="2:14" ht="25.5">
      <c r="B57" s="322" t="s">
        <v>604</v>
      </c>
      <c r="C57" s="556">
        <v>1598.4891505508069</v>
      </c>
      <c r="D57" s="556">
        <v>1814.5522420788348</v>
      </c>
      <c r="E57" s="556">
        <v>3169.8238040684982</v>
      </c>
      <c r="F57" s="556">
        <v>3382.5455067966113</v>
      </c>
      <c r="G57" s="556">
        <v>2577.6234451171326</v>
      </c>
      <c r="H57" s="556">
        <v>2200.730093337505</v>
      </c>
      <c r="I57" s="556">
        <v>2191.2039640264884</v>
      </c>
      <c r="J57" s="556">
        <v>2194.4925909694066</v>
      </c>
      <c r="K57" s="556">
        <v>2077.6440279294093</v>
      </c>
      <c r="L57" s="556">
        <v>2017.5374365779689</v>
      </c>
      <c r="M57" s="556">
        <v>1973.8877271487099</v>
      </c>
      <c r="N57" s="556">
        <v>1984.3324489999882</v>
      </c>
    </row>
    <row r="58" spans="2:14">
      <c r="B58" s="326" t="s">
        <v>536</v>
      </c>
      <c r="C58" s="388">
        <v>518.19712238615239</v>
      </c>
      <c r="D58" s="388">
        <v>563.21972711972126</v>
      </c>
      <c r="E58" s="388">
        <v>572.59936089012535</v>
      </c>
      <c r="F58" s="388">
        <v>592.16071758430417</v>
      </c>
      <c r="G58" s="388">
        <v>583.48353399109374</v>
      </c>
      <c r="H58" s="388">
        <v>573.27595593338151</v>
      </c>
      <c r="I58" s="388">
        <v>567.32244580792019</v>
      </c>
      <c r="J58" s="388">
        <v>588.9684862115779</v>
      </c>
      <c r="K58" s="388">
        <v>557.81099730005849</v>
      </c>
      <c r="L58" s="388">
        <v>522.11676448490664</v>
      </c>
      <c r="M58" s="388">
        <v>508.07188932545034</v>
      </c>
      <c r="N58" s="388">
        <v>541.22773670326114</v>
      </c>
    </row>
    <row r="59" spans="2:14">
      <c r="B59" s="326" t="s">
        <v>537</v>
      </c>
      <c r="C59" s="388">
        <v>1500.072456160216</v>
      </c>
      <c r="D59" s="388">
        <v>1426.8587676432212</v>
      </c>
      <c r="E59" s="388">
        <v>1185.3582393233153</v>
      </c>
      <c r="F59" s="388">
        <v>976.81158309329089</v>
      </c>
      <c r="G59" s="388">
        <v>1246.1324373362588</v>
      </c>
      <c r="H59" s="388">
        <v>1453.4041357684314</v>
      </c>
      <c r="I59" s="388">
        <v>1534.617368578306</v>
      </c>
      <c r="J59" s="388">
        <v>1533.1794714305215</v>
      </c>
      <c r="K59" s="388">
        <v>1557.5545323627464</v>
      </c>
      <c r="L59" s="388">
        <v>1542.6215110310686</v>
      </c>
      <c r="M59" s="388">
        <v>1536.1819899927011</v>
      </c>
      <c r="N59" s="388">
        <v>1520.0108002949419</v>
      </c>
    </row>
    <row r="60" spans="2:14" ht="25.5">
      <c r="B60" s="338" t="s">
        <v>605</v>
      </c>
      <c r="C60" s="556">
        <v>1349.2738287837035</v>
      </c>
      <c r="D60" s="556">
        <v>1686.8057178190093</v>
      </c>
      <c r="E60" s="556">
        <v>1515.9865558265149</v>
      </c>
      <c r="F60" s="556">
        <v>1482.5629363650601</v>
      </c>
      <c r="G60" s="556">
        <v>1662.3140725742633</v>
      </c>
      <c r="H60" s="556">
        <v>1742.4954335829016</v>
      </c>
      <c r="I60" s="556">
        <v>1768.7514463063585</v>
      </c>
      <c r="J60" s="556">
        <v>1780.1332561342128</v>
      </c>
      <c r="K60" s="556">
        <v>1704.1827534635227</v>
      </c>
      <c r="L60" s="556">
        <v>1683.241480888559</v>
      </c>
      <c r="M60" s="556">
        <v>1664.9481247333433</v>
      </c>
      <c r="N60" s="556">
        <v>1669.1868353152549</v>
      </c>
    </row>
    <row r="61" spans="2:14">
      <c r="B61" s="326" t="s">
        <v>538</v>
      </c>
      <c r="C61" s="388">
        <v>1631.0443069596247</v>
      </c>
      <c r="D61" s="388">
        <v>1285.3823896686515</v>
      </c>
      <c r="E61" s="388">
        <v>1355.7186393380998</v>
      </c>
      <c r="F61" s="388">
        <v>1351.3681617479645</v>
      </c>
      <c r="G61" s="388">
        <v>1326.0834198792879</v>
      </c>
      <c r="H61" s="388">
        <v>1347.1957044035869</v>
      </c>
      <c r="I61" s="388">
        <v>1378.2996306252403</v>
      </c>
      <c r="J61" s="388">
        <v>1336.4078717100294</v>
      </c>
      <c r="K61" s="388">
        <v>1290.9992024313312</v>
      </c>
      <c r="L61" s="388">
        <v>1312.4413665041593</v>
      </c>
      <c r="M61" s="388">
        <v>1301.8671056283961</v>
      </c>
      <c r="N61" s="388">
        <v>1234.9691066198673</v>
      </c>
    </row>
    <row r="62" spans="2:14" ht="25.5">
      <c r="B62" s="322" t="s">
        <v>606</v>
      </c>
      <c r="C62" s="556">
        <v>775.65420682677745</v>
      </c>
      <c r="D62" s="556">
        <v>844.58048482276604</v>
      </c>
      <c r="E62" s="556">
        <v>931.01598996858297</v>
      </c>
      <c r="F62" s="556">
        <v>869.6491609035586</v>
      </c>
      <c r="G62" s="556">
        <v>859.61255847662369</v>
      </c>
      <c r="H62" s="556">
        <v>856.12941752747361</v>
      </c>
      <c r="I62" s="556">
        <v>860.61204165418258</v>
      </c>
      <c r="J62" s="556">
        <v>858.62926053302999</v>
      </c>
      <c r="K62" s="556">
        <v>819.65340700371758</v>
      </c>
      <c r="L62" s="556">
        <v>803.41817740504644</v>
      </c>
      <c r="M62" s="556">
        <v>789.95652782432785</v>
      </c>
      <c r="N62" s="556">
        <v>787.98840072046607</v>
      </c>
    </row>
    <row r="63" spans="2:14">
      <c r="B63" s="326" t="s">
        <v>543</v>
      </c>
      <c r="C63" s="388">
        <v>25325.981524290863</v>
      </c>
      <c r="D63" s="388">
        <v>24864.32398892309</v>
      </c>
      <c r="E63" s="388">
        <v>26448.871508078941</v>
      </c>
      <c r="F63" s="388">
        <v>25797.106539924709</v>
      </c>
      <c r="G63" s="388">
        <v>25450.041469507818</v>
      </c>
      <c r="H63" s="388">
        <v>25527.010741858019</v>
      </c>
      <c r="I63" s="388">
        <v>25845.896651495765</v>
      </c>
      <c r="J63" s="388">
        <v>25731.139914905129</v>
      </c>
      <c r="K63" s="388">
        <v>24759.538609418585</v>
      </c>
      <c r="L63" s="388">
        <v>24416.167627861571</v>
      </c>
      <c r="M63" s="388">
        <v>24069.983113000369</v>
      </c>
      <c r="N63" s="388">
        <v>23849.453533819546</v>
      </c>
    </row>
    <row r="66" spans="2:14">
      <c r="B66" s="325" t="s">
        <v>1281</v>
      </c>
      <c r="C66" s="309">
        <f>C17+C19+C20+C21+C24+C26+C27+C28+C29+C33</f>
        <v>18021.976805167793</v>
      </c>
      <c r="D66" s="309">
        <f t="shared" ref="D66:N66" si="4">D17+D19+D20+D21+D24+D26+D27+D28+D29+D33</f>
        <v>16909.925529511827</v>
      </c>
      <c r="E66" s="309">
        <f t="shared" si="4"/>
        <v>19374.067919386718</v>
      </c>
      <c r="F66" s="309">
        <f t="shared" si="4"/>
        <v>19216.454729929595</v>
      </c>
      <c r="G66" s="309">
        <f t="shared" si="4"/>
        <v>17972.46116436036</v>
      </c>
      <c r="H66" s="309">
        <f t="shared" si="4"/>
        <v>17591.112764643425</v>
      </c>
      <c r="I66" s="309">
        <f t="shared" si="4"/>
        <v>17780.477792994261</v>
      </c>
      <c r="J66" s="309">
        <f t="shared" si="4"/>
        <v>17611.751778201477</v>
      </c>
      <c r="K66" s="309">
        <f t="shared" si="4"/>
        <v>16887.3841433866</v>
      </c>
      <c r="L66" s="309">
        <f t="shared" si="4"/>
        <v>16741.025931135344</v>
      </c>
      <c r="M66" s="309">
        <f t="shared" si="4"/>
        <v>16509.147555336211</v>
      </c>
      <c r="N66" s="309">
        <f t="shared" si="4"/>
        <v>16230.801367121487</v>
      </c>
    </row>
    <row r="67" spans="2:14">
      <c r="B67" s="325" t="s">
        <v>1282</v>
      </c>
      <c r="C67" s="309">
        <f>C16+C18+C22+C23+C25+C30+C31+C32+C34</f>
        <v>7304.0047191230733</v>
      </c>
      <c r="D67" s="309">
        <f t="shared" ref="D67:N67" si="5">D16+D18+D22+D23+D25+D30+D31+D32+D34</f>
        <v>7954.3984594112571</v>
      </c>
      <c r="E67" s="309">
        <f t="shared" si="5"/>
        <v>7074.8035886922198</v>
      </c>
      <c r="F67" s="309">
        <f t="shared" si="5"/>
        <v>6580.6518099951136</v>
      </c>
      <c r="G67" s="309">
        <f t="shared" si="5"/>
        <v>7477.5803051474577</v>
      </c>
      <c r="H67" s="309">
        <f t="shared" si="5"/>
        <v>7935.8979772145922</v>
      </c>
      <c r="I67" s="309">
        <f t="shared" si="5"/>
        <v>8065.4188585015027</v>
      </c>
      <c r="J67" s="309">
        <f t="shared" si="5"/>
        <v>8119.3881367036474</v>
      </c>
      <c r="K67" s="309">
        <f t="shared" si="5"/>
        <v>7872.1544660319923</v>
      </c>
      <c r="L67" s="309">
        <f t="shared" si="5"/>
        <v>7675.1416967262239</v>
      </c>
      <c r="M67" s="309">
        <f t="shared" si="5"/>
        <v>7560.8355576641625</v>
      </c>
      <c r="N67" s="309">
        <f t="shared" si="5"/>
        <v>7618.6521666980598</v>
      </c>
    </row>
    <row r="68" spans="2:14">
      <c r="C68" s="309">
        <f>SUM(C66:C67)-C35</f>
        <v>0</v>
      </c>
      <c r="D68" s="309">
        <f t="shared" ref="D68:N68" si="6">SUM(D66:D67)-D35</f>
        <v>0</v>
      </c>
      <c r="E68" s="309">
        <f t="shared" si="6"/>
        <v>0</v>
      </c>
      <c r="F68" s="309">
        <f t="shared" si="6"/>
        <v>0</v>
      </c>
      <c r="G68" s="309">
        <f t="shared" si="6"/>
        <v>0</v>
      </c>
      <c r="H68" s="309">
        <f t="shared" si="6"/>
        <v>0</v>
      </c>
      <c r="I68" s="309">
        <f t="shared" si="6"/>
        <v>0</v>
      </c>
      <c r="J68" s="309">
        <f t="shared" si="6"/>
        <v>0</v>
      </c>
      <c r="K68" s="309">
        <f t="shared" si="6"/>
        <v>0</v>
      </c>
      <c r="L68" s="309">
        <f t="shared" si="6"/>
        <v>0</v>
      </c>
      <c r="M68" s="309">
        <f t="shared" si="6"/>
        <v>0</v>
      </c>
      <c r="N68" s="309">
        <f t="shared" si="6"/>
        <v>0</v>
      </c>
    </row>
    <row r="84" spans="2:14">
      <c r="B84" s="364" t="s">
        <v>1071</v>
      </c>
    </row>
    <row r="87" spans="2:14">
      <c r="C87" s="329" t="str">
        <f>C42</f>
        <v>2016/17</v>
      </c>
      <c r="D87" s="329" t="str">
        <f t="shared" ref="D87:N87" si="7">D42</f>
        <v>2017/18</v>
      </c>
      <c r="E87" s="329" t="str">
        <f t="shared" si="7"/>
        <v>2018/19</v>
      </c>
      <c r="F87" s="329" t="str">
        <f t="shared" si="7"/>
        <v>2019/20</v>
      </c>
      <c r="G87" s="329" t="str">
        <f t="shared" si="7"/>
        <v>2020/21</v>
      </c>
      <c r="H87" s="329" t="str">
        <f t="shared" si="7"/>
        <v>2021/22</v>
      </c>
      <c r="I87" s="329" t="str">
        <f t="shared" si="7"/>
        <v>2022/23</v>
      </c>
      <c r="J87" s="329" t="str">
        <f t="shared" si="7"/>
        <v>2023/24</v>
      </c>
      <c r="K87" s="329" t="str">
        <f t="shared" si="7"/>
        <v>2024/25</v>
      </c>
      <c r="L87" s="329" t="str">
        <f t="shared" si="7"/>
        <v>2025/26</v>
      </c>
      <c r="M87" s="329" t="str">
        <f t="shared" si="7"/>
        <v>2026/27</v>
      </c>
      <c r="N87" s="329" t="str">
        <f t="shared" si="7"/>
        <v>2027/28</v>
      </c>
    </row>
    <row r="88" spans="2:14">
      <c r="B88" s="511" t="s">
        <v>486</v>
      </c>
      <c r="C88" s="512">
        <f>C15</f>
        <v>27538.544661464744</v>
      </c>
      <c r="D88" s="512">
        <f t="shared" ref="D88:N88" si="8">D15</f>
        <v>26105.002673937081</v>
      </c>
      <c r="E88" s="512">
        <f t="shared" si="8"/>
        <v>25804.401119795846</v>
      </c>
      <c r="F88" s="512">
        <f t="shared" si="8"/>
        <v>24509.091093232932</v>
      </c>
      <c r="G88" s="512">
        <f t="shared" si="8"/>
        <v>24656.998817781678</v>
      </c>
      <c r="H88" s="512">
        <f t="shared" si="8"/>
        <v>24432.263410506512</v>
      </c>
      <c r="I88" s="512">
        <f t="shared" si="8"/>
        <v>24102.311757997213</v>
      </c>
      <c r="J88" s="512">
        <f t="shared" si="8"/>
        <v>23873.194543470338</v>
      </c>
      <c r="K88" s="512">
        <f t="shared" si="8"/>
        <v>24450.504710155619</v>
      </c>
      <c r="L88" s="512">
        <f t="shared" si="8"/>
        <v>24916.785672652128</v>
      </c>
      <c r="M88" s="512">
        <f t="shared" si="8"/>
        <v>25036.449572418685</v>
      </c>
      <c r="N88" s="512">
        <f t="shared" si="8"/>
        <v>24924.618653464819</v>
      </c>
    </row>
    <row r="89" spans="2:14" s="547" customFormat="1">
      <c r="B89" s="511" t="s">
        <v>607</v>
      </c>
      <c r="C89" s="512">
        <f t="shared" ref="C89:N107" si="9">C16</f>
        <v>818.75145377217302</v>
      </c>
      <c r="D89" s="512">
        <f t="shared" si="9"/>
        <v>927.93654352597684</v>
      </c>
      <c r="E89" s="512">
        <f t="shared" si="9"/>
        <v>817.25785947076361</v>
      </c>
      <c r="F89" s="512">
        <f t="shared" si="9"/>
        <v>821.31614638925009</v>
      </c>
      <c r="G89" s="512">
        <f t="shared" si="9"/>
        <v>922.91788492748583</v>
      </c>
      <c r="H89" s="512">
        <f t="shared" si="9"/>
        <v>941.38089751993812</v>
      </c>
      <c r="I89" s="512">
        <f t="shared" si="9"/>
        <v>948.22222537427285</v>
      </c>
      <c r="J89" s="512">
        <f t="shared" si="9"/>
        <v>962.85061924353772</v>
      </c>
      <c r="K89" s="512">
        <f t="shared" si="9"/>
        <v>926.77228411941587</v>
      </c>
      <c r="L89" s="512">
        <f t="shared" si="9"/>
        <v>890.58828211018431</v>
      </c>
      <c r="M89" s="512">
        <f t="shared" si="9"/>
        <v>872.01931104115033</v>
      </c>
      <c r="N89" s="512">
        <f t="shared" si="9"/>
        <v>891.42260405371076</v>
      </c>
    </row>
    <row r="90" spans="2:14">
      <c r="B90" s="511" t="s">
        <v>487</v>
      </c>
      <c r="C90" s="512">
        <f t="shared" si="9"/>
        <v>1914.5076796152448</v>
      </c>
      <c r="D90" s="512">
        <f t="shared" si="9"/>
        <v>1456.0427186937031</v>
      </c>
      <c r="E90" s="512">
        <f t="shared" si="9"/>
        <v>1622.9690753203779</v>
      </c>
      <c r="F90" s="512">
        <f t="shared" si="9"/>
        <v>1541.0689857592392</v>
      </c>
      <c r="G90" s="512">
        <f t="shared" si="9"/>
        <v>1523.4355793739348</v>
      </c>
      <c r="H90" s="512">
        <f t="shared" si="9"/>
        <v>1554.0900491778327</v>
      </c>
      <c r="I90" s="512">
        <f t="shared" si="9"/>
        <v>1597.2525539966007</v>
      </c>
      <c r="J90" s="512">
        <f t="shared" si="9"/>
        <v>1568.3907652139583</v>
      </c>
      <c r="K90" s="512">
        <f t="shared" si="9"/>
        <v>1525.6184113063307</v>
      </c>
      <c r="L90" s="512">
        <f t="shared" si="9"/>
        <v>1543.0806641013999</v>
      </c>
      <c r="M90" s="512">
        <f t="shared" si="9"/>
        <v>1534.0714545852397</v>
      </c>
      <c r="N90" s="512">
        <f t="shared" si="9"/>
        <v>1479.2817977451632</v>
      </c>
    </row>
    <row r="91" spans="2:14">
      <c r="B91" s="511" t="s">
        <v>550</v>
      </c>
      <c r="C91" s="512">
        <f t="shared" si="9"/>
        <v>362.24872735684426</v>
      </c>
      <c r="D91" s="512">
        <f t="shared" si="9"/>
        <v>373.05911124335444</v>
      </c>
      <c r="E91" s="512">
        <f t="shared" si="9"/>
        <v>322.16379969187324</v>
      </c>
      <c r="F91" s="512">
        <f t="shared" si="9"/>
        <v>242.64341944863361</v>
      </c>
      <c r="G91" s="512">
        <f t="shared" si="9"/>
        <v>361.07790710831665</v>
      </c>
      <c r="H91" s="512">
        <f t="shared" si="9"/>
        <v>416.6983553825952</v>
      </c>
      <c r="I91" s="512">
        <f t="shared" si="9"/>
        <v>451.85055300150242</v>
      </c>
      <c r="J91" s="512">
        <f t="shared" si="9"/>
        <v>438.31222345428705</v>
      </c>
      <c r="K91" s="512">
        <f t="shared" si="9"/>
        <v>452.22124837084499</v>
      </c>
      <c r="L91" s="512">
        <f t="shared" si="9"/>
        <v>466.43200415197572</v>
      </c>
      <c r="M91" s="512">
        <f t="shared" si="9"/>
        <v>469.10526220038776</v>
      </c>
      <c r="N91" s="512">
        <f t="shared" si="9"/>
        <v>440.86073111453987</v>
      </c>
    </row>
    <row r="92" spans="2:14">
      <c r="B92" s="511" t="s">
        <v>488</v>
      </c>
      <c r="C92" s="512">
        <f t="shared" si="9"/>
        <v>1643.6448981347612</v>
      </c>
      <c r="D92" s="512">
        <f t="shared" si="9"/>
        <v>1300.1736948351936</v>
      </c>
      <c r="E92" s="512">
        <f t="shared" si="9"/>
        <v>1369.3635969078512</v>
      </c>
      <c r="F92" s="512">
        <f t="shared" si="9"/>
        <v>1370.3546697869631</v>
      </c>
      <c r="G92" s="512">
        <f t="shared" si="9"/>
        <v>1350.5794286394669</v>
      </c>
      <c r="H92" s="512">
        <f t="shared" si="9"/>
        <v>1375.8173502548311</v>
      </c>
      <c r="I92" s="512">
        <f t="shared" si="9"/>
        <v>1411.6156893113766</v>
      </c>
      <c r="J92" s="512">
        <f t="shared" si="9"/>
        <v>1375.2824750734162</v>
      </c>
      <c r="K92" s="512">
        <f t="shared" si="9"/>
        <v>1334.3803130509314</v>
      </c>
      <c r="L92" s="512">
        <f t="shared" si="9"/>
        <v>1353.9948822402539</v>
      </c>
      <c r="M92" s="512">
        <f t="shared" si="9"/>
        <v>1344.5024695298421</v>
      </c>
      <c r="N92" s="512">
        <f t="shared" si="9"/>
        <v>1283.2001953735639</v>
      </c>
    </row>
    <row r="93" spans="2:14">
      <c r="B93" s="511" t="s">
        <v>489</v>
      </c>
      <c r="C93" s="512">
        <f t="shared" si="9"/>
        <v>40.462977276203873</v>
      </c>
      <c r="D93" s="512">
        <f t="shared" si="9"/>
        <v>40.103914155770951</v>
      </c>
      <c r="E93" s="512">
        <f t="shared" si="9"/>
        <v>38.885487227047463</v>
      </c>
      <c r="F93" s="512">
        <f t="shared" si="9"/>
        <v>37.79443409415417</v>
      </c>
      <c r="G93" s="512">
        <f t="shared" si="9"/>
        <v>37.320608334297425</v>
      </c>
      <c r="H93" s="512">
        <f t="shared" si="9"/>
        <v>37.508610997447512</v>
      </c>
      <c r="I93" s="512">
        <f t="shared" si="9"/>
        <v>38.178825260527432</v>
      </c>
      <c r="J93" s="512">
        <f t="shared" si="9"/>
        <v>37.964857506925505</v>
      </c>
      <c r="K93" s="512">
        <f t="shared" si="9"/>
        <v>37.386645759601443</v>
      </c>
      <c r="L93" s="512">
        <f t="shared" si="9"/>
        <v>36.484506038977038</v>
      </c>
      <c r="M93" s="512">
        <f t="shared" si="9"/>
        <v>35.996949863146021</v>
      </c>
      <c r="N93" s="512">
        <f t="shared" si="9"/>
        <v>35.965383679281501</v>
      </c>
    </row>
    <row r="94" spans="2:14">
      <c r="B94" s="511" t="s">
        <v>490</v>
      </c>
      <c r="C94" s="512">
        <f t="shared" si="9"/>
        <v>709.32546447980587</v>
      </c>
      <c r="D94" s="512">
        <f t="shared" si="9"/>
        <v>843.57843472215291</v>
      </c>
      <c r="E94" s="512">
        <f t="shared" si="9"/>
        <v>606.54529199878812</v>
      </c>
      <c r="F94" s="512">
        <f t="shared" si="9"/>
        <v>583.35086242820535</v>
      </c>
      <c r="G94" s="512">
        <f t="shared" si="9"/>
        <v>773.9857188455577</v>
      </c>
      <c r="H94" s="512">
        <f t="shared" si="9"/>
        <v>832.54281536747317</v>
      </c>
      <c r="I94" s="512">
        <f t="shared" si="9"/>
        <v>846.49492966501373</v>
      </c>
      <c r="J94" s="512">
        <f t="shared" si="9"/>
        <v>853.1581471224514</v>
      </c>
      <c r="K94" s="512">
        <f t="shared" si="9"/>
        <v>827.13041414329996</v>
      </c>
      <c r="L94" s="512">
        <f t="shared" si="9"/>
        <v>808.33190401463776</v>
      </c>
      <c r="M94" s="512">
        <f t="shared" si="9"/>
        <v>796.29075672587828</v>
      </c>
      <c r="N94" s="512">
        <f t="shared" si="9"/>
        <v>800.54945796281163</v>
      </c>
    </row>
    <row r="95" spans="2:14" ht="25.5">
      <c r="B95" s="511" t="s">
        <v>608</v>
      </c>
      <c r="C95" s="512">
        <f t="shared" si="9"/>
        <v>1245.0689442608946</v>
      </c>
      <c r="D95" s="512">
        <f t="shared" si="9"/>
        <v>1311.846587985312</v>
      </c>
      <c r="E95" s="512">
        <f t="shared" si="9"/>
        <v>1012.1564823549604</v>
      </c>
      <c r="F95" s="512">
        <f t="shared" si="9"/>
        <v>918.40314532993511</v>
      </c>
      <c r="G95" s="512">
        <f t="shared" si="9"/>
        <v>1109.0705573766031</v>
      </c>
      <c r="H95" s="512">
        <f t="shared" si="9"/>
        <v>1164.802208393276</v>
      </c>
      <c r="I95" s="512">
        <f t="shared" si="9"/>
        <v>1142.0498555740651</v>
      </c>
      <c r="J95" s="512">
        <f t="shared" si="9"/>
        <v>1162.780409032571</v>
      </c>
      <c r="K95" s="512">
        <f t="shared" si="9"/>
        <v>1093.2713559971535</v>
      </c>
      <c r="L95" s="512">
        <f t="shared" si="9"/>
        <v>1024.9326813218624</v>
      </c>
      <c r="M95" s="512">
        <f t="shared" si="9"/>
        <v>991.48896928915133</v>
      </c>
      <c r="N95" s="512">
        <f t="shared" si="9"/>
        <v>1034.7806866282249</v>
      </c>
    </row>
    <row r="96" spans="2:14">
      <c r="B96" s="511" t="s">
        <v>491</v>
      </c>
      <c r="C96" s="512">
        <f t="shared" si="9"/>
        <v>500.66562407477022</v>
      </c>
      <c r="D96" s="512">
        <f t="shared" si="9"/>
        <v>535.81534290220816</v>
      </c>
      <c r="E96" s="512">
        <f t="shared" si="9"/>
        <v>524.0947653422545</v>
      </c>
      <c r="F96" s="512">
        <f t="shared" si="9"/>
        <v>506.27762177873194</v>
      </c>
      <c r="G96" s="512">
        <f t="shared" si="9"/>
        <v>502.59427234489328</v>
      </c>
      <c r="H96" s="512">
        <f t="shared" si="9"/>
        <v>542.0105294600877</v>
      </c>
      <c r="I96" s="512">
        <f t="shared" si="9"/>
        <v>545.64501769486344</v>
      </c>
      <c r="J96" s="512">
        <f t="shared" si="9"/>
        <v>558.07417897334494</v>
      </c>
      <c r="K96" s="512">
        <f t="shared" si="9"/>
        <v>535.94832354417588</v>
      </c>
      <c r="L96" s="512">
        <f t="shared" si="9"/>
        <v>515.54095619313125</v>
      </c>
      <c r="M96" s="512">
        <f t="shared" si="9"/>
        <v>506.49020975013286</v>
      </c>
      <c r="N96" s="512">
        <f t="shared" si="9"/>
        <v>522.93864569563834</v>
      </c>
    </row>
    <row r="97" spans="2:14">
      <c r="B97" s="511" t="s">
        <v>492</v>
      </c>
      <c r="C97" s="512">
        <f t="shared" si="9"/>
        <v>3778.1104864577228</v>
      </c>
      <c r="D97" s="512">
        <f t="shared" si="9"/>
        <v>3599.4228192505816</v>
      </c>
      <c r="E97" s="512">
        <f t="shared" si="9"/>
        <v>3862.8994883252717</v>
      </c>
      <c r="F97" s="512">
        <f t="shared" si="9"/>
        <v>3701.4082860658532</v>
      </c>
      <c r="G97" s="512">
        <f t="shared" si="9"/>
        <v>3615.2957762173473</v>
      </c>
      <c r="H97" s="512">
        <f t="shared" si="9"/>
        <v>3630.9258555009756</v>
      </c>
      <c r="I97" s="512">
        <f t="shared" si="9"/>
        <v>3661.6593030373506</v>
      </c>
      <c r="J97" s="512">
        <f t="shared" si="9"/>
        <v>3620.3691206946369</v>
      </c>
      <c r="K97" s="512">
        <f t="shared" si="9"/>
        <v>3455.9903259364196</v>
      </c>
      <c r="L97" s="512">
        <f t="shared" si="9"/>
        <v>3435.1827295512644</v>
      </c>
      <c r="M97" s="512">
        <f t="shared" si="9"/>
        <v>3388.9169995444304</v>
      </c>
      <c r="N97" s="512">
        <f t="shared" si="9"/>
        <v>3324.7251138627344</v>
      </c>
    </row>
    <row r="98" spans="2:14">
      <c r="B98" s="511" t="s">
        <v>404</v>
      </c>
      <c r="C98" s="512">
        <f t="shared" si="9"/>
        <v>234.07235550154263</v>
      </c>
      <c r="D98" s="512">
        <f t="shared" si="9"/>
        <v>284.27617634968738</v>
      </c>
      <c r="E98" s="512">
        <f t="shared" si="9"/>
        <v>194.17053582383005</v>
      </c>
      <c r="F98" s="512">
        <f t="shared" si="9"/>
        <v>170.8270791023503</v>
      </c>
      <c r="G98" s="512">
        <f t="shared" si="9"/>
        <v>230.37708101191996</v>
      </c>
      <c r="H98" s="512">
        <f t="shared" si="9"/>
        <v>245.70104364650734</v>
      </c>
      <c r="I98" s="512">
        <f t="shared" si="9"/>
        <v>246.34790451003173</v>
      </c>
      <c r="J98" s="512">
        <f t="shared" si="9"/>
        <v>236.46023169056463</v>
      </c>
      <c r="K98" s="512">
        <f t="shared" si="9"/>
        <v>224.73956387035648</v>
      </c>
      <c r="L98" s="512">
        <f t="shared" si="9"/>
        <v>226.24983913949038</v>
      </c>
      <c r="M98" s="512">
        <f t="shared" si="9"/>
        <v>222.57327350751743</v>
      </c>
      <c r="N98" s="512">
        <f t="shared" si="9"/>
        <v>210.23572617202188</v>
      </c>
    </row>
    <row r="99" spans="2:14">
      <c r="B99" s="511" t="s">
        <v>493</v>
      </c>
      <c r="C99" s="512">
        <f t="shared" si="9"/>
        <v>1091.6578874521288</v>
      </c>
      <c r="D99" s="512">
        <f t="shared" si="9"/>
        <v>1176.8486226628406</v>
      </c>
      <c r="E99" s="512">
        <f t="shared" si="9"/>
        <v>1578.1307391323012</v>
      </c>
      <c r="F99" s="512">
        <f t="shared" si="9"/>
        <v>1559.9435854724363</v>
      </c>
      <c r="G99" s="512">
        <f t="shared" si="9"/>
        <v>1330.3897823669502</v>
      </c>
      <c r="H99" s="512">
        <f t="shared" si="9"/>
        <v>1288.7634130233025</v>
      </c>
      <c r="I99" s="512">
        <f t="shared" si="9"/>
        <v>1294.644023061835</v>
      </c>
      <c r="J99" s="512">
        <f t="shared" si="9"/>
        <v>1303.7414380971634</v>
      </c>
      <c r="K99" s="512">
        <f t="shared" si="9"/>
        <v>1244.6928236847466</v>
      </c>
      <c r="L99" s="512">
        <f t="shared" si="9"/>
        <v>1213.3361672022436</v>
      </c>
      <c r="M99" s="512">
        <f t="shared" si="9"/>
        <v>1192.8208878862974</v>
      </c>
      <c r="N99" s="512">
        <f t="shared" si="9"/>
        <v>1204.3424150166754</v>
      </c>
    </row>
    <row r="100" spans="2:14">
      <c r="B100" s="511" t="s">
        <v>494</v>
      </c>
      <c r="C100" s="512">
        <f t="shared" si="9"/>
        <v>1081.6752707668475</v>
      </c>
      <c r="D100" s="512">
        <f t="shared" si="9"/>
        <v>1242.6293981653848</v>
      </c>
      <c r="E100" s="512">
        <f t="shared" si="9"/>
        <v>1516.6921585404023</v>
      </c>
      <c r="F100" s="512">
        <f t="shared" si="9"/>
        <v>1571.7216952093804</v>
      </c>
      <c r="G100" s="512">
        <f t="shared" si="9"/>
        <v>1361.6441528973978</v>
      </c>
      <c r="H100" s="512">
        <f t="shared" si="9"/>
        <v>1350.7580453005312</v>
      </c>
      <c r="I100" s="512">
        <f t="shared" si="9"/>
        <v>1362.0636501364806</v>
      </c>
      <c r="J100" s="512">
        <f t="shared" si="9"/>
        <v>1369.6103235530522</v>
      </c>
      <c r="K100" s="512">
        <f t="shared" si="9"/>
        <v>1313.2053394274715</v>
      </c>
      <c r="L100" s="512">
        <f t="shared" si="9"/>
        <v>1282.8334505470709</v>
      </c>
      <c r="M100" s="512">
        <f t="shared" si="9"/>
        <v>1262.3868850136987</v>
      </c>
      <c r="N100" s="512">
        <f t="shared" si="9"/>
        <v>1270.4926074627915</v>
      </c>
    </row>
    <row r="101" spans="2:14">
      <c r="B101" s="511" t="s">
        <v>609</v>
      </c>
      <c r="C101" s="512">
        <f t="shared" si="9"/>
        <v>4533.0586834746464</v>
      </c>
      <c r="D101" s="512">
        <f t="shared" si="9"/>
        <v>4151.1912952787143</v>
      </c>
      <c r="E101" s="512">
        <f t="shared" si="9"/>
        <v>4253.0396385280801</v>
      </c>
      <c r="F101" s="512">
        <f t="shared" si="9"/>
        <v>4116.8985425687888</v>
      </c>
      <c r="G101" s="512">
        <f t="shared" si="9"/>
        <v>4076.1032526889899</v>
      </c>
      <c r="H101" s="512">
        <f t="shared" si="9"/>
        <v>3972.780827279938</v>
      </c>
      <c r="I101" s="512">
        <f t="shared" si="9"/>
        <v>3999.0652238733483</v>
      </c>
      <c r="J101" s="512">
        <f t="shared" si="9"/>
        <v>3952.3341882604354</v>
      </c>
      <c r="K101" s="512">
        <f t="shared" si="9"/>
        <v>3780.3366397170557</v>
      </c>
      <c r="L101" s="512">
        <f t="shared" si="9"/>
        <v>3737.8028243573672</v>
      </c>
      <c r="M101" s="512">
        <f t="shared" si="9"/>
        <v>3678.4063194105711</v>
      </c>
      <c r="N101" s="512">
        <f t="shared" si="9"/>
        <v>3612.9428403986103</v>
      </c>
    </row>
    <row r="102" spans="2:14" ht="25.5">
      <c r="B102" s="511" t="s">
        <v>610</v>
      </c>
      <c r="C102" s="512">
        <f t="shared" si="9"/>
        <v>1598.4891505508069</v>
      </c>
      <c r="D102" s="512">
        <f t="shared" si="9"/>
        <v>1814.5522420788348</v>
      </c>
      <c r="E102" s="512">
        <f t="shared" si="9"/>
        <v>3169.8238040684982</v>
      </c>
      <c r="F102" s="512">
        <f t="shared" si="9"/>
        <v>3382.5455067966113</v>
      </c>
      <c r="G102" s="512">
        <f t="shared" si="9"/>
        <v>2577.6234451171326</v>
      </c>
      <c r="H102" s="512">
        <f t="shared" si="9"/>
        <v>2200.730093337505</v>
      </c>
      <c r="I102" s="512">
        <f t="shared" si="9"/>
        <v>2191.2039640264884</v>
      </c>
      <c r="J102" s="512">
        <f t="shared" si="9"/>
        <v>2194.4925909694066</v>
      </c>
      <c r="K102" s="512">
        <f t="shared" si="9"/>
        <v>2077.6440279294093</v>
      </c>
      <c r="L102" s="512">
        <f t="shared" si="9"/>
        <v>2017.5374365779689</v>
      </c>
      <c r="M102" s="512">
        <f t="shared" si="9"/>
        <v>1973.8877271487099</v>
      </c>
      <c r="N102" s="512">
        <f t="shared" si="9"/>
        <v>1984.3324489999882</v>
      </c>
    </row>
    <row r="103" spans="2:14">
      <c r="B103" s="511" t="s">
        <v>495</v>
      </c>
      <c r="C103" s="512">
        <f t="shared" si="9"/>
        <v>518.19712238615239</v>
      </c>
      <c r="D103" s="512">
        <f t="shared" si="9"/>
        <v>563.21972711972126</v>
      </c>
      <c r="E103" s="512">
        <f t="shared" si="9"/>
        <v>572.59936089012535</v>
      </c>
      <c r="F103" s="512">
        <f t="shared" si="9"/>
        <v>592.16071758430417</v>
      </c>
      <c r="G103" s="512">
        <f t="shared" si="9"/>
        <v>583.48353399109374</v>
      </c>
      <c r="H103" s="512">
        <f t="shared" si="9"/>
        <v>573.27595593338151</v>
      </c>
      <c r="I103" s="512">
        <f t="shared" si="9"/>
        <v>567.32244580792019</v>
      </c>
      <c r="J103" s="512">
        <f t="shared" si="9"/>
        <v>588.9684862115779</v>
      </c>
      <c r="K103" s="512">
        <f t="shared" si="9"/>
        <v>557.81099730005849</v>
      </c>
      <c r="L103" s="512">
        <f t="shared" si="9"/>
        <v>522.11676448490664</v>
      </c>
      <c r="M103" s="512">
        <f t="shared" si="9"/>
        <v>508.07188932545034</v>
      </c>
      <c r="N103" s="512">
        <f t="shared" si="9"/>
        <v>541.22773670326114</v>
      </c>
    </row>
    <row r="104" spans="2:14">
      <c r="B104" s="511" t="s">
        <v>496</v>
      </c>
      <c r="C104" s="512">
        <f t="shared" si="9"/>
        <v>1500.072456160216</v>
      </c>
      <c r="D104" s="512">
        <f t="shared" si="9"/>
        <v>1426.8587676432212</v>
      </c>
      <c r="E104" s="512">
        <f t="shared" si="9"/>
        <v>1185.3582393233153</v>
      </c>
      <c r="F104" s="512">
        <f t="shared" si="9"/>
        <v>976.81158309329089</v>
      </c>
      <c r="G104" s="512">
        <f t="shared" si="9"/>
        <v>1246.1324373362588</v>
      </c>
      <c r="H104" s="512">
        <f t="shared" si="9"/>
        <v>1453.4041357684314</v>
      </c>
      <c r="I104" s="512">
        <f t="shared" si="9"/>
        <v>1534.617368578306</v>
      </c>
      <c r="J104" s="512">
        <f t="shared" si="9"/>
        <v>1533.1794714305215</v>
      </c>
      <c r="K104" s="512">
        <f t="shared" si="9"/>
        <v>1557.5545323627464</v>
      </c>
      <c r="L104" s="512">
        <f t="shared" si="9"/>
        <v>1542.6215110310686</v>
      </c>
      <c r="M104" s="512">
        <f t="shared" si="9"/>
        <v>1536.1819899927011</v>
      </c>
      <c r="N104" s="512">
        <f t="shared" si="9"/>
        <v>1520.0108002949419</v>
      </c>
    </row>
    <row r="105" spans="2:14" ht="25.5">
      <c r="B105" s="511" t="s">
        <v>611</v>
      </c>
      <c r="C105" s="512">
        <f t="shared" si="9"/>
        <v>1349.2738287837035</v>
      </c>
      <c r="D105" s="512">
        <f t="shared" si="9"/>
        <v>1686.8057178190093</v>
      </c>
      <c r="E105" s="512">
        <f t="shared" si="9"/>
        <v>1515.9865558265149</v>
      </c>
      <c r="F105" s="512">
        <f t="shared" si="9"/>
        <v>1482.5629363650601</v>
      </c>
      <c r="G105" s="512">
        <f t="shared" si="9"/>
        <v>1662.3140725742633</v>
      </c>
      <c r="H105" s="512">
        <f t="shared" si="9"/>
        <v>1742.4954335829016</v>
      </c>
      <c r="I105" s="512">
        <f t="shared" si="9"/>
        <v>1768.7514463063585</v>
      </c>
      <c r="J105" s="512">
        <f t="shared" si="9"/>
        <v>1780.1332561342128</v>
      </c>
      <c r="K105" s="512">
        <f t="shared" si="9"/>
        <v>1704.1827534635227</v>
      </c>
      <c r="L105" s="512">
        <f t="shared" si="9"/>
        <v>1683.241480888559</v>
      </c>
      <c r="M105" s="512">
        <f t="shared" si="9"/>
        <v>1664.9481247333433</v>
      </c>
      <c r="N105" s="512">
        <f t="shared" si="9"/>
        <v>1669.1868353152549</v>
      </c>
    </row>
    <row r="106" spans="2:14">
      <c r="B106" s="511" t="s">
        <v>497</v>
      </c>
      <c r="C106" s="512">
        <f t="shared" si="9"/>
        <v>1631.0443069596247</v>
      </c>
      <c r="D106" s="512">
        <f t="shared" si="9"/>
        <v>1285.3823896686515</v>
      </c>
      <c r="E106" s="512">
        <f t="shared" si="9"/>
        <v>1355.7186393380998</v>
      </c>
      <c r="F106" s="512">
        <f t="shared" si="9"/>
        <v>1351.3681617479645</v>
      </c>
      <c r="G106" s="512">
        <f t="shared" si="9"/>
        <v>1326.0834198792879</v>
      </c>
      <c r="H106" s="512">
        <f t="shared" si="9"/>
        <v>1347.1957044035869</v>
      </c>
      <c r="I106" s="512">
        <f t="shared" si="9"/>
        <v>1378.2996306252403</v>
      </c>
      <c r="J106" s="512">
        <f t="shared" si="9"/>
        <v>1336.4078717100294</v>
      </c>
      <c r="K106" s="512">
        <f t="shared" si="9"/>
        <v>1290.9992024313312</v>
      </c>
      <c r="L106" s="512">
        <f t="shared" si="9"/>
        <v>1312.4413665041593</v>
      </c>
      <c r="M106" s="512">
        <f t="shared" si="9"/>
        <v>1301.8671056283961</v>
      </c>
      <c r="N106" s="512">
        <f t="shared" si="9"/>
        <v>1234.9691066198673</v>
      </c>
    </row>
    <row r="107" spans="2:14" ht="25.5">
      <c r="B107" s="511" t="s">
        <v>612</v>
      </c>
      <c r="C107" s="512">
        <f t="shared" si="9"/>
        <v>775.65420682677745</v>
      </c>
      <c r="D107" s="512">
        <f t="shared" si="9"/>
        <v>844.58048482276604</v>
      </c>
      <c r="E107" s="512">
        <f t="shared" si="9"/>
        <v>931.01598996858297</v>
      </c>
      <c r="F107" s="512">
        <f t="shared" si="9"/>
        <v>869.6491609035586</v>
      </c>
      <c r="G107" s="512">
        <f t="shared" si="9"/>
        <v>859.61255847662369</v>
      </c>
      <c r="H107" s="512">
        <f t="shared" si="9"/>
        <v>856.12941752747361</v>
      </c>
      <c r="I107" s="512">
        <f t="shared" si="9"/>
        <v>860.61204165418258</v>
      </c>
      <c r="J107" s="512">
        <f t="shared" si="9"/>
        <v>858.62926053302999</v>
      </c>
      <c r="K107" s="512">
        <f t="shared" si="9"/>
        <v>819.65340700371758</v>
      </c>
      <c r="L107" s="512">
        <f t="shared" si="9"/>
        <v>803.41817740504644</v>
      </c>
      <c r="M107" s="512">
        <f t="shared" si="9"/>
        <v>789.95652782432785</v>
      </c>
      <c r="N107" s="512">
        <f t="shared" si="9"/>
        <v>787.98840072046607</v>
      </c>
    </row>
    <row r="108" spans="2:14">
      <c r="B108" s="511" t="s">
        <v>542</v>
      </c>
      <c r="C108" s="512">
        <f>C35</f>
        <v>25325.981524290863</v>
      </c>
      <c r="D108" s="512">
        <f t="shared" ref="D108:N108" si="10">D35</f>
        <v>24864.32398892309</v>
      </c>
      <c r="E108" s="512">
        <f t="shared" si="10"/>
        <v>26448.871508078941</v>
      </c>
      <c r="F108" s="512">
        <f t="shared" si="10"/>
        <v>25797.106539924709</v>
      </c>
      <c r="G108" s="512">
        <f t="shared" si="10"/>
        <v>25450.041469507818</v>
      </c>
      <c r="H108" s="512">
        <f t="shared" si="10"/>
        <v>25527.010741858019</v>
      </c>
      <c r="I108" s="512">
        <f t="shared" si="10"/>
        <v>25845.896651495765</v>
      </c>
      <c r="J108" s="512">
        <f t="shared" si="10"/>
        <v>25731.139914905129</v>
      </c>
      <c r="K108" s="512">
        <f t="shared" si="10"/>
        <v>24759.538609418585</v>
      </c>
      <c r="L108" s="512">
        <f t="shared" si="10"/>
        <v>24416.167627861571</v>
      </c>
      <c r="M108" s="512">
        <f t="shared" si="10"/>
        <v>24069.983113000369</v>
      </c>
      <c r="N108" s="512">
        <f t="shared" si="10"/>
        <v>23849.453533819546</v>
      </c>
    </row>
    <row r="109" spans="2:14">
      <c r="B109" s="512" t="str">
        <f>B43</f>
        <v>PRIMARY All Central Scenario</v>
      </c>
      <c r="C109" s="512">
        <f t="shared" ref="C109:N109" si="11">C43</f>
        <v>27538.544661464744</v>
      </c>
      <c r="D109" s="512">
        <f t="shared" si="11"/>
        <v>26105.002673937081</v>
      </c>
      <c r="E109" s="512">
        <f t="shared" si="11"/>
        <v>25804.401119795846</v>
      </c>
      <c r="F109" s="512">
        <f t="shared" si="11"/>
        <v>24509.091093232932</v>
      </c>
      <c r="G109" s="512">
        <f t="shared" si="11"/>
        <v>24656.998817781678</v>
      </c>
      <c r="H109" s="512">
        <f t="shared" si="11"/>
        <v>24432.263410506512</v>
      </c>
      <c r="I109" s="512">
        <f t="shared" si="11"/>
        <v>24102.311757997213</v>
      </c>
      <c r="J109" s="512">
        <f t="shared" si="11"/>
        <v>23873.194543470338</v>
      </c>
      <c r="K109" s="512">
        <f t="shared" si="11"/>
        <v>24450.504710155619</v>
      </c>
      <c r="L109" s="512">
        <f t="shared" si="11"/>
        <v>24916.785672652128</v>
      </c>
      <c r="M109" s="512">
        <f t="shared" si="11"/>
        <v>25036.449572418685</v>
      </c>
      <c r="N109" s="512">
        <f t="shared" si="11"/>
        <v>24924.618653464819</v>
      </c>
    </row>
    <row r="110" spans="2:14">
      <c r="B110" s="512" t="str">
        <f t="shared" ref="B110:B120" si="12">B44</f>
        <v>ART &amp; DESIGN All Central Scenario</v>
      </c>
      <c r="C110" s="512">
        <f t="shared" ref="C110:N110" si="13">C44</f>
        <v>818.75145377217302</v>
      </c>
      <c r="D110" s="512">
        <f t="shared" si="13"/>
        <v>927.93654352597684</v>
      </c>
      <c r="E110" s="512">
        <f t="shared" si="13"/>
        <v>817.25785947076361</v>
      </c>
      <c r="F110" s="512">
        <f t="shared" si="13"/>
        <v>821.31614638925009</v>
      </c>
      <c r="G110" s="512">
        <f t="shared" si="13"/>
        <v>922.91788492748583</v>
      </c>
      <c r="H110" s="512">
        <f t="shared" si="13"/>
        <v>941.38089751993812</v>
      </c>
      <c r="I110" s="512">
        <f t="shared" si="13"/>
        <v>948.22222537427285</v>
      </c>
      <c r="J110" s="512">
        <f t="shared" si="13"/>
        <v>962.85061924353772</v>
      </c>
      <c r="K110" s="512">
        <f t="shared" si="13"/>
        <v>926.77228411941587</v>
      </c>
      <c r="L110" s="512">
        <f t="shared" si="13"/>
        <v>890.58828211018431</v>
      </c>
      <c r="M110" s="512">
        <f t="shared" si="13"/>
        <v>872.01931104115033</v>
      </c>
      <c r="N110" s="512">
        <f t="shared" si="13"/>
        <v>891.42260405371076</v>
      </c>
    </row>
    <row r="111" spans="2:14">
      <c r="B111" s="512" t="str">
        <f t="shared" si="12"/>
        <v>BIOLOGY All Central Scenario</v>
      </c>
      <c r="C111" s="512">
        <f t="shared" ref="C111:N111" si="14">C45</f>
        <v>1914.5076796152448</v>
      </c>
      <c r="D111" s="512">
        <f t="shared" si="14"/>
        <v>1456.0427186937031</v>
      </c>
      <c r="E111" s="512">
        <f t="shared" si="14"/>
        <v>1622.9690753203779</v>
      </c>
      <c r="F111" s="512">
        <f t="shared" si="14"/>
        <v>1541.0689857592392</v>
      </c>
      <c r="G111" s="512">
        <f t="shared" si="14"/>
        <v>1523.4355793739348</v>
      </c>
      <c r="H111" s="512">
        <f t="shared" si="14"/>
        <v>1554.0900491778327</v>
      </c>
      <c r="I111" s="512">
        <f t="shared" si="14"/>
        <v>1597.2525539966007</v>
      </c>
      <c r="J111" s="512">
        <f t="shared" si="14"/>
        <v>1568.3907652139583</v>
      </c>
      <c r="K111" s="512">
        <f t="shared" si="14"/>
        <v>1525.6184113063307</v>
      </c>
      <c r="L111" s="512">
        <f t="shared" si="14"/>
        <v>1543.0806641013999</v>
      </c>
      <c r="M111" s="512">
        <f t="shared" si="14"/>
        <v>1534.0714545852397</v>
      </c>
      <c r="N111" s="512">
        <f t="shared" si="14"/>
        <v>1479.2817977451632</v>
      </c>
    </row>
    <row r="112" spans="2:14" ht="25.5">
      <c r="B112" s="512" t="str">
        <f t="shared" si="12"/>
        <v>BUSINESS STUDIES All Central Scenario</v>
      </c>
      <c r="C112" s="512">
        <f t="shared" ref="C112:N112" si="15">C46</f>
        <v>362.24872735684426</v>
      </c>
      <c r="D112" s="512">
        <f t="shared" si="15"/>
        <v>373.05911124335444</v>
      </c>
      <c r="E112" s="512">
        <f t="shared" si="15"/>
        <v>322.16379969187324</v>
      </c>
      <c r="F112" s="512">
        <f t="shared" si="15"/>
        <v>242.64341944863361</v>
      </c>
      <c r="G112" s="512">
        <f t="shared" si="15"/>
        <v>361.07790710831665</v>
      </c>
      <c r="H112" s="512">
        <f t="shared" si="15"/>
        <v>416.6983553825952</v>
      </c>
      <c r="I112" s="512">
        <f t="shared" si="15"/>
        <v>451.85055300150242</v>
      </c>
      <c r="J112" s="512">
        <f t="shared" si="15"/>
        <v>438.31222345428705</v>
      </c>
      <c r="K112" s="512">
        <f t="shared" si="15"/>
        <v>452.22124837084499</v>
      </c>
      <c r="L112" s="512">
        <f t="shared" si="15"/>
        <v>466.43200415197572</v>
      </c>
      <c r="M112" s="512">
        <f t="shared" si="15"/>
        <v>469.10526220038776</v>
      </c>
      <c r="N112" s="512">
        <f t="shared" si="15"/>
        <v>440.86073111453987</v>
      </c>
    </row>
    <row r="113" spans="2:14">
      <c r="B113" s="512" t="str">
        <f t="shared" si="12"/>
        <v>CHEMISTRY All Central Scenario</v>
      </c>
      <c r="C113" s="512">
        <f t="shared" ref="C113:N113" si="16">C47</f>
        <v>1643.6448981347612</v>
      </c>
      <c r="D113" s="512">
        <f t="shared" si="16"/>
        <v>1300.1736948351936</v>
      </c>
      <c r="E113" s="512">
        <f t="shared" si="16"/>
        <v>1369.3635969078512</v>
      </c>
      <c r="F113" s="512">
        <f t="shared" si="16"/>
        <v>1370.3546697869631</v>
      </c>
      <c r="G113" s="512">
        <f t="shared" si="16"/>
        <v>1350.5794286394669</v>
      </c>
      <c r="H113" s="512">
        <f t="shared" si="16"/>
        <v>1375.8173502548311</v>
      </c>
      <c r="I113" s="512">
        <f t="shared" si="16"/>
        <v>1411.6156893113766</v>
      </c>
      <c r="J113" s="512">
        <f t="shared" si="16"/>
        <v>1375.2824750734162</v>
      </c>
      <c r="K113" s="512">
        <f t="shared" si="16"/>
        <v>1334.3803130509314</v>
      </c>
      <c r="L113" s="512">
        <f t="shared" si="16"/>
        <v>1353.9948822402539</v>
      </c>
      <c r="M113" s="512">
        <f t="shared" si="16"/>
        <v>1344.5024695298421</v>
      </c>
      <c r="N113" s="512">
        <f t="shared" si="16"/>
        <v>1283.2001953735639</v>
      </c>
    </row>
    <row r="114" spans="2:14">
      <c r="B114" s="512" t="str">
        <f t="shared" si="12"/>
        <v>CLASSICS All Central Scenario</v>
      </c>
      <c r="C114" s="512">
        <f t="shared" ref="C114:N114" si="17">C48</f>
        <v>40.462977276203873</v>
      </c>
      <c r="D114" s="512">
        <f t="shared" si="17"/>
        <v>40.103914155770951</v>
      </c>
      <c r="E114" s="512">
        <f t="shared" si="17"/>
        <v>38.885487227047463</v>
      </c>
      <c r="F114" s="512">
        <f t="shared" si="17"/>
        <v>37.79443409415417</v>
      </c>
      <c r="G114" s="512">
        <f t="shared" si="17"/>
        <v>37.320608334297425</v>
      </c>
      <c r="H114" s="512">
        <f t="shared" si="17"/>
        <v>37.508610997447512</v>
      </c>
      <c r="I114" s="512">
        <f t="shared" si="17"/>
        <v>38.178825260527432</v>
      </c>
      <c r="J114" s="512">
        <f t="shared" si="17"/>
        <v>37.964857506925505</v>
      </c>
      <c r="K114" s="512">
        <f t="shared" si="17"/>
        <v>37.386645759601443</v>
      </c>
      <c r="L114" s="512">
        <f t="shared" si="17"/>
        <v>36.484506038977038</v>
      </c>
      <c r="M114" s="512">
        <f t="shared" si="17"/>
        <v>35.996949863146021</v>
      </c>
      <c r="N114" s="512">
        <f t="shared" si="17"/>
        <v>35.965383679281501</v>
      </c>
    </row>
    <row r="115" spans="2:14">
      <c r="B115" s="512" t="str">
        <f t="shared" si="12"/>
        <v>COMPUTING All Central Scenario</v>
      </c>
      <c r="C115" s="512">
        <f t="shared" ref="C115:N115" si="18">C49</f>
        <v>709.32546447980587</v>
      </c>
      <c r="D115" s="512">
        <f t="shared" si="18"/>
        <v>843.57843472215291</v>
      </c>
      <c r="E115" s="512">
        <f t="shared" si="18"/>
        <v>606.54529199878812</v>
      </c>
      <c r="F115" s="512">
        <f t="shared" si="18"/>
        <v>583.35086242820535</v>
      </c>
      <c r="G115" s="512">
        <f t="shared" si="18"/>
        <v>773.9857188455577</v>
      </c>
      <c r="H115" s="512">
        <f t="shared" si="18"/>
        <v>832.54281536747317</v>
      </c>
      <c r="I115" s="512">
        <f t="shared" si="18"/>
        <v>846.49492966501373</v>
      </c>
      <c r="J115" s="512">
        <f t="shared" si="18"/>
        <v>853.1581471224514</v>
      </c>
      <c r="K115" s="512">
        <f t="shared" si="18"/>
        <v>827.13041414329996</v>
      </c>
      <c r="L115" s="512">
        <f t="shared" si="18"/>
        <v>808.33190401463776</v>
      </c>
      <c r="M115" s="512">
        <f t="shared" si="18"/>
        <v>796.29075672587828</v>
      </c>
      <c r="N115" s="512">
        <f t="shared" si="18"/>
        <v>800.54945796281163</v>
      </c>
    </row>
    <row r="116" spans="2:14" ht="25.5">
      <c r="B116" s="512" t="str">
        <f t="shared" si="12"/>
        <v>DESIGN &amp; TECHNOLOGY All Central Scenario</v>
      </c>
      <c r="C116" s="512">
        <f t="shared" ref="C116:N116" si="19">C50</f>
        <v>1245.0689442608946</v>
      </c>
      <c r="D116" s="512">
        <f t="shared" si="19"/>
        <v>1311.846587985312</v>
      </c>
      <c r="E116" s="512">
        <f t="shared" si="19"/>
        <v>1012.1564823549604</v>
      </c>
      <c r="F116" s="512">
        <f t="shared" si="19"/>
        <v>918.40314532993511</v>
      </c>
      <c r="G116" s="512">
        <f t="shared" si="19"/>
        <v>1109.0705573766031</v>
      </c>
      <c r="H116" s="512">
        <f t="shared" si="19"/>
        <v>1164.802208393276</v>
      </c>
      <c r="I116" s="512">
        <f t="shared" si="19"/>
        <v>1142.0498555740651</v>
      </c>
      <c r="J116" s="512">
        <f t="shared" si="19"/>
        <v>1162.780409032571</v>
      </c>
      <c r="K116" s="512">
        <f t="shared" si="19"/>
        <v>1093.2713559971535</v>
      </c>
      <c r="L116" s="512">
        <f t="shared" si="19"/>
        <v>1024.9326813218624</v>
      </c>
      <c r="M116" s="512">
        <f t="shared" si="19"/>
        <v>991.48896928915133</v>
      </c>
      <c r="N116" s="512">
        <f t="shared" si="19"/>
        <v>1034.7806866282249</v>
      </c>
    </row>
    <row r="117" spans="2:14">
      <c r="B117" s="512" t="str">
        <f t="shared" si="12"/>
        <v>DRAMA All Central Scenario</v>
      </c>
      <c r="C117" s="512">
        <f t="shared" ref="C117:N117" si="20">C51</f>
        <v>500.66562407477022</v>
      </c>
      <c r="D117" s="512">
        <f t="shared" si="20"/>
        <v>535.81534290220816</v>
      </c>
      <c r="E117" s="512">
        <f t="shared" si="20"/>
        <v>524.0947653422545</v>
      </c>
      <c r="F117" s="512">
        <f t="shared" si="20"/>
        <v>506.27762177873194</v>
      </c>
      <c r="G117" s="512">
        <f t="shared" si="20"/>
        <v>502.59427234489328</v>
      </c>
      <c r="H117" s="512">
        <f t="shared" si="20"/>
        <v>542.0105294600877</v>
      </c>
      <c r="I117" s="512">
        <f t="shared" si="20"/>
        <v>545.64501769486344</v>
      </c>
      <c r="J117" s="512">
        <f t="shared" si="20"/>
        <v>558.07417897334494</v>
      </c>
      <c r="K117" s="512">
        <f t="shared" si="20"/>
        <v>535.94832354417588</v>
      </c>
      <c r="L117" s="512">
        <f t="shared" si="20"/>
        <v>515.54095619313125</v>
      </c>
      <c r="M117" s="512">
        <f t="shared" si="20"/>
        <v>506.49020975013286</v>
      </c>
      <c r="N117" s="512">
        <f t="shared" si="20"/>
        <v>522.93864569563834</v>
      </c>
    </row>
    <row r="118" spans="2:14">
      <c r="B118" s="512" t="str">
        <f t="shared" si="12"/>
        <v>ENGLISH All Central Scenario</v>
      </c>
      <c r="C118" s="512">
        <f>C52</f>
        <v>3778.1104864577228</v>
      </c>
      <c r="D118" s="512">
        <f t="shared" ref="D118:N118" si="21">D52</f>
        <v>3599.4228192505816</v>
      </c>
      <c r="E118" s="512">
        <f t="shared" si="21"/>
        <v>3862.8994883252717</v>
      </c>
      <c r="F118" s="512">
        <f t="shared" si="21"/>
        <v>3701.4082860658532</v>
      </c>
      <c r="G118" s="512">
        <f t="shared" si="21"/>
        <v>3615.2957762173473</v>
      </c>
      <c r="H118" s="512">
        <f t="shared" si="21"/>
        <v>3630.9258555009756</v>
      </c>
      <c r="I118" s="512">
        <f t="shared" si="21"/>
        <v>3661.6593030373506</v>
      </c>
      <c r="J118" s="512">
        <f t="shared" si="21"/>
        <v>3620.3691206946369</v>
      </c>
      <c r="K118" s="512">
        <f t="shared" si="21"/>
        <v>3455.9903259364196</v>
      </c>
      <c r="L118" s="512">
        <f t="shared" si="21"/>
        <v>3435.1827295512644</v>
      </c>
      <c r="M118" s="512">
        <f t="shared" si="21"/>
        <v>3388.9169995444304</v>
      </c>
      <c r="N118" s="512">
        <f t="shared" si="21"/>
        <v>3324.7251138627344</v>
      </c>
    </row>
    <row r="119" spans="2:14">
      <c r="B119" s="512" t="str">
        <f t="shared" si="12"/>
        <v>FOOD All Central Scenario</v>
      </c>
      <c r="C119" s="512">
        <f>C53</f>
        <v>234.07235550154263</v>
      </c>
      <c r="D119" s="512">
        <f t="shared" ref="D119:N119" si="22">D53</f>
        <v>284.27617634968738</v>
      </c>
      <c r="E119" s="512">
        <f t="shared" si="22"/>
        <v>194.17053582383005</v>
      </c>
      <c r="F119" s="512">
        <f t="shared" si="22"/>
        <v>170.8270791023503</v>
      </c>
      <c r="G119" s="512">
        <f t="shared" si="22"/>
        <v>230.37708101191996</v>
      </c>
      <c r="H119" s="512">
        <f t="shared" si="22"/>
        <v>245.70104364650734</v>
      </c>
      <c r="I119" s="512">
        <f t="shared" si="22"/>
        <v>246.34790451003173</v>
      </c>
      <c r="J119" s="512">
        <f t="shared" si="22"/>
        <v>236.46023169056463</v>
      </c>
      <c r="K119" s="512">
        <f t="shared" si="22"/>
        <v>224.73956387035648</v>
      </c>
      <c r="L119" s="512">
        <f t="shared" si="22"/>
        <v>226.24983913949038</v>
      </c>
      <c r="M119" s="512">
        <f t="shared" si="22"/>
        <v>222.57327350751743</v>
      </c>
      <c r="N119" s="512">
        <f t="shared" si="22"/>
        <v>210.23572617202188</v>
      </c>
    </row>
    <row r="120" spans="2:14">
      <c r="B120" s="512" t="str">
        <f t="shared" si="12"/>
        <v>GEOGRAPHY All Central Scenario</v>
      </c>
      <c r="C120" s="512">
        <f>C54</f>
        <v>1091.6578874521288</v>
      </c>
      <c r="D120" s="512">
        <f t="shared" ref="D120:N120" si="23">D54</f>
        <v>1176.8486226628406</v>
      </c>
      <c r="E120" s="512">
        <f t="shared" si="23"/>
        <v>1578.1307391323012</v>
      </c>
      <c r="F120" s="512">
        <f t="shared" si="23"/>
        <v>1559.9435854724363</v>
      </c>
      <c r="G120" s="512">
        <f t="shared" si="23"/>
        <v>1330.3897823669502</v>
      </c>
      <c r="H120" s="512">
        <f t="shared" si="23"/>
        <v>1288.7634130233025</v>
      </c>
      <c r="I120" s="512">
        <f t="shared" si="23"/>
        <v>1294.644023061835</v>
      </c>
      <c r="J120" s="512">
        <f t="shared" si="23"/>
        <v>1303.7414380971634</v>
      </c>
      <c r="K120" s="512">
        <f t="shared" si="23"/>
        <v>1244.6928236847466</v>
      </c>
      <c r="L120" s="512">
        <f t="shared" si="23"/>
        <v>1213.3361672022436</v>
      </c>
      <c r="M120" s="512">
        <f t="shared" si="23"/>
        <v>1192.8208878862974</v>
      </c>
      <c r="N120" s="512">
        <f t="shared" si="23"/>
        <v>1204.3424150166754</v>
      </c>
    </row>
    <row r="121" spans="2:14">
      <c r="B121" s="512" t="str">
        <f t="shared" ref="B121:I129" si="24">B55</f>
        <v>HISTORY All Central Scenario</v>
      </c>
      <c r="C121" s="512">
        <f t="shared" si="24"/>
        <v>1081.6752707668475</v>
      </c>
      <c r="D121" s="512">
        <f t="shared" si="24"/>
        <v>1242.6293981653848</v>
      </c>
      <c r="E121" s="512">
        <f t="shared" si="24"/>
        <v>1516.6921585404023</v>
      </c>
      <c r="F121" s="512">
        <f t="shared" si="24"/>
        <v>1571.7216952093804</v>
      </c>
      <c r="G121" s="512">
        <f t="shared" si="24"/>
        <v>1361.6441528973978</v>
      </c>
      <c r="H121" s="512">
        <f t="shared" si="24"/>
        <v>1350.7580453005312</v>
      </c>
      <c r="I121" s="512">
        <f t="shared" si="24"/>
        <v>1362.0636501364806</v>
      </c>
      <c r="J121" s="512">
        <f t="shared" ref="J121:J129" si="25">J55</f>
        <v>1369.6103235530522</v>
      </c>
      <c r="K121" s="512">
        <f t="shared" ref="K121:N129" si="26">K55</f>
        <v>1313.2053394274715</v>
      </c>
      <c r="L121" s="512">
        <f t="shared" si="26"/>
        <v>1282.8334505470709</v>
      </c>
      <c r="M121" s="512">
        <f t="shared" si="26"/>
        <v>1262.3868850136987</v>
      </c>
      <c r="N121" s="512">
        <f t="shared" si="26"/>
        <v>1270.4926074627915</v>
      </c>
    </row>
    <row r="122" spans="2:14">
      <c r="B122" s="512" t="str">
        <f t="shared" si="24"/>
        <v>MATHEMATICS All Central Scenario</v>
      </c>
      <c r="C122" s="512">
        <f t="shared" si="24"/>
        <v>4533.0586834746464</v>
      </c>
      <c r="D122" s="512">
        <f t="shared" si="24"/>
        <v>4151.1912952787143</v>
      </c>
      <c r="E122" s="512">
        <f t="shared" si="24"/>
        <v>4253.0396385280801</v>
      </c>
      <c r="F122" s="512">
        <f t="shared" si="24"/>
        <v>4116.8985425687888</v>
      </c>
      <c r="G122" s="512">
        <f t="shared" si="24"/>
        <v>4076.1032526889899</v>
      </c>
      <c r="H122" s="512">
        <f t="shared" si="24"/>
        <v>3972.780827279938</v>
      </c>
      <c r="I122" s="512">
        <f t="shared" si="24"/>
        <v>3999.0652238733483</v>
      </c>
      <c r="J122" s="512">
        <f t="shared" si="25"/>
        <v>3952.3341882604354</v>
      </c>
      <c r="K122" s="512">
        <f t="shared" si="26"/>
        <v>3780.3366397170557</v>
      </c>
      <c r="L122" s="512">
        <f t="shared" si="26"/>
        <v>3737.8028243573672</v>
      </c>
      <c r="M122" s="512">
        <f t="shared" si="26"/>
        <v>3678.4063194105711</v>
      </c>
      <c r="N122" s="512">
        <f t="shared" si="26"/>
        <v>3612.9428403986103</v>
      </c>
    </row>
    <row r="123" spans="2:14" ht="25.5">
      <c r="B123" s="512" t="str">
        <f t="shared" si="24"/>
        <v>MODERN FOREIGN LANGUAGES All Central Scenario</v>
      </c>
      <c r="C123" s="512">
        <f t="shared" si="24"/>
        <v>1598.4891505508069</v>
      </c>
      <c r="D123" s="512">
        <f t="shared" si="24"/>
        <v>1814.5522420788348</v>
      </c>
      <c r="E123" s="512">
        <f t="shared" si="24"/>
        <v>3169.8238040684982</v>
      </c>
      <c r="F123" s="512">
        <f t="shared" si="24"/>
        <v>3382.5455067966113</v>
      </c>
      <c r="G123" s="512">
        <f t="shared" si="24"/>
        <v>2577.6234451171326</v>
      </c>
      <c r="H123" s="512">
        <f t="shared" si="24"/>
        <v>2200.730093337505</v>
      </c>
      <c r="I123" s="512">
        <f t="shared" si="24"/>
        <v>2191.2039640264884</v>
      </c>
      <c r="J123" s="512">
        <f t="shared" si="25"/>
        <v>2194.4925909694066</v>
      </c>
      <c r="K123" s="512">
        <f t="shared" si="26"/>
        <v>2077.6440279294093</v>
      </c>
      <c r="L123" s="512">
        <f t="shared" si="26"/>
        <v>2017.5374365779689</v>
      </c>
      <c r="M123" s="512">
        <f t="shared" si="26"/>
        <v>1973.8877271487099</v>
      </c>
      <c r="N123" s="512">
        <f t="shared" si="26"/>
        <v>1984.3324489999882</v>
      </c>
    </row>
    <row r="124" spans="2:14">
      <c r="B124" s="512" t="str">
        <f t="shared" si="24"/>
        <v>MUSIC All Central Scenario</v>
      </c>
      <c r="C124" s="512">
        <f t="shared" si="24"/>
        <v>518.19712238615239</v>
      </c>
      <c r="D124" s="512">
        <f t="shared" si="24"/>
        <v>563.21972711972126</v>
      </c>
      <c r="E124" s="512">
        <f t="shared" si="24"/>
        <v>572.59936089012535</v>
      </c>
      <c r="F124" s="512">
        <f t="shared" si="24"/>
        <v>592.16071758430417</v>
      </c>
      <c r="G124" s="512">
        <f t="shared" si="24"/>
        <v>583.48353399109374</v>
      </c>
      <c r="H124" s="512">
        <f t="shared" si="24"/>
        <v>573.27595593338151</v>
      </c>
      <c r="I124" s="512">
        <f t="shared" si="24"/>
        <v>567.32244580792019</v>
      </c>
      <c r="J124" s="512">
        <f t="shared" si="25"/>
        <v>588.9684862115779</v>
      </c>
      <c r="K124" s="512">
        <f t="shared" si="26"/>
        <v>557.81099730005849</v>
      </c>
      <c r="L124" s="512">
        <f t="shared" si="26"/>
        <v>522.11676448490664</v>
      </c>
      <c r="M124" s="512">
        <f t="shared" si="26"/>
        <v>508.07188932545034</v>
      </c>
      <c r="N124" s="512">
        <f t="shared" si="26"/>
        <v>541.22773670326114</v>
      </c>
    </row>
    <row r="125" spans="2:14">
      <c r="B125" s="512" t="str">
        <f t="shared" si="24"/>
        <v>OTHERS All Central Scenario</v>
      </c>
      <c r="C125" s="512">
        <f t="shared" si="24"/>
        <v>1500.072456160216</v>
      </c>
      <c r="D125" s="512">
        <f t="shared" si="24"/>
        <v>1426.8587676432212</v>
      </c>
      <c r="E125" s="512">
        <f t="shared" si="24"/>
        <v>1185.3582393233153</v>
      </c>
      <c r="F125" s="512">
        <f t="shared" si="24"/>
        <v>976.81158309329089</v>
      </c>
      <c r="G125" s="512">
        <f t="shared" si="24"/>
        <v>1246.1324373362588</v>
      </c>
      <c r="H125" s="512">
        <f t="shared" si="24"/>
        <v>1453.4041357684314</v>
      </c>
      <c r="I125" s="512">
        <f t="shared" si="24"/>
        <v>1534.617368578306</v>
      </c>
      <c r="J125" s="512">
        <f t="shared" si="25"/>
        <v>1533.1794714305215</v>
      </c>
      <c r="K125" s="512">
        <f t="shared" si="26"/>
        <v>1557.5545323627464</v>
      </c>
      <c r="L125" s="512">
        <f t="shared" si="26"/>
        <v>1542.6215110310686</v>
      </c>
      <c r="M125" s="512">
        <f t="shared" si="26"/>
        <v>1536.1819899927011</v>
      </c>
      <c r="N125" s="512">
        <f t="shared" si="26"/>
        <v>1520.0108002949419</v>
      </c>
    </row>
    <row r="126" spans="2:14" ht="25.5">
      <c r="B126" s="512" t="str">
        <f t="shared" si="24"/>
        <v>PHYSICAL EDUCATION All Central Scenario</v>
      </c>
      <c r="C126" s="512">
        <f t="shared" si="24"/>
        <v>1349.2738287837035</v>
      </c>
      <c r="D126" s="512">
        <f t="shared" si="24"/>
        <v>1686.8057178190093</v>
      </c>
      <c r="E126" s="512">
        <f t="shared" si="24"/>
        <v>1515.9865558265149</v>
      </c>
      <c r="F126" s="512">
        <f t="shared" si="24"/>
        <v>1482.5629363650601</v>
      </c>
      <c r="G126" s="512">
        <f t="shared" si="24"/>
        <v>1662.3140725742633</v>
      </c>
      <c r="H126" s="512">
        <f t="shared" si="24"/>
        <v>1742.4954335829016</v>
      </c>
      <c r="I126" s="512">
        <f t="shared" si="24"/>
        <v>1768.7514463063585</v>
      </c>
      <c r="J126" s="512">
        <f t="shared" si="25"/>
        <v>1780.1332561342128</v>
      </c>
      <c r="K126" s="512">
        <f t="shared" si="26"/>
        <v>1704.1827534635227</v>
      </c>
      <c r="L126" s="512">
        <f t="shared" si="26"/>
        <v>1683.241480888559</v>
      </c>
      <c r="M126" s="512">
        <f t="shared" si="26"/>
        <v>1664.9481247333433</v>
      </c>
      <c r="N126" s="512">
        <f t="shared" si="26"/>
        <v>1669.1868353152549</v>
      </c>
    </row>
    <row r="127" spans="2:14">
      <c r="B127" s="512" t="str">
        <f t="shared" si="24"/>
        <v>PHYSICS All Central Scenario</v>
      </c>
      <c r="C127" s="512">
        <f t="shared" si="24"/>
        <v>1631.0443069596247</v>
      </c>
      <c r="D127" s="512">
        <f t="shared" si="24"/>
        <v>1285.3823896686515</v>
      </c>
      <c r="E127" s="512">
        <f t="shared" si="24"/>
        <v>1355.7186393380998</v>
      </c>
      <c r="F127" s="512">
        <f t="shared" si="24"/>
        <v>1351.3681617479645</v>
      </c>
      <c r="G127" s="512">
        <f t="shared" si="24"/>
        <v>1326.0834198792879</v>
      </c>
      <c r="H127" s="512">
        <f t="shared" si="24"/>
        <v>1347.1957044035869</v>
      </c>
      <c r="I127" s="512">
        <f t="shared" si="24"/>
        <v>1378.2996306252403</v>
      </c>
      <c r="J127" s="512">
        <f t="shared" si="25"/>
        <v>1336.4078717100294</v>
      </c>
      <c r="K127" s="512">
        <f t="shared" si="26"/>
        <v>1290.9992024313312</v>
      </c>
      <c r="L127" s="512">
        <f t="shared" si="26"/>
        <v>1312.4413665041593</v>
      </c>
      <c r="M127" s="512">
        <f t="shared" si="26"/>
        <v>1301.8671056283961</v>
      </c>
      <c r="N127" s="512">
        <f t="shared" si="26"/>
        <v>1234.9691066198673</v>
      </c>
    </row>
    <row r="128" spans="2:14" ht="25.5">
      <c r="B128" s="512" t="str">
        <f t="shared" si="24"/>
        <v>RELIGIOUS EDUCATION All Central Scenario</v>
      </c>
      <c r="C128" s="512">
        <f t="shared" si="24"/>
        <v>775.65420682677745</v>
      </c>
      <c r="D128" s="512">
        <f t="shared" si="24"/>
        <v>844.58048482276604</v>
      </c>
      <c r="E128" s="512">
        <f t="shared" si="24"/>
        <v>931.01598996858297</v>
      </c>
      <c r="F128" s="512">
        <f t="shared" si="24"/>
        <v>869.6491609035586</v>
      </c>
      <c r="G128" s="512">
        <f t="shared" si="24"/>
        <v>859.61255847662369</v>
      </c>
      <c r="H128" s="512">
        <f t="shared" si="24"/>
        <v>856.12941752747361</v>
      </c>
      <c r="I128" s="512">
        <f t="shared" si="24"/>
        <v>860.61204165418258</v>
      </c>
      <c r="J128" s="512">
        <f t="shared" si="25"/>
        <v>858.62926053302999</v>
      </c>
      <c r="K128" s="512">
        <f t="shared" si="26"/>
        <v>819.65340700371758</v>
      </c>
      <c r="L128" s="512">
        <f t="shared" si="26"/>
        <v>803.41817740504644</v>
      </c>
      <c r="M128" s="512">
        <f t="shared" si="26"/>
        <v>789.95652782432785</v>
      </c>
      <c r="N128" s="512">
        <f t="shared" si="26"/>
        <v>787.98840072046607</v>
      </c>
    </row>
    <row r="129" spans="2:14">
      <c r="B129" s="512" t="str">
        <f t="shared" si="24"/>
        <v>SECONDARY All Central Scenario</v>
      </c>
      <c r="C129" s="512">
        <f t="shared" si="24"/>
        <v>25325.981524290863</v>
      </c>
      <c r="D129" s="512">
        <f t="shared" si="24"/>
        <v>24864.32398892309</v>
      </c>
      <c r="E129" s="512">
        <f t="shared" si="24"/>
        <v>26448.871508078941</v>
      </c>
      <c r="F129" s="512">
        <f t="shared" si="24"/>
        <v>25797.106539924709</v>
      </c>
      <c r="G129" s="512">
        <f t="shared" si="24"/>
        <v>25450.041469507818</v>
      </c>
      <c r="H129" s="512">
        <f t="shared" si="24"/>
        <v>25527.010741858019</v>
      </c>
      <c r="I129" s="512">
        <f t="shared" si="24"/>
        <v>25845.896651495765</v>
      </c>
      <c r="J129" s="512">
        <f t="shared" si="25"/>
        <v>25731.139914905129</v>
      </c>
      <c r="K129" s="512">
        <f t="shared" si="26"/>
        <v>24759.538609418585</v>
      </c>
      <c r="L129" s="512">
        <f t="shared" si="26"/>
        <v>24416.167627861571</v>
      </c>
      <c r="M129" s="512">
        <f t="shared" si="26"/>
        <v>24069.983113000369</v>
      </c>
      <c r="N129" s="512">
        <f t="shared" si="26"/>
        <v>23849.453533819546</v>
      </c>
    </row>
  </sheetData>
  <hyperlinks>
    <hyperlink ref="A2" location="'Title_&amp;_Contents'!A1" display="Contents"/>
    <hyperlink ref="B2" location="Map_of_sheets!A1" display="Map of sheets"/>
  </hyperlink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sheetPr>
  <dimension ref="A1:Q35"/>
  <sheetViews>
    <sheetView showGridLines="0" workbookViewId="0"/>
  </sheetViews>
  <sheetFormatPr defaultColWidth="9.140625" defaultRowHeight="12.75"/>
  <cols>
    <col min="1" max="1" width="9.140625" style="309"/>
    <col min="2" max="2" width="34.2851562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c r="A4" s="346" t="s">
        <v>26</v>
      </c>
      <c r="B4" s="346"/>
      <c r="C4" s="346"/>
      <c r="D4" s="346"/>
      <c r="E4" s="347"/>
      <c r="F4" s="346"/>
      <c r="G4" s="346"/>
      <c r="H4" s="346"/>
      <c r="I4" s="346"/>
      <c r="J4" s="346"/>
      <c r="K4" s="346"/>
      <c r="L4" s="346"/>
    </row>
    <row r="5" spans="1:17" s="350" customFormat="1">
      <c r="A5" s="1262" t="s">
        <v>357</v>
      </c>
      <c r="B5" s="1262"/>
      <c r="C5" s="1262"/>
      <c r="D5" s="1262"/>
      <c r="E5" s="1262"/>
      <c r="F5" s="1262"/>
      <c r="G5" s="1262"/>
      <c r="H5" s="1262"/>
      <c r="I5" s="1262"/>
      <c r="J5" s="1262"/>
      <c r="K5" s="1262"/>
      <c r="L5" s="1262"/>
      <c r="M5" s="349"/>
      <c r="N5" s="349"/>
      <c r="O5" s="349"/>
      <c r="P5" s="349"/>
      <c r="Q5" s="349"/>
    </row>
    <row r="6" spans="1:17" s="354" customFormat="1">
      <c r="A6" s="351" t="s">
        <v>1420</v>
      </c>
      <c r="B6" s="352"/>
      <c r="C6" s="352"/>
      <c r="D6" s="352"/>
      <c r="E6" s="347"/>
      <c r="F6" s="352"/>
      <c r="G6" s="352"/>
      <c r="H6" s="352"/>
      <c r="I6" s="352"/>
      <c r="J6" s="352"/>
      <c r="K6" s="352"/>
      <c r="L6" s="352"/>
      <c r="M6" s="353"/>
      <c r="N6" s="353"/>
      <c r="O6" s="353"/>
      <c r="P6" s="353"/>
      <c r="Q6" s="353"/>
    </row>
    <row r="7" spans="1:17" s="354" customFormat="1">
      <c r="A7" s="355" t="s">
        <v>348</v>
      </c>
      <c r="B7" s="351"/>
      <c r="C7" s="352"/>
      <c r="D7" s="352"/>
      <c r="E7" s="347"/>
      <c r="F7" s="352"/>
      <c r="G7" s="352"/>
      <c r="H7" s="352"/>
      <c r="I7" s="352"/>
      <c r="J7" s="352"/>
      <c r="K7" s="352"/>
      <c r="L7" s="352"/>
      <c r="M7" s="353"/>
      <c r="N7" s="353"/>
      <c r="O7" s="353"/>
      <c r="P7" s="353"/>
      <c r="Q7" s="353"/>
    </row>
    <row r="8" spans="1:17" s="354" customFormat="1">
      <c r="A8" s="351" t="s">
        <v>24</v>
      </c>
      <c r="B8" s="352"/>
      <c r="C8" s="352"/>
      <c r="D8" s="352"/>
      <c r="E8" s="347"/>
      <c r="F8" s="352"/>
      <c r="G8" s="352"/>
      <c r="H8" s="352"/>
      <c r="I8" s="352"/>
      <c r="J8" s="352"/>
      <c r="K8" s="352"/>
      <c r="L8" s="352"/>
      <c r="M8" s="353"/>
      <c r="N8" s="353"/>
      <c r="O8" s="353"/>
      <c r="P8" s="353"/>
      <c r="Q8" s="353"/>
    </row>
    <row r="9" spans="1:17" s="354" customFormat="1">
      <c r="A9" s="355" t="s">
        <v>119</v>
      </c>
      <c r="B9" s="352"/>
      <c r="C9" s="352"/>
      <c r="D9" s="352"/>
      <c r="E9" s="347"/>
      <c r="F9" s="352"/>
      <c r="G9" s="352"/>
      <c r="H9" s="352"/>
      <c r="I9" s="352"/>
      <c r="J9" s="352"/>
      <c r="K9" s="352"/>
      <c r="L9" s="352"/>
      <c r="M9" s="353"/>
      <c r="N9" s="353"/>
      <c r="O9" s="353"/>
      <c r="P9" s="353"/>
      <c r="Q9" s="353"/>
    </row>
    <row r="10" spans="1:17" s="362" customFormat="1" ht="13.5" customHeight="1">
      <c r="A10" s="356">
        <f>SUM(A13:A2220)</f>
        <v>0</v>
      </c>
      <c r="B10" s="357"/>
      <c r="C10" s="358"/>
      <c r="D10" s="359"/>
      <c r="E10" s="359"/>
      <c r="F10" s="359"/>
      <c r="G10" s="360"/>
      <c r="H10" s="359"/>
      <c r="I10" s="359"/>
      <c r="J10" s="360"/>
      <c r="K10" s="361"/>
      <c r="L10" s="361"/>
      <c r="M10" s="361"/>
      <c r="N10" s="361"/>
      <c r="O10" s="361"/>
      <c r="P10" s="361"/>
      <c r="Q10" s="361"/>
    </row>
    <row r="13" spans="1:17">
      <c r="B13" s="363"/>
      <c r="C13" s="363" t="str">
        <f>'Art_&amp;_Design_1'!C293</f>
        <v>2016/17</v>
      </c>
      <c r="D13" s="363" t="str">
        <f>'Art_&amp;_Design_1'!D293</f>
        <v>2017/18</v>
      </c>
      <c r="E13" s="363" t="str">
        <f>'Art_&amp;_Design_1'!E293</f>
        <v>2018/19</v>
      </c>
      <c r="F13" s="363" t="str">
        <f>'Art_&amp;_Design_1'!F293</f>
        <v>2019/20</v>
      </c>
      <c r="G13" s="363" t="str">
        <f>'Art_&amp;_Design_1'!G293</f>
        <v>2020/21</v>
      </c>
      <c r="H13" s="363" t="str">
        <f>'Art_&amp;_Design_1'!H293</f>
        <v>2021/22</v>
      </c>
      <c r="I13" s="363" t="str">
        <f>'Art_&amp;_Design_1'!I293</f>
        <v>2022/23</v>
      </c>
      <c r="J13" s="363" t="str">
        <f>'Art_&amp;_Design_1'!J293</f>
        <v>2023/24</v>
      </c>
      <c r="K13" s="363" t="str">
        <f>'Art_&amp;_Design_1'!K293</f>
        <v>2024/25</v>
      </c>
      <c r="L13" s="363" t="str">
        <f>'Art_&amp;_Design_1'!L293</f>
        <v>2025/26</v>
      </c>
      <c r="M13" s="363" t="str">
        <f>'Art_&amp;_Design_1'!M293</f>
        <v>2026/27</v>
      </c>
      <c r="N13" s="363" t="str">
        <f>'Art_&amp;_Design_1'!N293</f>
        <v>2027/28</v>
      </c>
    </row>
    <row r="14" spans="1:17">
      <c r="B14" s="381" t="str">
        <f>Primary_1!B282</f>
        <v>Primary Wastage</v>
      </c>
      <c r="C14" s="282">
        <f>Primary_1!C282</f>
        <v>18210.285886719616</v>
      </c>
      <c r="D14" s="282">
        <f>Primary_1!D282</f>
        <v>18525.521226631212</v>
      </c>
      <c r="E14" s="282">
        <f>Primary_1!E282</f>
        <v>18702.799803354941</v>
      </c>
      <c r="F14" s="282">
        <f>Primary_1!F282</f>
        <v>18797.001338478229</v>
      </c>
      <c r="G14" s="282">
        <f>Primary_1!G282</f>
        <v>18828.767422119625</v>
      </c>
      <c r="H14" s="282">
        <f>Primary_1!H282</f>
        <v>18873.360288923304</v>
      </c>
      <c r="I14" s="282">
        <f>Primary_1!I282</f>
        <v>18896.432297435575</v>
      </c>
      <c r="J14" s="282">
        <f>Primary_1!J282</f>
        <v>18890.250064766038</v>
      </c>
      <c r="K14" s="282">
        <f>Primary_1!K282</f>
        <v>18865.548086988358</v>
      </c>
      <c r="L14" s="282">
        <f>Primary_1!L282</f>
        <v>18891.178291643042</v>
      </c>
      <c r="M14" s="282">
        <f>Primary_1!M282</f>
        <v>18952.244334414001</v>
      </c>
      <c r="N14" s="282">
        <f>Primary_1!N282</f>
        <v>19015.947005510654</v>
      </c>
    </row>
    <row r="15" spans="1:17">
      <c r="B15" s="363" t="str">
        <f>'Art_&amp;_Design_1'!B282</f>
        <v>Art &amp; Design Wastage</v>
      </c>
      <c r="C15" s="282">
        <f>'Art_&amp;_Design_1'!C282</f>
        <v>644.43901913579748</v>
      </c>
      <c r="D15" s="282">
        <f>'Art_&amp;_Design_1'!D282</f>
        <v>643.18070561128502</v>
      </c>
      <c r="E15" s="282">
        <f>'Art_&amp;_Design_1'!E282</f>
        <v>651.15544188223578</v>
      </c>
      <c r="F15" s="282">
        <f>'Art_&amp;_Design_1'!F282</f>
        <v>648.43550513828666</v>
      </c>
      <c r="G15" s="282">
        <f>'Art_&amp;_Design_1'!G282</f>
        <v>646.1166201930838</v>
      </c>
      <c r="H15" s="282">
        <f>'Art_&amp;_Design_1'!H282</f>
        <v>652.51199995392471</v>
      </c>
      <c r="I15" s="282">
        <f>'Art_&amp;_Design_1'!I282</f>
        <v>659.50983275304361</v>
      </c>
      <c r="J15" s="282">
        <f>'Art_&amp;_Design_1'!J282</f>
        <v>666.10869095643943</v>
      </c>
      <c r="K15" s="282">
        <f>'Art_&amp;_Design_1'!K282</f>
        <v>673.0903218714235</v>
      </c>
      <c r="L15" s="282">
        <f>'Art_&amp;_Design_1'!L282</f>
        <v>676.13157543016223</v>
      </c>
      <c r="M15" s="282">
        <f>'Art_&amp;_Design_1'!M282</f>
        <v>675.74383295957045</v>
      </c>
      <c r="N15" s="282">
        <f>'Art_&amp;_Design_1'!N282</f>
        <v>673.87794219857938</v>
      </c>
    </row>
    <row r="16" spans="1:17">
      <c r="B16" s="363" t="str">
        <f>Biology_1!B282</f>
        <v>Biology Wastage</v>
      </c>
      <c r="C16" s="282">
        <f>Biology_1!C282</f>
        <v>1005.893267908677</v>
      </c>
      <c r="D16" s="282">
        <f>Biology_1!D282</f>
        <v>1068.2879513352696</v>
      </c>
      <c r="E16" s="282">
        <f>Biology_1!E282</f>
        <v>1078.8969039095041</v>
      </c>
      <c r="F16" s="282">
        <f>Biology_1!F282</f>
        <v>1095.2504287732152</v>
      </c>
      <c r="G16" s="282">
        <f>Biology_1!G282</f>
        <v>1110.1207982172791</v>
      </c>
      <c r="H16" s="282">
        <f>Biology_1!H282</f>
        <v>1121.0696744394463</v>
      </c>
      <c r="I16" s="282">
        <f>Biology_1!I282</f>
        <v>1133.1507411472187</v>
      </c>
      <c r="J16" s="282">
        <f>Biology_1!J282</f>
        <v>1147.3775190219499</v>
      </c>
      <c r="K16" s="282">
        <f>Biology_1!K282</f>
        <v>1156.6564296962486</v>
      </c>
      <c r="L16" s="282">
        <f>Biology_1!L282</f>
        <v>1160.3769957736401</v>
      </c>
      <c r="M16" s="282">
        <f>Biology_1!M282</f>
        <v>1165.0281924822852</v>
      </c>
      <c r="N16" s="282">
        <f>Biology_1!N282</f>
        <v>1168.0062115671435</v>
      </c>
    </row>
    <row r="17" spans="2:14">
      <c r="B17" s="363" t="str">
        <f>Business_Studies_1!B282</f>
        <v>Business Studies Wastage</v>
      </c>
      <c r="C17" s="282">
        <f>Business_Studies_1!C282</f>
        <v>312.65446100466278</v>
      </c>
      <c r="D17" s="282">
        <f>Business_Studies_1!D282</f>
        <v>309.06392520825216</v>
      </c>
      <c r="E17" s="282">
        <f>Business_Studies_1!E282</f>
        <v>306.77239062017151</v>
      </c>
      <c r="F17" s="282">
        <f>Business_Studies_1!F282</f>
        <v>294.87128442424535</v>
      </c>
      <c r="G17" s="282">
        <f>Business_Studies_1!G282</f>
        <v>283.08797236304707</v>
      </c>
      <c r="H17" s="282">
        <f>Business_Studies_1!H282</f>
        <v>282.42755191897089</v>
      </c>
      <c r="I17" s="282">
        <f>Business_Studies_1!I282</f>
        <v>286.29791216300811</v>
      </c>
      <c r="J17" s="282">
        <f>Business_Studies_1!J282</f>
        <v>292.47941139894965</v>
      </c>
      <c r="K17" s="282">
        <f>Business_Studies_1!K282</f>
        <v>296.66751326917137</v>
      </c>
      <c r="L17" s="282">
        <f>Business_Studies_1!L282</f>
        <v>301.44647308883907</v>
      </c>
      <c r="M17" s="282">
        <f>Business_Studies_1!M282</f>
        <v>306.81237286674673</v>
      </c>
      <c r="N17" s="282">
        <f>Business_Studies_1!N282</f>
        <v>311.76801829683257</v>
      </c>
    </row>
    <row r="18" spans="2:14">
      <c r="B18" s="363" t="str">
        <f>Chemistry_1!B282</f>
        <v>Chemistry Wastage</v>
      </c>
      <c r="C18" s="282">
        <f>Chemistry_1!C282</f>
        <v>867.29431224224641</v>
      </c>
      <c r="D18" s="282">
        <f>Chemistry_1!D282</f>
        <v>916.5470887046539</v>
      </c>
      <c r="E18" s="282">
        <f>Chemistry_1!E282</f>
        <v>926.64267258552468</v>
      </c>
      <c r="F18" s="282">
        <f>Chemistry_1!F282</f>
        <v>942.08384977638048</v>
      </c>
      <c r="G18" s="282">
        <f>Chemistry_1!G282</f>
        <v>955.6546611079018</v>
      </c>
      <c r="H18" s="282">
        <f>Chemistry_1!H282</f>
        <v>965.64889271966342</v>
      </c>
      <c r="I18" s="282">
        <f>Chemistry_1!I282</f>
        <v>976.82071529361883</v>
      </c>
      <c r="J18" s="282">
        <f>Chemistry_1!J282</f>
        <v>990.00781127946198</v>
      </c>
      <c r="K18" s="282">
        <f>Chemistry_1!K282</f>
        <v>998.11237415757046</v>
      </c>
      <c r="L18" s="282">
        <f>Chemistry_1!L282</f>
        <v>1001.4054904838847</v>
      </c>
      <c r="M18" s="282">
        <f>Chemistry_1!M282</f>
        <v>1006.2635498068748</v>
      </c>
      <c r="N18" s="282">
        <f>Chemistry_1!N282</f>
        <v>1009.6946277182881</v>
      </c>
    </row>
    <row r="19" spans="2:14">
      <c r="B19" s="363" t="str">
        <f>Classics_1!B282</f>
        <v>Classics Wastage</v>
      </c>
      <c r="C19" s="282">
        <f>Classics_1!C282</f>
        <v>24.043575407893023</v>
      </c>
      <c r="D19" s="282">
        <f>Classics_1!D282</f>
        <v>24.319170266451898</v>
      </c>
      <c r="E19" s="282">
        <f>Classics_1!E282</f>
        <v>24.691100034899797</v>
      </c>
      <c r="F19" s="282">
        <f>Classics_1!F282</f>
        <v>24.988813544218509</v>
      </c>
      <c r="G19" s="282">
        <f>Classics_1!G282</f>
        <v>25.27038472450457</v>
      </c>
      <c r="H19" s="282">
        <f>Classics_1!H282</f>
        <v>25.535228700584483</v>
      </c>
      <c r="I19" s="282">
        <f>Classics_1!I282</f>
        <v>25.827843253456063</v>
      </c>
      <c r="J19" s="282">
        <f>Classics_1!J282</f>
        <v>26.175526541204363</v>
      </c>
      <c r="K19" s="282">
        <f>Classics_1!K282</f>
        <v>26.483301942825374</v>
      </c>
      <c r="L19" s="282">
        <f>Classics_1!L282</f>
        <v>26.717030965186712</v>
      </c>
      <c r="M19" s="282">
        <f>Classics_1!M282</f>
        <v>26.852143398928856</v>
      </c>
      <c r="N19" s="282">
        <f>Classics_1!N282</f>
        <v>26.934371368978319</v>
      </c>
    </row>
    <row r="20" spans="2:14">
      <c r="B20" s="363" t="str">
        <f>Computing_1!B282</f>
        <v>Computing Wastage</v>
      </c>
      <c r="C20" s="282">
        <f>Computing_1!C282</f>
        <v>598.34711848101108</v>
      </c>
      <c r="D20" s="282">
        <f>Computing_1!D282</f>
        <v>595.45437897487898</v>
      </c>
      <c r="E20" s="282">
        <f>Computing_1!E282</f>
        <v>605.03073545513905</v>
      </c>
      <c r="F20" s="282">
        <f>Computing_1!F282</f>
        <v>590.1976137357417</v>
      </c>
      <c r="G20" s="282">
        <f>Computing_1!G282</f>
        <v>574.74379183421922</v>
      </c>
      <c r="H20" s="282">
        <f>Computing_1!H282</f>
        <v>578.92462323049142</v>
      </c>
      <c r="I20" s="282">
        <f>Computing_1!I282</f>
        <v>587.51107670158854</v>
      </c>
      <c r="J20" s="282">
        <f>Computing_1!J282</f>
        <v>595.76667278202194</v>
      </c>
      <c r="K20" s="282">
        <f>Computing_1!K282</f>
        <v>603.15961941442049</v>
      </c>
      <c r="L20" s="282">
        <f>Computing_1!L282</f>
        <v>606.81833615216408</v>
      </c>
      <c r="M20" s="282">
        <f>Computing_1!M282</f>
        <v>608.03448847774234</v>
      </c>
      <c r="N20" s="282">
        <f>Computing_1!N282</f>
        <v>607.8502309513791</v>
      </c>
    </row>
    <row r="21" spans="2:14">
      <c r="B21" s="363" t="str">
        <f>'Design_&amp;_Technology_1'!B282</f>
        <v>Design &amp; Technology Wastage</v>
      </c>
      <c r="C21" s="282">
        <f>'Design_&amp;_Technology_1'!C282</f>
        <v>765.94277124291341</v>
      </c>
      <c r="D21" s="282">
        <f>'Design_&amp;_Technology_1'!D282</f>
        <v>777.04805789012528</v>
      </c>
      <c r="E21" s="282">
        <f>'Design_&amp;_Technology_1'!E282</f>
        <v>793.96021028120958</v>
      </c>
      <c r="F21" s="282">
        <f>'Design_&amp;_Technology_1'!F282</f>
        <v>780.56282409151538</v>
      </c>
      <c r="G21" s="282">
        <f>'Design_&amp;_Technology_1'!G282</f>
        <v>766.42530615472924</v>
      </c>
      <c r="H21" s="282">
        <f>'Design_&amp;_Technology_1'!H282</f>
        <v>770.73062225203512</v>
      </c>
      <c r="I21" s="282">
        <f>'Design_&amp;_Technology_1'!I282</f>
        <v>779.82226864835889</v>
      </c>
      <c r="J21" s="282">
        <f>'Design_&amp;_Technology_1'!J282</f>
        <v>786.47770214491175</v>
      </c>
      <c r="K21" s="282">
        <f>'Design_&amp;_Technology_1'!K282</f>
        <v>794.57248472668539</v>
      </c>
      <c r="L21" s="282">
        <f>'Design_&amp;_Technology_1'!L282</f>
        <v>796.33443409566621</v>
      </c>
      <c r="M21" s="282">
        <f>'Design_&amp;_Technology_1'!M282</f>
        <v>792.57354440296047</v>
      </c>
      <c r="N21" s="282">
        <f>'Design_&amp;_Technology_1'!N282</f>
        <v>786.81410929102572</v>
      </c>
    </row>
    <row r="22" spans="2:14">
      <c r="B22" s="363" t="str">
        <f>Drama_1!B282</f>
        <v>Drama Wastage</v>
      </c>
      <c r="C22" s="282">
        <f>Drama_1!C282</f>
        <v>392.49207250901236</v>
      </c>
      <c r="D22" s="282">
        <f>Drama_1!D282</f>
        <v>393.74178457900331</v>
      </c>
      <c r="E22" s="282">
        <f>Drama_1!E282</f>
        <v>398.04085159653403</v>
      </c>
      <c r="F22" s="282">
        <f>Drama_1!F282</f>
        <v>398.6995618450016</v>
      </c>
      <c r="G22" s="282">
        <f>Drama_1!G282</f>
        <v>399.8590346215662</v>
      </c>
      <c r="H22" s="282">
        <f>Drama_1!H282</f>
        <v>400.40381968303905</v>
      </c>
      <c r="I22" s="282">
        <f>Drama_1!I282</f>
        <v>404.03668440342102</v>
      </c>
      <c r="J22" s="282">
        <f>Drama_1!J282</f>
        <v>407.29598533097368</v>
      </c>
      <c r="K22" s="282">
        <f>Drama_1!K282</f>
        <v>410.97471285723702</v>
      </c>
      <c r="L22" s="282">
        <f>Drama_1!L282</f>
        <v>412.07493758755129</v>
      </c>
      <c r="M22" s="282">
        <f>Drama_1!M282</f>
        <v>411.06953024729978</v>
      </c>
      <c r="N22" s="282">
        <f>Drama_1!N282</f>
        <v>409.20247363325478</v>
      </c>
    </row>
    <row r="23" spans="2:14">
      <c r="B23" s="363" t="str">
        <f>English_1!B282</f>
        <v>English Wastage</v>
      </c>
      <c r="C23" s="282">
        <f>English_1!C282</f>
        <v>2379.9322396247985</v>
      </c>
      <c r="D23" s="282">
        <f>English_1!D282</f>
        <v>2435.873914449242</v>
      </c>
      <c r="E23" s="282">
        <f>English_1!E282</f>
        <v>2472.5704084191075</v>
      </c>
      <c r="F23" s="282">
        <f>English_1!F282</f>
        <v>2516.5112002618121</v>
      </c>
      <c r="G23" s="282">
        <f>English_1!G282</f>
        <v>2556.6373305031693</v>
      </c>
      <c r="H23" s="282">
        <f>English_1!H282</f>
        <v>2585.1563133755853</v>
      </c>
      <c r="I23" s="282">
        <f>English_1!I282</f>
        <v>2612.1428993145919</v>
      </c>
      <c r="J23" s="282">
        <f>English_1!J282</f>
        <v>2638.816289774039</v>
      </c>
      <c r="K23" s="282">
        <f>English_1!K282</f>
        <v>2658.5486889495587</v>
      </c>
      <c r="L23" s="282">
        <f>English_1!L282</f>
        <v>2661.018030555053</v>
      </c>
      <c r="M23" s="282">
        <f>English_1!M282</f>
        <v>2661.1093312510347</v>
      </c>
      <c r="N23" s="282">
        <f>English_1!N282</f>
        <v>2656.7756778595531</v>
      </c>
    </row>
    <row r="24" spans="2:14">
      <c r="B24" s="363" t="str">
        <f>Food_1!B282</f>
        <v>Food Wastage</v>
      </c>
      <c r="C24" s="282">
        <f>Food_1!C282</f>
        <v>158.9764204581389</v>
      </c>
      <c r="D24" s="282">
        <f>Food_1!D282</f>
        <v>157.88600329812618</v>
      </c>
      <c r="E24" s="282">
        <f>Food_1!E282</f>
        <v>161.97596510778442</v>
      </c>
      <c r="F24" s="282">
        <f>Food_1!F282</f>
        <v>158.31210131010172</v>
      </c>
      <c r="G24" s="282">
        <f>Food_1!G282</f>
        <v>153.49360183976916</v>
      </c>
      <c r="H24" s="282">
        <f>Food_1!H282</f>
        <v>154.75668606383567</v>
      </c>
      <c r="I24" s="282">
        <f>Food_1!I282</f>
        <v>157.4754188469602</v>
      </c>
      <c r="J24" s="282">
        <f>Food_1!J282</f>
        <v>160.16047535062933</v>
      </c>
      <c r="K24" s="282">
        <f>Food_1!K282</f>
        <v>161.86849457918717</v>
      </c>
      <c r="L24" s="282">
        <f>Food_1!L282</f>
        <v>162.52761601456729</v>
      </c>
      <c r="M24" s="282">
        <f>Food_1!M282</f>
        <v>163.38486037352067</v>
      </c>
      <c r="N24" s="282">
        <f>Food_1!N282</f>
        <v>163.94419020743803</v>
      </c>
    </row>
    <row r="25" spans="2:14">
      <c r="B25" s="363" t="str">
        <f>Geography_1!B282</f>
        <v>Geography Wastage</v>
      </c>
      <c r="C25" s="282">
        <f>Geography_1!C282</f>
        <v>831.49089405454242</v>
      </c>
      <c r="D25" s="282">
        <f>Geography_1!D282</f>
        <v>833.65538520005634</v>
      </c>
      <c r="E25" s="282">
        <f>Geography_1!E282</f>
        <v>844.00661418406889</v>
      </c>
      <c r="F25" s="282">
        <f>Geography_1!F282</f>
        <v>882.2579125899656</v>
      </c>
      <c r="G25" s="282">
        <f>Geography_1!G282</f>
        <v>921.17079056732473</v>
      </c>
      <c r="H25" s="282">
        <f>Geography_1!H282</f>
        <v>934.60230184170746</v>
      </c>
      <c r="I25" s="282">
        <f>Geography_1!I282</f>
        <v>942.47714126526239</v>
      </c>
      <c r="J25" s="282">
        <f>Geography_1!J282</f>
        <v>949.67552187699448</v>
      </c>
      <c r="K25" s="282">
        <f>Geography_1!K282</f>
        <v>956.54027434453906</v>
      </c>
      <c r="L25" s="282">
        <f>Geography_1!L282</f>
        <v>957.02298792159854</v>
      </c>
      <c r="M25" s="282">
        <f>Geography_1!M282</f>
        <v>954.41639554824292</v>
      </c>
      <c r="N25" s="282">
        <f>Geography_1!N282</f>
        <v>950.09206867649414</v>
      </c>
    </row>
    <row r="26" spans="2:14">
      <c r="B26" s="363" t="str">
        <f>History_1!B282</f>
        <v>History Wastage</v>
      </c>
      <c r="C26" s="282">
        <f>History_1!C282</f>
        <v>894.06263629491718</v>
      </c>
      <c r="D26" s="282">
        <f>History_1!D282</f>
        <v>886.99969615485566</v>
      </c>
      <c r="E26" s="282">
        <f>History_1!E282</f>
        <v>896.15775372871883</v>
      </c>
      <c r="F26" s="282">
        <f>History_1!F282</f>
        <v>929.11112458153798</v>
      </c>
      <c r="G26" s="282">
        <f>History_1!G282</f>
        <v>962.99308233200827</v>
      </c>
      <c r="H26" s="282">
        <f>History_1!H282</f>
        <v>973.84859782586659</v>
      </c>
      <c r="I26" s="282">
        <f>History_1!I282</f>
        <v>982.29296704820706</v>
      </c>
      <c r="J26" s="282">
        <f>History_1!J282</f>
        <v>990.54200536775602</v>
      </c>
      <c r="K26" s="282">
        <f>History_1!K282</f>
        <v>998.25034601231414</v>
      </c>
      <c r="L26" s="282">
        <f>History_1!L282</f>
        <v>999.76464453691665</v>
      </c>
      <c r="M26" s="282">
        <f>History_1!M282</f>
        <v>998.19833104500231</v>
      </c>
      <c r="N26" s="282">
        <f>History_1!N282</f>
        <v>994.83250294332765</v>
      </c>
    </row>
    <row r="27" spans="2:14">
      <c r="B27" s="363" t="str">
        <f>Mathematics_1!B282</f>
        <v>Mathematics Wastage</v>
      </c>
      <c r="C27" s="282">
        <f>Mathematics_1!C282</f>
        <v>2444.2306006794843</v>
      </c>
      <c r="D27" s="282">
        <f>Mathematics_1!D282</f>
        <v>2562.4912841110436</v>
      </c>
      <c r="E27" s="282">
        <f>Mathematics_1!E282</f>
        <v>2630.0948568447475</v>
      </c>
      <c r="F27" s="282">
        <f>Mathematics_1!F282</f>
        <v>2681.8040573959206</v>
      </c>
      <c r="G27" s="282">
        <f>Mathematics_1!G282</f>
        <v>2733.5884327396438</v>
      </c>
      <c r="H27" s="282">
        <f>Mathematics_1!H282</f>
        <v>2776.2143003592746</v>
      </c>
      <c r="I27" s="282">
        <f>Mathematics_1!I282</f>
        <v>2804.9356249353596</v>
      </c>
      <c r="J27" s="282">
        <f>Mathematics_1!J282</f>
        <v>2833.8062429650072</v>
      </c>
      <c r="K27" s="282">
        <f>Mathematics_1!K282</f>
        <v>2855.7266102737467</v>
      </c>
      <c r="L27" s="282">
        <f>Mathematics_1!L282</f>
        <v>2859.6320923374269</v>
      </c>
      <c r="M27" s="282">
        <f>Mathematics_1!M282</f>
        <v>2860.0695524620223</v>
      </c>
      <c r="N27" s="282">
        <f>Mathematics_1!N282</f>
        <v>2855.6933847166174</v>
      </c>
    </row>
    <row r="28" spans="2:14">
      <c r="B28" s="363" t="str">
        <f>Modern_Foreign_Languages_1!B282</f>
        <v>Modern Foreign Languages Wastage</v>
      </c>
      <c r="C28" s="282">
        <f>Modern_Foreign_Languages_1!C282</f>
        <v>1175.8749644900572</v>
      </c>
      <c r="D28" s="282">
        <f>Modern_Foreign_Languages_1!D282</f>
        <v>1179.1644854711876</v>
      </c>
      <c r="E28" s="282">
        <f>Modern_Foreign_Languages_1!E282</f>
        <v>1202.2035477167149</v>
      </c>
      <c r="F28" s="282">
        <f>Modern_Foreign_Languages_1!F282</f>
        <v>1344.4054314277389</v>
      </c>
      <c r="G28" s="282">
        <f>Modern_Foreign_Languages_1!G282</f>
        <v>1488.7683728616576</v>
      </c>
      <c r="H28" s="282">
        <f>Modern_Foreign_Languages_1!H282</f>
        <v>1543.8250832309789</v>
      </c>
      <c r="I28" s="282">
        <f>Modern_Foreign_Languages_1!I282</f>
        <v>1558.8141509266948</v>
      </c>
      <c r="J28" s="282">
        <f>Modern_Foreign_Languages_1!J282</f>
        <v>1571.5125915167441</v>
      </c>
      <c r="K28" s="282">
        <f>Modern_Foreign_Languages_1!K282</f>
        <v>1583.3246587529034</v>
      </c>
      <c r="L28" s="282">
        <f>Modern_Foreign_Languages_1!L282</f>
        <v>1583.5739486356119</v>
      </c>
      <c r="M28" s="282">
        <f>Modern_Foreign_Languages_1!M282</f>
        <v>1578.7351349517735</v>
      </c>
      <c r="N28" s="282">
        <f>Modern_Foreign_Languages_1!N282</f>
        <v>1570.8723825542459</v>
      </c>
    </row>
    <row r="29" spans="2:14">
      <c r="B29" s="363" t="str">
        <f>Music_1!B282</f>
        <v>Music Wastage</v>
      </c>
      <c r="C29" s="282">
        <f>Music_1!C282</f>
        <v>396.50454144396701</v>
      </c>
      <c r="D29" s="282">
        <f>Music_1!D282</f>
        <v>397.42692472892355</v>
      </c>
      <c r="E29" s="282">
        <f>Music_1!E282</f>
        <v>402.33815670838908</v>
      </c>
      <c r="F29" s="282">
        <f>Music_1!F282</f>
        <v>407.62198064279198</v>
      </c>
      <c r="G29" s="282">
        <f>Music_1!G282</f>
        <v>413.96972648865324</v>
      </c>
      <c r="H29" s="282">
        <f>Music_1!H282</f>
        <v>418.80204842869466</v>
      </c>
      <c r="I29" s="282">
        <f>Music_1!I282</f>
        <v>422.11412946654076</v>
      </c>
      <c r="J29" s="282">
        <f>Music_1!J282</f>
        <v>424.40661978550975</v>
      </c>
      <c r="K29" s="282">
        <f>Music_1!K282</f>
        <v>428.0946167430659</v>
      </c>
      <c r="L29" s="282">
        <f>Music_1!L282</f>
        <v>428.58271512310841</v>
      </c>
      <c r="M29" s="282">
        <f>Music_1!M282</f>
        <v>425.87857598904736</v>
      </c>
      <c r="N29" s="282">
        <f>Music_1!N282</f>
        <v>422.18129385789024</v>
      </c>
    </row>
    <row r="30" spans="2:14">
      <c r="B30" s="363" t="str">
        <f>Others_1!B282</f>
        <v>Others Wastage</v>
      </c>
      <c r="C30" s="282">
        <f>Others_1!C282</f>
        <v>1091.3038279638777</v>
      </c>
      <c r="D30" s="282">
        <f>Others_1!D282</f>
        <v>1093.3106634100229</v>
      </c>
      <c r="E30" s="282">
        <f>Others_1!E282</f>
        <v>1090.5932539910389</v>
      </c>
      <c r="F30" s="282">
        <f>Others_1!F282</f>
        <v>1053.9683033164788</v>
      </c>
      <c r="G30" s="282">
        <f>Others_1!G282</f>
        <v>1019.6605461287697</v>
      </c>
      <c r="H30" s="282">
        <f>Others_1!H282</f>
        <v>1012.4593031629523</v>
      </c>
      <c r="I30" s="282">
        <f>Others_1!I282</f>
        <v>1023.6491393877847</v>
      </c>
      <c r="J30" s="282">
        <f>Others_1!J282</f>
        <v>1040.2915431990871</v>
      </c>
      <c r="K30" s="282">
        <f>Others_1!K282</f>
        <v>1054.7416039800389</v>
      </c>
      <c r="L30" s="282">
        <f>Others_1!L282</f>
        <v>1069.4672168164971</v>
      </c>
      <c r="M30" s="282">
        <f>Others_1!M282</f>
        <v>1081.1456915593578</v>
      </c>
      <c r="N30" s="282">
        <f>Others_1!N282</f>
        <v>1090.8971187749912</v>
      </c>
    </row>
    <row r="31" spans="2:14">
      <c r="B31" s="363" t="str">
        <f>Physical_Education_1!B282</f>
        <v>Physical Education Wastage</v>
      </c>
      <c r="C31" s="282">
        <f>Physical_Education_1!C282</f>
        <v>1304.1648339849087</v>
      </c>
      <c r="D31" s="282">
        <f>Physical_Education_1!D282</f>
        <v>1285.9756447770128</v>
      </c>
      <c r="E31" s="282">
        <f>Physical_Education_1!E282</f>
        <v>1298.7230089442298</v>
      </c>
      <c r="F31" s="282">
        <f>Physical_Education_1!F282</f>
        <v>1293.7890885613417</v>
      </c>
      <c r="G31" s="282">
        <f>Physical_Education_1!G282</f>
        <v>1288.171070037662</v>
      </c>
      <c r="H31" s="282">
        <f>Physical_Education_1!H282</f>
        <v>1297.2001122837664</v>
      </c>
      <c r="I31" s="282">
        <f>Physical_Education_1!I282</f>
        <v>1310.5969961076862</v>
      </c>
      <c r="J31" s="282">
        <f>Physical_Education_1!J282</f>
        <v>1323.2533455991611</v>
      </c>
      <c r="K31" s="282">
        <f>Physical_Education_1!K282</f>
        <v>1334.0099200017685</v>
      </c>
      <c r="L31" s="282">
        <f>Physical_Education_1!L282</f>
        <v>1335.8983405002602</v>
      </c>
      <c r="M31" s="282">
        <f>Physical_Education_1!M282</f>
        <v>1334.627432952801</v>
      </c>
      <c r="N31" s="282">
        <f>Physical_Education_1!N282</f>
        <v>1330.8935348658197</v>
      </c>
    </row>
    <row r="32" spans="2:14">
      <c r="B32" s="363" t="str">
        <f>Physics_1!B282</f>
        <v>Physics Wastage</v>
      </c>
      <c r="C32" s="282">
        <f>Physics_1!C282</f>
        <v>819.77617295556172</v>
      </c>
      <c r="D32" s="282">
        <f>Physics_1!D282</f>
        <v>871.82863619766067</v>
      </c>
      <c r="E32" s="282">
        <f>Physics_1!E282</f>
        <v>883.93709831549791</v>
      </c>
      <c r="F32" s="282">
        <f>Physics_1!F282</f>
        <v>901.32270463537054</v>
      </c>
      <c r="G32" s="282">
        <f>Physics_1!G282</f>
        <v>916.22227190896933</v>
      </c>
      <c r="H32" s="282">
        <f>Physics_1!H282</f>
        <v>927.03922688070111</v>
      </c>
      <c r="I32" s="282">
        <f>Physics_1!I282</f>
        <v>938.74062763044628</v>
      </c>
      <c r="J32" s="282">
        <f>Physics_1!J282</f>
        <v>952.12916243590666</v>
      </c>
      <c r="K32" s="282">
        <f>Physics_1!K282</f>
        <v>960.04448217114236</v>
      </c>
      <c r="L32" s="282">
        <f>Physics_1!L282</f>
        <v>962.90426638188183</v>
      </c>
      <c r="M32" s="282">
        <f>Physics_1!M282</f>
        <v>967.70193015278369</v>
      </c>
      <c r="N32" s="282">
        <f>Physics_1!N282</f>
        <v>971.08418296161938</v>
      </c>
    </row>
    <row r="33" spans="2:14">
      <c r="B33" s="363" t="str">
        <f>Religious_Education_1!B282</f>
        <v>Religious Education Wastage</v>
      </c>
      <c r="C33" s="282">
        <f>Religious_Education_1!C282</f>
        <v>570.66197152288339</v>
      </c>
      <c r="D33" s="282">
        <f>Religious_Education_1!D282</f>
        <v>571.66914273080931</v>
      </c>
      <c r="E33" s="282">
        <f>Religious_Education_1!E282</f>
        <v>579.36183143029302</v>
      </c>
      <c r="F33" s="282">
        <f>Religious_Education_1!F282</f>
        <v>588.69438544114678</v>
      </c>
      <c r="G33" s="282">
        <f>Religious_Education_1!G282</f>
        <v>597.55090203842747</v>
      </c>
      <c r="H33" s="282">
        <f>Religious_Education_1!H282</f>
        <v>604.75433345277577</v>
      </c>
      <c r="I33" s="282">
        <f>Religious_Education_1!I282</f>
        <v>610.94212594866258</v>
      </c>
      <c r="J33" s="282">
        <f>Religious_Education_1!J282</f>
        <v>616.83392930565901</v>
      </c>
      <c r="K33" s="282">
        <f>Religious_Education_1!K282</f>
        <v>621.86912294775323</v>
      </c>
      <c r="L33" s="282">
        <f>Religious_Education_1!L282</f>
        <v>622.98325259882847</v>
      </c>
      <c r="M33" s="282">
        <f>Religious_Education_1!M282</f>
        <v>622.5570073527349</v>
      </c>
      <c r="N33" s="282">
        <f>Religious_Education_1!N282</f>
        <v>620.99647303881102</v>
      </c>
    </row>
    <row r="34" spans="2:14">
      <c r="B34" s="326" t="s">
        <v>318</v>
      </c>
      <c r="C34" s="326">
        <f>SUM(C14:C33)</f>
        <v>34888.371588124966</v>
      </c>
      <c r="D34" s="326">
        <f t="shared" ref="D34:N34" si="0">SUM(D14:D33)</f>
        <v>35529.446069730082</v>
      </c>
      <c r="E34" s="326">
        <f t="shared" si="0"/>
        <v>35949.952605110753</v>
      </c>
      <c r="F34" s="326">
        <f t="shared" si="0"/>
        <v>36329.889509971035</v>
      </c>
      <c r="G34" s="326">
        <f t="shared" si="0"/>
        <v>36642.272118782013</v>
      </c>
      <c r="H34" s="326">
        <f t="shared" si="0"/>
        <v>36899.271008727606</v>
      </c>
      <c r="I34" s="326">
        <f t="shared" si="0"/>
        <v>37113.590592677494</v>
      </c>
      <c r="J34" s="326">
        <f t="shared" si="0"/>
        <v>37303.367111398431</v>
      </c>
      <c r="K34" s="326">
        <f t="shared" si="0"/>
        <v>37438.283663679962</v>
      </c>
      <c r="L34" s="326">
        <f t="shared" si="0"/>
        <v>37515.858676641888</v>
      </c>
      <c r="M34" s="326">
        <f t="shared" si="0"/>
        <v>37592.446232694725</v>
      </c>
      <c r="N34" s="326">
        <f t="shared" si="0"/>
        <v>37638.357800992941</v>
      </c>
    </row>
    <row r="35" spans="2:14">
      <c r="B35" s="325"/>
    </row>
  </sheetData>
  <mergeCells count="1">
    <mergeCell ref="A5:L5"/>
  </mergeCells>
  <hyperlinks>
    <hyperlink ref="A2" location="'Title_&amp;_Contents'!A1" display="Contents"/>
    <hyperlink ref="B2" location="Map_of_sheets!A1" display="Map of sheets"/>
  </hyperlink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FF00"/>
  </sheetPr>
  <dimension ref="A1:Q35"/>
  <sheetViews>
    <sheetView showGridLines="0" workbookViewId="0"/>
  </sheetViews>
  <sheetFormatPr defaultColWidth="9.140625" defaultRowHeight="12.75"/>
  <cols>
    <col min="1" max="1" width="9.140625" style="309"/>
    <col min="2" max="2" width="32.7109375" style="309" customWidth="1"/>
    <col min="3" max="14" width="10.7109375" style="309" customWidth="1"/>
    <col min="15" max="16384" width="9.140625" style="309"/>
  </cols>
  <sheetData>
    <row r="1" spans="1:17" s="344" customFormat="1" ht="15">
      <c r="A1" s="343" t="str">
        <f>ModelBanner</f>
        <v>TSM_201718 for publication</v>
      </c>
    </row>
    <row r="2" spans="1:17" s="344" customFormat="1" ht="15">
      <c r="A2" s="1003" t="s">
        <v>13</v>
      </c>
      <c r="B2" s="1003" t="s">
        <v>30</v>
      </c>
    </row>
    <row r="3" spans="1:17" s="344" customFormat="1" ht="15">
      <c r="A3" s="345"/>
    </row>
    <row r="4" spans="1:17" s="348" customFormat="1" ht="15">
      <c r="A4" s="346" t="s">
        <v>26</v>
      </c>
      <c r="B4" s="346"/>
      <c r="E4" s="344"/>
    </row>
    <row r="5" spans="1:17" s="350" customFormat="1" ht="13.15" customHeight="1">
      <c r="A5" s="706" t="s">
        <v>358</v>
      </c>
      <c r="B5" s="706"/>
      <c r="C5" s="706"/>
      <c r="D5" s="706"/>
      <c r="E5" s="706"/>
      <c r="F5" s="706"/>
      <c r="G5" s="706"/>
      <c r="H5" s="706"/>
      <c r="I5" s="706"/>
      <c r="J5" s="706"/>
      <c r="K5" s="706"/>
      <c r="L5" s="706"/>
      <c r="M5" s="349"/>
      <c r="N5" s="349"/>
      <c r="O5" s="349"/>
      <c r="P5" s="349"/>
      <c r="Q5" s="349"/>
    </row>
    <row r="6" spans="1:17" s="354" customFormat="1" ht="13.5" customHeight="1">
      <c r="A6" s="351" t="s">
        <v>1420</v>
      </c>
      <c r="B6" s="352"/>
      <c r="C6" s="352"/>
      <c r="D6" s="352"/>
      <c r="E6" s="347"/>
      <c r="F6" s="352"/>
      <c r="G6" s="352"/>
      <c r="H6" s="352"/>
      <c r="I6" s="352"/>
      <c r="J6" s="352"/>
      <c r="K6" s="352"/>
      <c r="L6" s="352"/>
      <c r="M6" s="353"/>
      <c r="N6" s="353"/>
      <c r="O6" s="353"/>
      <c r="P6" s="353"/>
      <c r="Q6" s="353"/>
    </row>
    <row r="7" spans="1:17" s="354" customFormat="1" ht="12" customHeight="1">
      <c r="A7" s="355" t="s">
        <v>348</v>
      </c>
      <c r="B7" s="351"/>
      <c r="C7" s="352"/>
      <c r="D7" s="352"/>
      <c r="E7" s="347"/>
      <c r="F7" s="352"/>
      <c r="G7" s="352"/>
      <c r="H7" s="352"/>
      <c r="I7" s="352"/>
      <c r="J7" s="352"/>
      <c r="K7" s="352"/>
      <c r="L7" s="352"/>
      <c r="M7" s="353"/>
      <c r="N7" s="353"/>
      <c r="O7" s="353"/>
      <c r="P7" s="353"/>
      <c r="Q7" s="353"/>
    </row>
    <row r="8" spans="1:17" s="354" customFormat="1">
      <c r="A8" s="351" t="s">
        <v>24</v>
      </c>
      <c r="B8" s="352"/>
      <c r="C8" s="352"/>
      <c r="D8" s="352"/>
      <c r="E8" s="347"/>
      <c r="F8" s="352"/>
      <c r="G8" s="352"/>
      <c r="H8" s="352"/>
      <c r="I8" s="352"/>
      <c r="J8" s="352"/>
      <c r="K8" s="352"/>
      <c r="L8" s="352"/>
      <c r="M8" s="353"/>
      <c r="N8" s="353"/>
      <c r="O8" s="353"/>
      <c r="P8" s="353"/>
      <c r="Q8" s="353"/>
    </row>
    <row r="9" spans="1:17" s="354" customFormat="1" ht="15">
      <c r="A9" s="355" t="s">
        <v>119</v>
      </c>
      <c r="B9" s="352"/>
      <c r="C9" s="353"/>
      <c r="D9" s="353"/>
      <c r="E9" s="344"/>
      <c r="F9" s="353"/>
      <c r="G9" s="353"/>
      <c r="H9" s="353"/>
      <c r="I9" s="353"/>
      <c r="J9" s="353"/>
      <c r="K9" s="353"/>
      <c r="L9" s="353"/>
      <c r="M9" s="353"/>
      <c r="N9" s="353"/>
      <c r="O9" s="353"/>
      <c r="P9" s="353"/>
      <c r="Q9" s="353"/>
    </row>
    <row r="10" spans="1:17" s="362" customFormat="1">
      <c r="A10" s="356">
        <f>SUM(A13:A2218)</f>
        <v>0</v>
      </c>
      <c r="B10" s="357"/>
      <c r="C10" s="358"/>
      <c r="D10" s="359"/>
      <c r="E10" s="359"/>
      <c r="F10" s="359"/>
      <c r="G10" s="360"/>
      <c r="H10" s="359"/>
      <c r="I10" s="359"/>
      <c r="J10" s="360"/>
      <c r="K10" s="361"/>
      <c r="L10" s="361"/>
      <c r="M10" s="361"/>
      <c r="N10" s="361"/>
      <c r="O10" s="361"/>
      <c r="P10" s="361"/>
      <c r="Q10" s="361"/>
    </row>
    <row r="13" spans="1:17">
      <c r="B13" s="363"/>
      <c r="C13" s="363" t="str">
        <f>'Art_&amp;_Design_1'!C293</f>
        <v>2016/17</v>
      </c>
      <c r="D13" s="363" t="str">
        <f>'Art_&amp;_Design_1'!D293</f>
        <v>2017/18</v>
      </c>
      <c r="E13" s="363" t="str">
        <f>'Art_&amp;_Design_1'!E293</f>
        <v>2018/19</v>
      </c>
      <c r="F13" s="363" t="str">
        <f>'Art_&amp;_Design_1'!F293</f>
        <v>2019/20</v>
      </c>
      <c r="G13" s="363" t="str">
        <f>'Art_&amp;_Design_1'!G293</f>
        <v>2020/21</v>
      </c>
      <c r="H13" s="363" t="str">
        <f>'Art_&amp;_Design_1'!H293</f>
        <v>2021/22</v>
      </c>
      <c r="I13" s="363" t="str">
        <f>'Art_&amp;_Design_1'!I293</f>
        <v>2022/23</v>
      </c>
      <c r="J13" s="363" t="str">
        <f>'Art_&amp;_Design_1'!J293</f>
        <v>2023/24</v>
      </c>
      <c r="K13" s="363" t="str">
        <f>'Art_&amp;_Design_1'!K293</f>
        <v>2024/25</v>
      </c>
      <c r="L13" s="363" t="str">
        <f>'Art_&amp;_Design_1'!L293</f>
        <v>2025/26</v>
      </c>
      <c r="M13" s="363" t="str">
        <f>'Art_&amp;_Design_1'!M293</f>
        <v>2026/27</v>
      </c>
      <c r="N13" s="363" t="str">
        <f>'Art_&amp;_Design_1'!N293</f>
        <v>2027/28</v>
      </c>
    </row>
    <row r="14" spans="1:17">
      <c r="B14" s="381" t="str">
        <f>Primary_1!B280</f>
        <v>Primary Retirements</v>
      </c>
      <c r="C14" s="282">
        <f>Primary_1!C280</f>
        <v>6167.6803742384254</v>
      </c>
      <c r="D14" s="282">
        <f>Primary_1!D280</f>
        <v>5951.3753526149458</v>
      </c>
      <c r="E14" s="282">
        <f>Primary_1!E280</f>
        <v>5753.7577875659135</v>
      </c>
      <c r="F14" s="282">
        <f>Primary_1!F280</f>
        <v>5591.1905396552866</v>
      </c>
      <c r="G14" s="282">
        <f>Primary_1!G280</f>
        <v>5464.1437466401148</v>
      </c>
      <c r="H14" s="282">
        <f>Primary_1!H280</f>
        <v>5377.0420267775617</v>
      </c>
      <c r="I14" s="282">
        <f>Primary_1!I280</f>
        <v>5316.8334258683071</v>
      </c>
      <c r="J14" s="282">
        <f>Primary_1!J280</f>
        <v>5275.0734116356061</v>
      </c>
      <c r="K14" s="282">
        <f>Primary_1!K280</f>
        <v>5247.1481804221421</v>
      </c>
      <c r="L14" s="282">
        <f>Primary_1!L280</f>
        <v>5238.3317148588048</v>
      </c>
      <c r="M14" s="282">
        <f>Primary_1!M280</f>
        <v>5242.4390645564126</v>
      </c>
      <c r="N14" s="282">
        <f>Primary_1!N280</f>
        <v>5251.7134043382448</v>
      </c>
    </row>
    <row r="15" spans="1:17">
      <c r="B15" s="363" t="str">
        <f>'Art_&amp;_Design_1'!B280</f>
        <v>Art &amp; Design Retirements</v>
      </c>
      <c r="C15" s="282">
        <f>'Art_&amp;_Design_1'!C280</f>
        <v>262.2488133565563</v>
      </c>
      <c r="D15" s="282">
        <f>'Art_&amp;_Design_1'!D280</f>
        <v>248.56723498618504</v>
      </c>
      <c r="E15" s="282">
        <f>'Art_&amp;_Design_1'!E280</f>
        <v>239.96677193318908</v>
      </c>
      <c r="F15" s="282">
        <f>'Art_&amp;_Design_1'!F280</f>
        <v>231.50217580840211</v>
      </c>
      <c r="G15" s="282">
        <f>'Art_&amp;_Design_1'!G280</f>
        <v>225.36504359738603</v>
      </c>
      <c r="H15" s="282">
        <f>'Art_&amp;_Design_1'!H280</f>
        <v>222.80450390106284</v>
      </c>
      <c r="I15" s="282">
        <f>'Art_&amp;_Design_1'!I280</f>
        <v>221.3087856727314</v>
      </c>
      <c r="J15" s="282">
        <f>'Art_&amp;_Design_1'!J280</f>
        <v>220.28598766461278</v>
      </c>
      <c r="K15" s="282">
        <f>'Art_&amp;_Design_1'!K280</f>
        <v>219.66388046279769</v>
      </c>
      <c r="L15" s="282">
        <f>'Art_&amp;_Design_1'!L280</f>
        <v>218.28711271788416</v>
      </c>
      <c r="M15" s="282">
        <f>'Art_&amp;_Design_1'!M280</f>
        <v>216.23761099288211</v>
      </c>
      <c r="N15" s="282">
        <f>'Art_&amp;_Design_1'!N280</f>
        <v>213.93855189501534</v>
      </c>
    </row>
    <row r="16" spans="1:17">
      <c r="B16" s="363" t="str">
        <f>Biology_1!B280</f>
        <v>Biology Retirements</v>
      </c>
      <c r="C16" s="282">
        <f>Biology_1!C280</f>
        <v>311.06535708893114</v>
      </c>
      <c r="D16" s="282">
        <f>Biology_1!D280</f>
        <v>312.65466347704432</v>
      </c>
      <c r="E16" s="282">
        <f>Biology_1!E280</f>
        <v>303.90115133122811</v>
      </c>
      <c r="F16" s="282">
        <f>Biology_1!F280</f>
        <v>299.56997885018853</v>
      </c>
      <c r="G16" s="282">
        <f>Biology_1!G280</f>
        <v>298.3739685012859</v>
      </c>
      <c r="H16" s="282">
        <f>Biology_1!H280</f>
        <v>299.30715498562529</v>
      </c>
      <c r="I16" s="282">
        <f>Biology_1!I280</f>
        <v>302.66165473915225</v>
      </c>
      <c r="J16" s="282">
        <f>Biology_1!J280</f>
        <v>307.85547327745076</v>
      </c>
      <c r="K16" s="282">
        <f>Biology_1!K280</f>
        <v>312.78452285872515</v>
      </c>
      <c r="L16" s="282">
        <f>Biology_1!L280</f>
        <v>316.9112877120192</v>
      </c>
      <c r="M16" s="282">
        <f>Biology_1!M280</f>
        <v>321.27023395741958</v>
      </c>
      <c r="N16" s="282">
        <f>Biology_1!N280</f>
        <v>325.07030626902042</v>
      </c>
    </row>
    <row r="17" spans="2:14">
      <c r="B17" s="363" t="str">
        <f>Business_Studies_1!B280</f>
        <v>Business Studies Retirements</v>
      </c>
      <c r="C17" s="282">
        <f>Business_Studies_1!C280</f>
        <v>125.0121065841376</v>
      </c>
      <c r="D17" s="282">
        <f>Business_Studies_1!D280</f>
        <v>119.14535731981894</v>
      </c>
      <c r="E17" s="282">
        <f>Business_Studies_1!E280</f>
        <v>113.88249484475651</v>
      </c>
      <c r="F17" s="282">
        <f>Business_Studies_1!F280</f>
        <v>107.32008700015504</v>
      </c>
      <c r="G17" s="282">
        <f>Business_Studies_1!G280</f>
        <v>101.9479842579226</v>
      </c>
      <c r="H17" s="282">
        <f>Business_Studies_1!H280</f>
        <v>100.08766484688229</v>
      </c>
      <c r="I17" s="282">
        <f>Business_Studies_1!I280</f>
        <v>99.770281071669558</v>
      </c>
      <c r="J17" s="282">
        <f>Business_Studies_1!J280</f>
        <v>100.24458264475101</v>
      </c>
      <c r="K17" s="282">
        <f>Business_Studies_1!K280</f>
        <v>100.3715325778598</v>
      </c>
      <c r="L17" s="282">
        <f>Business_Studies_1!L280</f>
        <v>100.71370463295074</v>
      </c>
      <c r="M17" s="282">
        <f>Business_Studies_1!M280</f>
        <v>101.20222799034127</v>
      </c>
      <c r="N17" s="282">
        <f>Business_Studies_1!N280</f>
        <v>101.56713816283515</v>
      </c>
    </row>
    <row r="18" spans="2:14">
      <c r="B18" s="363" t="str">
        <f>Chemistry_1!B280</f>
        <v>Chemistry Retirements</v>
      </c>
      <c r="C18" s="282">
        <f>Chemistry_1!C280</f>
        <v>317.48488974162103</v>
      </c>
      <c r="D18" s="282">
        <f>Chemistry_1!D280</f>
        <v>315.99757120485378</v>
      </c>
      <c r="E18" s="282">
        <f>Chemistry_1!E280</f>
        <v>306.02412236452722</v>
      </c>
      <c r="F18" s="282">
        <f>Chemistry_1!F280</f>
        <v>299.03276976325168</v>
      </c>
      <c r="G18" s="282">
        <f>Chemistry_1!G280</f>
        <v>293.91203796258287</v>
      </c>
      <c r="H18" s="282">
        <f>Chemistry_1!H280</f>
        <v>290.1607538011325</v>
      </c>
      <c r="I18" s="282">
        <f>Chemistry_1!I280</f>
        <v>288.38669866064254</v>
      </c>
      <c r="J18" s="282">
        <f>Chemistry_1!J280</f>
        <v>288.31785019567803</v>
      </c>
      <c r="K18" s="282">
        <f>Chemistry_1!K280</f>
        <v>288.12767497565977</v>
      </c>
      <c r="L18" s="282">
        <f>Chemistry_1!L280</f>
        <v>287.6574089964289</v>
      </c>
      <c r="M18" s="282">
        <f>Chemistry_1!M280</f>
        <v>288.0403984372241</v>
      </c>
      <c r="N18" s="282">
        <f>Chemistry_1!N280</f>
        <v>288.47638747896974</v>
      </c>
    </row>
    <row r="19" spans="2:14">
      <c r="B19" s="363" t="str">
        <f>Classics_1!B280</f>
        <v>Classics Retirements</v>
      </c>
      <c r="C19" s="282">
        <f>Classics_1!C280</f>
        <v>21.503380542513014</v>
      </c>
      <c r="D19" s="282">
        <f>Classics_1!D280</f>
        <v>17.07816611698501</v>
      </c>
      <c r="E19" s="282">
        <f>Classics_1!E280</f>
        <v>14.044811495945728</v>
      </c>
      <c r="F19" s="282">
        <f>Classics_1!F280</f>
        <v>11.928553087493565</v>
      </c>
      <c r="G19" s="282">
        <f>Classics_1!G280</f>
        <v>10.459276938676824</v>
      </c>
      <c r="H19" s="282">
        <f>Classics_1!H280</f>
        <v>9.4460271300226815</v>
      </c>
      <c r="I19" s="282">
        <f>Classics_1!I280</f>
        <v>8.7669839075041534</v>
      </c>
      <c r="J19" s="282">
        <f>Classics_1!J280</f>
        <v>8.3350808866862778</v>
      </c>
      <c r="K19" s="282">
        <f>Classics_1!K280</f>
        <v>8.0630911570562063</v>
      </c>
      <c r="L19" s="282">
        <f>Classics_1!L280</f>
        <v>7.8967784887541264</v>
      </c>
      <c r="M19" s="282">
        <f>Classics_1!M280</f>
        <v>7.796898876398271</v>
      </c>
      <c r="N19" s="282">
        <f>Classics_1!N280</f>
        <v>7.7485013505070723</v>
      </c>
    </row>
    <row r="20" spans="2:14">
      <c r="B20" s="363" t="str">
        <f>Computing_1!B280</f>
        <v>Computing Retirements</v>
      </c>
      <c r="C20" s="282">
        <f>Computing_1!C280</f>
        <v>228.17157401140116</v>
      </c>
      <c r="D20" s="282">
        <f>Computing_1!D280</f>
        <v>218.8557438562319</v>
      </c>
      <c r="E20" s="282">
        <f>Computing_1!E280</f>
        <v>212.64145948951995</v>
      </c>
      <c r="F20" s="282">
        <f>Computing_1!F280</f>
        <v>202.84057631846912</v>
      </c>
      <c r="G20" s="282">
        <f>Computing_1!G280</f>
        <v>194.72351516411777</v>
      </c>
      <c r="H20" s="282">
        <f>Computing_1!H280</f>
        <v>192.15942115587802</v>
      </c>
      <c r="I20" s="282">
        <f>Computing_1!I280</f>
        <v>191.48997501221896</v>
      </c>
      <c r="J20" s="282">
        <f>Computing_1!J280</f>
        <v>191.43433412575916</v>
      </c>
      <c r="K20" s="282">
        <f>Computing_1!K280</f>
        <v>191.66223494265319</v>
      </c>
      <c r="L20" s="282">
        <f>Computing_1!L280</f>
        <v>191.40896645277348</v>
      </c>
      <c r="M20" s="282">
        <f>Computing_1!M280</f>
        <v>190.82797057722036</v>
      </c>
      <c r="N20" s="282">
        <f>Computing_1!N280</f>
        <v>190.03938973200468</v>
      </c>
    </row>
    <row r="21" spans="2:14">
      <c r="B21" s="363" t="str">
        <f>'Design_&amp;_Technology_1'!B280</f>
        <v>Design &amp; Technology Retirements</v>
      </c>
      <c r="C21" s="282">
        <f>'Design_&amp;_Technology_1'!C280</f>
        <v>482.47005396637155</v>
      </c>
      <c r="D21" s="282">
        <f>'Design_&amp;_Technology_1'!D280</f>
        <v>440.41017026639958</v>
      </c>
      <c r="E21" s="282">
        <f>'Design_&amp;_Technology_1'!E280</f>
        <v>403.64538102636573</v>
      </c>
      <c r="F21" s="282">
        <f>'Design_&amp;_Technology_1'!F280</f>
        <v>366.22730187565696</v>
      </c>
      <c r="G21" s="282">
        <f>'Design_&amp;_Technology_1'!G280</f>
        <v>335.64978018262866</v>
      </c>
      <c r="H21" s="282">
        <f>'Design_&amp;_Technology_1'!H280</f>
        <v>315.36396951835542</v>
      </c>
      <c r="I21" s="282">
        <f>'Design_&amp;_Technology_1'!I280</f>
        <v>300.72614286078135</v>
      </c>
      <c r="J21" s="282">
        <f>'Design_&amp;_Technology_1'!J280</f>
        <v>289.02529990014699</v>
      </c>
      <c r="K21" s="282">
        <f>'Design_&amp;_Technology_1'!K280</f>
        <v>280.41823300089175</v>
      </c>
      <c r="L21" s="282">
        <f>'Design_&amp;_Technology_1'!L280</f>
        <v>272.44961761539321</v>
      </c>
      <c r="M21" s="282">
        <f>'Design_&amp;_Technology_1'!M280</f>
        <v>264.92830598454594</v>
      </c>
      <c r="N21" s="282">
        <f>'Design_&amp;_Technology_1'!N280</f>
        <v>258.35081646414716</v>
      </c>
    </row>
    <row r="22" spans="2:14">
      <c r="B22" s="363" t="str">
        <f>Drama_1!B280</f>
        <v>Drama Retirements</v>
      </c>
      <c r="C22" s="282">
        <f>Drama_1!C280</f>
        <v>119.72297951855082</v>
      </c>
      <c r="D22" s="282">
        <f>Drama_1!D280</f>
        <v>111.2046116816438</v>
      </c>
      <c r="E22" s="282">
        <f>Drama_1!E280</f>
        <v>106.00520397678318</v>
      </c>
      <c r="F22" s="282">
        <f>Drama_1!F280</f>
        <v>102.49079769395431</v>
      </c>
      <c r="G22" s="282">
        <f>Drama_1!G280</f>
        <v>101.24070254443021</v>
      </c>
      <c r="H22" s="282">
        <f>Drama_1!H280</f>
        <v>101.45866223546726</v>
      </c>
      <c r="I22" s="282">
        <f>Drama_1!I280</f>
        <v>103.49281326226929</v>
      </c>
      <c r="J22" s="282">
        <f>Drama_1!J280</f>
        <v>106.08409309718836</v>
      </c>
      <c r="K22" s="282">
        <f>Drama_1!K280</f>
        <v>109.10081322194452</v>
      </c>
      <c r="L22" s="282">
        <f>Drama_1!L280</f>
        <v>111.61468818155028</v>
      </c>
      <c r="M22" s="282">
        <f>Drama_1!M280</f>
        <v>113.60166492538625</v>
      </c>
      <c r="N22" s="282">
        <f>Drama_1!N280</f>
        <v>115.24220728700844</v>
      </c>
    </row>
    <row r="23" spans="2:14">
      <c r="B23" s="363" t="str">
        <f>English_1!B280</f>
        <v>English Retirements</v>
      </c>
      <c r="C23" s="282">
        <f>English_1!C280</f>
        <v>921.80210407337415</v>
      </c>
      <c r="D23" s="282">
        <f>English_1!D280</f>
        <v>859.98163534127684</v>
      </c>
      <c r="E23" s="282">
        <f>English_1!E280</f>
        <v>807.27101160221309</v>
      </c>
      <c r="F23" s="282">
        <f>English_1!F280</f>
        <v>772.05234296830895</v>
      </c>
      <c r="G23" s="282">
        <f>English_1!G280</f>
        <v>750.18706038436812</v>
      </c>
      <c r="H23" s="282">
        <f>English_1!H280</f>
        <v>737.21017101814687</v>
      </c>
      <c r="I23" s="282">
        <f>English_1!I280</f>
        <v>732.53728730045168</v>
      </c>
      <c r="J23" s="282">
        <f>English_1!J280</f>
        <v>733.86622232532352</v>
      </c>
      <c r="K23" s="282">
        <f>English_1!K280</f>
        <v>737.73549607424729</v>
      </c>
      <c r="L23" s="282">
        <f>English_1!L280</f>
        <v>740.50251116703294</v>
      </c>
      <c r="M23" s="282">
        <f>English_1!M280</f>
        <v>744.48970345570172</v>
      </c>
      <c r="N23" s="282">
        <f>English_1!N280</f>
        <v>748.38039312297042</v>
      </c>
    </row>
    <row r="24" spans="2:14">
      <c r="B24" s="363" t="str">
        <f>Food_1!B280</f>
        <v>Food Retirements</v>
      </c>
      <c r="C24" s="282">
        <f>Food_1!C280</f>
        <v>129.59354831942485</v>
      </c>
      <c r="D24" s="282">
        <f>Food_1!D280</f>
        <v>112.10287595256027</v>
      </c>
      <c r="E24" s="282">
        <f>Food_1!E280</f>
        <v>98.675290893888814</v>
      </c>
      <c r="F24" s="282">
        <f>Food_1!F280</f>
        <v>86.332021476651292</v>
      </c>
      <c r="G24" s="282">
        <f>Food_1!G280</f>
        <v>76.309342093385311</v>
      </c>
      <c r="H24" s="282">
        <f>Food_1!H280</f>
        <v>69.711513130209212</v>
      </c>
      <c r="I24" s="282">
        <f>Food_1!I280</f>
        <v>64.922362220911424</v>
      </c>
      <c r="J24" s="282">
        <f>Food_1!J280</f>
        <v>61.243065438318837</v>
      </c>
      <c r="K24" s="282">
        <f>Food_1!K280</f>
        <v>58.210515788563256</v>
      </c>
      <c r="L24" s="282">
        <f>Food_1!L280</f>
        <v>55.633441063508457</v>
      </c>
      <c r="M24" s="282">
        <f>Food_1!M280</f>
        <v>53.656255832516351</v>
      </c>
      <c r="N24" s="282">
        <f>Food_1!N280</f>
        <v>52.044839400200068</v>
      </c>
    </row>
    <row r="25" spans="2:14">
      <c r="B25" s="363" t="str">
        <f>Geography_1!B280</f>
        <v>Geography Retirements</v>
      </c>
      <c r="C25" s="282">
        <f>Geography_1!C280</f>
        <v>282.93906523353979</v>
      </c>
      <c r="D25" s="282">
        <f>Geography_1!D280</f>
        <v>263.6655797527676</v>
      </c>
      <c r="E25" s="282">
        <f>Geography_1!E280</f>
        <v>250.31365738377329</v>
      </c>
      <c r="F25" s="282">
        <f>Geography_1!F280</f>
        <v>248.23052639122199</v>
      </c>
      <c r="G25" s="282">
        <f>Geography_1!G280</f>
        <v>250.72407504390952</v>
      </c>
      <c r="H25" s="282">
        <f>Geography_1!H280</f>
        <v>251.25570411953959</v>
      </c>
      <c r="I25" s="282">
        <f>Geography_1!I280</f>
        <v>253.46464310407674</v>
      </c>
      <c r="J25" s="282">
        <f>Geography_1!J280</f>
        <v>257.41697751913046</v>
      </c>
      <c r="K25" s="282">
        <f>Geography_1!K280</f>
        <v>262.33723124892663</v>
      </c>
      <c r="L25" s="282">
        <f>Geography_1!L280</f>
        <v>266.30271712058607</v>
      </c>
      <c r="M25" s="282">
        <f>Geography_1!M280</f>
        <v>269.69556670101969</v>
      </c>
      <c r="N25" s="282">
        <f>Geography_1!N280</f>
        <v>272.55868157031034</v>
      </c>
    </row>
    <row r="26" spans="2:14">
      <c r="B26" s="363" t="str">
        <f>History_1!B280</f>
        <v>History Retirements</v>
      </c>
      <c r="C26" s="282">
        <f>History_1!C280</f>
        <v>307.96130939902866</v>
      </c>
      <c r="D26" s="282">
        <f>History_1!D280</f>
        <v>285.46864489430106</v>
      </c>
      <c r="E26" s="282">
        <f>History_1!E280</f>
        <v>271.7034633927542</v>
      </c>
      <c r="F26" s="282">
        <f>History_1!F280</f>
        <v>268.54718776547838</v>
      </c>
      <c r="G26" s="282">
        <f>History_1!G280</f>
        <v>269.96435125597839</v>
      </c>
      <c r="H26" s="282">
        <f>History_1!H280</f>
        <v>269.74372119794714</v>
      </c>
      <c r="I26" s="282">
        <f>History_1!I280</f>
        <v>271.63947117050537</v>
      </c>
      <c r="J26" s="282">
        <f>History_1!J280</f>
        <v>275.17668265265013</v>
      </c>
      <c r="K26" s="282">
        <f>History_1!K280</f>
        <v>279.5318374726188</v>
      </c>
      <c r="L26" s="282">
        <f>History_1!L280</f>
        <v>282.96109121351344</v>
      </c>
      <c r="M26" s="282">
        <f>History_1!M280</f>
        <v>285.86692826094776</v>
      </c>
      <c r="N26" s="282">
        <f>History_1!N280</f>
        <v>288.30971975164937</v>
      </c>
    </row>
    <row r="27" spans="2:14">
      <c r="B27" s="363" t="str">
        <f>Mathematics_1!B280</f>
        <v>Mathematics Retirements</v>
      </c>
      <c r="C27" s="282">
        <f>Mathematics_1!C280</f>
        <v>1090.8227201828463</v>
      </c>
      <c r="D27" s="282">
        <f>Mathematics_1!D280</f>
        <v>1031.5315484453388</v>
      </c>
      <c r="E27" s="282">
        <f>Mathematics_1!E280</f>
        <v>976.77183456091461</v>
      </c>
      <c r="F27" s="282">
        <f>Mathematics_1!F280</f>
        <v>933.55456266375904</v>
      </c>
      <c r="G27" s="282">
        <f>Mathematics_1!G280</f>
        <v>902.82391668257515</v>
      </c>
      <c r="H27" s="282">
        <f>Mathematics_1!H280</f>
        <v>880.00531356663248</v>
      </c>
      <c r="I27" s="282">
        <f>Mathematics_1!I280</f>
        <v>861.93842830177164</v>
      </c>
      <c r="J27" s="282">
        <f>Mathematics_1!J280</f>
        <v>849.82181740875933</v>
      </c>
      <c r="K27" s="282">
        <f>Mathematics_1!K280</f>
        <v>840.80370726199817</v>
      </c>
      <c r="L27" s="282">
        <f>Mathematics_1!L280</f>
        <v>831.67049631957343</v>
      </c>
      <c r="M27" s="282">
        <f>Mathematics_1!M280</f>
        <v>824.78468323378206</v>
      </c>
      <c r="N27" s="282">
        <f>Mathematics_1!N280</f>
        <v>819.23595404798596</v>
      </c>
    </row>
    <row r="28" spans="2:14" ht="25.5">
      <c r="B28" s="338" t="str">
        <f>Modern_Foreign_Languages_1!B280</f>
        <v>Modern Foreign Languages Retirements</v>
      </c>
      <c r="C28" s="282">
        <f>Modern_Foreign_Languages_1!C280</f>
        <v>528.49047305614329</v>
      </c>
      <c r="D28" s="282">
        <f>Modern_Foreign_Languages_1!D280</f>
        <v>496.17391801248687</v>
      </c>
      <c r="E28" s="282">
        <f>Modern_Foreign_Languages_1!E280</f>
        <v>472.06626400116369</v>
      </c>
      <c r="F28" s="282">
        <f>Modern_Foreign_Languages_1!F280</f>
        <v>479.50004640156811</v>
      </c>
      <c r="G28" s="282">
        <f>Modern_Foreign_Languages_1!G280</f>
        <v>491.33565871590116</v>
      </c>
      <c r="H28" s="282">
        <f>Modern_Foreign_Languages_1!H280</f>
        <v>487.57782430762347</v>
      </c>
      <c r="I28" s="282">
        <f>Modern_Foreign_Languages_1!I280</f>
        <v>479.49045940524059</v>
      </c>
      <c r="J28" s="282">
        <f>Modern_Foreign_Languages_1!J280</f>
        <v>474.4736562079666</v>
      </c>
      <c r="K28" s="282">
        <f>Modern_Foreign_Languages_1!K280</f>
        <v>471.58838081204499</v>
      </c>
      <c r="L28" s="282">
        <f>Modern_Foreign_Languages_1!L280</f>
        <v>467.67401600235138</v>
      </c>
      <c r="M28" s="282">
        <f>Modern_Foreign_Languages_1!M280</f>
        <v>463.74821209988886</v>
      </c>
      <c r="N28" s="282">
        <f>Modern_Foreign_Languages_1!N280</f>
        <v>459.93470445944354</v>
      </c>
    </row>
    <row r="29" spans="2:14">
      <c r="B29" s="363" t="str">
        <f>Music_1!B280</f>
        <v>Music Retirements</v>
      </c>
      <c r="C29" s="282">
        <f>Music_1!C280</f>
        <v>126.80713744552919</v>
      </c>
      <c r="D29" s="282">
        <f>Music_1!D280</f>
        <v>121.21973532137659</v>
      </c>
      <c r="E29" s="282">
        <f>Music_1!E280</f>
        <v>117.46394877976562</v>
      </c>
      <c r="F29" s="282">
        <f>Music_1!F280</f>
        <v>115.1682253574113</v>
      </c>
      <c r="G29" s="282">
        <f>Music_1!G280</f>
        <v>114.5543699802576</v>
      </c>
      <c r="H29" s="282">
        <f>Music_1!H280</f>
        <v>114.82991028939713</v>
      </c>
      <c r="I29" s="282">
        <f>Music_1!I280</f>
        <v>115.7443607386971</v>
      </c>
      <c r="J29" s="282">
        <f>Music_1!J280</f>
        <v>117.13676414422713</v>
      </c>
      <c r="K29" s="282">
        <f>Music_1!K280</f>
        <v>119.30149375603817</v>
      </c>
      <c r="L29" s="282">
        <f>Music_1!L280</f>
        <v>120.92302628185416</v>
      </c>
      <c r="M29" s="282">
        <f>Music_1!M280</f>
        <v>121.8903276413279</v>
      </c>
      <c r="N29" s="282">
        <f>Music_1!N280</f>
        <v>122.62620311548642</v>
      </c>
    </row>
    <row r="30" spans="2:14">
      <c r="B30" s="363" t="str">
        <f>Others_1!B280</f>
        <v>Others Retirements</v>
      </c>
      <c r="C30" s="282">
        <f>Others_1!C280</f>
        <v>535.66797355373683</v>
      </c>
      <c r="D30" s="282">
        <f>Others_1!D280</f>
        <v>478.20330479636311</v>
      </c>
      <c r="E30" s="282">
        <f>Others_1!E280</f>
        <v>432.15445151112772</v>
      </c>
      <c r="F30" s="282">
        <f>Others_1!F280</f>
        <v>390.36595009497933</v>
      </c>
      <c r="G30" s="282">
        <f>Others_1!G280</f>
        <v>359.54663017335207</v>
      </c>
      <c r="H30" s="282">
        <f>Others_1!H280</f>
        <v>342.73328544741338</v>
      </c>
      <c r="I30" s="282">
        <f>Others_1!I280</f>
        <v>335.2741304643049</v>
      </c>
      <c r="J30" s="282">
        <f>Others_1!J280</f>
        <v>332.36196206658235</v>
      </c>
      <c r="K30" s="282">
        <f>Others_1!K280</f>
        <v>331.12310918956484</v>
      </c>
      <c r="L30" s="282">
        <f>Others_1!L280</f>
        <v>331.43360510574439</v>
      </c>
      <c r="M30" s="282">
        <f>Others_1!M280</f>
        <v>331.99181673662804</v>
      </c>
      <c r="N30" s="282">
        <f>Others_1!N280</f>
        <v>332.72824314884997</v>
      </c>
    </row>
    <row r="31" spans="2:14">
      <c r="B31" s="363" t="str">
        <f>Physical_Education_1!B280</f>
        <v>Physical Education Retirements</v>
      </c>
      <c r="C31" s="282">
        <f>Physical_Education_1!C280</f>
        <v>279.54741014924468</v>
      </c>
      <c r="D31" s="282">
        <f>Physical_Education_1!D280</f>
        <v>273.17957037157441</v>
      </c>
      <c r="E31" s="282">
        <f>Physical_Education_1!E280</f>
        <v>274.0893163076297</v>
      </c>
      <c r="F31" s="282">
        <f>Physical_Education_1!F280</f>
        <v>273.73598086484253</v>
      </c>
      <c r="G31" s="282">
        <f>Physical_Education_1!G280</f>
        <v>277.36801206823992</v>
      </c>
      <c r="H31" s="282">
        <f>Physical_Education_1!H280</f>
        <v>288.15424412399892</v>
      </c>
      <c r="I31" s="282">
        <f>Physical_Education_1!I280</f>
        <v>302.51819194180564</v>
      </c>
      <c r="J31" s="282">
        <f>Physical_Education_1!J280</f>
        <v>318.22731042089396</v>
      </c>
      <c r="K31" s="282">
        <f>Physical_Education_1!K280</f>
        <v>334.12943184826963</v>
      </c>
      <c r="L31" s="282">
        <f>Physical_Education_1!L280</f>
        <v>347.86584578897089</v>
      </c>
      <c r="M31" s="282">
        <f>Physical_Education_1!M280</f>
        <v>360.30424691241001</v>
      </c>
      <c r="N31" s="282">
        <f>Physical_Education_1!N280</f>
        <v>371.17289435467262</v>
      </c>
    </row>
    <row r="32" spans="2:14">
      <c r="B32" s="363" t="str">
        <f>Physics_1!B280</f>
        <v>Physics Retirements</v>
      </c>
      <c r="C32" s="282">
        <f>Physics_1!C280</f>
        <v>344.15888513582468</v>
      </c>
      <c r="D32" s="282">
        <f>Physics_1!D280</f>
        <v>336.3897013161083</v>
      </c>
      <c r="E32" s="282">
        <f>Physics_1!E280</f>
        <v>323.24587722566184</v>
      </c>
      <c r="F32" s="282">
        <f>Physics_1!F280</f>
        <v>313.89446538527363</v>
      </c>
      <c r="G32" s="282">
        <f>Physics_1!G280</f>
        <v>306.25572194703489</v>
      </c>
      <c r="H32" s="282">
        <f>Physics_1!H280</f>
        <v>299.7169167767251</v>
      </c>
      <c r="I32" s="282">
        <f>Physics_1!I280</f>
        <v>295.0670162604934</v>
      </c>
      <c r="J32" s="282">
        <f>Physics_1!J280</f>
        <v>292.21531819881301</v>
      </c>
      <c r="K32" s="282">
        <f>Physics_1!K280</f>
        <v>289.46347910590765</v>
      </c>
      <c r="L32" s="282">
        <f>Physics_1!L280</f>
        <v>286.74938966577702</v>
      </c>
      <c r="M32" s="282">
        <f>Physics_1!M280</f>
        <v>285.34719948470553</v>
      </c>
      <c r="N32" s="282">
        <f>Physics_1!N280</f>
        <v>284.36162364979248</v>
      </c>
    </row>
    <row r="33" spans="2:14">
      <c r="B33" s="363" t="str">
        <f>Religious_Education_1!B280</f>
        <v>Religious Education Retirements</v>
      </c>
      <c r="C33" s="282">
        <f>Religious_Education_1!C280</f>
        <v>245.80251701345034</v>
      </c>
      <c r="D33" s="282">
        <f>Religious_Education_1!D280</f>
        <v>223.19186918601929</v>
      </c>
      <c r="E33" s="282">
        <f>Religious_Education_1!E280</f>
        <v>206.23454343979972</v>
      </c>
      <c r="F33" s="282">
        <f>Religious_Education_1!F280</f>
        <v>194.22130396615518</v>
      </c>
      <c r="G33" s="282">
        <f>Religious_Education_1!G280</f>
        <v>186.24522395870559</v>
      </c>
      <c r="H33" s="282">
        <f>Religious_Education_1!H280</f>
        <v>181.27932675220501</v>
      </c>
      <c r="I33" s="282">
        <f>Religious_Education_1!I280</f>
        <v>178.66805738538312</v>
      </c>
      <c r="J33" s="282">
        <f>Religious_Education_1!J280</f>
        <v>177.84360641053379</v>
      </c>
      <c r="K33" s="282">
        <f>Religious_Education_1!K280</f>
        <v>178.0732201405344</v>
      </c>
      <c r="L33" s="282">
        <f>Religious_Education_1!L280</f>
        <v>178.21036684570197</v>
      </c>
      <c r="M33" s="282">
        <f>Religious_Education_1!M280</f>
        <v>178.52308284536969</v>
      </c>
      <c r="N33" s="282">
        <f>Religious_Education_1!N280</f>
        <v>178.86891997116984</v>
      </c>
    </row>
    <row r="34" spans="2:14" s="327" customFormat="1">
      <c r="B34" s="326" t="s">
        <v>249</v>
      </c>
      <c r="C34" s="326">
        <f>SUM(C14:C33)</f>
        <v>12828.952672610651</v>
      </c>
      <c r="D34" s="326">
        <f t="shared" ref="D34:N34" si="0">SUM(D14:D33)</f>
        <v>12216.397254914278</v>
      </c>
      <c r="E34" s="326">
        <f t="shared" si="0"/>
        <v>11683.858843126916</v>
      </c>
      <c r="F34" s="326">
        <f t="shared" si="0"/>
        <v>11287.705393388507</v>
      </c>
      <c r="G34" s="326">
        <f t="shared" si="0"/>
        <v>11011.130418092856</v>
      </c>
      <c r="H34" s="326">
        <f t="shared" si="0"/>
        <v>10830.048115081825</v>
      </c>
      <c r="I34" s="326">
        <f t="shared" si="0"/>
        <v>10724.701169348917</v>
      </c>
      <c r="J34" s="326">
        <f t="shared" si="0"/>
        <v>10676.439496221077</v>
      </c>
      <c r="K34" s="326">
        <f t="shared" si="0"/>
        <v>10659.638066318443</v>
      </c>
      <c r="L34" s="326">
        <f t="shared" si="0"/>
        <v>10655.197786231172</v>
      </c>
      <c r="M34" s="326">
        <f t="shared" si="0"/>
        <v>10666.642399502129</v>
      </c>
      <c r="N34" s="326">
        <f t="shared" si="0"/>
        <v>10682.368879570282</v>
      </c>
    </row>
    <row r="35" spans="2:14">
      <c r="B35" s="325"/>
    </row>
  </sheetData>
  <hyperlinks>
    <hyperlink ref="A2" location="'Title_&amp;_Contents'!A1" display="Contents"/>
    <hyperlink ref="B2" location="Map_of_sheets!A1" display="Map of sheets"/>
  </hyperlinks>
  <pageMargins left="0.7" right="0.7" top="0.75" bottom="0.75" header="0.3" footer="0.3"/>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sheetPr>
  <dimension ref="A1:Q35"/>
  <sheetViews>
    <sheetView showGridLines="0" zoomScaleNormal="100" workbookViewId="0"/>
  </sheetViews>
  <sheetFormatPr defaultRowHeight="12.75"/>
  <cols>
    <col min="2" max="2" width="32.7109375" customWidth="1"/>
    <col min="3" max="14" width="10.7109375" customWidth="1"/>
  </cols>
  <sheetData>
    <row r="1" spans="1:17" s="66" customFormat="1" ht="15">
      <c r="A1" s="65" t="str">
        <f>ModelBanner</f>
        <v>TSM_201718 for publication</v>
      </c>
    </row>
    <row r="2" spans="1:17" s="66" customFormat="1" ht="15">
      <c r="A2" s="1003" t="s">
        <v>13</v>
      </c>
      <c r="B2" s="1003" t="s">
        <v>30</v>
      </c>
    </row>
    <row r="3" spans="1:17" s="66" customFormat="1" ht="15">
      <c r="A3" s="67"/>
    </row>
    <row r="4" spans="1:17" s="57" customFormat="1">
      <c r="A4" s="58" t="s">
        <v>26</v>
      </c>
      <c r="B4" s="58"/>
      <c r="C4" s="58"/>
      <c r="D4" s="58"/>
      <c r="E4" s="292"/>
      <c r="F4" s="58"/>
      <c r="G4" s="58"/>
      <c r="H4" s="58"/>
      <c r="I4" s="58"/>
      <c r="J4" s="58"/>
      <c r="K4" s="58"/>
      <c r="L4" s="58"/>
    </row>
    <row r="5" spans="1:17" s="47" customFormat="1" ht="13.15" customHeight="1">
      <c r="A5" s="60" t="s">
        <v>544</v>
      </c>
      <c r="B5" s="60"/>
      <c r="C5" s="60"/>
      <c r="D5" s="60"/>
      <c r="E5" s="60"/>
      <c r="F5" s="60"/>
      <c r="G5" s="60"/>
      <c r="H5" s="60"/>
      <c r="I5" s="60"/>
      <c r="J5" s="60"/>
      <c r="K5" s="60"/>
      <c r="L5" s="60"/>
      <c r="M5" s="59"/>
      <c r="N5" s="59"/>
      <c r="O5" s="59"/>
      <c r="P5" s="59"/>
      <c r="Q5" s="59"/>
    </row>
    <row r="6" spans="1:17" s="46" customFormat="1">
      <c r="A6" s="56" t="s">
        <v>1420</v>
      </c>
      <c r="B6" s="61"/>
      <c r="C6" s="61"/>
      <c r="D6" s="61"/>
      <c r="E6" s="292"/>
      <c r="F6" s="61"/>
      <c r="G6" s="61"/>
      <c r="H6" s="61"/>
      <c r="I6" s="61"/>
      <c r="J6" s="61"/>
      <c r="K6" s="61"/>
      <c r="L6" s="61"/>
      <c r="M6" s="45"/>
      <c r="N6" s="45"/>
      <c r="O6" s="45"/>
      <c r="P6" s="45"/>
      <c r="Q6" s="45"/>
    </row>
    <row r="7" spans="1:17" s="46" customFormat="1">
      <c r="A7" s="54" t="s">
        <v>348</v>
      </c>
      <c r="B7" s="56"/>
      <c r="C7" s="61"/>
      <c r="D7" s="61"/>
      <c r="E7" s="292"/>
      <c r="F7" s="61"/>
      <c r="G7" s="61"/>
      <c r="H7" s="61"/>
      <c r="I7" s="61"/>
      <c r="J7" s="61"/>
      <c r="K7" s="61"/>
      <c r="L7" s="61"/>
      <c r="M7" s="45"/>
      <c r="N7" s="45"/>
      <c r="O7" s="45"/>
      <c r="P7" s="45"/>
      <c r="Q7" s="45"/>
    </row>
    <row r="8" spans="1:17" s="46" customFormat="1">
      <c r="A8" s="56" t="s">
        <v>24</v>
      </c>
      <c r="B8" s="61"/>
      <c r="C8" s="61"/>
      <c r="D8" s="61"/>
      <c r="E8" s="292"/>
      <c r="F8" s="61"/>
      <c r="G8" s="61"/>
      <c r="H8" s="61"/>
      <c r="I8" s="61"/>
      <c r="J8" s="61"/>
      <c r="K8" s="61"/>
      <c r="L8" s="61"/>
      <c r="M8" s="45"/>
      <c r="N8" s="45"/>
      <c r="O8" s="45"/>
      <c r="P8" s="45"/>
      <c r="Q8" s="45"/>
    </row>
    <row r="9" spans="1:17" s="46" customFormat="1" ht="15.75" customHeight="1">
      <c r="A9" s="54" t="s">
        <v>119</v>
      </c>
      <c r="B9" s="61"/>
      <c r="C9" s="61"/>
      <c r="D9" s="61"/>
      <c r="E9" s="292"/>
      <c r="F9" s="61"/>
      <c r="G9" s="61"/>
      <c r="H9" s="61"/>
      <c r="I9" s="61"/>
      <c r="J9" s="61"/>
      <c r="K9" s="61"/>
      <c r="L9" s="61"/>
      <c r="M9" s="45"/>
      <c r="N9" s="45"/>
      <c r="O9" s="45"/>
      <c r="P9" s="45"/>
      <c r="Q9" s="45"/>
    </row>
    <row r="10" spans="1:17" s="50" customFormat="1" ht="13.5" customHeight="1">
      <c r="A10" s="55">
        <f>SUM(A13:A2220)</f>
        <v>0</v>
      </c>
      <c r="B10" s="73"/>
      <c r="C10" s="71"/>
      <c r="D10" s="48"/>
      <c r="E10" s="48"/>
      <c r="F10" s="48"/>
      <c r="G10" s="72"/>
      <c r="H10" s="48"/>
      <c r="I10" s="48"/>
      <c r="J10" s="72"/>
      <c r="K10" s="49"/>
      <c r="L10" s="49"/>
      <c r="M10" s="49"/>
      <c r="N10" s="49"/>
      <c r="O10" s="49"/>
      <c r="P10" s="49"/>
      <c r="Q10" s="49"/>
    </row>
    <row r="13" spans="1:17">
      <c r="B13" s="141"/>
      <c r="C13" s="141" t="str">
        <f>'Art_&amp;_Design_1'!C293</f>
        <v>2016/17</v>
      </c>
      <c r="D13" s="141" t="str">
        <f>'Art_&amp;_Design_1'!D293</f>
        <v>2017/18</v>
      </c>
      <c r="E13" s="141" t="str">
        <f>'Art_&amp;_Design_1'!E293</f>
        <v>2018/19</v>
      </c>
      <c r="F13" s="141" t="str">
        <f>'Art_&amp;_Design_1'!F293</f>
        <v>2019/20</v>
      </c>
      <c r="G13" s="141" t="str">
        <f>'Art_&amp;_Design_1'!G293</f>
        <v>2020/21</v>
      </c>
      <c r="H13" s="141" t="str">
        <f>'Art_&amp;_Design_1'!H293</f>
        <v>2021/22</v>
      </c>
      <c r="I13" s="141" t="str">
        <f>'Art_&amp;_Design_1'!I293</f>
        <v>2022/23</v>
      </c>
      <c r="J13" s="141" t="str">
        <f>'Art_&amp;_Design_1'!J293</f>
        <v>2023/24</v>
      </c>
      <c r="K13" s="141" t="str">
        <f>'Art_&amp;_Design_1'!K293</f>
        <v>2024/25</v>
      </c>
      <c r="L13" s="141" t="str">
        <f>'Art_&amp;_Design_1'!L293</f>
        <v>2025/26</v>
      </c>
      <c r="M13" s="141" t="str">
        <f>'Art_&amp;_Design_1'!M293</f>
        <v>2026/27</v>
      </c>
      <c r="N13" s="141" t="str">
        <f>'Art_&amp;_Design_1'!N293</f>
        <v>2027/28</v>
      </c>
    </row>
    <row r="14" spans="1:17">
      <c r="B14" s="272" t="str">
        <f>Primary_1!B281</f>
        <v>Primary Deaths</v>
      </c>
      <c r="C14" s="166">
        <f>Primary_1!C281</f>
        <v>102.25039017757025</v>
      </c>
      <c r="D14" s="166">
        <f>Primary_1!D281</f>
        <v>101.57911714039349</v>
      </c>
      <c r="E14" s="166">
        <f>Primary_1!E281</f>
        <v>101.10775246428955</v>
      </c>
      <c r="F14" s="166">
        <f>Primary_1!F281</f>
        <v>100.81424732298102</v>
      </c>
      <c r="G14" s="166">
        <f>Primary_1!G281</f>
        <v>100.61089583646418</v>
      </c>
      <c r="H14" s="166">
        <f>Primary_1!H281</f>
        <v>100.61764922688974</v>
      </c>
      <c r="I14" s="166">
        <f>Primary_1!I281</f>
        <v>100.65859833230809</v>
      </c>
      <c r="J14" s="166">
        <f>Primary_1!J281</f>
        <v>100.65710240801671</v>
      </c>
      <c r="K14" s="166">
        <f>Primary_1!K281</f>
        <v>100.61003874402275</v>
      </c>
      <c r="L14" s="166">
        <f>Primary_1!L281</f>
        <v>100.70970553141466</v>
      </c>
      <c r="M14" s="166">
        <f>Primary_1!M281</f>
        <v>100.91041036968649</v>
      </c>
      <c r="N14" s="166">
        <f>Primary_1!N281</f>
        <v>101.11318991544755</v>
      </c>
    </row>
    <row r="15" spans="1:17">
      <c r="B15" s="195" t="str">
        <f>'Art_&amp;_Design_1'!B281</f>
        <v>Art &amp; Design Deaths</v>
      </c>
      <c r="C15" s="166">
        <f>'Art_&amp;_Design_1'!C281</f>
        <v>4.9474947590597358</v>
      </c>
      <c r="D15" s="166">
        <f>'Art_&amp;_Design_1'!D281</f>
        <v>4.8273288530652287</v>
      </c>
      <c r="E15" s="166">
        <f>'Art_&amp;_Design_1'!E281</f>
        <v>4.7279815308378463</v>
      </c>
      <c r="F15" s="166">
        <f>'Art_&amp;_Design_1'!F281</f>
        <v>4.5941980515433931</v>
      </c>
      <c r="G15" s="166">
        <f>'Art_&amp;_Design_1'!G281</f>
        <v>4.4801416695869438</v>
      </c>
      <c r="H15" s="166">
        <f>'Art_&amp;_Design_1'!H281</f>
        <v>4.4204755994361298</v>
      </c>
      <c r="I15" s="166">
        <f>'Art_&amp;_Design_1'!I281</f>
        <v>4.3786182768730928</v>
      </c>
      <c r="J15" s="166">
        <f>'Art_&amp;_Design_1'!J281</f>
        <v>4.3474311671929131</v>
      </c>
      <c r="K15" s="166">
        <f>'Art_&amp;_Design_1'!K281</f>
        <v>4.3276289747378263</v>
      </c>
      <c r="L15" s="166">
        <f>'Art_&amp;_Design_1'!L281</f>
        <v>4.2991121884435932</v>
      </c>
      <c r="M15" s="166">
        <f>'Art_&amp;_Design_1'!M281</f>
        <v>4.2624656852653544</v>
      </c>
      <c r="N15" s="166">
        <f>'Art_&amp;_Design_1'!N281</f>
        <v>4.2246054541577553</v>
      </c>
    </row>
    <row r="16" spans="1:17">
      <c r="B16" s="141" t="str">
        <f>Biology_1!B281</f>
        <v>Biology Deaths</v>
      </c>
      <c r="C16" s="166">
        <f>Biology_1!C281</f>
        <v>6.0280148106482692</v>
      </c>
      <c r="D16" s="166">
        <f>Biology_1!D281</f>
        <v>6.3490033287210768</v>
      </c>
      <c r="E16" s="166">
        <f>Biology_1!E281</f>
        <v>6.4068943528012205</v>
      </c>
      <c r="F16" s="166">
        <f>Biology_1!F281</f>
        <v>6.4593828706567082</v>
      </c>
      <c r="G16" s="166">
        <f>Biology_1!G281</f>
        <v>6.5047634780000561</v>
      </c>
      <c r="H16" s="166">
        <f>Biology_1!H281</f>
        <v>6.5449996017232657</v>
      </c>
      <c r="I16" s="166">
        <f>Biology_1!I281</f>
        <v>6.602053598711537</v>
      </c>
      <c r="J16" s="166">
        <f>Biology_1!J281</f>
        <v>6.6782916993128794</v>
      </c>
      <c r="K16" s="166">
        <f>Biology_1!K281</f>
        <v>6.7431874530134976</v>
      </c>
      <c r="L16" s="166">
        <f>Biology_1!L281</f>
        <v>6.7906632546918644</v>
      </c>
      <c r="M16" s="166">
        <f>Biology_1!M281</f>
        <v>6.8426580917360305</v>
      </c>
      <c r="N16" s="166">
        <f>Biology_1!N281</f>
        <v>6.8871316268569629</v>
      </c>
    </row>
    <row r="17" spans="2:14">
      <c r="B17" s="141" t="str">
        <f>Business_Studies_1!B281</f>
        <v>Business Studies Deaths</v>
      </c>
      <c r="C17" s="166">
        <f>Business_Studies_1!C281</f>
        <v>2.5623503252132709</v>
      </c>
      <c r="D17" s="166">
        <f>Business_Studies_1!D281</f>
        <v>2.5170680707101387</v>
      </c>
      <c r="E17" s="166">
        <f>Business_Studies_1!E281</f>
        <v>2.4667754142032963</v>
      </c>
      <c r="F17" s="166">
        <f>Business_Studies_1!F281</f>
        <v>2.3682249664353647</v>
      </c>
      <c r="G17" s="166">
        <f>Business_Studies_1!G281</f>
        <v>2.271415086713064</v>
      </c>
      <c r="H17" s="166">
        <f>Business_Studies_1!H281</f>
        <v>2.2296399451153395</v>
      </c>
      <c r="I17" s="166">
        <f>Business_Studies_1!I281</f>
        <v>2.2137912429433664</v>
      </c>
      <c r="J17" s="166">
        <f>Business_Studies_1!J281</f>
        <v>2.2135022785545653</v>
      </c>
      <c r="K17" s="166">
        <f>Business_Studies_1!K281</f>
        <v>2.2085003867153992</v>
      </c>
      <c r="L17" s="166">
        <f>Business_Studies_1!L281</f>
        <v>2.2099075407397448</v>
      </c>
      <c r="M17" s="166">
        <f>Business_Studies_1!M281</f>
        <v>2.2171861735736456</v>
      </c>
      <c r="N17" s="166">
        <f>Business_Studies_1!N281</f>
        <v>2.2253413971850557</v>
      </c>
    </row>
    <row r="18" spans="2:14">
      <c r="B18" s="141" t="str">
        <f>Chemistry_1!B281</f>
        <v>Chemistry Deaths</v>
      </c>
      <c r="C18" s="166">
        <f>Chemistry_1!C281</f>
        <v>6.1325172132550954</v>
      </c>
      <c r="D18" s="166">
        <f>Chemistry_1!D281</f>
        <v>6.285429880778695</v>
      </c>
      <c r="E18" s="166">
        <f>Chemistry_1!E281</f>
        <v>6.2639685504339937</v>
      </c>
      <c r="F18" s="166">
        <f>Chemistry_1!F281</f>
        <v>6.2549951754420245</v>
      </c>
      <c r="G18" s="166">
        <f>Chemistry_1!G281</f>
        <v>6.2435277498812205</v>
      </c>
      <c r="H18" s="166">
        <f>Chemistry_1!H281</f>
        <v>6.2297685514267167</v>
      </c>
      <c r="I18" s="166">
        <f>Chemistry_1!I281</f>
        <v>6.2347351450796369</v>
      </c>
      <c r="J18" s="166">
        <f>Chemistry_1!J281</f>
        <v>6.2613306124704993</v>
      </c>
      <c r="K18" s="166">
        <f>Chemistry_1!K281</f>
        <v>6.2793043955951635</v>
      </c>
      <c r="L18" s="166">
        <f>Chemistry_1!L281</f>
        <v>6.2868929103308826</v>
      </c>
      <c r="M18" s="166">
        <f>Chemistry_1!M281</f>
        <v>6.3071204983786266</v>
      </c>
      <c r="N18" s="166">
        <f>Chemistry_1!N281</f>
        <v>6.3263792334575397</v>
      </c>
    </row>
    <row r="19" spans="2:14">
      <c r="B19" s="141" t="str">
        <f>Classics_1!B281</f>
        <v>Classics Deaths</v>
      </c>
      <c r="C19" s="166">
        <f>Classics_1!C281</f>
        <v>0.36139303151350766</v>
      </c>
      <c r="D19" s="166">
        <f>Classics_1!D281</f>
        <v>0.29244065086427484</v>
      </c>
      <c r="E19" s="166">
        <f>Classics_1!E281</f>
        <v>0.24896361691774119</v>
      </c>
      <c r="F19" s="166">
        <f>Classics_1!F281</f>
        <v>0.22045550416164666</v>
      </c>
      <c r="G19" s="166">
        <f>Classics_1!G281</f>
        <v>0.20169095099047263</v>
      </c>
      <c r="H19" s="166">
        <f>Classics_1!H281</f>
        <v>0.18939830619242443</v>
      </c>
      <c r="I19" s="166">
        <f>Classics_1!I281</f>
        <v>0.18169657798091277</v>
      </c>
      <c r="J19" s="166">
        <f>Classics_1!J281</f>
        <v>0.17733652998845759</v>
      </c>
      <c r="K19" s="166">
        <f>Classics_1!K281</f>
        <v>0.17498718898657573</v>
      </c>
      <c r="L19" s="166">
        <f>Classics_1!L281</f>
        <v>0.17385181567235203</v>
      </c>
      <c r="M19" s="166">
        <f>Classics_1!M281</f>
        <v>0.17336075723818414</v>
      </c>
      <c r="N19" s="166">
        <f>Classics_1!N281</f>
        <v>0.17337001625189891</v>
      </c>
    </row>
    <row r="20" spans="2:14">
      <c r="B20" s="141" t="str">
        <f>Computing_1!B281</f>
        <v>Computing Deaths</v>
      </c>
      <c r="C20" s="166">
        <f>Computing_1!C281</f>
        <v>4.8900258925661948</v>
      </c>
      <c r="D20" s="166">
        <f>Computing_1!D281</f>
        <v>4.861854314976167</v>
      </c>
      <c r="E20" s="166">
        <f>Computing_1!E281</f>
        <v>4.8420362364104079</v>
      </c>
      <c r="F20" s="166">
        <f>Computing_1!F281</f>
        <v>4.7058505277803722</v>
      </c>
      <c r="G20" s="166">
        <f>Computing_1!G281</f>
        <v>4.5660131726416857</v>
      </c>
      <c r="H20" s="166">
        <f>Computing_1!H281</f>
        <v>4.5155943337074689</v>
      </c>
      <c r="I20" s="166">
        <f>Computing_1!I281</f>
        <v>4.4944957831390386</v>
      </c>
      <c r="J20" s="166">
        <f>Computing_1!J281</f>
        <v>4.4823549226066728</v>
      </c>
      <c r="K20" s="166">
        <f>Computing_1!K281</f>
        <v>4.4753546079307984</v>
      </c>
      <c r="L20" s="166">
        <f>Computing_1!L281</f>
        <v>4.4595621078099486</v>
      </c>
      <c r="M20" s="166">
        <f>Computing_1!M281</f>
        <v>4.4385069857517108</v>
      </c>
      <c r="N20" s="166">
        <f>Computing_1!N281</f>
        <v>4.4151541077116043</v>
      </c>
    </row>
    <row r="21" spans="2:14">
      <c r="B21" s="141" t="str">
        <f>'Design_&amp;_Technology_1'!B281</f>
        <v>Design &amp; Technology Deaths</v>
      </c>
      <c r="C21" s="166">
        <f>'Design_&amp;_Technology_1'!C281</f>
        <v>7.9607237636067225</v>
      </c>
      <c r="D21" s="166">
        <f>'Design_&amp;_Technology_1'!D281</f>
        <v>7.6825857424814625</v>
      </c>
      <c r="E21" s="166">
        <f>'Design_&amp;_Technology_1'!E281</f>
        <v>7.3862926407361211</v>
      </c>
      <c r="F21" s="166">
        <f>'Design_&amp;_Technology_1'!F281</f>
        <v>6.9622256241450167</v>
      </c>
      <c r="G21" s="166">
        <f>'Design_&amp;_Technology_1'!G281</f>
        <v>6.5753127267056186</v>
      </c>
      <c r="H21" s="166">
        <f>'Design_&amp;_Technology_1'!H281</f>
        <v>6.324127790662045</v>
      </c>
      <c r="I21" s="166">
        <f>'Design_&amp;_Technology_1'!I281</f>
        <v>6.1457941347689324</v>
      </c>
      <c r="J21" s="166">
        <f>'Design_&amp;_Technology_1'!J281</f>
        <v>6.001389514567764</v>
      </c>
      <c r="K21" s="166">
        <f>'Design_&amp;_Technology_1'!K281</f>
        <v>5.9013931158534163</v>
      </c>
      <c r="L21" s="166">
        <f>'Design_&amp;_Technology_1'!L281</f>
        <v>5.8032757462677189</v>
      </c>
      <c r="M21" s="166">
        <f>'Design_&amp;_Technology_1'!M281</f>
        <v>5.7043370597639642</v>
      </c>
      <c r="N21" s="166">
        <f>'Design_&amp;_Technology_1'!N281</f>
        <v>5.6153126015381387</v>
      </c>
    </row>
    <row r="22" spans="2:14">
      <c r="B22" s="141" t="str">
        <f>Drama_1!B281</f>
        <v>Drama Deaths</v>
      </c>
      <c r="C22" s="166">
        <f>Drama_1!C281</f>
        <v>2.3392708213805187</v>
      </c>
      <c r="D22" s="166">
        <f>Drama_1!D281</f>
        <v>2.3463551326371412</v>
      </c>
      <c r="E22" s="166">
        <f>Drama_1!E281</f>
        <v>2.3430081769400579</v>
      </c>
      <c r="F22" s="166">
        <f>Drama_1!F281</f>
        <v>2.3243600850970023</v>
      </c>
      <c r="G22" s="166">
        <f>Drama_1!G281</f>
        <v>2.3162341035563534</v>
      </c>
      <c r="H22" s="166">
        <f>Drama_1!H281</f>
        <v>2.3154388536098551</v>
      </c>
      <c r="I22" s="166">
        <f>Drama_1!I281</f>
        <v>2.3359110648733648</v>
      </c>
      <c r="J22" s="166">
        <f>Drama_1!J281</f>
        <v>2.3607614806825721</v>
      </c>
      <c r="K22" s="166">
        <f>Drama_1!K281</f>
        <v>2.3909501822496413</v>
      </c>
      <c r="L22" s="166">
        <f>Drama_1!L281</f>
        <v>2.4120172825352784</v>
      </c>
      <c r="M22" s="166">
        <f>Drama_1!M281</f>
        <v>2.4244557773117013</v>
      </c>
      <c r="N22" s="166">
        <f>Drama_1!N281</f>
        <v>2.4323489145605954</v>
      </c>
    </row>
    <row r="23" spans="2:14">
      <c r="B23" s="363" t="str">
        <f>English_1!B281</f>
        <v>English Deaths</v>
      </c>
      <c r="C23" s="166">
        <f>English_1!C281</f>
        <v>15.572202786626104</v>
      </c>
      <c r="D23" s="166">
        <f>English_1!D281</f>
        <v>15.596677659338731</v>
      </c>
      <c r="E23" s="166">
        <f>English_1!E281</f>
        <v>15.414460661613603</v>
      </c>
      <c r="F23" s="166">
        <f>English_1!F281</f>
        <v>15.261246333422587</v>
      </c>
      <c r="G23" s="166">
        <f>English_1!G281</f>
        <v>15.155019663889925</v>
      </c>
      <c r="H23" s="166">
        <f>English_1!H281</f>
        <v>15.082400260416676</v>
      </c>
      <c r="I23" s="166">
        <f>English_1!I281</f>
        <v>15.078055615766933</v>
      </c>
      <c r="J23" s="166">
        <f>English_1!J281</f>
        <v>15.132644989941575</v>
      </c>
      <c r="K23" s="166">
        <f>English_1!K281</f>
        <v>15.204184061046835</v>
      </c>
      <c r="L23" s="166">
        <f>English_1!L281</f>
        <v>15.237746053954668</v>
      </c>
      <c r="M23" s="166">
        <f>English_1!M281</f>
        <v>15.280635450199869</v>
      </c>
      <c r="N23" s="166">
        <f>English_1!N281</f>
        <v>15.315749516313577</v>
      </c>
    </row>
    <row r="24" spans="2:14">
      <c r="B24" s="363" t="str">
        <f>Food_1!B281</f>
        <v>Food Deaths</v>
      </c>
      <c r="C24" s="166">
        <f>Food_1!C281</f>
        <v>1.7944570342629229</v>
      </c>
      <c r="D24" s="166">
        <f>Food_1!D281</f>
        <v>1.6370281595134173</v>
      </c>
      <c r="E24" s="166">
        <f>Food_1!E281</f>
        <v>1.5093569618148863</v>
      </c>
      <c r="F24" s="166">
        <f>Food_1!F281</f>
        <v>1.3682987952577548</v>
      </c>
      <c r="G24" s="166">
        <f>Food_1!G281</f>
        <v>1.2434941573331006</v>
      </c>
      <c r="H24" s="166">
        <f>Food_1!H281</f>
        <v>1.1628021494072258</v>
      </c>
      <c r="I24" s="166">
        <f>Food_1!I281</f>
        <v>1.105181048106529</v>
      </c>
      <c r="J24" s="166">
        <f>Food_1!J281</f>
        <v>1.0616837675301372</v>
      </c>
      <c r="K24" s="166">
        <f>Food_1!K281</f>
        <v>1.0258399309836719</v>
      </c>
      <c r="L24" s="166">
        <f>Food_1!L281</f>
        <v>0.99507339437019915</v>
      </c>
      <c r="M24" s="166">
        <f>Food_1!M281</f>
        <v>0.97240394640180261</v>
      </c>
      <c r="N24" s="166">
        <f>Food_1!N281</f>
        <v>0.95432404725315578</v>
      </c>
    </row>
    <row r="25" spans="2:14">
      <c r="B25" s="141" t="str">
        <f>Geography_1!B281</f>
        <v>Geography Deaths</v>
      </c>
      <c r="C25" s="166">
        <f>Geography_1!C281</f>
        <v>5.6466858154316242</v>
      </c>
      <c r="D25" s="166">
        <f>Geography_1!D281</f>
        <v>5.6926838892168599</v>
      </c>
      <c r="E25" s="166">
        <f>Geography_1!E281</f>
        <v>5.7086985830882746</v>
      </c>
      <c r="F25" s="166">
        <f>Geography_1!F281</f>
        <v>5.8309360513443131</v>
      </c>
      <c r="G25" s="166">
        <f>Geography_1!G281</f>
        <v>5.9697088556902873</v>
      </c>
      <c r="H25" s="166">
        <f>Geography_1!H281</f>
        <v>6.0212086639425486</v>
      </c>
      <c r="I25" s="166">
        <f>Geography_1!I281</f>
        <v>6.0686605687524917</v>
      </c>
      <c r="J25" s="166">
        <f>Geography_1!J281</f>
        <v>6.1283583875281913</v>
      </c>
      <c r="K25" s="166">
        <f>Geography_1!K281</f>
        <v>6.1963900027234278</v>
      </c>
      <c r="L25" s="166">
        <f>Geography_1!L281</f>
        <v>6.2419107582179159</v>
      </c>
      <c r="M25" s="166">
        <f>Geography_1!M281</f>
        <v>6.2747937544883507</v>
      </c>
      <c r="N25" s="166">
        <f>Geography_1!N281</f>
        <v>6.298038094306337</v>
      </c>
    </row>
    <row r="26" spans="2:14">
      <c r="B26" s="141" t="str">
        <f>History_1!B281</f>
        <v>History Deaths</v>
      </c>
      <c r="C26" s="166">
        <f>History_1!C281</f>
        <v>6.1565883404212549</v>
      </c>
      <c r="D26" s="166">
        <f>History_1!D281</f>
        <v>6.1519948956964337</v>
      </c>
      <c r="E26" s="166">
        <f>History_1!E281</f>
        <v>6.148809148042055</v>
      </c>
      <c r="F26" s="166">
        <f>History_1!F281</f>
        <v>6.2369711634281533</v>
      </c>
      <c r="G26" s="166">
        <f>History_1!G281</f>
        <v>6.345094512514887</v>
      </c>
      <c r="H26" s="166">
        <f>History_1!H281</f>
        <v>6.3775391064691656</v>
      </c>
      <c r="I26" s="166">
        <f>History_1!I281</f>
        <v>6.4199284578905527</v>
      </c>
      <c r="J26" s="166">
        <f>History_1!J281</f>
        <v>6.4770072874168552</v>
      </c>
      <c r="K26" s="166">
        <f>History_1!K281</f>
        <v>6.5419540529035203</v>
      </c>
      <c r="L26" s="166">
        <f>History_1!L281</f>
        <v>6.5857511711221699</v>
      </c>
      <c r="M26" s="166">
        <f>History_1!M281</f>
        <v>6.6177191495076677</v>
      </c>
      <c r="N26" s="166">
        <f>History_1!N281</f>
        <v>6.640593652740451</v>
      </c>
    </row>
    <row r="27" spans="2:14">
      <c r="B27" s="141" t="str">
        <f>Mathematics_1!B281</f>
        <v>Mathematics Deaths</v>
      </c>
      <c r="C27" s="166">
        <f>Mathematics_1!C281</f>
        <v>19.890356312779623</v>
      </c>
      <c r="D27" s="166">
        <f>Mathematics_1!D281</f>
        <v>19.747231677311898</v>
      </c>
      <c r="E27" s="166">
        <f>Mathematics_1!E281</f>
        <v>19.402677446902693</v>
      </c>
      <c r="F27" s="166">
        <f>Mathematics_1!F281</f>
        <v>19.073602415039083</v>
      </c>
      <c r="G27" s="166">
        <f>Mathematics_1!G281</f>
        <v>18.850713868383867</v>
      </c>
      <c r="H27" s="166">
        <f>Mathematics_1!H281</f>
        <v>18.695085183320689</v>
      </c>
      <c r="I27" s="166">
        <f>Mathematics_1!I281</f>
        <v>18.572961841275021</v>
      </c>
      <c r="J27" s="166">
        <f>Mathematics_1!J281</f>
        <v>18.523995513810522</v>
      </c>
      <c r="K27" s="166">
        <f>Mathematics_1!K281</f>
        <v>18.504188667769377</v>
      </c>
      <c r="L27" s="166">
        <f>Mathematics_1!L281</f>
        <v>18.454573389620066</v>
      </c>
      <c r="M27" s="166">
        <f>Mathematics_1!M281</f>
        <v>18.422022080969441</v>
      </c>
      <c r="N27" s="166">
        <f>Mathematics_1!N281</f>
        <v>18.392548504337483</v>
      </c>
    </row>
    <row r="28" spans="2:14">
      <c r="B28" s="141" t="str">
        <f>Modern_Foreign_Languages_1!B281</f>
        <v>Modern Foreign Languages Deaths</v>
      </c>
      <c r="C28" s="166">
        <f>Modern_Foreign_Languages_1!C281</f>
        <v>8.8611654850900123</v>
      </c>
      <c r="D28" s="166">
        <f>Modern_Foreign_Languages_1!D281</f>
        <v>8.7207012739417209</v>
      </c>
      <c r="E28" s="166">
        <f>Modern_Foreign_Languages_1!E281</f>
        <v>8.5812389786672512</v>
      </c>
      <c r="F28" s="166">
        <f>Modern_Foreign_Languages_1!F281</f>
        <v>8.8949569972029874</v>
      </c>
      <c r="G28" s="166">
        <f>Modern_Foreign_Languages_1!G281</f>
        <v>9.2403623584960073</v>
      </c>
      <c r="H28" s="166">
        <f>Modern_Foreign_Languages_1!H281</f>
        <v>9.2766037598457007</v>
      </c>
      <c r="I28" s="166">
        <f>Modern_Foreign_Languages_1!I281</f>
        <v>9.2014239920868182</v>
      </c>
      <c r="J28" s="166">
        <f>Modern_Foreign_Languages_1!J281</f>
        <v>9.158335594613618</v>
      </c>
      <c r="K28" s="166">
        <f>Modern_Foreign_Languages_1!K281</f>
        <v>9.1439911586584603</v>
      </c>
      <c r="L28" s="166">
        <f>Modern_Foreign_Languages_1!L281</f>
        <v>9.1076362990783934</v>
      </c>
      <c r="M28" s="166">
        <f>Modern_Foreign_Languages_1!M281</f>
        <v>9.0674326048916445</v>
      </c>
      <c r="N28" s="166">
        <f>Modern_Foreign_Languages_1!N281</f>
        <v>9.025961765491223</v>
      </c>
    </row>
    <row r="29" spans="2:14">
      <c r="B29" s="141" t="str">
        <f>Music_1!B281</f>
        <v>Music Deaths</v>
      </c>
      <c r="C29" s="166">
        <f>Music_1!C281</f>
        <v>2.6824807570694134</v>
      </c>
      <c r="D29" s="166">
        <f>Music_1!D281</f>
        <v>2.6906646641328607</v>
      </c>
      <c r="E29" s="166">
        <f>Music_1!E281</f>
        <v>2.7037852186995384</v>
      </c>
      <c r="F29" s="166">
        <f>Music_1!F281</f>
        <v>2.7175316157424989</v>
      </c>
      <c r="G29" s="166">
        <f>Music_1!G281</f>
        <v>2.7408159865741348</v>
      </c>
      <c r="H29" s="166">
        <f>Music_1!H281</f>
        <v>2.7637969860474447</v>
      </c>
      <c r="I29" s="166">
        <f>Music_1!I281</f>
        <v>2.7861275738996047</v>
      </c>
      <c r="J29" s="166">
        <f>Music_1!J281</f>
        <v>2.8087337092896352</v>
      </c>
      <c r="K29" s="166">
        <f>Music_1!K281</f>
        <v>2.8409680683527858</v>
      </c>
      <c r="L29" s="166">
        <f>Music_1!L281</f>
        <v>2.8603084871910758</v>
      </c>
      <c r="M29" s="166">
        <f>Music_1!M281</f>
        <v>2.8652952754054359</v>
      </c>
      <c r="N29" s="166">
        <f>Music_1!N281</f>
        <v>2.8647765313966347</v>
      </c>
    </row>
    <row r="30" spans="2:14">
      <c r="B30" s="141" t="str">
        <f>Others_1!B281</f>
        <v>Others Deaths</v>
      </c>
      <c r="C30" s="166">
        <f>Others_1!C281</f>
        <v>9.1534953840350717</v>
      </c>
      <c r="D30" s="166">
        <f>Others_1!D281</f>
        <v>8.8466191271079122</v>
      </c>
      <c r="E30" s="166">
        <f>Others_1!E281</f>
        <v>8.4671358727261712</v>
      </c>
      <c r="F30" s="166">
        <f>Others_1!F281</f>
        <v>7.9712504105914448</v>
      </c>
      <c r="G30" s="166">
        <f>Others_1!G281</f>
        <v>7.5467889369810557</v>
      </c>
      <c r="H30" s="166">
        <f>Others_1!H281</f>
        <v>7.304347618746891</v>
      </c>
      <c r="I30" s="166">
        <f>Others_1!I281</f>
        <v>7.1965041268554018</v>
      </c>
      <c r="J30" s="166">
        <f>Others_1!J281</f>
        <v>7.15491865536708</v>
      </c>
      <c r="K30" s="166">
        <f>Others_1!K281</f>
        <v>7.1357473178755626</v>
      </c>
      <c r="L30" s="166">
        <f>Others_1!L281</f>
        <v>7.1417062115297183</v>
      </c>
      <c r="M30" s="166">
        <f>Others_1!M281</f>
        <v>7.1519968147565702</v>
      </c>
      <c r="N30" s="166">
        <f>Others_1!N281</f>
        <v>7.1668299696324702</v>
      </c>
    </row>
    <row r="31" spans="2:14">
      <c r="B31" s="141" t="str">
        <f>Physical_Education_1!B281</f>
        <v>Physical Education Deaths</v>
      </c>
      <c r="C31" s="166">
        <f>Physical_Education_1!C281</f>
        <v>7.2067891019440173</v>
      </c>
      <c r="D31" s="166">
        <f>Physical_Education_1!D281</f>
        <v>7.5240569565799529</v>
      </c>
      <c r="E31" s="166">
        <f>Physical_Education_1!E281</f>
        <v>7.878374648673045</v>
      </c>
      <c r="F31" s="166">
        <f>Physical_Education_1!F281</f>
        <v>8.0851670294855325</v>
      </c>
      <c r="G31" s="166">
        <f>Physical_Education_1!G281</f>
        <v>8.2554554034131371</v>
      </c>
      <c r="H31" s="166">
        <f>Physical_Education_1!H281</f>
        <v>8.478757538814353</v>
      </c>
      <c r="I31" s="166">
        <f>Physical_Education_1!I281</f>
        <v>8.7133617096087477</v>
      </c>
      <c r="J31" s="166">
        <f>Physical_Education_1!J281</f>
        <v>8.9358501495992471</v>
      </c>
      <c r="K31" s="166">
        <f>Physical_Education_1!K281</f>
        <v>9.1390053715645507</v>
      </c>
      <c r="L31" s="166">
        <f>Physical_Education_1!L281</f>
        <v>9.2873176941172417</v>
      </c>
      <c r="M31" s="166">
        <f>Physical_Education_1!M281</f>
        <v>9.4053948538936485</v>
      </c>
      <c r="N31" s="166">
        <f>Physical_Education_1!N281</f>
        <v>9.4950494054123364</v>
      </c>
    </row>
    <row r="32" spans="2:14">
      <c r="B32" s="141" t="str">
        <f>Physics_1!B281</f>
        <v>Physics Deaths</v>
      </c>
      <c r="C32" s="166">
        <f>Physics_1!C281</f>
        <v>7.1793050076387877</v>
      </c>
      <c r="D32" s="166">
        <f>Physics_1!D281</f>
        <v>7.1786901899787097</v>
      </c>
      <c r="E32" s="166">
        <f>Physics_1!E281</f>
        <v>7.033960808870976</v>
      </c>
      <c r="F32" s="166">
        <f>Physics_1!F281</f>
        <v>6.9448581347721037</v>
      </c>
      <c r="G32" s="166">
        <f>Physics_1!G281</f>
        <v>6.8789686662756093</v>
      </c>
      <c r="H32" s="166">
        <f>Physics_1!H281</f>
        <v>6.8252531353841004</v>
      </c>
      <c r="I32" s="166">
        <f>Physics_1!I281</f>
        <v>6.8002322775366881</v>
      </c>
      <c r="J32" s="166">
        <f>Physics_1!J281</f>
        <v>6.8036551039406641</v>
      </c>
      <c r="K32" s="166">
        <f>Physics_1!K281</f>
        <v>6.8013502311170138</v>
      </c>
      <c r="L32" s="166">
        <f>Physics_1!L281</f>
        <v>6.7909596185373795</v>
      </c>
      <c r="M32" s="166">
        <f>Physics_1!M281</f>
        <v>6.7991307276712423</v>
      </c>
      <c r="N32" s="166">
        <f>Physics_1!N281</f>
        <v>6.8094743965648155</v>
      </c>
    </row>
    <row r="33" spans="2:14">
      <c r="B33" s="141" t="str">
        <f>Religious_Education_1!B281</f>
        <v>Religious Education Deaths</v>
      </c>
      <c r="C33" s="166">
        <f>Religious_Education_1!C281</f>
        <v>4.3204642499111383</v>
      </c>
      <c r="D33" s="166">
        <f>Religious_Education_1!D281</f>
        <v>4.1989094126093649</v>
      </c>
      <c r="E33" s="166">
        <f>Religious_Education_1!E281</f>
        <v>4.0950406592002624</v>
      </c>
      <c r="F33" s="166">
        <f>Religious_Education_1!F281</f>
        <v>4.0117059115193818</v>
      </c>
      <c r="G33" s="166">
        <f>Religious_Education_1!G281</f>
        <v>3.9508380246342254</v>
      </c>
      <c r="H33" s="166">
        <f>Religious_Education_1!H281</f>
        <v>3.9094188873419382</v>
      </c>
      <c r="I33" s="166">
        <f>Religious_Education_1!I281</f>
        <v>3.8875177312589915</v>
      </c>
      <c r="J33" s="166">
        <f>Religious_Education_1!J281</f>
        <v>3.8836777865330969</v>
      </c>
      <c r="K33" s="166">
        <f>Religious_Education_1!K281</f>
        <v>3.890662118045062</v>
      </c>
      <c r="L33" s="166">
        <f>Religious_Education_1!L281</f>
        <v>3.8909252482579477</v>
      </c>
      <c r="M33" s="166">
        <f>Religious_Education_1!M281</f>
        <v>3.8912697223686177</v>
      </c>
      <c r="N33" s="166">
        <f>Religious_Education_1!N281</f>
        <v>3.890750047050112</v>
      </c>
    </row>
    <row r="34" spans="2:14">
      <c r="B34" s="8" t="s">
        <v>613</v>
      </c>
      <c r="C34" s="248">
        <f>SUM(C14:C33)</f>
        <v>225.93617107002359</v>
      </c>
      <c r="D34" s="248">
        <f t="shared" ref="D34:N34" si="0">SUM(D14:D33)</f>
        <v>224.72644102005557</v>
      </c>
      <c r="E34" s="248">
        <f t="shared" si="0"/>
        <v>222.73721197186904</v>
      </c>
      <c r="F34" s="248">
        <f t="shared" si="0"/>
        <v>221.10046498604834</v>
      </c>
      <c r="G34" s="248">
        <f t="shared" si="0"/>
        <v>219.94725520872584</v>
      </c>
      <c r="H34" s="248">
        <f t="shared" si="0"/>
        <v>219.28430549849972</v>
      </c>
      <c r="I34" s="248">
        <f t="shared" si="0"/>
        <v>219.07564909971575</v>
      </c>
      <c r="J34" s="248">
        <f t="shared" si="0"/>
        <v>219.24836155896367</v>
      </c>
      <c r="K34" s="248">
        <f t="shared" si="0"/>
        <v>219.53562603014535</v>
      </c>
      <c r="L34" s="248">
        <f t="shared" si="0"/>
        <v>219.73889670390284</v>
      </c>
      <c r="M34" s="248">
        <f t="shared" si="0"/>
        <v>220.02859577925997</v>
      </c>
      <c r="N34" s="248">
        <f t="shared" si="0"/>
        <v>220.26692919766572</v>
      </c>
    </row>
    <row r="35" spans="2:14">
      <c r="B35" s="12"/>
      <c r="C35" s="10"/>
      <c r="D35" s="10"/>
      <c r="E35" s="10"/>
      <c r="F35" s="10"/>
      <c r="G35" s="10"/>
      <c r="H35" s="10"/>
      <c r="I35" s="10"/>
      <c r="J35" s="10"/>
      <c r="K35" s="10"/>
      <c r="L35" s="10"/>
      <c r="M35" s="10"/>
      <c r="N35" s="10"/>
    </row>
  </sheetData>
  <hyperlinks>
    <hyperlink ref="A2" location="'Title_&amp;_Contents'!A1" display="Contents"/>
    <hyperlink ref="B2" location="Map_of_sheets!A1" display="Map of sheets"/>
  </hyperlinks>
  <pageMargins left="0.7" right="0.7" top="0.75" bottom="0.75" header="0.3" footer="0.3"/>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FFF00"/>
  </sheetPr>
  <dimension ref="A1:Z34"/>
  <sheetViews>
    <sheetView showGridLines="0" zoomScaleNormal="100" workbookViewId="0"/>
  </sheetViews>
  <sheetFormatPr defaultColWidth="9.140625" defaultRowHeight="12.75"/>
  <cols>
    <col min="1" max="1" width="9.140625" style="309"/>
    <col min="2" max="2" width="33.7109375" style="309" customWidth="1"/>
    <col min="3" max="14" width="10.7109375" style="309" customWidth="1"/>
    <col min="15" max="16384" width="9.140625" style="309"/>
  </cols>
  <sheetData>
    <row r="1" spans="1:26" s="344" customFormat="1" ht="15">
      <c r="A1" s="343" t="str">
        <f>ModelBanner</f>
        <v>TSM_201718 for publication</v>
      </c>
    </row>
    <row r="2" spans="1:26" s="344" customFormat="1" ht="15">
      <c r="A2" s="1003" t="s">
        <v>13</v>
      </c>
      <c r="B2" s="1003" t="s">
        <v>30</v>
      </c>
      <c r="Q2" s="492"/>
      <c r="R2" s="492"/>
      <c r="S2" s="492"/>
      <c r="T2" s="492"/>
      <c r="U2" s="492"/>
      <c r="V2" s="492"/>
    </row>
    <row r="3" spans="1:26" s="344" customFormat="1" ht="15">
      <c r="A3" s="345"/>
      <c r="Q3" s="492"/>
      <c r="R3" s="492"/>
      <c r="S3" s="492"/>
      <c r="T3" s="492"/>
      <c r="U3" s="492"/>
      <c r="V3" s="492"/>
    </row>
    <row r="4" spans="1:26" s="348" customFormat="1" ht="15">
      <c r="A4" s="346" t="s">
        <v>26</v>
      </c>
      <c r="B4" s="346"/>
      <c r="E4" s="344"/>
      <c r="Q4" s="492"/>
      <c r="R4" s="492"/>
      <c r="S4" s="492"/>
      <c r="T4" s="492"/>
      <c r="U4" s="492"/>
      <c r="V4" s="492"/>
    </row>
    <row r="5" spans="1:26" s="350" customFormat="1" ht="13.9" customHeight="1">
      <c r="A5" s="706" t="s">
        <v>1736</v>
      </c>
      <c r="B5" s="706"/>
      <c r="C5" s="706"/>
      <c r="D5" s="706"/>
      <c r="E5" s="706"/>
      <c r="F5" s="706"/>
      <c r="G5" s="706"/>
      <c r="H5" s="706"/>
      <c r="I5" s="706"/>
      <c r="J5" s="706"/>
      <c r="K5" s="706"/>
      <c r="L5" s="706"/>
      <c r="M5" s="349"/>
      <c r="N5" s="349"/>
      <c r="O5" s="349"/>
      <c r="P5" s="349"/>
      <c r="Q5" s="492"/>
      <c r="R5" s="492"/>
      <c r="S5" s="492"/>
      <c r="T5" s="492"/>
      <c r="U5" s="492"/>
      <c r="V5" s="492"/>
    </row>
    <row r="6" spans="1:26" s="354" customFormat="1" ht="15">
      <c r="A6" s="351" t="s">
        <v>1420</v>
      </c>
      <c r="B6" s="352"/>
      <c r="C6" s="353"/>
      <c r="D6" s="353"/>
      <c r="E6" s="344"/>
      <c r="F6" s="353"/>
      <c r="G6" s="353"/>
      <c r="H6" s="353"/>
      <c r="I6" s="353"/>
      <c r="J6" s="353"/>
      <c r="K6" s="353"/>
      <c r="L6" s="353"/>
      <c r="M6" s="353"/>
      <c r="N6" s="353"/>
      <c r="O6" s="353"/>
      <c r="P6" s="353"/>
      <c r="Q6" s="492"/>
      <c r="R6" s="492"/>
      <c r="S6" s="492"/>
      <c r="T6" s="492"/>
      <c r="U6" s="492"/>
      <c r="V6" s="492"/>
    </row>
    <row r="7" spans="1:26" s="354" customFormat="1" ht="15">
      <c r="A7" s="355" t="s">
        <v>348</v>
      </c>
      <c r="B7" s="351"/>
      <c r="C7" s="353"/>
      <c r="D7" s="353"/>
      <c r="E7" s="344"/>
      <c r="F7" s="353"/>
      <c r="G7" s="353"/>
      <c r="H7" s="353"/>
      <c r="I7" s="753"/>
      <c r="J7" s="353"/>
      <c r="K7" s="353"/>
      <c r="L7" s="353"/>
      <c r="M7" s="353"/>
      <c r="N7" s="353"/>
      <c r="O7" s="353"/>
      <c r="P7" s="353"/>
      <c r="Q7" s="492"/>
      <c r="R7" s="492"/>
      <c r="S7" s="492"/>
      <c r="T7" s="492"/>
      <c r="U7" s="492"/>
      <c r="V7" s="492"/>
    </row>
    <row r="8" spans="1:26" s="354" customFormat="1" ht="15">
      <c r="A8" s="351" t="s">
        <v>24</v>
      </c>
      <c r="B8" s="352"/>
      <c r="C8" s="567"/>
      <c r="D8" s="353"/>
      <c r="E8" s="344"/>
      <c r="F8" s="353"/>
      <c r="G8" s="353"/>
      <c r="H8" s="353"/>
      <c r="I8" s="353"/>
      <c r="J8" s="353"/>
      <c r="K8" s="353"/>
      <c r="L8" s="353"/>
      <c r="M8" s="353"/>
      <c r="N8" s="353"/>
      <c r="O8" s="353"/>
      <c r="P8" s="353"/>
      <c r="Q8" s="492"/>
      <c r="R8" s="492"/>
      <c r="S8" s="492"/>
      <c r="T8" s="492"/>
      <c r="U8" s="492"/>
      <c r="V8" s="492"/>
    </row>
    <row r="9" spans="1:26" s="354" customFormat="1" ht="15">
      <c r="A9" s="355" t="s">
        <v>119</v>
      </c>
      <c r="B9" s="352"/>
      <c r="C9" s="353"/>
      <c r="D9" s="353"/>
      <c r="E9" s="344"/>
      <c r="F9" s="353"/>
      <c r="G9" s="353"/>
      <c r="H9" s="353"/>
      <c r="I9" s="353"/>
      <c r="J9" s="353"/>
      <c r="K9" s="353"/>
      <c r="L9" s="353"/>
      <c r="M9" s="353"/>
      <c r="N9" s="353"/>
      <c r="O9" s="353"/>
      <c r="P9" s="353"/>
      <c r="Q9" s="492"/>
      <c r="R9" s="492"/>
      <c r="S9" s="492"/>
      <c r="T9" s="492"/>
      <c r="U9" s="492"/>
      <c r="V9" s="492"/>
    </row>
    <row r="10" spans="1:26" s="362" customFormat="1" ht="13.5" customHeight="1">
      <c r="A10" s="356">
        <f>SUM(A13:A2221)</f>
        <v>0</v>
      </c>
      <c r="B10" s="357"/>
      <c r="C10" s="358"/>
      <c r="D10" s="359"/>
      <c r="E10" s="359"/>
      <c r="F10" s="359"/>
      <c r="G10" s="360"/>
      <c r="H10" s="359"/>
      <c r="I10" s="359"/>
      <c r="J10" s="360"/>
      <c r="K10" s="361"/>
      <c r="L10" s="361"/>
      <c r="M10" s="361"/>
      <c r="N10" s="361"/>
      <c r="O10" s="361"/>
      <c r="P10" s="361"/>
    </row>
    <row r="12" spans="1:26">
      <c r="A12" s="309">
        <f>SUM(C12:N12)</f>
        <v>0</v>
      </c>
      <c r="C12" s="400">
        <f>ROUND(C14-Wastage_over_time!C14-Retirements_over_time!C14-Deaths_over_time!C14,0.000000001)</f>
        <v>0</v>
      </c>
      <c r="D12" s="400">
        <f>ROUND(D14-Wastage_over_time!D14-Retirements_over_time!D14-Deaths_over_time!D14,0.000000001)</f>
        <v>0</v>
      </c>
      <c r="E12" s="400">
        <f>ROUND(E14-Wastage_over_time!E14-Retirements_over_time!E14-Deaths_over_time!E14,0.000000001)</f>
        <v>0</v>
      </c>
      <c r="F12" s="400">
        <f>ROUND(F14-Wastage_over_time!F14-Retirements_over_time!F14-Deaths_over_time!F14,0.000000001)</f>
        <v>0</v>
      </c>
      <c r="G12" s="400">
        <f>ROUND(G14-Wastage_over_time!G14-Retirements_over_time!G14-Deaths_over_time!G14,0.000000001)</f>
        <v>0</v>
      </c>
      <c r="H12" s="400">
        <f>ROUND(H14-Wastage_over_time!H14-Retirements_over_time!H14-Deaths_over_time!H14,0.000000001)</f>
        <v>0</v>
      </c>
      <c r="I12" s="400">
        <f>ROUND(I14-Wastage_over_time!I14-Retirements_over_time!I14-Deaths_over_time!I14,0.000000001)</f>
        <v>0</v>
      </c>
      <c r="J12" s="400">
        <f>ROUND(J14-Wastage_over_time!J14-Retirements_over_time!J14-Deaths_over_time!J14,0.000000001)</f>
        <v>0</v>
      </c>
      <c r="K12" s="400">
        <f>ROUND(K14-Wastage_over_time!K14-Retirements_over_time!K14-Deaths_over_time!K14,0.000000001)</f>
        <v>0</v>
      </c>
      <c r="L12" s="400">
        <f>ROUND(L14-Wastage_over_time!L14-Retirements_over_time!L14-Deaths_over_time!L14,0.000000001)</f>
        <v>0</v>
      </c>
      <c r="M12" s="400">
        <f>ROUND(M14-Wastage_over_time!M14-Retirements_over_time!M14-Deaths_over_time!M14,0.000000001)</f>
        <v>0</v>
      </c>
      <c r="N12" s="400">
        <f>ROUND(N14-Wastage_over_time!N14-Retirements_over_time!N14-Deaths_over_time!N14,0.000000001)</f>
        <v>0</v>
      </c>
      <c r="P12" s="382"/>
    </row>
    <row r="13" spans="1:26">
      <c r="B13" s="363"/>
      <c r="C13" s="363" t="str">
        <f>'Art_&amp;_Design_1'!C293</f>
        <v>2016/17</v>
      </c>
      <c r="D13" s="363" t="str">
        <f>'Art_&amp;_Design_1'!D293</f>
        <v>2017/18</v>
      </c>
      <c r="E13" s="363" t="str">
        <f>'Art_&amp;_Design_1'!E293</f>
        <v>2018/19</v>
      </c>
      <c r="F13" s="363" t="str">
        <f>'Art_&amp;_Design_1'!F293</f>
        <v>2019/20</v>
      </c>
      <c r="G13" s="363" t="str">
        <f>'Art_&amp;_Design_1'!G293</f>
        <v>2020/21</v>
      </c>
      <c r="H13" s="363" t="str">
        <f>'Art_&amp;_Design_1'!H293</f>
        <v>2021/22</v>
      </c>
      <c r="I13" s="363" t="str">
        <f>'Art_&amp;_Design_1'!I293</f>
        <v>2022/23</v>
      </c>
      <c r="J13" s="363" t="str">
        <f>'Art_&amp;_Design_1'!J293</f>
        <v>2023/24</v>
      </c>
      <c r="K13" s="363" t="str">
        <f>'Art_&amp;_Design_1'!K293</f>
        <v>2024/25</v>
      </c>
      <c r="L13" s="363" t="str">
        <f>'Art_&amp;_Design_1'!L293</f>
        <v>2025/26</v>
      </c>
      <c r="M13" s="363" t="str">
        <f>'Art_&amp;_Design_1'!M293</f>
        <v>2026/27</v>
      </c>
      <c r="N13" s="363" t="str">
        <f>'Art_&amp;_Design_1'!N293</f>
        <v>2027/28</v>
      </c>
      <c r="P13" s="384"/>
    </row>
    <row r="14" spans="1:26">
      <c r="B14" s="381" t="str">
        <f>Primary_1!B279</f>
        <v>Primary Leavers</v>
      </c>
      <c r="C14" s="282">
        <f>Primary_1!C279</f>
        <v>24480.216651135612</v>
      </c>
      <c r="D14" s="282">
        <f>Primary_1!D279</f>
        <v>24578.475696386551</v>
      </c>
      <c r="E14" s="282">
        <f>Primary_1!E279</f>
        <v>24557.665343385146</v>
      </c>
      <c r="F14" s="282">
        <f>Primary_1!F279</f>
        <v>24489.006125456497</v>
      </c>
      <c r="G14" s="282">
        <f>Primary_1!G279</f>
        <v>24393.522064596204</v>
      </c>
      <c r="H14" s="282">
        <f>Primary_1!H279</f>
        <v>24351.019964927753</v>
      </c>
      <c r="I14" s="282">
        <f>Primary_1!I279</f>
        <v>24313.92432163619</v>
      </c>
      <c r="J14" s="282">
        <f>Primary_1!J279</f>
        <v>24265.980578809656</v>
      </c>
      <c r="K14" s="282">
        <f>Primary_1!K279</f>
        <v>24213.306306154518</v>
      </c>
      <c r="L14" s="282">
        <f>Primary_1!L279</f>
        <v>24230.219712033257</v>
      </c>
      <c r="M14" s="282">
        <f>Primary_1!M279</f>
        <v>24295.593809340106</v>
      </c>
      <c r="N14" s="282">
        <f>Primary_1!N279</f>
        <v>24368.77359976435</v>
      </c>
      <c r="P14" s="385"/>
    </row>
    <row r="15" spans="1:26">
      <c r="B15" s="363" t="str">
        <f>'Art_&amp;_Design_1'!B279</f>
        <v>Art &amp; Design Leavers</v>
      </c>
      <c r="C15" s="282">
        <f>'Art_&amp;_Design_1'!C279</f>
        <v>911.63532725141374</v>
      </c>
      <c r="D15" s="282">
        <f>'Art_&amp;_Design_1'!D279</f>
        <v>896.5752694505353</v>
      </c>
      <c r="E15" s="282">
        <f>'Art_&amp;_Design_1'!E279</f>
        <v>895.85019534626258</v>
      </c>
      <c r="F15" s="282">
        <f>'Art_&amp;_Design_1'!F279</f>
        <v>884.53187899823195</v>
      </c>
      <c r="G15" s="282">
        <f>'Art_&amp;_Design_1'!G279</f>
        <v>875.96180546005689</v>
      </c>
      <c r="H15" s="282">
        <f>'Art_&amp;_Design_1'!H279</f>
        <v>879.73697945442382</v>
      </c>
      <c r="I15" s="282">
        <f>'Art_&amp;_Design_1'!I279</f>
        <v>885.19723670264818</v>
      </c>
      <c r="J15" s="282">
        <f>'Art_&amp;_Design_1'!J279</f>
        <v>890.74210978824499</v>
      </c>
      <c r="K15" s="282">
        <f>'Art_&amp;_Design_1'!K279</f>
        <v>897.08183130895895</v>
      </c>
      <c r="L15" s="282">
        <f>'Art_&amp;_Design_1'!L279</f>
        <v>898.71780033648997</v>
      </c>
      <c r="M15" s="282">
        <f>'Art_&amp;_Design_1'!M279</f>
        <v>896.24390963771771</v>
      </c>
      <c r="N15" s="282">
        <f>'Art_&amp;_Design_1'!N279</f>
        <v>892.04109954775254</v>
      </c>
      <c r="P15" s="383"/>
      <c r="Q15" s="383"/>
      <c r="R15" s="383"/>
      <c r="S15" s="383"/>
      <c r="T15" s="383"/>
      <c r="U15" s="383"/>
      <c r="V15" s="383"/>
      <c r="W15" s="383"/>
      <c r="X15" s="383"/>
      <c r="Y15" s="383"/>
      <c r="Z15" s="383"/>
    </row>
    <row r="16" spans="1:26">
      <c r="B16" s="363" t="str">
        <f>Biology_1!B279</f>
        <v>Biology Leavers</v>
      </c>
      <c r="C16" s="282">
        <f>Biology_1!C279</f>
        <v>1322.9866398082563</v>
      </c>
      <c r="D16" s="282">
        <f>Biology_1!D279</f>
        <v>1387.2916181410346</v>
      </c>
      <c r="E16" s="282">
        <f>Biology_1!E279</f>
        <v>1389.2049495935337</v>
      </c>
      <c r="F16" s="282">
        <f>Biology_1!F279</f>
        <v>1401.2797904940603</v>
      </c>
      <c r="G16" s="282">
        <f>Biology_1!G279</f>
        <v>1414.9995301965653</v>
      </c>
      <c r="H16" s="282">
        <f>Biology_1!H279</f>
        <v>1426.9218290267952</v>
      </c>
      <c r="I16" s="282">
        <f>Biology_1!I279</f>
        <v>1442.4144494850823</v>
      </c>
      <c r="J16" s="282">
        <f>Biology_1!J279</f>
        <v>1461.9112839987133</v>
      </c>
      <c r="K16" s="282">
        <f>Biology_1!K279</f>
        <v>1476.1841400079873</v>
      </c>
      <c r="L16" s="282">
        <f>Biology_1!L279</f>
        <v>1484.0789467403513</v>
      </c>
      <c r="M16" s="282">
        <f>Biology_1!M279</f>
        <v>1493.1410845314413</v>
      </c>
      <c r="N16" s="282">
        <f>Biology_1!N279</f>
        <v>1499.9636494630213</v>
      </c>
      <c r="P16" s="383"/>
      <c r="Q16" s="383"/>
      <c r="R16" s="383"/>
      <c r="S16" s="383"/>
      <c r="T16" s="383"/>
      <c r="U16" s="383"/>
      <c r="V16" s="383"/>
      <c r="W16" s="383"/>
      <c r="X16" s="383"/>
    </row>
    <row r="17" spans="2:24">
      <c r="B17" s="363" t="str">
        <f>Business_Studies_1!B279</f>
        <v>Business Studies Leavers</v>
      </c>
      <c r="C17" s="282">
        <f>Business_Studies_1!C279</f>
        <v>440.22891791401366</v>
      </c>
      <c r="D17" s="282">
        <f>Business_Studies_1!D279</f>
        <v>430.72635059878121</v>
      </c>
      <c r="E17" s="282">
        <f>Business_Studies_1!E279</f>
        <v>423.12166087913124</v>
      </c>
      <c r="F17" s="282">
        <f>Business_Studies_1!F279</f>
        <v>404.55959639083574</v>
      </c>
      <c r="G17" s="282">
        <f>Business_Studies_1!G279</f>
        <v>387.30737170768276</v>
      </c>
      <c r="H17" s="282">
        <f>Business_Studies_1!H279</f>
        <v>384.74485671096852</v>
      </c>
      <c r="I17" s="282">
        <f>Business_Studies_1!I279</f>
        <v>388.28198447762105</v>
      </c>
      <c r="J17" s="282">
        <f>Business_Studies_1!J279</f>
        <v>394.93749632225536</v>
      </c>
      <c r="K17" s="282">
        <f>Business_Studies_1!K279</f>
        <v>399.24754623374662</v>
      </c>
      <c r="L17" s="282">
        <f>Business_Studies_1!L279</f>
        <v>404.37008526252959</v>
      </c>
      <c r="M17" s="282">
        <f>Business_Studies_1!M279</f>
        <v>410.23178703066162</v>
      </c>
      <c r="N17" s="282">
        <f>Business_Studies_1!N279</f>
        <v>415.56049785685281</v>
      </c>
      <c r="P17" s="383"/>
      <c r="Q17" s="383"/>
      <c r="R17" s="383"/>
      <c r="S17" s="383"/>
      <c r="T17" s="383"/>
      <c r="U17" s="383"/>
      <c r="V17" s="383"/>
      <c r="W17" s="383"/>
      <c r="X17" s="383"/>
    </row>
    <row r="18" spans="2:24">
      <c r="B18" s="363" t="str">
        <f>Chemistry_1!B279</f>
        <v>Chemistry Leavers</v>
      </c>
      <c r="C18" s="282">
        <f>Chemistry_1!C279</f>
        <v>1190.9117191971227</v>
      </c>
      <c r="D18" s="282">
        <f>Chemistry_1!D279</f>
        <v>1238.8300897902864</v>
      </c>
      <c r="E18" s="282">
        <f>Chemistry_1!E279</f>
        <v>1238.9307635004859</v>
      </c>
      <c r="F18" s="282">
        <f>Chemistry_1!F279</f>
        <v>1247.3716147150742</v>
      </c>
      <c r="G18" s="282">
        <f>Chemistry_1!G279</f>
        <v>1255.8102268203659</v>
      </c>
      <c r="H18" s="282">
        <f>Chemistry_1!H279</f>
        <v>1262.0394150722227</v>
      </c>
      <c r="I18" s="282">
        <f>Chemistry_1!I279</f>
        <v>1271.4421490993409</v>
      </c>
      <c r="J18" s="282">
        <f>Chemistry_1!J279</f>
        <v>1284.5869920876103</v>
      </c>
      <c r="K18" s="282">
        <f>Chemistry_1!K279</f>
        <v>1292.5193535288254</v>
      </c>
      <c r="L18" s="282">
        <f>Chemistry_1!L279</f>
        <v>1295.3497923906443</v>
      </c>
      <c r="M18" s="282">
        <f>Chemistry_1!M279</f>
        <v>1300.6110687424775</v>
      </c>
      <c r="N18" s="282">
        <f>Chemistry_1!N279</f>
        <v>1304.4973944307153</v>
      </c>
      <c r="P18" s="383"/>
      <c r="Q18" s="383"/>
      <c r="R18" s="383"/>
      <c r="S18" s="383"/>
      <c r="T18" s="383"/>
      <c r="U18" s="383"/>
      <c r="V18" s="383"/>
      <c r="W18" s="383"/>
      <c r="X18" s="383"/>
    </row>
    <row r="19" spans="2:24">
      <c r="B19" s="363" t="str">
        <f>Classics_1!B279</f>
        <v>Classics Leavers</v>
      </c>
      <c r="C19" s="282">
        <f>Classics_1!C279</f>
        <v>45.908348981919545</v>
      </c>
      <c r="D19" s="282">
        <f>Classics_1!D279</f>
        <v>41.689777034301187</v>
      </c>
      <c r="E19" s="282">
        <f>Classics_1!E279</f>
        <v>38.984875147763262</v>
      </c>
      <c r="F19" s="282">
        <f>Classics_1!F279</f>
        <v>37.137822135873719</v>
      </c>
      <c r="G19" s="282">
        <f>Classics_1!G279</f>
        <v>35.931352614171864</v>
      </c>
      <c r="H19" s="282">
        <f>Classics_1!H279</f>
        <v>35.170654136799591</v>
      </c>
      <c r="I19" s="282">
        <f>Classics_1!I279</f>
        <v>34.776523738941123</v>
      </c>
      <c r="J19" s="282">
        <f>Classics_1!J279</f>
        <v>34.687943957879092</v>
      </c>
      <c r="K19" s="282">
        <f>Classics_1!K279</f>
        <v>34.721380288868154</v>
      </c>
      <c r="L19" s="282">
        <f>Classics_1!L279</f>
        <v>34.787661269613189</v>
      </c>
      <c r="M19" s="282">
        <f>Classics_1!M279</f>
        <v>34.822403032565312</v>
      </c>
      <c r="N19" s="282">
        <f>Classics_1!N279</f>
        <v>34.856242735737283</v>
      </c>
    </row>
    <row r="20" spans="2:24">
      <c r="B20" s="363" t="str">
        <f>Computing_1!B279</f>
        <v>Computing Leavers</v>
      </c>
      <c r="C20" s="282">
        <f>Computing_1!C279</f>
        <v>831.40871838497844</v>
      </c>
      <c r="D20" s="282">
        <f>Computing_1!D279</f>
        <v>819.1719771460871</v>
      </c>
      <c r="E20" s="282">
        <f>Computing_1!E279</f>
        <v>822.51423118106936</v>
      </c>
      <c r="F20" s="282">
        <f>Computing_1!F279</f>
        <v>797.74404058199116</v>
      </c>
      <c r="G20" s="282">
        <f>Computing_1!G279</f>
        <v>774.03332017097875</v>
      </c>
      <c r="H20" s="282">
        <f>Computing_1!H279</f>
        <v>775.59963872007688</v>
      </c>
      <c r="I20" s="282">
        <f>Computing_1!I279</f>
        <v>783.49554749694641</v>
      </c>
      <c r="J20" s="282">
        <f>Computing_1!J279</f>
        <v>791.68336183038775</v>
      </c>
      <c r="K20" s="282">
        <f>Computing_1!K279</f>
        <v>799.29720896500453</v>
      </c>
      <c r="L20" s="282">
        <f>Computing_1!L279</f>
        <v>802.68686471274737</v>
      </c>
      <c r="M20" s="282">
        <f>Computing_1!M279</f>
        <v>803.30096604071446</v>
      </c>
      <c r="N20" s="282">
        <f>Computing_1!N279</f>
        <v>802.3047747910955</v>
      </c>
      <c r="P20" s="383"/>
    </row>
    <row r="21" spans="2:24">
      <c r="B21" s="363" t="str">
        <f>'Design_&amp;_Technology_1'!B279</f>
        <v>Design &amp; Technology Leavers</v>
      </c>
      <c r="C21" s="282">
        <f>'Design_&amp;_Technology_1'!C279</f>
        <v>1256.3735489728915</v>
      </c>
      <c r="D21" s="282">
        <f>'Design_&amp;_Technology_1'!D279</f>
        <v>1225.1408138990064</v>
      </c>
      <c r="E21" s="282">
        <f>'Design_&amp;_Technology_1'!E279</f>
        <v>1204.9918839483114</v>
      </c>
      <c r="F21" s="282">
        <f>'Design_&amp;_Technology_1'!F279</f>
        <v>1153.7523515913174</v>
      </c>
      <c r="G21" s="282">
        <f>'Design_&amp;_Technology_1'!G279</f>
        <v>1108.6503990640635</v>
      </c>
      <c r="H21" s="282">
        <f>'Design_&amp;_Technology_1'!H279</f>
        <v>1092.4187195610525</v>
      </c>
      <c r="I21" s="282">
        <f>'Design_&amp;_Technology_1'!I279</f>
        <v>1086.6942056439093</v>
      </c>
      <c r="J21" s="282">
        <f>'Design_&amp;_Technology_1'!J279</f>
        <v>1081.5043915596264</v>
      </c>
      <c r="K21" s="282">
        <f>'Design_&amp;_Technology_1'!K279</f>
        <v>1080.8921108434306</v>
      </c>
      <c r="L21" s="282">
        <f>'Design_&amp;_Technology_1'!L279</f>
        <v>1074.5873274573271</v>
      </c>
      <c r="M21" s="282">
        <f>'Design_&amp;_Technology_1'!M279</f>
        <v>1063.2061874472704</v>
      </c>
      <c r="N21" s="282">
        <f>'Design_&amp;_Technology_1'!N279</f>
        <v>1050.7802383567109</v>
      </c>
      <c r="P21" s="383"/>
    </row>
    <row r="22" spans="2:24">
      <c r="B22" s="363" t="str">
        <f>Drama_1!B279</f>
        <v>Drama Leavers</v>
      </c>
      <c r="C22" s="282">
        <f>Drama_1!C279</f>
        <v>514.55432284894368</v>
      </c>
      <c r="D22" s="282">
        <f>Drama_1!D279</f>
        <v>507.29275139328416</v>
      </c>
      <c r="E22" s="282">
        <f>Drama_1!E279</f>
        <v>506.38906375025726</v>
      </c>
      <c r="F22" s="282">
        <f>Drama_1!F279</f>
        <v>503.51471962405287</v>
      </c>
      <c r="G22" s="282">
        <f>Drama_1!G279</f>
        <v>503.41597126955264</v>
      </c>
      <c r="H22" s="282">
        <f>Drama_1!H279</f>
        <v>504.17792077211618</v>
      </c>
      <c r="I22" s="282">
        <f>Drama_1!I279</f>
        <v>509.86540873056367</v>
      </c>
      <c r="J22" s="282">
        <f>Drama_1!J279</f>
        <v>515.74083990884469</v>
      </c>
      <c r="K22" s="282">
        <f>Drama_1!K279</f>
        <v>522.46647626143124</v>
      </c>
      <c r="L22" s="282">
        <f>Drama_1!L279</f>
        <v>526.10164305163676</v>
      </c>
      <c r="M22" s="282">
        <f>Drama_1!M279</f>
        <v>527.09565094999766</v>
      </c>
      <c r="N22" s="282">
        <f>Drama_1!N279</f>
        <v>526.87702983482382</v>
      </c>
      <c r="P22" s="383"/>
    </row>
    <row r="23" spans="2:24">
      <c r="B23" s="363" t="str">
        <f>English_1!B279</f>
        <v>English Leavers</v>
      </c>
      <c r="C23" s="282">
        <f>English_1!C279</f>
        <v>3317.3065464847987</v>
      </c>
      <c r="D23" s="282">
        <f>English_1!D279</f>
        <v>3311.4522274498577</v>
      </c>
      <c r="E23" s="282">
        <f>English_1!E279</f>
        <v>3295.2558806829338</v>
      </c>
      <c r="F23" s="282">
        <f>English_1!F279</f>
        <v>3303.8247895635436</v>
      </c>
      <c r="G23" s="282">
        <f>English_1!G279</f>
        <v>3321.9794105514275</v>
      </c>
      <c r="H23" s="282">
        <f>English_1!H279</f>
        <v>3337.448884654149</v>
      </c>
      <c r="I23" s="282">
        <f>English_1!I279</f>
        <v>3359.7582422308105</v>
      </c>
      <c r="J23" s="282">
        <f>English_1!J279</f>
        <v>3387.8151570893042</v>
      </c>
      <c r="K23" s="282">
        <f>English_1!K279</f>
        <v>3411.4883690848524</v>
      </c>
      <c r="L23" s="282">
        <f>English_1!L279</f>
        <v>3416.758287776041</v>
      </c>
      <c r="M23" s="282">
        <f>English_1!M279</f>
        <v>3420.8796701569358</v>
      </c>
      <c r="N23" s="282">
        <f>English_1!N279</f>
        <v>3420.4718204988367</v>
      </c>
    </row>
    <row r="24" spans="2:24">
      <c r="B24" s="363" t="str">
        <f>Food_1!B279</f>
        <v>Food Leavers</v>
      </c>
      <c r="C24" s="282">
        <f>Food_1!C279</f>
        <v>290.36442581182672</v>
      </c>
      <c r="D24" s="282">
        <f>Food_1!D279</f>
        <v>271.62590741019994</v>
      </c>
      <c r="E24" s="282">
        <f>Food_1!E279</f>
        <v>262.16061296348812</v>
      </c>
      <c r="F24" s="282">
        <f>Food_1!F279</f>
        <v>246.01242158201075</v>
      </c>
      <c r="G24" s="282">
        <f>Food_1!G279</f>
        <v>231.04643809048756</v>
      </c>
      <c r="H24" s="282">
        <f>Food_1!H279</f>
        <v>225.63100134345206</v>
      </c>
      <c r="I24" s="282">
        <f>Food_1!I279</f>
        <v>223.50296211597819</v>
      </c>
      <c r="J24" s="282">
        <f>Food_1!J279</f>
        <v>222.46522455647829</v>
      </c>
      <c r="K24" s="282">
        <f>Food_1!K279</f>
        <v>221.10485029873414</v>
      </c>
      <c r="L24" s="282">
        <f>Food_1!L279</f>
        <v>219.15613047244594</v>
      </c>
      <c r="M24" s="282">
        <f>Food_1!M279</f>
        <v>218.01352015243887</v>
      </c>
      <c r="N24" s="282">
        <f>Food_1!N279</f>
        <v>216.94335365489127</v>
      </c>
    </row>
    <row r="25" spans="2:24">
      <c r="B25" s="363" t="str">
        <f>Geography_1!B279</f>
        <v>Geography Leavers</v>
      </c>
      <c r="C25" s="282">
        <f>Geography_1!C279</f>
        <v>1120.0766451035138</v>
      </c>
      <c r="D25" s="282">
        <f>Geography_1!D279</f>
        <v>1103.0136488420408</v>
      </c>
      <c r="E25" s="282">
        <f>Geography_1!E279</f>
        <v>1100.0289701509305</v>
      </c>
      <c r="F25" s="282">
        <f>Geography_1!F279</f>
        <v>1136.319375032532</v>
      </c>
      <c r="G25" s="282">
        <f>Geography_1!G279</f>
        <v>1177.8645744669245</v>
      </c>
      <c r="H25" s="282">
        <f>Geography_1!H279</f>
        <v>1191.8792146251897</v>
      </c>
      <c r="I25" s="282">
        <f>Geography_1!I279</f>
        <v>1202.010444938092</v>
      </c>
      <c r="J25" s="282">
        <f>Geography_1!J279</f>
        <v>1213.2208577836529</v>
      </c>
      <c r="K25" s="282">
        <f>Geography_1!K279</f>
        <v>1225.0738955961892</v>
      </c>
      <c r="L25" s="282">
        <f>Geography_1!L279</f>
        <v>1229.5676158004023</v>
      </c>
      <c r="M25" s="282">
        <f>Geography_1!M279</f>
        <v>1230.3867560037511</v>
      </c>
      <c r="N25" s="282">
        <f>Geography_1!N279</f>
        <v>1228.9487883411109</v>
      </c>
    </row>
    <row r="26" spans="2:24">
      <c r="B26" s="363" t="str">
        <f>History_1!B279</f>
        <v>History Leavers</v>
      </c>
      <c r="C26" s="282">
        <f>History_1!C279</f>
        <v>1208.1805340343672</v>
      </c>
      <c r="D26" s="282">
        <f>History_1!D279</f>
        <v>1178.6203359448532</v>
      </c>
      <c r="E26" s="282">
        <f>History_1!E279</f>
        <v>1174.0100262695148</v>
      </c>
      <c r="F26" s="282">
        <f>History_1!F279</f>
        <v>1203.8952835104446</v>
      </c>
      <c r="G26" s="282">
        <f>History_1!G279</f>
        <v>1239.3025281005016</v>
      </c>
      <c r="H26" s="282">
        <f>History_1!H279</f>
        <v>1249.9698581302828</v>
      </c>
      <c r="I26" s="282">
        <f>History_1!I279</f>
        <v>1260.3523666766032</v>
      </c>
      <c r="J26" s="282">
        <f>History_1!J279</f>
        <v>1272.1956953078229</v>
      </c>
      <c r="K26" s="282">
        <f>History_1!K279</f>
        <v>1284.3241375378364</v>
      </c>
      <c r="L26" s="282">
        <f>History_1!L279</f>
        <v>1289.3114869215522</v>
      </c>
      <c r="M26" s="282">
        <f>History_1!M279</f>
        <v>1290.6829784554575</v>
      </c>
      <c r="N26" s="282">
        <f>History_1!N279</f>
        <v>1289.7828163477175</v>
      </c>
    </row>
    <row r="27" spans="2:24">
      <c r="B27" s="363" t="str">
        <f>Mathematics_1!B279</f>
        <v>Mathematics Leavers</v>
      </c>
      <c r="C27" s="282">
        <f>Mathematics_1!C279</f>
        <v>3554.9436771751098</v>
      </c>
      <c r="D27" s="282">
        <f>Mathematics_1!D279</f>
        <v>3613.770064233694</v>
      </c>
      <c r="E27" s="282">
        <f>Mathematics_1!E279</f>
        <v>3626.2693688525651</v>
      </c>
      <c r="F27" s="282">
        <f>Mathematics_1!F279</f>
        <v>3634.4322224747184</v>
      </c>
      <c r="G27" s="282">
        <f>Mathematics_1!G279</f>
        <v>3655.2630632906034</v>
      </c>
      <c r="H27" s="282">
        <f>Mathematics_1!H279</f>
        <v>3674.914699109228</v>
      </c>
      <c r="I27" s="282">
        <f>Mathematics_1!I279</f>
        <v>3685.4470150784064</v>
      </c>
      <c r="J27" s="282">
        <f>Mathematics_1!J279</f>
        <v>3702.1520558875773</v>
      </c>
      <c r="K27" s="282">
        <f>Mathematics_1!K279</f>
        <v>3715.034506203514</v>
      </c>
      <c r="L27" s="282">
        <f>Mathematics_1!L279</f>
        <v>3709.7571620466215</v>
      </c>
      <c r="M27" s="282">
        <f>Mathematics_1!M279</f>
        <v>3703.2762577767735</v>
      </c>
      <c r="N27" s="282">
        <f>Mathematics_1!N279</f>
        <v>3693.3218872689404</v>
      </c>
    </row>
    <row r="28" spans="2:24">
      <c r="B28" s="363" t="str">
        <f>Modern_Foreign_Languages_1!B279</f>
        <v>Modern Foreign Languages Leavers</v>
      </c>
      <c r="C28" s="282">
        <f>Modern_Foreign_Languages_1!C279</f>
        <v>1713.2266030312906</v>
      </c>
      <c r="D28" s="282">
        <f>Modern_Foreign_Languages_1!D279</f>
        <v>1684.0591047576163</v>
      </c>
      <c r="E28" s="282">
        <f>Modern_Foreign_Languages_1!E279</f>
        <v>1682.8510506965458</v>
      </c>
      <c r="F28" s="282">
        <f>Modern_Foreign_Languages_1!F279</f>
        <v>1832.8004348265104</v>
      </c>
      <c r="G28" s="282">
        <f>Modern_Foreign_Languages_1!G279</f>
        <v>1989.3443939360545</v>
      </c>
      <c r="H28" s="282">
        <f>Modern_Foreign_Languages_1!H279</f>
        <v>2040.6795112984478</v>
      </c>
      <c r="I28" s="282">
        <f>Modern_Foreign_Languages_1!I279</f>
        <v>2047.5060343240218</v>
      </c>
      <c r="J28" s="282">
        <f>Modern_Foreign_Languages_1!J279</f>
        <v>2055.1445833193247</v>
      </c>
      <c r="K28" s="282">
        <f>Modern_Foreign_Languages_1!K279</f>
        <v>2064.0570307236067</v>
      </c>
      <c r="L28" s="282">
        <f>Modern_Foreign_Languages_1!L279</f>
        <v>2060.3556009370413</v>
      </c>
      <c r="M28" s="282">
        <f>Modern_Foreign_Languages_1!M279</f>
        <v>2051.5507796565535</v>
      </c>
      <c r="N28" s="282">
        <f>Modern_Foreign_Languages_1!N279</f>
        <v>2039.8330487791804</v>
      </c>
    </row>
    <row r="29" spans="2:24">
      <c r="B29" s="363" t="str">
        <f>Music_1!B279</f>
        <v>Music Leavers</v>
      </c>
      <c r="C29" s="282">
        <f>Music_1!C279</f>
        <v>525.99415964656555</v>
      </c>
      <c r="D29" s="282">
        <f>Music_1!D279</f>
        <v>521.33732471443295</v>
      </c>
      <c r="E29" s="282">
        <f>Music_1!E279</f>
        <v>522.50589070685419</v>
      </c>
      <c r="F29" s="282">
        <f>Music_1!F279</f>
        <v>525.50773761594564</v>
      </c>
      <c r="G29" s="282">
        <f>Music_1!G279</f>
        <v>531.26491245548505</v>
      </c>
      <c r="H29" s="282">
        <f>Music_1!H279</f>
        <v>536.39575570413922</v>
      </c>
      <c r="I29" s="282">
        <f>Music_1!I279</f>
        <v>540.64461777913755</v>
      </c>
      <c r="J29" s="282">
        <f>Music_1!J279</f>
        <v>544.35211763902646</v>
      </c>
      <c r="K29" s="282">
        <f>Music_1!K279</f>
        <v>550.23707856745682</v>
      </c>
      <c r="L29" s="282">
        <f>Music_1!L279</f>
        <v>552.36604989215368</v>
      </c>
      <c r="M29" s="282">
        <f>Music_1!M279</f>
        <v>550.63419890578064</v>
      </c>
      <c r="N29" s="282">
        <f>Music_1!N279</f>
        <v>547.67227350477333</v>
      </c>
      <c r="Q29" s="479"/>
      <c r="R29" s="479"/>
      <c r="S29" s="479"/>
    </row>
    <row r="30" spans="2:24">
      <c r="B30" s="363" t="str">
        <f>Others_1!B279</f>
        <v>Others Leavers</v>
      </c>
      <c r="C30" s="282">
        <f>Others_1!C279</f>
        <v>1636.1252969016491</v>
      </c>
      <c r="D30" s="282">
        <f>Others_1!D279</f>
        <v>1580.3605873334941</v>
      </c>
      <c r="E30" s="282">
        <f>Others_1!E279</f>
        <v>1531.2148413748926</v>
      </c>
      <c r="F30" s="282">
        <f>Others_1!F279</f>
        <v>1452.3055038220498</v>
      </c>
      <c r="G30" s="282">
        <f>Others_1!G279</f>
        <v>1386.7539652391026</v>
      </c>
      <c r="H30" s="282">
        <f>Others_1!H279</f>
        <v>1362.4969362291126</v>
      </c>
      <c r="I30" s="282">
        <f>Others_1!I279</f>
        <v>1366.119773978945</v>
      </c>
      <c r="J30" s="282">
        <f>Others_1!J279</f>
        <v>1379.8084239210366</v>
      </c>
      <c r="K30" s="282">
        <f>Others_1!K279</f>
        <v>1393.0004604874791</v>
      </c>
      <c r="L30" s="282">
        <f>Others_1!L279</f>
        <v>1408.0425281337712</v>
      </c>
      <c r="M30" s="282">
        <f>Others_1!M279</f>
        <v>1420.2895051107423</v>
      </c>
      <c r="N30" s="282">
        <f>Others_1!N279</f>
        <v>1430.7921918934735</v>
      </c>
      <c r="Q30" s="479"/>
      <c r="R30" s="479"/>
      <c r="S30" s="479"/>
    </row>
    <row r="31" spans="2:24">
      <c r="B31" s="363" t="str">
        <f>Physical_Education_1!B279</f>
        <v>Physical Education Leavers</v>
      </c>
      <c r="C31" s="282">
        <f>Physical_Education_1!C279</f>
        <v>1590.9190332360974</v>
      </c>
      <c r="D31" s="282">
        <f>Physical_Education_1!D279</f>
        <v>1566.679272105167</v>
      </c>
      <c r="E31" s="282">
        <f>Physical_Education_1!E279</f>
        <v>1580.6906999005325</v>
      </c>
      <c r="F31" s="282">
        <f>Physical_Education_1!F279</f>
        <v>1575.6102364556696</v>
      </c>
      <c r="G31" s="282">
        <f>Physical_Education_1!G279</f>
        <v>1573.794537509315</v>
      </c>
      <c r="H31" s="282">
        <f>Physical_Education_1!H279</f>
        <v>1593.8331139465799</v>
      </c>
      <c r="I31" s="282">
        <f>Physical_Education_1!I279</f>
        <v>1621.828549759101</v>
      </c>
      <c r="J31" s="282">
        <f>Physical_Education_1!J279</f>
        <v>1650.4165061696544</v>
      </c>
      <c r="K31" s="282">
        <f>Physical_Education_1!K279</f>
        <v>1677.2783572216026</v>
      </c>
      <c r="L31" s="282">
        <f>Physical_Education_1!L279</f>
        <v>1693.0515039833483</v>
      </c>
      <c r="M31" s="282">
        <f>Physical_Education_1!M279</f>
        <v>1704.3370747191047</v>
      </c>
      <c r="N31" s="282">
        <f>Physical_Education_1!N279</f>
        <v>1711.5614786259048</v>
      </c>
      <c r="Q31" s="479"/>
      <c r="R31" s="479"/>
      <c r="S31" s="479"/>
    </row>
    <row r="32" spans="2:24">
      <c r="B32" s="363" t="str">
        <f>Physics_1!B279</f>
        <v>Physics Leavers</v>
      </c>
      <c r="C32" s="282">
        <f>Physics_1!C279</f>
        <v>1171.1143630990252</v>
      </c>
      <c r="D32" s="282">
        <f>Physics_1!D279</f>
        <v>1215.3970277037477</v>
      </c>
      <c r="E32" s="282">
        <f>Physics_1!E279</f>
        <v>1214.2169363500307</v>
      </c>
      <c r="F32" s="282">
        <f>Physics_1!F279</f>
        <v>1222.1620281554162</v>
      </c>
      <c r="G32" s="282">
        <f>Physics_1!G279</f>
        <v>1229.3569625222797</v>
      </c>
      <c r="H32" s="282">
        <f>Physics_1!H279</f>
        <v>1233.5813967928104</v>
      </c>
      <c r="I32" s="282">
        <f>Physics_1!I279</f>
        <v>1240.6078761684762</v>
      </c>
      <c r="J32" s="282">
        <f>Physics_1!J279</f>
        <v>1251.1481357386604</v>
      </c>
      <c r="K32" s="282">
        <f>Physics_1!K279</f>
        <v>1256.3093115081672</v>
      </c>
      <c r="L32" s="282">
        <f>Physics_1!L279</f>
        <v>1256.4446156661961</v>
      </c>
      <c r="M32" s="282">
        <f>Physics_1!M279</f>
        <v>1259.8482603651605</v>
      </c>
      <c r="N32" s="282">
        <f>Physics_1!N279</f>
        <v>1262.2552810079767</v>
      </c>
      <c r="Q32" s="479"/>
      <c r="R32" s="479"/>
      <c r="S32" s="479"/>
    </row>
    <row r="33" spans="2:14">
      <c r="B33" s="363" t="str">
        <f>Religious_Education_1!B279</f>
        <v>Religious Education Leavers</v>
      </c>
      <c r="C33" s="282">
        <f>Religious_Education_1!C279</f>
        <v>820.78495278624473</v>
      </c>
      <c r="D33" s="282">
        <f>Religious_Education_1!D279</f>
        <v>799.05992132943788</v>
      </c>
      <c r="E33" s="282">
        <f>Religious_Education_1!E279</f>
        <v>789.69141552929318</v>
      </c>
      <c r="F33" s="282">
        <f>Religious_Education_1!F279</f>
        <v>786.92739531882148</v>
      </c>
      <c r="G33" s="282">
        <f>Religious_Education_1!G279</f>
        <v>787.74696402176733</v>
      </c>
      <c r="H33" s="282">
        <f>Religious_Education_1!H279</f>
        <v>789.94307909232271</v>
      </c>
      <c r="I33" s="282">
        <f>Religious_Education_1!I279</f>
        <v>793.49770106530468</v>
      </c>
      <c r="J33" s="282">
        <f>Religious_Education_1!J279</f>
        <v>798.56121350272588</v>
      </c>
      <c r="K33" s="282">
        <f>Religious_Education_1!K279</f>
        <v>803.8330052063327</v>
      </c>
      <c r="L33" s="282">
        <f>Religious_Education_1!L279</f>
        <v>805.08454469278854</v>
      </c>
      <c r="M33" s="282">
        <f>Religious_Education_1!M279</f>
        <v>804.97135992047311</v>
      </c>
      <c r="N33" s="282">
        <f>Religious_Education_1!N279</f>
        <v>803.75614305703095</v>
      </c>
    </row>
    <row r="34" spans="2:14">
      <c r="B34" s="326" t="s">
        <v>319</v>
      </c>
      <c r="C34" s="324">
        <f>SUM(C14:C33)</f>
        <v>47943.260431805633</v>
      </c>
      <c r="D34" s="324">
        <f t="shared" ref="D34:N34" si="0">SUM(D14:D33)</f>
        <v>47970.569765664412</v>
      </c>
      <c r="E34" s="324">
        <f t="shared" si="0"/>
        <v>47856.548660209533</v>
      </c>
      <c r="F34" s="324">
        <f t="shared" si="0"/>
        <v>47838.695368345587</v>
      </c>
      <c r="G34" s="324">
        <f t="shared" si="0"/>
        <v>47873.349792083594</v>
      </c>
      <c r="H34" s="324">
        <f t="shared" si="0"/>
        <v>47948.603429307914</v>
      </c>
      <c r="I34" s="324">
        <f t="shared" si="0"/>
        <v>48057.367411126099</v>
      </c>
      <c r="J34" s="324">
        <f t="shared" si="0"/>
        <v>48199.054969178484</v>
      </c>
      <c r="K34" s="324">
        <f t="shared" si="0"/>
        <v>48317.457356028521</v>
      </c>
      <c r="L34" s="324">
        <f t="shared" si="0"/>
        <v>48390.79535957695</v>
      </c>
      <c r="M34" s="324">
        <f t="shared" si="0"/>
        <v>48479.117227976123</v>
      </c>
      <c r="N34" s="324">
        <f t="shared" si="0"/>
        <v>48540.993609760895</v>
      </c>
    </row>
  </sheetData>
  <hyperlinks>
    <hyperlink ref="A2" location="'Title_&amp;_Contents'!A1" display="Contents"/>
    <hyperlink ref="B2" location="Map_of_sheets!A1" display="Map of sheets"/>
  </hyperlinks>
  <pageMargins left="0.7" right="0.7" top="0.75" bottom="0.75" header="0.3" footer="0.3"/>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655"/>
  <sheetViews>
    <sheetView showGridLines="0" zoomScaleNormal="100" workbookViewId="0"/>
  </sheetViews>
  <sheetFormatPr defaultColWidth="9.140625" defaultRowHeight="12.75"/>
  <cols>
    <col min="1" max="1" width="9.140625" style="309"/>
    <col min="2" max="2" width="35" style="309" customWidth="1"/>
    <col min="3" max="22" width="9.7109375" style="309" customWidth="1"/>
    <col min="23" max="16384" width="9.140625" style="309"/>
  </cols>
  <sheetData>
    <row r="1" spans="1:22" s="344" customFormat="1" ht="15">
      <c r="A1" s="343" t="str">
        <f>ModelBanner</f>
        <v>TSM_201718 for publication</v>
      </c>
    </row>
    <row r="2" spans="1:22" s="344" customFormat="1" ht="15">
      <c r="A2" s="1003" t="s">
        <v>13</v>
      </c>
      <c r="B2" s="1003" t="s">
        <v>30</v>
      </c>
      <c r="Q2" s="492"/>
      <c r="R2" s="492"/>
      <c r="S2" s="492"/>
      <c r="T2" s="492"/>
      <c r="U2" s="492"/>
      <c r="V2" s="492"/>
    </row>
    <row r="3" spans="1:22" s="344" customFormat="1" ht="15">
      <c r="A3" s="345"/>
      <c r="Q3" s="492"/>
      <c r="R3" s="492"/>
      <c r="S3" s="492"/>
      <c r="T3" s="492"/>
      <c r="U3" s="492"/>
      <c r="V3" s="492"/>
    </row>
    <row r="4" spans="1:22" s="348" customFormat="1" ht="15">
      <c r="A4" s="346" t="s">
        <v>26</v>
      </c>
      <c r="B4" s="346"/>
      <c r="E4" s="344"/>
      <c r="Q4" s="492"/>
      <c r="R4" s="492"/>
      <c r="S4" s="492"/>
      <c r="T4" s="492"/>
      <c r="U4" s="492"/>
      <c r="V4" s="492"/>
    </row>
    <row r="5" spans="1:22" s="350" customFormat="1" ht="13.9" customHeight="1">
      <c r="A5" s="706" t="s">
        <v>888</v>
      </c>
      <c r="B5" s="706"/>
      <c r="C5" s="706"/>
      <c r="D5" s="706"/>
      <c r="E5" s="706"/>
      <c r="F5" s="706"/>
      <c r="G5" s="706"/>
      <c r="H5" s="706"/>
      <c r="I5" s="706"/>
      <c r="J5" s="706"/>
      <c r="K5" s="706"/>
      <c r="L5" s="706"/>
      <c r="M5" s="349"/>
      <c r="N5" s="349"/>
      <c r="O5" s="349"/>
      <c r="P5" s="349"/>
      <c r="Q5" s="492"/>
      <c r="R5" s="492"/>
      <c r="S5" s="492"/>
      <c r="T5" s="492"/>
      <c r="U5" s="492"/>
      <c r="V5" s="492"/>
    </row>
    <row r="6" spans="1:22" s="354" customFormat="1" ht="15">
      <c r="A6" s="351" t="s">
        <v>1420</v>
      </c>
      <c r="B6" s="352"/>
      <c r="C6" s="353"/>
      <c r="D6" s="353"/>
      <c r="E6" s="344"/>
      <c r="F6" s="353"/>
      <c r="G6" s="353"/>
      <c r="H6" s="353"/>
      <c r="I6" s="353"/>
      <c r="J6" s="353"/>
      <c r="K6" s="353"/>
      <c r="L6" s="353"/>
      <c r="M6" s="353"/>
      <c r="N6" s="353"/>
      <c r="O6" s="353"/>
      <c r="P6" s="353"/>
      <c r="Q6" s="492"/>
      <c r="R6" s="492"/>
      <c r="S6" s="492"/>
      <c r="T6" s="492"/>
      <c r="U6" s="492"/>
      <c r="V6" s="492"/>
    </row>
    <row r="7" spans="1:22" s="354" customFormat="1" ht="15">
      <c r="A7" s="355" t="s">
        <v>889</v>
      </c>
      <c r="B7" s="351"/>
      <c r="C7" s="353"/>
      <c r="D7" s="353"/>
      <c r="E7" s="344"/>
      <c r="F7" s="353"/>
      <c r="G7" s="353"/>
      <c r="H7" s="353"/>
      <c r="I7" s="353"/>
      <c r="J7" s="353"/>
      <c r="K7" s="353"/>
      <c r="L7" s="353"/>
      <c r="M7" s="353"/>
      <c r="N7" s="353"/>
      <c r="O7" s="353"/>
      <c r="P7" s="353"/>
      <c r="Q7" s="492"/>
      <c r="R7" s="492"/>
      <c r="S7" s="492"/>
      <c r="T7" s="492"/>
      <c r="U7" s="492"/>
      <c r="V7" s="492"/>
    </row>
    <row r="8" spans="1:22" s="354" customFormat="1" ht="15">
      <c r="A8" s="351" t="s">
        <v>24</v>
      </c>
      <c r="B8" s="352"/>
      <c r="C8" s="567"/>
      <c r="D8" s="353"/>
      <c r="E8" s="344"/>
      <c r="F8" s="353"/>
      <c r="G8" s="353"/>
      <c r="H8" s="353"/>
      <c r="I8" s="353"/>
      <c r="J8" s="353"/>
      <c r="K8" s="353"/>
      <c r="L8" s="353"/>
      <c r="M8" s="353"/>
      <c r="N8" s="353"/>
      <c r="O8" s="353"/>
      <c r="P8" s="353"/>
      <c r="Q8" s="492"/>
      <c r="R8" s="492"/>
      <c r="S8" s="492"/>
      <c r="T8" s="492"/>
      <c r="U8" s="492"/>
      <c r="V8" s="492"/>
    </row>
    <row r="9" spans="1:22" s="354" customFormat="1" ht="15">
      <c r="A9" s="355" t="s">
        <v>119</v>
      </c>
      <c r="B9" s="352"/>
      <c r="C9" s="353"/>
      <c r="D9" s="353"/>
      <c r="E9" s="344"/>
      <c r="F9" s="353"/>
      <c r="G9" s="353"/>
      <c r="H9" s="353"/>
      <c r="I9" s="353"/>
      <c r="J9" s="353"/>
      <c r="K9" s="353"/>
      <c r="L9" s="353"/>
      <c r="M9" s="353"/>
      <c r="N9" s="353"/>
      <c r="O9" s="353"/>
      <c r="P9" s="353"/>
      <c r="Q9" s="492"/>
      <c r="R9" s="492"/>
      <c r="S9" s="492"/>
      <c r="T9" s="492"/>
      <c r="U9" s="492"/>
      <c r="V9" s="492"/>
    </row>
    <row r="10" spans="1:22" s="362" customFormat="1" ht="13.5" customHeight="1">
      <c r="A10" s="356">
        <f>SUM(A12:A2123)</f>
        <v>0</v>
      </c>
      <c r="B10" s="357"/>
      <c r="C10" s="358"/>
      <c r="D10" s="359"/>
      <c r="E10" s="359"/>
      <c r="F10" s="359"/>
      <c r="G10" s="360"/>
      <c r="H10" s="359"/>
      <c r="I10" s="359"/>
      <c r="J10" s="360"/>
      <c r="K10" s="361"/>
      <c r="L10" s="361"/>
      <c r="M10" s="361"/>
      <c r="N10" s="361"/>
      <c r="O10" s="361"/>
      <c r="P10" s="361"/>
    </row>
    <row r="12" spans="1:22">
      <c r="B12" s="705" t="s">
        <v>1442</v>
      </c>
    </row>
    <row r="14" spans="1:22">
      <c r="B14" s="714" t="s">
        <v>974</v>
      </c>
    </row>
    <row r="15" spans="1:22">
      <c r="B15" s="714"/>
    </row>
    <row r="16" spans="1:22">
      <c r="B16" s="714" t="s">
        <v>1437</v>
      </c>
    </row>
    <row r="17" spans="2:20">
      <c r="B17" s="714"/>
    </row>
    <row r="18" spans="2:20">
      <c r="B18" s="714" t="s">
        <v>1438</v>
      </c>
      <c r="G18" s="275"/>
    </row>
    <row r="19" spans="2:20">
      <c r="B19" s="714"/>
      <c r="G19" s="275"/>
    </row>
    <row r="20" spans="2:20">
      <c r="B20" s="842" t="s">
        <v>1175</v>
      </c>
      <c r="G20" s="275"/>
    </row>
    <row r="21" spans="2:20">
      <c r="B21" s="714"/>
      <c r="G21" s="275"/>
    </row>
    <row r="22" spans="2:20">
      <c r="B22" s="341" t="s">
        <v>917</v>
      </c>
      <c r="G22" s="275"/>
    </row>
    <row r="24" spans="2:20">
      <c r="B24" s="326" t="s">
        <v>352</v>
      </c>
      <c r="C24" s="709" t="s">
        <v>128</v>
      </c>
      <c r="D24" s="709" t="s">
        <v>129</v>
      </c>
      <c r="E24" s="709" t="s">
        <v>130</v>
      </c>
      <c r="F24" s="709" t="s">
        <v>131</v>
      </c>
      <c r="G24" s="709" t="s">
        <v>132</v>
      </c>
      <c r="H24" s="709" t="s">
        <v>133</v>
      </c>
      <c r="I24" s="709" t="s">
        <v>134</v>
      </c>
      <c r="J24" s="709" t="s">
        <v>135</v>
      </c>
      <c r="K24" s="709" t="s">
        <v>136</v>
      </c>
      <c r="L24" s="709" t="s">
        <v>137</v>
      </c>
      <c r="M24" s="709" t="s">
        <v>138</v>
      </c>
      <c r="N24" s="709" t="s">
        <v>139</v>
      </c>
      <c r="O24" s="709" t="s">
        <v>140</v>
      </c>
      <c r="P24" s="709" t="s">
        <v>141</v>
      </c>
      <c r="Q24" s="709" t="s">
        <v>170</v>
      </c>
      <c r="R24" s="709" t="s">
        <v>171</v>
      </c>
      <c r="S24" s="709" t="s">
        <v>172</v>
      </c>
      <c r="T24" s="709" t="s">
        <v>1099</v>
      </c>
    </row>
    <row r="25" spans="2:20">
      <c r="B25" s="326" t="s">
        <v>890</v>
      </c>
      <c r="C25" s="444">
        <v>216803.06543690819</v>
      </c>
      <c r="D25" s="307">
        <f>RAW_DATA_INPUTS!I176+RAW_DATA_INPUTS!I142</f>
        <v>219759.26699999999</v>
      </c>
      <c r="E25" s="307">
        <f>RAW_DATA_INPUTS!J176+RAW_DATA_INPUTS!J142</f>
        <v>225310.86400000003</v>
      </c>
      <c r="F25" s="307">
        <f>RAW_DATA_INPUTS!K176+RAW_DATA_INPUTS!K142</f>
        <v>230422.14699999997</v>
      </c>
      <c r="G25" s="307">
        <f>RAW_DATA_INPUTS!L176+RAW_DATA_INPUTS!L142</f>
        <v>235423.22499999998</v>
      </c>
      <c r="H25" s="307">
        <f>RAW_DATA_INPUTS!AR50+RAW_DATA_INPUTS!AQ50</f>
        <v>239231.65000000002</v>
      </c>
      <c r="I25" s="710"/>
      <c r="J25" s="710"/>
      <c r="K25" s="710"/>
      <c r="L25" s="710"/>
      <c r="M25" s="710"/>
      <c r="N25" s="710"/>
      <c r="O25" s="710"/>
      <c r="P25" s="710"/>
      <c r="Q25" s="710"/>
      <c r="R25" s="710"/>
      <c r="S25" s="710"/>
      <c r="T25" s="710"/>
    </row>
    <row r="26" spans="2:20">
      <c r="B26" s="326" t="s">
        <v>891</v>
      </c>
      <c r="C26" s="324"/>
      <c r="D26" s="324"/>
      <c r="E26" s="324"/>
      <c r="F26" s="324"/>
      <c r="G26" s="324"/>
      <c r="H26" s="324">
        <f>H25</f>
        <v>239231.65000000002</v>
      </c>
      <c r="I26" s="324">
        <f>Teacher_need_figures!C14</f>
        <v>242289.97801032916</v>
      </c>
      <c r="J26" s="324">
        <f>Teacher_need_figures!D14</f>
        <v>243816.50498787969</v>
      </c>
      <c r="K26" s="324">
        <f>Teacher_need_figures!E14</f>
        <v>244473.00051685341</v>
      </c>
      <c r="L26" s="324">
        <f>Teacher_need_figures!F14</f>
        <v>244493.08548462985</v>
      </c>
      <c r="M26" s="324">
        <f>Teacher_need_figures!G14</f>
        <v>244756.56223781532</v>
      </c>
      <c r="N26" s="324">
        <f>Teacher_need_figures!H14</f>
        <v>244837.80568339408</v>
      </c>
      <c r="O26" s="324">
        <f>Teacher_need_figures!I14</f>
        <v>244626.1931197551</v>
      </c>
      <c r="P26" s="324">
        <f>Teacher_need_figures!J14</f>
        <v>244233.40708441578</v>
      </c>
      <c r="Q26" s="324">
        <f>Teacher_need_figures!K14</f>
        <v>244470.60548841688</v>
      </c>
      <c r="R26" s="324">
        <f>Teacher_need_figures!L14</f>
        <v>245157.17144903576</v>
      </c>
      <c r="S26" s="324">
        <f>Teacher_need_figures!M14</f>
        <v>245898.02721211434</v>
      </c>
      <c r="T26" s="324">
        <f>Teacher_need_figures!N14</f>
        <v>246453.8722658148</v>
      </c>
    </row>
    <row r="27" spans="2:20">
      <c r="B27" s="326" t="s">
        <v>892</v>
      </c>
      <c r="C27" s="444">
        <v>221900.66049640172</v>
      </c>
      <c r="D27" s="307">
        <f>RAW_DATA_INPUTS!C176+RAW_DATA_INPUTS!C142</f>
        <v>219183.60100000002</v>
      </c>
      <c r="E27" s="307">
        <f>RAW_DATA_INPUTS!D176+RAW_DATA_INPUTS!D142</f>
        <v>219944.09100000001</v>
      </c>
      <c r="F27" s="307">
        <f>RAW_DATA_INPUTS!E176+RAW_DATA_INPUTS!E142</f>
        <v>217824.14799999999</v>
      </c>
      <c r="G27" s="307">
        <f>RAW_DATA_INPUTS!F176+RAW_DATA_INPUTS!F142</f>
        <v>215663.67299999998</v>
      </c>
      <c r="H27" s="307">
        <f>RAW_DATA_INPUTS!AO50+RAW_DATA_INPUTS!AP50</f>
        <v>212113.06730178863</v>
      </c>
      <c r="I27" s="710"/>
      <c r="J27" s="710"/>
      <c r="K27" s="710"/>
      <c r="L27" s="710"/>
      <c r="M27" s="710"/>
      <c r="N27" s="710"/>
      <c r="O27" s="710"/>
      <c r="P27" s="710"/>
      <c r="Q27" s="710"/>
      <c r="R27" s="710"/>
      <c r="S27" s="710"/>
      <c r="T27" s="710"/>
    </row>
    <row r="28" spans="2:20">
      <c r="B28" s="326" t="s">
        <v>893</v>
      </c>
      <c r="C28" s="324"/>
      <c r="D28" s="324"/>
      <c r="E28" s="324"/>
      <c r="F28" s="324"/>
      <c r="G28" s="711"/>
      <c r="H28" s="324">
        <f>H27</f>
        <v>212113.06730178863</v>
      </c>
      <c r="I28" s="324">
        <f>Teacher_need_figures!C34</f>
        <v>213976.00504540943</v>
      </c>
      <c r="J28" s="324">
        <f>Teacher_need_figures!D34</f>
        <v>215448.23496505464</v>
      </c>
      <c r="K28" s="324">
        <f>Teacher_need_figures!E34</f>
        <v>217665.58493798462</v>
      </c>
      <c r="L28" s="324">
        <f>Teacher_need_figures!F34</f>
        <v>220113.00223502028</v>
      </c>
      <c r="M28" s="324">
        <f>Teacher_need_figures!G34</f>
        <v>222083.21597704067</v>
      </c>
      <c r="N28" s="324">
        <f>Teacher_need_figures!H34</f>
        <v>224012.64325451854</v>
      </c>
      <c r="O28" s="324">
        <f>Teacher_need_figures!I34</f>
        <v>226115.09681652434</v>
      </c>
      <c r="P28" s="324">
        <f>Teacher_need_figures!J34</f>
        <v>227913.16234106064</v>
      </c>
      <c r="Q28" s="324">
        <f>Teacher_need_figures!K34</f>
        <v>228568.5499006052</v>
      </c>
      <c r="R28" s="324">
        <f>Teacher_need_figures!L34</f>
        <v>228824.14188092307</v>
      </c>
      <c r="S28" s="324">
        <f>Teacher_need_figures!M34</f>
        <v>228710.60157528741</v>
      </c>
      <c r="T28" s="324">
        <f>Teacher_need_figures!N34</f>
        <v>228387.83509911041</v>
      </c>
    </row>
    <row r="50" spans="2:22">
      <c r="B50" s="341" t="s">
        <v>918</v>
      </c>
      <c r="C50" s="325"/>
      <c r="G50" s="275"/>
    </row>
    <row r="52" spans="2:22">
      <c r="B52" s="326" t="s">
        <v>352</v>
      </c>
      <c r="C52" s="709" t="str">
        <f>C24</f>
        <v>2010/11</v>
      </c>
      <c r="D52" s="709" t="str">
        <f t="shared" ref="D52:T52" si="0">D24</f>
        <v>2011/12</v>
      </c>
      <c r="E52" s="709" t="str">
        <f t="shared" si="0"/>
        <v>2012/13</v>
      </c>
      <c r="F52" s="709" t="str">
        <f t="shared" si="0"/>
        <v>2013/14</v>
      </c>
      <c r="G52" s="709" t="str">
        <f t="shared" si="0"/>
        <v>2014/15</v>
      </c>
      <c r="H52" s="709" t="str">
        <f t="shared" si="0"/>
        <v>2015/16</v>
      </c>
      <c r="I52" s="709" t="str">
        <f t="shared" si="0"/>
        <v>2016/17</v>
      </c>
      <c r="J52" s="709" t="str">
        <f t="shared" si="0"/>
        <v>2017/18</v>
      </c>
      <c r="K52" s="709" t="str">
        <f t="shared" si="0"/>
        <v>2018/19</v>
      </c>
      <c r="L52" s="709" t="str">
        <f t="shared" si="0"/>
        <v>2019/20</v>
      </c>
      <c r="M52" s="709" t="str">
        <f t="shared" si="0"/>
        <v>2020/21</v>
      </c>
      <c r="N52" s="709" t="str">
        <f t="shared" si="0"/>
        <v>2021/22</v>
      </c>
      <c r="O52" s="709" t="str">
        <f t="shared" si="0"/>
        <v>2022/23</v>
      </c>
      <c r="P52" s="709" t="str">
        <f t="shared" si="0"/>
        <v>2023/24</v>
      </c>
      <c r="Q52" s="709" t="str">
        <f t="shared" si="0"/>
        <v>2024/25</v>
      </c>
      <c r="R52" s="709" t="str">
        <f t="shared" si="0"/>
        <v>2025/26</v>
      </c>
      <c r="S52" s="709" t="str">
        <f t="shared" si="0"/>
        <v>2026/27</v>
      </c>
      <c r="T52" s="709" t="str">
        <f t="shared" si="0"/>
        <v>2027/28</v>
      </c>
    </row>
    <row r="53" spans="2:22">
      <c r="B53" s="326" t="s">
        <v>894</v>
      </c>
      <c r="C53" s="459">
        <f>C25</f>
        <v>216803.06543690819</v>
      </c>
      <c r="D53" s="459">
        <f>D25</f>
        <v>219759.26699999999</v>
      </c>
      <c r="E53" s="459">
        <f>E25</f>
        <v>225310.86400000003</v>
      </c>
      <c r="F53" s="459">
        <f>F25</f>
        <v>230422.14699999997</v>
      </c>
      <c r="G53" s="459">
        <f>G25</f>
        <v>235423.22499999998</v>
      </c>
      <c r="H53" s="459">
        <f>H25</f>
        <v>239231.65000000002</v>
      </c>
      <c r="I53" s="459"/>
      <c r="J53" s="459"/>
      <c r="K53" s="459"/>
      <c r="L53" s="459"/>
      <c r="M53" s="459"/>
      <c r="N53" s="459"/>
      <c r="O53" s="459"/>
      <c r="P53" s="459"/>
      <c r="Q53" s="459"/>
      <c r="R53" s="459"/>
      <c r="S53" s="459"/>
      <c r="T53" s="459"/>
    </row>
    <row r="54" spans="2:22">
      <c r="B54" s="326" t="s">
        <v>895</v>
      </c>
      <c r="C54" s="459"/>
      <c r="D54" s="459"/>
      <c r="E54" s="459"/>
      <c r="F54" s="459"/>
      <c r="G54" s="459"/>
      <c r="H54" s="459">
        <f>H53</f>
        <v>239231.65000000002</v>
      </c>
      <c r="I54" s="459">
        <f t="shared" ref="I54:T54" si="1">I26</f>
        <v>242289.97801032916</v>
      </c>
      <c r="J54" s="459">
        <f t="shared" si="1"/>
        <v>243816.50498787969</v>
      </c>
      <c r="K54" s="459">
        <f t="shared" si="1"/>
        <v>244473.00051685341</v>
      </c>
      <c r="L54" s="459">
        <f t="shared" si="1"/>
        <v>244493.08548462985</v>
      </c>
      <c r="M54" s="459">
        <f t="shared" si="1"/>
        <v>244756.56223781532</v>
      </c>
      <c r="N54" s="459">
        <f t="shared" si="1"/>
        <v>244837.80568339408</v>
      </c>
      <c r="O54" s="459">
        <f t="shared" si="1"/>
        <v>244626.1931197551</v>
      </c>
      <c r="P54" s="459">
        <f t="shared" si="1"/>
        <v>244233.40708441578</v>
      </c>
      <c r="Q54" s="459">
        <f t="shared" si="1"/>
        <v>244470.60548841688</v>
      </c>
      <c r="R54" s="459">
        <f t="shared" si="1"/>
        <v>245157.17144903576</v>
      </c>
      <c r="S54" s="459">
        <f t="shared" si="1"/>
        <v>245898.02721211434</v>
      </c>
      <c r="T54" s="459">
        <f t="shared" si="1"/>
        <v>246453.8722658148</v>
      </c>
      <c r="U54" s="309">
        <f>T54-H53</f>
        <v>7222.2222658147803</v>
      </c>
      <c r="V54" s="6">
        <f>U54/C53</f>
        <v>3.3312362310285309E-2</v>
      </c>
    </row>
    <row r="55" spans="2:22">
      <c r="B55" s="326" t="s">
        <v>897</v>
      </c>
      <c r="C55" s="307">
        <f>Pupil_Projections_scenarios!I72</f>
        <v>4074368</v>
      </c>
      <c r="D55" s="307">
        <f>Pupil_Projections_scenarios!J72</f>
        <v>4150277.5</v>
      </c>
      <c r="E55" s="307">
        <f>Pupil_Projections_scenarios!K72</f>
        <v>4247394.5</v>
      </c>
      <c r="F55" s="307">
        <f>Pupil_Projections_scenarios!L72</f>
        <v>4359000</v>
      </c>
      <c r="G55" s="307">
        <f>Pupil_Projections_scenarios!M72</f>
        <v>4463434</v>
      </c>
      <c r="H55" s="307">
        <f>Pupil_Projections_scenarios!N72</f>
        <v>4574041.5</v>
      </c>
      <c r="I55" s="710"/>
      <c r="J55" s="710"/>
      <c r="K55" s="710"/>
      <c r="L55" s="710"/>
      <c r="M55" s="710"/>
      <c r="N55" s="710"/>
      <c r="O55" s="710"/>
      <c r="P55" s="710"/>
      <c r="Q55" s="710"/>
      <c r="R55" s="710"/>
      <c r="S55" s="710"/>
      <c r="T55" s="710"/>
    </row>
    <row r="56" spans="2:22">
      <c r="B56" s="326" t="s">
        <v>898</v>
      </c>
      <c r="C56" s="324"/>
      <c r="D56" s="324"/>
      <c r="E56" s="324"/>
      <c r="F56" s="324"/>
      <c r="G56" s="324"/>
      <c r="H56" s="324">
        <f>Pupil_Projections_scenarios!N73</f>
        <v>4574041.5</v>
      </c>
      <c r="I56" s="324">
        <f>Pupil_Projections_scenarios!O73</f>
        <v>4669403.6051013358</v>
      </c>
      <c r="J56" s="324">
        <f>Pupil_Projections_scenarios!P73</f>
        <v>4728615.0056829667</v>
      </c>
      <c r="K56" s="324">
        <f>Pupil_Projections_scenarios!Q73</f>
        <v>4754148.1072515734</v>
      </c>
      <c r="L56" s="324">
        <f>Pupil_Projections_scenarios!R73</f>
        <v>4754929.3367273957</v>
      </c>
      <c r="M56" s="324">
        <f>Pupil_Projections_scenarios!S73</f>
        <v>4765188.6443500407</v>
      </c>
      <c r="N56" s="324">
        <f>Pupil_Projections_scenarios!T73</f>
        <v>4768353.1674103234</v>
      </c>
      <c r="O56" s="324">
        <f>Pupil_Projections_scenarios!U73</f>
        <v>4760117.7392643597</v>
      </c>
      <c r="P56" s="324">
        <f>Pupil_Projections_scenarios!V73</f>
        <v>4744856.0009206505</v>
      </c>
      <c r="Q56" s="324">
        <f>Pupil_Projections_scenarios!W73</f>
        <v>4754081.3268117374</v>
      </c>
      <c r="R56" s="324">
        <f>Pupil_Projections_scenarios!X73</f>
        <v>4780859.047119638</v>
      </c>
      <c r="S56" s="324">
        <f>Pupil_Projections_scenarios!Y73</f>
        <v>4809841.7847702289</v>
      </c>
      <c r="T56" s="324">
        <f>Pupil_Projections_scenarios!Z73</f>
        <v>4831636.05383253</v>
      </c>
      <c r="U56" s="309">
        <f>T56-H55</f>
        <v>257594.55383253004</v>
      </c>
      <c r="V56" s="6">
        <f>U56/C55</f>
        <v>6.3223192856543653E-2</v>
      </c>
    </row>
    <row r="57" spans="2:22">
      <c r="B57" s="326" t="s">
        <v>896</v>
      </c>
      <c r="C57" s="459">
        <f t="shared" ref="C57:H57" si="2">C27</f>
        <v>221900.66049640172</v>
      </c>
      <c r="D57" s="459">
        <f t="shared" si="2"/>
        <v>219183.60100000002</v>
      </c>
      <c r="E57" s="459">
        <f t="shared" si="2"/>
        <v>219944.09100000001</v>
      </c>
      <c r="F57" s="459">
        <f t="shared" si="2"/>
        <v>217824.14799999999</v>
      </c>
      <c r="G57" s="459">
        <f t="shared" si="2"/>
        <v>215663.67299999998</v>
      </c>
      <c r="H57" s="459">
        <f t="shared" si="2"/>
        <v>212113.06730178863</v>
      </c>
      <c r="I57" s="459"/>
      <c r="J57" s="459"/>
      <c r="K57" s="459"/>
      <c r="L57" s="459"/>
      <c r="M57" s="459"/>
      <c r="N57" s="459"/>
      <c r="O57" s="459"/>
      <c r="P57" s="459"/>
      <c r="Q57" s="459"/>
      <c r="R57" s="459"/>
      <c r="S57" s="459"/>
      <c r="T57" s="459"/>
    </row>
    <row r="58" spans="2:22">
      <c r="B58" s="326" t="s">
        <v>899</v>
      </c>
      <c r="C58" s="459"/>
      <c r="D58" s="459"/>
      <c r="E58" s="459"/>
      <c r="F58" s="459"/>
      <c r="G58" s="459"/>
      <c r="H58" s="459">
        <f>H57</f>
        <v>212113.06730178863</v>
      </c>
      <c r="I58" s="459">
        <f t="shared" ref="I58:T58" si="3">I28</f>
        <v>213976.00504540943</v>
      </c>
      <c r="J58" s="459">
        <f t="shared" si="3"/>
        <v>215448.23496505464</v>
      </c>
      <c r="K58" s="459">
        <f t="shared" si="3"/>
        <v>217665.58493798462</v>
      </c>
      <c r="L58" s="459">
        <f t="shared" si="3"/>
        <v>220113.00223502028</v>
      </c>
      <c r="M58" s="459">
        <f t="shared" si="3"/>
        <v>222083.21597704067</v>
      </c>
      <c r="N58" s="459">
        <f t="shared" si="3"/>
        <v>224012.64325451854</v>
      </c>
      <c r="O58" s="459">
        <f t="shared" si="3"/>
        <v>226115.09681652434</v>
      </c>
      <c r="P58" s="459">
        <f t="shared" si="3"/>
        <v>227913.16234106064</v>
      </c>
      <c r="Q58" s="459">
        <f t="shared" si="3"/>
        <v>228568.5499006052</v>
      </c>
      <c r="R58" s="459">
        <f t="shared" si="3"/>
        <v>228824.14188092307</v>
      </c>
      <c r="S58" s="459">
        <f t="shared" si="3"/>
        <v>228710.60157528741</v>
      </c>
      <c r="T58" s="459">
        <f t="shared" si="3"/>
        <v>228387.83509911041</v>
      </c>
      <c r="U58" s="309">
        <f>T58-H57</f>
        <v>16274.76779732178</v>
      </c>
      <c r="V58" s="6">
        <f>U58/H57</f>
        <v>7.6726851411594021E-2</v>
      </c>
    </row>
    <row r="59" spans="2:22">
      <c r="B59" s="326" t="s">
        <v>900</v>
      </c>
      <c r="C59" s="307">
        <f>Pupil_Projections_scenarios!I69</f>
        <v>3212254</v>
      </c>
      <c r="D59" s="307">
        <f>Pupil_Projections_scenarios!J69</f>
        <v>3185686.5</v>
      </c>
      <c r="E59" s="307">
        <f>Pupil_Projections_scenarios!K69</f>
        <v>3158780</v>
      </c>
      <c r="F59" s="307">
        <f>Pupil_Projections_scenarios!L69</f>
        <v>3125924</v>
      </c>
      <c r="G59" s="307">
        <f>Pupil_Projections_scenarios!M69</f>
        <v>3119799</v>
      </c>
      <c r="H59" s="307">
        <f>Pupil_Projections_scenarios!N69</f>
        <v>3121988</v>
      </c>
      <c r="I59" s="710"/>
      <c r="J59" s="710"/>
      <c r="K59" s="710"/>
      <c r="L59" s="710"/>
      <c r="M59" s="710"/>
      <c r="N59" s="710"/>
      <c r="O59" s="710"/>
      <c r="P59" s="710"/>
      <c r="Q59" s="710"/>
      <c r="R59" s="710"/>
      <c r="S59" s="710"/>
      <c r="T59" s="710"/>
    </row>
    <row r="60" spans="2:22">
      <c r="B60" s="326" t="s">
        <v>901</v>
      </c>
      <c r="C60" s="324"/>
      <c r="D60" s="324"/>
      <c r="E60" s="324"/>
      <c r="F60" s="324"/>
      <c r="G60" s="712"/>
      <c r="H60" s="712">
        <f>Pupil_Projections_scenarios!N69</f>
        <v>3121988</v>
      </c>
      <c r="I60" s="712">
        <f>Pupil_Projections_scenarios!O69</f>
        <v>3153434.5188964177</v>
      </c>
      <c r="J60" s="712">
        <f>Pupil_Projections_scenarios!P69</f>
        <v>3206473.5103805256</v>
      </c>
      <c r="K60" s="712">
        <f>Pupil_Projections_scenarios!Q69</f>
        <v>3284777.7855463745</v>
      </c>
      <c r="L60" s="712">
        <f>Pupil_Projections_scenarios!R69</f>
        <v>3371521.969667735</v>
      </c>
      <c r="M60" s="712">
        <f>Pupil_Projections_scenarios!S69</f>
        <v>3441735.9770776005</v>
      </c>
      <c r="N60" s="712">
        <f>Pupil_Projections_scenarios!T69</f>
        <v>3517503.4884628272</v>
      </c>
      <c r="O60" s="712">
        <f>Pupil_Projections_scenarios!U69</f>
        <v>3601496.689145844</v>
      </c>
      <c r="P60" s="712">
        <f>Pupil_Projections_scenarios!V69</f>
        <v>3674251.4793677852</v>
      </c>
      <c r="Q60" s="712">
        <f>Pupil_Projections_scenarios!W69</f>
        <v>3701291.536776138</v>
      </c>
      <c r="R60" s="712">
        <f>Pupil_Projections_scenarios!X69</f>
        <v>3712096.756026078</v>
      </c>
      <c r="S60" s="712">
        <f>Pupil_Projections_scenarios!Y69</f>
        <v>3707922.516725075</v>
      </c>
      <c r="T60" s="712">
        <f>Pupil_Projections_scenarios!Z69</f>
        <v>3695259.6565467082</v>
      </c>
      <c r="U60" s="309">
        <f>T60-H59</f>
        <v>573271.6565467082</v>
      </c>
      <c r="V60" s="6">
        <f>U60/H59</f>
        <v>0.18362391416837867</v>
      </c>
    </row>
    <row r="84" spans="2:20">
      <c r="B84" s="341" t="s">
        <v>919</v>
      </c>
      <c r="D84" s="713"/>
      <c r="E84" s="713"/>
      <c r="F84" s="713"/>
      <c r="G84" s="713"/>
      <c r="H84" s="6"/>
      <c r="I84" s="6"/>
      <c r="J84" s="6"/>
      <c r="K84" s="6"/>
      <c r="L84" s="6"/>
      <c r="M84" s="6"/>
      <c r="N84" s="6"/>
      <c r="O84" s="6"/>
      <c r="P84" s="6"/>
      <c r="Q84" s="6"/>
      <c r="R84" s="6"/>
      <c r="S84" s="6"/>
    </row>
    <row r="85" spans="2:20">
      <c r="D85" s="6"/>
      <c r="E85" s="6"/>
      <c r="F85" s="6"/>
      <c r="G85" s="6"/>
    </row>
    <row r="86" spans="2:20">
      <c r="B86" s="326" t="s">
        <v>352</v>
      </c>
      <c r="C86" s="709" t="str">
        <f>C52</f>
        <v>2010/11</v>
      </c>
      <c r="D86" s="709" t="str">
        <f t="shared" ref="D86:T86" si="4">D52</f>
        <v>2011/12</v>
      </c>
      <c r="E86" s="709" t="str">
        <f t="shared" si="4"/>
        <v>2012/13</v>
      </c>
      <c r="F86" s="709" t="str">
        <f t="shared" si="4"/>
        <v>2013/14</v>
      </c>
      <c r="G86" s="709" t="str">
        <f t="shared" si="4"/>
        <v>2014/15</v>
      </c>
      <c r="H86" s="709" t="str">
        <f t="shared" si="4"/>
        <v>2015/16</v>
      </c>
      <c r="I86" s="709" t="str">
        <f t="shared" si="4"/>
        <v>2016/17</v>
      </c>
      <c r="J86" s="709" t="str">
        <f t="shared" si="4"/>
        <v>2017/18</v>
      </c>
      <c r="K86" s="709" t="str">
        <f t="shared" si="4"/>
        <v>2018/19</v>
      </c>
      <c r="L86" s="709" t="str">
        <f t="shared" si="4"/>
        <v>2019/20</v>
      </c>
      <c r="M86" s="709" t="str">
        <f t="shared" si="4"/>
        <v>2020/21</v>
      </c>
      <c r="N86" s="709" t="str">
        <f t="shared" si="4"/>
        <v>2021/22</v>
      </c>
      <c r="O86" s="709" t="str">
        <f t="shared" si="4"/>
        <v>2022/23</v>
      </c>
      <c r="P86" s="709" t="str">
        <f t="shared" si="4"/>
        <v>2023/24</v>
      </c>
      <c r="Q86" s="709" t="str">
        <f t="shared" si="4"/>
        <v>2024/25</v>
      </c>
      <c r="R86" s="709" t="str">
        <f t="shared" si="4"/>
        <v>2025/26</v>
      </c>
      <c r="S86" s="709" t="str">
        <f t="shared" si="4"/>
        <v>2026/27</v>
      </c>
      <c r="T86" s="709" t="str">
        <f t="shared" si="4"/>
        <v>2027/28</v>
      </c>
    </row>
    <row r="87" spans="2:20">
      <c r="B87" s="326" t="s">
        <v>902</v>
      </c>
      <c r="C87" s="444"/>
      <c r="D87" s="307">
        <f>RAW_DATA_INPUTS!I159+RAW_DATA_INPUTS!I193</f>
        <v>13358.842260423777</v>
      </c>
      <c r="E87" s="307">
        <f>RAW_DATA_INPUTS!J159+RAW_DATA_INPUTS!J193</f>
        <v>15274.697003758331</v>
      </c>
      <c r="F87" s="307">
        <f>RAW_DATA_INPUTS!K159+RAW_DATA_INPUTS!K193</f>
        <v>17956.975822556346</v>
      </c>
      <c r="G87" s="307">
        <f>RAW_DATA_INPUTS!L159+RAW_DATA_INPUTS!L193</f>
        <v>19753.437000000002</v>
      </c>
      <c r="H87" s="710"/>
      <c r="I87" s="710"/>
      <c r="J87" s="710"/>
      <c r="K87" s="710"/>
      <c r="L87" s="710"/>
      <c r="M87" s="710"/>
      <c r="N87" s="710"/>
      <c r="O87" s="710"/>
      <c r="P87" s="710"/>
      <c r="Q87" s="710"/>
      <c r="R87" s="710"/>
      <c r="S87" s="710"/>
      <c r="T87" s="710"/>
    </row>
    <row r="88" spans="2:20">
      <c r="B88" s="326" t="s">
        <v>903</v>
      </c>
      <c r="C88" s="324"/>
      <c r="D88" s="324"/>
      <c r="E88" s="324"/>
      <c r="F88" s="324"/>
      <c r="G88" s="711"/>
      <c r="H88" s="324"/>
      <c r="I88" s="324">
        <f>Wastage_over_time!C14</f>
        <v>18210.285886719616</v>
      </c>
      <c r="J88" s="324">
        <f>Wastage_over_time!D14</f>
        <v>18525.521226631212</v>
      </c>
      <c r="K88" s="324">
        <f>Wastage_over_time!E14</f>
        <v>18702.799803354941</v>
      </c>
      <c r="L88" s="324">
        <f>Wastage_over_time!F14</f>
        <v>18797.001338478229</v>
      </c>
      <c r="M88" s="324">
        <f>Wastage_over_time!G14</f>
        <v>18828.767422119625</v>
      </c>
      <c r="N88" s="324">
        <f>Wastage_over_time!H14</f>
        <v>18873.360288923304</v>
      </c>
      <c r="O88" s="324">
        <f>Wastage_over_time!I14</f>
        <v>18896.432297435575</v>
      </c>
      <c r="P88" s="324">
        <f>Wastage_over_time!J14</f>
        <v>18890.250064766038</v>
      </c>
      <c r="Q88" s="324">
        <f>Wastage_over_time!K14</f>
        <v>18865.548086988358</v>
      </c>
      <c r="R88" s="324">
        <f>Wastage_over_time!L14</f>
        <v>18891.178291643042</v>
      </c>
      <c r="S88" s="324">
        <f>Wastage_over_time!M14</f>
        <v>18952.244334414001</v>
      </c>
      <c r="T88" s="324">
        <f>Wastage_over_time!N14</f>
        <v>19015.947005510654</v>
      </c>
    </row>
    <row r="89" spans="2:20">
      <c r="B89" s="326" t="s">
        <v>904</v>
      </c>
      <c r="C89" s="444"/>
      <c r="D89" s="307">
        <f>RAW_DATA_INPUTS!C159+RAW_DATA_INPUTS!C193</f>
        <v>14003.315722766107</v>
      </c>
      <c r="E89" s="307">
        <f>RAW_DATA_INPUTS!D159+RAW_DATA_INPUTS!D193</f>
        <v>15683.021977430501</v>
      </c>
      <c r="F89" s="307">
        <f>RAW_DATA_INPUTS!E159+RAW_DATA_INPUTS!E193</f>
        <v>17423.364920102191</v>
      </c>
      <c r="G89" s="307">
        <f>RAW_DATA_INPUTS!F159+RAW_DATA_INPUTS!F193</f>
        <v>19054.795999999998</v>
      </c>
      <c r="H89" s="710"/>
      <c r="I89" s="710"/>
      <c r="J89" s="710"/>
      <c r="K89" s="710"/>
      <c r="L89" s="710"/>
      <c r="M89" s="710"/>
      <c r="N89" s="710"/>
      <c r="O89" s="710"/>
      <c r="P89" s="710"/>
      <c r="Q89" s="710"/>
      <c r="R89" s="710"/>
      <c r="S89" s="710"/>
      <c r="T89" s="710"/>
    </row>
    <row r="90" spans="2:20">
      <c r="B90" s="326" t="s">
        <v>905</v>
      </c>
      <c r="C90" s="324"/>
      <c r="D90" s="324"/>
      <c r="E90" s="324"/>
      <c r="F90" s="324"/>
      <c r="G90" s="711"/>
      <c r="H90" s="324"/>
      <c r="I90" s="324">
        <f>Wastage_over_time!C34-Wastage_over_time!C14</f>
        <v>16678.085701405351</v>
      </c>
      <c r="J90" s="324">
        <f>Wastage_over_time!D34-Wastage_over_time!D14</f>
        <v>17003.92484309887</v>
      </c>
      <c r="K90" s="324">
        <f>Wastage_over_time!E34-Wastage_over_time!E14</f>
        <v>17247.152801755812</v>
      </c>
      <c r="L90" s="324">
        <f>Wastage_over_time!F34-Wastage_over_time!F14</f>
        <v>17532.888171492807</v>
      </c>
      <c r="M90" s="324">
        <f>Wastage_over_time!G34-Wastage_over_time!G14</f>
        <v>17813.504696662389</v>
      </c>
      <c r="N90" s="324">
        <f>Wastage_over_time!H34-Wastage_over_time!H14</f>
        <v>18025.910719804302</v>
      </c>
      <c r="O90" s="324">
        <f>Wastage_over_time!I34-Wastage_over_time!I14</f>
        <v>18217.158295241919</v>
      </c>
      <c r="P90" s="324">
        <f>Wastage_over_time!J34-Wastage_over_time!J14</f>
        <v>18413.117046632393</v>
      </c>
      <c r="Q90" s="324">
        <f>Wastage_over_time!K34-Wastage_over_time!K14</f>
        <v>18572.735576691604</v>
      </c>
      <c r="R90" s="324">
        <f>Wastage_over_time!L34-Wastage_over_time!L14</f>
        <v>18624.680384998846</v>
      </c>
      <c r="S90" s="324">
        <f>Wastage_over_time!M34-Wastage_over_time!M14</f>
        <v>18640.201898280724</v>
      </c>
      <c r="T90" s="324">
        <f>Wastage_over_time!N34-Wastage_over_time!N14</f>
        <v>18622.410795482287</v>
      </c>
    </row>
    <row r="91" spans="2:20">
      <c r="B91" s="326" t="s">
        <v>962</v>
      </c>
      <c r="C91" s="444">
        <v>27043.775618081043</v>
      </c>
      <c r="D91" s="459">
        <f>D89+D87</f>
        <v>27362.157983189885</v>
      </c>
      <c r="E91" s="459">
        <f>E89+E87</f>
        <v>30957.718981188831</v>
      </c>
      <c r="F91" s="459">
        <f>F89+F87</f>
        <v>35380.340742658533</v>
      </c>
      <c r="G91" s="459">
        <f>G89+G87</f>
        <v>38808.233</v>
      </c>
      <c r="H91" s="459"/>
      <c r="I91" s="459"/>
      <c r="J91" s="459"/>
      <c r="K91" s="459"/>
      <c r="L91" s="459"/>
      <c r="M91" s="459"/>
      <c r="N91" s="459"/>
      <c r="O91" s="459"/>
      <c r="P91" s="459"/>
      <c r="Q91" s="459"/>
      <c r="R91" s="459"/>
      <c r="S91" s="459"/>
      <c r="T91" s="459"/>
    </row>
    <row r="92" spans="2:20">
      <c r="B92" s="326" t="s">
        <v>963</v>
      </c>
      <c r="C92" s="459"/>
      <c r="D92" s="459"/>
      <c r="E92" s="459"/>
      <c r="F92" s="459"/>
      <c r="G92" s="459"/>
      <c r="H92" s="459"/>
      <c r="I92" s="459">
        <f>I88+I90</f>
        <v>34888.371588124966</v>
      </c>
      <c r="J92" s="459">
        <f t="shared" ref="J92:T92" si="5">J88+J90</f>
        <v>35529.446069730082</v>
      </c>
      <c r="K92" s="459">
        <f t="shared" si="5"/>
        <v>35949.952605110753</v>
      </c>
      <c r="L92" s="459">
        <f t="shared" si="5"/>
        <v>36329.889509971035</v>
      </c>
      <c r="M92" s="459">
        <f t="shared" si="5"/>
        <v>36642.272118782013</v>
      </c>
      <c r="N92" s="459">
        <f t="shared" si="5"/>
        <v>36899.271008727606</v>
      </c>
      <c r="O92" s="459">
        <f t="shared" si="5"/>
        <v>37113.590592677494</v>
      </c>
      <c r="P92" s="459">
        <f t="shared" si="5"/>
        <v>37303.367111398431</v>
      </c>
      <c r="Q92" s="459">
        <f t="shared" si="5"/>
        <v>37438.283663679962</v>
      </c>
      <c r="R92" s="459">
        <f t="shared" si="5"/>
        <v>37515.858676641888</v>
      </c>
      <c r="S92" s="459">
        <f t="shared" si="5"/>
        <v>37592.446232694725</v>
      </c>
      <c r="T92" s="459">
        <f t="shared" si="5"/>
        <v>37638.357800992941</v>
      </c>
    </row>
    <row r="97" spans="12:12">
      <c r="L97" s="325"/>
    </row>
    <row r="98" spans="12:12">
      <c r="L98" s="325" t="s">
        <v>1277</v>
      </c>
    </row>
    <row r="100" spans="12:12">
      <c r="L100" s="325" t="s">
        <v>1275</v>
      </c>
    </row>
    <row r="102" spans="12:12">
      <c r="L102" s="325" t="s">
        <v>1424</v>
      </c>
    </row>
    <row r="104" spans="12:12">
      <c r="L104" s="325" t="s">
        <v>1276</v>
      </c>
    </row>
    <row r="106" spans="12:12">
      <c r="L106" s="325" t="s">
        <v>1291</v>
      </c>
    </row>
    <row r="115" spans="2:20">
      <c r="B115" s="341" t="s">
        <v>906</v>
      </c>
    </row>
    <row r="117" spans="2:20">
      <c r="B117" s="326" t="s">
        <v>352</v>
      </c>
      <c r="C117" s="709" t="str">
        <f>C86</f>
        <v>2010/11</v>
      </c>
      <c r="D117" s="709" t="str">
        <f t="shared" ref="D117:T117" si="6">D86</f>
        <v>2011/12</v>
      </c>
      <c r="E117" s="709" t="str">
        <f t="shared" si="6"/>
        <v>2012/13</v>
      </c>
      <c r="F117" s="709" t="str">
        <f t="shared" si="6"/>
        <v>2013/14</v>
      </c>
      <c r="G117" s="709" t="str">
        <f t="shared" si="6"/>
        <v>2014/15</v>
      </c>
      <c r="H117" s="709" t="str">
        <f t="shared" si="6"/>
        <v>2015/16</v>
      </c>
      <c r="I117" s="709" t="str">
        <f t="shared" si="6"/>
        <v>2016/17</v>
      </c>
      <c r="J117" s="709" t="str">
        <f t="shared" si="6"/>
        <v>2017/18</v>
      </c>
      <c r="K117" s="709" t="str">
        <f t="shared" si="6"/>
        <v>2018/19</v>
      </c>
      <c r="L117" s="709" t="str">
        <f t="shared" si="6"/>
        <v>2019/20</v>
      </c>
      <c r="M117" s="709" t="str">
        <f t="shared" si="6"/>
        <v>2020/21</v>
      </c>
      <c r="N117" s="709" t="str">
        <f t="shared" si="6"/>
        <v>2021/22</v>
      </c>
      <c r="O117" s="709" t="str">
        <f t="shared" si="6"/>
        <v>2022/23</v>
      </c>
      <c r="P117" s="709" t="str">
        <f t="shared" si="6"/>
        <v>2023/24</v>
      </c>
      <c r="Q117" s="709" t="str">
        <f t="shared" si="6"/>
        <v>2024/25</v>
      </c>
      <c r="R117" s="709" t="str">
        <f t="shared" si="6"/>
        <v>2025/26</v>
      </c>
      <c r="S117" s="709" t="str">
        <f t="shared" si="6"/>
        <v>2026/27</v>
      </c>
      <c r="T117" s="709" t="str">
        <f t="shared" si="6"/>
        <v>2027/28</v>
      </c>
    </row>
    <row r="118" spans="2:20">
      <c r="B118" s="326" t="s">
        <v>902</v>
      </c>
      <c r="C118" s="539"/>
      <c r="D118" s="539">
        <f>D87/(D25)</f>
        <v>6.078852756832219E-2</v>
      </c>
      <c r="E118" s="539">
        <f>E87/(E25)</f>
        <v>6.7793877013219955E-2</v>
      </c>
      <c r="F118" s="539">
        <f>F87/(F25)</f>
        <v>7.7930772090915146E-2</v>
      </c>
      <c r="G118" s="539">
        <f>G87/(G25)</f>
        <v>8.3906067466368292E-2</v>
      </c>
      <c r="H118" s="539"/>
      <c r="I118" s="539"/>
      <c r="J118" s="539"/>
      <c r="K118" s="539"/>
      <c r="L118" s="539"/>
      <c r="M118" s="539"/>
      <c r="N118" s="539"/>
      <c r="O118" s="539"/>
      <c r="P118" s="539"/>
      <c r="Q118" s="415"/>
      <c r="R118" s="415"/>
      <c r="S118" s="415"/>
      <c r="T118" s="415"/>
    </row>
    <row r="119" spans="2:20">
      <c r="B119" s="326" t="s">
        <v>903</v>
      </c>
      <c r="C119" s="539"/>
      <c r="D119" s="539"/>
      <c r="E119" s="539"/>
      <c r="F119" s="539"/>
      <c r="G119" s="539"/>
      <c r="H119" s="539"/>
      <c r="I119" s="539">
        <f>I88/I26</f>
        <v>7.5159055427143115E-2</v>
      </c>
      <c r="J119" s="539">
        <f t="shared" ref="J119:T119" si="7">J88/J26</f>
        <v>7.598140752428606E-2</v>
      </c>
      <c r="K119" s="539">
        <f t="shared" si="7"/>
        <v>7.650251669433579E-2</v>
      </c>
      <c r="L119" s="539">
        <f t="shared" si="7"/>
        <v>7.6881525304566989E-2</v>
      </c>
      <c r="M119" s="539">
        <f t="shared" si="7"/>
        <v>7.6928549943534652E-2</v>
      </c>
      <c r="N119" s="539">
        <f t="shared" si="7"/>
        <v>7.7085155359254115E-2</v>
      </c>
      <c r="O119" s="539">
        <f t="shared" si="7"/>
        <v>7.7246152819722594E-2</v>
      </c>
      <c r="P119" s="539">
        <f t="shared" si="7"/>
        <v>7.7345070399140334E-2</v>
      </c>
      <c r="Q119" s="539">
        <f t="shared" si="7"/>
        <v>7.71689833601783E-2</v>
      </c>
      <c r="R119" s="539">
        <f t="shared" si="7"/>
        <v>7.7057416595174802E-2</v>
      </c>
      <c r="S119" s="539">
        <f t="shared" si="7"/>
        <v>7.7073592453287917E-2</v>
      </c>
      <c r="T119" s="539">
        <f t="shared" si="7"/>
        <v>7.7158239920048208E-2</v>
      </c>
    </row>
    <row r="120" spans="2:20">
      <c r="B120" s="326" t="s">
        <v>904</v>
      </c>
      <c r="C120" s="539"/>
      <c r="D120" s="539">
        <f>D89/(D27)</f>
        <v>6.38885193001556E-2</v>
      </c>
      <c r="E120" s="539">
        <f>E89/(E27)</f>
        <v>7.1304584297427198E-2</v>
      </c>
      <c r="F120" s="539">
        <f>F89/(F27)</f>
        <v>7.998821563209875E-2</v>
      </c>
      <c r="G120" s="539">
        <f>G89/(G27)</f>
        <v>8.8354221807211822E-2</v>
      </c>
      <c r="H120" s="539"/>
      <c r="I120" s="539"/>
      <c r="J120" s="539"/>
      <c r="K120" s="539"/>
      <c r="L120" s="539"/>
      <c r="M120" s="539"/>
      <c r="N120" s="539"/>
      <c r="O120" s="539"/>
      <c r="P120" s="539"/>
      <c r="Q120" s="415"/>
      <c r="R120" s="415"/>
      <c r="S120" s="415"/>
      <c r="T120" s="415"/>
    </row>
    <row r="121" spans="2:20">
      <c r="B121" s="326" t="s">
        <v>905</v>
      </c>
      <c r="C121" s="539"/>
      <c r="D121" s="539"/>
      <c r="E121" s="539"/>
      <c r="F121" s="539"/>
      <c r="G121" s="539"/>
      <c r="H121" s="539"/>
      <c r="I121" s="539">
        <f>I90/I28</f>
        <v>7.7943719427166477E-2</v>
      </c>
      <c r="J121" s="539">
        <f t="shared" ref="J121:T121" si="8">J90/J28</f>
        <v>7.8923481762832176E-2</v>
      </c>
      <c r="K121" s="539">
        <f t="shared" si="8"/>
        <v>7.9236930388741619E-2</v>
      </c>
      <c r="L121" s="539">
        <f t="shared" si="8"/>
        <v>7.965403221738121E-2</v>
      </c>
      <c r="M121" s="539">
        <f t="shared" si="8"/>
        <v>8.0210945335481718E-2</v>
      </c>
      <c r="N121" s="539">
        <f t="shared" si="8"/>
        <v>8.0468273834542609E-2</v>
      </c>
      <c r="O121" s="539">
        <f t="shared" si="8"/>
        <v>8.0565864693341524E-2</v>
      </c>
      <c r="P121" s="539">
        <f t="shared" si="8"/>
        <v>8.079005555229006E-2</v>
      </c>
      <c r="Q121" s="539">
        <f t="shared" si="8"/>
        <v>8.1256741510448843E-2</v>
      </c>
      <c r="R121" s="539">
        <f t="shared" si="8"/>
        <v>8.1392986910842971E-2</v>
      </c>
      <c r="S121" s="539">
        <f t="shared" si="8"/>
        <v>8.1501258664411783E-2</v>
      </c>
      <c r="T121" s="539">
        <f t="shared" si="8"/>
        <v>8.1538540734452727E-2</v>
      </c>
    </row>
    <row r="122" spans="2:20">
      <c r="B122" s="326" t="s">
        <v>964</v>
      </c>
      <c r="C122" s="539">
        <f>C91/(C27+C25)</f>
        <v>6.1644736571469509E-2</v>
      </c>
      <c r="D122" s="539">
        <f>D91/(D27+D25)</f>
        <v>6.2336490641396833E-2</v>
      </c>
      <c r="E122" s="539">
        <f>E91/(E27+E25)</f>
        <v>6.9528072924396375E-2</v>
      </c>
      <c r="F122" s="539">
        <f>F91/(F27+F25)</f>
        <v>7.8930581551507395E-2</v>
      </c>
      <c r="G122" s="539">
        <f>G91/(G27+G25)</f>
        <v>8.6032720462654644E-2</v>
      </c>
      <c r="H122" s="539"/>
      <c r="I122" s="539"/>
      <c r="J122" s="539"/>
      <c r="K122" s="539"/>
      <c r="L122" s="539"/>
      <c r="M122" s="539"/>
      <c r="N122" s="539"/>
      <c r="O122" s="539"/>
      <c r="P122" s="539"/>
      <c r="Q122" s="415"/>
      <c r="R122" s="415"/>
      <c r="S122" s="415"/>
      <c r="T122" s="415"/>
    </row>
    <row r="123" spans="2:20">
      <c r="B123" s="326" t="s">
        <v>965</v>
      </c>
      <c r="C123" s="539"/>
      <c r="D123" s="539"/>
      <c r="E123" s="539"/>
      <c r="F123" s="539"/>
      <c r="G123" s="539"/>
      <c r="H123" s="539"/>
      <c r="I123" s="539">
        <f>I92/(I28+I26)</f>
        <v>7.6464985082753609E-2</v>
      </c>
      <c r="J123" s="539">
        <f t="shared" ref="J123:T123" si="9">J92/(J28+J26)</f>
        <v>7.7361580323739104E-2</v>
      </c>
      <c r="K123" s="539">
        <f t="shared" si="9"/>
        <v>7.7790415551925216E-2</v>
      </c>
      <c r="L123" s="539">
        <f t="shared" si="9"/>
        <v>7.8195035472486116E-2</v>
      </c>
      <c r="M123" s="539">
        <f t="shared" si="9"/>
        <v>7.8490038400108139E-2</v>
      </c>
      <c r="N123" s="539">
        <f t="shared" si="9"/>
        <v>7.8701579773071698E-2</v>
      </c>
      <c r="O123" s="539">
        <f t="shared" si="9"/>
        <v>7.8840737760015211E-2</v>
      </c>
      <c r="P123" s="539">
        <f t="shared" si="9"/>
        <v>7.9008023200910688E-2</v>
      </c>
      <c r="Q123" s="539">
        <f t="shared" si="9"/>
        <v>7.914415379185924E-2</v>
      </c>
      <c r="R123" s="539">
        <f t="shared" si="9"/>
        <v>7.915050155263291E-2</v>
      </c>
      <c r="S123" s="539">
        <f t="shared" si="9"/>
        <v>7.9207254045804656E-2</v>
      </c>
      <c r="T123" s="539">
        <f t="shared" si="9"/>
        <v>7.9265062898249417E-2</v>
      </c>
    </row>
    <row r="129" spans="12:12">
      <c r="L129" s="325" t="s">
        <v>1277</v>
      </c>
    </row>
    <row r="131" spans="12:12">
      <c r="L131" s="325" t="s">
        <v>1275</v>
      </c>
    </row>
    <row r="133" spans="12:12">
      <c r="L133" s="325" t="s">
        <v>1424</v>
      </c>
    </row>
    <row r="135" spans="12:12">
      <c r="L135" s="325" t="s">
        <v>1276</v>
      </c>
    </row>
    <row r="137" spans="12:12">
      <c r="L137" s="325" t="s">
        <v>1291</v>
      </c>
    </row>
    <row r="148" spans="2:20">
      <c r="B148" s="341" t="s">
        <v>920</v>
      </c>
    </row>
    <row r="150" spans="2:20">
      <c r="B150" s="326" t="s">
        <v>352</v>
      </c>
      <c r="C150" s="709" t="str">
        <f>C24</f>
        <v>2010/11</v>
      </c>
      <c r="D150" s="709" t="str">
        <f t="shared" ref="D150:T150" si="10">D24</f>
        <v>2011/12</v>
      </c>
      <c r="E150" s="709" t="str">
        <f t="shared" si="10"/>
        <v>2012/13</v>
      </c>
      <c r="F150" s="709" t="str">
        <f t="shared" si="10"/>
        <v>2013/14</v>
      </c>
      <c r="G150" s="709" t="str">
        <f t="shared" si="10"/>
        <v>2014/15</v>
      </c>
      <c r="H150" s="709" t="str">
        <f t="shared" si="10"/>
        <v>2015/16</v>
      </c>
      <c r="I150" s="709" t="str">
        <f t="shared" si="10"/>
        <v>2016/17</v>
      </c>
      <c r="J150" s="709" t="str">
        <f t="shared" si="10"/>
        <v>2017/18</v>
      </c>
      <c r="K150" s="709" t="str">
        <f t="shared" si="10"/>
        <v>2018/19</v>
      </c>
      <c r="L150" s="709" t="str">
        <f t="shared" si="10"/>
        <v>2019/20</v>
      </c>
      <c r="M150" s="709" t="str">
        <f t="shared" si="10"/>
        <v>2020/21</v>
      </c>
      <c r="N150" s="709" t="str">
        <f t="shared" si="10"/>
        <v>2021/22</v>
      </c>
      <c r="O150" s="709" t="str">
        <f t="shared" si="10"/>
        <v>2022/23</v>
      </c>
      <c r="P150" s="709" t="str">
        <f t="shared" si="10"/>
        <v>2023/24</v>
      </c>
      <c r="Q150" s="709" t="str">
        <f t="shared" si="10"/>
        <v>2024/25</v>
      </c>
      <c r="R150" s="709" t="str">
        <f t="shared" si="10"/>
        <v>2025/26</v>
      </c>
      <c r="S150" s="709" t="str">
        <f t="shared" si="10"/>
        <v>2026/27</v>
      </c>
      <c r="T150" s="709" t="str">
        <f t="shared" si="10"/>
        <v>2027/28</v>
      </c>
    </row>
    <row r="151" spans="2:20">
      <c r="B151" s="326" t="s">
        <v>907</v>
      </c>
      <c r="C151" s="444">
        <v>6762.6063646304747</v>
      </c>
      <c r="D151" s="307">
        <f>RAW_DATA_INPUTS!I235+RAW_DATA_INPUTS!I252</f>
        <v>6628.8568091804718</v>
      </c>
      <c r="E151" s="307">
        <f>RAW_DATA_INPUTS!J235+RAW_DATA_INPUTS!J252</f>
        <v>6154.5291919373476</v>
      </c>
      <c r="F151" s="307">
        <f>RAW_DATA_INPUTS!K235+RAW_DATA_INPUTS!K252</f>
        <v>5919.6728337762952</v>
      </c>
      <c r="G151" s="307">
        <f>RAW_DATA_INPUTS!L235+RAW_DATA_INPUTS!L252</f>
        <v>4860.259</v>
      </c>
      <c r="H151" s="710"/>
      <c r="I151" s="710"/>
      <c r="J151" s="710"/>
      <c r="K151" s="710"/>
      <c r="L151" s="710"/>
      <c r="M151" s="710"/>
      <c r="N151" s="710"/>
      <c r="O151" s="710"/>
      <c r="P151" s="710"/>
      <c r="Q151" s="710"/>
      <c r="R151" s="710"/>
      <c r="S151" s="710"/>
      <c r="T151" s="710"/>
    </row>
    <row r="152" spans="2:20">
      <c r="B152" s="326" t="s">
        <v>908</v>
      </c>
      <c r="C152" s="324"/>
      <c r="D152" s="324"/>
      <c r="E152" s="324"/>
      <c r="F152" s="324"/>
      <c r="G152" s="711"/>
      <c r="H152" s="324"/>
      <c r="I152" s="324">
        <f>Retirements_over_time!C14</f>
        <v>6167.6803742384254</v>
      </c>
      <c r="J152" s="324">
        <f>Retirements_over_time!D14</f>
        <v>5951.3753526149458</v>
      </c>
      <c r="K152" s="324">
        <f>Retirements_over_time!E14</f>
        <v>5753.7577875659135</v>
      </c>
      <c r="L152" s="324">
        <f>Retirements_over_time!F14</f>
        <v>5591.1905396552866</v>
      </c>
      <c r="M152" s="324">
        <f>Retirements_over_time!G14</f>
        <v>5464.1437466401148</v>
      </c>
      <c r="N152" s="324">
        <f>Retirements_over_time!H14</f>
        <v>5377.0420267775617</v>
      </c>
      <c r="O152" s="324">
        <f>Retirements_over_time!I14</f>
        <v>5316.8334258683071</v>
      </c>
      <c r="P152" s="324">
        <f>Retirements_over_time!J14</f>
        <v>5275.0734116356061</v>
      </c>
      <c r="Q152" s="324">
        <f>Retirements_over_time!K14</f>
        <v>5247.1481804221421</v>
      </c>
      <c r="R152" s="324">
        <f>Retirements_over_time!L14</f>
        <v>5238.3317148588048</v>
      </c>
      <c r="S152" s="324">
        <f>Retirements_over_time!M14</f>
        <v>5242.4390645564126</v>
      </c>
      <c r="T152" s="324">
        <f>Retirements_over_time!N14</f>
        <v>5251.7134043382448</v>
      </c>
    </row>
    <row r="153" spans="2:20">
      <c r="B153" s="326" t="s">
        <v>909</v>
      </c>
      <c r="C153" s="444">
        <v>7912.703734365622</v>
      </c>
      <c r="D153" s="307">
        <f>RAW_DATA_INPUTS!C235+RAW_DATA_INPUTS!C252</f>
        <v>6979.0077246996079</v>
      </c>
      <c r="E153" s="307">
        <f>RAW_DATA_INPUTS!D235+RAW_DATA_INPUTS!D252</f>
        <v>6411.1199913941964</v>
      </c>
      <c r="F153" s="307">
        <f>RAW_DATA_INPUTS!E235+RAW_DATA_INPUTS!E252</f>
        <v>5920.5517301384343</v>
      </c>
      <c r="G153" s="307">
        <f>RAW_DATA_INPUTS!F235+RAW_DATA_INPUTS!F252</f>
        <v>5329.4619999999995</v>
      </c>
      <c r="H153" s="710"/>
      <c r="I153" s="710"/>
      <c r="J153" s="710"/>
      <c r="K153" s="710"/>
      <c r="L153" s="710"/>
      <c r="M153" s="710"/>
      <c r="N153" s="710"/>
      <c r="O153" s="710"/>
      <c r="P153" s="710"/>
      <c r="Q153" s="710"/>
      <c r="R153" s="710"/>
      <c r="S153" s="710"/>
      <c r="T153" s="710"/>
    </row>
    <row r="154" spans="2:20">
      <c r="B154" s="326" t="s">
        <v>910</v>
      </c>
      <c r="C154" s="324"/>
      <c r="D154" s="324"/>
      <c r="E154" s="324"/>
      <c r="F154" s="324"/>
      <c r="G154" s="711"/>
      <c r="H154" s="324"/>
      <c r="I154" s="324">
        <f>Retirements_over_time!C34-Retirements_over_time!C14</f>
        <v>6661.2722983722251</v>
      </c>
      <c r="J154" s="324">
        <f>Retirements_over_time!D34-Retirements_over_time!D14</f>
        <v>6265.0219022993324</v>
      </c>
      <c r="K154" s="324">
        <f>Retirements_over_time!E34-Retirements_over_time!E14</f>
        <v>5930.1010555610028</v>
      </c>
      <c r="L154" s="324">
        <f>Retirements_over_time!F34-Retirements_over_time!F14</f>
        <v>5696.5148537332207</v>
      </c>
      <c r="M154" s="324">
        <f>Retirements_over_time!G34-Retirements_over_time!G14</f>
        <v>5546.9866714527416</v>
      </c>
      <c r="N154" s="324">
        <f>Retirements_over_time!H34-Retirements_over_time!H14</f>
        <v>5453.0060883042634</v>
      </c>
      <c r="O154" s="324">
        <f>Retirements_over_time!I34-Retirements_over_time!I14</f>
        <v>5407.8677434806095</v>
      </c>
      <c r="P154" s="324">
        <f>Retirements_over_time!J34-Retirements_over_time!J14</f>
        <v>5401.3660845854711</v>
      </c>
      <c r="Q154" s="324">
        <f>Retirements_over_time!K34-Retirements_over_time!K14</f>
        <v>5412.4898858963006</v>
      </c>
      <c r="R154" s="324">
        <f>Retirements_over_time!L34-Retirements_over_time!L14</f>
        <v>5416.8660713723675</v>
      </c>
      <c r="S154" s="324">
        <f>Retirements_over_time!M34-Retirements_over_time!M14</f>
        <v>5424.2033349457161</v>
      </c>
      <c r="T154" s="324">
        <f>Retirements_over_time!N34-Retirements_over_time!N14</f>
        <v>5430.6554752320371</v>
      </c>
    </row>
    <row r="160" spans="2:20">
      <c r="L160" s="325" t="s">
        <v>1278</v>
      </c>
    </row>
    <row r="162" spans="12:12">
      <c r="L162" s="325" t="s">
        <v>1279</v>
      </c>
    </row>
    <row r="164" spans="12:12">
      <c r="L164" s="325" t="s">
        <v>1424</v>
      </c>
    </row>
    <row r="166" spans="12:12">
      <c r="L166" s="325" t="s">
        <v>1280</v>
      </c>
    </row>
    <row r="168" spans="12:12">
      <c r="L168" s="325" t="s">
        <v>1291</v>
      </c>
    </row>
    <row r="177" spans="2:20">
      <c r="B177" s="341" t="s">
        <v>911</v>
      </c>
    </row>
    <row r="179" spans="2:20">
      <c r="B179" s="326" t="s">
        <v>352</v>
      </c>
      <c r="C179" s="709" t="str">
        <f>C24</f>
        <v>2010/11</v>
      </c>
      <c r="D179" s="709" t="str">
        <f t="shared" ref="D179:T179" si="11">D24</f>
        <v>2011/12</v>
      </c>
      <c r="E179" s="709" t="str">
        <f t="shared" si="11"/>
        <v>2012/13</v>
      </c>
      <c r="F179" s="709" t="str">
        <f t="shared" si="11"/>
        <v>2013/14</v>
      </c>
      <c r="G179" s="709" t="str">
        <f t="shared" si="11"/>
        <v>2014/15</v>
      </c>
      <c r="H179" s="709" t="str">
        <f t="shared" si="11"/>
        <v>2015/16</v>
      </c>
      <c r="I179" s="709" t="str">
        <f t="shared" si="11"/>
        <v>2016/17</v>
      </c>
      <c r="J179" s="709" t="str">
        <f t="shared" si="11"/>
        <v>2017/18</v>
      </c>
      <c r="K179" s="709" t="str">
        <f t="shared" si="11"/>
        <v>2018/19</v>
      </c>
      <c r="L179" s="709" t="str">
        <f t="shared" si="11"/>
        <v>2019/20</v>
      </c>
      <c r="M179" s="709" t="str">
        <f t="shared" si="11"/>
        <v>2020/21</v>
      </c>
      <c r="N179" s="709" t="str">
        <f t="shared" si="11"/>
        <v>2021/22</v>
      </c>
      <c r="O179" s="709" t="str">
        <f t="shared" si="11"/>
        <v>2022/23</v>
      </c>
      <c r="P179" s="709" t="str">
        <f t="shared" si="11"/>
        <v>2023/24</v>
      </c>
      <c r="Q179" s="709" t="str">
        <f t="shared" si="11"/>
        <v>2024/25</v>
      </c>
      <c r="R179" s="709" t="str">
        <f t="shared" si="11"/>
        <v>2025/26</v>
      </c>
      <c r="S179" s="709" t="str">
        <f t="shared" si="11"/>
        <v>2026/27</v>
      </c>
      <c r="T179" s="709" t="str">
        <f t="shared" si="11"/>
        <v>2027/28</v>
      </c>
    </row>
    <row r="180" spans="2:20">
      <c r="B180" s="363" t="s">
        <v>966</v>
      </c>
      <c r="C180" s="449">
        <f>C151/C25</f>
        <v>3.1192392741321545E-2</v>
      </c>
      <c r="D180" s="449">
        <f>D151/D25</f>
        <v>3.0164174187841973E-2</v>
      </c>
      <c r="E180" s="449">
        <f>E151/E25</f>
        <v>2.7315723186509759E-2</v>
      </c>
      <c r="F180" s="449">
        <f>F151/F25</f>
        <v>2.5690554969858413E-2</v>
      </c>
      <c r="G180" s="449">
        <f>G151/G25</f>
        <v>2.0644772834116091E-2</v>
      </c>
      <c r="H180" s="449"/>
      <c r="I180" s="449"/>
      <c r="J180" s="449"/>
      <c r="K180" s="449"/>
      <c r="L180" s="449"/>
      <c r="M180" s="449"/>
      <c r="N180" s="449"/>
      <c r="O180" s="449"/>
      <c r="P180" s="449"/>
      <c r="Q180" s="449"/>
      <c r="R180" s="449"/>
      <c r="S180" s="449"/>
      <c r="T180" s="449"/>
    </row>
    <row r="181" spans="2:20">
      <c r="B181" s="363" t="s">
        <v>967</v>
      </c>
      <c r="C181" s="449"/>
      <c r="D181" s="449"/>
      <c r="E181" s="449"/>
      <c r="F181" s="449"/>
      <c r="G181" s="449"/>
      <c r="H181" s="539"/>
      <c r="I181" s="539">
        <f t="shared" ref="I181:T181" si="12">I152/I26</f>
        <v>2.5455779990930905E-2</v>
      </c>
      <c r="J181" s="539">
        <f t="shared" si="12"/>
        <v>2.4409239041921275E-2</v>
      </c>
      <c r="K181" s="539">
        <f t="shared" si="12"/>
        <v>2.3535350633409773E-2</v>
      </c>
      <c r="L181" s="539">
        <f t="shared" si="12"/>
        <v>2.2868501694322061E-2</v>
      </c>
      <c r="M181" s="539">
        <f t="shared" si="12"/>
        <v>2.2324809993576118E-2</v>
      </c>
      <c r="N181" s="539">
        <f t="shared" si="12"/>
        <v>2.1961649312160353E-2</v>
      </c>
      <c r="O181" s="539">
        <f t="shared" si="12"/>
        <v>2.1734522203292788E-2</v>
      </c>
      <c r="P181" s="449">
        <f t="shared" si="12"/>
        <v>2.1598492501938332E-2</v>
      </c>
      <c r="Q181" s="449">
        <f t="shared" si="12"/>
        <v>2.1463309136651006E-2</v>
      </c>
      <c r="R181" s="449">
        <f t="shared" si="12"/>
        <v>2.1367238347126102E-2</v>
      </c>
      <c r="S181" s="449">
        <f t="shared" si="12"/>
        <v>2.1319565366151667E-2</v>
      </c>
      <c r="T181" s="449">
        <f t="shared" si="12"/>
        <v>2.130911296323219E-2</v>
      </c>
    </row>
    <row r="182" spans="2:20">
      <c r="B182" s="363" t="s">
        <v>968</v>
      </c>
      <c r="C182" s="449">
        <f>C153/C27</f>
        <v>3.5658766029197701E-2</v>
      </c>
      <c r="D182" s="449">
        <f>D153/D27</f>
        <v>3.1840921003481494E-2</v>
      </c>
      <c r="E182" s="449">
        <f>E153/E27</f>
        <v>2.9148862159675826E-2</v>
      </c>
      <c r="F182" s="449">
        <f>F153/F27</f>
        <v>2.7180419547140542E-2</v>
      </c>
      <c r="G182" s="449">
        <f>G153/G27</f>
        <v>2.4711913350376816E-2</v>
      </c>
      <c r="H182" s="539"/>
      <c r="I182" s="539"/>
      <c r="J182" s="539"/>
      <c r="K182" s="539"/>
      <c r="L182" s="539"/>
      <c r="M182" s="539"/>
      <c r="N182" s="539"/>
      <c r="O182" s="539"/>
      <c r="P182" s="449"/>
      <c r="Q182" s="449"/>
      <c r="R182" s="449"/>
      <c r="S182" s="449"/>
      <c r="T182" s="449"/>
    </row>
    <row r="183" spans="2:20">
      <c r="B183" s="363" t="s">
        <v>969</v>
      </c>
      <c r="C183" s="449"/>
      <c r="D183" s="449"/>
      <c r="E183" s="449"/>
      <c r="F183" s="449"/>
      <c r="G183" s="449"/>
      <c r="H183" s="539"/>
      <c r="I183" s="539">
        <f t="shared" ref="I183:T183" si="13">I154/I28</f>
        <v>3.1130931232025701E-2</v>
      </c>
      <c r="J183" s="539">
        <f t="shared" si="13"/>
        <v>2.9079012428741915E-2</v>
      </c>
      <c r="K183" s="539">
        <f t="shared" si="13"/>
        <v>2.7244091238633594E-2</v>
      </c>
      <c r="L183" s="539">
        <f t="shared" si="13"/>
        <v>2.5879956185645526E-2</v>
      </c>
      <c r="M183" s="539">
        <f t="shared" si="13"/>
        <v>2.4977063876930699E-2</v>
      </c>
      <c r="N183" s="539">
        <f t="shared" si="13"/>
        <v>2.4342403219217722E-2</v>
      </c>
      <c r="O183" s="539">
        <f t="shared" si="13"/>
        <v>2.3916438219375922E-2</v>
      </c>
      <c r="P183" s="449">
        <f t="shared" si="13"/>
        <v>2.3699228377616021E-2</v>
      </c>
      <c r="Q183" s="449">
        <f t="shared" si="13"/>
        <v>2.3679941480356608E-2</v>
      </c>
      <c r="R183" s="449">
        <f t="shared" si="13"/>
        <v>2.3672616127153358E-2</v>
      </c>
      <c r="S183" s="449">
        <f t="shared" si="13"/>
        <v>2.3716449074006593E-2</v>
      </c>
      <c r="T183" s="449">
        <f t="shared" si="13"/>
        <v>2.3778216877774459E-2</v>
      </c>
    </row>
    <row r="189" spans="2:20">
      <c r="L189" s="325" t="s">
        <v>1278</v>
      </c>
    </row>
    <row r="191" spans="2:20">
      <c r="L191" s="325" t="s">
        <v>1279</v>
      </c>
    </row>
    <row r="193" spans="2:12">
      <c r="L193" s="325" t="s">
        <v>1424</v>
      </c>
    </row>
    <row r="195" spans="2:12">
      <c r="L195" s="325" t="s">
        <v>1280</v>
      </c>
    </row>
    <row r="197" spans="2:12">
      <c r="L197" s="325" t="s">
        <v>1291</v>
      </c>
    </row>
    <row r="207" spans="2:12">
      <c r="B207" s="341" t="s">
        <v>921</v>
      </c>
    </row>
    <row r="209" spans="2:20">
      <c r="B209" s="326" t="s">
        <v>352</v>
      </c>
      <c r="C209" s="709" t="str">
        <f>C24</f>
        <v>2010/11</v>
      </c>
      <c r="D209" s="709" t="str">
        <f t="shared" ref="D209:T209" si="14">D24</f>
        <v>2011/12</v>
      </c>
      <c r="E209" s="709" t="str">
        <f t="shared" si="14"/>
        <v>2012/13</v>
      </c>
      <c r="F209" s="709" t="str">
        <f t="shared" si="14"/>
        <v>2013/14</v>
      </c>
      <c r="G209" s="709" t="str">
        <f t="shared" si="14"/>
        <v>2014/15</v>
      </c>
      <c r="H209" s="709" t="str">
        <f t="shared" si="14"/>
        <v>2015/16</v>
      </c>
      <c r="I209" s="709" t="str">
        <f t="shared" si="14"/>
        <v>2016/17</v>
      </c>
      <c r="J209" s="709" t="str">
        <f t="shared" si="14"/>
        <v>2017/18</v>
      </c>
      <c r="K209" s="709" t="str">
        <f t="shared" si="14"/>
        <v>2018/19</v>
      </c>
      <c r="L209" s="709" t="str">
        <f t="shared" si="14"/>
        <v>2019/20</v>
      </c>
      <c r="M209" s="709" t="str">
        <f t="shared" si="14"/>
        <v>2020/21</v>
      </c>
      <c r="N209" s="709" t="str">
        <f t="shared" si="14"/>
        <v>2021/22</v>
      </c>
      <c r="O209" s="709" t="str">
        <f t="shared" si="14"/>
        <v>2022/23</v>
      </c>
      <c r="P209" s="709" t="str">
        <f t="shared" si="14"/>
        <v>2023/24</v>
      </c>
      <c r="Q209" s="709" t="str">
        <f t="shared" si="14"/>
        <v>2024/25</v>
      </c>
      <c r="R209" s="709" t="str">
        <f t="shared" si="14"/>
        <v>2025/26</v>
      </c>
      <c r="S209" s="709" t="str">
        <f t="shared" si="14"/>
        <v>2026/27</v>
      </c>
      <c r="T209" s="709" t="str">
        <f t="shared" si="14"/>
        <v>2027/28</v>
      </c>
    </row>
    <row r="210" spans="2:20">
      <c r="B210" s="326" t="s">
        <v>913</v>
      </c>
      <c r="C210" s="444">
        <v>108.32561868123376</v>
      </c>
      <c r="D210" s="307">
        <f>RAW_DATA_INPUTS!I278+RAW_DATA_INPUTS!I295</f>
        <v>123.78999256339159</v>
      </c>
      <c r="E210" s="307">
        <f>RAW_DATA_INPUTS!J278+RAW_DATA_INPUTS!J295</f>
        <v>81.188469372073087</v>
      </c>
      <c r="F210" s="307">
        <f>RAW_DATA_INPUTS!K278+RAW_DATA_INPUTS!K295</f>
        <v>97.700202673964625</v>
      </c>
      <c r="G210" s="307">
        <f>RAW_DATA_INPUTS!L278+RAW_DATA_INPUTS!L295</f>
        <v>97.700202673964625</v>
      </c>
      <c r="H210" s="710"/>
      <c r="I210" s="710"/>
      <c r="J210" s="710"/>
      <c r="K210" s="710"/>
      <c r="L210" s="710"/>
      <c r="M210" s="710"/>
      <c r="N210" s="710"/>
      <c r="O210" s="710"/>
      <c r="P210" s="710"/>
      <c r="Q210" s="710"/>
      <c r="R210" s="710"/>
      <c r="S210" s="710"/>
      <c r="T210" s="710"/>
    </row>
    <row r="211" spans="2:20">
      <c r="B211" s="326" t="s">
        <v>914</v>
      </c>
      <c r="C211" s="324"/>
      <c r="D211" s="324"/>
      <c r="E211" s="324"/>
      <c r="F211" s="324"/>
      <c r="G211" s="711"/>
      <c r="H211" s="324"/>
      <c r="I211" s="324">
        <f>Deaths_over_time!C14</f>
        <v>102.25039017757025</v>
      </c>
      <c r="J211" s="324">
        <f>Deaths_over_time!D14</f>
        <v>101.57911714039349</v>
      </c>
      <c r="K211" s="324">
        <f>Deaths_over_time!E14</f>
        <v>101.10775246428955</v>
      </c>
      <c r="L211" s="324">
        <f>Deaths_over_time!F14</f>
        <v>100.81424732298102</v>
      </c>
      <c r="M211" s="324">
        <f>Deaths_over_time!G14</f>
        <v>100.61089583646418</v>
      </c>
      <c r="N211" s="324">
        <f>Deaths_over_time!H14</f>
        <v>100.61764922688974</v>
      </c>
      <c r="O211" s="324">
        <f>Deaths_over_time!I14</f>
        <v>100.65859833230809</v>
      </c>
      <c r="P211" s="324">
        <f>Deaths_over_time!J14</f>
        <v>100.65710240801671</v>
      </c>
      <c r="Q211" s="324">
        <f>Deaths_over_time!K14</f>
        <v>100.61003874402275</v>
      </c>
      <c r="R211" s="324">
        <f>Deaths_over_time!L14</f>
        <v>100.70970553141466</v>
      </c>
      <c r="S211" s="324">
        <f>Deaths_over_time!M14</f>
        <v>100.91041036968649</v>
      </c>
      <c r="T211" s="324">
        <f>Deaths_over_time!N14</f>
        <v>101.11318991544755</v>
      </c>
    </row>
    <row r="212" spans="2:20">
      <c r="B212" s="326" t="s">
        <v>915</v>
      </c>
      <c r="C212" s="444">
        <v>125.67159650001329</v>
      </c>
      <c r="D212" s="307">
        <f>RAW_DATA_INPUTS!C278+RAW_DATA_INPUTS!C295</f>
        <v>125.43187980730896</v>
      </c>
      <c r="E212" s="307">
        <f>RAW_DATA_INPUTS!D278+RAW_DATA_INPUTS!D295</f>
        <v>105.5678073493911</v>
      </c>
      <c r="F212" s="307">
        <f>RAW_DATA_INPUTS!E278+RAW_DATA_INPUTS!E295</f>
        <v>108.77852307632574</v>
      </c>
      <c r="G212" s="307">
        <f>RAW_DATA_INPUTS!F278+RAW_DATA_INPUTS!F295</f>
        <v>108.77852307632574</v>
      </c>
      <c r="H212" s="710"/>
      <c r="I212" s="710"/>
      <c r="J212" s="710"/>
      <c r="K212" s="710"/>
      <c r="L212" s="710"/>
      <c r="M212" s="710"/>
      <c r="N212" s="710"/>
      <c r="O212" s="710"/>
      <c r="P212" s="710"/>
      <c r="Q212" s="710"/>
      <c r="R212" s="710"/>
      <c r="S212" s="710"/>
      <c r="T212" s="710"/>
    </row>
    <row r="213" spans="2:20">
      <c r="B213" s="326" t="s">
        <v>916</v>
      </c>
      <c r="C213" s="324"/>
      <c r="D213" s="324"/>
      <c r="E213" s="324"/>
      <c r="F213" s="324"/>
      <c r="G213" s="711"/>
      <c r="H213" s="324"/>
      <c r="I213" s="324">
        <f>Deaths_over_time!C34-Deaths_over_time!C14</f>
        <v>123.68578089245334</v>
      </c>
      <c r="J213" s="324">
        <f>Deaths_over_time!D34-Deaths_over_time!D14</f>
        <v>123.14732387966208</v>
      </c>
      <c r="K213" s="324">
        <f>Deaths_over_time!E34-Deaths_over_time!E14</f>
        <v>121.6294595075795</v>
      </c>
      <c r="L213" s="324">
        <f>Deaths_over_time!F34-Deaths_over_time!F14</f>
        <v>120.28621766306732</v>
      </c>
      <c r="M213" s="324">
        <f>Deaths_over_time!G34-Deaths_over_time!G14</f>
        <v>119.33635937226165</v>
      </c>
      <c r="N213" s="324">
        <f>Deaths_over_time!H34-Deaths_over_time!H14</f>
        <v>118.66665627160998</v>
      </c>
      <c r="O213" s="324">
        <f>Deaths_over_time!I34-Deaths_over_time!I14</f>
        <v>118.41705076740766</v>
      </c>
      <c r="P213" s="324">
        <f>Deaths_over_time!J34-Deaths_over_time!J14</f>
        <v>118.59125915094695</v>
      </c>
      <c r="Q213" s="324">
        <f>Deaths_over_time!K34-Deaths_over_time!K14</f>
        <v>118.92558728612261</v>
      </c>
      <c r="R213" s="324">
        <f>Deaths_over_time!L34-Deaths_over_time!L14</f>
        <v>119.02919117248818</v>
      </c>
      <c r="S213" s="324">
        <f>Deaths_over_time!M34-Deaths_over_time!M14</f>
        <v>119.11818540957348</v>
      </c>
      <c r="T213" s="324">
        <f>Deaths_over_time!N34-Deaths_over_time!N14</f>
        <v>119.15373928221817</v>
      </c>
    </row>
    <row r="236" spans="2:20">
      <c r="B236" s="341" t="s">
        <v>912</v>
      </c>
    </row>
    <row r="238" spans="2:20">
      <c r="B238" s="326" t="s">
        <v>352</v>
      </c>
      <c r="C238" s="709" t="str">
        <f>C24</f>
        <v>2010/11</v>
      </c>
      <c r="D238" s="709" t="str">
        <f t="shared" ref="D238:T238" si="15">D24</f>
        <v>2011/12</v>
      </c>
      <c r="E238" s="709" t="str">
        <f t="shared" si="15"/>
        <v>2012/13</v>
      </c>
      <c r="F238" s="709" t="str">
        <f t="shared" si="15"/>
        <v>2013/14</v>
      </c>
      <c r="G238" s="709" t="str">
        <f t="shared" si="15"/>
        <v>2014/15</v>
      </c>
      <c r="H238" s="709" t="str">
        <f t="shared" si="15"/>
        <v>2015/16</v>
      </c>
      <c r="I238" s="709" t="str">
        <f t="shared" si="15"/>
        <v>2016/17</v>
      </c>
      <c r="J238" s="709" t="str">
        <f t="shared" si="15"/>
        <v>2017/18</v>
      </c>
      <c r="K238" s="709" t="str">
        <f t="shared" si="15"/>
        <v>2018/19</v>
      </c>
      <c r="L238" s="709" t="str">
        <f t="shared" si="15"/>
        <v>2019/20</v>
      </c>
      <c r="M238" s="709" t="str">
        <f t="shared" si="15"/>
        <v>2020/21</v>
      </c>
      <c r="N238" s="709" t="str">
        <f t="shared" si="15"/>
        <v>2021/22</v>
      </c>
      <c r="O238" s="709" t="str">
        <f t="shared" si="15"/>
        <v>2022/23</v>
      </c>
      <c r="P238" s="709" t="str">
        <f t="shared" si="15"/>
        <v>2023/24</v>
      </c>
      <c r="Q238" s="709" t="str">
        <f t="shared" si="15"/>
        <v>2024/25</v>
      </c>
      <c r="R238" s="709" t="str">
        <f t="shared" si="15"/>
        <v>2025/26</v>
      </c>
      <c r="S238" s="709" t="str">
        <f t="shared" si="15"/>
        <v>2026/27</v>
      </c>
      <c r="T238" s="709" t="str">
        <f t="shared" si="15"/>
        <v>2027/28</v>
      </c>
    </row>
    <row r="239" spans="2:20">
      <c r="B239" s="326" t="s">
        <v>970</v>
      </c>
      <c r="C239" s="164">
        <f>C210/C25</f>
        <v>4.9964984795271533E-4</v>
      </c>
      <c r="D239" s="164">
        <f>D210/D25</f>
        <v>5.6329816827879937E-4</v>
      </c>
      <c r="E239" s="164">
        <f>E210/E25</f>
        <v>3.6033978979403794E-4</v>
      </c>
      <c r="F239" s="164">
        <f>F210/F25</f>
        <v>4.2400526141250062E-4</v>
      </c>
      <c r="G239" s="164">
        <f>G210/G25</f>
        <v>4.14998149286098E-4</v>
      </c>
      <c r="H239" s="164"/>
      <c r="I239" s="164"/>
      <c r="J239" s="164"/>
      <c r="K239" s="164"/>
      <c r="L239" s="164"/>
      <c r="M239" s="164"/>
      <c r="N239" s="164"/>
      <c r="O239" s="164"/>
      <c r="P239" s="164"/>
      <c r="Q239" s="164"/>
      <c r="R239" s="164"/>
      <c r="S239" s="164"/>
      <c r="T239" s="164"/>
    </row>
    <row r="240" spans="2:20">
      <c r="B240" s="326" t="s">
        <v>971</v>
      </c>
      <c r="C240" s="164"/>
      <c r="D240" s="164"/>
      <c r="E240" s="164"/>
      <c r="F240" s="164"/>
      <c r="G240" s="164"/>
      <c r="H240" s="164"/>
      <c r="I240" s="164">
        <f t="shared" ref="I240:T240" si="16">I211/I26</f>
        <v>4.2201658944890895E-4</v>
      </c>
      <c r="J240" s="164">
        <f t="shared" si="16"/>
        <v>4.1662116822420642E-4</v>
      </c>
      <c r="K240" s="164">
        <f t="shared" si="16"/>
        <v>4.1357430984416378E-4</v>
      </c>
      <c r="L240" s="164">
        <f t="shared" si="16"/>
        <v>4.1233987097487361E-4</v>
      </c>
      <c r="M240" s="164">
        <f t="shared" si="16"/>
        <v>4.110651617124226E-4</v>
      </c>
      <c r="N240" s="164">
        <f t="shared" si="16"/>
        <v>4.1095634289828976E-4</v>
      </c>
      <c r="O240" s="164">
        <f t="shared" si="16"/>
        <v>4.1147923306410347E-4</v>
      </c>
      <c r="P240" s="164">
        <f t="shared" si="16"/>
        <v>4.1213486561740516E-4</v>
      </c>
      <c r="Q240" s="164">
        <f t="shared" si="16"/>
        <v>4.11542477849304E-4</v>
      </c>
      <c r="R240" s="164">
        <f t="shared" si="16"/>
        <v>4.1079649000743421E-4</v>
      </c>
      <c r="S240" s="164">
        <f t="shared" si="16"/>
        <v>4.103750303073398E-4</v>
      </c>
      <c r="T240" s="164">
        <f t="shared" si="16"/>
        <v>4.1027227117937555E-4</v>
      </c>
    </row>
    <row r="241" spans="2:20">
      <c r="B241" s="326" t="s">
        <v>972</v>
      </c>
      <c r="C241" s="164">
        <f>C212/C27</f>
        <v>5.6634169640991741E-4</v>
      </c>
      <c r="D241" s="164">
        <f>D212/D27</f>
        <v>5.7226854214932328E-4</v>
      </c>
      <c r="E241" s="164">
        <f>E212/E27</f>
        <v>4.7997564685377746E-4</v>
      </c>
      <c r="F241" s="164">
        <f>F212/F27</f>
        <v>4.9938688650959739E-4</v>
      </c>
      <c r="G241" s="164">
        <f>G212/G27</f>
        <v>5.0438964320303375E-4</v>
      </c>
      <c r="H241" s="164"/>
      <c r="I241" s="164"/>
      <c r="J241" s="164"/>
      <c r="K241" s="164"/>
      <c r="L241" s="164"/>
      <c r="M241" s="164"/>
      <c r="N241" s="164"/>
      <c r="O241" s="164"/>
      <c r="P241" s="164"/>
      <c r="Q241" s="164"/>
      <c r="R241" s="164"/>
      <c r="S241" s="164"/>
      <c r="T241" s="164"/>
    </row>
    <row r="242" spans="2:20">
      <c r="B242" s="326" t="s">
        <v>973</v>
      </c>
      <c r="C242" s="164"/>
      <c r="D242" s="164"/>
      <c r="E242" s="164"/>
      <c r="F242" s="164"/>
      <c r="G242" s="164"/>
      <c r="H242" s="164"/>
      <c r="I242" s="164">
        <f t="shared" ref="I242:T242" si="17">I213/I28</f>
        <v>5.7803575156104567E-4</v>
      </c>
      <c r="J242" s="164">
        <f t="shared" si="17"/>
        <v>5.7158659897880515E-4</v>
      </c>
      <c r="K242" s="164">
        <f t="shared" si="17"/>
        <v>5.5879049295842103E-4</v>
      </c>
      <c r="L242" s="164">
        <f t="shared" si="17"/>
        <v>5.4647483993078543E-4</v>
      </c>
      <c r="M242" s="164">
        <f t="shared" si="17"/>
        <v>5.3734974454169848E-4</v>
      </c>
      <c r="N242" s="164">
        <f t="shared" si="17"/>
        <v>5.2973195864120654E-4</v>
      </c>
      <c r="O242" s="164">
        <f t="shared" si="17"/>
        <v>5.2370254102712265E-4</v>
      </c>
      <c r="P242" s="164">
        <f t="shared" si="17"/>
        <v>5.2033528003740768E-4</v>
      </c>
      <c r="Q242" s="164">
        <f t="shared" si="17"/>
        <v>5.2030599720669492E-4</v>
      </c>
      <c r="R242" s="164">
        <f t="shared" si="17"/>
        <v>5.2017759225086199E-4</v>
      </c>
      <c r="S242" s="164">
        <f t="shared" si="17"/>
        <v>5.2082494029189949E-4</v>
      </c>
      <c r="T242" s="164">
        <f t="shared" si="17"/>
        <v>5.2171666337005483E-4</v>
      </c>
    </row>
    <row r="266" spans="2:20">
      <c r="B266" s="341" t="s">
        <v>1072</v>
      </c>
    </row>
    <row r="268" spans="2:20">
      <c r="B268" s="326" t="s">
        <v>352</v>
      </c>
      <c r="C268" s="709" t="str">
        <f>C24</f>
        <v>2010/11</v>
      </c>
      <c r="D268" s="709" t="str">
        <f t="shared" ref="D268:T268" si="18">D24</f>
        <v>2011/12</v>
      </c>
      <c r="E268" s="709" t="str">
        <f t="shared" si="18"/>
        <v>2012/13</v>
      </c>
      <c r="F268" s="709" t="str">
        <f t="shared" si="18"/>
        <v>2013/14</v>
      </c>
      <c r="G268" s="709" t="str">
        <f t="shared" si="18"/>
        <v>2014/15</v>
      </c>
      <c r="H268" s="709" t="str">
        <f t="shared" si="18"/>
        <v>2015/16</v>
      </c>
      <c r="I268" s="709" t="str">
        <f t="shared" si="18"/>
        <v>2016/17</v>
      </c>
      <c r="J268" s="709" t="str">
        <f t="shared" si="18"/>
        <v>2017/18</v>
      </c>
      <c r="K268" s="709" t="str">
        <f t="shared" si="18"/>
        <v>2018/19</v>
      </c>
      <c r="L268" s="709" t="str">
        <f t="shared" si="18"/>
        <v>2019/20</v>
      </c>
      <c r="M268" s="709" t="str">
        <f t="shared" si="18"/>
        <v>2020/21</v>
      </c>
      <c r="N268" s="709" t="str">
        <f t="shared" si="18"/>
        <v>2021/22</v>
      </c>
      <c r="O268" s="709" t="str">
        <f t="shared" si="18"/>
        <v>2022/23</v>
      </c>
      <c r="P268" s="709" t="str">
        <f t="shared" si="18"/>
        <v>2023/24</v>
      </c>
      <c r="Q268" s="709" t="str">
        <f t="shared" si="18"/>
        <v>2024/25</v>
      </c>
      <c r="R268" s="709" t="str">
        <f t="shared" si="18"/>
        <v>2025/26</v>
      </c>
      <c r="S268" s="709" t="str">
        <f t="shared" si="18"/>
        <v>2026/27</v>
      </c>
      <c r="T268" s="709" t="str">
        <f t="shared" si="18"/>
        <v>2027/28</v>
      </c>
    </row>
    <row r="269" spans="2:20">
      <c r="B269" s="326" t="s">
        <v>1073</v>
      </c>
      <c r="C269" s="459"/>
      <c r="D269" s="459">
        <f>D210+D151+D87</f>
        <v>20111.489062167639</v>
      </c>
      <c r="E269" s="459">
        <f>E210+E151+E87</f>
        <v>21510.41466506775</v>
      </c>
      <c r="F269" s="459">
        <f>F210+F151+F87</f>
        <v>23974.348859006604</v>
      </c>
      <c r="G269" s="459">
        <f>G210+G151+G87</f>
        <v>24711.396202673968</v>
      </c>
      <c r="H269" s="459"/>
      <c r="I269" s="459"/>
      <c r="J269" s="459"/>
      <c r="K269" s="459"/>
      <c r="L269" s="459"/>
      <c r="M269" s="459"/>
      <c r="N269" s="459"/>
      <c r="O269" s="459"/>
      <c r="P269" s="459"/>
      <c r="Q269" s="459"/>
      <c r="R269" s="459"/>
      <c r="S269" s="459"/>
      <c r="T269" s="459"/>
    </row>
    <row r="270" spans="2:20">
      <c r="B270" s="326" t="s">
        <v>1074</v>
      </c>
      <c r="C270" s="459"/>
      <c r="D270" s="459"/>
      <c r="E270" s="459"/>
      <c r="F270" s="459"/>
      <c r="G270" s="459"/>
      <c r="H270" s="459"/>
      <c r="I270" s="459">
        <f t="shared" ref="I270:T270" si="19">I211+I152+I88</f>
        <v>24480.216651135612</v>
      </c>
      <c r="J270" s="459">
        <f t="shared" si="19"/>
        <v>24578.475696386551</v>
      </c>
      <c r="K270" s="459">
        <f t="shared" si="19"/>
        <v>24557.665343385146</v>
      </c>
      <c r="L270" s="459">
        <f t="shared" si="19"/>
        <v>24489.006125456497</v>
      </c>
      <c r="M270" s="459">
        <f t="shared" si="19"/>
        <v>24393.522064596204</v>
      </c>
      <c r="N270" s="459">
        <f t="shared" si="19"/>
        <v>24351.019964927757</v>
      </c>
      <c r="O270" s="459">
        <f t="shared" si="19"/>
        <v>24313.92432163619</v>
      </c>
      <c r="P270" s="459">
        <f t="shared" si="19"/>
        <v>24265.98057880966</v>
      </c>
      <c r="Q270" s="459">
        <f t="shared" si="19"/>
        <v>24213.306306154522</v>
      </c>
      <c r="R270" s="459">
        <f t="shared" si="19"/>
        <v>24230.21971203326</v>
      </c>
      <c r="S270" s="459">
        <f t="shared" si="19"/>
        <v>24295.593809340098</v>
      </c>
      <c r="T270" s="459">
        <f t="shared" si="19"/>
        <v>24368.773599764347</v>
      </c>
    </row>
    <row r="271" spans="2:20">
      <c r="B271" s="326" t="s">
        <v>1075</v>
      </c>
      <c r="C271" s="459"/>
      <c r="D271" s="459">
        <f>D212+D153+D89</f>
        <v>21107.755327273022</v>
      </c>
      <c r="E271" s="459">
        <f>E212+E153+E89</f>
        <v>22199.709776174088</v>
      </c>
      <c r="F271" s="459">
        <f>F212+F153+F89</f>
        <v>23452.695173316952</v>
      </c>
      <c r="G271" s="459">
        <f>G212+G153+G89</f>
        <v>24493.036523076324</v>
      </c>
      <c r="H271" s="459"/>
      <c r="I271" s="459"/>
      <c r="J271" s="459"/>
      <c r="K271" s="459"/>
      <c r="L271" s="459"/>
      <c r="M271" s="459"/>
      <c r="N271" s="459"/>
      <c r="O271" s="459"/>
      <c r="P271" s="459"/>
      <c r="Q271" s="459"/>
      <c r="R271" s="459"/>
      <c r="S271" s="459"/>
      <c r="T271" s="459"/>
    </row>
    <row r="272" spans="2:20">
      <c r="B272" s="326" t="s">
        <v>1076</v>
      </c>
      <c r="C272" s="459"/>
      <c r="D272" s="459"/>
      <c r="E272" s="459"/>
      <c r="F272" s="459"/>
      <c r="G272" s="459"/>
      <c r="H272" s="459"/>
      <c r="I272" s="459">
        <f t="shared" ref="I272:T272" si="20">I213+I154+I90</f>
        <v>23463.043780670028</v>
      </c>
      <c r="J272" s="459">
        <f t="shared" si="20"/>
        <v>23392.094069277864</v>
      </c>
      <c r="K272" s="459">
        <f t="shared" si="20"/>
        <v>23298.883316824395</v>
      </c>
      <c r="L272" s="459">
        <f t="shared" si="20"/>
        <v>23349.689242889093</v>
      </c>
      <c r="M272" s="459">
        <f t="shared" si="20"/>
        <v>23479.827727487391</v>
      </c>
      <c r="N272" s="459">
        <f t="shared" si="20"/>
        <v>23597.583464380175</v>
      </c>
      <c r="O272" s="459">
        <f t="shared" si="20"/>
        <v>23743.443089489938</v>
      </c>
      <c r="P272" s="459">
        <f t="shared" si="20"/>
        <v>23933.074390368813</v>
      </c>
      <c r="Q272" s="459">
        <f t="shared" si="20"/>
        <v>24104.151049874028</v>
      </c>
      <c r="R272" s="459">
        <f t="shared" si="20"/>
        <v>24160.575647543701</v>
      </c>
      <c r="S272" s="459">
        <f t="shared" si="20"/>
        <v>24183.523418636014</v>
      </c>
      <c r="T272" s="459">
        <f t="shared" si="20"/>
        <v>24172.220009996541</v>
      </c>
    </row>
    <row r="295" spans="2:20">
      <c r="B295" s="341" t="s">
        <v>1077</v>
      </c>
    </row>
    <row r="297" spans="2:20">
      <c r="B297" s="326" t="s">
        <v>352</v>
      </c>
      <c r="C297" s="709" t="str">
        <f>C24</f>
        <v>2010/11</v>
      </c>
      <c r="D297" s="709" t="str">
        <f t="shared" ref="D297:T297" si="21">D24</f>
        <v>2011/12</v>
      </c>
      <c r="E297" s="709" t="str">
        <f t="shared" si="21"/>
        <v>2012/13</v>
      </c>
      <c r="F297" s="709" t="str">
        <f t="shared" si="21"/>
        <v>2013/14</v>
      </c>
      <c r="G297" s="709" t="str">
        <f t="shared" si="21"/>
        <v>2014/15</v>
      </c>
      <c r="H297" s="709" t="str">
        <f t="shared" si="21"/>
        <v>2015/16</v>
      </c>
      <c r="I297" s="709" t="str">
        <f t="shared" si="21"/>
        <v>2016/17</v>
      </c>
      <c r="J297" s="709" t="str">
        <f t="shared" si="21"/>
        <v>2017/18</v>
      </c>
      <c r="K297" s="709" t="str">
        <f t="shared" si="21"/>
        <v>2018/19</v>
      </c>
      <c r="L297" s="709" t="str">
        <f t="shared" si="21"/>
        <v>2019/20</v>
      </c>
      <c r="M297" s="709" t="str">
        <f t="shared" si="21"/>
        <v>2020/21</v>
      </c>
      <c r="N297" s="709" t="str">
        <f t="shared" si="21"/>
        <v>2021/22</v>
      </c>
      <c r="O297" s="709" t="str">
        <f t="shared" si="21"/>
        <v>2022/23</v>
      </c>
      <c r="P297" s="709" t="str">
        <f t="shared" si="21"/>
        <v>2023/24</v>
      </c>
      <c r="Q297" s="709" t="str">
        <f t="shared" si="21"/>
        <v>2024/25</v>
      </c>
      <c r="R297" s="709" t="str">
        <f t="shared" si="21"/>
        <v>2025/26</v>
      </c>
      <c r="S297" s="709" t="str">
        <f t="shared" si="21"/>
        <v>2026/27</v>
      </c>
      <c r="T297" s="709" t="str">
        <f t="shared" si="21"/>
        <v>2027/28</v>
      </c>
    </row>
    <row r="298" spans="2:20">
      <c r="B298" s="326" t="s">
        <v>1114</v>
      </c>
      <c r="C298" s="449"/>
      <c r="D298" s="449">
        <f>D269/D25</f>
        <v>9.1515999924442953E-2</v>
      </c>
      <c r="E298" s="449">
        <f>E269/E25</f>
        <v>9.5469939989523758E-2</v>
      </c>
      <c r="F298" s="449">
        <f>F269/F25</f>
        <v>0.10404533232218606</v>
      </c>
      <c r="G298" s="449">
        <f>G269/G25</f>
        <v>0.10496583844977049</v>
      </c>
      <c r="H298" s="449"/>
      <c r="I298" s="449"/>
      <c r="J298" s="449"/>
      <c r="K298" s="449"/>
      <c r="L298" s="449"/>
      <c r="M298" s="449"/>
      <c r="N298" s="449"/>
      <c r="O298" s="449"/>
      <c r="P298" s="449"/>
      <c r="Q298" s="449"/>
      <c r="R298" s="449"/>
      <c r="S298" s="449"/>
      <c r="T298" s="449"/>
    </row>
    <row r="299" spans="2:20">
      <c r="B299" s="326" t="s">
        <v>1115</v>
      </c>
      <c r="C299" s="449"/>
      <c r="D299" s="449"/>
      <c r="E299" s="449"/>
      <c r="F299" s="449"/>
      <c r="G299" s="449"/>
      <c r="H299" s="449"/>
      <c r="I299" s="449">
        <f t="shared" ref="I299:T299" si="22">I270/I26</f>
        <v>0.10103685200752292</v>
      </c>
      <c r="J299" s="449">
        <f t="shared" si="22"/>
        <v>0.10080726773443155</v>
      </c>
      <c r="K299" s="449">
        <f t="shared" si="22"/>
        <v>0.10045144163758973</v>
      </c>
      <c r="L299" s="449">
        <f t="shared" si="22"/>
        <v>0.10016236686986392</v>
      </c>
      <c r="M299" s="449">
        <f t="shared" si="22"/>
        <v>9.9664425098823201E-2</v>
      </c>
      <c r="N299" s="449">
        <f t="shared" si="22"/>
        <v>9.9457761014312765E-2</v>
      </c>
      <c r="O299" s="449">
        <f t="shared" si="22"/>
        <v>9.9392154256079487E-2</v>
      </c>
      <c r="P299" s="449">
        <f t="shared" si="22"/>
        <v>9.9355697766696061E-2</v>
      </c>
      <c r="Q299" s="449">
        <f t="shared" si="22"/>
        <v>9.9043834974678613E-2</v>
      </c>
      <c r="R299" s="449">
        <f t="shared" si="22"/>
        <v>9.8835451432308333E-2</v>
      </c>
      <c r="S299" s="449">
        <f t="shared" si="22"/>
        <v>9.8803532849746911E-2</v>
      </c>
      <c r="T299" s="449">
        <f t="shared" si="22"/>
        <v>9.8877625154459775E-2</v>
      </c>
    </row>
    <row r="300" spans="2:20">
      <c r="B300" s="326" t="s">
        <v>1116</v>
      </c>
      <c r="C300" s="449"/>
      <c r="D300" s="449">
        <f>D271/D27</f>
        <v>9.6301708845786413E-2</v>
      </c>
      <c r="E300" s="449">
        <f>E271/E27</f>
        <v>0.1009334221039568</v>
      </c>
      <c r="F300" s="449">
        <f>F271/F27</f>
        <v>0.10766802206574889</v>
      </c>
      <c r="G300" s="449">
        <f>G271/G27</f>
        <v>0.11357052480079168</v>
      </c>
      <c r="H300" s="449"/>
      <c r="I300" s="449"/>
      <c r="J300" s="449"/>
      <c r="K300" s="449"/>
      <c r="L300" s="449"/>
      <c r="M300" s="449"/>
      <c r="N300" s="449"/>
      <c r="O300" s="449"/>
      <c r="P300" s="449"/>
      <c r="Q300" s="449"/>
      <c r="R300" s="449"/>
      <c r="S300" s="449"/>
      <c r="T300" s="449"/>
    </row>
    <row r="301" spans="2:20">
      <c r="B301" s="326" t="s">
        <v>1117</v>
      </c>
      <c r="C301" s="449"/>
      <c r="D301" s="449"/>
      <c r="E301" s="449"/>
      <c r="F301" s="449"/>
      <c r="G301" s="449"/>
      <c r="H301" s="449"/>
      <c r="I301" s="449">
        <f t="shared" ref="I301:T301" si="23">I272/I28</f>
        <v>0.10965268641075322</v>
      </c>
      <c r="J301" s="449">
        <f t="shared" si="23"/>
        <v>0.10857408079055289</v>
      </c>
      <c r="K301" s="449">
        <f t="shared" si="23"/>
        <v>0.10703981212033363</v>
      </c>
      <c r="L301" s="449">
        <f t="shared" si="23"/>
        <v>0.10608046324295752</v>
      </c>
      <c r="M301" s="449">
        <f t="shared" si="23"/>
        <v>0.1057253589569541</v>
      </c>
      <c r="N301" s="449">
        <f t="shared" si="23"/>
        <v>0.10534040901240153</v>
      </c>
      <c r="O301" s="449">
        <f t="shared" si="23"/>
        <v>0.10500600545374458</v>
      </c>
      <c r="P301" s="449">
        <f t="shared" si="23"/>
        <v>0.10500961920994349</v>
      </c>
      <c r="Q301" s="449">
        <f t="shared" si="23"/>
        <v>0.10545698898801215</v>
      </c>
      <c r="R301" s="449">
        <f t="shared" si="23"/>
        <v>0.10558578063024719</v>
      </c>
      <c r="S301" s="449">
        <f t="shared" si="23"/>
        <v>0.10573853267871028</v>
      </c>
      <c r="T301" s="449">
        <f t="shared" si="23"/>
        <v>0.10583847427559724</v>
      </c>
    </row>
    <row r="324" spans="2:25">
      <c r="B324" s="341" t="s">
        <v>1078</v>
      </c>
      <c r="H324" s="275"/>
    </row>
    <row r="326" spans="2:25">
      <c r="B326" s="326" t="s">
        <v>352</v>
      </c>
      <c r="C326" s="709" t="str">
        <f>C24</f>
        <v>2010/11</v>
      </c>
      <c r="D326" s="709" t="str">
        <f t="shared" ref="D326:T326" si="24">D24</f>
        <v>2011/12</v>
      </c>
      <c r="E326" s="709" t="str">
        <f t="shared" si="24"/>
        <v>2012/13</v>
      </c>
      <c r="F326" s="709" t="str">
        <f t="shared" si="24"/>
        <v>2013/14</v>
      </c>
      <c r="G326" s="709" t="str">
        <f t="shared" si="24"/>
        <v>2014/15</v>
      </c>
      <c r="H326" s="709" t="str">
        <f t="shared" si="24"/>
        <v>2015/16</v>
      </c>
      <c r="I326" s="709" t="str">
        <f t="shared" si="24"/>
        <v>2016/17</v>
      </c>
      <c r="J326" s="709" t="str">
        <f t="shared" si="24"/>
        <v>2017/18</v>
      </c>
      <c r="K326" s="709" t="str">
        <f t="shared" si="24"/>
        <v>2018/19</v>
      </c>
      <c r="L326" s="709" t="str">
        <f t="shared" si="24"/>
        <v>2019/20</v>
      </c>
      <c r="M326" s="709" t="str">
        <f t="shared" si="24"/>
        <v>2020/21</v>
      </c>
      <c r="N326" s="709" t="str">
        <f t="shared" si="24"/>
        <v>2021/22</v>
      </c>
      <c r="O326" s="709" t="str">
        <f t="shared" si="24"/>
        <v>2022/23</v>
      </c>
      <c r="P326" s="709" t="str">
        <f t="shared" si="24"/>
        <v>2023/24</v>
      </c>
      <c r="Q326" s="709" t="str">
        <f t="shared" si="24"/>
        <v>2024/25</v>
      </c>
      <c r="R326" s="709" t="str">
        <f t="shared" si="24"/>
        <v>2025/26</v>
      </c>
      <c r="S326" s="709" t="str">
        <f t="shared" si="24"/>
        <v>2026/27</v>
      </c>
      <c r="T326" s="709" t="str">
        <f t="shared" si="24"/>
        <v>2027/28</v>
      </c>
    </row>
    <row r="327" spans="2:25">
      <c r="B327" s="326" t="s">
        <v>922</v>
      </c>
      <c r="C327" s="444">
        <v>20529.657089546286</v>
      </c>
      <c r="D327" s="307">
        <f>RAW_DATA_INPUTS!C325</f>
        <v>23989.040999999994</v>
      </c>
      <c r="E327" s="307">
        <f>RAW_DATA_INPUTS!D325</f>
        <v>25348.096000000001</v>
      </c>
      <c r="F327" s="307">
        <f>RAW_DATA_INPUTS!E325</f>
        <v>26619.192999999996</v>
      </c>
      <c r="G327" s="307">
        <f>RAW_DATA_INPUTS!F325</f>
        <v>27041.996000000003</v>
      </c>
      <c r="H327" s="710"/>
      <c r="I327" s="710"/>
      <c r="J327" s="710"/>
      <c r="K327" s="710"/>
      <c r="L327" s="710"/>
      <c r="M327" s="710"/>
      <c r="N327" s="710"/>
      <c r="O327" s="710"/>
      <c r="P327" s="710"/>
      <c r="Q327" s="710"/>
      <c r="R327" s="710"/>
      <c r="S327" s="710"/>
      <c r="T327" s="710"/>
    </row>
    <row r="328" spans="2:25">
      <c r="B328" s="326" t="s">
        <v>923</v>
      </c>
      <c r="C328" s="324"/>
      <c r="D328" s="324"/>
      <c r="E328" s="324"/>
      <c r="F328" s="324"/>
      <c r="G328" s="711"/>
      <c r="H328" s="324"/>
      <c r="I328" s="324">
        <f>Entrant_need_figures!C15</f>
        <v>27538.544661464744</v>
      </c>
      <c r="J328" s="324">
        <f>Entrant_need_figures!D15</f>
        <v>26105.002673937081</v>
      </c>
      <c r="K328" s="324">
        <f>Entrant_need_figures!E15</f>
        <v>25804.401119795846</v>
      </c>
      <c r="L328" s="324">
        <f>Entrant_need_figures!F15</f>
        <v>24509.091093232932</v>
      </c>
      <c r="M328" s="324">
        <f>Entrant_need_figures!G15</f>
        <v>24656.998817781678</v>
      </c>
      <c r="N328" s="324">
        <f>Entrant_need_figures!H15</f>
        <v>24432.263410506512</v>
      </c>
      <c r="O328" s="324">
        <f>Entrant_need_figures!I15</f>
        <v>24102.311757997213</v>
      </c>
      <c r="P328" s="324">
        <f>Entrant_need_figures!J15</f>
        <v>23873.194543470338</v>
      </c>
      <c r="Q328" s="324">
        <f>Entrant_need_figures!K15</f>
        <v>24450.504710155619</v>
      </c>
      <c r="R328" s="324">
        <f>Entrant_need_figures!L15</f>
        <v>24916.785672652128</v>
      </c>
      <c r="S328" s="324">
        <f>Entrant_need_figures!M15</f>
        <v>25036.449572418685</v>
      </c>
      <c r="T328" s="324">
        <f>Entrant_need_figures!N15</f>
        <v>24924.618653464819</v>
      </c>
    </row>
    <row r="329" spans="2:25">
      <c r="B329" s="326" t="s">
        <v>924</v>
      </c>
      <c r="C329" s="444">
        <v>19900.351266773563</v>
      </c>
      <c r="D329" s="307">
        <f>RAW_DATA_INPUTS!C341</f>
        <v>21265.592999999993</v>
      </c>
      <c r="E329" s="307">
        <f>RAW_DATA_INPUTS!D341</f>
        <v>20574.989999999998</v>
      </c>
      <c r="F329" s="307">
        <f>RAW_DATA_INPUTS!E341</f>
        <v>21104.835999999996</v>
      </c>
      <c r="G329" s="307">
        <f>RAW_DATA_INPUTS!F341</f>
        <v>20959.223000000002</v>
      </c>
      <c r="H329" s="307"/>
      <c r="I329" s="307"/>
      <c r="J329" s="307"/>
      <c r="K329" s="307"/>
      <c r="L329" s="307"/>
      <c r="M329" s="307"/>
      <c r="N329" s="307"/>
      <c r="O329" s="307"/>
      <c r="P329" s="307"/>
      <c r="Q329" s="307"/>
      <c r="R329" s="307"/>
      <c r="S329" s="307"/>
      <c r="T329" s="307"/>
    </row>
    <row r="330" spans="2:25">
      <c r="B330" s="326" t="s">
        <v>925</v>
      </c>
      <c r="C330" s="324"/>
      <c r="D330" s="324"/>
      <c r="E330" s="324"/>
      <c r="F330" s="324"/>
      <c r="G330" s="711"/>
      <c r="H330" s="324"/>
      <c r="I330" s="324">
        <f>Entrant_need_figures!C35</f>
        <v>25325.981524290863</v>
      </c>
      <c r="J330" s="324">
        <f>Entrant_need_figures!D35</f>
        <v>24864.32398892309</v>
      </c>
      <c r="K330" s="324">
        <f>Entrant_need_figures!E35</f>
        <v>26448.871508078941</v>
      </c>
      <c r="L330" s="324">
        <f>Entrant_need_figures!F35</f>
        <v>25797.106539924709</v>
      </c>
      <c r="M330" s="324">
        <f>Entrant_need_figures!G35</f>
        <v>25450.041469507818</v>
      </c>
      <c r="N330" s="324">
        <f>Entrant_need_figures!H35</f>
        <v>25527.010741858019</v>
      </c>
      <c r="O330" s="324">
        <f>Entrant_need_figures!I35</f>
        <v>25845.896651495765</v>
      </c>
      <c r="P330" s="324">
        <f>Entrant_need_figures!J35</f>
        <v>25731.139914905129</v>
      </c>
      <c r="Q330" s="324">
        <f>Entrant_need_figures!K35</f>
        <v>24759.538609418585</v>
      </c>
      <c r="R330" s="324">
        <f>Entrant_need_figures!L35</f>
        <v>24416.167627861571</v>
      </c>
      <c r="S330" s="324">
        <f>Entrant_need_figures!M35</f>
        <v>24069.983113000369</v>
      </c>
      <c r="T330" s="324">
        <f>Entrant_need_figures!N35</f>
        <v>23849.453533819546</v>
      </c>
    </row>
    <row r="334" spans="2:25">
      <c r="V334" s="754"/>
      <c r="W334" s="754"/>
      <c r="X334" s="754"/>
      <c r="Y334" s="754"/>
    </row>
    <row r="353" spans="2:20">
      <c r="B353" s="341" t="s">
        <v>1079</v>
      </c>
    </row>
    <row r="355" spans="2:20">
      <c r="B355" s="326" t="s">
        <v>352</v>
      </c>
      <c r="C355" s="709" t="str">
        <f>C24</f>
        <v>2010/11</v>
      </c>
      <c r="D355" s="709" t="str">
        <f t="shared" ref="D355:T355" si="25">D24</f>
        <v>2011/12</v>
      </c>
      <c r="E355" s="709" t="str">
        <f t="shared" si="25"/>
        <v>2012/13</v>
      </c>
      <c r="F355" s="709" t="str">
        <f t="shared" si="25"/>
        <v>2013/14</v>
      </c>
      <c r="G355" s="709" t="str">
        <f t="shared" si="25"/>
        <v>2014/15</v>
      </c>
      <c r="H355" s="709" t="str">
        <f t="shared" si="25"/>
        <v>2015/16</v>
      </c>
      <c r="I355" s="709" t="str">
        <f t="shared" si="25"/>
        <v>2016/17</v>
      </c>
      <c r="J355" s="709" t="str">
        <f t="shared" si="25"/>
        <v>2017/18</v>
      </c>
      <c r="K355" s="709" t="str">
        <f t="shared" si="25"/>
        <v>2018/19</v>
      </c>
      <c r="L355" s="709" t="str">
        <f t="shared" si="25"/>
        <v>2019/20</v>
      </c>
      <c r="M355" s="709" t="str">
        <f t="shared" si="25"/>
        <v>2020/21</v>
      </c>
      <c r="N355" s="709" t="str">
        <f t="shared" si="25"/>
        <v>2021/22</v>
      </c>
      <c r="O355" s="709" t="str">
        <f t="shared" si="25"/>
        <v>2022/23</v>
      </c>
      <c r="P355" s="709" t="str">
        <f t="shared" si="25"/>
        <v>2023/24</v>
      </c>
      <c r="Q355" s="709" t="str">
        <f t="shared" si="25"/>
        <v>2024/25</v>
      </c>
      <c r="R355" s="709" t="str">
        <f t="shared" si="25"/>
        <v>2025/26</v>
      </c>
      <c r="S355" s="709" t="str">
        <f t="shared" si="25"/>
        <v>2026/27</v>
      </c>
      <c r="T355" s="709" t="str">
        <f t="shared" si="25"/>
        <v>2027/28</v>
      </c>
    </row>
    <row r="356" spans="2:20">
      <c r="B356" s="326" t="s">
        <v>922</v>
      </c>
      <c r="C356" s="415">
        <f>C327/C25</f>
        <v>9.4692651361613783E-2</v>
      </c>
      <c r="D356" s="415">
        <f>D327/D25</f>
        <v>0.10916054338677783</v>
      </c>
      <c r="E356" s="415">
        <f>E327/E25</f>
        <v>0.11250276861927083</v>
      </c>
      <c r="F356" s="415">
        <f>F327/F25</f>
        <v>0.11552358723573564</v>
      </c>
      <c r="G356" s="415">
        <f>G327/G25</f>
        <v>0.11486545560659958</v>
      </c>
      <c r="H356" s="415"/>
      <c r="I356" s="415"/>
      <c r="J356" s="415"/>
      <c r="K356" s="415"/>
      <c r="L356" s="415"/>
      <c r="M356" s="415"/>
      <c r="N356" s="415"/>
      <c r="O356" s="415"/>
      <c r="P356" s="415"/>
      <c r="Q356" s="415"/>
      <c r="R356" s="415"/>
      <c r="S356" s="415"/>
      <c r="T356" s="415"/>
    </row>
    <row r="357" spans="2:20">
      <c r="B357" s="326" t="s">
        <v>923</v>
      </c>
      <c r="C357" s="415"/>
      <c r="D357" s="415"/>
      <c r="E357" s="415"/>
      <c r="F357" s="415"/>
      <c r="G357" s="415"/>
      <c r="H357" s="415"/>
      <c r="I357" s="415">
        <f t="shared" ref="I357:T357" si="26">I328/I26</f>
        <v>0.11365944595649242</v>
      </c>
      <c r="J357" s="415">
        <f t="shared" si="26"/>
        <v>0.10706823426590739</v>
      </c>
      <c r="K357" s="415">
        <f t="shared" si="26"/>
        <v>0.10555112861232686</v>
      </c>
      <c r="L357" s="415">
        <f t="shared" si="26"/>
        <v>0.1002445163005385</v>
      </c>
      <c r="M357" s="415">
        <f t="shared" si="26"/>
        <v>0.10074091003870182</v>
      </c>
      <c r="N357" s="415">
        <f t="shared" si="26"/>
        <v>9.9789586589011034E-2</v>
      </c>
      <c r="O357" s="415">
        <f t="shared" si="26"/>
        <v>9.8527109671359234E-2</v>
      </c>
      <c r="P357" s="415">
        <f t="shared" si="26"/>
        <v>9.7747457354263212E-2</v>
      </c>
      <c r="Q357" s="415">
        <f t="shared" si="26"/>
        <v>0.1000140882430714</v>
      </c>
      <c r="R357" s="415">
        <f t="shared" si="26"/>
        <v>0.10163596490112028</v>
      </c>
      <c r="S357" s="415">
        <f t="shared" si="26"/>
        <v>0.1018163905431497</v>
      </c>
      <c r="T357" s="415">
        <f t="shared" si="26"/>
        <v>0.10113299671178293</v>
      </c>
    </row>
    <row r="358" spans="2:20">
      <c r="B358" s="326" t="s">
        <v>924</v>
      </c>
      <c r="C358" s="415">
        <f>C329/C27</f>
        <v>8.9681352107089662E-2</v>
      </c>
      <c r="D358" s="415">
        <f>D329/D27</f>
        <v>9.7021825095391104E-2</v>
      </c>
      <c r="E358" s="415">
        <f>E329/E27</f>
        <v>9.354645494886242E-2</v>
      </c>
      <c r="F358" s="415">
        <f>F329/F27</f>
        <v>9.6889331113095861E-2</v>
      </c>
      <c r="G358" s="415">
        <f>G329/G27</f>
        <v>9.7184763240121597E-2</v>
      </c>
      <c r="H358" s="415"/>
      <c r="I358" s="415"/>
      <c r="J358" s="415"/>
      <c r="K358" s="415"/>
      <c r="L358" s="415"/>
      <c r="M358" s="415"/>
      <c r="N358" s="415"/>
      <c r="O358" s="415"/>
      <c r="P358" s="415"/>
      <c r="Q358" s="415"/>
      <c r="R358" s="415"/>
      <c r="S358" s="415"/>
      <c r="T358" s="415"/>
    </row>
    <row r="359" spans="2:20">
      <c r="B359" s="326" t="s">
        <v>925</v>
      </c>
      <c r="C359" s="415"/>
      <c r="D359" s="415"/>
      <c r="E359" s="415"/>
      <c r="F359" s="415"/>
      <c r="G359" s="415"/>
      <c r="H359" s="415"/>
      <c r="I359" s="415">
        <f t="shared" ref="I359:T359" si="27">I330/I28</f>
        <v>0.11835897917112832</v>
      </c>
      <c r="J359" s="415">
        <f t="shared" si="27"/>
        <v>0.11540741558154813</v>
      </c>
      <c r="K359" s="415">
        <f t="shared" si="27"/>
        <v>0.121511499007133</v>
      </c>
      <c r="L359" s="415">
        <f t="shared" si="27"/>
        <v>0.11719937612945044</v>
      </c>
      <c r="M359" s="415">
        <f t="shared" si="27"/>
        <v>0.11459687017563221</v>
      </c>
      <c r="N359" s="415">
        <f t="shared" si="27"/>
        <v>0.11395343749796638</v>
      </c>
      <c r="O359" s="415">
        <f t="shared" si="27"/>
        <v>0.11430416197494232</v>
      </c>
      <c r="P359" s="415">
        <f t="shared" si="27"/>
        <v>0.11289887626761883</v>
      </c>
      <c r="Q359" s="415">
        <f t="shared" si="27"/>
        <v>0.10832434567303971</v>
      </c>
      <c r="R359" s="415">
        <f t="shared" si="27"/>
        <v>0.10670276058794272</v>
      </c>
      <c r="S359" s="415">
        <f t="shared" si="27"/>
        <v>0.10524209611278978</v>
      </c>
      <c r="T359" s="415">
        <f t="shared" si="27"/>
        <v>0.10442523579887658</v>
      </c>
    </row>
    <row r="382" spans="2:20">
      <c r="B382" s="341" t="s">
        <v>1080</v>
      </c>
    </row>
    <row r="384" spans="2:20">
      <c r="B384" s="326" t="s">
        <v>352</v>
      </c>
      <c r="C384" s="709" t="str">
        <f>C24</f>
        <v>2010/11</v>
      </c>
      <c r="D384" s="709" t="str">
        <f t="shared" ref="D384:T384" si="28">D24</f>
        <v>2011/12</v>
      </c>
      <c r="E384" s="709" t="str">
        <f t="shared" si="28"/>
        <v>2012/13</v>
      </c>
      <c r="F384" s="709" t="str">
        <f t="shared" si="28"/>
        <v>2013/14</v>
      </c>
      <c r="G384" s="709" t="str">
        <f t="shared" si="28"/>
        <v>2014/15</v>
      </c>
      <c r="H384" s="709" t="str">
        <f t="shared" si="28"/>
        <v>2015/16</v>
      </c>
      <c r="I384" s="709" t="str">
        <f t="shared" si="28"/>
        <v>2016/17</v>
      </c>
      <c r="J384" s="709" t="str">
        <f t="shared" si="28"/>
        <v>2017/18</v>
      </c>
      <c r="K384" s="709" t="str">
        <f t="shared" si="28"/>
        <v>2018/19</v>
      </c>
      <c r="L384" s="709" t="str">
        <f t="shared" si="28"/>
        <v>2019/20</v>
      </c>
      <c r="M384" s="709" t="str">
        <f t="shared" si="28"/>
        <v>2020/21</v>
      </c>
      <c r="N384" s="709" t="str">
        <f t="shared" si="28"/>
        <v>2021/22</v>
      </c>
      <c r="O384" s="709" t="str">
        <f t="shared" si="28"/>
        <v>2022/23</v>
      </c>
      <c r="P384" s="709" t="str">
        <f t="shared" si="28"/>
        <v>2023/24</v>
      </c>
      <c r="Q384" s="709" t="str">
        <f t="shared" si="28"/>
        <v>2024/25</v>
      </c>
      <c r="R384" s="709" t="str">
        <f t="shared" si="28"/>
        <v>2025/26</v>
      </c>
      <c r="S384" s="709" t="str">
        <f t="shared" si="28"/>
        <v>2026/27</v>
      </c>
      <c r="T384" s="709" t="str">
        <f t="shared" si="28"/>
        <v>2027/28</v>
      </c>
    </row>
    <row r="385" spans="2:20">
      <c r="B385" s="326" t="s">
        <v>926</v>
      </c>
      <c r="C385" s="444">
        <v>9238.1412282795718</v>
      </c>
      <c r="D385" s="307">
        <f>RAW_DATA_INPUTS!C441</f>
        <v>11663.958000000001</v>
      </c>
      <c r="E385" s="307">
        <f>RAW_DATA_INPUTS!D441</f>
        <v>12872.182000000001</v>
      </c>
      <c r="F385" s="307">
        <f>RAW_DATA_INPUTS!E441</f>
        <v>13585.184999999999</v>
      </c>
      <c r="G385" s="307">
        <f>RAW_DATA_INPUTS!F441</f>
        <v>14472.775</v>
      </c>
      <c r="H385" s="710"/>
      <c r="I385" s="710"/>
      <c r="J385" s="710"/>
      <c r="K385" s="710"/>
      <c r="L385" s="710"/>
      <c r="M385" s="710"/>
      <c r="N385" s="710"/>
      <c r="O385" s="710"/>
      <c r="P385" s="710"/>
      <c r="Q385" s="710"/>
      <c r="R385" s="710"/>
      <c r="S385" s="710"/>
      <c r="T385" s="710"/>
    </row>
    <row r="386" spans="2:20">
      <c r="B386" s="326" t="s">
        <v>927</v>
      </c>
      <c r="C386" s="324"/>
      <c r="D386" s="324"/>
      <c r="E386" s="324"/>
      <c r="F386" s="324"/>
      <c r="G386" s="711"/>
      <c r="H386" s="324"/>
      <c r="I386" s="324"/>
      <c r="J386" s="324"/>
      <c r="K386" s="324">
        <f>NQT_entrants_required_inc_UGs!C14</f>
        <v>12867.743665953705</v>
      </c>
      <c r="L386" s="324">
        <f>NQT_entrants_required_inc_UGs!D14</f>
        <v>12221.818294061828</v>
      </c>
      <c r="M386" s="324">
        <f>NQT_entrants_required_inc_UGs!E14</f>
        <v>12295.574653563142</v>
      </c>
      <c r="N386" s="324">
        <f>NQT_entrants_required_inc_UGs!F14</f>
        <v>12183.507041528463</v>
      </c>
      <c r="O386" s="324">
        <f>NQT_entrants_required_inc_UGs!G14</f>
        <v>12018.971803258957</v>
      </c>
      <c r="P386" s="324">
        <f>NQT_entrants_required_inc_UGs!H14</f>
        <v>11904.719138672705</v>
      </c>
      <c r="Q386" s="324">
        <f>NQT_entrants_required_inc_UGs!I14</f>
        <v>12192.603333549689</v>
      </c>
      <c r="R386" s="324">
        <f>NQT_entrants_required_inc_UGs!J14</f>
        <v>12425.121184821051</v>
      </c>
      <c r="S386" s="324">
        <f>NQT_entrants_required_inc_UGs!K14</f>
        <v>12484.793346213828</v>
      </c>
      <c r="T386" s="324">
        <f>NQT_entrants_required_inc_UGs!L14</f>
        <v>12429.027215763994</v>
      </c>
    </row>
    <row r="387" spans="2:20">
      <c r="B387" s="326" t="s">
        <v>928</v>
      </c>
      <c r="C387" s="444">
        <v>11078.722844185231</v>
      </c>
      <c r="D387" s="307">
        <f>RAW_DATA_INPUTS!C449</f>
        <v>11086.531000000001</v>
      </c>
      <c r="E387" s="307">
        <f>RAW_DATA_INPUTS!D449</f>
        <v>10439.566999999999</v>
      </c>
      <c r="F387" s="307">
        <f>RAW_DATA_INPUTS!E449</f>
        <v>10363.199000000001</v>
      </c>
      <c r="G387" s="307">
        <f>RAW_DATA_INPUTS!F449</f>
        <v>10549.123</v>
      </c>
      <c r="H387" s="710"/>
      <c r="I387" s="710"/>
      <c r="J387" s="710"/>
      <c r="K387" s="710"/>
      <c r="L387" s="710"/>
      <c r="M387" s="710"/>
      <c r="N387" s="710"/>
      <c r="O387" s="710"/>
      <c r="P387" s="710"/>
      <c r="Q387" s="710"/>
      <c r="R387" s="710"/>
      <c r="S387" s="710"/>
      <c r="T387" s="710"/>
    </row>
    <row r="388" spans="2:20">
      <c r="B388" s="326" t="s">
        <v>929</v>
      </c>
      <c r="C388" s="324"/>
      <c r="D388" s="324"/>
      <c r="E388" s="324"/>
      <c r="F388" s="324"/>
      <c r="G388" s="711"/>
      <c r="H388" s="324"/>
      <c r="I388" s="324"/>
      <c r="J388" s="324"/>
      <c r="K388" s="324">
        <f>NQT_entrants_required_inc_UGs!C36</f>
        <v>14217.624152131313</v>
      </c>
      <c r="L388" s="324">
        <f>NQT_entrants_required_inc_UGs!D36</f>
        <v>14017.521640549134</v>
      </c>
      <c r="M388" s="324">
        <f>NQT_entrants_required_inc_UGs!E36</f>
        <v>13235.551159366723</v>
      </c>
      <c r="N388" s="324">
        <f>NQT_entrants_required_inc_UGs!F36</f>
        <v>13063.078750099821</v>
      </c>
      <c r="O388" s="324">
        <f>NQT_entrants_required_inc_UGs!G36</f>
        <v>13224.609868217367</v>
      </c>
      <c r="P388" s="324">
        <f>NQT_entrants_required_inc_UGs!H36</f>
        <v>13177.605504592228</v>
      </c>
      <c r="Q388" s="324">
        <f>NQT_entrants_required_inc_UGs!I36</f>
        <v>12582.979805417128</v>
      </c>
      <c r="R388" s="324">
        <f>NQT_entrants_required_inc_UGs!J36</f>
        <v>12353.349723356845</v>
      </c>
      <c r="S388" s="324">
        <f>NQT_entrants_required_inc_UGs!K36</f>
        <v>12140.579768564203</v>
      </c>
      <c r="T388" s="324">
        <f>NQT_entrants_required_inc_UGs!L36</f>
        <v>12046.213883516282</v>
      </c>
    </row>
    <row r="411" spans="2:20">
      <c r="B411" s="341" t="s">
        <v>1081</v>
      </c>
    </row>
    <row r="413" spans="2:20">
      <c r="B413" s="326" t="s">
        <v>352</v>
      </c>
      <c r="C413" s="709" t="str">
        <f>C24</f>
        <v>2010/11</v>
      </c>
      <c r="D413" s="709" t="str">
        <f t="shared" ref="D413:T413" si="29">D24</f>
        <v>2011/12</v>
      </c>
      <c r="E413" s="709" t="str">
        <f t="shared" si="29"/>
        <v>2012/13</v>
      </c>
      <c r="F413" s="709" t="str">
        <f t="shared" si="29"/>
        <v>2013/14</v>
      </c>
      <c r="G413" s="709" t="str">
        <f t="shared" si="29"/>
        <v>2014/15</v>
      </c>
      <c r="H413" s="709" t="str">
        <f t="shared" si="29"/>
        <v>2015/16</v>
      </c>
      <c r="I413" s="709" t="str">
        <f t="shared" si="29"/>
        <v>2016/17</v>
      </c>
      <c r="J413" s="709" t="str">
        <f t="shared" si="29"/>
        <v>2017/18</v>
      </c>
      <c r="K413" s="709" t="str">
        <f t="shared" si="29"/>
        <v>2018/19</v>
      </c>
      <c r="L413" s="709" t="str">
        <f t="shared" si="29"/>
        <v>2019/20</v>
      </c>
      <c r="M413" s="709" t="str">
        <f t="shared" si="29"/>
        <v>2020/21</v>
      </c>
      <c r="N413" s="709" t="str">
        <f t="shared" si="29"/>
        <v>2021/22</v>
      </c>
      <c r="O413" s="709" t="str">
        <f t="shared" si="29"/>
        <v>2022/23</v>
      </c>
      <c r="P413" s="709" t="str">
        <f t="shared" si="29"/>
        <v>2023/24</v>
      </c>
      <c r="Q413" s="709" t="str">
        <f t="shared" si="29"/>
        <v>2024/25</v>
      </c>
      <c r="R413" s="709" t="str">
        <f t="shared" si="29"/>
        <v>2025/26</v>
      </c>
      <c r="S413" s="709" t="str">
        <f t="shared" si="29"/>
        <v>2026/27</v>
      </c>
      <c r="T413" s="709" t="str">
        <f t="shared" si="29"/>
        <v>2027/28</v>
      </c>
    </row>
    <row r="414" spans="2:20">
      <c r="B414" s="326" t="s">
        <v>930</v>
      </c>
      <c r="C414" s="444">
        <v>7477.0196836734895</v>
      </c>
      <c r="D414" s="307">
        <f>RAW_DATA_INPUTS!C440</f>
        <v>7952.49</v>
      </c>
      <c r="E414" s="307">
        <f>RAW_DATA_INPUTS!D440</f>
        <v>8276.0380000000005</v>
      </c>
      <c r="F414" s="307">
        <f>RAW_DATA_INPUTS!E440</f>
        <v>8982.8410000000003</v>
      </c>
      <c r="G414" s="307">
        <f>RAW_DATA_INPUTS!F440</f>
        <v>8875.7720000000008</v>
      </c>
      <c r="H414" s="710"/>
      <c r="I414" s="710"/>
      <c r="J414" s="710"/>
      <c r="K414" s="710"/>
      <c r="L414" s="710"/>
      <c r="M414" s="710"/>
      <c r="N414" s="710"/>
      <c r="O414" s="710"/>
      <c r="P414" s="710"/>
      <c r="Q414" s="710"/>
      <c r="R414" s="710"/>
      <c r="S414" s="710"/>
      <c r="T414" s="710"/>
    </row>
    <row r="415" spans="2:20">
      <c r="B415" s="326" t="s">
        <v>931</v>
      </c>
      <c r="C415" s="324"/>
      <c r="D415" s="324"/>
      <c r="E415" s="324"/>
      <c r="F415" s="324"/>
      <c r="G415" s="711"/>
      <c r="H415" s="324"/>
      <c r="I415" s="324"/>
      <c r="J415" s="324"/>
      <c r="K415" s="324">
        <f>'Re-entrants_expected'!C14</f>
        <v>8231.8459106222508</v>
      </c>
      <c r="L415" s="324">
        <f>'Re-entrants_expected'!D14</f>
        <v>7818.6298667525107</v>
      </c>
      <c r="M415" s="324">
        <f>'Re-entrants_expected'!E14</f>
        <v>7865.8138177314004</v>
      </c>
      <c r="N415" s="324">
        <f>'Re-entrants_expected'!F14</f>
        <v>7794.1211155926603</v>
      </c>
      <c r="O415" s="324">
        <f>'Re-entrants_expected'!G14</f>
        <v>7688.8634446704673</v>
      </c>
      <c r="P415" s="324">
        <f>'Re-entrants_expected'!H14</f>
        <v>7615.7729049326808</v>
      </c>
      <c r="Q415" s="324">
        <f>'Re-entrants_expected'!I14</f>
        <v>7799.940261219168</v>
      </c>
      <c r="R415" s="324">
        <f>'Re-entrants_expected'!J14</f>
        <v>7948.6882603108161</v>
      </c>
      <c r="S415" s="324">
        <f>'Re-entrants_expected'!K14</f>
        <v>7986.8621663576705</v>
      </c>
      <c r="T415" s="324">
        <f>'Re-entrants_expected'!L14</f>
        <v>7951.1870546355349</v>
      </c>
    </row>
    <row r="416" spans="2:20">
      <c r="B416" s="326" t="s">
        <v>932</v>
      </c>
      <c r="C416" s="444">
        <v>5851.643530536141</v>
      </c>
      <c r="D416" s="307">
        <f>RAW_DATA_INPUTS!C448</f>
        <v>6637.8329999999996</v>
      </c>
      <c r="E416" s="307">
        <f>RAW_DATA_INPUTS!D448</f>
        <v>7039.57</v>
      </c>
      <c r="F416" s="307">
        <f>RAW_DATA_INPUTS!E448</f>
        <v>7672.5290000000005</v>
      </c>
      <c r="G416" s="307">
        <f>RAW_DATA_INPUTS!F448</f>
        <v>7412</v>
      </c>
      <c r="H416" s="710"/>
      <c r="I416" s="710"/>
      <c r="J416" s="710"/>
      <c r="K416" s="710"/>
      <c r="L416" s="710"/>
      <c r="M416" s="710"/>
      <c r="N416" s="710"/>
      <c r="O416" s="710"/>
      <c r="P416" s="710"/>
      <c r="Q416" s="710"/>
      <c r="R416" s="710"/>
      <c r="S416" s="710"/>
      <c r="T416" s="710"/>
    </row>
    <row r="417" spans="2:20">
      <c r="B417" s="326" t="s">
        <v>933</v>
      </c>
      <c r="C417" s="324"/>
      <c r="D417" s="324"/>
      <c r="E417" s="324"/>
      <c r="F417" s="324"/>
      <c r="G417" s="711"/>
      <c r="H417" s="324"/>
      <c r="I417" s="324"/>
      <c r="J417" s="324"/>
      <c r="K417" s="324">
        <f>'Re-entrants_expected'!C36</f>
        <v>8316.1993920311761</v>
      </c>
      <c r="L417" s="324">
        <f>'Re-entrants_expected'!D36</f>
        <v>8005.2888529964303</v>
      </c>
      <c r="M417" s="324">
        <f>'Re-entrants_expected'!E36</f>
        <v>8314.8745490636538</v>
      </c>
      <c r="N417" s="324">
        <f>'Re-entrants_expected'!F36</f>
        <v>8489.547000759092</v>
      </c>
      <c r="O417" s="324">
        <f>'Re-entrants_expected'!G36</f>
        <v>8596.9033411618529</v>
      </c>
      <c r="P417" s="324">
        <f>'Re-entrants_expected'!H36</f>
        <v>8550.4426507643893</v>
      </c>
      <c r="Q417" s="324">
        <f>'Re-entrants_expected'!I36</f>
        <v>8295.4238045970069</v>
      </c>
      <c r="R417" s="324">
        <f>'Re-entrants_expected'!J36</f>
        <v>8219.0057321536769</v>
      </c>
      <c r="S417" s="324">
        <f>'Re-entrants_expected'!K36</f>
        <v>8128.7769862583391</v>
      </c>
      <c r="T417" s="324">
        <f>'Re-entrants_expected'!L36</f>
        <v>8042.332792711939</v>
      </c>
    </row>
    <row r="435" spans="2:20">
      <c r="P435" s="6"/>
    </row>
    <row r="436" spans="2:20">
      <c r="P436" s="6"/>
    </row>
    <row r="440" spans="2:20">
      <c r="B440" s="341" t="s">
        <v>1082</v>
      </c>
    </row>
    <row r="442" spans="2:20">
      <c r="B442" s="326" t="s">
        <v>352</v>
      </c>
      <c r="C442" s="709" t="str">
        <f>C24</f>
        <v>2010/11</v>
      </c>
      <c r="D442" s="709" t="str">
        <f t="shared" ref="D442:T442" si="30">D24</f>
        <v>2011/12</v>
      </c>
      <c r="E442" s="709" t="str">
        <f t="shared" si="30"/>
        <v>2012/13</v>
      </c>
      <c r="F442" s="709" t="str">
        <f t="shared" si="30"/>
        <v>2013/14</v>
      </c>
      <c r="G442" s="709" t="str">
        <f t="shared" si="30"/>
        <v>2014/15</v>
      </c>
      <c r="H442" s="709" t="str">
        <f t="shared" si="30"/>
        <v>2015/16</v>
      </c>
      <c r="I442" s="709" t="str">
        <f t="shared" si="30"/>
        <v>2016/17</v>
      </c>
      <c r="J442" s="709" t="str">
        <f t="shared" si="30"/>
        <v>2017/18</v>
      </c>
      <c r="K442" s="709" t="str">
        <f t="shared" si="30"/>
        <v>2018/19</v>
      </c>
      <c r="L442" s="709" t="str">
        <f t="shared" si="30"/>
        <v>2019/20</v>
      </c>
      <c r="M442" s="709" t="str">
        <f t="shared" si="30"/>
        <v>2020/21</v>
      </c>
      <c r="N442" s="709" t="str">
        <f t="shared" si="30"/>
        <v>2021/22</v>
      </c>
      <c r="O442" s="709" t="str">
        <f t="shared" si="30"/>
        <v>2022/23</v>
      </c>
      <c r="P442" s="709" t="str">
        <f t="shared" si="30"/>
        <v>2023/24</v>
      </c>
      <c r="Q442" s="709" t="str">
        <f t="shared" si="30"/>
        <v>2024/25</v>
      </c>
      <c r="R442" s="709" t="str">
        <f t="shared" si="30"/>
        <v>2025/26</v>
      </c>
      <c r="S442" s="709" t="str">
        <f t="shared" si="30"/>
        <v>2026/27</v>
      </c>
      <c r="T442" s="709" t="str">
        <f t="shared" si="30"/>
        <v>2027/28</v>
      </c>
    </row>
    <row r="443" spans="2:20">
      <c r="B443" s="326" t="s">
        <v>934</v>
      </c>
      <c r="C443" s="444">
        <v>3814.4961775932238</v>
      </c>
      <c r="D443" s="307">
        <f>RAW_DATA_INPUTS!C439</f>
        <v>4372.5929999999998</v>
      </c>
      <c r="E443" s="307">
        <f>RAW_DATA_INPUTS!D439</f>
        <v>4199.875</v>
      </c>
      <c r="F443" s="307">
        <f>RAW_DATA_INPUTS!E439</f>
        <v>4051.1689999999999</v>
      </c>
      <c r="G443" s="307">
        <f>RAW_DATA_INPUTS!F439</f>
        <v>3693.4470000000001</v>
      </c>
      <c r="H443" s="710"/>
      <c r="I443" s="710"/>
      <c r="J443" s="710"/>
      <c r="K443" s="710"/>
      <c r="L443" s="710"/>
      <c r="M443" s="710"/>
      <c r="N443" s="710"/>
      <c r="O443" s="710"/>
      <c r="P443" s="710"/>
      <c r="Q443" s="710"/>
      <c r="R443" s="710"/>
      <c r="S443" s="710"/>
      <c r="T443" s="710"/>
    </row>
    <row r="444" spans="2:20">
      <c r="B444" s="326" t="s">
        <v>935</v>
      </c>
      <c r="C444" s="324"/>
      <c r="D444" s="324"/>
      <c r="E444" s="324"/>
      <c r="F444" s="324"/>
      <c r="G444" s="711"/>
      <c r="H444" s="324"/>
      <c r="I444" s="324"/>
      <c r="J444" s="324"/>
      <c r="K444" s="324">
        <f>New_to_SF_sector_expected!C14</f>
        <v>3771.8758646932843</v>
      </c>
      <c r="L444" s="324">
        <f>New_to_SF_sector_expected!D14</f>
        <v>3582.5380612772706</v>
      </c>
      <c r="M444" s="324">
        <f>New_to_SF_sector_expected!E14</f>
        <v>3604.1580002108321</v>
      </c>
      <c r="N444" s="324">
        <f>New_to_SF_sector_expected!F14</f>
        <v>3571.3080202904334</v>
      </c>
      <c r="O444" s="324">
        <f>New_to_SF_sector_expected!G14</f>
        <v>3523.078391986417</v>
      </c>
      <c r="P444" s="324">
        <f>New_to_SF_sector_expected!H14</f>
        <v>3489.5879153949377</v>
      </c>
      <c r="Q444" s="324">
        <f>New_to_SF_sector_expected!I14</f>
        <v>3573.9743839687717</v>
      </c>
      <c r="R444" s="324">
        <f>New_to_SF_sector_expected!J14</f>
        <v>3642.1315134615897</v>
      </c>
      <c r="S444" s="324">
        <f>New_to_SF_sector_expected!K14</f>
        <v>3659.6230015728288</v>
      </c>
      <c r="T444" s="324">
        <f>New_to_SF_sector_expected!L14</f>
        <v>3643.2764743982466</v>
      </c>
    </row>
    <row r="445" spans="2:20">
      <c r="B445" s="326" t="s">
        <v>936</v>
      </c>
      <c r="C445" s="444">
        <v>2969.9848920521908</v>
      </c>
      <c r="D445" s="307">
        <f>RAW_DATA_INPUTS!C447</f>
        <v>3541.2289999999998</v>
      </c>
      <c r="E445" s="307">
        <f>RAW_DATA_INPUTS!D447</f>
        <v>3095.8530000000001</v>
      </c>
      <c r="F445" s="307">
        <f>RAW_DATA_INPUTS!E447</f>
        <v>3069.1080000000002</v>
      </c>
      <c r="G445" s="307">
        <f>RAW_DATA_INPUTS!F447</f>
        <v>2998.1010000000001</v>
      </c>
      <c r="H445" s="710"/>
      <c r="I445" s="710"/>
      <c r="J445" s="710"/>
      <c r="K445" s="710"/>
      <c r="L445" s="710"/>
      <c r="M445" s="710"/>
      <c r="N445" s="710"/>
      <c r="O445" s="710"/>
      <c r="P445" s="710"/>
      <c r="Q445" s="710"/>
      <c r="R445" s="710"/>
      <c r="S445" s="710"/>
      <c r="T445" s="710"/>
    </row>
    <row r="446" spans="2:20">
      <c r="B446" s="326" t="s">
        <v>937</v>
      </c>
      <c r="C446" s="324"/>
      <c r="D446" s="324"/>
      <c r="E446" s="324"/>
      <c r="F446" s="324"/>
      <c r="G446" s="711"/>
      <c r="H446" s="324"/>
      <c r="I446" s="324"/>
      <c r="J446" s="324"/>
      <c r="K446" s="324">
        <f>New_to_SF_sector_expected!C36</f>
        <v>3521.1921556226212</v>
      </c>
      <c r="L446" s="324">
        <f>New_to_SF_sector_expected!D36</f>
        <v>3390.1458097680952</v>
      </c>
      <c r="M446" s="324">
        <f>New_to_SF_sector_expected!E36</f>
        <v>3520.6337447361211</v>
      </c>
      <c r="N446" s="324">
        <f>New_to_SF_sector_expected!F36</f>
        <v>3594.25680874419</v>
      </c>
      <c r="O446" s="324">
        <f>New_to_SF_sector_expected!G36</f>
        <v>3639.5066615081832</v>
      </c>
      <c r="P446" s="324">
        <f>New_to_SF_sector_expected!H36</f>
        <v>3619.9238460739803</v>
      </c>
      <c r="Q446" s="324">
        <f>New_to_SF_sector_expected!I36</f>
        <v>3512.4354089884237</v>
      </c>
      <c r="R446" s="324">
        <f>New_to_SF_sector_expected!J36</f>
        <v>3480.2257927366391</v>
      </c>
      <c r="S446" s="324">
        <f>New_to_SF_sector_expected!K36</f>
        <v>3442.1950862918529</v>
      </c>
      <c r="T446" s="324">
        <f>New_to_SF_sector_expected!L36</f>
        <v>3405.7595388840141</v>
      </c>
    </row>
    <row r="469" spans="2:20">
      <c r="B469" s="341" t="s">
        <v>1083</v>
      </c>
    </row>
    <row r="471" spans="2:20">
      <c r="B471" s="326" t="s">
        <v>352</v>
      </c>
      <c r="C471" s="709" t="str">
        <f>C24</f>
        <v>2010/11</v>
      </c>
      <c r="D471" s="709" t="str">
        <f t="shared" ref="D471:T471" si="31">D24</f>
        <v>2011/12</v>
      </c>
      <c r="E471" s="709" t="str">
        <f t="shared" si="31"/>
        <v>2012/13</v>
      </c>
      <c r="F471" s="709" t="str">
        <f t="shared" si="31"/>
        <v>2013/14</v>
      </c>
      <c r="G471" s="709" t="str">
        <f t="shared" si="31"/>
        <v>2014/15</v>
      </c>
      <c r="H471" s="709" t="str">
        <f t="shared" si="31"/>
        <v>2015/16</v>
      </c>
      <c r="I471" s="709" t="str">
        <f t="shared" si="31"/>
        <v>2016/17</v>
      </c>
      <c r="J471" s="709" t="str">
        <f t="shared" si="31"/>
        <v>2017/18</v>
      </c>
      <c r="K471" s="709" t="str">
        <f t="shared" si="31"/>
        <v>2018/19</v>
      </c>
      <c r="L471" s="709" t="str">
        <f t="shared" si="31"/>
        <v>2019/20</v>
      </c>
      <c r="M471" s="709" t="str">
        <f t="shared" si="31"/>
        <v>2020/21</v>
      </c>
      <c r="N471" s="709" t="str">
        <f t="shared" si="31"/>
        <v>2021/22</v>
      </c>
      <c r="O471" s="709" t="str">
        <f t="shared" si="31"/>
        <v>2022/23</v>
      </c>
      <c r="P471" s="709" t="str">
        <f t="shared" si="31"/>
        <v>2023/24</v>
      </c>
      <c r="Q471" s="709" t="str">
        <f t="shared" si="31"/>
        <v>2024/25</v>
      </c>
      <c r="R471" s="709" t="str">
        <f t="shared" si="31"/>
        <v>2025/26</v>
      </c>
      <c r="S471" s="709" t="str">
        <f t="shared" si="31"/>
        <v>2026/27</v>
      </c>
      <c r="T471" s="709" t="str">
        <f t="shared" si="31"/>
        <v>2027/28</v>
      </c>
    </row>
    <row r="472" spans="2:20">
      <c r="B472" s="326" t="s">
        <v>938</v>
      </c>
      <c r="C472" s="415">
        <f>C385/(C385+C414+C443)</f>
        <v>0.44999004065117282</v>
      </c>
      <c r="D472" s="415">
        <f>D385/(D385+D414+D443)</f>
        <v>0.48622027033093984</v>
      </c>
      <c r="E472" s="415">
        <f>E385/(E385+E414+E443)</f>
        <v>0.50781654400458887</v>
      </c>
      <c r="F472" s="415">
        <f>F385/(F385+F414+F443)</f>
        <v>0.51035296146258369</v>
      </c>
      <c r="G472" s="415">
        <f>G385/(G385+G414+G443)</f>
        <v>0.53519629506611088</v>
      </c>
      <c r="H472" s="415"/>
      <c r="I472" s="415"/>
      <c r="J472" s="415"/>
      <c r="K472" s="415"/>
      <c r="L472" s="415"/>
      <c r="M472" s="415"/>
      <c r="N472" s="415"/>
      <c r="O472" s="415"/>
      <c r="P472" s="415"/>
      <c r="Q472" s="415"/>
      <c r="R472" s="415"/>
      <c r="S472" s="415"/>
      <c r="T472" s="415"/>
    </row>
    <row r="473" spans="2:20">
      <c r="B473" s="326" t="s">
        <v>939</v>
      </c>
      <c r="C473" s="415"/>
      <c r="D473" s="415"/>
      <c r="E473" s="415"/>
      <c r="F473" s="415"/>
      <c r="G473" s="415"/>
      <c r="H473" s="415"/>
      <c r="I473" s="415"/>
      <c r="J473" s="415"/>
      <c r="K473" s="449">
        <f t="shared" ref="K473:T473" si="32">K386/(K386+K415+K444)</f>
        <v>0.51736974229923138</v>
      </c>
      <c r="L473" s="449">
        <f t="shared" si="32"/>
        <v>0.51736974229923127</v>
      </c>
      <c r="M473" s="449">
        <f t="shared" si="32"/>
        <v>0.51736974229923138</v>
      </c>
      <c r="N473" s="449">
        <f t="shared" si="32"/>
        <v>0.51736974229923127</v>
      </c>
      <c r="O473" s="449">
        <f t="shared" si="32"/>
        <v>0.51736974229923127</v>
      </c>
      <c r="P473" s="449">
        <f t="shared" si="32"/>
        <v>0.51736974229923127</v>
      </c>
      <c r="Q473" s="449">
        <f t="shared" si="32"/>
        <v>0.51736974229923127</v>
      </c>
      <c r="R473" s="449">
        <f t="shared" si="32"/>
        <v>0.51736974229923127</v>
      </c>
      <c r="S473" s="449">
        <f t="shared" si="32"/>
        <v>0.51736974229923127</v>
      </c>
      <c r="T473" s="449">
        <f t="shared" si="32"/>
        <v>0.51736974229923138</v>
      </c>
    </row>
    <row r="474" spans="2:20">
      <c r="B474" s="326" t="s">
        <v>940</v>
      </c>
      <c r="C474" s="415">
        <f>C387/(C387+C416+C445)</f>
        <v>0.55670991409496973</v>
      </c>
      <c r="D474" s="415">
        <f>D387/(D387+D416+D445)</f>
        <v>0.5213365552514807</v>
      </c>
      <c r="E474" s="415">
        <f>E387/(E387+E416+E445)</f>
        <v>0.50739110930309084</v>
      </c>
      <c r="F474" s="415">
        <f>F387/(F387+F416+F445)</f>
        <v>0.49103432976214545</v>
      </c>
      <c r="G474" s="415">
        <f>G387/(G387+G416+G445)</f>
        <v>0.50331648728979661</v>
      </c>
      <c r="H474" s="415"/>
      <c r="I474" s="415"/>
      <c r="J474" s="415"/>
      <c r="K474" s="449"/>
      <c r="L474" s="449"/>
      <c r="M474" s="449"/>
      <c r="N474" s="449"/>
      <c r="O474" s="449"/>
      <c r="P474" s="449"/>
      <c r="Q474" s="449"/>
      <c r="R474" s="449"/>
      <c r="S474" s="449"/>
      <c r="T474" s="449"/>
    </row>
    <row r="475" spans="2:20">
      <c r="B475" s="323" t="s">
        <v>941</v>
      </c>
      <c r="C475" s="415"/>
      <c r="D475" s="415"/>
      <c r="E475" s="415"/>
      <c r="F475" s="415"/>
      <c r="G475" s="415"/>
      <c r="H475" s="415"/>
      <c r="I475" s="415"/>
      <c r="J475" s="415"/>
      <c r="K475" s="449">
        <f t="shared" ref="K475:T475" si="33">K388/(K388+K417+K446)</f>
        <v>0.54567705181803339</v>
      </c>
      <c r="L475" s="449">
        <f t="shared" si="33"/>
        <v>0.55158957003051845</v>
      </c>
      <c r="M475" s="449">
        <f t="shared" si="33"/>
        <v>0.52792149386790521</v>
      </c>
      <c r="N475" s="449">
        <f t="shared" si="33"/>
        <v>0.51947110021044285</v>
      </c>
      <c r="O475" s="449">
        <f t="shared" si="33"/>
        <v>0.51940613279747794</v>
      </c>
      <c r="P475" s="449">
        <f t="shared" si="33"/>
        <v>0.51986823655353986</v>
      </c>
      <c r="Q475" s="449">
        <f t="shared" si="33"/>
        <v>0.51588958443019961</v>
      </c>
      <c r="R475" s="449">
        <f t="shared" si="33"/>
        <v>0.51359767152879277</v>
      </c>
      <c r="S475" s="449">
        <f t="shared" si="33"/>
        <v>0.51201118551478242</v>
      </c>
      <c r="T475" s="449">
        <f t="shared" si="33"/>
        <v>0.51272907457755867</v>
      </c>
    </row>
    <row r="476" spans="2:20">
      <c r="B476" s="390" t="s">
        <v>1139</v>
      </c>
      <c r="C476" s="813">
        <f>C385</f>
        <v>9238.1412282795718</v>
      </c>
      <c r="D476" s="813">
        <f>D385</f>
        <v>11663.958000000001</v>
      </c>
      <c r="E476" s="813">
        <f>E385</f>
        <v>12872.182000000001</v>
      </c>
      <c r="F476" s="813">
        <f>F385</f>
        <v>13585.184999999999</v>
      </c>
      <c r="G476" s="813">
        <f>G385</f>
        <v>14472.775</v>
      </c>
      <c r="H476" s="813"/>
      <c r="I476" s="813"/>
      <c r="J476" s="813"/>
      <c r="K476" s="813"/>
      <c r="L476" s="813"/>
      <c r="M476" s="813"/>
      <c r="N476" s="813"/>
      <c r="O476" s="813"/>
      <c r="P476" s="813"/>
      <c r="Q476" s="813"/>
      <c r="R476" s="813"/>
      <c r="S476" s="813"/>
      <c r="T476" s="813"/>
    </row>
    <row r="477" spans="2:20">
      <c r="B477" s="390" t="s">
        <v>1140</v>
      </c>
      <c r="C477" s="813"/>
      <c r="D477" s="813"/>
      <c r="E477" s="813"/>
      <c r="F477" s="813"/>
      <c r="G477" s="813"/>
      <c r="H477" s="813"/>
      <c r="I477" s="813"/>
      <c r="J477" s="813"/>
      <c r="K477" s="813">
        <f t="shared" ref="K477:T477" si="34">K386</f>
        <v>12867.743665953705</v>
      </c>
      <c r="L477" s="813">
        <f t="shared" si="34"/>
        <v>12221.818294061828</v>
      </c>
      <c r="M477" s="813">
        <f t="shared" si="34"/>
        <v>12295.574653563142</v>
      </c>
      <c r="N477" s="813">
        <f t="shared" si="34"/>
        <v>12183.507041528463</v>
      </c>
      <c r="O477" s="813">
        <f t="shared" si="34"/>
        <v>12018.971803258957</v>
      </c>
      <c r="P477" s="813">
        <f t="shared" si="34"/>
        <v>11904.719138672705</v>
      </c>
      <c r="Q477" s="813">
        <f t="shared" si="34"/>
        <v>12192.603333549689</v>
      </c>
      <c r="R477" s="813">
        <f t="shared" si="34"/>
        <v>12425.121184821051</v>
      </c>
      <c r="S477" s="813">
        <f t="shared" si="34"/>
        <v>12484.793346213828</v>
      </c>
      <c r="T477" s="813">
        <f t="shared" si="34"/>
        <v>12429.027215763994</v>
      </c>
    </row>
    <row r="478" spans="2:20" ht="25.5">
      <c r="B478" s="390" t="s">
        <v>1141</v>
      </c>
      <c r="C478" s="815">
        <f>C443+C414</f>
        <v>11291.515861266713</v>
      </c>
      <c r="D478" s="815">
        <f>D443+D414</f>
        <v>12325.082999999999</v>
      </c>
      <c r="E478" s="815">
        <f>E443+E414</f>
        <v>12475.913</v>
      </c>
      <c r="F478" s="815">
        <f>F443+F414</f>
        <v>13034.01</v>
      </c>
      <c r="G478" s="815">
        <f>G443+G414</f>
        <v>12569.219000000001</v>
      </c>
      <c r="H478" s="815"/>
      <c r="I478" s="815"/>
      <c r="J478" s="815"/>
      <c r="K478" s="815"/>
      <c r="L478" s="815"/>
      <c r="M478" s="815"/>
      <c r="N478" s="815"/>
      <c r="O478" s="815"/>
      <c r="P478" s="815"/>
      <c r="Q478" s="815"/>
      <c r="R478" s="815"/>
      <c r="S478" s="815"/>
      <c r="T478" s="815"/>
    </row>
    <row r="479" spans="2:20" ht="25.5">
      <c r="B479" s="390" t="s">
        <v>1145</v>
      </c>
      <c r="C479" s="815"/>
      <c r="D479" s="815"/>
      <c r="E479" s="815"/>
      <c r="F479" s="815"/>
      <c r="G479" s="815"/>
      <c r="H479" s="815"/>
      <c r="I479" s="815"/>
      <c r="J479" s="815"/>
      <c r="K479" s="815">
        <f t="shared" ref="K479:S479" si="35">K444+K415</f>
        <v>12003.721775315535</v>
      </c>
      <c r="L479" s="815">
        <f t="shared" si="35"/>
        <v>11401.167928029781</v>
      </c>
      <c r="M479" s="815">
        <f t="shared" si="35"/>
        <v>11469.971817942233</v>
      </c>
      <c r="N479" s="815">
        <f t="shared" si="35"/>
        <v>11365.429135883094</v>
      </c>
      <c r="O479" s="815">
        <f t="shared" si="35"/>
        <v>11211.941836656884</v>
      </c>
      <c r="P479" s="815">
        <f t="shared" si="35"/>
        <v>11105.360820327618</v>
      </c>
      <c r="Q479" s="815">
        <f t="shared" si="35"/>
        <v>11373.914645187939</v>
      </c>
      <c r="R479" s="815">
        <f t="shared" si="35"/>
        <v>11590.819773772406</v>
      </c>
      <c r="S479" s="815">
        <f t="shared" si="35"/>
        <v>11646.485167930499</v>
      </c>
      <c r="T479" s="815">
        <f>T444+T415</f>
        <v>11594.463529033781</v>
      </c>
    </row>
    <row r="480" spans="2:20">
      <c r="B480" s="390" t="s">
        <v>1142</v>
      </c>
      <c r="C480" s="814">
        <f>C387</f>
        <v>11078.722844185231</v>
      </c>
      <c r="D480" s="814">
        <f>D387</f>
        <v>11086.531000000001</v>
      </c>
      <c r="E480" s="814">
        <f>E387</f>
        <v>10439.566999999999</v>
      </c>
      <c r="F480" s="814">
        <f>F387</f>
        <v>10363.199000000001</v>
      </c>
      <c r="G480" s="814">
        <f>G387</f>
        <v>10549.123</v>
      </c>
      <c r="H480" s="814"/>
      <c r="I480" s="814"/>
      <c r="J480" s="814"/>
      <c r="K480" s="814"/>
      <c r="L480" s="814"/>
      <c r="M480" s="814"/>
      <c r="N480" s="814"/>
      <c r="O480" s="814"/>
      <c r="P480" s="814"/>
      <c r="Q480" s="814"/>
      <c r="R480" s="814"/>
      <c r="S480" s="814"/>
      <c r="T480" s="814"/>
    </row>
    <row r="481" spans="2:20">
      <c r="B481" s="390" t="s">
        <v>1143</v>
      </c>
      <c r="C481" s="814"/>
      <c r="D481" s="814"/>
      <c r="E481" s="814"/>
      <c r="F481" s="814"/>
      <c r="G481" s="814"/>
      <c r="H481" s="814"/>
      <c r="I481" s="814"/>
      <c r="J481" s="814"/>
      <c r="K481" s="814">
        <f t="shared" ref="K481:T481" si="36">K388</f>
        <v>14217.624152131313</v>
      </c>
      <c r="L481" s="814">
        <f t="shared" si="36"/>
        <v>14017.521640549134</v>
      </c>
      <c r="M481" s="814">
        <f t="shared" si="36"/>
        <v>13235.551159366723</v>
      </c>
      <c r="N481" s="814">
        <f t="shared" si="36"/>
        <v>13063.078750099821</v>
      </c>
      <c r="O481" s="814">
        <f t="shared" si="36"/>
        <v>13224.609868217367</v>
      </c>
      <c r="P481" s="814">
        <f t="shared" si="36"/>
        <v>13177.605504592228</v>
      </c>
      <c r="Q481" s="814">
        <f t="shared" si="36"/>
        <v>12582.979805417128</v>
      </c>
      <c r="R481" s="814">
        <f t="shared" si="36"/>
        <v>12353.349723356845</v>
      </c>
      <c r="S481" s="814">
        <f t="shared" si="36"/>
        <v>12140.579768564203</v>
      </c>
      <c r="T481" s="814">
        <f t="shared" si="36"/>
        <v>12046.213883516282</v>
      </c>
    </row>
    <row r="482" spans="2:20" ht="25.5">
      <c r="B482" s="390" t="s">
        <v>1144</v>
      </c>
      <c r="C482" s="815">
        <f>C445+C416</f>
        <v>8821.6284225883319</v>
      </c>
      <c r="D482" s="815">
        <f>D445+D416</f>
        <v>10179.062</v>
      </c>
      <c r="E482" s="815">
        <f>E445+E416</f>
        <v>10135.422999999999</v>
      </c>
      <c r="F482" s="815">
        <f>F445+F416</f>
        <v>10741.637000000001</v>
      </c>
      <c r="G482" s="815">
        <f>G445+G416</f>
        <v>10410.101000000001</v>
      </c>
      <c r="H482" s="815"/>
      <c r="I482" s="815"/>
      <c r="J482" s="815"/>
      <c r="K482" s="815"/>
      <c r="L482" s="815"/>
      <c r="M482" s="815"/>
      <c r="N482" s="815"/>
      <c r="O482" s="815"/>
      <c r="P482" s="815"/>
      <c r="Q482" s="815"/>
      <c r="R482" s="815"/>
      <c r="S482" s="815"/>
      <c r="T482" s="815"/>
    </row>
    <row r="483" spans="2:20" ht="25.5">
      <c r="B483" s="390" t="s">
        <v>1146</v>
      </c>
      <c r="C483" s="815"/>
      <c r="D483" s="815"/>
      <c r="E483" s="815"/>
      <c r="F483" s="815"/>
      <c r="G483" s="815"/>
      <c r="H483" s="815"/>
      <c r="I483" s="815"/>
      <c r="J483" s="815"/>
      <c r="K483" s="815">
        <f t="shared" ref="K483:T483" si="37">K446+K417</f>
        <v>11837.391547653797</v>
      </c>
      <c r="L483" s="815">
        <f t="shared" si="37"/>
        <v>11395.434662764525</v>
      </c>
      <c r="M483" s="815">
        <f t="shared" si="37"/>
        <v>11835.508293799776</v>
      </c>
      <c r="N483" s="815">
        <f t="shared" si="37"/>
        <v>12083.803809503283</v>
      </c>
      <c r="O483" s="815">
        <f t="shared" si="37"/>
        <v>12236.410002670036</v>
      </c>
      <c r="P483" s="815">
        <f t="shared" si="37"/>
        <v>12170.366496838369</v>
      </c>
      <c r="Q483" s="815">
        <f t="shared" si="37"/>
        <v>11807.859213585431</v>
      </c>
      <c r="R483" s="815">
        <f t="shared" si="37"/>
        <v>11699.231524890316</v>
      </c>
      <c r="S483" s="815">
        <f t="shared" si="37"/>
        <v>11570.972072550192</v>
      </c>
      <c r="T483" s="815">
        <f t="shared" si="37"/>
        <v>11448.092331595954</v>
      </c>
    </row>
    <row r="506" spans="2:20">
      <c r="B506" s="341" t="s">
        <v>1084</v>
      </c>
    </row>
    <row r="508" spans="2:20">
      <c r="B508" s="326"/>
      <c r="C508" s="326" t="str">
        <f>C24</f>
        <v>2010/11</v>
      </c>
      <c r="D508" s="326" t="str">
        <f t="shared" ref="D508:T508" si="38">D24</f>
        <v>2011/12</v>
      </c>
      <c r="E508" s="326" t="str">
        <f t="shared" si="38"/>
        <v>2012/13</v>
      </c>
      <c r="F508" s="326" t="str">
        <f t="shared" si="38"/>
        <v>2013/14</v>
      </c>
      <c r="G508" s="326" t="str">
        <f t="shared" si="38"/>
        <v>2014/15</v>
      </c>
      <c r="H508" s="326" t="str">
        <f t="shared" si="38"/>
        <v>2015/16</v>
      </c>
      <c r="I508" s="326" t="str">
        <f t="shared" si="38"/>
        <v>2016/17</v>
      </c>
      <c r="J508" s="326" t="str">
        <f t="shared" si="38"/>
        <v>2017/18</v>
      </c>
      <c r="K508" s="326" t="str">
        <f t="shared" si="38"/>
        <v>2018/19</v>
      </c>
      <c r="L508" s="326" t="str">
        <f t="shared" si="38"/>
        <v>2019/20</v>
      </c>
      <c r="M508" s="326" t="str">
        <f t="shared" si="38"/>
        <v>2020/21</v>
      </c>
      <c r="N508" s="326" t="str">
        <f t="shared" si="38"/>
        <v>2021/22</v>
      </c>
      <c r="O508" s="326" t="str">
        <f t="shared" si="38"/>
        <v>2022/23</v>
      </c>
      <c r="P508" s="326" t="str">
        <f t="shared" si="38"/>
        <v>2023/24</v>
      </c>
      <c r="Q508" s="326" t="str">
        <f t="shared" si="38"/>
        <v>2024/25</v>
      </c>
      <c r="R508" s="326" t="str">
        <f t="shared" si="38"/>
        <v>2025/26</v>
      </c>
      <c r="S508" s="326" t="str">
        <f t="shared" si="38"/>
        <v>2026/27</v>
      </c>
      <c r="T508" s="326" t="str">
        <f t="shared" si="38"/>
        <v>2027/28</v>
      </c>
    </row>
    <row r="509" spans="2:20">
      <c r="B509" s="326" t="s">
        <v>942</v>
      </c>
      <c r="C509" s="444">
        <v>47409.606736543297</v>
      </c>
      <c r="D509" s="307">
        <f>RAW_DATA_INPUTS!I132+RAW_DATA_INPUTS!I133+RAW_DATA_INPUTS!I166+RAW_DATA_INPUTS!I167</f>
        <v>48174.248</v>
      </c>
      <c r="E509" s="307">
        <f>RAW_DATA_INPUTS!J132+RAW_DATA_INPUTS!J133+RAW_DATA_INPUTS!J166+RAW_DATA_INPUTS!J167</f>
        <v>51280.237999999998</v>
      </c>
      <c r="F509" s="307">
        <f>RAW_DATA_INPUTS!K132+RAW_DATA_INPUTS!K133+RAW_DATA_INPUTS!K166+RAW_DATA_INPUTS!K167</f>
        <v>54759.762999999999</v>
      </c>
      <c r="G509" s="307">
        <f>RAW_DATA_INPUTS!L132+RAW_DATA_INPUTS!L133+RAW_DATA_INPUTS!L166+RAW_DATA_INPUTS!L167</f>
        <v>57913.320999999996</v>
      </c>
      <c r="H509" s="307">
        <f>SUM(RAW_DATA_INPUTS!AQ40:AR41)</f>
        <v>60571.323000000004</v>
      </c>
      <c r="I509" s="307"/>
      <c r="J509" s="307"/>
      <c r="K509" s="307"/>
      <c r="L509" s="307"/>
      <c r="M509" s="307"/>
      <c r="N509" s="307"/>
      <c r="O509" s="307"/>
      <c r="P509" s="307"/>
      <c r="Q509" s="307"/>
      <c r="R509" s="307"/>
      <c r="S509" s="307"/>
      <c r="T509" s="307"/>
    </row>
    <row r="510" spans="2:20">
      <c r="B510" s="326" t="s">
        <v>943</v>
      </c>
      <c r="C510" s="444">
        <v>66482.935842105537</v>
      </c>
      <c r="D510" s="307">
        <f>RAW_DATA_INPUTS!I135+RAW_DATA_INPUTS!I134+RAW_DATA_INPUTS!I169+RAW_DATA_INPUTS!I168</f>
        <v>68607.543999999994</v>
      </c>
      <c r="E510" s="307">
        <f>RAW_DATA_INPUTS!J135+RAW_DATA_INPUTS!J134+RAW_DATA_INPUTS!J169+RAW_DATA_INPUTS!J168</f>
        <v>70747.823000000004</v>
      </c>
      <c r="F510" s="307">
        <f>RAW_DATA_INPUTS!K135+RAW_DATA_INPUTS!K134+RAW_DATA_INPUTS!K169+RAW_DATA_INPUTS!K168</f>
        <v>72029.81</v>
      </c>
      <c r="G510" s="307">
        <f>RAW_DATA_INPUTS!L135+RAW_DATA_INPUTS!L134+RAW_DATA_INPUTS!L169+RAW_DATA_INPUTS!L168</f>
        <v>73565.491000000009</v>
      </c>
      <c r="H510" s="307">
        <f>SUM(RAW_DATA_INPUTS!AQ42:AR43)</f>
        <v>74698.943999999989</v>
      </c>
      <c r="I510" s="307"/>
      <c r="J510" s="307"/>
      <c r="K510" s="307"/>
      <c r="L510" s="307"/>
      <c r="M510" s="307"/>
      <c r="N510" s="307"/>
      <c r="O510" s="307"/>
      <c r="P510" s="307"/>
      <c r="Q510" s="307"/>
      <c r="R510" s="307"/>
      <c r="S510" s="307"/>
      <c r="T510" s="307"/>
    </row>
    <row r="511" spans="2:20">
      <c r="B511" s="326" t="s">
        <v>944</v>
      </c>
      <c r="C511" s="444">
        <v>51259.979128336861</v>
      </c>
      <c r="D511" s="307">
        <f>RAW_DATA_INPUTS!I136+RAW_DATA_INPUTS!I137+RAW_DATA_INPUTS!I170+RAW_DATA_INPUTS!I171</f>
        <v>53644.612999999998</v>
      </c>
      <c r="E511" s="307">
        <f>RAW_DATA_INPUTS!J136+RAW_DATA_INPUTS!J137+RAW_DATA_INPUTS!J170+RAW_DATA_INPUTS!J171</f>
        <v>56235.042000000001</v>
      </c>
      <c r="F511" s="307">
        <f>RAW_DATA_INPUTS!K136+RAW_DATA_INPUTS!K137+RAW_DATA_INPUTS!K170+RAW_DATA_INPUTS!K171</f>
        <v>58418.114000000001</v>
      </c>
      <c r="G511" s="307">
        <f>RAW_DATA_INPUTS!L136+RAW_DATA_INPUTS!L137+RAW_DATA_INPUTS!L170+RAW_DATA_INPUTS!L171</f>
        <v>60294.141000000003</v>
      </c>
      <c r="H511" s="307">
        <f>SUM(RAW_DATA_INPUTS!AQ44:AR45)</f>
        <v>61156.686000000002</v>
      </c>
      <c r="I511" s="307"/>
      <c r="J511" s="307"/>
      <c r="K511" s="307"/>
      <c r="L511" s="307"/>
      <c r="M511" s="307"/>
      <c r="N511" s="307"/>
      <c r="O511" s="307"/>
      <c r="P511" s="307"/>
      <c r="Q511" s="307"/>
      <c r="R511" s="307"/>
      <c r="S511" s="307"/>
      <c r="T511" s="307"/>
    </row>
    <row r="512" spans="2:20">
      <c r="B512" s="326" t="s">
        <v>945</v>
      </c>
      <c r="C512" s="444">
        <v>45676.552149158888</v>
      </c>
      <c r="D512" s="307">
        <f>RAW_DATA_INPUTS!I139+RAW_DATA_INPUTS!I138+RAW_DATA_INPUTS!I173+RAW_DATA_INPUTS!I172</f>
        <v>43154.445</v>
      </c>
      <c r="E512" s="307">
        <f>RAW_DATA_INPUTS!J139+RAW_DATA_INPUTS!J138+RAW_DATA_INPUTS!J173+RAW_DATA_INPUTS!J172</f>
        <v>40543.807000000001</v>
      </c>
      <c r="F512" s="307">
        <f>RAW_DATA_INPUTS!K139+RAW_DATA_INPUTS!K138+RAW_DATA_INPUTS!K173+RAW_DATA_INPUTS!K172</f>
        <v>38708.807000000001</v>
      </c>
      <c r="G512" s="307">
        <f>RAW_DATA_INPUTS!L139+RAW_DATA_INPUTS!L138+RAW_DATA_INPUTS!L173+RAW_DATA_INPUTS!L172</f>
        <v>37208.921999999999</v>
      </c>
      <c r="H512" s="307">
        <f>SUM(RAW_DATA_INPUTS!AQ46:AR47)</f>
        <v>36654.972999999998</v>
      </c>
      <c r="I512" s="307"/>
      <c r="J512" s="307"/>
      <c r="K512" s="307"/>
      <c r="L512" s="307"/>
      <c r="M512" s="307"/>
      <c r="N512" s="307"/>
      <c r="O512" s="307"/>
      <c r="P512" s="307"/>
      <c r="Q512" s="307"/>
      <c r="R512" s="307"/>
      <c r="S512" s="307"/>
      <c r="T512" s="307"/>
    </row>
    <row r="513" spans="2:20">
      <c r="B513" s="326" t="s">
        <v>946</v>
      </c>
      <c r="C513" s="444">
        <v>5973.9915807636144</v>
      </c>
      <c r="D513" s="307">
        <f>RAW_DATA_INPUTS!I140+RAW_DATA_INPUTS!I141+RAW_DATA_INPUTS!I174+RAW_DATA_INPUTS!I175</f>
        <v>6178.4169999999995</v>
      </c>
      <c r="E513" s="307">
        <f>RAW_DATA_INPUTS!J140+RAW_DATA_INPUTS!J141+RAW_DATA_INPUTS!J174+RAW_DATA_INPUTS!J175</f>
        <v>6503.9540000000006</v>
      </c>
      <c r="F513" s="307">
        <f>RAW_DATA_INPUTS!K140+RAW_DATA_INPUTS!K141+RAW_DATA_INPUTS!K174+RAW_DATA_INPUTS!K175</f>
        <v>6505.6530000000002</v>
      </c>
      <c r="G513" s="307">
        <f>RAW_DATA_INPUTS!L140+RAW_DATA_INPUTS!L141+RAW_DATA_INPUTS!L174+RAW_DATA_INPUTS!L175</f>
        <v>6441.3499999999995</v>
      </c>
      <c r="H513" s="307">
        <f>SUM(RAW_DATA_INPUTS!AQ48:AR49)</f>
        <v>6149.7240000000002</v>
      </c>
      <c r="I513" s="307"/>
      <c r="J513" s="307"/>
      <c r="K513" s="307"/>
      <c r="L513" s="307"/>
      <c r="M513" s="307"/>
      <c r="N513" s="307"/>
      <c r="O513" s="307"/>
      <c r="P513" s="307"/>
      <c r="Q513" s="307"/>
      <c r="R513" s="307"/>
      <c r="S513" s="307"/>
      <c r="T513" s="307"/>
    </row>
    <row r="514" spans="2:20">
      <c r="B514" s="326" t="s">
        <v>947</v>
      </c>
      <c r="C514" s="324"/>
      <c r="D514" s="324"/>
      <c r="E514" s="324"/>
      <c r="F514" s="324"/>
      <c r="G514" s="324"/>
      <c r="H514" s="324">
        <f>H509</f>
        <v>60571.323000000004</v>
      </c>
      <c r="I514" s="324">
        <f>Primary_1!C340+Primary_1!C341+Primary_1!C356+Primary_1!C357</f>
        <v>62650.93552573862</v>
      </c>
      <c r="J514" s="324">
        <f>Primary_1!D340+Primary_1!D341+Primary_1!D356+Primary_1!D357</f>
        <v>64031.45301434362</v>
      </c>
      <c r="K514" s="324">
        <f>Primary_1!E340+Primary_1!E341+Primary_1!E356+Primary_1!E357</f>
        <v>64940.099394596502</v>
      </c>
      <c r="L514" s="324">
        <f>Primary_1!F340+Primary_1!F341+Primary_1!F356+Primary_1!F357</f>
        <v>65447.326363560402</v>
      </c>
      <c r="M514" s="324">
        <f>Primary_1!G340+Primary_1!G341+Primary_1!G356+Primary_1!G357</f>
        <v>66032.872645544514</v>
      </c>
      <c r="N514" s="324">
        <f>Primary_1!H340+Primary_1!H341+Primary_1!H356+Primary_1!H357</f>
        <v>66438.210160471775</v>
      </c>
      <c r="O514" s="324">
        <f>Primary_1!I340+Primary_1!I341+Primary_1!I356+Primary_1!I357</f>
        <v>66611.803532756225</v>
      </c>
      <c r="P514" s="324">
        <f>Primary_1!J340+Primary_1!J341+Primary_1!J356+Primary_1!J357</f>
        <v>66637.043515244965</v>
      </c>
      <c r="Q514" s="324">
        <f>Primary_1!K340+Primary_1!K341+Primary_1!K356+Primary_1!K357</f>
        <v>66984.773250216866</v>
      </c>
      <c r="R514" s="324">
        <f>Primary_1!L340+Primary_1!L341+Primary_1!L356+Primary_1!L357</f>
        <v>67535.727746934863</v>
      </c>
      <c r="S514" s="324">
        <f>Primary_1!M340+Primary_1!M341+Primary_1!M356+Primary_1!M357</f>
        <v>68056.672324148589</v>
      </c>
      <c r="T514" s="324">
        <f>Primary_1!N340+Primary_1!N341+Primary_1!N356+Primary_1!N357</f>
        <v>68418.347353354722</v>
      </c>
    </row>
    <row r="515" spans="2:20">
      <c r="B515" s="326" t="s">
        <v>948</v>
      </c>
      <c r="C515" s="324"/>
      <c r="D515" s="324"/>
      <c r="E515" s="324"/>
      <c r="F515" s="324"/>
      <c r="G515" s="324"/>
      <c r="H515" s="324">
        <f>H510</f>
        <v>74698.943999999989</v>
      </c>
      <c r="I515" s="324">
        <f>Primary_1!C342+Primary_1!C343+Primary_1!C358+Primary_1!C359</f>
        <v>75735.405419752205</v>
      </c>
      <c r="J515" s="324">
        <f>Primary_1!D342+Primary_1!D343+Primary_1!D358+Primary_1!D359</f>
        <v>75995.970841096336</v>
      </c>
      <c r="K515" s="324">
        <f>Primary_1!E342+Primary_1!E343+Primary_1!E358+Primary_1!E359</f>
        <v>75830.891756347177</v>
      </c>
      <c r="L515" s="324">
        <f>Primary_1!F342+Primary_1!F343+Primary_1!F358+Primary_1!F359</f>
        <v>75426.467156199738</v>
      </c>
      <c r="M515" s="324">
        <f>Primary_1!G342+Primary_1!G343+Primary_1!G358+Primary_1!G359</f>
        <v>75042.012183824831</v>
      </c>
      <c r="N515" s="324">
        <f>Primary_1!H342+Primary_1!H343+Primary_1!H358+Primary_1!H359</f>
        <v>74654.224654473612</v>
      </c>
      <c r="O515" s="324">
        <f>Primary_1!I342+Primary_1!I343+Primary_1!I358+Primary_1!I359</f>
        <v>74263.138431663057</v>
      </c>
      <c r="P515" s="324">
        <f>Primary_1!J342+Primary_1!J343+Primary_1!J358+Primary_1!J359</f>
        <v>73892.379859028777</v>
      </c>
      <c r="Q515" s="324">
        <f>Primary_1!K342+Primary_1!K343+Primary_1!K358+Primary_1!K359</f>
        <v>73701.63762853689</v>
      </c>
      <c r="R515" s="324">
        <f>Primary_1!L342+Primary_1!L343+Primary_1!L358+Primary_1!L359</f>
        <v>73668.749002973826</v>
      </c>
      <c r="S515" s="324">
        <f>Primary_1!M342+Primary_1!M343+Primary_1!M358+Primary_1!M359</f>
        <v>73719.992924695573</v>
      </c>
      <c r="T515" s="324">
        <f>Primary_1!N342+Primary_1!N343+Primary_1!N358+Primary_1!N359</f>
        <v>73798.4339630451</v>
      </c>
    </row>
    <row r="516" spans="2:20">
      <c r="B516" s="326" t="s">
        <v>949</v>
      </c>
      <c r="C516" s="324"/>
      <c r="D516" s="324"/>
      <c r="E516" s="324"/>
      <c r="F516" s="324"/>
      <c r="G516" s="324"/>
      <c r="H516" s="324">
        <f>H511</f>
        <v>61156.686000000002</v>
      </c>
      <c r="I516" s="324">
        <f>Primary_1!C344+Primary_1!C345+Primary_1!C360+Primary_1!C361</f>
        <v>62289.874013559063</v>
      </c>
      <c r="J516" s="324">
        <f>Primary_1!D344+Primary_1!D345+Primary_1!D360+Primary_1!D361</f>
        <v>63072.618241949516</v>
      </c>
      <c r="K516" s="324">
        <f>Primary_1!E344+Primary_1!E345+Primary_1!E360+Primary_1!E361</f>
        <v>63624.733961929029</v>
      </c>
      <c r="L516" s="324">
        <f>Primary_1!F344+Primary_1!F345+Primary_1!F360+Primary_1!F361</f>
        <v>63985.425131467229</v>
      </c>
      <c r="M516" s="324">
        <f>Primary_1!G344+Primary_1!G345+Primary_1!G360+Primary_1!G361</f>
        <v>64291.559487604827</v>
      </c>
      <c r="N516" s="324">
        <f>Primary_1!H344+Primary_1!H345+Primary_1!H360+Primary_1!H361</f>
        <v>64486.430147166597</v>
      </c>
      <c r="O516" s="324">
        <f>Primary_1!I344+Primary_1!I345+Primary_1!I360+Primary_1!I361</f>
        <v>64561.208282714681</v>
      </c>
      <c r="P516" s="324">
        <f>Primary_1!J344+Primary_1!J345+Primary_1!J360+Primary_1!J361</f>
        <v>64543.25821458998</v>
      </c>
      <c r="Q516" s="324">
        <f>Primary_1!K344+Primary_1!K345+Primary_1!K360+Primary_1!K361</f>
        <v>64570.500802602692</v>
      </c>
      <c r="R516" s="324">
        <f>Primary_1!L344+Primary_1!L345+Primary_1!L360+Primary_1!L361</f>
        <v>64633.312798081548</v>
      </c>
      <c r="S516" s="324">
        <f>Primary_1!M344+Primary_1!M345+Primary_1!M360+Primary_1!M361</f>
        <v>64685.5256240132</v>
      </c>
      <c r="T516" s="324">
        <f>Primary_1!N344+Primary_1!N345+Primary_1!N360+Primary_1!N361</f>
        <v>64700.316239290973</v>
      </c>
    </row>
    <row r="517" spans="2:20">
      <c r="B517" s="326" t="s">
        <v>950</v>
      </c>
      <c r="C517" s="324"/>
      <c r="D517" s="324"/>
      <c r="E517" s="324"/>
      <c r="F517" s="324"/>
      <c r="G517" s="324"/>
      <c r="H517" s="324">
        <f>H512</f>
        <v>36654.972999999998</v>
      </c>
      <c r="I517" s="324">
        <f>Primary_1!C346+Primary_1!C347+Primary_1!C362+Primary_1!C363</f>
        <v>35256.172626426145</v>
      </c>
      <c r="J517" s="324">
        <f>Primary_1!D346+Primary_1!D347+Primary_1!D362+Primary_1!D363</f>
        <v>34405.442939738532</v>
      </c>
      <c r="K517" s="324">
        <f>Primary_1!E346+Primary_1!E347+Primary_1!E362+Primary_1!E363</f>
        <v>33917.212918317891</v>
      </c>
      <c r="L517" s="324">
        <f>Primary_1!F346+Primary_1!F347+Primary_1!F362+Primary_1!F363</f>
        <v>33653.310897227668</v>
      </c>
      <c r="M517" s="324">
        <f>Primary_1!G346+Primary_1!G347+Primary_1!G362+Primary_1!G363</f>
        <v>33570.122365956151</v>
      </c>
      <c r="N517" s="324">
        <f>Primary_1!H346+Primary_1!H347+Primary_1!H362+Primary_1!H363</f>
        <v>33574.031843871395</v>
      </c>
      <c r="O517" s="324">
        <f>Primary_1!I346+Primary_1!I347+Primary_1!I362+Primary_1!I363</f>
        <v>33614.038089825655</v>
      </c>
      <c r="P517" s="324">
        <f>Primary_1!J346+Primary_1!J347+Primary_1!J362+Primary_1!J363</f>
        <v>33668.312722966017</v>
      </c>
      <c r="Q517" s="324">
        <f>Primary_1!K346+Primary_1!K347+Primary_1!K362+Primary_1!K363</f>
        <v>33771.769610301111</v>
      </c>
      <c r="R517" s="324">
        <f>Primary_1!L346+Primary_1!L347+Primary_1!L362+Primary_1!L363</f>
        <v>33902.821573338355</v>
      </c>
      <c r="S517" s="324">
        <f>Primary_1!M346+Primary_1!M347+Primary_1!M362+Primary_1!M363</f>
        <v>34030.329060201249</v>
      </c>
      <c r="T517" s="324">
        <f>Primary_1!N346+Primary_1!N347+Primary_1!N362+Primary_1!N363</f>
        <v>34135.542473067653</v>
      </c>
    </row>
    <row r="518" spans="2:20">
      <c r="B518" s="326" t="s">
        <v>951</v>
      </c>
      <c r="C518" s="324"/>
      <c r="D518" s="324"/>
      <c r="E518" s="324"/>
      <c r="F518" s="324"/>
      <c r="G518" s="324"/>
      <c r="H518" s="324">
        <f>H513</f>
        <v>6149.7240000000002</v>
      </c>
      <c r="I518" s="324">
        <f>Primary_1!C348+Primary_1!C349+Primary_1!C364+Primary_1!C365</f>
        <v>6357.590424853106</v>
      </c>
      <c r="J518" s="324">
        <f>Primary_1!D348+Primary_1!D349+Primary_1!D364+Primary_1!D365</f>
        <v>6311.0199507516372</v>
      </c>
      <c r="K518" s="324">
        <f>Primary_1!E348+Primary_1!E349+Primary_1!E364+Primary_1!E365</f>
        <v>6160.0624856627619</v>
      </c>
      <c r="L518" s="324">
        <f>Primary_1!F348+Primary_1!F349+Primary_1!F364+Primary_1!F365</f>
        <v>5980.5559361747692</v>
      </c>
      <c r="M518" s="324">
        <f>Primary_1!G348+Primary_1!G349+Primary_1!G364+Primary_1!G365</f>
        <v>5819.9955548849412</v>
      </c>
      <c r="N518" s="324">
        <f>Primary_1!H348+Primary_1!H349+Primary_1!H364+Primary_1!H365</f>
        <v>5684.908877410684</v>
      </c>
      <c r="O518" s="324">
        <f>Primary_1!I348+Primary_1!I349+Primary_1!I364+Primary_1!I365</f>
        <v>5576.0047827954386</v>
      </c>
      <c r="P518" s="324">
        <f>Primary_1!J348+Primary_1!J349+Primary_1!J364+Primary_1!J365</f>
        <v>5492.4127725859953</v>
      </c>
      <c r="Q518" s="324">
        <f>Primary_1!K348+Primary_1!K349+Primary_1!K364+Primary_1!K365</f>
        <v>5441.9241967592661</v>
      </c>
      <c r="R518" s="324">
        <f>Primary_1!L348+Primary_1!L349+Primary_1!L364+Primary_1!L365</f>
        <v>5416.5603277071023</v>
      </c>
      <c r="S518" s="324">
        <f>Primary_1!M348+Primary_1!M349+Primary_1!M364+Primary_1!M365</f>
        <v>5405.507279055646</v>
      </c>
      <c r="T518" s="324">
        <f>Primary_1!N348+Primary_1!N349+Primary_1!N364+Primary_1!N365</f>
        <v>5401.2322370562924</v>
      </c>
    </row>
    <row r="519" spans="2:20">
      <c r="B519" s="326" t="s">
        <v>952</v>
      </c>
      <c r="C519" s="444">
        <v>48223.053502070397</v>
      </c>
      <c r="D519" s="307">
        <f>RAW_DATA_INPUTS!C132+RAW_DATA_INPUTS!C133+RAW_DATA_INPUTS!C166+RAW_DATA_INPUTS!C167</f>
        <v>48675.355000000003</v>
      </c>
      <c r="E519" s="307">
        <f>RAW_DATA_INPUTS!D132+RAW_DATA_INPUTS!D133+RAW_DATA_INPUTS!D166+RAW_DATA_INPUTS!D167</f>
        <v>48792.569999999992</v>
      </c>
      <c r="F519" s="307">
        <f>RAW_DATA_INPUTS!E132+RAW_DATA_INPUTS!E133+RAW_DATA_INPUTS!E166+RAW_DATA_INPUTS!E167</f>
        <v>47430.468999999997</v>
      </c>
      <c r="G519" s="307">
        <f>RAW_DATA_INPUTS!F132+RAW_DATA_INPUTS!F133+RAW_DATA_INPUTS!F166+RAW_DATA_INPUTS!F167</f>
        <v>46197.395000000004</v>
      </c>
      <c r="H519" s="307">
        <f>SUM(RAW_DATA_INPUTS!AO40:AP41)</f>
        <v>44883.123058915102</v>
      </c>
      <c r="I519" s="307"/>
      <c r="J519" s="307"/>
      <c r="K519" s="307"/>
      <c r="L519" s="307"/>
      <c r="M519" s="307"/>
      <c r="N519" s="307"/>
      <c r="O519" s="307"/>
      <c r="P519" s="307"/>
      <c r="Q519" s="307"/>
      <c r="R519" s="307"/>
      <c r="S519" s="307"/>
      <c r="T519" s="307"/>
    </row>
    <row r="520" spans="2:20">
      <c r="B520" s="326" t="s">
        <v>953</v>
      </c>
      <c r="C520" s="444">
        <v>70746.670872497823</v>
      </c>
      <c r="D520" s="307">
        <f>RAW_DATA_INPUTS!C135+RAW_DATA_INPUTS!C134+RAW_DATA_INPUTS!C169+RAW_DATA_INPUTS!C168</f>
        <v>71910.765000000014</v>
      </c>
      <c r="E520" s="307">
        <f>RAW_DATA_INPUTS!D135+RAW_DATA_INPUTS!D134+RAW_DATA_INPUTS!D169+RAW_DATA_INPUTS!D168</f>
        <v>73470.31700000001</v>
      </c>
      <c r="F520" s="307">
        <f>RAW_DATA_INPUTS!E135+RAW_DATA_INPUTS!E134+RAW_DATA_INPUTS!E169+RAW_DATA_INPUTS!E168</f>
        <v>74044.337</v>
      </c>
      <c r="G520" s="307">
        <f>RAW_DATA_INPUTS!F135+RAW_DATA_INPUTS!F134+RAW_DATA_INPUTS!F169+RAW_DATA_INPUTS!F168</f>
        <v>74394.232999999993</v>
      </c>
      <c r="H520" s="307">
        <f>SUM(RAW_DATA_INPUTS!AO42:AP43)</f>
        <v>73507.005808613161</v>
      </c>
      <c r="I520" s="307"/>
      <c r="J520" s="307"/>
      <c r="K520" s="307"/>
      <c r="L520" s="307"/>
      <c r="M520" s="307"/>
      <c r="N520" s="307"/>
      <c r="O520" s="307"/>
      <c r="P520" s="307"/>
      <c r="Q520" s="307"/>
      <c r="R520" s="307"/>
      <c r="S520" s="307"/>
      <c r="T520" s="307"/>
    </row>
    <row r="521" spans="2:20">
      <c r="B521" s="326" t="s">
        <v>954</v>
      </c>
      <c r="C521" s="444">
        <v>49557.739923707719</v>
      </c>
      <c r="D521" s="307">
        <f>RAW_DATA_INPUTS!C136+RAW_DATA_INPUTS!C137+RAW_DATA_INPUTS!C170+RAW_DATA_INPUTS!C171</f>
        <v>51414.662000000004</v>
      </c>
      <c r="E521" s="307">
        <f>RAW_DATA_INPUTS!D136+RAW_DATA_INPUTS!D137+RAW_DATA_INPUTS!D170+RAW_DATA_INPUTS!D171</f>
        <v>52967.756999999998</v>
      </c>
      <c r="F521" s="307">
        <f>RAW_DATA_INPUTS!E136+RAW_DATA_INPUTS!E137+RAW_DATA_INPUTS!E170+RAW_DATA_INPUTS!E171</f>
        <v>53905.713999999993</v>
      </c>
      <c r="G521" s="307">
        <f>RAW_DATA_INPUTS!F136+RAW_DATA_INPUTS!F137+RAW_DATA_INPUTS!F170+RAW_DATA_INPUTS!F171</f>
        <v>54642.598000000005</v>
      </c>
      <c r="H521" s="307">
        <f>SUM(RAW_DATA_INPUTS!AO44:AP45)</f>
        <v>55029.977755717009</v>
      </c>
      <c r="I521" s="307"/>
      <c r="J521" s="307"/>
      <c r="K521" s="307"/>
      <c r="L521" s="307"/>
      <c r="M521" s="307"/>
      <c r="N521" s="307"/>
      <c r="O521" s="307"/>
      <c r="P521" s="307"/>
      <c r="Q521" s="307"/>
      <c r="R521" s="307"/>
      <c r="S521" s="307"/>
      <c r="T521" s="307"/>
    </row>
    <row r="522" spans="2:20">
      <c r="B522" s="326" t="s">
        <v>955</v>
      </c>
      <c r="C522" s="444">
        <v>47135.9921469494</v>
      </c>
      <c r="D522" s="307">
        <f>RAW_DATA_INPUTS!C139+RAW_DATA_INPUTS!C138+RAW_DATA_INPUTS!C173+RAW_DATA_INPUTS!C172</f>
        <v>41941.245999999999</v>
      </c>
      <c r="E522" s="307">
        <f>RAW_DATA_INPUTS!D139+RAW_DATA_INPUTS!D138+RAW_DATA_INPUTS!D173+RAW_DATA_INPUTS!D172</f>
        <v>39474.42</v>
      </c>
      <c r="F522" s="307">
        <f>RAW_DATA_INPUTS!E139+RAW_DATA_INPUTS!E138+RAW_DATA_INPUTS!E173+RAW_DATA_INPUTS!E172</f>
        <v>37283.615000000005</v>
      </c>
      <c r="G522" s="307">
        <f>RAW_DATA_INPUTS!F139+RAW_DATA_INPUTS!F138+RAW_DATA_INPUTS!F173+RAW_DATA_INPUTS!F172</f>
        <v>35400.942000000003</v>
      </c>
      <c r="H522" s="307">
        <f>SUM(RAW_DATA_INPUTS!AO46:AP47)</f>
        <v>33922.691964960701</v>
      </c>
      <c r="I522" s="307"/>
      <c r="J522" s="307"/>
      <c r="K522" s="307"/>
      <c r="L522" s="307"/>
      <c r="M522" s="307"/>
      <c r="N522" s="307"/>
      <c r="O522" s="307"/>
      <c r="P522" s="307"/>
      <c r="Q522" s="307"/>
      <c r="R522" s="307"/>
      <c r="S522" s="307"/>
      <c r="T522" s="307"/>
    </row>
    <row r="523" spans="2:20">
      <c r="B523" s="326" t="s">
        <v>956</v>
      </c>
      <c r="C523" s="444">
        <v>6237.2040511763826</v>
      </c>
      <c r="D523" s="307">
        <f>RAW_DATA_INPUTS!C140+RAW_DATA_INPUTS!C141+RAW_DATA_INPUTS!C174+RAW_DATA_INPUTS!C175</f>
        <v>5241.5729999999994</v>
      </c>
      <c r="E523" s="307">
        <f>RAW_DATA_INPUTS!D140+RAW_DATA_INPUTS!D141+RAW_DATA_INPUTS!D174+RAW_DATA_INPUTS!D175</f>
        <v>5239.027</v>
      </c>
      <c r="F523" s="307">
        <f>RAW_DATA_INPUTS!E140+RAW_DATA_INPUTS!E141+RAW_DATA_INPUTS!E174+RAW_DATA_INPUTS!E175</f>
        <v>5160.0129999999999</v>
      </c>
      <c r="G523" s="307">
        <f>RAW_DATA_INPUTS!F140+RAW_DATA_INPUTS!F141+RAW_DATA_INPUTS!F174+RAW_DATA_INPUTS!F175</f>
        <v>5028.5050000000001</v>
      </c>
      <c r="H523" s="307">
        <f>SUM(RAW_DATA_INPUTS!AO48:AP49)</f>
        <v>4770.2687135826254</v>
      </c>
      <c r="I523" s="307"/>
      <c r="J523" s="307"/>
      <c r="K523" s="307"/>
      <c r="L523" s="307"/>
      <c r="M523" s="307"/>
      <c r="N523" s="307"/>
      <c r="O523" s="307"/>
      <c r="P523" s="307"/>
      <c r="Q523" s="307"/>
      <c r="R523" s="307"/>
      <c r="S523" s="307"/>
      <c r="T523" s="307"/>
    </row>
    <row r="524" spans="2:20">
      <c r="B524" s="326" t="s">
        <v>957</v>
      </c>
      <c r="C524" s="324"/>
      <c r="D524" s="324"/>
      <c r="E524" s="324"/>
      <c r="F524" s="324"/>
      <c r="G524" s="324"/>
      <c r="H524" s="324">
        <f>H519</f>
        <v>44883.123058915102</v>
      </c>
      <c r="I524" s="324">
        <f>H554+H555</f>
        <v>47314.128233217132</v>
      </c>
      <c r="J524" s="324">
        <f t="shared" ref="J524:T524" si="39">I554+I555</f>
        <v>49406.086826814586</v>
      </c>
      <c r="K524" s="324">
        <f t="shared" si="39"/>
        <v>51655.595163894788</v>
      </c>
      <c r="L524" s="324">
        <f t="shared" si="39"/>
        <v>53731.444299751543</v>
      </c>
      <c r="M524" s="324">
        <f t="shared" si="39"/>
        <v>55274.110347070768</v>
      </c>
      <c r="N524" s="324">
        <f t="shared" si="39"/>
        <v>56575.915734733579</v>
      </c>
      <c r="O524" s="324">
        <f t="shared" si="39"/>
        <v>57792.499159889136</v>
      </c>
      <c r="P524" s="324">
        <f t="shared" si="39"/>
        <v>58701.658196901932</v>
      </c>
      <c r="Q524" s="324">
        <f t="shared" si="39"/>
        <v>58908.80377009623</v>
      </c>
      <c r="R524" s="324">
        <f t="shared" si="39"/>
        <v>58880.686903804679</v>
      </c>
      <c r="S524" s="324">
        <f t="shared" si="39"/>
        <v>58665.476390843309</v>
      </c>
      <c r="T524" s="324">
        <f t="shared" si="39"/>
        <v>58370.452606707084</v>
      </c>
    </row>
    <row r="525" spans="2:20">
      <c r="B525" s="326" t="s">
        <v>958</v>
      </c>
      <c r="C525" s="324"/>
      <c r="D525" s="324"/>
      <c r="E525" s="324"/>
      <c r="F525" s="324"/>
      <c r="G525" s="324"/>
      <c r="H525" s="324">
        <f>H520</f>
        <v>73507.005808613161</v>
      </c>
      <c r="I525" s="324">
        <f>H556+H557</f>
        <v>73396.362974800417</v>
      </c>
      <c r="J525" s="324">
        <f t="shared" ref="J525:T525" si="40">I556+I557</f>
        <v>72911.653975566063</v>
      </c>
      <c r="K525" s="324">
        <f t="shared" si="40"/>
        <v>72531.977073701157</v>
      </c>
      <c r="L525" s="324">
        <f t="shared" si="40"/>
        <v>72305.368186154214</v>
      </c>
      <c r="M525" s="324">
        <f t="shared" si="40"/>
        <v>72143.737556280132</v>
      </c>
      <c r="N525" s="324">
        <f t="shared" si="40"/>
        <v>72145.971529317321</v>
      </c>
      <c r="O525" s="324">
        <f t="shared" si="40"/>
        <v>72352.667858441477</v>
      </c>
      <c r="P525" s="324">
        <f t="shared" si="40"/>
        <v>72642.480963505091</v>
      </c>
      <c r="Q525" s="324">
        <f t="shared" si="40"/>
        <v>72787.23741328693</v>
      </c>
      <c r="R525" s="324">
        <f t="shared" si="40"/>
        <v>72886.535537959469</v>
      </c>
      <c r="S525" s="324">
        <f t="shared" si="40"/>
        <v>72915.313037811138</v>
      </c>
      <c r="T525" s="324">
        <f t="shared" si="40"/>
        <v>72886.116289801954</v>
      </c>
    </row>
    <row r="526" spans="2:20">
      <c r="B526" s="326" t="s">
        <v>959</v>
      </c>
      <c r="C526" s="324"/>
      <c r="D526" s="324"/>
      <c r="E526" s="324"/>
      <c r="F526" s="324"/>
      <c r="G526" s="324"/>
      <c r="H526" s="324">
        <f>H521</f>
        <v>55029.977755717009</v>
      </c>
      <c r="I526" s="324">
        <f>H558+H559</f>
        <v>56486.746385285594</v>
      </c>
      <c r="J526" s="324">
        <f t="shared" ref="J526:T526" si="41">I558+I559</f>
        <v>57663.62090852148</v>
      </c>
      <c r="K526" s="324">
        <f t="shared" si="41"/>
        <v>58735.66652158786</v>
      </c>
      <c r="L526" s="324">
        <f t="shared" si="41"/>
        <v>59652.171727196648</v>
      </c>
      <c r="M526" s="324">
        <f t="shared" si="41"/>
        <v>60335.1945160834</v>
      </c>
      <c r="N526" s="324">
        <f t="shared" si="41"/>
        <v>60873.98833188694</v>
      </c>
      <c r="O526" s="324">
        <f t="shared" si="41"/>
        <v>61332.737684620311</v>
      </c>
      <c r="P526" s="324">
        <f t="shared" si="41"/>
        <v>61675.005246936955</v>
      </c>
      <c r="Q526" s="324">
        <f t="shared" si="41"/>
        <v>61802.727094746238</v>
      </c>
      <c r="R526" s="324">
        <f t="shared" si="41"/>
        <v>61838.351749213012</v>
      </c>
      <c r="S526" s="324">
        <f t="shared" si="41"/>
        <v>61801.448699066998</v>
      </c>
      <c r="T526" s="324">
        <f t="shared" si="41"/>
        <v>61724.938356985753</v>
      </c>
    </row>
    <row r="527" spans="2:20">
      <c r="B527" s="326" t="s">
        <v>960</v>
      </c>
      <c r="C527" s="324"/>
      <c r="D527" s="324"/>
      <c r="E527" s="324"/>
      <c r="F527" s="324"/>
      <c r="G527" s="324"/>
      <c r="H527" s="324">
        <f>H522</f>
        <v>33922.691964960701</v>
      </c>
      <c r="I527" s="324">
        <f>H560+H561</f>
        <v>31939.65300924172</v>
      </c>
      <c r="J527" s="324">
        <f t="shared" ref="J527:T527" si="42">I560+I561</f>
        <v>30821.266569871899</v>
      </c>
      <c r="K527" s="324">
        <f t="shared" si="42"/>
        <v>30331.520264500687</v>
      </c>
      <c r="L527" s="324">
        <f t="shared" si="42"/>
        <v>30219.840391889469</v>
      </c>
      <c r="M527" s="324">
        <f t="shared" si="42"/>
        <v>30292.581943641402</v>
      </c>
      <c r="N527" s="324">
        <f t="shared" si="42"/>
        <v>30493.672386282313</v>
      </c>
      <c r="O527" s="324">
        <f t="shared" si="42"/>
        <v>30780.218186249738</v>
      </c>
      <c r="P527" s="324">
        <f t="shared" si="42"/>
        <v>31075.178434564972</v>
      </c>
      <c r="Q527" s="324">
        <f t="shared" si="42"/>
        <v>31286.454755083585</v>
      </c>
      <c r="R527" s="324">
        <f t="shared" si="42"/>
        <v>31458.084750391154</v>
      </c>
      <c r="S527" s="324">
        <f t="shared" si="42"/>
        <v>31583.353221165515</v>
      </c>
      <c r="T527" s="324">
        <f t="shared" si="42"/>
        <v>31670.7417130018</v>
      </c>
    </row>
    <row r="528" spans="2:20">
      <c r="B528" s="326" t="s">
        <v>961</v>
      </c>
      <c r="C528" s="324"/>
      <c r="D528" s="324"/>
      <c r="E528" s="324"/>
      <c r="F528" s="324"/>
      <c r="G528" s="324"/>
      <c r="H528" s="324">
        <f>H523</f>
        <v>4770.2687135826254</v>
      </c>
      <c r="I528" s="324">
        <f>H562+H563</f>
        <v>4839.1144428645748</v>
      </c>
      <c r="J528" s="324">
        <f t="shared" ref="J528:T528" si="43">I562+I563</f>
        <v>4645.6066842806313</v>
      </c>
      <c r="K528" s="324">
        <f t="shared" si="43"/>
        <v>4410.825914300156</v>
      </c>
      <c r="L528" s="324">
        <f t="shared" si="43"/>
        <v>4204.1776300283991</v>
      </c>
      <c r="M528" s="324">
        <f t="shared" si="43"/>
        <v>4037.5916139650049</v>
      </c>
      <c r="N528" s="324">
        <f t="shared" si="43"/>
        <v>3923.0952722983839</v>
      </c>
      <c r="O528" s="324">
        <f t="shared" si="43"/>
        <v>3856.9739273237165</v>
      </c>
      <c r="P528" s="324">
        <f t="shared" si="43"/>
        <v>3818.8394991517171</v>
      </c>
      <c r="Q528" s="324">
        <f t="shared" si="43"/>
        <v>3783.3268673922357</v>
      </c>
      <c r="R528" s="324">
        <f t="shared" si="43"/>
        <v>3760.482939554789</v>
      </c>
      <c r="S528" s="324">
        <f t="shared" si="43"/>
        <v>3745.010226400479</v>
      </c>
      <c r="T528" s="324">
        <f t="shared" si="43"/>
        <v>3735.5861326138729</v>
      </c>
    </row>
    <row r="529" spans="3:19">
      <c r="C529" s="309">
        <f>SUM(C509:C513)+SUM(C519:C523)-C25-C27</f>
        <v>0</v>
      </c>
      <c r="D529" s="309">
        <f>SUM(D509:D513)+SUM(D519:D523)-D25-D27</f>
        <v>0</v>
      </c>
      <c r="E529" s="309">
        <f>SUM(E509:E513)+SUM(E519:E523)-E25-E27</f>
        <v>0</v>
      </c>
      <c r="F529" s="309">
        <f>SUM(F509:F513)+SUM(F519:F523)-F25-F27</f>
        <v>0</v>
      </c>
      <c r="H529" s="309">
        <f t="shared" ref="H529:S529" si="44">H514+H515+H516+H517+H518-H26</f>
        <v>0</v>
      </c>
      <c r="I529" s="309">
        <f t="shared" si="44"/>
        <v>0</v>
      </c>
      <c r="J529" s="309">
        <f t="shared" si="44"/>
        <v>0</v>
      </c>
      <c r="K529" s="309">
        <f t="shared" si="44"/>
        <v>0</v>
      </c>
      <c r="L529" s="309">
        <f t="shared" si="44"/>
        <v>0</v>
      </c>
      <c r="M529" s="309">
        <f t="shared" si="44"/>
        <v>0</v>
      </c>
      <c r="N529" s="309">
        <f t="shared" si="44"/>
        <v>0</v>
      </c>
      <c r="O529" s="309">
        <f t="shared" si="44"/>
        <v>0</v>
      </c>
      <c r="P529" s="309">
        <f t="shared" si="44"/>
        <v>0</v>
      </c>
      <c r="Q529" s="309">
        <f t="shared" si="44"/>
        <v>0</v>
      </c>
      <c r="R529" s="309">
        <f t="shared" si="44"/>
        <v>0</v>
      </c>
      <c r="S529" s="309">
        <f t="shared" si="44"/>
        <v>0</v>
      </c>
    </row>
    <row r="530" spans="3:19">
      <c r="H530" s="309">
        <f t="shared" ref="H530:S530" si="45">SUM(H524:H528)-H28</f>
        <v>0</v>
      </c>
      <c r="I530" s="309">
        <f t="shared" si="45"/>
        <v>0</v>
      </c>
      <c r="J530" s="309">
        <f t="shared" si="45"/>
        <v>0</v>
      </c>
      <c r="K530" s="309">
        <f t="shared" si="45"/>
        <v>0</v>
      </c>
      <c r="L530" s="309">
        <f t="shared" si="45"/>
        <v>0</v>
      </c>
      <c r="M530" s="309">
        <f t="shared" si="45"/>
        <v>0</v>
      </c>
      <c r="N530" s="309">
        <f t="shared" si="45"/>
        <v>0</v>
      </c>
      <c r="O530" s="309">
        <f t="shared" si="45"/>
        <v>0</v>
      </c>
      <c r="P530" s="309">
        <f t="shared" si="45"/>
        <v>0</v>
      </c>
      <c r="Q530" s="309">
        <f t="shared" si="45"/>
        <v>0</v>
      </c>
      <c r="R530" s="309">
        <f t="shared" si="45"/>
        <v>0</v>
      </c>
      <c r="S530" s="309">
        <f t="shared" si="45"/>
        <v>0</v>
      </c>
    </row>
    <row r="531" spans="3:19">
      <c r="H531" s="309">
        <f>SUM(H509:H513)+SUM(H519:H523)-H25-H27</f>
        <v>0</v>
      </c>
    </row>
    <row r="554" spans="4:19">
      <c r="D554" s="458" t="s">
        <v>1086</v>
      </c>
      <c r="H554" s="705">
        <f>'Art_&amp;_Design_1'!C340+'Art_&amp;_Design_1'!C356+Biology_1!C340+Biology_1!C356+Business_Studies_1!C340+Business_Studies_1!C356+Chemistry_1!C340+Chemistry_1!C356+Classics_1!C340+Classics_1!C356+Computing_1!C340+Computing_1!C356+'Design_&amp;_Technology_1'!C340+'Design_&amp;_Technology_1'!C356+Drama_1!C340+Drama_1!C356+English_1!C340+English_1!C356+Food_1!C340+Food_1!C356+Geography_1!C340+Geography_1!C356+History_1!C340+History_1!C356+Mathematics_1!C340+Mathematics_1!C356+Modern_Foreign_Languages_1!C340+Modern_Foreign_Languages_1!C356+Music_1!C340+Music_1!C356+Others_1!C340+Others_1!C356+Physical_Education_1!C340+Physical_Education_1!C356+Physics_1!C340+Physics_1!C356+Religious_Education_1!C340+Religious_Education_1!C356</f>
        <v>13608.295528845556</v>
      </c>
      <c r="I554" s="705">
        <f>'Art_&amp;_Design_1'!D340+'Art_&amp;_Design_1'!D356+Biology_1!D340+Biology_1!D356+Business_Studies_1!D340+Business_Studies_1!D356+Chemistry_1!D340+Chemistry_1!D356+Classics_1!D340+Classics_1!D356+Computing_1!D340+Computing_1!D356+'Design_&amp;_Technology_1'!D340+'Design_&amp;_Technology_1'!D356+Drama_1!D340+Drama_1!D356+English_1!D340+English_1!D356+Food_1!D340+Food_1!D356+Geography_1!D340+Geography_1!D356+History_1!D340+History_1!D356+Mathematics_1!D340+Mathematics_1!D356+Modern_Foreign_Languages_1!D340+Modern_Foreign_Languages_1!D356+Music_1!D340+Music_1!D356+Others_1!D340+Others_1!D356+Physical_Education_1!D340+Physical_Education_1!D356+Physics_1!D340+Physics_1!D356+Religious_Education_1!D340+Religious_Education_1!D356</f>
        <v>16016.787886142643</v>
      </c>
      <c r="J554" s="705">
        <f>'Art_&amp;_Design_1'!E340+'Art_&amp;_Design_1'!E356+Biology_1!E340+Biology_1!E356+Business_Studies_1!E340+Business_Studies_1!E356+Chemistry_1!E340+Chemistry_1!E356+Classics_1!E340+Classics_1!E356+Computing_1!E340+Computing_1!E356+'Design_&amp;_Technology_1'!E340+'Design_&amp;_Technology_1'!E356+Drama_1!E340+Drama_1!E356+English_1!E340+English_1!E356+Food_1!E340+Food_1!E356+Geography_1!E340+Geography_1!E356+History_1!E340+History_1!E356+Mathematics_1!E340+Mathematics_1!E356+Modern_Foreign_Languages_1!E340+Modern_Foreign_Languages_1!E356+Music_1!E340+Music_1!E356+Others_1!E340+Others_1!E356+Physical_Education_1!E340+Physical_Education_1!E356+Physics_1!E340+Physics_1!E356+Religious_Education_1!E340+Religious_Education_1!E356</f>
        <v>17886.615504564212</v>
      </c>
      <c r="K554" s="705">
        <f>'Art_&amp;_Design_1'!F340+'Art_&amp;_Design_1'!F356+Biology_1!F340+Biology_1!F356+Business_Studies_1!F340+Business_Studies_1!F356+Chemistry_1!F340+Chemistry_1!F356+Classics_1!F340+Classics_1!F356+Computing_1!F340+Computing_1!F356+'Design_&amp;_Technology_1'!F340+'Design_&amp;_Technology_1'!F356+Drama_1!F340+Drama_1!F356+English_1!F340+English_1!F356+Food_1!F340+Food_1!F356+Geography_1!F340+Geography_1!F356+History_1!F340+History_1!F356+Mathematics_1!F340+Mathematics_1!F356+Modern_Foreign_Languages_1!F340+Modern_Foreign_Languages_1!F356+Music_1!F340+Music_1!F356+Others_1!F340+Others_1!F356+Physical_Education_1!F340+Physical_Education_1!F356+Physics_1!F340+Physics_1!F356+Religious_Education_1!F340+Religious_Education_1!F356</f>
        <v>19281.221444410487</v>
      </c>
      <c r="L554" s="705">
        <f>'Art_&amp;_Design_1'!G340+'Art_&amp;_Design_1'!G356+Biology_1!G340+Biology_1!G356+Business_Studies_1!G340+Business_Studies_1!G356+Chemistry_1!G340+Chemistry_1!G356+Classics_1!G340+Classics_1!G356+Computing_1!G340+Computing_1!G356+'Design_&amp;_Technology_1'!G340+'Design_&amp;_Technology_1'!G356+Drama_1!G340+Drama_1!G356+English_1!G340+English_1!G356+Food_1!G340+Food_1!G356+Geography_1!G340+Geography_1!G356+History_1!G340+History_1!G356+Mathematics_1!G340+Mathematics_1!G356+Modern_Foreign_Languages_1!G340+Modern_Foreign_Languages_1!G356+Music_1!G340+Music_1!G356+Others_1!G340+Others_1!G356+Physical_Education_1!G340+Physical_Education_1!G356+Physics_1!G340+Physics_1!G356+Religious_Education_1!G340+Religious_Education_1!G356</f>
        <v>20178.060730886136</v>
      </c>
      <c r="M554" s="705">
        <f>'Art_&amp;_Design_1'!H340+'Art_&amp;_Design_1'!H356+Biology_1!H340+Biology_1!H356+Business_Studies_1!H340+Business_Studies_1!H356+Chemistry_1!H340+Chemistry_1!H356+Classics_1!H340+Classics_1!H356+Computing_1!H340+Computing_1!H356+'Design_&amp;_Technology_1'!H340+'Design_&amp;_Technology_1'!H356+Drama_1!H340+Drama_1!H356+English_1!H340+English_1!H356+Food_1!H340+Food_1!H356+Geography_1!H340+Geography_1!H356+History_1!H340+History_1!H356+Mathematics_1!H340+Mathematics_1!H356+Modern_Foreign_Languages_1!H340+Modern_Foreign_Languages_1!H356+Music_1!H340+Music_1!H356+Others_1!H340+Others_1!H356+Physical_Education_1!H340+Physical_Education_1!H356+Physics_1!H340+Physics_1!H356+Religious_Education_1!H340+Religious_Education_1!H356</f>
        <v>20832.028375684247</v>
      </c>
      <c r="N554" s="705">
        <f>'Art_&amp;_Design_1'!I340+'Art_&amp;_Design_1'!I356+Biology_1!I340+Biology_1!I356+Business_Studies_1!I340+Business_Studies_1!I356+Chemistry_1!I340+Chemistry_1!I356+Classics_1!I340+Classics_1!I356+Computing_1!I340+Computing_1!I356+'Design_&amp;_Technology_1'!I340+'Design_&amp;_Technology_1'!I356+Drama_1!I340+Drama_1!I356+English_1!I340+English_1!I356+Food_1!I340+Food_1!I356+Geography_1!I340+Geography_1!I356+History_1!I340+History_1!I356+Mathematics_1!I340+Mathematics_1!I356+Modern_Foreign_Languages_1!I340+Modern_Foreign_Languages_1!I356+Music_1!I340+Music_1!I356+Others_1!I340+Others_1!I356+Physical_Education_1!I340+Physical_Education_1!I356+Physics_1!I340+Physics_1!I356+Religious_Education_1!I340+Religious_Education_1!I356</f>
        <v>21376.866458720713</v>
      </c>
      <c r="O554" s="705">
        <f>'Art_&amp;_Design_1'!J340+'Art_&amp;_Design_1'!J356+Biology_1!J340+Biology_1!J356+Business_Studies_1!J340+Business_Studies_1!J356+Chemistry_1!J340+Chemistry_1!J356+Classics_1!J340+Classics_1!J356+Computing_1!J340+Computing_1!J356+'Design_&amp;_Technology_1'!J340+'Design_&amp;_Technology_1'!J356+Drama_1!J340+Drama_1!J356+English_1!J340+English_1!J356+Food_1!J340+Food_1!J356+Geography_1!J340+Geography_1!J356+History_1!J340+History_1!J356+Mathematics_1!J340+Mathematics_1!J356+Modern_Foreign_Languages_1!J340+Modern_Foreign_Languages_1!J356+Music_1!J340+Music_1!J356+Others_1!J340+Others_1!J356+Physical_Education_1!J340+Physical_Education_1!J356+Physics_1!J340+Physics_1!J356+Religious_Education_1!J340+Religious_Education_1!J356</f>
        <v>21732.413997030377</v>
      </c>
      <c r="P554" s="705">
        <f>'Art_&amp;_Design_1'!K340+'Art_&amp;_Design_1'!K356+Biology_1!K340+Biology_1!K356+Business_Studies_1!K340+Business_Studies_1!K356+Chemistry_1!K340+Chemistry_1!K356+Classics_1!K340+Classics_1!K356+Computing_1!K340+Computing_1!K356+'Design_&amp;_Technology_1'!K340+'Design_&amp;_Technology_1'!K356+Drama_1!K340+Drama_1!K356+English_1!K340+English_1!K356+Food_1!K340+Food_1!K356+Geography_1!K340+Geography_1!K356+History_1!K340+History_1!K356+Mathematics_1!K340+Mathematics_1!K356+Modern_Foreign_Languages_1!K340+Modern_Foreign_Languages_1!K356+Music_1!K340+Music_1!K356+Others_1!K340+Others_1!K356+Physical_Education_1!K340+Physical_Education_1!K356+Physics_1!K340+Physics_1!K356+Religious_Education_1!K340+Religious_Education_1!K356</f>
        <v>21733.626457662031</v>
      </c>
      <c r="Q554" s="705">
        <f>'Art_&amp;_Design_1'!L340+'Art_&amp;_Design_1'!L356+Biology_1!L340+Biology_1!L356+Business_Studies_1!L340+Business_Studies_1!L356+Chemistry_1!L340+Chemistry_1!L356+Classics_1!L340+Classics_1!L356+Computing_1!L340+Computing_1!L356+'Design_&amp;_Technology_1'!L340+'Design_&amp;_Technology_1'!L356+Drama_1!L340+Drama_1!L356+English_1!L340+English_1!L356+Food_1!L340+Food_1!L356+Geography_1!L340+Geography_1!L356+History_1!L340+History_1!L356+Mathematics_1!L340+Mathematics_1!L356+Modern_Foreign_Languages_1!L340+Modern_Foreign_Languages_1!L356+Music_1!L340+Music_1!L356+Others_1!L340+Others_1!L356+Physical_Education_1!L340+Physical_Education_1!L356+Physics_1!L340+Physics_1!L356+Religious_Education_1!L340+Religious_Education_1!L356</f>
        <v>21646.553307633432</v>
      </c>
      <c r="R554" s="705">
        <f>'Art_&amp;_Design_1'!M340+'Art_&amp;_Design_1'!M356+Biology_1!M340+Biology_1!M356+Business_Studies_1!M340+Business_Studies_1!M356+Chemistry_1!M340+Chemistry_1!M356+Classics_1!M340+Classics_1!M356+Computing_1!M340+Computing_1!M356+'Design_&amp;_Technology_1'!M340+'Design_&amp;_Technology_1'!M356+Drama_1!M340+Drama_1!M356+English_1!M340+English_1!M356+Food_1!M340+Food_1!M356+Geography_1!M340+Geography_1!M356+History_1!M340+History_1!M356+Mathematics_1!M340+Mathematics_1!M356+Modern_Foreign_Languages_1!M340+Modern_Foreign_Languages_1!M356+Music_1!M340+Music_1!M356+Others_1!M340+Others_1!M356+Physical_Education_1!M340+Physical_Education_1!M356+Physics_1!M340+Physics_1!M356+Religious_Education_1!M340+Religious_Education_1!M356</f>
        <v>21495.693965102138</v>
      </c>
      <c r="S554" s="705">
        <f>'Art_&amp;_Design_1'!N340+'Art_&amp;_Design_1'!N356+Biology_1!N340+Biology_1!N356+Business_Studies_1!N340+Business_Studies_1!N356+Chemistry_1!N340+Chemistry_1!N356+Classics_1!N340+Classics_1!N356+Computing_1!N340+Computing_1!N356+'Design_&amp;_Technology_1'!N340+'Design_&amp;_Technology_1'!N356+Drama_1!N340+Drama_1!N356+English_1!N340+English_1!N356+Food_1!N340+Food_1!N356+Geography_1!N340+Geography_1!N356+History_1!N340+History_1!N356+Mathematics_1!N340+Mathematics_1!N356+Modern_Foreign_Languages_1!N340+Modern_Foreign_Languages_1!N356+Music_1!N340+Music_1!N356+Others_1!N340+Others_1!N356+Physical_Education_1!N340+Physical_Education_1!N356+Physics_1!N340+Physics_1!N356+Religious_Education_1!N340+Religious_Education_1!N356</f>
        <v>21332.15453833979</v>
      </c>
    </row>
    <row r="555" spans="4:19">
      <c r="H555" s="705">
        <f>'Art_&amp;_Design_1'!C341+'Art_&amp;_Design_1'!C357+Biology_1!C341+Biology_1!C357+Business_Studies_1!C341+Business_Studies_1!C357+Chemistry_1!C341+Chemistry_1!C357+Classics_1!C341+Classics_1!C357+Computing_1!C341+Computing_1!C357+'Design_&amp;_Technology_1'!C341+'Design_&amp;_Technology_1'!C357+Drama_1!C341+Drama_1!C357+English_1!C341+English_1!C357+Food_1!C341+Food_1!C357+Geography_1!C341+Geography_1!C357+History_1!C341+History_1!C357+Mathematics_1!C341+Mathematics_1!C357+Modern_Foreign_Languages_1!C341+Modern_Foreign_Languages_1!C357+Music_1!C341+Music_1!C357+Others_1!C341+Others_1!C357+Physical_Education_1!C341+Physical_Education_1!C357+Physics_1!C341+Physics_1!C357+Religious_Education_1!C341+Religious_Education_1!C357</f>
        <v>33705.832704371576</v>
      </c>
      <c r="I555" s="705">
        <f>'Art_&amp;_Design_1'!D341+'Art_&amp;_Design_1'!D357+Biology_1!D341+Biology_1!D357+Business_Studies_1!D341+Business_Studies_1!D357+Chemistry_1!D341+Chemistry_1!D357+Classics_1!D341+Classics_1!D357+Computing_1!D341+Computing_1!D357+'Design_&amp;_Technology_1'!D341+'Design_&amp;_Technology_1'!D357+Drama_1!D341+Drama_1!D357+English_1!D341+English_1!D357+Food_1!D341+Food_1!D357+Geography_1!D341+Geography_1!D357+History_1!D341+History_1!D357+Mathematics_1!D341+Mathematics_1!D357+Modern_Foreign_Languages_1!D341+Modern_Foreign_Languages_1!D357+Music_1!D341+Music_1!D357+Others_1!D341+Others_1!D357+Physical_Education_1!D341+Physical_Education_1!D357+Physics_1!D341+Physics_1!D357+Religious_Education_1!D341+Religious_Education_1!D357</f>
        <v>33389.298940671943</v>
      </c>
      <c r="J555" s="705">
        <f>'Art_&amp;_Design_1'!E341+'Art_&amp;_Design_1'!E357+Biology_1!E341+Biology_1!E357+Business_Studies_1!E341+Business_Studies_1!E357+Chemistry_1!E341+Chemistry_1!E357+Classics_1!E341+Classics_1!E357+Computing_1!E341+Computing_1!E357+'Design_&amp;_Technology_1'!E341+'Design_&amp;_Technology_1'!E357+Drama_1!E341+Drama_1!E357+English_1!E341+English_1!E357+Food_1!E341+Food_1!E357+Geography_1!E341+Geography_1!E357+History_1!E341+History_1!E357+Mathematics_1!E341+Mathematics_1!E357+Modern_Foreign_Languages_1!E341+Modern_Foreign_Languages_1!E357+Music_1!E341+Music_1!E357+Others_1!E341+Others_1!E357+Physical_Education_1!E341+Physical_Education_1!E357+Physics_1!E341+Physics_1!E357+Religious_Education_1!E341+Religious_Education_1!E357</f>
        <v>33768.979659330573</v>
      </c>
      <c r="K555" s="705">
        <f>'Art_&amp;_Design_1'!F341+'Art_&amp;_Design_1'!F357+Biology_1!F341+Biology_1!F357+Business_Studies_1!F341+Business_Studies_1!F357+Chemistry_1!F341+Chemistry_1!F357+Classics_1!F341+Classics_1!F357+Computing_1!F341+Computing_1!F357+'Design_&amp;_Technology_1'!F341+'Design_&amp;_Technology_1'!F357+Drama_1!F341+Drama_1!F357+English_1!F341+English_1!F357+Food_1!F341+Food_1!F357+Geography_1!F341+Geography_1!F357+History_1!F341+History_1!F357+Mathematics_1!F341+Mathematics_1!F357+Modern_Foreign_Languages_1!F341+Modern_Foreign_Languages_1!F357+Music_1!F341+Music_1!F357+Others_1!F341+Others_1!F357+Physical_Education_1!F341+Physical_Education_1!F357+Physics_1!F341+Physics_1!F357+Religious_Education_1!F341+Religious_Education_1!F357</f>
        <v>34450.222855341053</v>
      </c>
      <c r="L555" s="705">
        <f>'Art_&amp;_Design_1'!G341+'Art_&amp;_Design_1'!G357+Biology_1!G341+Biology_1!G357+Business_Studies_1!G341+Business_Studies_1!G357+Chemistry_1!G341+Chemistry_1!G357+Classics_1!G341+Classics_1!G357+Computing_1!G341+Computing_1!G357+'Design_&amp;_Technology_1'!G341+'Design_&amp;_Technology_1'!G357+Drama_1!G341+Drama_1!G357+English_1!G341+English_1!G357+Food_1!G341+Food_1!G357+Geography_1!G341+Geography_1!G357+History_1!G341+History_1!G357+Mathematics_1!G341+Mathematics_1!G357+Modern_Foreign_Languages_1!G341+Modern_Foreign_Languages_1!G357+Music_1!G341+Music_1!G357+Others_1!G341+Others_1!G357+Physical_Education_1!G341+Physical_Education_1!G357+Physics_1!G341+Physics_1!G357+Religious_Education_1!G341+Religious_Education_1!G357</f>
        <v>35096.049616184631</v>
      </c>
      <c r="M555" s="705">
        <f>'Art_&amp;_Design_1'!H341+'Art_&amp;_Design_1'!H357+Biology_1!H341+Biology_1!H357+Business_Studies_1!H341+Business_Studies_1!H357+Chemistry_1!H341+Chemistry_1!H357+Classics_1!H341+Classics_1!H357+Computing_1!H341+Computing_1!H357+'Design_&amp;_Technology_1'!H341+'Design_&amp;_Technology_1'!H357+Drama_1!H341+Drama_1!H357+English_1!H341+English_1!H357+Food_1!H341+Food_1!H357+Geography_1!H341+Geography_1!H357+History_1!H341+History_1!H357+Mathematics_1!H341+Mathematics_1!H357+Modern_Foreign_Languages_1!H341+Modern_Foreign_Languages_1!H357+Music_1!H341+Music_1!H357+Others_1!H341+Others_1!H357+Physical_Education_1!H341+Physical_Education_1!H357+Physics_1!H341+Physics_1!H357+Religious_Education_1!H341+Religious_Education_1!H357</f>
        <v>35743.887359049331</v>
      </c>
      <c r="N555" s="705">
        <f>'Art_&amp;_Design_1'!I341+'Art_&amp;_Design_1'!I357+Biology_1!I341+Biology_1!I357+Business_Studies_1!I341+Business_Studies_1!I357+Chemistry_1!I341+Chemistry_1!I357+Classics_1!I341+Classics_1!I357+Computing_1!I341+Computing_1!I357+'Design_&amp;_Technology_1'!I341+'Design_&amp;_Technology_1'!I357+Drama_1!I341+Drama_1!I357+English_1!I341+English_1!I357+Food_1!I341+Food_1!I357+Geography_1!I341+Geography_1!I357+History_1!I341+History_1!I357+Mathematics_1!I341+Mathematics_1!I357+Modern_Foreign_Languages_1!I341+Modern_Foreign_Languages_1!I357+Music_1!I341+Music_1!I357+Others_1!I341+Others_1!I357+Physical_Education_1!I341+Physical_Education_1!I357+Physics_1!I341+Physics_1!I357+Religious_Education_1!I341+Religious_Education_1!I357</f>
        <v>36415.632701168426</v>
      </c>
      <c r="O555" s="705">
        <f>'Art_&amp;_Design_1'!J341+'Art_&amp;_Design_1'!J357+Biology_1!J341+Biology_1!J357+Business_Studies_1!J341+Business_Studies_1!J357+Chemistry_1!J341+Chemistry_1!J357+Classics_1!J341+Classics_1!J357+Computing_1!J341+Computing_1!J357+'Design_&amp;_Technology_1'!J341+'Design_&amp;_Technology_1'!J357+Drama_1!J341+Drama_1!J357+English_1!J341+English_1!J357+Food_1!J341+Food_1!J357+Geography_1!J341+Geography_1!J357+History_1!J341+History_1!J357+Mathematics_1!J341+Mathematics_1!J357+Modern_Foreign_Languages_1!J341+Modern_Foreign_Languages_1!J357+Music_1!J341+Music_1!J357+Others_1!J341+Others_1!J357+Physical_Education_1!J341+Physical_Education_1!J357+Physics_1!J341+Physics_1!J357+Religious_Education_1!J341+Religious_Education_1!J357</f>
        <v>36969.244199871551</v>
      </c>
      <c r="P555" s="705">
        <f>'Art_&amp;_Design_1'!K341+'Art_&amp;_Design_1'!K357+Biology_1!K341+Biology_1!K357+Business_Studies_1!K341+Business_Studies_1!K357+Chemistry_1!K341+Chemistry_1!K357+Classics_1!K341+Classics_1!K357+Computing_1!K341+Computing_1!K357+'Design_&amp;_Technology_1'!K341+'Design_&amp;_Technology_1'!K357+Drama_1!K341+Drama_1!K357+English_1!K341+English_1!K357+Food_1!K341+Food_1!K357+Geography_1!K341+Geography_1!K357+History_1!K341+History_1!K357+Mathematics_1!K341+Mathematics_1!K357+Modern_Foreign_Languages_1!K341+Modern_Foreign_Languages_1!K357+Music_1!K341+Music_1!K357+Others_1!K341+Others_1!K357+Physical_Education_1!K341+Physical_Education_1!K357+Physics_1!K341+Physics_1!K357+Religious_Education_1!K341+Religious_Education_1!K357</f>
        <v>37175.1773124342</v>
      </c>
      <c r="Q555" s="705">
        <f>'Art_&amp;_Design_1'!L341+'Art_&amp;_Design_1'!L357+Biology_1!L341+Biology_1!L357+Business_Studies_1!L341+Business_Studies_1!L357+Chemistry_1!L341+Chemistry_1!L357+Classics_1!L341+Classics_1!L357+Computing_1!L341+Computing_1!L357+'Design_&amp;_Technology_1'!L341+'Design_&amp;_Technology_1'!L357+Drama_1!L341+Drama_1!L357+English_1!L341+English_1!L357+Food_1!L341+Food_1!L357+Geography_1!L341+Geography_1!L357+History_1!L341+History_1!L357+Mathematics_1!L341+Mathematics_1!L357+Modern_Foreign_Languages_1!L341+Modern_Foreign_Languages_1!L357+Music_1!L341+Music_1!L357+Others_1!L341+Others_1!L357+Physical_Education_1!L341+Physical_Education_1!L357+Physics_1!L341+Physics_1!L357+Religious_Education_1!L341+Religious_Education_1!L357</f>
        <v>37234.133596171247</v>
      </c>
      <c r="R555" s="705">
        <f>'Art_&amp;_Design_1'!M341+'Art_&amp;_Design_1'!M357+Biology_1!M341+Biology_1!M357+Business_Studies_1!M341+Business_Studies_1!M357+Chemistry_1!M341+Chemistry_1!M357+Classics_1!M341+Classics_1!M357+Computing_1!M341+Computing_1!M357+'Design_&amp;_Technology_1'!M341+'Design_&amp;_Technology_1'!M357+Drama_1!M341+Drama_1!M357+English_1!M341+English_1!M357+Food_1!M341+Food_1!M357+Geography_1!M341+Geography_1!M357+History_1!M341+History_1!M357+Mathematics_1!M341+Mathematics_1!M357+Modern_Foreign_Languages_1!M341+Modern_Foreign_Languages_1!M357+Music_1!M341+Music_1!M357+Others_1!M341+Others_1!M357+Physical_Education_1!M341+Physical_Education_1!M357+Physics_1!M341+Physics_1!M357+Religious_Education_1!M341+Religious_Education_1!M357</f>
        <v>37169.78242574117</v>
      </c>
      <c r="S555" s="705">
        <f>'Art_&amp;_Design_1'!N341+'Art_&amp;_Design_1'!N357+Biology_1!N341+Biology_1!N357+Business_Studies_1!N341+Business_Studies_1!N357+Chemistry_1!N341+Chemistry_1!N357+Classics_1!N341+Classics_1!N357+Computing_1!N341+Computing_1!N357+'Design_&amp;_Technology_1'!N341+'Design_&amp;_Technology_1'!N357+Drama_1!N341+Drama_1!N357+English_1!N341+English_1!N357+Food_1!N341+Food_1!N357+Geography_1!N341+Geography_1!N357+History_1!N341+History_1!N357+Mathematics_1!N341+Mathematics_1!N357+Modern_Foreign_Languages_1!N341+Modern_Foreign_Languages_1!N357+Music_1!N341+Music_1!N357+Others_1!N341+Others_1!N357+Physical_Education_1!N341+Physical_Education_1!N357+Physics_1!N341+Physics_1!N357+Religious_Education_1!N341+Religious_Education_1!N357</f>
        <v>37038.298068367294</v>
      </c>
    </row>
    <row r="556" spans="4:19">
      <c r="H556" s="705">
        <f>'Art_&amp;_Design_1'!C342+'Art_&amp;_Design_1'!C358+Biology_1!C342+Biology_1!C358+Business_Studies_1!C342+Business_Studies_1!C358+Chemistry_1!C342+Chemistry_1!C358+Classics_1!C342+Classics_1!C358+Computing_1!C342+Computing_1!C358+'Design_&amp;_Technology_1'!C342+'Design_&amp;_Technology_1'!C358+Drama_1!C342+Drama_1!C358+English_1!C342+English_1!C358+Food_1!C342+Food_1!C358+Geography_1!C342+Geography_1!C358+History_1!C342+History_1!C358+Mathematics_1!C342+Mathematics_1!C358+Modern_Foreign_Languages_1!C342+Modern_Foreign_Languages_1!C358+Music_1!C342+Music_1!C358+Others_1!C342+Others_1!C358+Physical_Education_1!C342+Physical_Education_1!C358+Physics_1!C342+Physics_1!C358+Religious_Education_1!C342+Religious_Education_1!C358</f>
        <v>37893.599972075375</v>
      </c>
      <c r="I556" s="705">
        <f>'Art_&amp;_Design_1'!D342+'Art_&amp;_Design_1'!D358+Biology_1!D342+Biology_1!D358+Business_Studies_1!D342+Business_Studies_1!D358+Chemistry_1!D342+Chemistry_1!D358+Classics_1!D342+Classics_1!D358+Computing_1!D342+Computing_1!D358+'Design_&amp;_Technology_1'!D342+'Design_&amp;_Technology_1'!D358+Drama_1!D342+Drama_1!D358+English_1!D342+English_1!D358+Food_1!D342+Food_1!D358+Geography_1!D342+Geography_1!D358+History_1!D342+History_1!D358+Mathematics_1!D342+Mathematics_1!D358+Modern_Foreign_Languages_1!D342+Modern_Foreign_Languages_1!D358+Music_1!D342+Music_1!D358+Others_1!D342+Others_1!D358+Physical_Education_1!D342+Physical_Education_1!D358+Physics_1!D342+Physics_1!D358+Religious_Education_1!D342+Religious_Education_1!D358</f>
        <v>37284.3626295469</v>
      </c>
      <c r="J556" s="705">
        <f>'Art_&amp;_Design_1'!E342+'Art_&amp;_Design_1'!E358+Biology_1!E342+Biology_1!E358+Business_Studies_1!E342+Business_Studies_1!E358+Chemistry_1!E342+Chemistry_1!E358+Classics_1!E342+Classics_1!E358+Computing_1!E342+Computing_1!E358+'Design_&amp;_Technology_1'!E342+'Design_&amp;_Technology_1'!E358+Drama_1!E342+Drama_1!E358+English_1!E342+English_1!E358+Food_1!E342+Food_1!E358+Geography_1!E342+Geography_1!E358+History_1!E342+History_1!E358+Mathematics_1!E342+Mathematics_1!E358+Modern_Foreign_Languages_1!E342+Modern_Foreign_Languages_1!E358+Music_1!E342+Music_1!E358+Others_1!E342+Others_1!E358+Physical_Education_1!E342+Physical_Education_1!E358+Physics_1!E342+Physics_1!E358+Religious_Education_1!E342+Religious_Education_1!E358</f>
        <v>36863.64199222422</v>
      </c>
      <c r="K556" s="705">
        <f>'Art_&amp;_Design_1'!F342+'Art_&amp;_Design_1'!F358+Biology_1!F342+Biology_1!F358+Business_Studies_1!F342+Business_Studies_1!F358+Chemistry_1!F342+Chemistry_1!F358+Classics_1!F342+Classics_1!F358+Computing_1!F342+Computing_1!F358+'Design_&amp;_Technology_1'!F342+'Design_&amp;_Technology_1'!F358+Drama_1!F342+Drama_1!F358+English_1!F342+English_1!F358+Food_1!F342+Food_1!F358+Geography_1!F342+Geography_1!F358+History_1!F342+History_1!F358+Mathematics_1!F342+Mathematics_1!F358+Modern_Foreign_Languages_1!F342+Modern_Foreign_Languages_1!F358+Music_1!F342+Music_1!F358+Others_1!F342+Others_1!F358+Physical_Education_1!F342+Physical_Education_1!F358+Physics_1!F342+Physics_1!F358+Religious_Education_1!F342+Religious_Education_1!F358</f>
        <v>36658.608864521411</v>
      </c>
      <c r="L556" s="705">
        <f>'Art_&amp;_Design_1'!G342+'Art_&amp;_Design_1'!G358+Biology_1!G342+Biology_1!G358+Business_Studies_1!G342+Business_Studies_1!G358+Chemistry_1!G342+Chemistry_1!G358+Classics_1!G342+Classics_1!G358+Computing_1!G342+Computing_1!G358+'Design_&amp;_Technology_1'!G342+'Design_&amp;_Technology_1'!G358+Drama_1!G342+Drama_1!G358+English_1!G342+English_1!G358+Food_1!G342+Food_1!G358+Geography_1!G342+Geography_1!G358+History_1!G342+History_1!G358+Mathematics_1!G342+Mathematics_1!G358+Modern_Foreign_Languages_1!G342+Modern_Foreign_Languages_1!G358+Music_1!G342+Music_1!G358+Others_1!G342+Others_1!G358+Physical_Education_1!G342+Physical_Education_1!G358+Physics_1!G342+Physics_1!G358+Religious_Education_1!G342+Religious_Education_1!G358</f>
        <v>36584.451702113161</v>
      </c>
      <c r="M556" s="705">
        <f>'Art_&amp;_Design_1'!H342+'Art_&amp;_Design_1'!H358+Biology_1!H342+Biology_1!H358+Business_Studies_1!H342+Business_Studies_1!H358+Chemistry_1!H342+Chemistry_1!H358+Classics_1!H342+Classics_1!H358+Computing_1!H342+Computing_1!H358+'Design_&amp;_Technology_1'!H342+'Design_&amp;_Technology_1'!H358+Drama_1!H342+Drama_1!H358+English_1!H342+English_1!H358+Food_1!H342+Food_1!H358+Geography_1!H342+Geography_1!H358+History_1!H342+History_1!H358+Mathematics_1!H342+Mathematics_1!H358+Modern_Foreign_Languages_1!H342+Modern_Foreign_Languages_1!H358+Music_1!H342+Music_1!H358+Others_1!H342+Others_1!H358+Physical_Education_1!H342+Physical_Education_1!H358+Physics_1!H342+Physics_1!H358+Religious_Education_1!H342+Religious_Education_1!H358</f>
        <v>36658.183210470146</v>
      </c>
      <c r="N556" s="705">
        <f>'Art_&amp;_Design_1'!I342+'Art_&amp;_Design_1'!I358+Biology_1!I342+Biology_1!I358+Business_Studies_1!I342+Business_Studies_1!I358+Chemistry_1!I342+Chemistry_1!I358+Classics_1!I342+Classics_1!I358+Computing_1!I342+Computing_1!I358+'Design_&amp;_Technology_1'!I342+'Design_&amp;_Technology_1'!I358+Drama_1!I342+Drama_1!I358+English_1!I342+English_1!I358+Food_1!I342+Food_1!I358+Geography_1!I342+Geography_1!I358+History_1!I342+History_1!I358+Mathematics_1!I342+Mathematics_1!I358+Modern_Foreign_Languages_1!I342+Modern_Foreign_Languages_1!I358+Music_1!I342+Music_1!I358+Others_1!I342+Others_1!I358+Physical_Education_1!I342+Physical_Education_1!I358+Physics_1!I342+Physics_1!I358+Religious_Education_1!I342+Religious_Education_1!I358</f>
        <v>36874.038489108789</v>
      </c>
      <c r="O556" s="705">
        <f>'Art_&amp;_Design_1'!J342+'Art_&amp;_Design_1'!J358+Biology_1!J342+Biology_1!J358+Business_Studies_1!J342+Business_Studies_1!J358+Chemistry_1!J342+Chemistry_1!J358+Classics_1!J342+Classics_1!J358+Computing_1!J342+Computing_1!J358+'Design_&amp;_Technology_1'!J342+'Design_&amp;_Technology_1'!J358+Drama_1!J342+Drama_1!J358+English_1!J342+English_1!J358+Food_1!J342+Food_1!J358+Geography_1!J342+Geography_1!J358+History_1!J342+History_1!J358+Mathematics_1!J342+Mathematics_1!J358+Modern_Foreign_Languages_1!J342+Modern_Foreign_Languages_1!J358+Music_1!J342+Music_1!J358+Others_1!J342+Others_1!J358+Physical_Education_1!J342+Physical_Education_1!J358+Physics_1!J342+Physics_1!J358+Religious_Education_1!J342+Religious_Education_1!J358</f>
        <v>37141.527150215043</v>
      </c>
      <c r="P556" s="705">
        <f>'Art_&amp;_Design_1'!K342+'Art_&amp;_Design_1'!K358+Biology_1!K342+Biology_1!K358+Business_Studies_1!K342+Business_Studies_1!K358+Chemistry_1!K342+Chemistry_1!K358+Classics_1!K342+Classics_1!K358+Computing_1!K342+Computing_1!K358+'Design_&amp;_Technology_1'!K342+'Design_&amp;_Technology_1'!K358+Drama_1!K342+Drama_1!K358+English_1!K342+English_1!K358+Food_1!K342+Food_1!K358+Geography_1!K342+Geography_1!K358+History_1!K342+History_1!K358+Mathematics_1!K342+Mathematics_1!K358+Modern_Foreign_Languages_1!K342+Modern_Foreign_Languages_1!K358+Music_1!K342+Music_1!K358+Others_1!K342+Others_1!K358+Physical_Education_1!K342+Physical_Education_1!K358+Physics_1!K342+Physics_1!K358+Religious_Education_1!K342+Religious_Education_1!K358</f>
        <v>37312.053792763923</v>
      </c>
      <c r="Q556" s="705">
        <f>'Art_&amp;_Design_1'!L342+'Art_&amp;_Design_1'!L358+Biology_1!L342+Biology_1!L358+Business_Studies_1!L342+Business_Studies_1!L358+Chemistry_1!L342+Chemistry_1!L358+Classics_1!L342+Classics_1!L358+Computing_1!L342+Computing_1!L358+'Design_&amp;_Technology_1'!L342+'Design_&amp;_Technology_1'!L358+Drama_1!L342+Drama_1!L358+English_1!L342+English_1!L358+Food_1!L342+Food_1!L358+Geography_1!L342+Geography_1!L358+History_1!L342+History_1!L358+Mathematics_1!L342+Mathematics_1!L358+Modern_Foreign_Languages_1!L342+Modern_Foreign_Languages_1!L358+Music_1!L342+Music_1!L358+Others_1!L342+Others_1!L358+Physical_Education_1!L342+Physical_Education_1!L358+Physics_1!L342+Physics_1!L358+Religious_Education_1!L342+Religious_Education_1!L358</f>
        <v>37431.043125406599</v>
      </c>
      <c r="R556" s="705">
        <f>'Art_&amp;_Design_1'!M342+'Art_&amp;_Design_1'!M358+Biology_1!M342+Biology_1!M358+Business_Studies_1!M342+Business_Studies_1!M358+Chemistry_1!M342+Chemistry_1!M358+Classics_1!M342+Classics_1!M358+Computing_1!M342+Computing_1!M358+'Design_&amp;_Technology_1'!M342+'Design_&amp;_Technology_1'!M358+Drama_1!M342+Drama_1!M358+English_1!M342+English_1!M358+Food_1!M342+Food_1!M358+Geography_1!M342+Geography_1!M358+History_1!M342+History_1!M358+Mathematics_1!M342+Mathematics_1!M358+Modern_Foreign_Languages_1!M342+Modern_Foreign_Languages_1!M358+Music_1!M342+Music_1!M358+Others_1!M342+Others_1!M358+Physical_Education_1!M342+Physical_Education_1!M358+Physics_1!M342+Physics_1!M358+Religious_Education_1!M342+Religious_Education_1!M358</f>
        <v>37484.767815726053</v>
      </c>
      <c r="S556" s="705">
        <f>'Art_&amp;_Design_1'!N342+'Art_&amp;_Design_1'!N358+Biology_1!N342+Biology_1!N358+Business_Studies_1!N342+Business_Studies_1!N358+Chemistry_1!N342+Chemistry_1!N358+Classics_1!N342+Classics_1!N358+Computing_1!N342+Computing_1!N358+'Design_&amp;_Technology_1'!N342+'Design_&amp;_Technology_1'!N358+Drama_1!N342+Drama_1!N358+English_1!N342+English_1!N358+Food_1!N342+Food_1!N358+Geography_1!N342+Geography_1!N358+History_1!N342+History_1!N358+Mathematics_1!N342+Mathematics_1!N358+Modern_Foreign_Languages_1!N342+Modern_Foreign_Languages_1!N358+Music_1!N342+Music_1!N358+Others_1!N342+Others_1!N358+Physical_Education_1!N342+Physical_Education_1!N358+Physics_1!N342+Physics_1!N358+Religious_Education_1!N342+Religious_Education_1!N358</f>
        <v>37484.535835678987</v>
      </c>
    </row>
    <row r="557" spans="4:19">
      <c r="H557" s="705">
        <f>'Art_&amp;_Design_1'!C343+'Art_&amp;_Design_1'!C359+Biology_1!C343+Biology_1!C359+Business_Studies_1!C343+Business_Studies_1!C359+Chemistry_1!C343+Chemistry_1!C359+Classics_1!C343+Classics_1!C359+Computing_1!C343+Computing_1!C359+'Design_&amp;_Technology_1'!C343+'Design_&amp;_Technology_1'!C359+Drama_1!C343+Drama_1!C359+English_1!C343+English_1!C359+Food_1!C343+Food_1!C359+Geography_1!C343+Geography_1!C359+History_1!C343+History_1!C359+Mathematics_1!C343+Mathematics_1!C359+Modern_Foreign_Languages_1!C343+Modern_Foreign_Languages_1!C359+Music_1!C343+Music_1!C359+Others_1!C343+Others_1!C359+Physical_Education_1!C343+Physical_Education_1!C359+Physics_1!C343+Physics_1!C359+Religious_Education_1!C343+Religious_Education_1!C359</f>
        <v>35502.763002725042</v>
      </c>
      <c r="I557" s="705">
        <f>'Art_&amp;_Design_1'!D343+'Art_&amp;_Design_1'!D359+Biology_1!D343+Biology_1!D359+Business_Studies_1!D343+Business_Studies_1!D359+Chemistry_1!D343+Chemistry_1!D359+Classics_1!D343+Classics_1!D359+Computing_1!D343+Computing_1!D359+'Design_&amp;_Technology_1'!D343+'Design_&amp;_Technology_1'!D359+Drama_1!D343+Drama_1!D359+English_1!D343+English_1!D359+Food_1!D343+Food_1!D359+Geography_1!D343+Geography_1!D359+History_1!D343+History_1!D359+Mathematics_1!D343+Mathematics_1!D359+Modern_Foreign_Languages_1!D343+Modern_Foreign_Languages_1!D359+Music_1!D343+Music_1!D359+Others_1!D343+Others_1!D359+Physical_Education_1!D343+Physical_Education_1!D359+Physics_1!D343+Physics_1!D359+Religious_Education_1!D343+Religious_Education_1!D359</f>
        <v>35627.29134601917</v>
      </c>
      <c r="J557" s="705">
        <f>'Art_&amp;_Design_1'!E343+'Art_&amp;_Design_1'!E359+Biology_1!E343+Biology_1!E359+Business_Studies_1!E343+Business_Studies_1!E359+Chemistry_1!E343+Chemistry_1!E359+Classics_1!E343+Classics_1!E359+Computing_1!E343+Computing_1!E359+'Design_&amp;_Technology_1'!E343+'Design_&amp;_Technology_1'!E359+Drama_1!E343+Drama_1!E359+English_1!E343+English_1!E359+Food_1!E343+Food_1!E359+Geography_1!E343+Geography_1!E359+History_1!E343+History_1!E359+Mathematics_1!E343+Mathematics_1!E359+Modern_Foreign_Languages_1!E343+Modern_Foreign_Languages_1!E359+Music_1!E343+Music_1!E359+Others_1!E343+Others_1!E359+Physical_Education_1!E343+Physical_Education_1!E359+Physics_1!E343+Physics_1!E359+Religious_Education_1!E343+Religious_Education_1!E359</f>
        <v>35668.335081476936</v>
      </c>
      <c r="K557" s="705">
        <f>'Art_&amp;_Design_1'!F343+'Art_&amp;_Design_1'!F359+Biology_1!F343+Biology_1!F359+Business_Studies_1!F343+Business_Studies_1!F359+Chemistry_1!F343+Chemistry_1!F359+Classics_1!F343+Classics_1!F359+Computing_1!F343+Computing_1!F359+'Design_&amp;_Technology_1'!F343+'Design_&amp;_Technology_1'!F359+Drama_1!F343+Drama_1!F359+English_1!F343+English_1!F359+Food_1!F343+Food_1!F359+Geography_1!F343+Geography_1!F359+History_1!F343+History_1!F359+Mathematics_1!F343+Mathematics_1!F359+Modern_Foreign_Languages_1!F343+Modern_Foreign_Languages_1!F359+Music_1!F343+Music_1!F359+Others_1!F343+Others_1!F359+Physical_Education_1!F343+Physical_Education_1!F359+Physics_1!F343+Physics_1!F359+Religious_Education_1!F343+Religious_Education_1!F359</f>
        <v>35646.759321632802</v>
      </c>
      <c r="L557" s="705">
        <f>'Art_&amp;_Design_1'!G343+'Art_&amp;_Design_1'!G359+Biology_1!G343+Biology_1!G359+Business_Studies_1!G343+Business_Studies_1!G359+Chemistry_1!G343+Chemistry_1!G359+Classics_1!G343+Classics_1!G359+Computing_1!G343+Computing_1!G359+'Design_&amp;_Technology_1'!G343+'Design_&amp;_Technology_1'!G359+Drama_1!G343+Drama_1!G359+English_1!G343+English_1!G359+Food_1!G343+Food_1!G359+Geography_1!G343+Geography_1!G359+History_1!G343+History_1!G359+Mathematics_1!G343+Mathematics_1!G359+Modern_Foreign_Languages_1!G343+Modern_Foreign_Languages_1!G359+Music_1!G343+Music_1!G359+Others_1!G343+Others_1!G359+Physical_Education_1!G343+Physical_Education_1!G359+Physics_1!G343+Physics_1!G359+Religious_Education_1!G343+Religious_Education_1!G359</f>
        <v>35559.28585416697</v>
      </c>
      <c r="M557" s="705">
        <f>'Art_&amp;_Design_1'!H343+'Art_&amp;_Design_1'!H359+Biology_1!H343+Biology_1!H359+Business_Studies_1!H343+Business_Studies_1!H359+Chemistry_1!H343+Chemistry_1!H359+Classics_1!H343+Classics_1!H359+Computing_1!H343+Computing_1!H359+'Design_&amp;_Technology_1'!H343+'Design_&amp;_Technology_1'!H359+Drama_1!H343+Drama_1!H359+English_1!H343+English_1!H359+Food_1!H343+Food_1!H359+Geography_1!H343+Geography_1!H359+History_1!H343+History_1!H359+Mathematics_1!H343+Mathematics_1!H359+Modern_Foreign_Languages_1!H343+Modern_Foreign_Languages_1!H359+Music_1!H343+Music_1!H359+Others_1!H343+Others_1!H359+Physical_Education_1!H343+Physical_Education_1!H359+Physics_1!H343+Physics_1!H359+Religious_Education_1!H343+Religious_Education_1!H359</f>
        <v>35487.788318847175</v>
      </c>
      <c r="N557" s="705">
        <f>'Art_&amp;_Design_1'!I343+'Art_&amp;_Design_1'!I359+Biology_1!I343+Biology_1!I359+Business_Studies_1!I343+Business_Studies_1!I359+Chemistry_1!I343+Chemistry_1!I359+Classics_1!I343+Classics_1!I359+Computing_1!I343+Computing_1!I359+'Design_&amp;_Technology_1'!I343+'Design_&amp;_Technology_1'!I359+Drama_1!I343+Drama_1!I359+English_1!I343+English_1!I359+Food_1!I343+Food_1!I359+Geography_1!I343+Geography_1!I359+History_1!I343+History_1!I359+Mathematics_1!I343+Mathematics_1!I359+Modern_Foreign_Languages_1!I343+Modern_Foreign_Languages_1!I359+Music_1!I343+Music_1!I359+Others_1!I343+Others_1!I359+Physical_Education_1!I343+Physical_Education_1!I359+Physics_1!I343+Physics_1!I359+Religious_Education_1!I343+Religious_Education_1!I359</f>
        <v>35478.629369332695</v>
      </c>
      <c r="O557" s="705">
        <f>'Art_&amp;_Design_1'!J343+'Art_&amp;_Design_1'!J359+Biology_1!J343+Biology_1!J359+Business_Studies_1!J343+Business_Studies_1!J359+Chemistry_1!J343+Chemistry_1!J359+Classics_1!J343+Classics_1!J359+Computing_1!J343+Computing_1!J359+'Design_&amp;_Technology_1'!J343+'Design_&amp;_Technology_1'!J359+Drama_1!J343+Drama_1!J359+English_1!J343+English_1!J359+Food_1!J343+Food_1!J359+Geography_1!J343+Geography_1!J359+History_1!J343+History_1!J359+Mathematics_1!J343+Mathematics_1!J359+Modern_Foreign_Languages_1!J343+Modern_Foreign_Languages_1!J359+Music_1!J343+Music_1!J359+Others_1!J343+Others_1!J359+Physical_Education_1!J343+Physical_Education_1!J359+Physics_1!J343+Physics_1!J359+Religious_Education_1!J343+Religious_Education_1!J359</f>
        <v>35500.953813290049</v>
      </c>
      <c r="P557" s="705">
        <f>'Art_&amp;_Design_1'!K343+'Art_&amp;_Design_1'!K359+Biology_1!K343+Biology_1!K359+Business_Studies_1!K343+Business_Studies_1!K359+Chemistry_1!K343+Chemistry_1!K359+Classics_1!K343+Classics_1!K359+Computing_1!K343+Computing_1!K359+'Design_&amp;_Technology_1'!K343+'Design_&amp;_Technology_1'!K359+Drama_1!K343+Drama_1!K359+English_1!K343+English_1!K359+Food_1!K343+Food_1!K359+Geography_1!K343+Geography_1!K359+History_1!K343+History_1!K359+Mathematics_1!K343+Mathematics_1!K359+Modern_Foreign_Languages_1!K343+Modern_Foreign_Languages_1!K359+Music_1!K343+Music_1!K359+Others_1!K343+Others_1!K359+Physical_Education_1!K343+Physical_Education_1!K359+Physics_1!K343+Physics_1!K359+Religious_Education_1!K343+Religious_Education_1!K359</f>
        <v>35475.183620523007</v>
      </c>
      <c r="Q557" s="705">
        <f>'Art_&amp;_Design_1'!L343+'Art_&amp;_Design_1'!L359+Biology_1!L343+Biology_1!L359+Business_Studies_1!L343+Business_Studies_1!L359+Chemistry_1!L343+Chemistry_1!L359+Classics_1!L343+Classics_1!L359+Computing_1!L343+Computing_1!L359+'Design_&amp;_Technology_1'!L343+'Design_&amp;_Technology_1'!L359+Drama_1!L343+Drama_1!L359+English_1!L343+English_1!L359+Food_1!L343+Food_1!L359+Geography_1!L343+Geography_1!L359+History_1!L343+History_1!L359+Mathematics_1!L343+Mathematics_1!L359+Modern_Foreign_Languages_1!L343+Modern_Foreign_Languages_1!L359+Music_1!L343+Music_1!L359+Others_1!L343+Others_1!L359+Physical_Education_1!L343+Physical_Education_1!L359+Physics_1!L343+Physics_1!L359+Religious_Education_1!L343+Religious_Education_1!L359</f>
        <v>35455.492412552871</v>
      </c>
      <c r="R557" s="705">
        <f>'Art_&amp;_Design_1'!M343+'Art_&amp;_Design_1'!M359+Biology_1!M343+Biology_1!M359+Business_Studies_1!M343+Business_Studies_1!M359+Chemistry_1!M343+Chemistry_1!M359+Classics_1!M343+Classics_1!M359+Computing_1!M343+Computing_1!M359+'Design_&amp;_Technology_1'!M343+'Design_&amp;_Technology_1'!M359+Drama_1!M343+Drama_1!M359+English_1!M343+English_1!M359+Food_1!M343+Food_1!M359+Geography_1!M343+Geography_1!M359+History_1!M343+History_1!M359+Mathematics_1!M343+Mathematics_1!M359+Modern_Foreign_Languages_1!M343+Modern_Foreign_Languages_1!M359+Music_1!M343+Music_1!M359+Others_1!M343+Others_1!M359+Physical_Education_1!M343+Physical_Education_1!M359+Physics_1!M343+Physics_1!M359+Religious_Education_1!M343+Religious_Education_1!M359</f>
        <v>35430.545222085093</v>
      </c>
      <c r="S557" s="705">
        <f>'Art_&amp;_Design_1'!N343+'Art_&amp;_Design_1'!N359+Biology_1!N343+Biology_1!N359+Business_Studies_1!N343+Business_Studies_1!N359+Chemistry_1!N343+Chemistry_1!N359+Classics_1!N343+Classics_1!N359+Computing_1!N343+Computing_1!N359+'Design_&amp;_Technology_1'!N343+'Design_&amp;_Technology_1'!N359+Drama_1!N343+Drama_1!N359+English_1!N343+English_1!N359+Food_1!N343+Food_1!N359+Geography_1!N343+Geography_1!N359+History_1!N343+History_1!N359+Mathematics_1!N343+Mathematics_1!N359+Modern_Foreign_Languages_1!N343+Modern_Foreign_Languages_1!N359+Music_1!N343+Music_1!N359+Others_1!N343+Others_1!N359+Physical_Education_1!N343+Physical_Education_1!N359+Physics_1!N343+Physics_1!N359+Religious_Education_1!N343+Religious_Education_1!N359</f>
        <v>35401.580454122974</v>
      </c>
    </row>
    <row r="558" spans="4:19">
      <c r="H558" s="705">
        <f>'Art_&amp;_Design_1'!C344+'Art_&amp;_Design_1'!C360+Biology_1!C344+Biology_1!C360+Business_Studies_1!C344+Business_Studies_1!C360+Chemistry_1!C344+Chemistry_1!C360+Classics_1!C344+Classics_1!C360+Computing_1!C344+Computing_1!C360+'Design_&amp;_Technology_1'!C344+'Design_&amp;_Technology_1'!C360+Drama_1!C344+Drama_1!C360+English_1!C344+English_1!C360+Food_1!C344+Food_1!C360+Geography_1!C344+Geography_1!C360+History_1!C344+History_1!C360+Mathematics_1!C344+Mathematics_1!C360+Modern_Foreign_Languages_1!C344+Modern_Foreign_Languages_1!C360+Music_1!C344+Music_1!C360+Others_1!C344+Others_1!C360+Physical_Education_1!C344+Physical_Education_1!C360+Physics_1!C344+Physics_1!C360+Religious_Education_1!C344+Religious_Education_1!C360</f>
        <v>31419.2044179324</v>
      </c>
      <c r="I558" s="705">
        <f>'Art_&amp;_Design_1'!D344+'Art_&amp;_Design_1'!D360+Biology_1!D344+Biology_1!D360+Business_Studies_1!D344+Business_Studies_1!D360+Chemistry_1!D344+Chemistry_1!D360+Classics_1!D344+Classics_1!D360+Computing_1!D344+Computing_1!D360+'Design_&amp;_Technology_1'!D344+'Design_&amp;_Technology_1'!D360+Drama_1!D344+Drama_1!D360+English_1!D344+English_1!D360+Food_1!D344+Food_1!D360+Geography_1!D344+Geography_1!D360+History_1!D344+History_1!D360+Mathematics_1!D344+Mathematics_1!D360+Modern_Foreign_Languages_1!D344+Modern_Foreign_Languages_1!D360+Music_1!D344+Music_1!D360+Others_1!D344+Others_1!D360+Physical_Education_1!D344+Physical_Education_1!D360+Physics_1!D344+Physics_1!D360+Religious_Education_1!D344+Religious_Education_1!D360</f>
        <v>31884.325487950795</v>
      </c>
      <c r="J558" s="705">
        <f>'Art_&amp;_Design_1'!E344+'Art_&amp;_Design_1'!E360+Biology_1!E344+Biology_1!E360+Business_Studies_1!E344+Business_Studies_1!E360+Chemistry_1!E344+Chemistry_1!E360+Classics_1!E344+Classics_1!E360+Computing_1!E344+Computing_1!E360+'Design_&amp;_Technology_1'!E344+'Design_&amp;_Technology_1'!E360+Drama_1!E344+Drama_1!E360+English_1!E344+English_1!E360+Food_1!E344+Food_1!E360+Geography_1!E344+Geography_1!E360+History_1!E344+History_1!E360+Mathematics_1!E344+Mathematics_1!E360+Modern_Foreign_Languages_1!E344+Modern_Foreign_Languages_1!E360+Music_1!E344+Music_1!E360+Others_1!E344+Others_1!E360+Physical_Education_1!E344+Physical_Education_1!E360+Physics_1!E344+Physics_1!E360+Religious_Education_1!E344+Religious_Education_1!E360</f>
        <v>32305.35375851448</v>
      </c>
      <c r="K558" s="705">
        <f>'Art_&amp;_Design_1'!F344+'Art_&amp;_Design_1'!F360+Biology_1!F344+Biology_1!F360+Business_Studies_1!F344+Business_Studies_1!F360+Chemistry_1!F344+Chemistry_1!F360+Classics_1!F344+Classics_1!F360+Computing_1!F344+Computing_1!F360+'Design_&amp;_Technology_1'!F344+'Design_&amp;_Technology_1'!F360+Drama_1!F344+Drama_1!F360+English_1!F344+English_1!F360+Food_1!F344+Food_1!F360+Geography_1!F344+Geography_1!F360+History_1!F344+History_1!F360+Mathematics_1!F344+Mathematics_1!F360+Modern_Foreign_Languages_1!F344+Modern_Foreign_Languages_1!F360+Music_1!F344+Music_1!F360+Others_1!F344+Others_1!F360+Physical_Education_1!F344+Physical_Education_1!F360+Physics_1!F344+Physics_1!F360+Religious_Education_1!F344+Religious_Education_1!F360</f>
        <v>32647.979059706508</v>
      </c>
      <c r="L558" s="705">
        <f>'Art_&amp;_Design_1'!G344+'Art_&amp;_Design_1'!G360+Biology_1!G344+Biology_1!G360+Business_Studies_1!G344+Business_Studies_1!G360+Chemistry_1!G344+Chemistry_1!G360+Classics_1!G344+Classics_1!G360+Computing_1!G344+Computing_1!G360+'Design_&amp;_Technology_1'!G344+'Design_&amp;_Technology_1'!G360+Drama_1!G344+Drama_1!G360+English_1!G344+English_1!G360+Food_1!G344+Food_1!G360+Geography_1!G344+Geography_1!G360+History_1!G344+History_1!G360+Mathematics_1!G344+Mathematics_1!G360+Modern_Foreign_Languages_1!G344+Modern_Foreign_Languages_1!G360+Music_1!G344+Music_1!G360+Others_1!G344+Others_1!G360+Physical_Education_1!G344+Physical_Education_1!G360+Physics_1!G344+Physics_1!G360+Religious_Education_1!G344+Religious_Education_1!G360</f>
        <v>32869.350147755322</v>
      </c>
      <c r="M558" s="705">
        <f>'Art_&amp;_Design_1'!H344+'Art_&amp;_Design_1'!H360+Biology_1!H344+Biology_1!H360+Business_Studies_1!H344+Business_Studies_1!H360+Chemistry_1!H344+Chemistry_1!H360+Classics_1!H344+Classics_1!H360+Computing_1!H344+Computing_1!H360+'Design_&amp;_Technology_1'!H344+'Design_&amp;_Technology_1'!H360+Drama_1!H344+Drama_1!H360+English_1!H344+English_1!H360+Food_1!H344+Food_1!H360+Geography_1!H344+Geography_1!H360+History_1!H344+History_1!H360+Mathematics_1!H344+Mathematics_1!H360+Modern_Foreign_Languages_1!H344+Modern_Foreign_Languages_1!H360+Music_1!H344+Music_1!H360+Others_1!H344+Others_1!H360+Physical_Education_1!H344+Physical_Education_1!H360+Physics_1!H344+Physics_1!H360+Religious_Education_1!H344+Religious_Education_1!H360</f>
        <v>33023.464334657401</v>
      </c>
      <c r="N558" s="705">
        <f>'Art_&amp;_Design_1'!I344+'Art_&amp;_Design_1'!I360+Biology_1!I344+Biology_1!I360+Business_Studies_1!I344+Business_Studies_1!I360+Chemistry_1!I344+Chemistry_1!I360+Classics_1!I344+Classics_1!I360+Computing_1!I344+Computing_1!I360+'Design_&amp;_Technology_1'!I344+'Design_&amp;_Technology_1'!I360+Drama_1!I344+Drama_1!I360+English_1!I344+English_1!I360+Food_1!I344+Food_1!I360+Geography_1!I344+Geography_1!I360+History_1!I344+History_1!I360+Mathematics_1!I344+Mathematics_1!I360+Modern_Foreign_Languages_1!I344+Modern_Foreign_Languages_1!I360+Music_1!I344+Music_1!I360+Others_1!I344+Others_1!I360+Physical_Education_1!I344+Physical_Education_1!I360+Physics_1!I344+Physics_1!I360+Religious_Education_1!I344+Religious_Education_1!I360</f>
        <v>33150.609856114133</v>
      </c>
      <c r="O558" s="705">
        <f>'Art_&amp;_Design_1'!J344+'Art_&amp;_Design_1'!J360+Biology_1!J344+Biology_1!J360+Business_Studies_1!J344+Business_Studies_1!J360+Chemistry_1!J344+Chemistry_1!J360+Classics_1!J344+Classics_1!J360+Computing_1!J344+Computing_1!J360+'Design_&amp;_Technology_1'!J344+'Design_&amp;_Technology_1'!J360+Drama_1!J344+Drama_1!J360+English_1!J344+English_1!J360+Food_1!J344+Food_1!J360+Geography_1!J344+Geography_1!J360+History_1!J344+History_1!J360+Mathematics_1!J344+Mathematics_1!J360+Modern_Foreign_Languages_1!J344+Modern_Foreign_Languages_1!J360+Music_1!J344+Music_1!J360+Others_1!J344+Others_1!J360+Physical_Education_1!J344+Physical_Education_1!J360+Physics_1!J344+Physics_1!J360+Religious_Education_1!J344+Religious_Education_1!J360</f>
        <v>33233.678118744188</v>
      </c>
      <c r="P558" s="705">
        <f>'Art_&amp;_Design_1'!K344+'Art_&amp;_Design_1'!K360+Biology_1!K344+Biology_1!K360+Business_Studies_1!K344+Business_Studies_1!K360+Chemistry_1!K344+Chemistry_1!K360+Classics_1!K344+Classics_1!K360+Computing_1!K344+Computing_1!K360+'Design_&amp;_Technology_1'!K344+'Design_&amp;_Technology_1'!K360+Drama_1!K344+Drama_1!K360+English_1!K344+English_1!K360+Food_1!K344+Food_1!K360+Geography_1!K344+Geography_1!K360+History_1!K344+History_1!K360+Mathematics_1!K344+Mathematics_1!K360+Modern_Foreign_Languages_1!K344+Modern_Foreign_Languages_1!K360+Music_1!K344+Music_1!K360+Others_1!K344+Others_1!K360+Physical_Education_1!K344+Physical_Education_1!K360+Physics_1!K344+Physics_1!K360+Religious_Education_1!K344+Religious_Education_1!K360</f>
        <v>33219.522135843181</v>
      </c>
      <c r="Q558" s="705">
        <f>'Art_&amp;_Design_1'!L344+'Art_&amp;_Design_1'!L360+Biology_1!L344+Biology_1!L360+Business_Studies_1!L344+Business_Studies_1!L360+Chemistry_1!L344+Chemistry_1!L360+Classics_1!L344+Classics_1!L360+Computing_1!L344+Computing_1!L360+'Design_&amp;_Technology_1'!L344+'Design_&amp;_Technology_1'!L360+Drama_1!L344+Drama_1!L360+English_1!L344+English_1!L360+Food_1!L344+Food_1!L360+Geography_1!L344+Geography_1!L360+History_1!L344+History_1!L360+Mathematics_1!L344+Mathematics_1!L360+Modern_Foreign_Languages_1!L344+Modern_Foreign_Languages_1!L360+Music_1!L344+Music_1!L360+Others_1!L344+Others_1!L360+Physical_Education_1!L344+Physical_Education_1!L360+Physics_1!L344+Physics_1!L360+Religious_Education_1!L344+Religious_Education_1!L360</f>
        <v>33176.141184416651</v>
      </c>
      <c r="R558" s="705">
        <f>'Art_&amp;_Design_1'!M344+'Art_&amp;_Design_1'!M360+Biology_1!M344+Biology_1!M360+Business_Studies_1!M344+Business_Studies_1!M360+Chemistry_1!M344+Chemistry_1!M360+Classics_1!M344+Classics_1!M360+Computing_1!M344+Computing_1!M360+'Design_&amp;_Technology_1'!M344+'Design_&amp;_Technology_1'!M360+Drama_1!M344+Drama_1!M360+English_1!M344+English_1!M360+Food_1!M344+Food_1!M360+Geography_1!M344+Geography_1!M360+History_1!M344+History_1!M360+Mathematics_1!M344+Mathematics_1!M360+Modern_Foreign_Languages_1!M344+Modern_Foreign_Languages_1!M360+Music_1!M344+Music_1!M360+Others_1!M344+Others_1!M360+Physical_Education_1!M344+Physical_Education_1!M360+Physics_1!M344+Physics_1!M360+Religious_Education_1!M344+Religious_Education_1!M360</f>
        <v>33112.0147735399</v>
      </c>
      <c r="S558" s="705">
        <f>'Art_&amp;_Design_1'!N344+'Art_&amp;_Design_1'!N360+Biology_1!N344+Biology_1!N360+Business_Studies_1!N344+Business_Studies_1!N360+Chemistry_1!N344+Chemistry_1!N360+Classics_1!N344+Classics_1!N360+Computing_1!N344+Computing_1!N360+'Design_&amp;_Technology_1'!N344+'Design_&amp;_Technology_1'!N360+Drama_1!N344+Drama_1!N360+English_1!N344+English_1!N360+Food_1!N344+Food_1!N360+Geography_1!N344+Geography_1!N360+History_1!N344+History_1!N360+Mathematics_1!N344+Mathematics_1!N360+Modern_Foreign_Languages_1!N344+Modern_Foreign_Languages_1!N360+Music_1!N344+Music_1!N360+Others_1!N344+Others_1!N360+Physical_Education_1!N344+Physical_Education_1!N360+Physics_1!N344+Physics_1!N360+Religious_Education_1!N344+Religious_Education_1!N360</f>
        <v>33041.89625438377</v>
      </c>
    </row>
    <row r="559" spans="4:19">
      <c r="H559" s="705">
        <f>'Art_&amp;_Design_1'!C345+'Art_&amp;_Design_1'!C361+Biology_1!C345+Biology_1!C361+Business_Studies_1!C345+Business_Studies_1!C361+Chemistry_1!C345+Chemistry_1!C361+Classics_1!C345+Classics_1!C361+Computing_1!C345+Computing_1!C361+'Design_&amp;_Technology_1'!C345+'Design_&amp;_Technology_1'!C361+Drama_1!C345+Drama_1!C361+English_1!C345+English_1!C361+Food_1!C345+Food_1!C361+Geography_1!C345+Geography_1!C361+History_1!C345+History_1!C361+Mathematics_1!C345+Mathematics_1!C361+Modern_Foreign_Languages_1!C345+Modern_Foreign_Languages_1!C361+Music_1!C345+Music_1!C361+Others_1!C345+Others_1!C361+Physical_Education_1!C345+Physical_Education_1!C361+Physics_1!C345+Physics_1!C361+Religious_Education_1!C345+Religious_Education_1!C361</f>
        <v>25067.541967353194</v>
      </c>
      <c r="I559" s="705">
        <f>'Art_&amp;_Design_1'!D345+'Art_&amp;_Design_1'!D361+Biology_1!D345+Biology_1!D361+Business_Studies_1!D345+Business_Studies_1!D361+Chemistry_1!D345+Chemistry_1!D361+Classics_1!D345+Classics_1!D361+Computing_1!D345+Computing_1!D361+'Design_&amp;_Technology_1'!D345+'Design_&amp;_Technology_1'!D361+Drama_1!D345+Drama_1!D361+English_1!D345+English_1!D361+Food_1!D345+Food_1!D361+Geography_1!D345+Geography_1!D361+History_1!D345+History_1!D361+Mathematics_1!D345+Mathematics_1!D361+Modern_Foreign_Languages_1!D345+Modern_Foreign_Languages_1!D361+Music_1!D345+Music_1!D361+Others_1!D345+Others_1!D361+Physical_Education_1!D345+Physical_Education_1!D361+Physics_1!D345+Physics_1!D361+Religious_Education_1!D345+Religious_Education_1!D361</f>
        <v>25779.295420570688</v>
      </c>
      <c r="J559" s="705">
        <f>'Art_&amp;_Design_1'!E345+'Art_&amp;_Design_1'!E361+Biology_1!E345+Biology_1!E361+Business_Studies_1!E345+Business_Studies_1!E361+Chemistry_1!E345+Chemistry_1!E361+Classics_1!E345+Classics_1!E361+Computing_1!E345+Computing_1!E361+'Design_&amp;_Technology_1'!E345+'Design_&amp;_Technology_1'!E361+Drama_1!E345+Drama_1!E361+English_1!E345+English_1!E361+Food_1!E345+Food_1!E361+Geography_1!E345+Geography_1!E361+History_1!E345+History_1!E361+Mathematics_1!E345+Mathematics_1!E361+Modern_Foreign_Languages_1!E345+Modern_Foreign_Languages_1!E361+Music_1!E345+Music_1!E361+Others_1!E345+Others_1!E361+Physical_Education_1!E345+Physical_Education_1!E361+Physics_1!E345+Physics_1!E361+Religious_Education_1!E345+Religious_Education_1!E361</f>
        <v>26430.312763073376</v>
      </c>
      <c r="K559" s="705">
        <f>'Art_&amp;_Design_1'!F345+'Art_&amp;_Design_1'!F361+Biology_1!F345+Biology_1!F361+Business_Studies_1!F345+Business_Studies_1!F361+Chemistry_1!F345+Chemistry_1!F361+Classics_1!F345+Classics_1!F361+Computing_1!F345+Computing_1!F361+'Design_&amp;_Technology_1'!F345+'Design_&amp;_Technology_1'!F361+Drama_1!F345+Drama_1!F361+English_1!F345+English_1!F361+Food_1!F345+Food_1!F361+Geography_1!F345+Geography_1!F361+History_1!F345+History_1!F361+Mathematics_1!F345+Mathematics_1!F361+Modern_Foreign_Languages_1!F345+Modern_Foreign_Languages_1!F361+Music_1!F345+Music_1!F361+Others_1!F345+Others_1!F361+Physical_Education_1!F345+Physical_Education_1!F361+Physics_1!F345+Physics_1!F361+Religious_Education_1!F345+Religious_Education_1!F361</f>
        <v>27004.192667490137</v>
      </c>
      <c r="L559" s="705">
        <f>'Art_&amp;_Design_1'!G345+'Art_&amp;_Design_1'!G361+Biology_1!G345+Biology_1!G361+Business_Studies_1!G345+Business_Studies_1!G361+Chemistry_1!G345+Chemistry_1!G361+Classics_1!G345+Classics_1!G361+Computing_1!G345+Computing_1!G361+'Design_&amp;_Technology_1'!G345+'Design_&amp;_Technology_1'!G361+Drama_1!G345+Drama_1!G361+English_1!G345+English_1!G361+Food_1!G345+Food_1!G361+Geography_1!G345+Geography_1!G361+History_1!G345+History_1!G361+Mathematics_1!G345+Mathematics_1!G361+Modern_Foreign_Languages_1!G345+Modern_Foreign_Languages_1!G361+Music_1!G345+Music_1!G361+Others_1!G345+Others_1!G361+Physical_Education_1!G345+Physical_Education_1!G361+Physics_1!G345+Physics_1!G361+Religious_Education_1!G345+Religious_Education_1!G361</f>
        <v>27465.844368328075</v>
      </c>
      <c r="M559" s="705">
        <f>'Art_&amp;_Design_1'!H345+'Art_&amp;_Design_1'!H361+Biology_1!H345+Biology_1!H361+Business_Studies_1!H345+Business_Studies_1!H361+Chemistry_1!H345+Chemistry_1!H361+Classics_1!H345+Classics_1!H361+Computing_1!H345+Computing_1!H361+'Design_&amp;_Technology_1'!H345+'Design_&amp;_Technology_1'!H361+Drama_1!H345+Drama_1!H361+English_1!H345+English_1!H361+Food_1!H345+Food_1!H361+Geography_1!H345+Geography_1!H361+History_1!H345+History_1!H361+Mathematics_1!H345+Mathematics_1!H361+Modern_Foreign_Languages_1!H345+Modern_Foreign_Languages_1!H361+Music_1!H345+Music_1!H361+Others_1!H345+Others_1!H361+Physical_Education_1!H345+Physical_Education_1!H361+Physics_1!H345+Physics_1!H361+Religious_Education_1!H345+Religious_Education_1!H361</f>
        <v>27850.523997229542</v>
      </c>
      <c r="N559" s="705">
        <f>'Art_&amp;_Design_1'!I345+'Art_&amp;_Design_1'!I361+Biology_1!I345+Biology_1!I361+Business_Studies_1!I345+Business_Studies_1!I361+Chemistry_1!I345+Chemistry_1!I361+Classics_1!I345+Classics_1!I361+Computing_1!I345+Computing_1!I361+'Design_&amp;_Technology_1'!I345+'Design_&amp;_Technology_1'!I361+Drama_1!I345+Drama_1!I361+English_1!I345+English_1!I361+Food_1!I345+Food_1!I361+Geography_1!I345+Geography_1!I361+History_1!I345+History_1!I361+Mathematics_1!I345+Mathematics_1!I361+Modern_Foreign_Languages_1!I345+Modern_Foreign_Languages_1!I361+Music_1!I345+Music_1!I361+Others_1!I345+Others_1!I361+Physical_Education_1!I345+Physical_Education_1!I361+Physics_1!I345+Physics_1!I361+Religious_Education_1!I345+Religious_Education_1!I361</f>
        <v>28182.127828506178</v>
      </c>
      <c r="O559" s="705">
        <f>'Art_&amp;_Design_1'!J345+'Art_&amp;_Design_1'!J361+Biology_1!J345+Biology_1!J361+Business_Studies_1!J345+Business_Studies_1!J361+Chemistry_1!J345+Chemistry_1!J361+Classics_1!J345+Classics_1!J361+Computing_1!J345+Computing_1!J361+'Design_&amp;_Technology_1'!J345+'Design_&amp;_Technology_1'!J361+Drama_1!J345+Drama_1!J361+English_1!J345+English_1!J361+Food_1!J345+Food_1!J361+Geography_1!J345+Geography_1!J361+History_1!J345+History_1!J361+Mathematics_1!J345+Mathematics_1!J361+Modern_Foreign_Languages_1!J345+Modern_Foreign_Languages_1!J361+Music_1!J345+Music_1!J361+Others_1!J345+Others_1!J361+Physical_Education_1!J345+Physical_Education_1!J361+Physics_1!J345+Physics_1!J361+Religious_Education_1!J345+Religious_Education_1!J361</f>
        <v>28441.327128192766</v>
      </c>
      <c r="P559" s="705">
        <f>'Art_&amp;_Design_1'!K345+'Art_&amp;_Design_1'!K361+Biology_1!K345+Biology_1!K361+Business_Studies_1!K345+Business_Studies_1!K361+Chemistry_1!K345+Chemistry_1!K361+Classics_1!K345+Classics_1!K361+Computing_1!K345+Computing_1!K361+'Design_&amp;_Technology_1'!K345+'Design_&amp;_Technology_1'!K361+Drama_1!K345+Drama_1!K361+English_1!K345+English_1!K361+Food_1!K345+Food_1!K361+Geography_1!K345+Geography_1!K361+History_1!K345+History_1!K361+Mathematics_1!K345+Mathematics_1!K361+Modern_Foreign_Languages_1!K345+Modern_Foreign_Languages_1!K361+Music_1!K345+Music_1!K361+Others_1!K345+Others_1!K361+Physical_Education_1!K345+Physical_Education_1!K361+Physics_1!K345+Physics_1!K361+Religious_Education_1!K345+Religious_Education_1!K361</f>
        <v>28583.204958903061</v>
      </c>
      <c r="Q559" s="705">
        <f>'Art_&amp;_Design_1'!L345+'Art_&amp;_Design_1'!L361+Biology_1!L345+Biology_1!L361+Business_Studies_1!L345+Business_Studies_1!L361+Chemistry_1!L345+Chemistry_1!L361+Classics_1!L345+Classics_1!L361+Computing_1!L345+Computing_1!L361+'Design_&amp;_Technology_1'!L345+'Design_&amp;_Technology_1'!L361+Drama_1!L345+Drama_1!L361+English_1!L345+English_1!L361+Food_1!L345+Food_1!L361+Geography_1!L345+Geography_1!L361+History_1!L345+History_1!L361+Mathematics_1!L345+Mathematics_1!L361+Modern_Foreign_Languages_1!L345+Modern_Foreign_Languages_1!L361+Music_1!L345+Music_1!L361+Others_1!L345+Others_1!L361+Physical_Education_1!L345+Physical_Education_1!L361+Physics_1!L345+Physics_1!L361+Religious_Education_1!L345+Religious_Education_1!L361</f>
        <v>28662.210564796362</v>
      </c>
      <c r="R559" s="705">
        <f>'Art_&amp;_Design_1'!M345+'Art_&amp;_Design_1'!M361+Biology_1!M345+Biology_1!M361+Business_Studies_1!M345+Business_Studies_1!M361+Chemistry_1!M345+Chemistry_1!M361+Classics_1!M345+Classics_1!M361+Computing_1!M345+Computing_1!M361+'Design_&amp;_Technology_1'!M345+'Design_&amp;_Technology_1'!M361+Drama_1!M345+Drama_1!M361+English_1!M345+English_1!M361+Food_1!M345+Food_1!M361+Geography_1!M345+Geography_1!M361+History_1!M345+History_1!M361+Mathematics_1!M345+Mathematics_1!M361+Modern_Foreign_Languages_1!M345+Modern_Foreign_Languages_1!M361+Music_1!M345+Music_1!M361+Others_1!M345+Others_1!M361+Physical_Education_1!M345+Physical_Education_1!M361+Physics_1!M345+Physics_1!M361+Religious_Education_1!M345+Religious_Education_1!M361</f>
        <v>28689.433925527101</v>
      </c>
      <c r="S559" s="705">
        <f>'Art_&amp;_Design_1'!N345+'Art_&amp;_Design_1'!N361+Biology_1!N345+Biology_1!N361+Business_Studies_1!N345+Business_Studies_1!N361+Chemistry_1!N345+Chemistry_1!N361+Classics_1!N345+Classics_1!N361+Computing_1!N345+Computing_1!N361+'Design_&amp;_Technology_1'!N345+'Design_&amp;_Technology_1'!N361+Drama_1!N345+Drama_1!N361+English_1!N345+English_1!N361+Food_1!N345+Food_1!N361+Geography_1!N345+Geography_1!N361+History_1!N345+History_1!N361+Mathematics_1!N345+Mathematics_1!N361+Modern_Foreign_Languages_1!N345+Modern_Foreign_Languages_1!N361+Music_1!N345+Music_1!N361+Others_1!N345+Others_1!N361+Physical_Education_1!N345+Physical_Education_1!N361+Physics_1!N345+Physics_1!N361+Religious_Education_1!N345+Religious_Education_1!N361</f>
        <v>28683.042102601983</v>
      </c>
    </row>
    <row r="560" spans="4:19">
      <c r="H560" s="705">
        <f>'Art_&amp;_Design_1'!C346+'Art_&amp;_Design_1'!C362+Biology_1!C346+Biology_1!C362+Business_Studies_1!C346+Business_Studies_1!C362+Chemistry_1!C346+Chemistry_1!C362+Classics_1!C346+Classics_1!C362+Computing_1!C346+Computing_1!C362+'Design_&amp;_Technology_1'!C346+'Design_&amp;_Technology_1'!C362+Drama_1!C346+Drama_1!C362+English_1!C346+English_1!C362+Food_1!C346+Food_1!C362+Geography_1!C346+Geography_1!C362+History_1!C346+History_1!C362+Mathematics_1!C346+Mathematics_1!C362+Modern_Foreign_Languages_1!C346+Modern_Foreign_Languages_1!C362+Music_1!C346+Music_1!C362+Others_1!C346+Others_1!C362+Physical_Education_1!C346+Physical_Education_1!C362+Physics_1!C346+Physics_1!C362+Religious_Education_1!C346+Religious_Education_1!C362</f>
        <v>19774.802433758097</v>
      </c>
      <c r="I560" s="705">
        <f>'Art_&amp;_Design_1'!D346+'Art_&amp;_Design_1'!D362+Biology_1!D346+Biology_1!D362+Business_Studies_1!D346+Business_Studies_1!D362+Chemistry_1!D346+Chemistry_1!D362+Classics_1!D346+Classics_1!D362+Computing_1!D346+Computing_1!D362+'Design_&amp;_Technology_1'!D346+'Design_&amp;_Technology_1'!D362+Drama_1!D346+Drama_1!D362+English_1!D346+English_1!D362+Food_1!D346+Food_1!D362+Geography_1!D346+Geography_1!D362+History_1!D346+History_1!D362+Mathematics_1!D346+Mathematics_1!D362+Modern_Foreign_Languages_1!D346+Modern_Foreign_Languages_1!D362+Music_1!D346+Music_1!D362+Others_1!D346+Others_1!D362+Physical_Education_1!D346+Physical_Education_1!D362+Physics_1!D346+Physics_1!D362+Religious_Education_1!D346+Religious_Education_1!D362</f>
        <v>19771.294455786283</v>
      </c>
      <c r="J560" s="705">
        <f>'Art_&amp;_Design_1'!E346+'Art_&amp;_Design_1'!E362+Biology_1!E346+Biology_1!E362+Business_Studies_1!E346+Business_Studies_1!E362+Chemistry_1!E346+Chemistry_1!E362+Classics_1!E346+Classics_1!E362+Computing_1!E346+Computing_1!E362+'Design_&amp;_Technology_1'!E346+'Design_&amp;_Technology_1'!E362+Drama_1!E346+Drama_1!E362+English_1!E346+English_1!E362+Food_1!E346+Food_1!E362+Geography_1!E346+Geography_1!E362+History_1!E346+History_1!E362+Mathematics_1!E346+Mathematics_1!E362+Modern_Foreign_Languages_1!E346+Modern_Foreign_Languages_1!E362+Music_1!E346+Music_1!E362+Others_1!E346+Others_1!E362+Physical_Education_1!E346+Physical_Education_1!E362+Physics_1!E346+Physics_1!E362+Religious_Education_1!E346+Religious_Education_1!E362</f>
        <v>19927.320343780888</v>
      </c>
      <c r="K560" s="705">
        <f>'Art_&amp;_Design_1'!F346+'Art_&amp;_Design_1'!F362+Biology_1!F346+Biology_1!F362+Business_Studies_1!F346+Business_Studies_1!F362+Chemistry_1!F346+Chemistry_1!F362+Classics_1!F346+Classics_1!F362+Computing_1!F346+Computing_1!F362+'Design_&amp;_Technology_1'!F346+'Design_&amp;_Technology_1'!F362+Drama_1!F346+Drama_1!F362+English_1!F346+English_1!F362+Food_1!F346+Food_1!F362+Geography_1!F346+Geography_1!F362+History_1!F346+History_1!F362+Mathematics_1!F346+Mathematics_1!F362+Modern_Foreign_Languages_1!F346+Modern_Foreign_Languages_1!F362+Music_1!F346+Music_1!F362+Others_1!F346+Others_1!F362+Physical_Education_1!F346+Physical_Education_1!F362+Physics_1!F346+Physics_1!F362+Religious_Education_1!F346+Religious_Education_1!F362</f>
        <v>20168.947048833463</v>
      </c>
      <c r="L560" s="705">
        <f>'Art_&amp;_Design_1'!G346+'Art_&amp;_Design_1'!G362+Biology_1!G346+Biology_1!G362+Business_Studies_1!G346+Business_Studies_1!G362+Chemistry_1!G346+Chemistry_1!G362+Classics_1!G346+Classics_1!G362+Computing_1!G346+Computing_1!G362+'Design_&amp;_Technology_1'!G346+'Design_&amp;_Technology_1'!G362+Drama_1!G346+Drama_1!G362+English_1!G346+English_1!G362+Food_1!G346+Food_1!G362+Geography_1!G346+Geography_1!G362+History_1!G346+History_1!G362+Mathematics_1!G346+Mathematics_1!G362+Modern_Foreign_Languages_1!G346+Modern_Foreign_Languages_1!G362+Music_1!G346+Music_1!G362+Others_1!G346+Others_1!G362+Physical_Education_1!G346+Physical_Education_1!G362+Physics_1!G346+Physics_1!G362+Religious_Education_1!G346+Religious_Education_1!G362</f>
        <v>20427.781845128433</v>
      </c>
      <c r="M560" s="705">
        <f>'Art_&amp;_Design_1'!H346+'Art_&amp;_Design_1'!H362+Biology_1!H346+Biology_1!H362+Business_Studies_1!H346+Business_Studies_1!H362+Chemistry_1!H346+Chemistry_1!H362+Classics_1!H346+Classics_1!H362+Computing_1!H346+Computing_1!H362+'Design_&amp;_Technology_1'!H346+'Design_&amp;_Technology_1'!H362+Drama_1!H346+Drama_1!H362+English_1!H346+English_1!H362+Food_1!H346+Food_1!H362+Geography_1!H346+Geography_1!H362+History_1!H346+History_1!H362+Mathematics_1!H346+Mathematics_1!H362+Modern_Foreign_Languages_1!H346+Modern_Foreign_Languages_1!H362+Music_1!H346+Music_1!H362+Others_1!H346+Others_1!H362+Physical_Education_1!H346+Physical_Education_1!H362+Physics_1!H346+Physics_1!H362+Religious_Education_1!H346+Religious_Education_1!H362</f>
        <v>20698.754691806382</v>
      </c>
      <c r="N560" s="705">
        <f>'Art_&amp;_Design_1'!I346+'Art_&amp;_Design_1'!I362+Biology_1!I346+Biology_1!I362+Business_Studies_1!I346+Business_Studies_1!I362+Chemistry_1!I346+Chemistry_1!I362+Classics_1!I346+Classics_1!I362+Computing_1!I346+Computing_1!I362+'Design_&amp;_Technology_1'!I346+'Design_&amp;_Technology_1'!I362+Drama_1!I346+Drama_1!I362+English_1!I346+English_1!I362+Food_1!I346+Food_1!I362+Geography_1!I346+Geography_1!I362+History_1!I346+History_1!I362+Mathematics_1!I346+Mathematics_1!I362+Modern_Foreign_Languages_1!I346+Modern_Foreign_Languages_1!I362+Music_1!I346+Music_1!I362+Others_1!I346+Others_1!I362+Physical_Education_1!I346+Physical_Education_1!I362+Physics_1!I346+Physics_1!I362+Religious_Education_1!I346+Religious_Education_1!I362</f>
        <v>20976.064101264583</v>
      </c>
      <c r="O560" s="705">
        <f>'Art_&amp;_Design_1'!J346+'Art_&amp;_Design_1'!J362+Biology_1!J346+Biology_1!J362+Business_Studies_1!J346+Business_Studies_1!J362+Chemistry_1!J346+Chemistry_1!J362+Classics_1!J346+Classics_1!J362+Computing_1!J346+Computing_1!J362+'Design_&amp;_Technology_1'!J346+'Design_&amp;_Technology_1'!J362+Drama_1!J346+Drama_1!J362+English_1!J346+English_1!J362+Food_1!J346+Food_1!J362+Geography_1!J346+Geography_1!J362+History_1!J346+History_1!J362+Mathematics_1!J346+Mathematics_1!J362+Modern_Foreign_Languages_1!J346+Modern_Foreign_Languages_1!J362+Music_1!J346+Music_1!J362+Others_1!J346+Others_1!J362+Physical_Education_1!J346+Physical_Education_1!J362+Physics_1!J346+Physics_1!J362+Religious_Education_1!J346+Religious_Education_1!J362</f>
        <v>21227.646943964344</v>
      </c>
      <c r="P560" s="705">
        <f>'Art_&amp;_Design_1'!K346+'Art_&amp;_Design_1'!K362+Biology_1!K346+Biology_1!K362+Business_Studies_1!K346+Business_Studies_1!K362+Chemistry_1!K346+Chemistry_1!K362+Classics_1!K346+Classics_1!K362+Computing_1!K346+Computing_1!K362+'Design_&amp;_Technology_1'!K346+'Design_&amp;_Technology_1'!K362+Drama_1!K346+Drama_1!K362+English_1!K346+English_1!K362+Food_1!K346+Food_1!K362+Geography_1!K346+Geography_1!K362+History_1!K346+History_1!K362+Mathematics_1!K346+Mathematics_1!K362+Modern_Foreign_Languages_1!K346+Modern_Foreign_Languages_1!K362+Music_1!K346+Music_1!K362+Others_1!K346+Others_1!K362+Physical_Education_1!K346+Physical_Education_1!K362+Physics_1!K346+Physics_1!K362+Religious_Education_1!K346+Religious_Education_1!K362</f>
        <v>21406.928025288023</v>
      </c>
      <c r="Q560" s="705">
        <f>'Art_&amp;_Design_1'!L346+'Art_&amp;_Design_1'!L362+Biology_1!L346+Biology_1!L362+Business_Studies_1!L346+Business_Studies_1!L362+Chemistry_1!L346+Chemistry_1!L362+Classics_1!L346+Classics_1!L362+Computing_1!L346+Computing_1!L362+'Design_&amp;_Technology_1'!L346+'Design_&amp;_Technology_1'!L362+Drama_1!L346+Drama_1!L362+English_1!L346+English_1!L362+Food_1!L346+Food_1!L362+Geography_1!L346+Geography_1!L362+History_1!L346+History_1!L362+Mathematics_1!L346+Mathematics_1!L362+Modern_Foreign_Languages_1!L346+Modern_Foreign_Languages_1!L362+Music_1!L346+Music_1!L362+Others_1!L346+Others_1!L362+Physical_Education_1!L346+Physical_Education_1!L362+Physics_1!L346+Physics_1!L362+Religious_Education_1!L346+Religious_Education_1!L362</f>
        <v>21543.74763323025</v>
      </c>
      <c r="R560" s="705">
        <f>'Art_&amp;_Design_1'!M346+'Art_&amp;_Design_1'!M362+Biology_1!M346+Biology_1!M362+Business_Studies_1!M346+Business_Studies_1!M362+Chemistry_1!M346+Chemistry_1!M362+Classics_1!M346+Classics_1!M362+Computing_1!M346+Computing_1!M362+'Design_&amp;_Technology_1'!M346+'Design_&amp;_Technology_1'!M362+Drama_1!M346+Drama_1!M362+English_1!M346+English_1!M362+Food_1!M346+Food_1!M362+Geography_1!M346+Geography_1!M362+History_1!M346+History_1!M362+Mathematics_1!M346+Mathematics_1!M362+Modern_Foreign_Languages_1!M346+Modern_Foreign_Languages_1!M362+Music_1!M346+Music_1!M362+Others_1!M346+Others_1!M362+Physical_Education_1!M346+Physical_Education_1!M362+Physics_1!M346+Physics_1!M362+Religious_Education_1!M346+Religious_Education_1!M362</f>
        <v>21638.951261775695</v>
      </c>
      <c r="S560" s="705">
        <f>'Art_&amp;_Design_1'!N346+'Art_&amp;_Design_1'!N362+Biology_1!N346+Biology_1!N362+Business_Studies_1!N346+Business_Studies_1!N362+Chemistry_1!N346+Chemistry_1!N362+Classics_1!N346+Classics_1!N362+Computing_1!N346+Computing_1!N362+'Design_&amp;_Technology_1'!N346+'Design_&amp;_Technology_1'!N362+Drama_1!N346+Drama_1!N362+English_1!N346+English_1!N362+Food_1!N346+Food_1!N362+Geography_1!N346+Geography_1!N362+History_1!N346+History_1!N362+Mathematics_1!N346+Mathematics_1!N362+Modern_Foreign_Languages_1!N346+Modern_Foreign_Languages_1!N362+Music_1!N346+Music_1!N362+Others_1!N346+Others_1!N362+Physical_Education_1!N346+Physical_Education_1!N362+Physics_1!N346+Physics_1!N362+Religious_Education_1!N346+Religious_Education_1!N362</f>
        <v>21701.252927246282</v>
      </c>
    </row>
    <row r="561" spans="2:20">
      <c r="H561" s="705">
        <f>'Art_&amp;_Design_1'!C347+'Art_&amp;_Design_1'!C363+Biology_1!C347+Biology_1!C363+Business_Studies_1!C347+Business_Studies_1!C363+Chemistry_1!C347+Chemistry_1!C363+Classics_1!C347+Classics_1!C363+Computing_1!C347+Computing_1!C363+'Design_&amp;_Technology_1'!C347+'Design_&amp;_Technology_1'!C363+Drama_1!C347+Drama_1!C363+English_1!C347+English_1!C363+Food_1!C347+Food_1!C363+Geography_1!C347+Geography_1!C363+History_1!C347+History_1!C363+Mathematics_1!C347+Mathematics_1!C363+Modern_Foreign_Languages_1!C347+Modern_Foreign_Languages_1!C363+Music_1!C347+Music_1!C363+Others_1!C347+Others_1!C363+Physical_Education_1!C347+Physical_Education_1!C363+Physics_1!C347+Physics_1!C363+Religious_Education_1!C347+Religious_Education_1!C363</f>
        <v>12164.850575483622</v>
      </c>
      <c r="I561" s="705">
        <f>'Art_&amp;_Design_1'!D347+'Art_&amp;_Design_1'!D363+Biology_1!D347+Biology_1!D363+Business_Studies_1!D347+Business_Studies_1!D363+Chemistry_1!D347+Chemistry_1!D363+Classics_1!D347+Classics_1!D363+Computing_1!D347+Computing_1!D363+'Design_&amp;_Technology_1'!D347+'Design_&amp;_Technology_1'!D363+Drama_1!D347+Drama_1!D363+English_1!D347+English_1!D363+Food_1!D347+Food_1!D363+Geography_1!D347+Geography_1!D363+History_1!D347+History_1!D363+Mathematics_1!D347+Mathematics_1!D363+Modern_Foreign_Languages_1!D347+Modern_Foreign_Languages_1!D363+Music_1!D347+Music_1!D363+Others_1!D347+Others_1!D363+Physical_Education_1!D347+Physical_Education_1!D363+Physics_1!D347+Physics_1!D363+Religious_Education_1!D347+Religious_Education_1!D363</f>
        <v>11049.972114085618</v>
      </c>
      <c r="J561" s="705">
        <f>'Art_&amp;_Design_1'!E347+'Art_&amp;_Design_1'!E363+Biology_1!E347+Biology_1!E363+Business_Studies_1!E347+Business_Studies_1!E363+Chemistry_1!E347+Chemistry_1!E363+Classics_1!E347+Classics_1!E363+Computing_1!E347+Computing_1!E363+'Design_&amp;_Technology_1'!E347+'Design_&amp;_Technology_1'!E363+Drama_1!E347+Drama_1!E363+English_1!E347+English_1!E363+Food_1!E347+Food_1!E363+Geography_1!E347+Geography_1!E363+History_1!E347+History_1!E363+Mathematics_1!E347+Mathematics_1!E363+Modern_Foreign_Languages_1!E347+Modern_Foreign_Languages_1!E363+Music_1!E347+Music_1!E363+Others_1!E347+Others_1!E363+Physical_Education_1!E347+Physical_Education_1!E363+Physics_1!E347+Physics_1!E363+Religious_Education_1!E347+Religious_Education_1!E363</f>
        <v>10404.199920719801</v>
      </c>
      <c r="K561" s="705">
        <f>'Art_&amp;_Design_1'!F347+'Art_&amp;_Design_1'!F363+Biology_1!F347+Biology_1!F363+Business_Studies_1!F347+Business_Studies_1!F363+Chemistry_1!F347+Chemistry_1!F363+Classics_1!F347+Classics_1!F363+Computing_1!F347+Computing_1!F363+'Design_&amp;_Technology_1'!F347+'Design_&amp;_Technology_1'!F363+Drama_1!F347+Drama_1!F363+English_1!F347+English_1!F363+Food_1!F347+Food_1!F363+Geography_1!F347+Geography_1!F363+History_1!F347+History_1!F363+Mathematics_1!F347+Mathematics_1!F363+Modern_Foreign_Languages_1!F347+Modern_Foreign_Languages_1!F363+Music_1!F347+Music_1!F363+Others_1!F347+Others_1!F363+Physical_Education_1!F347+Physical_Education_1!F363+Physics_1!F347+Physics_1!F363+Religious_Education_1!F347+Religious_Education_1!F363</f>
        <v>10050.893343056008</v>
      </c>
      <c r="L561" s="705">
        <f>'Art_&amp;_Design_1'!G347+'Art_&amp;_Design_1'!G363+Biology_1!G347+Biology_1!G363+Business_Studies_1!G347+Business_Studies_1!G363+Chemistry_1!G347+Chemistry_1!G363+Classics_1!G347+Classics_1!G363+Computing_1!G347+Computing_1!G363+'Design_&amp;_Technology_1'!G347+'Design_&amp;_Technology_1'!G363+Drama_1!G347+Drama_1!G363+English_1!G347+English_1!G363+Food_1!G347+Food_1!G363+Geography_1!G347+Geography_1!G363+History_1!G347+History_1!G363+Mathematics_1!G347+Mathematics_1!G363+Modern_Foreign_Languages_1!G347+Modern_Foreign_Languages_1!G363+Music_1!G347+Music_1!G363+Others_1!G347+Others_1!G363+Physical_Education_1!G347+Physical_Education_1!G363+Physics_1!G347+Physics_1!G363+Religious_Education_1!G347+Religious_Education_1!G363</f>
        <v>9864.8000985129711</v>
      </c>
      <c r="M561" s="705">
        <f>'Art_&amp;_Design_1'!H347+'Art_&amp;_Design_1'!H363+Biology_1!H347+Biology_1!H363+Business_Studies_1!H347+Business_Studies_1!H363+Chemistry_1!H347+Chemistry_1!H363+Classics_1!H347+Classics_1!H363+Computing_1!H347+Computing_1!H363+'Design_&amp;_Technology_1'!H347+'Design_&amp;_Technology_1'!H363+Drama_1!H347+Drama_1!H363+English_1!H347+English_1!H363+Food_1!H347+Food_1!H363+Geography_1!H347+Geography_1!H363+History_1!H347+History_1!H363+Mathematics_1!H347+Mathematics_1!H363+Modern_Foreign_Languages_1!H347+Modern_Foreign_Languages_1!H363+Music_1!H347+Music_1!H363+Others_1!H347+Others_1!H363+Physical_Education_1!H347+Physical_Education_1!H363+Physics_1!H347+Physics_1!H363+Religious_Education_1!H347+Religious_Education_1!H363</f>
        <v>9794.9176944759292</v>
      </c>
      <c r="N561" s="705">
        <f>'Art_&amp;_Design_1'!I347+'Art_&amp;_Design_1'!I363+Biology_1!I347+Biology_1!I363+Business_Studies_1!I347+Business_Studies_1!I363+Chemistry_1!I347+Chemistry_1!I363+Classics_1!I347+Classics_1!I363+Computing_1!I347+Computing_1!I363+'Design_&amp;_Technology_1'!I347+'Design_&amp;_Technology_1'!I363+Drama_1!I347+Drama_1!I363+English_1!I347+English_1!I363+Food_1!I347+Food_1!I363+Geography_1!I347+Geography_1!I363+History_1!I347+History_1!I363+Mathematics_1!I347+Mathematics_1!I363+Modern_Foreign_Languages_1!I347+Modern_Foreign_Languages_1!I363+Music_1!I347+Music_1!I363+Others_1!I347+Others_1!I363+Physical_Education_1!I347+Physical_Education_1!I363+Physics_1!I347+Physics_1!I363+Religious_Education_1!I347+Religious_Education_1!I363</f>
        <v>9804.1540849851572</v>
      </c>
      <c r="O561" s="705">
        <f>'Art_&amp;_Design_1'!J347+'Art_&amp;_Design_1'!J363+Biology_1!J347+Biology_1!J363+Business_Studies_1!J347+Business_Studies_1!J363+Chemistry_1!J347+Chemistry_1!J363+Classics_1!J347+Classics_1!J363+Computing_1!J347+Computing_1!J363+'Design_&amp;_Technology_1'!J347+'Design_&amp;_Technology_1'!J363+Drama_1!J347+Drama_1!J363+English_1!J347+English_1!J363+Food_1!J347+Food_1!J363+Geography_1!J347+Geography_1!J363+History_1!J347+History_1!J363+Mathematics_1!J347+Mathematics_1!J363+Modern_Foreign_Languages_1!J347+Modern_Foreign_Languages_1!J363+Music_1!J347+Music_1!J363+Others_1!J347+Others_1!J363+Physical_Education_1!J347+Physical_Education_1!J363+Physics_1!J347+Physics_1!J363+Religious_Education_1!J347+Religious_Education_1!J363</f>
        <v>9847.5314906006279</v>
      </c>
      <c r="P561" s="705">
        <f>'Art_&amp;_Design_1'!K347+'Art_&amp;_Design_1'!K363+Biology_1!K347+Biology_1!K363+Business_Studies_1!K347+Business_Studies_1!K363+Chemistry_1!K347+Chemistry_1!K363+Classics_1!K347+Classics_1!K363+Computing_1!K347+Computing_1!K363+'Design_&amp;_Technology_1'!K347+'Design_&amp;_Technology_1'!K363+Drama_1!K347+Drama_1!K363+English_1!K347+English_1!K363+Food_1!K347+Food_1!K363+Geography_1!K347+Geography_1!K363+History_1!K347+History_1!K363+Mathematics_1!K347+Mathematics_1!K363+Modern_Foreign_Languages_1!K347+Modern_Foreign_Languages_1!K363+Music_1!K347+Music_1!K363+Others_1!K347+Others_1!K363+Physical_Education_1!K347+Physical_Education_1!K363+Physics_1!K347+Physics_1!K363+Religious_Education_1!K347+Religious_Education_1!K363</f>
        <v>9879.5267297955616</v>
      </c>
      <c r="Q561" s="705">
        <f>'Art_&amp;_Design_1'!L347+'Art_&amp;_Design_1'!L363+Biology_1!L347+Biology_1!L363+Business_Studies_1!L347+Business_Studies_1!L363+Chemistry_1!L347+Chemistry_1!L363+Classics_1!L347+Classics_1!L363+Computing_1!L347+Computing_1!L363+'Design_&amp;_Technology_1'!L347+'Design_&amp;_Technology_1'!L363+Drama_1!L347+Drama_1!L363+English_1!L347+English_1!L363+Food_1!L347+Food_1!L363+Geography_1!L347+Geography_1!L363+History_1!L347+History_1!L363+Mathematics_1!L347+Mathematics_1!L363+Modern_Foreign_Languages_1!L347+Modern_Foreign_Languages_1!L363+Music_1!L347+Music_1!L363+Others_1!L347+Others_1!L363+Physical_Education_1!L347+Physical_Education_1!L363+Physics_1!L347+Physics_1!L363+Religious_Education_1!L347+Religious_Education_1!L363</f>
        <v>9914.3371171609033</v>
      </c>
      <c r="R561" s="705">
        <f>'Art_&amp;_Design_1'!M347+'Art_&amp;_Design_1'!M363+Biology_1!M347+Biology_1!M363+Business_Studies_1!M347+Business_Studies_1!M363+Chemistry_1!M347+Chemistry_1!M363+Classics_1!M347+Classics_1!M363+Computing_1!M347+Computing_1!M363+'Design_&amp;_Technology_1'!M347+'Design_&amp;_Technology_1'!M363+Drama_1!M347+Drama_1!M363+English_1!M347+English_1!M363+Food_1!M347+Food_1!M363+Geography_1!M347+Geography_1!M363+History_1!M347+History_1!M363+Mathematics_1!M347+Mathematics_1!M363+Modern_Foreign_Languages_1!M347+Modern_Foreign_Languages_1!M363+Music_1!M347+Music_1!M363+Others_1!M347+Others_1!M363+Physical_Education_1!M347+Physical_Education_1!M363+Physics_1!M347+Physics_1!M363+Religious_Education_1!M347+Religious_Education_1!M363</f>
        <v>9944.4019593898192</v>
      </c>
      <c r="S561" s="705">
        <f>'Art_&amp;_Design_1'!N347+'Art_&amp;_Design_1'!N363+Biology_1!N347+Biology_1!N363+Business_Studies_1!N347+Business_Studies_1!N363+Chemistry_1!N347+Chemistry_1!N363+Classics_1!N347+Classics_1!N363+Computing_1!N347+Computing_1!N363+'Design_&amp;_Technology_1'!N347+'Design_&amp;_Technology_1'!N363+Drama_1!N347+Drama_1!N363+English_1!N347+English_1!N363+Food_1!N347+Food_1!N363+Geography_1!N347+Geography_1!N363+History_1!N347+History_1!N363+Mathematics_1!N347+Mathematics_1!N363+Modern_Foreign_Languages_1!N347+Modern_Foreign_Languages_1!N363+Music_1!N347+Music_1!N363+Others_1!N347+Others_1!N363+Physical_Education_1!N347+Physical_Education_1!N363+Physics_1!N347+Physics_1!N363+Religious_Education_1!N347+Religious_Education_1!N363</f>
        <v>9969.4887857555186</v>
      </c>
    </row>
    <row r="562" spans="2:20">
      <c r="H562" s="705">
        <f>'Art_&amp;_Design_1'!C348+'Art_&amp;_Design_1'!C364+Biology_1!C348+Biology_1!C364+Business_Studies_1!C348+Business_Studies_1!C364+Chemistry_1!C348+Chemistry_1!C364+Classics_1!C348+Classics_1!C364+Computing_1!C348+Computing_1!C364+'Design_&amp;_Technology_1'!C348+'Design_&amp;_Technology_1'!C364+Drama_1!C348+Drama_1!C364+English_1!C348+English_1!C364+Food_1!C348+Food_1!C364+Geography_1!C348+Geography_1!C364+History_1!C348+History_1!C364+Mathematics_1!C348+Mathematics_1!C364+Modern_Foreign_Languages_1!C348+Modern_Foreign_Languages_1!C364+Music_1!C348+Music_1!C364+Others_1!C348+Others_1!C364+Physical_Education_1!C348+Physical_Education_1!C364+Physics_1!C348+Physics_1!C364+Religious_Education_1!C348+Religious_Education_1!C364</f>
        <v>3967.6481701283747</v>
      </c>
      <c r="I562" s="705">
        <f>'Art_&amp;_Design_1'!D348+'Art_&amp;_Design_1'!D364+Biology_1!D348+Biology_1!D364+Business_Studies_1!D348+Business_Studies_1!D364+Chemistry_1!D348+Chemistry_1!D364+Classics_1!D348+Classics_1!D364+Computing_1!D348+Computing_1!D364+'Design_&amp;_Technology_1'!D348+'Design_&amp;_Technology_1'!D364+Drama_1!D348+Drama_1!D364+English_1!D348+English_1!D364+Food_1!D348+Food_1!D364+Geography_1!D348+Geography_1!D364+History_1!D348+History_1!D364+Mathematics_1!D348+Mathematics_1!D364+Modern_Foreign_Languages_1!D348+Modern_Foreign_Languages_1!D364+Music_1!D348+Music_1!D364+Others_1!D348+Others_1!D364+Physical_Education_1!D348+Physical_Education_1!D364+Physics_1!D348+Physics_1!D364+Religious_Education_1!D348+Religious_Education_1!D364</f>
        <v>3686.0377332160679</v>
      </c>
      <c r="J562" s="705">
        <f>'Art_&amp;_Design_1'!E348+'Art_&amp;_Design_1'!E364+Biology_1!E348+Biology_1!E364+Business_Studies_1!E348+Business_Studies_1!E364+Chemistry_1!E348+Chemistry_1!E364+Classics_1!E348+Classics_1!E364+Computing_1!E348+Computing_1!E364+'Design_&amp;_Technology_1'!E348+'Design_&amp;_Technology_1'!E364+Drama_1!E348+Drama_1!E364+English_1!E348+English_1!E364+Food_1!E348+Food_1!E364+Geography_1!E348+Geography_1!E364+History_1!E348+History_1!E364+Mathematics_1!E348+Mathematics_1!E364+Modern_Foreign_Languages_1!E348+Modern_Foreign_Languages_1!E364+Music_1!E348+Music_1!E364+Others_1!E348+Others_1!E364+Physical_Education_1!E348+Physical_Education_1!E364+Physics_1!E348+Physics_1!E364+Religious_Education_1!E348+Religious_Education_1!E364</f>
        <v>3432.8393096508294</v>
      </c>
      <c r="K562" s="705">
        <f>'Art_&amp;_Design_1'!F348+'Art_&amp;_Design_1'!F364+Biology_1!F348+Biology_1!F364+Business_Studies_1!F348+Business_Studies_1!F364+Chemistry_1!F348+Chemistry_1!F364+Classics_1!F348+Classics_1!F364+Computing_1!F348+Computing_1!F364+'Design_&amp;_Technology_1'!F348+'Design_&amp;_Technology_1'!F364+Drama_1!F348+Drama_1!F364+English_1!F348+English_1!F364+Food_1!F348+Food_1!F364+Geography_1!F348+Geography_1!F364+History_1!F348+History_1!F364+Mathematics_1!F348+Mathematics_1!F364+Modern_Foreign_Languages_1!F348+Modern_Foreign_Languages_1!F364+Music_1!F348+Music_1!F364+Others_1!F348+Others_1!F364+Physical_Education_1!F348+Physical_Education_1!F364+Physics_1!F348+Physics_1!F364+Religious_Education_1!F348+Religious_Education_1!F364</f>
        <v>3242.1693607446314</v>
      </c>
      <c r="L562" s="705">
        <f>'Art_&amp;_Design_1'!G348+'Art_&amp;_Design_1'!G364+Biology_1!G348+Biology_1!G364+Business_Studies_1!G348+Business_Studies_1!G364+Chemistry_1!G348+Chemistry_1!G364+Classics_1!G348+Classics_1!G364+Computing_1!G348+Computing_1!G364+'Design_&amp;_Technology_1'!G348+'Design_&amp;_Technology_1'!G364+Drama_1!G348+Drama_1!G364+English_1!G348+English_1!G364+Food_1!G348+Food_1!G364+Geography_1!G348+Geography_1!G364+History_1!G348+History_1!G364+Mathematics_1!G348+Mathematics_1!G364+Modern_Foreign_Languages_1!G348+Modern_Foreign_Languages_1!G364+Music_1!G348+Music_1!G364+Others_1!G348+Others_1!G364+Physical_Education_1!G348+Physical_Education_1!G364+Physics_1!G348+Physics_1!G364+Religious_Education_1!G348+Religious_Education_1!G364</f>
        <v>3105.2536048942061</v>
      </c>
      <c r="M562" s="705">
        <f>'Art_&amp;_Design_1'!H348+'Art_&amp;_Design_1'!H364+Biology_1!H348+Biology_1!H364+Business_Studies_1!H348+Business_Studies_1!H364+Chemistry_1!H348+Chemistry_1!H364+Classics_1!H348+Classics_1!H364+Computing_1!H348+Computing_1!H364+'Design_&amp;_Technology_1'!H348+'Design_&amp;_Technology_1'!H364+Drama_1!H348+Drama_1!H364+English_1!H348+English_1!H364+Food_1!H348+Food_1!H364+Geography_1!H348+Geography_1!H364+History_1!H348+History_1!H364+Mathematics_1!H348+Mathematics_1!H364+Modern_Foreign_Languages_1!H348+Modern_Foreign_Languages_1!H364+Music_1!H348+Music_1!H364+Others_1!H348+Others_1!H364+Physical_Education_1!H348+Physical_Education_1!H364+Physics_1!H348+Physics_1!H364+Religious_Education_1!H348+Religious_Education_1!H364</f>
        <v>3020.102618358952</v>
      </c>
      <c r="N562" s="705">
        <f>'Art_&amp;_Design_1'!I348+'Art_&amp;_Design_1'!I364+Biology_1!I348+Biology_1!I364+Business_Studies_1!I348+Business_Studies_1!I364+Chemistry_1!I348+Chemistry_1!I364+Classics_1!I348+Classics_1!I364+Computing_1!I348+Computing_1!I364+'Design_&amp;_Technology_1'!I348+'Design_&amp;_Technology_1'!I364+Drama_1!I348+Drama_1!I364+English_1!I348+English_1!I364+Food_1!I348+Food_1!I364+Geography_1!I348+Geography_1!I364+History_1!I348+History_1!I364+Mathematics_1!I348+Mathematics_1!I364+Modern_Foreign_Languages_1!I348+Modern_Foreign_Languages_1!I364+Music_1!I348+Music_1!I364+Others_1!I348+Others_1!I364+Physical_Education_1!I348+Physical_Education_1!I364+Physics_1!I348+Physics_1!I364+Religious_Education_1!I348+Religious_Education_1!I364</f>
        <v>2976.7905880738895</v>
      </c>
      <c r="O562" s="705">
        <f>'Art_&amp;_Design_1'!J348+'Art_&amp;_Design_1'!J364+Biology_1!J348+Biology_1!J364+Business_Studies_1!J348+Business_Studies_1!J364+Chemistry_1!J348+Chemistry_1!J364+Classics_1!J348+Classics_1!J364+Computing_1!J348+Computing_1!J364+'Design_&amp;_Technology_1'!J348+'Design_&amp;_Technology_1'!J364+Drama_1!J348+Drama_1!J364+English_1!J348+English_1!J364+Food_1!J348+Food_1!J364+Geography_1!J348+Geography_1!J364+History_1!J348+History_1!J364+Mathematics_1!J348+Mathematics_1!J364+Modern_Foreign_Languages_1!J348+Modern_Foreign_Languages_1!J364+Music_1!J348+Music_1!J364+Others_1!J348+Others_1!J364+Physical_Education_1!J348+Physical_Education_1!J364+Physics_1!J348+Physics_1!J364+Religious_Education_1!J348+Religious_Education_1!J364</f>
        <v>2955.492621718201</v>
      </c>
      <c r="P562" s="705">
        <f>'Art_&amp;_Design_1'!K348+'Art_&amp;_Design_1'!K364+Biology_1!K348+Biology_1!K364+Business_Studies_1!K348+Business_Studies_1!K364+Chemistry_1!K348+Chemistry_1!K364+Classics_1!K348+Classics_1!K364+Computing_1!K348+Computing_1!K364+'Design_&amp;_Technology_1'!K348+'Design_&amp;_Technology_1'!K364+Drama_1!K348+Drama_1!K364+English_1!K348+English_1!K364+Food_1!K348+Food_1!K364+Geography_1!K348+Geography_1!K364+History_1!K348+History_1!K364+Mathematics_1!K348+Mathematics_1!K364+Modern_Foreign_Languages_1!K348+Modern_Foreign_Languages_1!K364+Music_1!K348+Music_1!K364+Others_1!K348+Others_1!K364+Physical_Education_1!K348+Physical_Education_1!K364+Physics_1!K348+Physics_1!K364+Religious_Education_1!K348+Religious_Education_1!K364</f>
        <v>2934.8764237948158</v>
      </c>
      <c r="Q562" s="705">
        <f>'Art_&amp;_Design_1'!L348+'Art_&amp;_Design_1'!L364+Biology_1!L348+Biology_1!L364+Business_Studies_1!L348+Business_Studies_1!L364+Chemistry_1!L348+Chemistry_1!L364+Classics_1!L348+Classics_1!L364+Computing_1!L348+Computing_1!L364+'Design_&amp;_Technology_1'!L348+'Design_&amp;_Technology_1'!L364+Drama_1!L348+Drama_1!L364+English_1!L348+English_1!L364+Food_1!L348+Food_1!L364+Geography_1!L348+Geography_1!L364+History_1!L348+History_1!L364+Mathematics_1!L348+Mathematics_1!L364+Modern_Foreign_Languages_1!L348+Modern_Foreign_Languages_1!L364+Music_1!L348+Music_1!L364+Others_1!L348+Others_1!L364+Physical_Education_1!L348+Physical_Education_1!L364+Physics_1!L348+Physics_1!L364+Religious_Education_1!L348+Religious_Education_1!L364</f>
        <v>2923.3093343917931</v>
      </c>
      <c r="R562" s="705">
        <f>'Art_&amp;_Design_1'!M348+'Art_&amp;_Design_1'!M364+Biology_1!M348+Biology_1!M364+Business_Studies_1!M348+Business_Studies_1!M364+Chemistry_1!M348+Chemistry_1!M364+Classics_1!M348+Classics_1!M364+Computing_1!M348+Computing_1!M364+'Design_&amp;_Technology_1'!M348+'Design_&amp;_Technology_1'!M364+Drama_1!M348+Drama_1!M364+English_1!M348+English_1!M364+Food_1!M348+Food_1!M364+Geography_1!M348+Geography_1!M364+History_1!M348+History_1!M364+Mathematics_1!M348+Mathematics_1!M364+Modern_Foreign_Languages_1!M348+Modern_Foreign_Languages_1!M364+Music_1!M348+Music_1!M364+Others_1!M348+Others_1!M364+Physical_Education_1!M348+Physical_Education_1!M364+Physics_1!M348+Physics_1!M364+Religious_Education_1!M348+Religious_Education_1!M364</f>
        <v>2916.3057311145817</v>
      </c>
      <c r="S562" s="705">
        <f>'Art_&amp;_Design_1'!N348+'Art_&amp;_Design_1'!N364+Biology_1!N348+Biology_1!N364+Business_Studies_1!N348+Business_Studies_1!N364+Chemistry_1!N348+Chemistry_1!N364+Classics_1!N348+Classics_1!N364+Computing_1!N348+Computing_1!N364+'Design_&amp;_Technology_1'!N348+'Design_&amp;_Technology_1'!N364+Drama_1!N348+Drama_1!N364+English_1!N348+English_1!N364+Food_1!N348+Food_1!N364+Geography_1!N348+Geography_1!N364+History_1!N348+History_1!N364+Mathematics_1!N348+Mathematics_1!N364+Modern_Foreign_Languages_1!N348+Modern_Foreign_Languages_1!N364+Music_1!N348+Music_1!N364+Others_1!N348+Others_1!N364+Physical_Education_1!N348+Physical_Education_1!N364+Physics_1!N348+Physics_1!N364+Religious_Education_1!N348+Religious_Education_1!N364</f>
        <v>2912.9159107369801</v>
      </c>
    </row>
    <row r="563" spans="2:20">
      <c r="H563" s="705">
        <f>'Art_&amp;_Design_1'!C349+'Art_&amp;_Design_1'!C365+Biology_1!C349+Biology_1!C365+Business_Studies_1!C349+Business_Studies_1!C365+Chemistry_1!C349+Chemistry_1!C365+Classics_1!C349+Classics_1!C365+Computing_1!C349+Computing_1!C365+'Design_&amp;_Technology_1'!C349+'Design_&amp;_Technology_1'!C365+Drama_1!C349+Drama_1!C365+English_1!C349+English_1!C365+Food_1!C349+Food_1!C365+Geography_1!C349+Geography_1!C365+History_1!C349+History_1!C365+Mathematics_1!C349+Mathematics_1!C365+Modern_Foreign_Languages_1!C349+Modern_Foreign_Languages_1!C365+Music_1!C349+Music_1!C365+Others_1!C349+Others_1!C365+Physical_Education_1!C349+Physical_Education_1!C365+Physics_1!C349+Physics_1!C365+Religious_Education_1!C349+Religious_Education_1!C365</f>
        <v>871.46627273620015</v>
      </c>
      <c r="I563" s="705">
        <f>'Art_&amp;_Design_1'!D349+'Art_&amp;_Design_1'!D365+Biology_1!D349+Biology_1!D365+Business_Studies_1!D349+Business_Studies_1!D365+Chemistry_1!D349+Chemistry_1!D365+Classics_1!D349+Classics_1!D365+Computing_1!D349+Computing_1!D365+'Design_&amp;_Technology_1'!D349+'Design_&amp;_Technology_1'!D365+Drama_1!D349+Drama_1!D365+English_1!D349+English_1!D365+Food_1!D349+Food_1!D365+Geography_1!D349+Geography_1!D365+History_1!D349+History_1!D365+Mathematics_1!D349+Mathematics_1!D365+Modern_Foreign_Languages_1!D349+Modern_Foreign_Languages_1!D365+Music_1!D349+Music_1!D365+Others_1!D349+Others_1!D365+Physical_Education_1!D349+Physical_Education_1!D365+Physics_1!D349+Physics_1!D365+Religious_Education_1!D349+Religious_Education_1!D365</f>
        <v>959.56895106456341</v>
      </c>
      <c r="J563" s="705">
        <f>'Art_&amp;_Design_1'!E349+'Art_&amp;_Design_1'!E365+Biology_1!E349+Biology_1!E365+Business_Studies_1!E349+Business_Studies_1!E365+Chemistry_1!E349+Chemistry_1!E365+Classics_1!E349+Classics_1!E365+Computing_1!E349+Computing_1!E365+'Design_&amp;_Technology_1'!E349+'Design_&amp;_Technology_1'!E365+Drama_1!E349+Drama_1!E365+English_1!E349+English_1!E365+Food_1!E349+Food_1!E365+Geography_1!E349+Geography_1!E365+History_1!E349+History_1!E365+Mathematics_1!E349+Mathematics_1!E365+Modern_Foreign_Languages_1!E349+Modern_Foreign_Languages_1!E365+Music_1!E349+Music_1!E365+Others_1!E349+Others_1!E365+Physical_Education_1!E349+Physical_Education_1!E365+Physics_1!E349+Physics_1!E365+Religious_Education_1!E349+Religious_Education_1!E365</f>
        <v>977.98660464932652</v>
      </c>
      <c r="K563" s="705">
        <f>'Art_&amp;_Design_1'!F349+'Art_&amp;_Design_1'!F365+Biology_1!F349+Biology_1!F365+Business_Studies_1!F349+Business_Studies_1!F365+Chemistry_1!F349+Chemistry_1!F365+Classics_1!F349+Classics_1!F365+Computing_1!F349+Computing_1!F365+'Design_&amp;_Technology_1'!F349+'Design_&amp;_Technology_1'!F365+Drama_1!F349+Drama_1!F365+English_1!F349+English_1!F365+Food_1!F349+Food_1!F365+Geography_1!F349+Geography_1!F365+History_1!F349+History_1!F365+Mathematics_1!F349+Mathematics_1!F365+Modern_Foreign_Languages_1!F349+Modern_Foreign_Languages_1!F365+Music_1!F349+Music_1!F365+Others_1!F349+Others_1!F365+Physical_Education_1!F349+Physical_Education_1!F365+Physics_1!F349+Physics_1!F365+Religious_Education_1!F349+Religious_Education_1!F365</f>
        <v>962.00826928376739</v>
      </c>
      <c r="L563" s="705">
        <f>'Art_&amp;_Design_1'!G349+'Art_&amp;_Design_1'!G365+Biology_1!G349+Biology_1!G365+Business_Studies_1!G349+Business_Studies_1!G365+Chemistry_1!G349+Chemistry_1!G365+Classics_1!G349+Classics_1!G365+Computing_1!G349+Computing_1!G365+'Design_&amp;_Technology_1'!G349+'Design_&amp;_Technology_1'!G365+Drama_1!G349+Drama_1!G365+English_1!G349+English_1!G365+Food_1!G349+Food_1!G365+Geography_1!G349+Geography_1!G365+History_1!G349+History_1!G365+Mathematics_1!G349+Mathematics_1!G365+Modern_Foreign_Languages_1!G349+Modern_Foreign_Languages_1!G365+Music_1!G349+Music_1!G365+Others_1!G349+Others_1!G365+Physical_Education_1!G349+Physical_Education_1!G365+Physics_1!G349+Physics_1!G365+Religious_Education_1!G349+Religious_Education_1!G365</f>
        <v>932.33800907079876</v>
      </c>
      <c r="M563" s="705">
        <f>'Art_&amp;_Design_1'!H349+'Art_&amp;_Design_1'!H365+Biology_1!H349+Biology_1!H365+Business_Studies_1!H349+Business_Studies_1!H365+Chemistry_1!H349+Chemistry_1!H365+Classics_1!H349+Classics_1!H365+Computing_1!H349+Computing_1!H365+'Design_&amp;_Technology_1'!H349+'Design_&amp;_Technology_1'!H365+Drama_1!H349+Drama_1!H365+English_1!H349+English_1!H365+Food_1!H349+Food_1!H365+Geography_1!H349+Geography_1!H365+History_1!H349+History_1!H365+Mathematics_1!H349+Mathematics_1!H365+Modern_Foreign_Languages_1!H349+Modern_Foreign_Languages_1!H365+Music_1!H349+Music_1!H365+Others_1!H349+Others_1!H365+Physical_Education_1!H349+Physical_Education_1!H365+Physics_1!H349+Physics_1!H365+Religious_Education_1!H349+Religious_Education_1!H365</f>
        <v>902.99265393943176</v>
      </c>
      <c r="N563" s="705">
        <f>'Art_&amp;_Design_1'!I349+'Art_&amp;_Design_1'!I365+Biology_1!I349+Biology_1!I365+Business_Studies_1!I349+Business_Studies_1!I365+Chemistry_1!I349+Chemistry_1!I365+Classics_1!I349+Classics_1!I365+Computing_1!I349+Computing_1!I365+'Design_&amp;_Technology_1'!I349+'Design_&amp;_Technology_1'!I365+Drama_1!I349+Drama_1!I365+English_1!I349+English_1!I365+Food_1!I349+Food_1!I365+Geography_1!I349+Geography_1!I365+History_1!I349+History_1!I365+Mathematics_1!I349+Mathematics_1!I365+Modern_Foreign_Languages_1!I349+Modern_Foreign_Languages_1!I365+Music_1!I349+Music_1!I365+Others_1!I349+Others_1!I365+Physical_Education_1!I349+Physical_Education_1!I365+Physics_1!I349+Physics_1!I365+Religious_Education_1!I349+Religious_Education_1!I365</f>
        <v>880.18333924982676</v>
      </c>
      <c r="O563" s="705">
        <f>'Art_&amp;_Design_1'!J349+'Art_&amp;_Design_1'!J365+Biology_1!J349+Biology_1!J365+Business_Studies_1!J349+Business_Studies_1!J365+Chemistry_1!J349+Chemistry_1!J365+Classics_1!J349+Classics_1!J365+Computing_1!J349+Computing_1!J365+'Design_&amp;_Technology_1'!J349+'Design_&amp;_Technology_1'!J365+Drama_1!J349+Drama_1!J365+English_1!J349+English_1!J365+Food_1!J349+Food_1!J365+Geography_1!J349+Geography_1!J365+History_1!J349+History_1!J365+Mathematics_1!J349+Mathematics_1!J365+Modern_Foreign_Languages_1!J349+Modern_Foreign_Languages_1!J365+Music_1!J349+Music_1!J365+Others_1!J349+Others_1!J365+Physical_Education_1!J349+Physical_Education_1!J365+Physics_1!J349+Physics_1!J365+Religious_Education_1!J349+Religious_Education_1!J365</f>
        <v>863.34687743351583</v>
      </c>
      <c r="P563" s="705">
        <f>'Art_&amp;_Design_1'!K349+'Art_&amp;_Design_1'!K365+Biology_1!K349+Biology_1!K365+Business_Studies_1!K349+Business_Studies_1!K365+Chemistry_1!K349+Chemistry_1!K365+Classics_1!K349+Classics_1!K365+Computing_1!K349+Computing_1!K365+'Design_&amp;_Technology_1'!K349+'Design_&amp;_Technology_1'!K365+Drama_1!K349+Drama_1!K365+English_1!K349+English_1!K365+Food_1!K349+Food_1!K365+Geography_1!K349+Geography_1!K365+History_1!K349+History_1!K365+Mathematics_1!K349+Mathematics_1!K365+Modern_Foreign_Languages_1!K349+Modern_Foreign_Languages_1!K365+Music_1!K349+Music_1!K365+Others_1!K349+Others_1!K365+Physical_Education_1!K349+Physical_Education_1!K365+Physics_1!K349+Physics_1!K365+Religious_Education_1!K349+Religious_Education_1!K365</f>
        <v>848.45044359741985</v>
      </c>
      <c r="Q563" s="705">
        <f>'Art_&amp;_Design_1'!L349+'Art_&amp;_Design_1'!L365+Biology_1!L349+Biology_1!L365+Business_Studies_1!L349+Business_Studies_1!L365+Chemistry_1!L349+Chemistry_1!L365+Classics_1!L349+Classics_1!L365+Computing_1!L349+Computing_1!L365+'Design_&amp;_Technology_1'!L349+'Design_&amp;_Technology_1'!L365+Drama_1!L349+Drama_1!L365+English_1!L349+English_1!L365+Food_1!L349+Food_1!L365+Geography_1!L349+Geography_1!L365+History_1!L349+History_1!L365+Mathematics_1!L349+Mathematics_1!L365+Modern_Foreign_Languages_1!L349+Modern_Foreign_Languages_1!L365+Music_1!L349+Music_1!L365+Others_1!L349+Others_1!L365+Physical_Education_1!L349+Physical_Education_1!L365+Physics_1!L349+Physics_1!L365+Religious_Education_1!L349+Religious_Education_1!L365</f>
        <v>837.17360516299595</v>
      </c>
      <c r="R563" s="705">
        <f>'Art_&amp;_Design_1'!M349+'Art_&amp;_Design_1'!M365+Biology_1!M349+Biology_1!M365+Business_Studies_1!M349+Business_Studies_1!M365+Chemistry_1!M349+Chemistry_1!M365+Classics_1!M349+Classics_1!M365+Computing_1!M349+Computing_1!M365+'Design_&amp;_Technology_1'!M349+'Design_&amp;_Technology_1'!M365+Drama_1!M349+Drama_1!M365+English_1!M349+English_1!M365+Food_1!M349+Food_1!M365+Geography_1!M349+Geography_1!M365+History_1!M349+History_1!M365+Mathematics_1!M349+Mathematics_1!M365+Modern_Foreign_Languages_1!M349+Modern_Foreign_Languages_1!M365+Music_1!M349+Music_1!M365+Others_1!M349+Others_1!M365+Physical_Education_1!M349+Physical_Education_1!M365+Physics_1!M349+Physics_1!M365+Religious_Education_1!M349+Religious_Education_1!M365</f>
        <v>828.70449528589722</v>
      </c>
      <c r="S563" s="705">
        <f>'Art_&amp;_Design_1'!N349+'Art_&amp;_Design_1'!N365+Biology_1!N349+Biology_1!N365+Business_Studies_1!N349+Business_Studies_1!N365+Chemistry_1!N349+Chemistry_1!N365+Classics_1!N349+Classics_1!N365+Computing_1!N349+Computing_1!N365+'Design_&amp;_Technology_1'!N349+'Design_&amp;_Technology_1'!N365+Drama_1!N349+Drama_1!N365+English_1!N349+English_1!N365+Food_1!N349+Food_1!N365+Geography_1!N349+Geography_1!N365+History_1!N349+History_1!N365+Mathematics_1!N349+Mathematics_1!N365+Modern_Foreign_Languages_1!N349+Modern_Foreign_Languages_1!N365+Music_1!N349+Music_1!N365+Others_1!N349+Others_1!N365+Physical_Education_1!N349+Physical_Education_1!N365+Physics_1!N349+Physics_1!N365+Religious_Education_1!N349+Religious_Education_1!N365</f>
        <v>822.67022187689258</v>
      </c>
    </row>
    <row r="564" spans="2:20">
      <c r="H564" s="705">
        <f t="shared" ref="H564:S564" si="46">SUM(H554:H563)-H58</f>
        <v>1862.9377436208306</v>
      </c>
      <c r="I564" s="705">
        <f t="shared" si="46"/>
        <v>1472.2299196452659</v>
      </c>
      <c r="J564" s="705">
        <f t="shared" si="46"/>
        <v>2217.3499729300092</v>
      </c>
      <c r="K564" s="705">
        <f t="shared" si="46"/>
        <v>2447.4172970356303</v>
      </c>
      <c r="L564" s="705">
        <f t="shared" si="46"/>
        <v>1970.2137420204526</v>
      </c>
      <c r="M564" s="705">
        <f t="shared" si="46"/>
        <v>1929.4272774778947</v>
      </c>
      <c r="N564" s="705">
        <f t="shared" si="46"/>
        <v>2102.4535620058596</v>
      </c>
      <c r="O564" s="705">
        <f t="shared" si="46"/>
        <v>1798.0655245363305</v>
      </c>
      <c r="P564" s="705">
        <f t="shared" si="46"/>
        <v>655.3875595445279</v>
      </c>
      <c r="Q564" s="705">
        <f t="shared" si="46"/>
        <v>255.59198031789856</v>
      </c>
      <c r="R564" s="705">
        <f t="shared" si="46"/>
        <v>-113.54030563562992</v>
      </c>
      <c r="S564" s="705">
        <f t="shared" si="46"/>
        <v>-322.76647617694107</v>
      </c>
    </row>
    <row r="565" spans="2:20">
      <c r="B565" s="341" t="s">
        <v>1085</v>
      </c>
    </row>
    <row r="567" spans="2:20">
      <c r="B567" s="326"/>
      <c r="C567" s="326" t="str">
        <f>C24</f>
        <v>2010/11</v>
      </c>
      <c r="D567" s="326" t="str">
        <f t="shared" ref="D567:T567" si="47">D24</f>
        <v>2011/12</v>
      </c>
      <c r="E567" s="326" t="str">
        <f t="shared" si="47"/>
        <v>2012/13</v>
      </c>
      <c r="F567" s="326" t="str">
        <f t="shared" si="47"/>
        <v>2013/14</v>
      </c>
      <c r="G567" s="326" t="str">
        <f t="shared" si="47"/>
        <v>2014/15</v>
      </c>
      <c r="H567" s="326" t="str">
        <f t="shared" si="47"/>
        <v>2015/16</v>
      </c>
      <c r="I567" s="326" t="str">
        <f t="shared" si="47"/>
        <v>2016/17</v>
      </c>
      <c r="J567" s="326" t="str">
        <f t="shared" si="47"/>
        <v>2017/18</v>
      </c>
      <c r="K567" s="326" t="str">
        <f t="shared" si="47"/>
        <v>2018/19</v>
      </c>
      <c r="L567" s="326" t="str">
        <f t="shared" si="47"/>
        <v>2019/20</v>
      </c>
      <c r="M567" s="326" t="str">
        <f t="shared" si="47"/>
        <v>2020/21</v>
      </c>
      <c r="N567" s="326" t="str">
        <f t="shared" si="47"/>
        <v>2021/22</v>
      </c>
      <c r="O567" s="326" t="str">
        <f t="shared" si="47"/>
        <v>2022/23</v>
      </c>
      <c r="P567" s="326" t="str">
        <f t="shared" si="47"/>
        <v>2023/24</v>
      </c>
      <c r="Q567" s="326" t="str">
        <f t="shared" si="47"/>
        <v>2024/25</v>
      </c>
      <c r="R567" s="326" t="str">
        <f t="shared" si="47"/>
        <v>2025/26</v>
      </c>
      <c r="S567" s="326" t="str">
        <f t="shared" si="47"/>
        <v>2026/27</v>
      </c>
      <c r="T567" s="326" t="str">
        <f t="shared" si="47"/>
        <v>2027/28</v>
      </c>
    </row>
    <row r="568" spans="2:20">
      <c r="B568" s="326" t="s">
        <v>1185</v>
      </c>
      <c r="C568" s="415">
        <f t="shared" ref="C568:H572" si="48">C509/SUM(C$509:C$513)</f>
        <v>0.21867590590106281</v>
      </c>
      <c r="D568" s="415">
        <f t="shared" si="48"/>
        <v>0.21921372717356219</v>
      </c>
      <c r="E568" s="415">
        <f t="shared" si="48"/>
        <v>0.22759771583850477</v>
      </c>
      <c r="F568" s="415">
        <f t="shared" si="48"/>
        <v>0.23764973859044894</v>
      </c>
      <c r="G568" s="415">
        <f t="shared" si="48"/>
        <v>0.2459966343592481</v>
      </c>
      <c r="H568" s="415">
        <f t="shared" si="48"/>
        <v>0.25319109323536421</v>
      </c>
      <c r="I568" s="415"/>
      <c r="J568" s="415"/>
      <c r="K568" s="415"/>
      <c r="L568" s="415"/>
      <c r="M568" s="415"/>
      <c r="N568" s="415"/>
      <c r="O568" s="415"/>
      <c r="P568" s="415"/>
      <c r="Q568" s="415"/>
      <c r="R568" s="415"/>
      <c r="S568" s="415"/>
      <c r="T568" s="415"/>
    </row>
    <row r="569" spans="2:20">
      <c r="B569" s="326" t="s">
        <v>1186</v>
      </c>
      <c r="C569" s="415">
        <f t="shared" si="48"/>
        <v>0.30665127224159439</v>
      </c>
      <c r="D569" s="415">
        <f t="shared" si="48"/>
        <v>0.31219408827023437</v>
      </c>
      <c r="E569" s="415">
        <f t="shared" si="48"/>
        <v>0.31400093960848691</v>
      </c>
      <c r="F569" s="415">
        <f t="shared" si="48"/>
        <v>0.31259933534079948</v>
      </c>
      <c r="G569" s="415">
        <f t="shared" si="48"/>
        <v>0.31248187599163169</v>
      </c>
      <c r="H569" s="415">
        <f>H510/SUM(H$509:H$513)</f>
        <v>0.31224524012604521</v>
      </c>
      <c r="I569" s="415"/>
      <c r="J569" s="415"/>
      <c r="K569" s="415"/>
      <c r="L569" s="415"/>
      <c r="M569" s="415"/>
      <c r="N569" s="415"/>
      <c r="O569" s="415"/>
      <c r="P569" s="415"/>
      <c r="Q569" s="415"/>
      <c r="R569" s="415"/>
      <c r="S569" s="415"/>
      <c r="T569" s="415"/>
    </row>
    <row r="570" spans="2:20">
      <c r="B570" s="326" t="s">
        <v>1187</v>
      </c>
      <c r="C570" s="415">
        <f t="shared" si="48"/>
        <v>0.23643567504470556</v>
      </c>
      <c r="D570" s="415">
        <f t="shared" si="48"/>
        <v>0.24410626105701383</v>
      </c>
      <c r="E570" s="415">
        <f t="shared" si="48"/>
        <v>0.24958868383727825</v>
      </c>
      <c r="F570" s="415">
        <f t="shared" si="48"/>
        <v>0.25352647200184281</v>
      </c>
      <c r="G570" s="415">
        <f t="shared" si="48"/>
        <v>0.25610957032807619</v>
      </c>
      <c r="H570" s="415">
        <f>H511/SUM(H$509:H$513)</f>
        <v>0.25563793921080263</v>
      </c>
      <c r="I570" s="415"/>
      <c r="J570" s="415"/>
      <c r="K570" s="415"/>
      <c r="L570" s="415"/>
      <c r="M570" s="415"/>
      <c r="N570" s="415"/>
      <c r="O570" s="415"/>
      <c r="P570" s="415"/>
      <c r="Q570" s="415"/>
      <c r="R570" s="415"/>
      <c r="S570" s="415"/>
      <c r="T570" s="415"/>
    </row>
    <row r="571" spans="2:20">
      <c r="B571" s="326" t="s">
        <v>1188</v>
      </c>
      <c r="C571" s="415">
        <f t="shared" si="48"/>
        <v>0.21068222470521852</v>
      </c>
      <c r="D571" s="415">
        <f t="shared" si="48"/>
        <v>0.19637144585124597</v>
      </c>
      <c r="E571" s="415">
        <f t="shared" si="48"/>
        <v>0.17994608107312571</v>
      </c>
      <c r="F571" s="415">
        <f t="shared" si="48"/>
        <v>0.16799082685398292</v>
      </c>
      <c r="G571" s="415">
        <f t="shared" si="48"/>
        <v>0.15805119482158142</v>
      </c>
      <c r="H571" s="415">
        <f>H512/SUM(H$509:H$513)</f>
        <v>0.15321958026874791</v>
      </c>
      <c r="I571" s="415"/>
      <c r="J571" s="415"/>
      <c r="K571" s="415"/>
      <c r="L571" s="415"/>
      <c r="M571" s="415"/>
      <c r="N571" s="415"/>
      <c r="O571" s="415"/>
      <c r="P571" s="415"/>
      <c r="Q571" s="415"/>
      <c r="R571" s="415"/>
      <c r="S571" s="415"/>
      <c r="T571" s="415"/>
    </row>
    <row r="572" spans="2:20">
      <c r="B572" s="326" t="s">
        <v>1189</v>
      </c>
      <c r="C572" s="415">
        <f t="shared" si="48"/>
        <v>2.7554922107418747E-2</v>
      </c>
      <c r="D572" s="415">
        <f t="shared" si="48"/>
        <v>2.8114477647943739E-2</v>
      </c>
      <c r="E572" s="415">
        <f t="shared" si="48"/>
        <v>2.8866579642604365E-2</v>
      </c>
      <c r="F572" s="415">
        <f t="shared" si="48"/>
        <v>2.8233627212925848E-2</v>
      </c>
      <c r="G572" s="415">
        <f t="shared" si="48"/>
        <v>2.7360724499462613E-2</v>
      </c>
      <c r="H572" s="415">
        <f>H513/SUM(H$509:H$513)</f>
        <v>2.5706147159040207E-2</v>
      </c>
      <c r="I572" s="415"/>
      <c r="J572" s="415"/>
      <c r="K572" s="415"/>
      <c r="L572" s="415"/>
      <c r="M572" s="415"/>
      <c r="N572" s="415"/>
      <c r="O572" s="415"/>
      <c r="P572" s="415"/>
      <c r="Q572" s="415"/>
      <c r="R572" s="415"/>
      <c r="S572" s="415"/>
      <c r="T572" s="415"/>
    </row>
    <row r="573" spans="2:20">
      <c r="B573" s="326" t="s">
        <v>1190</v>
      </c>
      <c r="C573" s="415"/>
      <c r="D573" s="415"/>
      <c r="E573" s="415"/>
      <c r="F573" s="415"/>
      <c r="G573" s="415"/>
      <c r="H573" s="415">
        <f>H568</f>
        <v>0.25319109323536421</v>
      </c>
      <c r="I573" s="415">
        <f>I514/SUM(I$514:I$518)</f>
        <v>0.25857832024347177</v>
      </c>
      <c r="J573" s="415">
        <f t="shared" ref="J573:T573" si="49">J514/SUM(J$514:J$518)</f>
        <v>0.26262148666894675</v>
      </c>
      <c r="K573" s="415">
        <f t="shared" si="49"/>
        <v>0.2656330116507884</v>
      </c>
      <c r="L573" s="415">
        <f t="shared" si="49"/>
        <v>0.26768579665078007</v>
      </c>
      <c r="M573" s="415">
        <f t="shared" si="49"/>
        <v>0.26978999885357241</v>
      </c>
      <c r="N573" s="415">
        <f t="shared" si="49"/>
        <v>0.27135601046181851</v>
      </c>
      <c r="O573" s="415">
        <f t="shared" si="49"/>
        <v>0.2723003725939801</v>
      </c>
      <c r="P573" s="415">
        <f t="shared" si="49"/>
        <v>0.27284164075151618</v>
      </c>
      <c r="Q573" s="415">
        <f t="shared" si="49"/>
        <v>0.27399929376536292</v>
      </c>
      <c r="R573" s="415">
        <f t="shared" si="49"/>
        <v>0.27547930720425395</v>
      </c>
      <c r="S573" s="415">
        <f t="shared" si="49"/>
        <v>0.27676786632144135</v>
      </c>
      <c r="T573" s="415">
        <f t="shared" si="49"/>
        <v>0.27761116806296954</v>
      </c>
    </row>
    <row r="574" spans="2:20">
      <c r="B574" s="326" t="s">
        <v>1191</v>
      </c>
      <c r="C574" s="415"/>
      <c r="D574" s="415"/>
      <c r="E574" s="415"/>
      <c r="F574" s="415"/>
      <c r="G574" s="415"/>
      <c r="H574" s="415">
        <f>H569</f>
        <v>0.31224524012604521</v>
      </c>
      <c r="I574" s="415">
        <f>I515/SUM(I$514:I$518)</f>
        <v>0.31258166780849472</v>
      </c>
      <c r="J574" s="415">
        <f t="shared" ref="J574:T574" si="50">J515/SUM(J$514:J$518)</f>
        <v>0.31169329920824745</v>
      </c>
      <c r="K574" s="415">
        <f t="shared" si="50"/>
        <v>0.3101810490157566</v>
      </c>
      <c r="L574" s="415">
        <f t="shared" si="50"/>
        <v>0.30850143269569669</v>
      </c>
      <c r="M574" s="415">
        <f t="shared" si="50"/>
        <v>0.30659857083182512</v>
      </c>
      <c r="N574" s="415">
        <f t="shared" si="50"/>
        <v>0.30491297880283597</v>
      </c>
      <c r="O574" s="415">
        <f t="shared" si="50"/>
        <v>0.30357803260793115</v>
      </c>
      <c r="P574" s="415">
        <f t="shared" si="50"/>
        <v>0.30254820886763029</v>
      </c>
      <c r="Q574" s="415">
        <f t="shared" si="50"/>
        <v>0.3014744348560503</v>
      </c>
      <c r="R574" s="415">
        <f t="shared" si="50"/>
        <v>0.30049599841417812</v>
      </c>
      <c r="S574" s="415">
        <f t="shared" si="50"/>
        <v>0.29979904174303895</v>
      </c>
      <c r="T574" s="415">
        <f t="shared" si="50"/>
        <v>0.29944116229364504</v>
      </c>
    </row>
    <row r="575" spans="2:20">
      <c r="B575" s="326" t="s">
        <v>1192</v>
      </c>
      <c r="C575" s="415"/>
      <c r="D575" s="415"/>
      <c r="E575" s="415"/>
      <c r="F575" s="415"/>
      <c r="G575" s="415"/>
      <c r="H575" s="415">
        <f>H570</f>
        <v>0.25563793921080263</v>
      </c>
      <c r="I575" s="415">
        <f>I516/SUM(I$514:I$518)</f>
        <v>0.25708811617005289</v>
      </c>
      <c r="J575" s="415">
        <f t="shared" ref="J575:T575" si="51">J516/SUM(J$514:J$518)</f>
        <v>0.25868887852807548</v>
      </c>
      <c r="K575" s="415">
        <f t="shared" si="51"/>
        <v>0.26025259978572929</v>
      </c>
      <c r="L575" s="415">
        <f t="shared" si="51"/>
        <v>0.26170648141086067</v>
      </c>
      <c r="M575" s="415">
        <f t="shared" si="51"/>
        <v>0.26267552910445185</v>
      </c>
      <c r="N575" s="415">
        <f t="shared" si="51"/>
        <v>0.26338428400455288</v>
      </c>
      <c r="O575" s="415">
        <f t="shared" si="51"/>
        <v>0.26391780642684159</v>
      </c>
      <c r="P575" s="415">
        <f t="shared" si="51"/>
        <v>0.26426875416057044</v>
      </c>
      <c r="Q575" s="415">
        <f t="shared" si="51"/>
        <v>0.26412378156302346</v>
      </c>
      <c r="R575" s="415">
        <f t="shared" si="51"/>
        <v>0.26364031048350461</v>
      </c>
      <c r="S575" s="415">
        <f t="shared" si="51"/>
        <v>0.26305833502362658</v>
      </c>
      <c r="T575" s="415">
        <f t="shared" si="51"/>
        <v>0.26252505446336805</v>
      </c>
    </row>
    <row r="576" spans="2:20">
      <c r="B576" s="326" t="s">
        <v>1193</v>
      </c>
      <c r="C576" s="415"/>
      <c r="D576" s="415"/>
      <c r="E576" s="415"/>
      <c r="F576" s="415"/>
      <c r="G576" s="415"/>
      <c r="H576" s="415">
        <f>H571</f>
        <v>0.15321958026874791</v>
      </c>
      <c r="I576" s="415">
        <f>I517/SUM(I$514:I$518)</f>
        <v>0.14551230272068094</v>
      </c>
      <c r="J576" s="415">
        <f t="shared" ref="J576:T576" si="52">J517/SUM(J$514:J$518)</f>
        <v>0.14111203399232081</v>
      </c>
      <c r="K576" s="415">
        <f t="shared" si="52"/>
        <v>0.13873602748201933</v>
      </c>
      <c r="L576" s="415">
        <f t="shared" si="52"/>
        <v>0.13764524600162284</v>
      </c>
      <c r="M576" s="415">
        <f t="shared" si="52"/>
        <v>0.13715719022617287</v>
      </c>
      <c r="N576" s="415">
        <f t="shared" si="52"/>
        <v>0.13712764558626547</v>
      </c>
      <c r="O576" s="415">
        <f t="shared" si="52"/>
        <v>0.13740980743370412</v>
      </c>
      <c r="P576" s="415">
        <f t="shared" si="52"/>
        <v>0.13785301988326706</v>
      </c>
      <c r="Q576" s="415">
        <f t="shared" si="52"/>
        <v>0.13814245497052707</v>
      </c>
      <c r="R576" s="415">
        <f t="shared" si="52"/>
        <v>0.13829014820554095</v>
      </c>
      <c r="S576" s="415">
        <f t="shared" si="52"/>
        <v>0.13839203773215442</v>
      </c>
      <c r="T576" s="415">
        <f t="shared" si="52"/>
        <v>0.13850682141545131</v>
      </c>
    </row>
    <row r="577" spans="2:20">
      <c r="B577" s="326" t="s">
        <v>1194</v>
      </c>
      <c r="C577" s="415"/>
      <c r="D577" s="415"/>
      <c r="E577" s="415"/>
      <c r="F577" s="415"/>
      <c r="G577" s="415"/>
      <c r="H577" s="415">
        <f>H572</f>
        <v>2.5706147159040207E-2</v>
      </c>
      <c r="I577" s="415">
        <f>I518/SUM(I$514:I$518)</f>
        <v>2.6239593057299601E-2</v>
      </c>
      <c r="J577" s="415">
        <f t="shared" ref="J577:T577" si="53">J518/SUM(J$514:J$518)</f>
        <v>2.5884301602409419E-2</v>
      </c>
      <c r="K577" s="415">
        <f t="shared" si="53"/>
        <v>2.5197312065706426E-2</v>
      </c>
      <c r="L577" s="415">
        <f t="shared" si="53"/>
        <v>2.4461043241039798E-2</v>
      </c>
      <c r="M577" s="415">
        <f t="shared" si="53"/>
        <v>2.3778710983977623E-2</v>
      </c>
      <c r="N577" s="415">
        <f t="shared" si="53"/>
        <v>2.3219081144527094E-2</v>
      </c>
      <c r="O577" s="415">
        <f t="shared" si="53"/>
        <v>2.2793980937543121E-2</v>
      </c>
      <c r="P577" s="415">
        <f t="shared" si="53"/>
        <v>2.24883763370161E-2</v>
      </c>
      <c r="Q577" s="415">
        <f t="shared" si="53"/>
        <v>2.226003484503624E-2</v>
      </c>
      <c r="R577" s="415">
        <f t="shared" si="53"/>
        <v>2.2094235692522335E-2</v>
      </c>
      <c r="S577" s="415">
        <f t="shared" si="53"/>
        <v>2.1982719179738673E-2</v>
      </c>
      <c r="T577" s="415">
        <f t="shared" si="53"/>
        <v>2.1915793764566018E-2</v>
      </c>
    </row>
    <row r="578" spans="2:20">
      <c r="B578" s="326" t="s">
        <v>1195</v>
      </c>
      <c r="C578" s="415">
        <f t="shared" ref="C578:G582" si="54">C519/SUM(C$519:C$523)</f>
        <v>0.21731820623784204</v>
      </c>
      <c r="D578" s="415">
        <f t="shared" si="54"/>
        <v>0.22207571541814386</v>
      </c>
      <c r="E578" s="415">
        <f t="shared" si="54"/>
        <v>0.22184078589317496</v>
      </c>
      <c r="F578" s="415">
        <f t="shared" si="54"/>
        <v>0.21774660631290518</v>
      </c>
      <c r="G578" s="415">
        <f t="shared" si="54"/>
        <v>0.21421036912415009</v>
      </c>
      <c r="H578" s="415">
        <f>H519/SUM(H$519:H$523)</f>
        <v>0.21159999065525106</v>
      </c>
      <c r="I578" s="415"/>
      <c r="J578" s="415"/>
      <c r="K578" s="415"/>
      <c r="L578" s="415"/>
      <c r="M578" s="415"/>
      <c r="N578" s="415"/>
      <c r="O578" s="415"/>
      <c r="P578" s="415"/>
      <c r="Q578" s="415"/>
      <c r="R578" s="415"/>
      <c r="S578" s="415"/>
      <c r="T578" s="415"/>
    </row>
    <row r="579" spans="2:20">
      <c r="B579" s="326" t="s">
        <v>1196</v>
      </c>
      <c r="C579" s="415">
        <f t="shared" si="54"/>
        <v>0.31882136228992897</v>
      </c>
      <c r="D579" s="415">
        <f t="shared" si="54"/>
        <v>0.32808460428570108</v>
      </c>
      <c r="E579" s="415">
        <f t="shared" si="54"/>
        <v>0.3340408767789993</v>
      </c>
      <c r="F579" s="415">
        <f t="shared" ref="F579:G582" si="55">F520/SUM(F$519:F$523)</f>
        <v>0.33992712782239365</v>
      </c>
      <c r="G579" s="415">
        <f t="shared" si="55"/>
        <v>0.34495486404889336</v>
      </c>
      <c r="H579" s="415">
        <f>H520/SUM(H$519:H$523)</f>
        <v>0.34654633372506671</v>
      </c>
      <c r="I579" s="415"/>
      <c r="J579" s="415"/>
      <c r="K579" s="415"/>
      <c r="L579" s="415"/>
      <c r="M579" s="415"/>
      <c r="N579" s="415"/>
      <c r="O579" s="415"/>
      <c r="P579" s="415"/>
      <c r="Q579" s="415"/>
      <c r="R579" s="415"/>
      <c r="S579" s="415"/>
      <c r="T579" s="415"/>
    </row>
    <row r="580" spans="2:20">
      <c r="B580" s="326" t="s">
        <v>1197</v>
      </c>
      <c r="C580" s="415">
        <f t="shared" si="54"/>
        <v>0.22333299870692064</v>
      </c>
      <c r="D580" s="415">
        <f t="shared" si="54"/>
        <v>0.23457348891717492</v>
      </c>
      <c r="E580" s="415">
        <f t="shared" si="54"/>
        <v>0.24082373279125738</v>
      </c>
      <c r="F580" s="415">
        <f t="shared" si="55"/>
        <v>0.24747354457688497</v>
      </c>
      <c r="G580" s="415">
        <f t="shared" si="55"/>
        <v>0.25336950465459246</v>
      </c>
      <c r="H580" s="415">
        <f>H521/SUM(H$519:H$523)</f>
        <v>0.25943699959522948</v>
      </c>
      <c r="I580" s="415"/>
      <c r="J580" s="415"/>
      <c r="K580" s="415"/>
      <c r="L580" s="415"/>
      <c r="M580" s="415"/>
      <c r="N580" s="415"/>
      <c r="O580" s="415"/>
      <c r="P580" s="415"/>
      <c r="Q580" s="415"/>
      <c r="R580" s="415"/>
      <c r="S580" s="415"/>
      <c r="T580" s="415"/>
    </row>
    <row r="581" spans="2:20">
      <c r="B581" s="326" t="s">
        <v>1198</v>
      </c>
      <c r="C581" s="415">
        <f t="shared" si="54"/>
        <v>0.21241934134627663</v>
      </c>
      <c r="D581" s="415">
        <f t="shared" si="54"/>
        <v>0.19135211671241767</v>
      </c>
      <c r="E581" s="415">
        <f t="shared" si="54"/>
        <v>0.17947479207340922</v>
      </c>
      <c r="F581" s="415">
        <f t="shared" si="55"/>
        <v>0.17116382798843774</v>
      </c>
      <c r="G581" s="415">
        <f t="shared" si="55"/>
        <v>0.16414884114488767</v>
      </c>
      <c r="H581" s="415">
        <f>H522/SUM(H$519:H$523)</f>
        <v>0.1599274028539526</v>
      </c>
      <c r="I581" s="415"/>
      <c r="J581" s="415"/>
      <c r="K581" s="415"/>
      <c r="L581" s="415"/>
      <c r="M581" s="415"/>
      <c r="N581" s="415"/>
      <c r="O581" s="415"/>
      <c r="P581" s="415"/>
      <c r="Q581" s="415"/>
      <c r="R581" s="415"/>
      <c r="S581" s="415"/>
      <c r="T581" s="415"/>
    </row>
    <row r="582" spans="2:20">
      <c r="B582" s="326" t="s">
        <v>1199</v>
      </c>
      <c r="C582" s="415">
        <f t="shared" si="54"/>
        <v>2.8108091419031731E-2</v>
      </c>
      <c r="D582" s="415">
        <f t="shared" si="54"/>
        <v>2.3914074666562295E-2</v>
      </c>
      <c r="E582" s="415">
        <f t="shared" si="54"/>
        <v>2.3819812463159101E-2</v>
      </c>
      <c r="F582" s="415">
        <f t="shared" si="55"/>
        <v>2.3688893299378358E-2</v>
      </c>
      <c r="G582" s="415">
        <f t="shared" si="55"/>
        <v>2.3316421027476424E-2</v>
      </c>
      <c r="H582" s="415">
        <f>H523/SUM(H$519:H$523)</f>
        <v>2.248927317050024E-2</v>
      </c>
      <c r="I582" s="415"/>
      <c r="J582" s="415"/>
      <c r="K582" s="415"/>
      <c r="L582" s="415"/>
      <c r="M582" s="415"/>
      <c r="N582" s="415"/>
      <c r="O582" s="415"/>
      <c r="P582" s="415"/>
      <c r="Q582" s="415"/>
      <c r="R582" s="415"/>
      <c r="S582" s="415"/>
      <c r="T582" s="415"/>
    </row>
    <row r="583" spans="2:20">
      <c r="B583" s="326" t="s">
        <v>1200</v>
      </c>
      <c r="C583" s="415"/>
      <c r="D583" s="415"/>
      <c r="E583" s="415"/>
      <c r="F583" s="415"/>
      <c r="G583" s="415"/>
      <c r="H583" s="415">
        <f>H578</f>
        <v>0.21159999065525106</v>
      </c>
      <c r="I583" s="415">
        <f t="shared" ref="I583:T583" si="56">I524/SUM(I$524:I$528)</f>
        <v>0.22111885032705536</v>
      </c>
      <c r="J583" s="415">
        <f t="shared" si="56"/>
        <v>0.22931766804600731</v>
      </c>
      <c r="K583" s="415">
        <f t="shared" si="56"/>
        <v>0.23731631795909328</v>
      </c>
      <c r="L583" s="415">
        <f t="shared" si="56"/>
        <v>0.24410845226844485</v>
      </c>
      <c r="M583" s="415">
        <f t="shared" si="56"/>
        <v>0.24888918374085994</v>
      </c>
      <c r="N583" s="415">
        <f t="shared" si="56"/>
        <v>0.25255679729850428</v>
      </c>
      <c r="O583" s="415">
        <f t="shared" si="56"/>
        <v>0.25558885706239892</v>
      </c>
      <c r="P583" s="415">
        <f t="shared" si="56"/>
        <v>0.25756150980458881</v>
      </c>
      <c r="Q583" s="415">
        <f t="shared" si="56"/>
        <v>0.25772926238414329</v>
      </c>
      <c r="R583" s="415">
        <f t="shared" si="56"/>
        <v>0.25731850852715255</v>
      </c>
      <c r="S583" s="415">
        <f t="shared" si="56"/>
        <v>0.25650527779112015</v>
      </c>
      <c r="T583" s="415">
        <f t="shared" si="56"/>
        <v>0.25557601428892579</v>
      </c>
    </row>
    <row r="584" spans="2:20">
      <c r="B584" s="326" t="s">
        <v>1201</v>
      </c>
      <c r="C584" s="415"/>
      <c r="D584" s="415"/>
      <c r="E584" s="415"/>
      <c r="F584" s="415"/>
      <c r="G584" s="415"/>
      <c r="H584" s="415">
        <f>H579</f>
        <v>0.34654633372506671</v>
      </c>
      <c r="I584" s="415">
        <f t="shared" ref="I584:T584" si="57">I525/SUM(I$524:I$528)</f>
        <v>0.34301211932255876</v>
      </c>
      <c r="J584" s="415">
        <f t="shared" si="57"/>
        <v>0.33841843256405518</v>
      </c>
      <c r="K584" s="415">
        <f t="shared" si="57"/>
        <v>0.33322666554920166</v>
      </c>
      <c r="L584" s="415">
        <f t="shared" si="57"/>
        <v>0.3284920356906128</v>
      </c>
      <c r="M584" s="415">
        <f t="shared" si="57"/>
        <v>0.32485002182127287</v>
      </c>
      <c r="N584" s="415">
        <f t="shared" si="57"/>
        <v>0.32206205186082543</v>
      </c>
      <c r="O584" s="415">
        <f t="shared" si="57"/>
        <v>0.31998158847903158</v>
      </c>
      <c r="P584" s="415">
        <f t="shared" si="57"/>
        <v>0.31872876589198151</v>
      </c>
      <c r="Q584" s="415">
        <f t="shared" si="57"/>
        <v>0.31844817427830302</v>
      </c>
      <c r="R584" s="415">
        <f t="shared" si="57"/>
        <v>0.31852642356193611</v>
      </c>
      <c r="S584" s="415">
        <f t="shared" si="57"/>
        <v>0.31881037667512202</v>
      </c>
      <c r="T584" s="415">
        <f t="shared" si="57"/>
        <v>0.31913309331108869</v>
      </c>
    </row>
    <row r="585" spans="2:20">
      <c r="B585" s="326" t="s">
        <v>1202</v>
      </c>
      <c r="C585" s="415"/>
      <c r="D585" s="415"/>
      <c r="E585" s="415"/>
      <c r="F585" s="415"/>
      <c r="G585" s="415"/>
      <c r="H585" s="415">
        <f>H580</f>
        <v>0.25943699959522948</v>
      </c>
      <c r="I585" s="415">
        <f t="shared" ref="I585:T585" si="58">I526/SUM(I$524:I$528)</f>
        <v>0.26398635853257529</v>
      </c>
      <c r="J585" s="415">
        <f t="shared" si="58"/>
        <v>0.26764489817182502</v>
      </c>
      <c r="K585" s="415">
        <f t="shared" si="58"/>
        <v>0.2698436068261425</v>
      </c>
      <c r="L585" s="415">
        <f t="shared" si="58"/>
        <v>0.27100703330330528</v>
      </c>
      <c r="M585" s="415">
        <f t="shared" si="58"/>
        <v>0.27167831774518675</v>
      </c>
      <c r="N585" s="415">
        <f t="shared" si="58"/>
        <v>0.27174353843378019</v>
      </c>
      <c r="O585" s="415">
        <f t="shared" si="58"/>
        <v>0.27124565563345504</v>
      </c>
      <c r="P585" s="415">
        <f t="shared" si="58"/>
        <v>0.27060747441450267</v>
      </c>
      <c r="Q585" s="415">
        <f t="shared" si="58"/>
        <v>0.27039033638539345</v>
      </c>
      <c r="R585" s="415">
        <f t="shared" si="58"/>
        <v>0.27024400153281392</v>
      </c>
      <c r="S585" s="415">
        <f t="shared" si="58"/>
        <v>0.27021680793718283</v>
      </c>
      <c r="T585" s="415">
        <f t="shared" si="58"/>
        <v>0.27026368689996028</v>
      </c>
    </row>
    <row r="586" spans="2:20">
      <c r="B586" s="326" t="s">
        <v>1203</v>
      </c>
      <c r="C586" s="415"/>
      <c r="D586" s="415"/>
      <c r="E586" s="415"/>
      <c r="F586" s="415"/>
      <c r="G586" s="415"/>
      <c r="H586" s="415">
        <f>H581</f>
        <v>0.1599274028539526</v>
      </c>
      <c r="I586" s="415">
        <f t="shared" ref="I586:T586" si="59">I527/SUM(I$524:I$528)</f>
        <v>0.14926745175218861</v>
      </c>
      <c r="J586" s="415">
        <f t="shared" si="59"/>
        <v>0.14305648210518437</v>
      </c>
      <c r="K586" s="415">
        <f t="shared" si="59"/>
        <v>0.13934917765315299</v>
      </c>
      <c r="L586" s="415">
        <f t="shared" si="59"/>
        <v>0.13729239111292013</v>
      </c>
      <c r="M586" s="415">
        <f t="shared" si="59"/>
        <v>0.13640194199445083</v>
      </c>
      <c r="N586" s="415">
        <f t="shared" si="59"/>
        <v>0.13612478270539416</v>
      </c>
      <c r="O586" s="415">
        <f t="shared" si="59"/>
        <v>0.13612632955342033</v>
      </c>
      <c r="P586" s="415">
        <f t="shared" si="59"/>
        <v>0.13634657215655901</v>
      </c>
      <c r="Q586" s="415">
        <f t="shared" si="59"/>
        <v>0.13687996344505288</v>
      </c>
      <c r="R586" s="415">
        <f t="shared" si="59"/>
        <v>0.13747712322575431</v>
      </c>
      <c r="S586" s="415">
        <f t="shared" si="59"/>
        <v>0.13809308796194494</v>
      </c>
      <c r="T586" s="415">
        <f t="shared" si="59"/>
        <v>0.13867087841722422</v>
      </c>
    </row>
    <row r="587" spans="2:20">
      <c r="B587" s="326" t="s">
        <v>1204</v>
      </c>
      <c r="C587" s="415"/>
      <c r="D587" s="415"/>
      <c r="E587" s="415"/>
      <c r="F587" s="415"/>
      <c r="G587" s="415"/>
      <c r="H587" s="415">
        <f>H582</f>
        <v>2.248927317050024E-2</v>
      </c>
      <c r="I587" s="415">
        <f t="shared" ref="I587:T587" si="60">I528/SUM(I$524:I$528)</f>
        <v>2.2615220065621985E-2</v>
      </c>
      <c r="J587" s="415">
        <f t="shared" si="60"/>
        <v>2.1562519112928176E-2</v>
      </c>
      <c r="K587" s="415">
        <f t="shared" si="60"/>
        <v>2.0264232012409539E-2</v>
      </c>
      <c r="L587" s="415">
        <f t="shared" si="60"/>
        <v>1.9100087624716922E-2</v>
      </c>
      <c r="M587" s="415">
        <f t="shared" si="60"/>
        <v>1.818053469822959E-2</v>
      </c>
      <c r="N587" s="415">
        <f t="shared" si="60"/>
        <v>1.7512829701496108E-2</v>
      </c>
      <c r="O587" s="415">
        <f t="shared" si="60"/>
        <v>1.7057569271694252E-2</v>
      </c>
      <c r="P587" s="415">
        <f t="shared" si="60"/>
        <v>1.6755677732368149E-2</v>
      </c>
      <c r="Q587" s="415">
        <f t="shared" si="60"/>
        <v>1.6552263507107361E-2</v>
      </c>
      <c r="R587" s="415">
        <f t="shared" si="60"/>
        <v>1.6433943152343131E-2</v>
      </c>
      <c r="S587" s="415">
        <f t="shared" si="60"/>
        <v>1.6374449634630028E-2</v>
      </c>
      <c r="T587" s="415">
        <f t="shared" si="60"/>
        <v>1.6356327082801016E-2</v>
      </c>
    </row>
    <row r="588" spans="2:20">
      <c r="C588" s="309">
        <f>SUM(C568:C587)-2</f>
        <v>0</v>
      </c>
      <c r="D588" s="309">
        <f t="shared" ref="D588:T588" si="61">SUM(D568:D587)-2</f>
        <v>0</v>
      </c>
      <c r="E588" s="309">
        <f t="shared" si="61"/>
        <v>0</v>
      </c>
      <c r="F588" s="309">
        <f t="shared" si="61"/>
        <v>0</v>
      </c>
      <c r="I588" s="309">
        <f t="shared" si="61"/>
        <v>0</v>
      </c>
      <c r="J588" s="309">
        <f t="shared" si="61"/>
        <v>0</v>
      </c>
      <c r="K588" s="309">
        <f t="shared" si="61"/>
        <v>0</v>
      </c>
      <c r="L588" s="309">
        <f t="shared" si="61"/>
        <v>0</v>
      </c>
      <c r="M588" s="309">
        <f t="shared" si="61"/>
        <v>0</v>
      </c>
      <c r="N588" s="309">
        <f t="shared" si="61"/>
        <v>0</v>
      </c>
      <c r="O588" s="309">
        <f t="shared" si="61"/>
        <v>0</v>
      </c>
      <c r="P588" s="309">
        <f t="shared" si="61"/>
        <v>0</v>
      </c>
      <c r="Q588" s="309">
        <f t="shared" si="61"/>
        <v>0</v>
      </c>
      <c r="R588" s="309">
        <f t="shared" si="61"/>
        <v>0</v>
      </c>
      <c r="S588" s="309">
        <f t="shared" si="61"/>
        <v>0</v>
      </c>
      <c r="T588" s="309">
        <f t="shared" si="61"/>
        <v>0</v>
      </c>
    </row>
    <row r="612" spans="2:20">
      <c r="B612" s="341" t="s">
        <v>1087</v>
      </c>
    </row>
    <row r="614" spans="2:20">
      <c r="B614" s="750"/>
      <c r="C614" s="326" t="str">
        <f>C24</f>
        <v>2010/11</v>
      </c>
      <c r="D614" s="326" t="str">
        <f t="shared" ref="D614:T614" si="62">D24</f>
        <v>2011/12</v>
      </c>
      <c r="E614" s="326" t="str">
        <f t="shared" si="62"/>
        <v>2012/13</v>
      </c>
      <c r="F614" s="326" t="str">
        <f t="shared" si="62"/>
        <v>2013/14</v>
      </c>
      <c r="G614" s="326" t="str">
        <f t="shared" si="62"/>
        <v>2014/15</v>
      </c>
      <c r="H614" s="326" t="str">
        <f t="shared" si="62"/>
        <v>2015/16</v>
      </c>
      <c r="I614" s="326" t="str">
        <f t="shared" si="62"/>
        <v>2016/17</v>
      </c>
      <c r="J614" s="326" t="str">
        <f t="shared" si="62"/>
        <v>2017/18</v>
      </c>
      <c r="K614" s="326" t="str">
        <f t="shared" si="62"/>
        <v>2018/19</v>
      </c>
      <c r="L614" s="326" t="str">
        <f t="shared" si="62"/>
        <v>2019/20</v>
      </c>
      <c r="M614" s="326" t="str">
        <f t="shared" si="62"/>
        <v>2020/21</v>
      </c>
      <c r="N614" s="326" t="str">
        <f t="shared" si="62"/>
        <v>2021/22</v>
      </c>
      <c r="O614" s="326" t="str">
        <f t="shared" si="62"/>
        <v>2022/23</v>
      </c>
      <c r="P614" s="326" t="str">
        <f t="shared" si="62"/>
        <v>2023/24</v>
      </c>
      <c r="Q614" s="326" t="str">
        <f t="shared" si="62"/>
        <v>2024/25</v>
      </c>
      <c r="R614" s="326" t="str">
        <f t="shared" si="62"/>
        <v>2025/26</v>
      </c>
      <c r="S614" s="326" t="str">
        <f t="shared" si="62"/>
        <v>2026/27</v>
      </c>
      <c r="T614" s="326" t="str">
        <f t="shared" si="62"/>
        <v>2027/28</v>
      </c>
    </row>
    <row r="615" spans="2:20">
      <c r="B615" s="326" t="s">
        <v>922</v>
      </c>
      <c r="C615" s="459">
        <f>C327</f>
        <v>20529.657089546286</v>
      </c>
      <c r="D615" s="459">
        <f>D327</f>
        <v>23989.040999999994</v>
      </c>
      <c r="E615" s="459">
        <f>E327</f>
        <v>25348.096000000001</v>
      </c>
      <c r="F615" s="459">
        <f>F327</f>
        <v>26619.192999999996</v>
      </c>
      <c r="G615" s="459">
        <f>G327</f>
        <v>27041.996000000003</v>
      </c>
      <c r="H615" s="459"/>
      <c r="I615" s="459"/>
      <c r="J615" s="459"/>
      <c r="K615" s="459"/>
      <c r="L615" s="459"/>
      <c r="M615" s="459"/>
      <c r="N615" s="459"/>
      <c r="O615" s="459"/>
      <c r="P615" s="459"/>
      <c r="Q615" s="459"/>
      <c r="R615" s="459"/>
      <c r="S615" s="459"/>
      <c r="T615" s="459"/>
    </row>
    <row r="616" spans="2:20">
      <c r="B616" s="326" t="s">
        <v>923</v>
      </c>
      <c r="C616" s="459"/>
      <c r="D616" s="459"/>
      <c r="E616" s="459"/>
      <c r="F616" s="459"/>
      <c r="G616" s="459"/>
      <c r="H616" s="459"/>
      <c r="I616" s="459">
        <f>I328</f>
        <v>27538.544661464744</v>
      </c>
      <c r="J616" s="459">
        <f t="shared" ref="J616:T616" si="63">J328</f>
        <v>26105.002673937081</v>
      </c>
      <c r="K616" s="459">
        <f t="shared" si="63"/>
        <v>25804.401119795846</v>
      </c>
      <c r="L616" s="459">
        <f t="shared" si="63"/>
        <v>24509.091093232932</v>
      </c>
      <c r="M616" s="459">
        <f t="shared" si="63"/>
        <v>24656.998817781678</v>
      </c>
      <c r="N616" s="459">
        <f t="shared" si="63"/>
        <v>24432.263410506512</v>
      </c>
      <c r="O616" s="459">
        <f t="shared" si="63"/>
        <v>24102.311757997213</v>
      </c>
      <c r="P616" s="459">
        <f t="shared" si="63"/>
        <v>23873.194543470338</v>
      </c>
      <c r="Q616" s="459">
        <f t="shared" si="63"/>
        <v>24450.504710155619</v>
      </c>
      <c r="R616" s="459">
        <f t="shared" si="63"/>
        <v>24916.785672652128</v>
      </c>
      <c r="S616" s="459">
        <f t="shared" si="63"/>
        <v>25036.449572418685</v>
      </c>
      <c r="T616" s="459">
        <f t="shared" si="63"/>
        <v>24924.618653464819</v>
      </c>
    </row>
    <row r="617" spans="2:20">
      <c r="B617" s="326" t="s">
        <v>1073</v>
      </c>
      <c r="C617" s="459"/>
      <c r="D617" s="459">
        <f>D269</f>
        <v>20111.489062167639</v>
      </c>
      <c r="E617" s="459">
        <f>E269</f>
        <v>21510.41466506775</v>
      </c>
      <c r="F617" s="459">
        <f>F269</f>
        <v>23974.348859006604</v>
      </c>
      <c r="G617" s="459">
        <f>G269</f>
        <v>24711.396202673968</v>
      </c>
      <c r="H617" s="459"/>
      <c r="I617" s="459"/>
      <c r="J617" s="459"/>
      <c r="K617" s="459"/>
      <c r="L617" s="459"/>
      <c r="M617" s="459"/>
      <c r="N617" s="459"/>
      <c r="O617" s="459"/>
      <c r="P617" s="459"/>
      <c r="Q617" s="459"/>
      <c r="R617" s="459"/>
      <c r="S617" s="459"/>
      <c r="T617" s="459"/>
    </row>
    <row r="618" spans="2:20">
      <c r="B618" s="326" t="s">
        <v>1074</v>
      </c>
      <c r="C618" s="459"/>
      <c r="D618" s="459"/>
      <c r="E618" s="459"/>
      <c r="F618" s="459"/>
      <c r="G618" s="459"/>
      <c r="H618" s="459"/>
      <c r="I618" s="459">
        <f>I270</f>
        <v>24480.216651135612</v>
      </c>
      <c r="J618" s="459">
        <f t="shared" ref="J618:T618" si="64">J270</f>
        <v>24578.475696386551</v>
      </c>
      <c r="K618" s="459">
        <f t="shared" si="64"/>
        <v>24557.665343385146</v>
      </c>
      <c r="L618" s="459">
        <f t="shared" si="64"/>
        <v>24489.006125456497</v>
      </c>
      <c r="M618" s="459">
        <f t="shared" si="64"/>
        <v>24393.522064596204</v>
      </c>
      <c r="N618" s="459">
        <f t="shared" si="64"/>
        <v>24351.019964927757</v>
      </c>
      <c r="O618" s="459">
        <f t="shared" si="64"/>
        <v>24313.92432163619</v>
      </c>
      <c r="P618" s="459">
        <f t="shared" si="64"/>
        <v>24265.98057880966</v>
      </c>
      <c r="Q618" s="459">
        <f t="shared" si="64"/>
        <v>24213.306306154522</v>
      </c>
      <c r="R618" s="459">
        <f t="shared" si="64"/>
        <v>24230.21971203326</v>
      </c>
      <c r="S618" s="459">
        <f t="shared" si="64"/>
        <v>24295.593809340098</v>
      </c>
      <c r="T618" s="459">
        <f t="shared" si="64"/>
        <v>24368.773599764347</v>
      </c>
    </row>
    <row r="619" spans="2:20">
      <c r="B619" s="326" t="s">
        <v>1088</v>
      </c>
      <c r="C619" s="459"/>
      <c r="D619" s="459">
        <f>D615-D617</f>
        <v>3877.5519378323552</v>
      </c>
      <c r="E619" s="459">
        <f>E615-E617</f>
        <v>3837.681334932251</v>
      </c>
      <c r="F619" s="459">
        <f>F615-F617</f>
        <v>2644.8441409933912</v>
      </c>
      <c r="G619" s="459">
        <f>G615-G617</f>
        <v>2330.5997973260346</v>
      </c>
      <c r="H619" s="459"/>
      <c r="I619" s="459"/>
      <c r="J619" s="459"/>
      <c r="K619" s="459"/>
      <c r="L619" s="459"/>
      <c r="M619" s="459"/>
      <c r="N619" s="459"/>
      <c r="O619" s="459"/>
      <c r="P619" s="459"/>
      <c r="Q619" s="459"/>
      <c r="R619" s="459"/>
      <c r="S619" s="459"/>
      <c r="T619" s="459"/>
    </row>
    <row r="620" spans="2:20">
      <c r="B620" s="326" t="s">
        <v>1089</v>
      </c>
      <c r="C620" s="459"/>
      <c r="D620" s="459"/>
      <c r="E620" s="459"/>
      <c r="F620" s="459"/>
      <c r="G620" s="459"/>
      <c r="H620" s="459"/>
      <c r="I620" s="459">
        <f t="shared" ref="I620:T620" si="65">I616-I618</f>
        <v>3058.3280103291327</v>
      </c>
      <c r="J620" s="459">
        <f t="shared" si="65"/>
        <v>1526.5269775505294</v>
      </c>
      <c r="K620" s="459">
        <f t="shared" si="65"/>
        <v>1246.7357764107001</v>
      </c>
      <c r="L620" s="459">
        <f t="shared" si="65"/>
        <v>20.084967776434496</v>
      </c>
      <c r="M620" s="459">
        <f t="shared" si="65"/>
        <v>263.47675318547408</v>
      </c>
      <c r="N620" s="459">
        <f t="shared" si="65"/>
        <v>81.2434455787552</v>
      </c>
      <c r="O620" s="459">
        <f t="shared" si="65"/>
        <v>-211.61256363897701</v>
      </c>
      <c r="P620" s="459">
        <f t="shared" si="65"/>
        <v>-392.78603533932255</v>
      </c>
      <c r="Q620" s="459">
        <f t="shared" si="65"/>
        <v>237.19840400109751</v>
      </c>
      <c r="R620" s="459">
        <f t="shared" si="65"/>
        <v>686.56596061886739</v>
      </c>
      <c r="S620" s="459">
        <f t="shared" si="65"/>
        <v>740.85576307858719</v>
      </c>
      <c r="T620" s="459">
        <f t="shared" si="65"/>
        <v>555.84505370047191</v>
      </c>
    </row>
    <row r="621" spans="2:20">
      <c r="B621" s="326" t="s">
        <v>924</v>
      </c>
      <c r="C621" s="459">
        <f>C329</f>
        <v>19900.351266773563</v>
      </c>
      <c r="D621" s="459">
        <f>D329</f>
        <v>21265.592999999993</v>
      </c>
      <c r="E621" s="459">
        <f>E329</f>
        <v>20574.989999999998</v>
      </c>
      <c r="F621" s="459">
        <f>F329</f>
        <v>21104.835999999996</v>
      </c>
      <c r="G621" s="459">
        <f>G329</f>
        <v>20959.223000000002</v>
      </c>
      <c r="H621" s="459"/>
      <c r="I621" s="459"/>
      <c r="J621" s="459"/>
      <c r="K621" s="459"/>
      <c r="L621" s="459"/>
      <c r="M621" s="459"/>
      <c r="N621" s="459"/>
      <c r="O621" s="459"/>
      <c r="P621" s="459"/>
      <c r="Q621" s="459"/>
      <c r="R621" s="459"/>
      <c r="S621" s="459"/>
      <c r="T621" s="459"/>
    </row>
    <row r="622" spans="2:20">
      <c r="B622" s="326" t="s">
        <v>925</v>
      </c>
      <c r="C622" s="459"/>
      <c r="D622" s="459"/>
      <c r="E622" s="459"/>
      <c r="F622" s="459"/>
      <c r="G622" s="459"/>
      <c r="H622" s="459"/>
      <c r="I622" s="459">
        <f t="shared" ref="I622:T622" si="66">I330</f>
        <v>25325.981524290863</v>
      </c>
      <c r="J622" s="459">
        <f t="shared" si="66"/>
        <v>24864.32398892309</v>
      </c>
      <c r="K622" s="459">
        <f t="shared" si="66"/>
        <v>26448.871508078941</v>
      </c>
      <c r="L622" s="459">
        <f t="shared" si="66"/>
        <v>25797.106539924709</v>
      </c>
      <c r="M622" s="459">
        <f t="shared" si="66"/>
        <v>25450.041469507818</v>
      </c>
      <c r="N622" s="459">
        <f t="shared" si="66"/>
        <v>25527.010741858019</v>
      </c>
      <c r="O622" s="459">
        <f t="shared" si="66"/>
        <v>25845.896651495765</v>
      </c>
      <c r="P622" s="459">
        <f t="shared" si="66"/>
        <v>25731.139914905129</v>
      </c>
      <c r="Q622" s="459">
        <f t="shared" si="66"/>
        <v>24759.538609418585</v>
      </c>
      <c r="R622" s="459">
        <f t="shared" si="66"/>
        <v>24416.167627861571</v>
      </c>
      <c r="S622" s="459">
        <f t="shared" si="66"/>
        <v>24069.983113000369</v>
      </c>
      <c r="T622" s="459">
        <f t="shared" si="66"/>
        <v>23849.453533819546</v>
      </c>
    </row>
    <row r="623" spans="2:20">
      <c r="B623" s="326" t="s">
        <v>1075</v>
      </c>
      <c r="C623" s="459"/>
      <c r="D623" s="459">
        <f>D271</f>
        <v>21107.755327273022</v>
      </c>
      <c r="E623" s="459">
        <f>E271</f>
        <v>22199.709776174088</v>
      </c>
      <c r="F623" s="459">
        <f>F271</f>
        <v>23452.695173316952</v>
      </c>
      <c r="G623" s="459">
        <f>G271</f>
        <v>24493.036523076324</v>
      </c>
      <c r="H623" s="459"/>
      <c r="I623" s="459"/>
      <c r="J623" s="459"/>
      <c r="K623" s="459"/>
      <c r="L623" s="459"/>
      <c r="M623" s="459"/>
      <c r="N623" s="459"/>
      <c r="O623" s="459"/>
      <c r="P623" s="459"/>
      <c r="Q623" s="459"/>
      <c r="R623" s="459"/>
      <c r="S623" s="459"/>
      <c r="T623" s="459"/>
    </row>
    <row r="624" spans="2:20">
      <c r="B624" s="326" t="s">
        <v>1076</v>
      </c>
      <c r="C624" s="459"/>
      <c r="D624" s="459"/>
      <c r="E624" s="459"/>
      <c r="F624" s="459"/>
      <c r="G624" s="459"/>
      <c r="H624" s="459"/>
      <c r="I624" s="459">
        <f t="shared" ref="I624:T624" si="67">I272</f>
        <v>23463.043780670028</v>
      </c>
      <c r="J624" s="459">
        <f t="shared" si="67"/>
        <v>23392.094069277864</v>
      </c>
      <c r="K624" s="459">
        <f t="shared" si="67"/>
        <v>23298.883316824395</v>
      </c>
      <c r="L624" s="459">
        <f t="shared" si="67"/>
        <v>23349.689242889093</v>
      </c>
      <c r="M624" s="459">
        <f t="shared" si="67"/>
        <v>23479.827727487391</v>
      </c>
      <c r="N624" s="459">
        <f t="shared" si="67"/>
        <v>23597.583464380175</v>
      </c>
      <c r="O624" s="459">
        <f t="shared" si="67"/>
        <v>23743.443089489938</v>
      </c>
      <c r="P624" s="459">
        <f t="shared" si="67"/>
        <v>23933.074390368813</v>
      </c>
      <c r="Q624" s="459">
        <f t="shared" si="67"/>
        <v>24104.151049874028</v>
      </c>
      <c r="R624" s="459">
        <f t="shared" si="67"/>
        <v>24160.575647543701</v>
      </c>
      <c r="S624" s="459">
        <f t="shared" si="67"/>
        <v>24183.523418636014</v>
      </c>
      <c r="T624" s="459">
        <f t="shared" si="67"/>
        <v>24172.220009996541</v>
      </c>
    </row>
    <row r="625" spans="2:20">
      <c r="B625" s="326" t="s">
        <v>1090</v>
      </c>
      <c r="C625" s="459"/>
      <c r="D625" s="459">
        <f>D621-D623</f>
        <v>157.8376727269715</v>
      </c>
      <c r="E625" s="459">
        <f>E621-E623</f>
        <v>-1624.7197761740899</v>
      </c>
      <c r="F625" s="459">
        <f>F621-F623</f>
        <v>-2347.859173316956</v>
      </c>
      <c r="G625" s="459">
        <f>G621-G623</f>
        <v>-3533.8135230763219</v>
      </c>
      <c r="H625" s="459"/>
      <c r="I625" s="459"/>
      <c r="J625" s="459"/>
      <c r="K625" s="459"/>
      <c r="L625" s="459"/>
      <c r="M625" s="459"/>
      <c r="N625" s="459"/>
      <c r="O625" s="459"/>
      <c r="P625" s="459"/>
      <c r="Q625" s="459"/>
      <c r="R625" s="459"/>
      <c r="S625" s="459"/>
      <c r="T625" s="459"/>
    </row>
    <row r="626" spans="2:20">
      <c r="B626" s="326" t="s">
        <v>1091</v>
      </c>
      <c r="C626" s="459"/>
      <c r="D626" s="459"/>
      <c r="E626" s="459"/>
      <c r="F626" s="459"/>
      <c r="G626" s="459"/>
      <c r="H626" s="459"/>
      <c r="I626" s="459">
        <f t="shared" ref="I626:T626" si="68">I622-I624</f>
        <v>1862.9377436208342</v>
      </c>
      <c r="J626" s="459">
        <f t="shared" si="68"/>
        <v>1472.2299196452259</v>
      </c>
      <c r="K626" s="459">
        <f t="shared" si="68"/>
        <v>3149.9881912545461</v>
      </c>
      <c r="L626" s="459">
        <f t="shared" si="68"/>
        <v>2447.4172970356158</v>
      </c>
      <c r="M626" s="459">
        <f t="shared" si="68"/>
        <v>1970.2137420204272</v>
      </c>
      <c r="N626" s="459">
        <f t="shared" si="68"/>
        <v>1929.4272774778437</v>
      </c>
      <c r="O626" s="459">
        <f t="shared" si="68"/>
        <v>2102.4535620058268</v>
      </c>
      <c r="P626" s="459">
        <f t="shared" si="68"/>
        <v>1798.0655245363159</v>
      </c>
      <c r="Q626" s="459">
        <f t="shared" si="68"/>
        <v>655.38755954455701</v>
      </c>
      <c r="R626" s="459">
        <f t="shared" si="68"/>
        <v>255.59198031786946</v>
      </c>
      <c r="S626" s="459">
        <f t="shared" si="68"/>
        <v>-113.54030563564447</v>
      </c>
      <c r="T626" s="459">
        <f t="shared" si="68"/>
        <v>-322.76647617699564</v>
      </c>
    </row>
    <row r="649" spans="3:17">
      <c r="C649" s="275"/>
      <c r="D649" s="275"/>
      <c r="E649" s="275"/>
      <c r="F649" s="275"/>
      <c r="H649" s="275"/>
      <c r="I649" s="275"/>
      <c r="J649" s="275"/>
      <c r="K649" s="275"/>
      <c r="L649" s="275"/>
      <c r="M649" s="275"/>
      <c r="N649" s="275"/>
      <c r="O649" s="275"/>
      <c r="P649" s="275"/>
      <c r="Q649" s="275"/>
    </row>
    <row r="653" spans="3:17">
      <c r="C653" s="754"/>
      <c r="D653" s="754"/>
      <c r="E653" s="754"/>
      <c r="F653" s="754"/>
      <c r="G653" s="754"/>
      <c r="H653" s="754"/>
      <c r="I653" s="754"/>
      <c r="J653" s="754"/>
      <c r="K653" s="754"/>
      <c r="L653" s="754"/>
      <c r="M653" s="754"/>
      <c r="N653" s="754"/>
      <c r="O653" s="754"/>
    </row>
    <row r="654" spans="3:17">
      <c r="C654" s="463"/>
      <c r="D654" s="463"/>
      <c r="E654" s="463"/>
      <c r="F654" s="463"/>
      <c r="G654" s="463"/>
      <c r="H654" s="463"/>
      <c r="I654" s="463"/>
      <c r="J654" s="463"/>
    </row>
    <row r="655" spans="3:17">
      <c r="C655" s="275"/>
      <c r="D655" s="275"/>
      <c r="E655" s="275"/>
      <c r="F655" s="275"/>
      <c r="G655" s="275"/>
      <c r="H655" s="275"/>
      <c r="I655" s="275"/>
      <c r="J655" s="275"/>
    </row>
  </sheetData>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A126"/>
  <sheetViews>
    <sheetView showGridLines="0" zoomScaleNormal="100" workbookViewId="0"/>
  </sheetViews>
  <sheetFormatPr defaultRowHeight="12.75"/>
  <cols>
    <col min="2" max="2" width="32.5703125" customWidth="1"/>
    <col min="3" max="23" width="12.85546875" bestFit="1" customWidth="1"/>
    <col min="24" max="24" width="12.85546875" customWidth="1"/>
    <col min="25" max="25" width="12.85546875" bestFit="1" customWidth="1"/>
    <col min="26" max="39" width="12.85546875" customWidth="1"/>
  </cols>
  <sheetData>
    <row r="1" spans="1:26" s="739" customFormat="1" ht="15">
      <c r="A1" s="65" t="str">
        <f>ModelBanner</f>
        <v>TSM_201718 for publication</v>
      </c>
    </row>
    <row r="2" spans="1:26" s="739" customFormat="1" ht="15">
      <c r="A2" s="1003" t="s">
        <v>13</v>
      </c>
      <c r="B2" s="1003" t="s">
        <v>30</v>
      </c>
    </row>
    <row r="3" spans="1:26" s="739" customFormat="1" ht="15">
      <c r="A3" s="67"/>
    </row>
    <row r="4" spans="1:26" s="57" customFormat="1">
      <c r="A4" s="58" t="s">
        <v>26</v>
      </c>
      <c r="B4" s="58"/>
      <c r="C4" s="58"/>
      <c r="D4" s="58"/>
      <c r="E4" s="292"/>
      <c r="F4" s="58"/>
      <c r="G4" s="58"/>
      <c r="H4" s="58"/>
      <c r="I4" s="58"/>
      <c r="J4" s="58"/>
      <c r="K4" s="58"/>
      <c r="L4" s="58"/>
      <c r="M4" s="58"/>
      <c r="N4" s="58"/>
      <c r="O4" s="58"/>
      <c r="P4" s="58"/>
      <c r="Q4" s="58"/>
    </row>
    <row r="5" spans="1:26" s="47" customFormat="1" ht="13.15" customHeight="1">
      <c r="A5" s="60" t="s">
        <v>1439</v>
      </c>
      <c r="B5" s="60"/>
      <c r="C5" s="60"/>
      <c r="D5" s="60"/>
      <c r="E5" s="60"/>
      <c r="F5" s="60"/>
      <c r="G5" s="60"/>
      <c r="H5" s="60"/>
      <c r="I5" s="60"/>
      <c r="J5" s="60"/>
      <c r="K5" s="60"/>
      <c r="L5" s="60"/>
      <c r="M5" s="60"/>
      <c r="N5" s="60"/>
      <c r="O5" s="60"/>
      <c r="P5" s="60"/>
      <c r="Q5" s="60"/>
    </row>
    <row r="6" spans="1:26" s="46" customFormat="1">
      <c r="A6" s="56" t="s">
        <v>1420</v>
      </c>
      <c r="B6" s="61"/>
      <c r="C6" s="61"/>
      <c r="D6" s="61"/>
      <c r="E6" s="292"/>
      <c r="F6" s="61"/>
      <c r="G6" s="61"/>
      <c r="H6" s="61"/>
      <c r="I6" s="61"/>
      <c r="J6" s="61"/>
      <c r="K6" s="61"/>
      <c r="L6" s="61"/>
      <c r="M6" s="61"/>
      <c r="N6" s="61"/>
      <c r="O6" s="61"/>
      <c r="P6" s="61"/>
      <c r="Q6" s="61"/>
    </row>
    <row r="7" spans="1:26" s="46" customFormat="1">
      <c r="A7" s="54" t="s">
        <v>166</v>
      </c>
      <c r="B7" s="56"/>
      <c r="C7" s="61"/>
      <c r="D7" s="61"/>
      <c r="E7" s="292"/>
      <c r="F7" s="61"/>
      <c r="G7" s="61"/>
      <c r="H7" s="61"/>
      <c r="I7" s="61"/>
      <c r="J7" s="61"/>
      <c r="K7" s="61"/>
      <c r="L7" s="61"/>
      <c r="M7" s="61"/>
      <c r="N7" s="61"/>
      <c r="O7" s="61"/>
      <c r="P7" s="61"/>
      <c r="Q7" s="61"/>
    </row>
    <row r="8" spans="1:26" s="46" customFormat="1">
      <c r="A8" s="56" t="s">
        <v>24</v>
      </c>
      <c r="B8" s="61"/>
      <c r="C8" s="61"/>
      <c r="D8" s="61"/>
      <c r="E8" s="292"/>
      <c r="F8" s="61"/>
      <c r="G8" s="61"/>
      <c r="H8" s="61"/>
      <c r="I8" s="61"/>
      <c r="J8" s="61"/>
      <c r="K8" s="61"/>
      <c r="L8" s="61"/>
      <c r="M8" s="61"/>
      <c r="N8" s="61"/>
      <c r="O8" s="61"/>
      <c r="P8" s="61"/>
      <c r="Q8" s="61"/>
    </row>
    <row r="9" spans="1:26" s="50" customFormat="1" ht="13.5" customHeight="1">
      <c r="A9" s="55" t="s">
        <v>119</v>
      </c>
      <c r="B9" s="73"/>
      <c r="C9" s="71"/>
      <c r="D9" s="738"/>
      <c r="E9" s="738"/>
      <c r="F9" s="738"/>
      <c r="G9" s="72"/>
      <c r="H9" s="738"/>
      <c r="I9" s="738"/>
      <c r="J9" s="72"/>
      <c r="K9" s="49"/>
      <c r="L9" s="49"/>
      <c r="M9" s="49"/>
      <c r="N9" s="49"/>
      <c r="O9" s="49"/>
      <c r="P9" s="49"/>
      <c r="Q9" s="49"/>
    </row>
    <row r="11" spans="1:26">
      <c r="B11" s="149" t="s">
        <v>320</v>
      </c>
    </row>
    <row r="12" spans="1:26" s="5" customFormat="1">
      <c r="C12" s="305" t="str">
        <f>RAW_DATA_INPUTS!C355</f>
        <v>2004/05</v>
      </c>
      <c r="D12" s="305" t="str">
        <f>RAW_DATA_INPUTS!D355</f>
        <v>2005/06</v>
      </c>
      <c r="E12" s="305" t="str">
        <f>RAW_DATA_INPUTS!E355</f>
        <v>2006/07</v>
      </c>
      <c r="F12" s="305" t="str">
        <f>RAW_DATA_INPUTS!F355</f>
        <v>2007/08</v>
      </c>
      <c r="G12" s="305" t="str">
        <f>RAW_DATA_INPUTS!G355</f>
        <v>2008/09</v>
      </c>
      <c r="H12" s="305" t="str">
        <f>RAW_DATA_INPUTS!H355</f>
        <v>2009/10</v>
      </c>
      <c r="I12" s="305" t="str">
        <f>RAW_DATA_INPUTS!I355</f>
        <v>2010/11</v>
      </c>
      <c r="J12" s="305" t="str">
        <f>RAW_DATA_INPUTS!J355</f>
        <v>2011/12</v>
      </c>
      <c r="K12" s="305" t="str">
        <f>RAW_DATA_INPUTS!K355</f>
        <v>2012/13</v>
      </c>
      <c r="L12" s="305" t="str">
        <f>RAW_DATA_INPUTS!L355</f>
        <v>2013/14</v>
      </c>
      <c r="M12" s="305" t="str">
        <f>RAW_DATA_INPUTS!M355</f>
        <v>2014/15</v>
      </c>
      <c r="N12" s="305" t="str">
        <f>RAW_DATA_INPUTS!N355</f>
        <v>2015/16</v>
      </c>
      <c r="O12" s="305" t="str">
        <f>RAW_DATA_INPUTS!O355</f>
        <v>2016/17</v>
      </c>
      <c r="P12" s="305" t="str">
        <f>RAW_DATA_INPUTS!P355</f>
        <v>2017/18</v>
      </c>
      <c r="Q12" s="305" t="str">
        <f>RAW_DATA_INPUTS!Q355</f>
        <v>2018/19</v>
      </c>
      <c r="R12" s="305" t="str">
        <f>RAW_DATA_INPUTS!R355</f>
        <v>2019/20</v>
      </c>
      <c r="S12" s="305" t="str">
        <f>RAW_DATA_INPUTS!S355</f>
        <v>2020/21</v>
      </c>
      <c r="T12" s="305" t="str">
        <f>RAW_DATA_INPUTS!T355</f>
        <v>2021/22</v>
      </c>
      <c r="U12" s="305" t="str">
        <f>RAW_DATA_INPUTS!U355</f>
        <v>2022/23</v>
      </c>
      <c r="V12" s="305" t="str">
        <f>RAW_DATA_INPUTS!V355</f>
        <v>2023/24</v>
      </c>
      <c r="W12" s="305" t="str">
        <f>RAW_DATA_INPUTS!W355</f>
        <v>2024/25</v>
      </c>
      <c r="X12" s="305" t="str">
        <f>RAW_DATA_INPUTS!X355</f>
        <v>2025/26</v>
      </c>
      <c r="Y12" s="305" t="str">
        <f>RAW_DATA_INPUTS!Y355</f>
        <v>2026/27</v>
      </c>
      <c r="Z12" s="305" t="str">
        <f>RAW_DATA_INPUTS!Z355</f>
        <v>2027/28</v>
      </c>
    </row>
    <row r="13" spans="1:26">
      <c r="B13" s="12" t="s">
        <v>1233</v>
      </c>
      <c r="C13" s="303">
        <f>RAW_DATA_INPUTS!C356</f>
        <v>4133670.5</v>
      </c>
      <c r="D13" s="303">
        <f>RAW_DATA_INPUTS!D356</f>
        <v>4085271.436729731</v>
      </c>
      <c r="E13" s="303">
        <f>RAW_DATA_INPUTS!E356</f>
        <v>4047195.5</v>
      </c>
      <c r="F13" s="303">
        <f>RAW_DATA_INPUTS!F356</f>
        <v>4028055.5</v>
      </c>
      <c r="G13" s="303">
        <f>RAW_DATA_INPUTS!G356</f>
        <v>4016161.5</v>
      </c>
      <c r="H13" s="303">
        <f>RAW_DATA_INPUTS!H356</f>
        <v>4036364.5</v>
      </c>
      <c r="I13" s="303">
        <f>RAW_DATA_INPUTS!I356</f>
        <v>4074368</v>
      </c>
      <c r="J13" s="303">
        <f>RAW_DATA_INPUTS!J356</f>
        <v>4150277.5</v>
      </c>
      <c r="K13" s="303">
        <f>RAW_DATA_INPUTS!K356</f>
        <v>4247394.5</v>
      </c>
      <c r="L13" s="303">
        <f>RAW_DATA_INPUTS!L356</f>
        <v>4359000</v>
      </c>
      <c r="M13" s="303">
        <f>RAW_DATA_INPUTS!M356</f>
        <v>4463434</v>
      </c>
      <c r="N13" s="303">
        <f>RAW_DATA_INPUTS!N356</f>
        <v>4574041.5</v>
      </c>
      <c r="O13" s="303">
        <f>RAW_DATA_INPUTS!O356</f>
        <v>4669403.6051013358</v>
      </c>
      <c r="P13" s="303">
        <f>RAW_DATA_INPUTS!P356</f>
        <v>4728615.0056829667</v>
      </c>
      <c r="Q13" s="303">
        <f>RAW_DATA_INPUTS!Q356</f>
        <v>4754148.1072515734</v>
      </c>
      <c r="R13" s="303">
        <f>RAW_DATA_INPUTS!R356</f>
        <v>4754929.3367273957</v>
      </c>
      <c r="S13" s="303">
        <f>RAW_DATA_INPUTS!S356</f>
        <v>4765188.6443500407</v>
      </c>
      <c r="T13" s="303">
        <f>RAW_DATA_INPUTS!T356</f>
        <v>4768353.1674103234</v>
      </c>
      <c r="U13" s="303">
        <f>RAW_DATA_INPUTS!U356</f>
        <v>4760117.7392643597</v>
      </c>
      <c r="V13" s="303">
        <f>RAW_DATA_INPUTS!V356</f>
        <v>4744856.0009206505</v>
      </c>
      <c r="W13" s="303">
        <f>RAW_DATA_INPUTS!W356</f>
        <v>4754081.3268117374</v>
      </c>
      <c r="X13" s="303">
        <f>RAW_DATA_INPUTS!X356</f>
        <v>4780859.047119638</v>
      </c>
      <c r="Y13" s="303">
        <f>RAW_DATA_INPUTS!Y356</f>
        <v>4809841.7847702289</v>
      </c>
      <c r="Z13" s="303">
        <f>RAW_DATA_INPUTS!Z356</f>
        <v>4831636.05383253</v>
      </c>
    </row>
    <row r="14" spans="1:26">
      <c r="B14" s="12" t="s">
        <v>1234</v>
      </c>
      <c r="C14" s="303">
        <v>4133670.5</v>
      </c>
      <c r="D14" s="303">
        <v>4085271.436729731</v>
      </c>
      <c r="E14" s="303">
        <v>4047195.5</v>
      </c>
      <c r="F14" s="303">
        <v>4028055.5</v>
      </c>
      <c r="G14" s="303">
        <v>4016161.5</v>
      </c>
      <c r="H14" s="303">
        <v>4036364.5</v>
      </c>
      <c r="I14" s="303">
        <v>4074368</v>
      </c>
      <c r="J14" s="303">
        <v>4150277.5</v>
      </c>
      <c r="K14" s="303">
        <v>4247394.5</v>
      </c>
      <c r="L14" s="303">
        <v>4359000</v>
      </c>
      <c r="M14" s="303">
        <v>4463434</v>
      </c>
      <c r="N14" s="303">
        <v>4570340.578957404</v>
      </c>
      <c r="O14" s="303">
        <v>4649765.8083290039</v>
      </c>
      <c r="P14" s="303">
        <v>4705889.4138890179</v>
      </c>
      <c r="Q14" s="303">
        <v>4757529.5423344802</v>
      </c>
      <c r="R14" s="303">
        <v>4773997.1801783619</v>
      </c>
      <c r="S14" s="303">
        <v>4797623.7688326025</v>
      </c>
      <c r="T14" s="303">
        <v>4817168.9981302889</v>
      </c>
      <c r="U14" s="303">
        <v>4823777.9385658344</v>
      </c>
      <c r="V14" s="303">
        <v>4821307.1348442696</v>
      </c>
      <c r="W14" s="303">
        <v>4834558.6127212327</v>
      </c>
      <c r="X14" s="303">
        <v>4837519.8380235024</v>
      </c>
      <c r="Y14" s="303">
        <v>4836690.2106246557</v>
      </c>
      <c r="Z14" s="303"/>
    </row>
    <row r="15" spans="1:26">
      <c r="B15" s="12"/>
      <c r="C15" s="303"/>
      <c r="D15" s="303"/>
      <c r="E15" s="303"/>
      <c r="F15" s="303"/>
      <c r="G15" s="303"/>
      <c r="H15" s="303"/>
      <c r="I15" s="303"/>
      <c r="J15" s="303"/>
      <c r="K15" s="303"/>
      <c r="L15" s="303"/>
      <c r="M15" s="303"/>
      <c r="N15" s="303"/>
      <c r="O15" s="303"/>
      <c r="P15" s="303"/>
      <c r="Q15" s="303"/>
      <c r="R15" s="303"/>
      <c r="S15" s="303"/>
      <c r="T15" s="303"/>
      <c r="U15" s="303"/>
      <c r="V15" s="303"/>
      <c r="W15" s="303"/>
      <c r="X15" s="303"/>
      <c r="Y15" s="303"/>
      <c r="Z15" s="303"/>
    </row>
    <row r="16" spans="1:26">
      <c r="B16" s="149" t="s">
        <v>321</v>
      </c>
      <c r="C16" s="302"/>
      <c r="D16" s="302"/>
      <c r="E16" s="302"/>
      <c r="F16" s="302"/>
      <c r="G16" s="302"/>
      <c r="H16" s="302"/>
      <c r="I16" s="302"/>
      <c r="J16" s="302"/>
      <c r="K16" s="302"/>
      <c r="L16" s="302"/>
      <c r="M16" s="302"/>
      <c r="N16" s="302"/>
      <c r="O16" s="302"/>
      <c r="P16" s="302"/>
      <c r="Q16" s="302"/>
      <c r="R16" s="302"/>
      <c r="S16" s="302"/>
      <c r="T16" s="302"/>
      <c r="U16" s="302"/>
      <c r="V16" s="302"/>
      <c r="W16" s="302"/>
      <c r="X16" s="302"/>
      <c r="Y16" s="302"/>
    </row>
    <row r="17" spans="2:26" s="5" customFormat="1">
      <c r="C17" s="305" t="str">
        <f t="shared" ref="C17:Z17" si="0">C12</f>
        <v>2004/05</v>
      </c>
      <c r="D17" s="305" t="str">
        <f t="shared" si="0"/>
        <v>2005/06</v>
      </c>
      <c r="E17" s="305" t="str">
        <f t="shared" si="0"/>
        <v>2006/07</v>
      </c>
      <c r="F17" s="305" t="str">
        <f t="shared" si="0"/>
        <v>2007/08</v>
      </c>
      <c r="G17" s="305" t="str">
        <f t="shared" si="0"/>
        <v>2008/09</v>
      </c>
      <c r="H17" s="305" t="str">
        <f t="shared" si="0"/>
        <v>2009/10</v>
      </c>
      <c r="I17" s="305" t="str">
        <f t="shared" si="0"/>
        <v>2010/11</v>
      </c>
      <c r="J17" s="305" t="str">
        <f t="shared" si="0"/>
        <v>2011/12</v>
      </c>
      <c r="K17" s="305" t="str">
        <f t="shared" si="0"/>
        <v>2012/13</v>
      </c>
      <c r="L17" s="305" t="str">
        <f t="shared" si="0"/>
        <v>2013/14</v>
      </c>
      <c r="M17" s="305" t="str">
        <f t="shared" si="0"/>
        <v>2014/15</v>
      </c>
      <c r="N17" s="305" t="str">
        <f t="shared" si="0"/>
        <v>2015/16</v>
      </c>
      <c r="O17" s="305" t="str">
        <f t="shared" si="0"/>
        <v>2016/17</v>
      </c>
      <c r="P17" s="305" t="str">
        <f t="shared" si="0"/>
        <v>2017/18</v>
      </c>
      <c r="Q17" s="305" t="str">
        <f t="shared" si="0"/>
        <v>2018/19</v>
      </c>
      <c r="R17" s="305" t="str">
        <f t="shared" si="0"/>
        <v>2019/20</v>
      </c>
      <c r="S17" s="305" t="str">
        <f t="shared" si="0"/>
        <v>2020/21</v>
      </c>
      <c r="T17" s="305" t="str">
        <f t="shared" si="0"/>
        <v>2021/22</v>
      </c>
      <c r="U17" s="305" t="str">
        <f t="shared" si="0"/>
        <v>2022/23</v>
      </c>
      <c r="V17" s="305" t="str">
        <f t="shared" si="0"/>
        <v>2023/24</v>
      </c>
      <c r="W17" s="305" t="str">
        <f t="shared" si="0"/>
        <v>2024/25</v>
      </c>
      <c r="X17" s="305" t="str">
        <f t="shared" si="0"/>
        <v>2025/26</v>
      </c>
      <c r="Y17" s="305" t="str">
        <f t="shared" si="0"/>
        <v>2026/27</v>
      </c>
      <c r="Z17" s="305" t="str">
        <f t="shared" si="0"/>
        <v>2027/28</v>
      </c>
    </row>
    <row r="18" spans="2:26">
      <c r="B18" s="12" t="s">
        <v>1235</v>
      </c>
      <c r="C18" s="304">
        <f>RAW_DATA_INPUTS!C357</f>
        <v>1783139.5</v>
      </c>
      <c r="D18" s="304">
        <f>RAW_DATA_INPUTS!D357</f>
        <v>1758000.0007601124</v>
      </c>
      <c r="E18" s="304">
        <f>RAW_DATA_INPUTS!E357</f>
        <v>1722930</v>
      </c>
      <c r="F18" s="304">
        <f>RAW_DATA_INPUTS!F357</f>
        <v>1701531</v>
      </c>
      <c r="G18" s="304">
        <f>RAW_DATA_INPUTS!G357</f>
        <v>1691158</v>
      </c>
      <c r="H18" s="304">
        <f>RAW_DATA_INPUTS!H357</f>
        <v>1680949</v>
      </c>
      <c r="I18" s="304">
        <f>RAW_DATA_INPUTS!I357</f>
        <v>1672689.5</v>
      </c>
      <c r="J18" s="304">
        <f>RAW_DATA_INPUTS!J357</f>
        <v>1641887</v>
      </c>
      <c r="K18" s="304">
        <f>RAW_DATA_INPUTS!K357</f>
        <v>1612821</v>
      </c>
      <c r="L18" s="304">
        <f>RAW_DATA_INPUTS!L357</f>
        <v>1587472</v>
      </c>
      <c r="M18" s="304">
        <f>RAW_DATA_INPUTS!M357</f>
        <v>1595949</v>
      </c>
      <c r="N18" s="304">
        <f>RAW_DATA_INPUTS!N357</f>
        <v>1630717</v>
      </c>
      <c r="O18" s="304">
        <f>RAW_DATA_INPUTS!O357</f>
        <v>1684263.7099882406</v>
      </c>
      <c r="P18" s="304">
        <f>RAW_DATA_INPUTS!P357</f>
        <v>1728753.1396461697</v>
      </c>
      <c r="Q18" s="304">
        <f>RAW_DATA_INPUTS!Q357</f>
        <v>1776887.7109150444</v>
      </c>
      <c r="R18" s="304">
        <f>RAW_DATA_INPUTS!R357</f>
        <v>1837687.6258995868</v>
      </c>
      <c r="S18" s="304">
        <f>RAW_DATA_INPUTS!S357</f>
        <v>1881127.9885499382</v>
      </c>
      <c r="T18" s="304">
        <f>RAW_DATA_INPUTS!T357</f>
        <v>1915313.121305503</v>
      </c>
      <c r="U18" s="304">
        <f>RAW_DATA_INPUTS!U357</f>
        <v>1940527.0547370678</v>
      </c>
      <c r="V18" s="304">
        <f>RAW_DATA_INPUTS!V357</f>
        <v>1979340.1487121659</v>
      </c>
      <c r="W18" s="304">
        <f>RAW_DATA_INPUTS!W357</f>
        <v>1983726.1049581233</v>
      </c>
      <c r="X18" s="304">
        <f>RAW_DATA_INPUTS!X357</f>
        <v>1956668.4677220159</v>
      </c>
      <c r="Y18" s="304">
        <f>RAW_DATA_INPUTS!Y357</f>
        <v>1918632.3095877871</v>
      </c>
      <c r="Z18" s="304">
        <f>RAW_DATA_INPUTS!Z357</f>
        <v>1909994.1147172714</v>
      </c>
    </row>
    <row r="19" spans="2:26">
      <c r="B19" s="12" t="s">
        <v>1236</v>
      </c>
      <c r="C19" s="304">
        <v>1783139.5</v>
      </c>
      <c r="D19" s="304">
        <v>1758000.0007601124</v>
      </c>
      <c r="E19" s="304">
        <v>1722930</v>
      </c>
      <c r="F19" s="304">
        <v>1701531</v>
      </c>
      <c r="G19" s="304">
        <v>1691158</v>
      </c>
      <c r="H19" s="304">
        <v>1680949</v>
      </c>
      <c r="I19" s="304">
        <v>1672689.5</v>
      </c>
      <c r="J19" s="304">
        <v>1641887</v>
      </c>
      <c r="K19" s="304">
        <v>1612821</v>
      </c>
      <c r="L19" s="304">
        <v>1587472</v>
      </c>
      <c r="M19" s="304">
        <v>1595949</v>
      </c>
      <c r="N19" s="304">
        <v>1631337.4992774806</v>
      </c>
      <c r="O19" s="304">
        <v>1682574.5099853808</v>
      </c>
      <c r="P19" s="304">
        <v>1725591.9409217832</v>
      </c>
      <c r="Q19" s="304">
        <v>1772810.6599119727</v>
      </c>
      <c r="R19" s="304">
        <v>1832687.4256291559</v>
      </c>
      <c r="S19" s="304">
        <v>1875369.0821932168</v>
      </c>
      <c r="T19" s="304">
        <v>1901593.2207178739</v>
      </c>
      <c r="U19" s="304">
        <v>1916528.1702612313</v>
      </c>
      <c r="V19" s="304">
        <v>1943999.3807479443</v>
      </c>
      <c r="W19" s="304">
        <v>1949787.5095374477</v>
      </c>
      <c r="X19" s="304">
        <v>1951437.3793627038</v>
      </c>
      <c r="Y19" s="304">
        <v>1946965.2461551256</v>
      </c>
      <c r="Z19" s="304"/>
    </row>
    <row r="20" spans="2:26">
      <c r="B20" s="12"/>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row>
    <row r="21" spans="2:26">
      <c r="B21" s="149" t="s">
        <v>322</v>
      </c>
      <c r="C21" s="302"/>
      <c r="D21" s="302"/>
      <c r="E21" s="302"/>
      <c r="F21" s="302"/>
      <c r="G21" s="302"/>
      <c r="H21" s="302"/>
      <c r="I21" s="302"/>
      <c r="J21" s="302"/>
      <c r="K21" s="302"/>
      <c r="L21" s="302"/>
      <c r="M21" s="302"/>
      <c r="N21" s="302"/>
      <c r="O21" s="302"/>
      <c r="P21" s="302"/>
      <c r="Q21" s="302"/>
      <c r="R21" s="302"/>
      <c r="S21" s="302"/>
      <c r="T21" s="302"/>
      <c r="U21" s="302"/>
      <c r="V21" s="302"/>
      <c r="W21" s="302"/>
      <c r="X21" s="302"/>
      <c r="Y21" s="302"/>
    </row>
    <row r="22" spans="2:26" s="5" customFormat="1">
      <c r="B22" s="76"/>
      <c r="C22" s="305" t="str">
        <f t="shared" ref="C22:Z22" si="1">C17</f>
        <v>2004/05</v>
      </c>
      <c r="D22" s="305" t="str">
        <f t="shared" si="1"/>
        <v>2005/06</v>
      </c>
      <c r="E22" s="305" t="str">
        <f t="shared" si="1"/>
        <v>2006/07</v>
      </c>
      <c r="F22" s="305" t="str">
        <f t="shared" si="1"/>
        <v>2007/08</v>
      </c>
      <c r="G22" s="305" t="str">
        <f t="shared" si="1"/>
        <v>2008/09</v>
      </c>
      <c r="H22" s="305" t="str">
        <f t="shared" si="1"/>
        <v>2009/10</v>
      </c>
      <c r="I22" s="305" t="str">
        <f t="shared" si="1"/>
        <v>2010/11</v>
      </c>
      <c r="J22" s="305" t="str">
        <f t="shared" si="1"/>
        <v>2011/12</v>
      </c>
      <c r="K22" s="305" t="str">
        <f t="shared" si="1"/>
        <v>2012/13</v>
      </c>
      <c r="L22" s="305" t="str">
        <f t="shared" si="1"/>
        <v>2013/14</v>
      </c>
      <c r="M22" s="305" t="str">
        <f t="shared" si="1"/>
        <v>2014/15</v>
      </c>
      <c r="N22" s="305" t="str">
        <f t="shared" si="1"/>
        <v>2015/16</v>
      </c>
      <c r="O22" s="305" t="str">
        <f t="shared" si="1"/>
        <v>2016/17</v>
      </c>
      <c r="P22" s="305" t="str">
        <f t="shared" si="1"/>
        <v>2017/18</v>
      </c>
      <c r="Q22" s="305" t="str">
        <f t="shared" si="1"/>
        <v>2018/19</v>
      </c>
      <c r="R22" s="305" t="str">
        <f t="shared" si="1"/>
        <v>2019/20</v>
      </c>
      <c r="S22" s="305" t="str">
        <f t="shared" si="1"/>
        <v>2020/21</v>
      </c>
      <c r="T22" s="305" t="str">
        <f t="shared" si="1"/>
        <v>2021/22</v>
      </c>
      <c r="U22" s="305" t="str">
        <f t="shared" si="1"/>
        <v>2022/23</v>
      </c>
      <c r="V22" s="305" t="str">
        <f t="shared" si="1"/>
        <v>2023/24</v>
      </c>
      <c r="W22" s="305" t="str">
        <f t="shared" si="1"/>
        <v>2024/25</v>
      </c>
      <c r="X22" s="305" t="str">
        <f t="shared" si="1"/>
        <v>2025/26</v>
      </c>
      <c r="Y22" s="305" t="str">
        <f t="shared" si="1"/>
        <v>2026/27</v>
      </c>
      <c r="Z22" s="305" t="str">
        <f t="shared" si="1"/>
        <v>2027/28</v>
      </c>
    </row>
    <row r="23" spans="2:26">
      <c r="B23" s="12" t="s">
        <v>1237</v>
      </c>
      <c r="C23" s="304">
        <f>RAW_DATA_INPUTS!C358</f>
        <v>1170159</v>
      </c>
      <c r="D23" s="304">
        <f>RAW_DATA_INPUTS!D358</f>
        <v>1185802.5625101563</v>
      </c>
      <c r="E23" s="304">
        <f>RAW_DATA_INPUTS!E358</f>
        <v>1189358</v>
      </c>
      <c r="F23" s="304">
        <f>RAW_DATA_INPUTS!F358</f>
        <v>1166918.5</v>
      </c>
      <c r="G23" s="304">
        <f>RAW_DATA_INPUTS!G358</f>
        <v>1146150</v>
      </c>
      <c r="H23" s="304">
        <f>RAW_DATA_INPUTS!H358</f>
        <v>1133977</v>
      </c>
      <c r="I23" s="304">
        <f>RAW_DATA_INPUTS!I358</f>
        <v>1116342.5</v>
      </c>
      <c r="J23" s="304">
        <f>RAW_DATA_INPUTS!J358</f>
        <v>1120567</v>
      </c>
      <c r="K23" s="304">
        <f>RAW_DATA_INPUTS!K358</f>
        <v>1117099</v>
      </c>
      <c r="L23" s="304">
        <f>RAW_DATA_INPUTS!L358</f>
        <v>1099417.5</v>
      </c>
      <c r="M23" s="304">
        <f>RAW_DATA_INPUTS!M358</f>
        <v>1081078</v>
      </c>
      <c r="N23" s="304">
        <f>RAW_DATA_INPUTS!N358</f>
        <v>1057483</v>
      </c>
      <c r="O23" s="304">
        <f>RAW_DATA_INPUTS!O358</f>
        <v>1040625.6043942383</v>
      </c>
      <c r="P23" s="304">
        <f>RAW_DATA_INPUTS!P358</f>
        <v>1058358.5821559713</v>
      </c>
      <c r="Q23" s="304">
        <f>RAW_DATA_INPUTS!Q358</f>
        <v>1097644.5657882683</v>
      </c>
      <c r="R23" s="304">
        <f>RAW_DATA_INPUTS!R358</f>
        <v>1127512.3599218801</v>
      </c>
      <c r="S23" s="304">
        <f>RAW_DATA_INPUTS!S358</f>
        <v>1152699.2067537962</v>
      </c>
      <c r="T23" s="304">
        <f>RAW_DATA_INPUTS!T358</f>
        <v>1187590.8202413935</v>
      </c>
      <c r="U23" s="304">
        <f>RAW_DATA_INPUTS!U358</f>
        <v>1233917.8070985656</v>
      </c>
      <c r="V23" s="304">
        <f>RAW_DATA_INPUTS!V358</f>
        <v>1255218.8994874852</v>
      </c>
      <c r="W23" s="304">
        <f>RAW_DATA_INPUTS!W358</f>
        <v>1264502.0497479856</v>
      </c>
      <c r="X23" s="304">
        <f>RAW_DATA_INPUTS!X358</f>
        <v>1292760.7570925467</v>
      </c>
      <c r="Y23" s="304">
        <f>RAW_DATA_INPUTS!Y358</f>
        <v>1318712.4272962825</v>
      </c>
      <c r="Z23" s="304">
        <f>RAW_DATA_INPUTS!Z358</f>
        <v>1307078.5028154906</v>
      </c>
    </row>
    <row r="24" spans="2:26">
      <c r="B24" s="12" t="s">
        <v>1238</v>
      </c>
      <c r="C24" s="304">
        <v>1170159</v>
      </c>
      <c r="D24" s="304">
        <v>1185802.5625101561</v>
      </c>
      <c r="E24" s="304">
        <v>1189358</v>
      </c>
      <c r="F24" s="304">
        <v>1166918.5</v>
      </c>
      <c r="G24" s="304">
        <v>1146150</v>
      </c>
      <c r="H24" s="304">
        <v>1133977</v>
      </c>
      <c r="I24" s="304">
        <v>1116342.5</v>
      </c>
      <c r="J24" s="304">
        <v>1120567</v>
      </c>
      <c r="K24" s="304">
        <v>1117099</v>
      </c>
      <c r="L24" s="304">
        <v>1099417.5</v>
      </c>
      <c r="M24" s="304">
        <v>1081075</v>
      </c>
      <c r="N24" s="304">
        <v>1058432.3288384024</v>
      </c>
      <c r="O24" s="304">
        <v>1044919.5569496884</v>
      </c>
      <c r="P24" s="304">
        <v>1062144.4945245557</v>
      </c>
      <c r="Q24" s="304">
        <v>1101182.2609006851</v>
      </c>
      <c r="R24" s="304">
        <v>1130456.8898198837</v>
      </c>
      <c r="S24" s="304">
        <v>1155562.6241693753</v>
      </c>
      <c r="T24" s="304">
        <v>1190610.1109601259</v>
      </c>
      <c r="U24" s="304">
        <v>1236824.0435936502</v>
      </c>
      <c r="V24" s="304">
        <v>1257506.9499400903</v>
      </c>
      <c r="W24" s="304">
        <v>1259261.6067573994</v>
      </c>
      <c r="X24" s="304">
        <v>1277899.9010900259</v>
      </c>
      <c r="Y24" s="304">
        <v>1299936.6778506928</v>
      </c>
      <c r="Z24" s="304"/>
    </row>
    <row r="25" spans="2:26">
      <c r="B25" s="12"/>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row>
    <row r="26" spans="2:26">
      <c r="B26" s="149" t="s">
        <v>323</v>
      </c>
      <c r="C26" s="302"/>
      <c r="D26" s="302"/>
      <c r="E26" s="302"/>
      <c r="F26" s="302"/>
      <c r="G26" s="302"/>
      <c r="H26" s="302"/>
      <c r="I26" s="302"/>
      <c r="J26" s="302"/>
      <c r="K26" s="302"/>
      <c r="L26" s="302"/>
      <c r="M26" s="302"/>
      <c r="N26" s="302"/>
      <c r="O26" s="302"/>
      <c r="P26" s="302"/>
      <c r="Q26" s="302"/>
      <c r="R26" s="302"/>
      <c r="S26" s="302"/>
      <c r="T26" s="302"/>
      <c r="U26" s="302"/>
      <c r="V26" s="302"/>
      <c r="W26" s="302"/>
      <c r="X26" s="302"/>
      <c r="Y26" s="302"/>
    </row>
    <row r="27" spans="2:26" s="5" customFormat="1">
      <c r="B27" s="76"/>
      <c r="C27" s="305" t="str">
        <f t="shared" ref="C27:Z27" si="2">C22</f>
        <v>2004/05</v>
      </c>
      <c r="D27" s="305" t="str">
        <f t="shared" si="2"/>
        <v>2005/06</v>
      </c>
      <c r="E27" s="305" t="str">
        <f t="shared" si="2"/>
        <v>2006/07</v>
      </c>
      <c r="F27" s="305" t="str">
        <f t="shared" si="2"/>
        <v>2007/08</v>
      </c>
      <c r="G27" s="305" t="str">
        <f t="shared" si="2"/>
        <v>2008/09</v>
      </c>
      <c r="H27" s="305" t="str">
        <f t="shared" si="2"/>
        <v>2009/10</v>
      </c>
      <c r="I27" s="305" t="str">
        <f t="shared" si="2"/>
        <v>2010/11</v>
      </c>
      <c r="J27" s="305" t="str">
        <f t="shared" si="2"/>
        <v>2011/12</v>
      </c>
      <c r="K27" s="305" t="str">
        <f t="shared" si="2"/>
        <v>2012/13</v>
      </c>
      <c r="L27" s="305" t="str">
        <f t="shared" si="2"/>
        <v>2013/14</v>
      </c>
      <c r="M27" s="305" t="str">
        <f t="shared" si="2"/>
        <v>2014/15</v>
      </c>
      <c r="N27" s="305" t="str">
        <f t="shared" si="2"/>
        <v>2015/16</v>
      </c>
      <c r="O27" s="305" t="str">
        <f t="shared" si="2"/>
        <v>2016/17</v>
      </c>
      <c r="P27" s="305" t="str">
        <f t="shared" si="2"/>
        <v>2017/18</v>
      </c>
      <c r="Q27" s="305" t="str">
        <f t="shared" si="2"/>
        <v>2018/19</v>
      </c>
      <c r="R27" s="305" t="str">
        <f t="shared" si="2"/>
        <v>2019/20</v>
      </c>
      <c r="S27" s="305" t="str">
        <f t="shared" si="2"/>
        <v>2020/21</v>
      </c>
      <c r="T27" s="305" t="str">
        <f t="shared" si="2"/>
        <v>2021/22</v>
      </c>
      <c r="U27" s="305" t="str">
        <f t="shared" si="2"/>
        <v>2022/23</v>
      </c>
      <c r="V27" s="305" t="str">
        <f t="shared" si="2"/>
        <v>2023/24</v>
      </c>
      <c r="W27" s="305" t="str">
        <f t="shared" si="2"/>
        <v>2024/25</v>
      </c>
      <c r="X27" s="305" t="str">
        <f t="shared" si="2"/>
        <v>2025/26</v>
      </c>
      <c r="Y27" s="305" t="str">
        <f t="shared" si="2"/>
        <v>2026/27</v>
      </c>
      <c r="Z27" s="305" t="str">
        <f t="shared" si="2"/>
        <v>2027/28</v>
      </c>
    </row>
    <row r="28" spans="2:26">
      <c r="B28" s="12" t="s">
        <v>1239</v>
      </c>
      <c r="C28" s="304">
        <f>Pupils_data_scenarios!C20</f>
        <v>355184.5</v>
      </c>
      <c r="D28" s="304">
        <f>Pupils_data_scenarios!D20</f>
        <v>361355</v>
      </c>
      <c r="E28" s="304">
        <f>Pupils_data_scenarios!E20</f>
        <v>370116</v>
      </c>
      <c r="F28" s="304">
        <f>Pupils_data_scenarios!F20</f>
        <v>380453</v>
      </c>
      <c r="G28" s="304">
        <f>Pupils_data_scenarios!G20</f>
        <v>394342</v>
      </c>
      <c r="H28" s="304">
        <f>Pupils_data_scenarios!H20</f>
        <v>412859.5</v>
      </c>
      <c r="I28" s="304">
        <f>Pupils_data_scenarios!I20</f>
        <v>423222</v>
      </c>
      <c r="J28" s="304">
        <f>Pupils_data_scenarios!J20</f>
        <v>423232.5</v>
      </c>
      <c r="K28" s="304">
        <f>Pupils_data_scenarios!K20</f>
        <v>428860</v>
      </c>
      <c r="L28" s="304">
        <f>Pupils_data_scenarios!L20</f>
        <v>439034.5</v>
      </c>
      <c r="M28" s="304">
        <f>Pupils_data_scenarios!M20</f>
        <v>442772</v>
      </c>
      <c r="N28" s="304">
        <f>Pupils_data_scenarios!N20</f>
        <v>433788</v>
      </c>
      <c r="O28" s="304">
        <f>Pupils_data_scenarios!O20</f>
        <v>428545.20451393852</v>
      </c>
      <c r="P28" s="304">
        <f>Pupils_data_scenarios!P20</f>
        <v>419361.78857838438</v>
      </c>
      <c r="Q28" s="304">
        <f>Pupils_data_scenarios!Q20</f>
        <v>410245.50884306151</v>
      </c>
      <c r="R28" s="304">
        <f>Pupils_data_scenarios!R20</f>
        <v>406321.98384626833</v>
      </c>
      <c r="S28" s="304">
        <f>Pupils_data_scenarios!S20</f>
        <v>407908.7817738661</v>
      </c>
      <c r="T28" s="304">
        <f>Pupils_data_scenarios!T20</f>
        <v>414599.54691593052</v>
      </c>
      <c r="U28" s="304">
        <f>Pupils_data_scenarios!U20</f>
        <v>427051.82731021068</v>
      </c>
      <c r="V28" s="304">
        <f>Pupils_data_scenarios!V20</f>
        <v>439692.43116813409</v>
      </c>
      <c r="W28" s="304">
        <f>Pupils_data_scenarios!W20</f>
        <v>453063.3820700291</v>
      </c>
      <c r="X28" s="304">
        <f>Pupils_data_scenarios!X20</f>
        <v>462667.53121151531</v>
      </c>
      <c r="Y28" s="304">
        <f>Pupils_data_scenarios!Y20</f>
        <v>470577.77984100528</v>
      </c>
      <c r="Z28" s="304">
        <f>Pupils_data_scenarios!Z20</f>
        <v>478187.03901394637</v>
      </c>
    </row>
    <row r="29" spans="2:26">
      <c r="B29" s="12" t="s">
        <v>1240</v>
      </c>
      <c r="C29" s="304">
        <v>355184.5</v>
      </c>
      <c r="D29" s="304">
        <v>361355</v>
      </c>
      <c r="E29" s="304">
        <v>370116</v>
      </c>
      <c r="F29" s="304">
        <v>380453</v>
      </c>
      <c r="G29" s="304">
        <v>394342</v>
      </c>
      <c r="H29" s="304">
        <v>412859.5</v>
      </c>
      <c r="I29" s="304">
        <v>423222</v>
      </c>
      <c r="J29" s="304">
        <v>423232.5</v>
      </c>
      <c r="K29" s="304">
        <v>428860</v>
      </c>
      <c r="L29" s="304">
        <v>437781.5</v>
      </c>
      <c r="M29" s="304">
        <v>447428.04641765938</v>
      </c>
      <c r="N29" s="304">
        <v>455679.46802096401</v>
      </c>
      <c r="O29" s="304">
        <v>464252.31594055961</v>
      </c>
      <c r="P29" s="304">
        <v>457080.99332789559</v>
      </c>
      <c r="Q29" s="304">
        <v>447094.39501581329</v>
      </c>
      <c r="R29" s="304">
        <v>437632.01867665612</v>
      </c>
      <c r="S29" s="304">
        <v>432847.25065718353</v>
      </c>
      <c r="T29" s="304">
        <v>434090.56169972272</v>
      </c>
      <c r="U29" s="304">
        <v>440816.84175896668</v>
      </c>
      <c r="V29" s="304">
        <v>453688.03378445579</v>
      </c>
      <c r="W29" s="304">
        <v>466602.7918866757</v>
      </c>
      <c r="X29" s="304">
        <v>480147.50972501154</v>
      </c>
      <c r="Y29" s="304">
        <v>489412.47776856052</v>
      </c>
      <c r="Z29" s="304"/>
    </row>
    <row r="30" spans="2:26">
      <c r="B30" s="12"/>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row>
    <row r="31" spans="2:26">
      <c r="B31" s="149" t="s">
        <v>455</v>
      </c>
      <c r="C31" s="470"/>
      <c r="D31" s="470"/>
      <c r="E31" s="470"/>
      <c r="F31" s="470"/>
      <c r="G31" s="470"/>
      <c r="H31" s="470"/>
      <c r="I31" s="470"/>
      <c r="J31" s="470"/>
      <c r="K31" s="470"/>
      <c r="L31" s="470"/>
      <c r="M31" s="470"/>
      <c r="N31" s="470"/>
      <c r="O31" s="470"/>
      <c r="P31" s="470"/>
      <c r="Q31" s="470"/>
      <c r="R31" s="980"/>
      <c r="S31" s="470"/>
      <c r="T31" s="470"/>
      <c r="U31" s="470"/>
      <c r="V31" s="470"/>
      <c r="W31" s="470"/>
      <c r="X31" s="470"/>
      <c r="Y31" s="470"/>
    </row>
    <row r="32" spans="2:26">
      <c r="B32" s="149"/>
      <c r="C32" s="495" t="str">
        <f t="shared" ref="C32:Z32" si="3">C27</f>
        <v>2004/05</v>
      </c>
      <c r="D32" s="495" t="str">
        <f t="shared" si="3"/>
        <v>2005/06</v>
      </c>
      <c r="E32" s="495" t="str">
        <f t="shared" si="3"/>
        <v>2006/07</v>
      </c>
      <c r="F32" s="495" t="str">
        <f t="shared" si="3"/>
        <v>2007/08</v>
      </c>
      <c r="G32" s="495" t="str">
        <f t="shared" si="3"/>
        <v>2008/09</v>
      </c>
      <c r="H32" s="495" t="str">
        <f t="shared" si="3"/>
        <v>2009/10</v>
      </c>
      <c r="I32" s="495" t="str">
        <f t="shared" si="3"/>
        <v>2010/11</v>
      </c>
      <c r="J32" s="495" t="str">
        <f t="shared" si="3"/>
        <v>2011/12</v>
      </c>
      <c r="K32" s="495" t="str">
        <f t="shared" si="3"/>
        <v>2012/13</v>
      </c>
      <c r="L32" s="495" t="str">
        <f t="shared" si="3"/>
        <v>2013/14</v>
      </c>
      <c r="M32" s="495" t="str">
        <f t="shared" si="3"/>
        <v>2014/15</v>
      </c>
      <c r="N32" s="495" t="str">
        <f t="shared" si="3"/>
        <v>2015/16</v>
      </c>
      <c r="O32" s="495" t="str">
        <f t="shared" si="3"/>
        <v>2016/17</v>
      </c>
      <c r="P32" s="495" t="str">
        <f t="shared" si="3"/>
        <v>2017/18</v>
      </c>
      <c r="Q32" s="495" t="str">
        <f t="shared" si="3"/>
        <v>2018/19</v>
      </c>
      <c r="R32" s="495" t="str">
        <f t="shared" si="3"/>
        <v>2019/20</v>
      </c>
      <c r="S32" s="495" t="str">
        <f t="shared" si="3"/>
        <v>2020/21</v>
      </c>
      <c r="T32" s="495" t="str">
        <f t="shared" si="3"/>
        <v>2021/22</v>
      </c>
      <c r="U32" s="495" t="str">
        <f t="shared" si="3"/>
        <v>2022/23</v>
      </c>
      <c r="V32" s="495" t="str">
        <f t="shared" si="3"/>
        <v>2023/24</v>
      </c>
      <c r="W32" s="495" t="str">
        <f t="shared" si="3"/>
        <v>2024/25</v>
      </c>
      <c r="X32" s="495" t="str">
        <f t="shared" si="3"/>
        <v>2025/26</v>
      </c>
      <c r="Y32" s="495" t="str">
        <f t="shared" si="3"/>
        <v>2026/27</v>
      </c>
      <c r="Z32" s="495" t="str">
        <f t="shared" si="3"/>
        <v>2027/28</v>
      </c>
    </row>
    <row r="33" spans="2:27">
      <c r="B33" s="12" t="s">
        <v>1241</v>
      </c>
      <c r="C33" s="470">
        <f>C18+C23+C28</f>
        <v>3308483</v>
      </c>
      <c r="D33" s="470">
        <f t="shared" ref="D33:Z33" si="4">D18+D23+D28</f>
        <v>3305157.563270269</v>
      </c>
      <c r="E33" s="470">
        <f t="shared" si="4"/>
        <v>3282404</v>
      </c>
      <c r="F33" s="470">
        <f t="shared" si="4"/>
        <v>3248902.5</v>
      </c>
      <c r="G33" s="470">
        <f t="shared" si="4"/>
        <v>3231650</v>
      </c>
      <c r="H33" s="470">
        <f t="shared" si="4"/>
        <v>3227785.5</v>
      </c>
      <c r="I33" s="470">
        <f t="shared" si="4"/>
        <v>3212254</v>
      </c>
      <c r="J33" s="470">
        <f t="shared" si="4"/>
        <v>3185686.5</v>
      </c>
      <c r="K33" s="470">
        <f t="shared" si="4"/>
        <v>3158780</v>
      </c>
      <c r="L33" s="470">
        <f t="shared" si="4"/>
        <v>3125924</v>
      </c>
      <c r="M33" s="470">
        <f t="shared" si="4"/>
        <v>3119799</v>
      </c>
      <c r="N33" s="470">
        <f t="shared" si="4"/>
        <v>3121988</v>
      </c>
      <c r="O33" s="470">
        <f t="shared" si="4"/>
        <v>3153434.5188964177</v>
      </c>
      <c r="P33" s="981">
        <f t="shared" si="4"/>
        <v>3206473.5103805256</v>
      </c>
      <c r="Q33" s="981">
        <f t="shared" si="4"/>
        <v>3284777.7855463745</v>
      </c>
      <c r="R33" s="470">
        <f t="shared" si="4"/>
        <v>3371521.969667735</v>
      </c>
      <c r="S33" s="470">
        <f t="shared" si="4"/>
        <v>3441735.9770776005</v>
      </c>
      <c r="T33" s="470">
        <f t="shared" si="4"/>
        <v>3517503.4884628272</v>
      </c>
      <c r="U33" s="470">
        <f t="shared" si="4"/>
        <v>3601496.689145844</v>
      </c>
      <c r="V33" s="470">
        <f t="shared" si="4"/>
        <v>3674251.4793677852</v>
      </c>
      <c r="W33" s="470">
        <f t="shared" si="4"/>
        <v>3701291.536776138</v>
      </c>
      <c r="X33" s="470">
        <f t="shared" si="4"/>
        <v>3712096.756026078</v>
      </c>
      <c r="Y33" s="470">
        <f t="shared" si="4"/>
        <v>3707922.516725075</v>
      </c>
      <c r="Z33" s="470">
        <f t="shared" si="4"/>
        <v>3695259.6565467082</v>
      </c>
    </row>
    <row r="34" spans="2:27">
      <c r="B34" s="12" t="s">
        <v>1242</v>
      </c>
      <c r="C34" s="470">
        <f>C19+C24+C29</f>
        <v>3308483</v>
      </c>
      <c r="D34" s="470">
        <f t="shared" ref="D34:Y34" si="5">D19+D24+D29</f>
        <v>3305157.5632702685</v>
      </c>
      <c r="E34" s="470">
        <f t="shared" si="5"/>
        <v>3282404</v>
      </c>
      <c r="F34" s="470">
        <f t="shared" si="5"/>
        <v>3248902.5</v>
      </c>
      <c r="G34" s="470">
        <f t="shared" si="5"/>
        <v>3231650</v>
      </c>
      <c r="H34" s="470">
        <f t="shared" si="5"/>
        <v>3227785.5</v>
      </c>
      <c r="I34" s="470">
        <f t="shared" si="5"/>
        <v>3212254</v>
      </c>
      <c r="J34" s="470">
        <f t="shared" si="5"/>
        <v>3185686.5</v>
      </c>
      <c r="K34" s="470">
        <f t="shared" si="5"/>
        <v>3158780</v>
      </c>
      <c r="L34" s="470">
        <f t="shared" si="5"/>
        <v>3124671</v>
      </c>
      <c r="M34" s="470">
        <f t="shared" si="5"/>
        <v>3124452.0464176591</v>
      </c>
      <c r="N34" s="470">
        <f t="shared" si="5"/>
        <v>3145449.2961368472</v>
      </c>
      <c r="O34" s="470">
        <f t="shared" si="5"/>
        <v>3191746.3828756288</v>
      </c>
      <c r="P34" s="470">
        <f t="shared" si="5"/>
        <v>3244817.4287742344</v>
      </c>
      <c r="Q34" s="470">
        <f t="shared" si="5"/>
        <v>3321087.3158284714</v>
      </c>
      <c r="R34" s="470">
        <f t="shared" si="5"/>
        <v>3400776.3341256958</v>
      </c>
      <c r="S34" s="470">
        <f t="shared" si="5"/>
        <v>3463778.9570197756</v>
      </c>
      <c r="T34" s="470">
        <f t="shared" si="5"/>
        <v>3526293.8933777227</v>
      </c>
      <c r="U34" s="470">
        <f t="shared" si="5"/>
        <v>3594169.0556138484</v>
      </c>
      <c r="V34" s="470">
        <f t="shared" si="5"/>
        <v>3655194.3644724903</v>
      </c>
      <c r="W34" s="470">
        <f t="shared" si="5"/>
        <v>3675651.9081815225</v>
      </c>
      <c r="X34" s="470">
        <f t="shared" si="5"/>
        <v>3709484.7901777411</v>
      </c>
      <c r="Y34" s="470">
        <f t="shared" si="5"/>
        <v>3736314.401774379</v>
      </c>
      <c r="Z34" s="470"/>
    </row>
    <row r="35" spans="2:27">
      <c r="C35" s="470"/>
      <c r="D35" s="470"/>
      <c r="E35" s="470"/>
      <c r="F35" s="470"/>
      <c r="G35" s="470"/>
      <c r="H35" s="470"/>
      <c r="I35" s="470"/>
      <c r="J35" s="470"/>
      <c r="K35" s="470"/>
      <c r="L35" s="470"/>
      <c r="M35" s="470"/>
      <c r="N35" s="470"/>
      <c r="O35" s="470"/>
      <c r="P35" s="470"/>
      <c r="Q35" s="470"/>
      <c r="R35" s="470"/>
      <c r="S35" s="470"/>
      <c r="T35" s="470"/>
      <c r="U35" s="470"/>
      <c r="V35" s="470"/>
      <c r="W35" s="470"/>
      <c r="X35" s="470"/>
      <c r="Y35" s="470"/>
    </row>
    <row r="36" spans="2:27" s="5" customFormat="1">
      <c r="C36" s="305" t="str">
        <f t="shared" ref="C36:Z36" si="6">C27</f>
        <v>2004/05</v>
      </c>
      <c r="D36" s="305" t="str">
        <f t="shared" si="6"/>
        <v>2005/06</v>
      </c>
      <c r="E36" s="305" t="str">
        <f t="shared" si="6"/>
        <v>2006/07</v>
      </c>
      <c r="F36" s="305" t="str">
        <f t="shared" si="6"/>
        <v>2007/08</v>
      </c>
      <c r="G36" s="305" t="str">
        <f t="shared" si="6"/>
        <v>2008/09</v>
      </c>
      <c r="H36" s="305" t="str">
        <f t="shared" si="6"/>
        <v>2009/10</v>
      </c>
      <c r="I36" s="305" t="str">
        <f t="shared" si="6"/>
        <v>2010/11</v>
      </c>
      <c r="J36" s="305" t="str">
        <f t="shared" si="6"/>
        <v>2011/12</v>
      </c>
      <c r="K36" s="305" t="str">
        <f t="shared" si="6"/>
        <v>2012/13</v>
      </c>
      <c r="L36" s="305" t="str">
        <f t="shared" si="6"/>
        <v>2013/14</v>
      </c>
      <c r="M36" s="305" t="str">
        <f t="shared" si="6"/>
        <v>2014/15</v>
      </c>
      <c r="N36" s="305" t="str">
        <f t="shared" si="6"/>
        <v>2015/16</v>
      </c>
      <c r="O36" s="305" t="str">
        <f t="shared" si="6"/>
        <v>2016/17</v>
      </c>
      <c r="P36" s="305" t="str">
        <f t="shared" si="6"/>
        <v>2017/18</v>
      </c>
      <c r="Q36" s="305" t="str">
        <f t="shared" si="6"/>
        <v>2018/19</v>
      </c>
      <c r="R36" s="305" t="str">
        <f t="shared" si="6"/>
        <v>2019/20</v>
      </c>
      <c r="S36" s="305" t="str">
        <f t="shared" si="6"/>
        <v>2020/21</v>
      </c>
      <c r="T36" s="305" t="str">
        <f t="shared" si="6"/>
        <v>2021/22</v>
      </c>
      <c r="U36" s="305" t="str">
        <f t="shared" si="6"/>
        <v>2022/23</v>
      </c>
      <c r="V36" s="305" t="str">
        <f t="shared" si="6"/>
        <v>2023/24</v>
      </c>
      <c r="W36" s="305" t="str">
        <f t="shared" si="6"/>
        <v>2024/25</v>
      </c>
      <c r="X36" s="305" t="str">
        <f t="shared" si="6"/>
        <v>2025/26</v>
      </c>
      <c r="Y36" s="305" t="str">
        <f t="shared" si="6"/>
        <v>2026/27</v>
      </c>
      <c r="Z36" s="305" t="str">
        <f t="shared" si="6"/>
        <v>2027/28</v>
      </c>
    </row>
    <row r="37" spans="2:27">
      <c r="B37" s="12" t="s">
        <v>1243</v>
      </c>
      <c r="C37" s="304">
        <f>C13</f>
        <v>4133670.5</v>
      </c>
      <c r="D37" s="304">
        <f t="shared" ref="D37:Z37" si="7">D13</f>
        <v>4085271.436729731</v>
      </c>
      <c r="E37" s="304">
        <f t="shared" si="7"/>
        <v>4047195.5</v>
      </c>
      <c r="F37" s="304">
        <f t="shared" si="7"/>
        <v>4028055.5</v>
      </c>
      <c r="G37" s="304">
        <f t="shared" si="7"/>
        <v>4016161.5</v>
      </c>
      <c r="H37" s="304">
        <f t="shared" si="7"/>
        <v>4036364.5</v>
      </c>
      <c r="I37" s="304">
        <f t="shared" si="7"/>
        <v>4074368</v>
      </c>
      <c r="J37" s="304">
        <f t="shared" si="7"/>
        <v>4150277.5</v>
      </c>
      <c r="K37" s="304">
        <f t="shared" si="7"/>
        <v>4247394.5</v>
      </c>
      <c r="L37" s="304">
        <f t="shared" si="7"/>
        <v>4359000</v>
      </c>
      <c r="M37" s="304">
        <f t="shared" si="7"/>
        <v>4463434</v>
      </c>
      <c r="N37" s="304">
        <f t="shared" si="7"/>
        <v>4574041.5</v>
      </c>
      <c r="O37" s="304">
        <f t="shared" si="7"/>
        <v>4669403.6051013358</v>
      </c>
      <c r="P37" s="304">
        <f t="shared" si="7"/>
        <v>4728615.0056829667</v>
      </c>
      <c r="Q37" s="304">
        <f t="shared" si="7"/>
        <v>4754148.1072515734</v>
      </c>
      <c r="R37" s="304">
        <f t="shared" si="7"/>
        <v>4754929.3367273957</v>
      </c>
      <c r="S37" s="304">
        <f t="shared" si="7"/>
        <v>4765188.6443500407</v>
      </c>
      <c r="T37" s="304">
        <f t="shared" si="7"/>
        <v>4768353.1674103234</v>
      </c>
      <c r="U37" s="304">
        <f t="shared" si="7"/>
        <v>4760117.7392643597</v>
      </c>
      <c r="V37" s="304">
        <f t="shared" si="7"/>
        <v>4744856.0009206505</v>
      </c>
      <c r="W37" s="304">
        <f t="shared" si="7"/>
        <v>4754081.3268117374</v>
      </c>
      <c r="X37" s="304">
        <f t="shared" si="7"/>
        <v>4780859.047119638</v>
      </c>
      <c r="Y37" s="304">
        <f t="shared" si="7"/>
        <v>4809841.7847702289</v>
      </c>
      <c r="Z37" s="304">
        <f t="shared" si="7"/>
        <v>4831636.05383253</v>
      </c>
      <c r="AA37" s="389"/>
    </row>
    <row r="38" spans="2:27">
      <c r="B38" s="12" t="s">
        <v>1244</v>
      </c>
      <c r="C38" s="304">
        <f>C14</f>
        <v>4133670.5</v>
      </c>
      <c r="D38" s="304">
        <f t="shared" ref="D38:Y38" si="8">D14</f>
        <v>4085271.436729731</v>
      </c>
      <c r="E38" s="304">
        <f t="shared" si="8"/>
        <v>4047195.5</v>
      </c>
      <c r="F38" s="304">
        <f t="shared" si="8"/>
        <v>4028055.5</v>
      </c>
      <c r="G38" s="304">
        <f t="shared" si="8"/>
        <v>4016161.5</v>
      </c>
      <c r="H38" s="304">
        <f t="shared" si="8"/>
        <v>4036364.5</v>
      </c>
      <c r="I38" s="304">
        <f t="shared" si="8"/>
        <v>4074368</v>
      </c>
      <c r="J38" s="304">
        <f t="shared" si="8"/>
        <v>4150277.5</v>
      </c>
      <c r="K38" s="304">
        <f t="shared" si="8"/>
        <v>4247394.5</v>
      </c>
      <c r="L38" s="304">
        <f t="shared" si="8"/>
        <v>4359000</v>
      </c>
      <c r="M38" s="304">
        <f t="shared" si="8"/>
        <v>4463434</v>
      </c>
      <c r="N38" s="304">
        <f t="shared" si="8"/>
        <v>4570340.578957404</v>
      </c>
      <c r="O38" s="304">
        <f t="shared" si="8"/>
        <v>4649765.8083290039</v>
      </c>
      <c r="P38" s="304">
        <f t="shared" si="8"/>
        <v>4705889.4138890179</v>
      </c>
      <c r="Q38" s="304">
        <f t="shared" si="8"/>
        <v>4757529.5423344802</v>
      </c>
      <c r="R38" s="304">
        <f t="shared" si="8"/>
        <v>4773997.1801783619</v>
      </c>
      <c r="S38" s="304">
        <f t="shared" si="8"/>
        <v>4797623.7688326025</v>
      </c>
      <c r="T38" s="304">
        <f t="shared" si="8"/>
        <v>4817168.9981302889</v>
      </c>
      <c r="U38" s="304">
        <f t="shared" si="8"/>
        <v>4823777.9385658344</v>
      </c>
      <c r="V38" s="304">
        <f t="shared" si="8"/>
        <v>4821307.1348442696</v>
      </c>
      <c r="W38" s="304">
        <f t="shared" si="8"/>
        <v>4834558.6127212327</v>
      </c>
      <c r="X38" s="304">
        <f t="shared" si="8"/>
        <v>4837519.8380235024</v>
      </c>
      <c r="Y38" s="304">
        <f t="shared" si="8"/>
        <v>4836690.2106246557</v>
      </c>
      <c r="Z38" s="304"/>
      <c r="AA38" s="389"/>
    </row>
    <row r="39" spans="2:27">
      <c r="B39" s="12" t="s">
        <v>1245</v>
      </c>
      <c r="C39" s="304">
        <f>C18+C23+C28</f>
        <v>3308483</v>
      </c>
      <c r="D39" s="304">
        <f t="shared" ref="D39:Z39" si="9">D18+D23+D28</f>
        <v>3305157.563270269</v>
      </c>
      <c r="E39" s="304">
        <f t="shared" si="9"/>
        <v>3282404</v>
      </c>
      <c r="F39" s="304">
        <f t="shared" si="9"/>
        <v>3248902.5</v>
      </c>
      <c r="G39" s="304">
        <f t="shared" si="9"/>
        <v>3231650</v>
      </c>
      <c r="H39" s="304">
        <f t="shared" si="9"/>
        <v>3227785.5</v>
      </c>
      <c r="I39" s="304">
        <f t="shared" si="9"/>
        <v>3212254</v>
      </c>
      <c r="J39" s="304">
        <f t="shared" si="9"/>
        <v>3185686.5</v>
      </c>
      <c r="K39" s="304">
        <f t="shared" si="9"/>
        <v>3158780</v>
      </c>
      <c r="L39" s="304">
        <f t="shared" si="9"/>
        <v>3125924</v>
      </c>
      <c r="M39" s="304">
        <f t="shared" si="9"/>
        <v>3119799</v>
      </c>
      <c r="N39" s="304">
        <f t="shared" si="9"/>
        <v>3121988</v>
      </c>
      <c r="O39" s="304">
        <f t="shared" si="9"/>
        <v>3153434.5188964177</v>
      </c>
      <c r="P39" s="304">
        <f t="shared" si="9"/>
        <v>3206473.5103805256</v>
      </c>
      <c r="Q39" s="304">
        <f t="shared" si="9"/>
        <v>3284777.7855463745</v>
      </c>
      <c r="R39" s="304">
        <f t="shared" si="9"/>
        <v>3371521.969667735</v>
      </c>
      <c r="S39" s="304">
        <f t="shared" si="9"/>
        <v>3441735.9770776005</v>
      </c>
      <c r="T39" s="304">
        <f t="shared" si="9"/>
        <v>3517503.4884628272</v>
      </c>
      <c r="U39" s="304">
        <f t="shared" si="9"/>
        <v>3601496.689145844</v>
      </c>
      <c r="V39" s="304">
        <f t="shared" si="9"/>
        <v>3674251.4793677852</v>
      </c>
      <c r="W39" s="304">
        <f t="shared" si="9"/>
        <v>3701291.536776138</v>
      </c>
      <c r="X39" s="304">
        <f t="shared" si="9"/>
        <v>3712096.756026078</v>
      </c>
      <c r="Y39" s="304">
        <f t="shared" si="9"/>
        <v>3707922.516725075</v>
      </c>
      <c r="Z39" s="304">
        <f t="shared" si="9"/>
        <v>3695259.6565467082</v>
      </c>
      <c r="AA39" s="755"/>
    </row>
    <row r="40" spans="2:27">
      <c r="B40" s="12" t="s">
        <v>1246</v>
      </c>
      <c r="C40" s="304">
        <f>C19+C24+C29</f>
        <v>3308483</v>
      </c>
      <c r="D40" s="304">
        <f t="shared" ref="D40:Y40" si="10">D19+D24+D29</f>
        <v>3305157.5632702685</v>
      </c>
      <c r="E40" s="304">
        <f t="shared" si="10"/>
        <v>3282404</v>
      </c>
      <c r="F40" s="304">
        <f t="shared" si="10"/>
        <v>3248902.5</v>
      </c>
      <c r="G40" s="304">
        <f t="shared" si="10"/>
        <v>3231650</v>
      </c>
      <c r="H40" s="304">
        <f t="shared" si="10"/>
        <v>3227785.5</v>
      </c>
      <c r="I40" s="304">
        <f t="shared" si="10"/>
        <v>3212254</v>
      </c>
      <c r="J40" s="304">
        <f t="shared" si="10"/>
        <v>3185686.5</v>
      </c>
      <c r="K40" s="304">
        <f t="shared" si="10"/>
        <v>3158780</v>
      </c>
      <c r="L40" s="304">
        <f t="shared" si="10"/>
        <v>3124671</v>
      </c>
      <c r="M40" s="304">
        <f t="shared" si="10"/>
        <v>3124452.0464176591</v>
      </c>
      <c r="N40" s="304">
        <f t="shared" si="10"/>
        <v>3145449.2961368472</v>
      </c>
      <c r="O40" s="304">
        <f t="shared" si="10"/>
        <v>3191746.3828756288</v>
      </c>
      <c r="P40" s="304">
        <f t="shared" si="10"/>
        <v>3244817.4287742344</v>
      </c>
      <c r="Q40" s="304">
        <f t="shared" si="10"/>
        <v>3321087.3158284714</v>
      </c>
      <c r="R40" s="304">
        <f t="shared" si="10"/>
        <v>3400776.3341256958</v>
      </c>
      <c r="S40" s="304">
        <f t="shared" si="10"/>
        <v>3463778.9570197756</v>
      </c>
      <c r="T40" s="304">
        <f t="shared" si="10"/>
        <v>3526293.8933777227</v>
      </c>
      <c r="U40" s="304">
        <f t="shared" si="10"/>
        <v>3594169.0556138484</v>
      </c>
      <c r="V40" s="304">
        <f t="shared" si="10"/>
        <v>3655194.3644724903</v>
      </c>
      <c r="W40" s="304">
        <f t="shared" si="10"/>
        <v>3675651.9081815225</v>
      </c>
      <c r="X40" s="304">
        <f t="shared" si="10"/>
        <v>3709484.7901777411</v>
      </c>
      <c r="Y40" s="304">
        <f t="shared" si="10"/>
        <v>3736314.401774379</v>
      </c>
      <c r="Z40" s="304"/>
      <c r="AA40" s="755"/>
    </row>
    <row r="41" spans="2:27">
      <c r="B41" s="12"/>
      <c r="C41" s="389"/>
      <c r="D41" s="389"/>
      <c r="E41" s="389"/>
      <c r="F41" s="389"/>
      <c r="G41" s="389"/>
      <c r="H41" s="389"/>
      <c r="I41" s="389"/>
      <c r="J41" s="389"/>
      <c r="K41" s="389"/>
      <c r="L41" s="389"/>
      <c r="M41" s="389"/>
      <c r="N41" s="389"/>
      <c r="O41" s="389"/>
      <c r="P41" s="389"/>
      <c r="Q41" s="10"/>
      <c r="R41" s="10"/>
      <c r="S41" s="10"/>
      <c r="T41" s="10"/>
      <c r="U41" s="10"/>
      <c r="V41" s="10"/>
      <c r="W41" s="10"/>
      <c r="X41" s="10"/>
      <c r="Y41" s="10"/>
    </row>
    <row r="43" spans="2:27">
      <c r="W43" s="389"/>
      <c r="X43" s="6"/>
    </row>
    <row r="45" spans="2:27">
      <c r="W45" s="389"/>
      <c r="X45" s="6"/>
    </row>
    <row r="79" spans="2:2">
      <c r="B79" s="76" t="s">
        <v>1111</v>
      </c>
    </row>
    <row r="80" spans="2:2">
      <c r="B80" s="76"/>
    </row>
    <row r="81" spans="2:25">
      <c r="C81" s="880" t="str">
        <f>D12</f>
        <v>2005/06</v>
      </c>
      <c r="D81" s="880" t="str">
        <f t="shared" ref="D81:Y81" si="11">E12</f>
        <v>2006/07</v>
      </c>
      <c r="E81" s="880" t="str">
        <f t="shared" si="11"/>
        <v>2007/08</v>
      </c>
      <c r="F81" s="880" t="str">
        <f t="shared" si="11"/>
        <v>2008/09</v>
      </c>
      <c r="G81" s="880" t="str">
        <f t="shared" si="11"/>
        <v>2009/10</v>
      </c>
      <c r="H81" s="880" t="str">
        <f t="shared" si="11"/>
        <v>2010/11</v>
      </c>
      <c r="I81" s="880" t="str">
        <f t="shared" si="11"/>
        <v>2011/12</v>
      </c>
      <c r="J81" s="880" t="str">
        <f t="shared" si="11"/>
        <v>2012/13</v>
      </c>
      <c r="K81" s="880" t="str">
        <f t="shared" si="11"/>
        <v>2013/14</v>
      </c>
      <c r="L81" s="880" t="str">
        <f t="shared" si="11"/>
        <v>2014/15</v>
      </c>
      <c r="M81" s="880" t="str">
        <f t="shared" si="11"/>
        <v>2015/16</v>
      </c>
      <c r="N81" s="880" t="str">
        <f t="shared" si="11"/>
        <v>2016/17</v>
      </c>
      <c r="O81" s="880" t="str">
        <f t="shared" si="11"/>
        <v>2017/18</v>
      </c>
      <c r="P81" s="880" t="str">
        <f t="shared" si="11"/>
        <v>2018/19</v>
      </c>
      <c r="Q81" s="880" t="str">
        <f t="shared" si="11"/>
        <v>2019/20</v>
      </c>
      <c r="R81" s="880" t="str">
        <f t="shared" si="11"/>
        <v>2020/21</v>
      </c>
      <c r="S81" s="880" t="str">
        <f t="shared" si="11"/>
        <v>2021/22</v>
      </c>
      <c r="T81" s="880" t="str">
        <f t="shared" si="11"/>
        <v>2022/23</v>
      </c>
      <c r="U81" s="880" t="str">
        <f t="shared" si="11"/>
        <v>2023/24</v>
      </c>
      <c r="V81" s="880" t="str">
        <f t="shared" si="11"/>
        <v>2024/25</v>
      </c>
      <c r="W81" s="880" t="str">
        <f t="shared" si="11"/>
        <v>2025/26</v>
      </c>
      <c r="X81" s="880" t="str">
        <f t="shared" si="11"/>
        <v>2026/27</v>
      </c>
      <c r="Y81" s="880" t="str">
        <f t="shared" si="11"/>
        <v>2027/28</v>
      </c>
    </row>
    <row r="82" spans="2:25">
      <c r="B82" s="12" t="s">
        <v>1253</v>
      </c>
      <c r="C82" s="803">
        <f t="shared" ref="C82:Y82" si="12">D37-C37</f>
        <v>-48399.063270268962</v>
      </c>
      <c r="D82" s="803">
        <f t="shared" si="12"/>
        <v>-38075.936729731038</v>
      </c>
      <c r="E82" s="803">
        <f t="shared" si="12"/>
        <v>-19140</v>
      </c>
      <c r="F82" s="803">
        <f t="shared" si="12"/>
        <v>-11894</v>
      </c>
      <c r="G82" s="803">
        <f t="shared" si="12"/>
        <v>20203</v>
      </c>
      <c r="H82" s="803">
        <f t="shared" si="12"/>
        <v>38003.5</v>
      </c>
      <c r="I82" s="803">
        <f t="shared" si="12"/>
        <v>75909.5</v>
      </c>
      <c r="J82" s="803">
        <f t="shared" si="12"/>
        <v>97117</v>
      </c>
      <c r="K82" s="803">
        <f t="shared" si="12"/>
        <v>111605.5</v>
      </c>
      <c r="L82" s="803">
        <f t="shared" si="12"/>
        <v>104434</v>
      </c>
      <c r="M82" s="803">
        <f t="shared" si="12"/>
        <v>110607.5</v>
      </c>
      <c r="N82" s="803">
        <f t="shared" si="12"/>
        <v>95362.105101335794</v>
      </c>
      <c r="O82" s="803">
        <f t="shared" si="12"/>
        <v>59211.400581630878</v>
      </c>
      <c r="P82" s="803">
        <f t="shared" si="12"/>
        <v>25533.101568606682</v>
      </c>
      <c r="Q82" s="803">
        <f t="shared" si="12"/>
        <v>781.22947582229972</v>
      </c>
      <c r="R82" s="803">
        <f t="shared" si="12"/>
        <v>10259.30762264505</v>
      </c>
      <c r="S82" s="803">
        <f t="shared" si="12"/>
        <v>3164.5230602826923</v>
      </c>
      <c r="T82" s="803">
        <f t="shared" si="12"/>
        <v>-8235.4281459636986</v>
      </c>
      <c r="U82" s="803">
        <f t="shared" si="12"/>
        <v>-15261.738343709148</v>
      </c>
      <c r="V82" s="803">
        <f t="shared" si="12"/>
        <v>9225.3258910868317</v>
      </c>
      <c r="W82" s="803">
        <f t="shared" si="12"/>
        <v>26777.72030790057</v>
      </c>
      <c r="X82" s="803">
        <f t="shared" si="12"/>
        <v>28982.737650590949</v>
      </c>
      <c r="Y82" s="803">
        <f t="shared" si="12"/>
        <v>21794.269062301144</v>
      </c>
    </row>
    <row r="83" spans="2:25">
      <c r="B83" s="12" t="s">
        <v>1254</v>
      </c>
      <c r="C83" s="803">
        <f t="shared" ref="C83:Y83" si="13">D39-C39</f>
        <v>-3325.4367297310382</v>
      </c>
      <c r="D83" s="803">
        <f t="shared" si="13"/>
        <v>-22753.563270268962</v>
      </c>
      <c r="E83" s="803">
        <f t="shared" si="13"/>
        <v>-33501.5</v>
      </c>
      <c r="F83" s="803">
        <f t="shared" si="13"/>
        <v>-17252.5</v>
      </c>
      <c r="G83" s="803">
        <f t="shared" si="13"/>
        <v>-3864.5</v>
      </c>
      <c r="H83" s="803">
        <f t="shared" si="13"/>
        <v>-15531.5</v>
      </c>
      <c r="I83" s="803">
        <f t="shared" si="13"/>
        <v>-26567.5</v>
      </c>
      <c r="J83" s="803">
        <f t="shared" si="13"/>
        <v>-26906.5</v>
      </c>
      <c r="K83" s="803">
        <f t="shared" si="13"/>
        <v>-32856</v>
      </c>
      <c r="L83" s="803">
        <f t="shared" si="13"/>
        <v>-6125</v>
      </c>
      <c r="M83" s="803">
        <f t="shared" si="13"/>
        <v>2189</v>
      </c>
      <c r="N83" s="803">
        <f t="shared" si="13"/>
        <v>31446.518896417692</v>
      </c>
      <c r="O83" s="803">
        <f t="shared" si="13"/>
        <v>53038.991484107915</v>
      </c>
      <c r="P83" s="803">
        <f>Q39-P39</f>
        <v>78304.2751658489</v>
      </c>
      <c r="Q83" s="803">
        <f t="shared" si="13"/>
        <v>86744.184121360537</v>
      </c>
      <c r="R83" s="803">
        <f t="shared" si="13"/>
        <v>70214.007409865502</v>
      </c>
      <c r="S83" s="803">
        <f t="shared" si="13"/>
        <v>75767.511385226622</v>
      </c>
      <c r="T83" s="803">
        <f t="shared" si="13"/>
        <v>83993.200683016796</v>
      </c>
      <c r="U83" s="803">
        <f t="shared" si="13"/>
        <v>72754.790221941192</v>
      </c>
      <c r="V83" s="803">
        <f t="shared" si="13"/>
        <v>27040.057408352848</v>
      </c>
      <c r="W83" s="803">
        <f t="shared" si="13"/>
        <v>10805.219249940012</v>
      </c>
      <c r="X83" s="803">
        <f t="shared" si="13"/>
        <v>-4174.2393010030501</v>
      </c>
      <c r="Y83" s="803">
        <f t="shared" si="13"/>
        <v>-12662.860178366769</v>
      </c>
    </row>
    <row r="84" spans="2:25">
      <c r="B84" s="12" t="s">
        <v>1253</v>
      </c>
      <c r="C84" s="804">
        <f t="shared" ref="C84:Y84" si="14">C82/C37</f>
        <v>-1.1708495698984465E-2</v>
      </c>
      <c r="D84" s="804">
        <f t="shared" si="14"/>
        <v>-9.3202954367729626E-3</v>
      </c>
      <c r="E84" s="804">
        <f t="shared" si="14"/>
        <v>-4.7292007514833419E-3</v>
      </c>
      <c r="F84" s="804">
        <f t="shared" si="14"/>
        <v>-2.9527895035209918E-3</v>
      </c>
      <c r="G84" s="804">
        <f t="shared" si="14"/>
        <v>5.0304251957995214E-3</v>
      </c>
      <c r="H84" s="804">
        <f t="shared" si="14"/>
        <v>9.4152795170010049E-3</v>
      </c>
      <c r="I84" s="804">
        <f t="shared" si="14"/>
        <v>1.8630987677107223E-2</v>
      </c>
      <c r="J84" s="804">
        <f t="shared" si="14"/>
        <v>2.3400122040032265E-2</v>
      </c>
      <c r="K84" s="804">
        <f t="shared" si="14"/>
        <v>2.6276226519575709E-2</v>
      </c>
      <c r="L84" s="804">
        <f t="shared" si="14"/>
        <v>2.395824730442762E-2</v>
      </c>
      <c r="M84" s="804">
        <f t="shared" si="14"/>
        <v>2.478080778163181E-2</v>
      </c>
      <c r="N84" s="804">
        <f t="shared" si="14"/>
        <v>2.0848543919274844E-2</v>
      </c>
      <c r="O84" s="804">
        <f t="shared" si="14"/>
        <v>1.2680720192390794E-2</v>
      </c>
      <c r="P84" s="804">
        <f t="shared" si="14"/>
        <v>5.3996998144108512E-3</v>
      </c>
      <c r="Q84" s="804">
        <f t="shared" si="14"/>
        <v>1.643258599013099E-4</v>
      </c>
      <c r="R84" s="804">
        <f t="shared" si="14"/>
        <v>2.1576151602088942E-3</v>
      </c>
      <c r="S84" s="804">
        <f t="shared" si="14"/>
        <v>6.6409187473297291E-4</v>
      </c>
      <c r="T84" s="804">
        <f t="shared" si="14"/>
        <v>-1.7271011304803021E-3</v>
      </c>
      <c r="U84" s="804">
        <f t="shared" si="14"/>
        <v>-3.2061682461803423E-3</v>
      </c>
      <c r="V84" s="804">
        <f t="shared" si="14"/>
        <v>1.9442794237163003E-3</v>
      </c>
      <c r="W84" s="804">
        <f t="shared" si="14"/>
        <v>5.6325751427266178E-3</v>
      </c>
      <c r="X84" s="804">
        <f t="shared" si="14"/>
        <v>6.062244748263894E-3</v>
      </c>
      <c r="Y84" s="804">
        <f t="shared" si="14"/>
        <v>4.531182113164306E-3</v>
      </c>
    </row>
    <row r="85" spans="2:25">
      <c r="B85" s="12" t="s">
        <v>1254</v>
      </c>
      <c r="C85" s="804">
        <f t="shared" ref="C85:Y85" si="15">C83/C39</f>
        <v>-1.0051243212466372E-3</v>
      </c>
      <c r="D85" s="804">
        <f t="shared" si="15"/>
        <v>-6.8842597772420808E-3</v>
      </c>
      <c r="E85" s="804">
        <f t="shared" si="15"/>
        <v>-1.0206391413122821E-2</v>
      </c>
      <c r="F85" s="804">
        <f t="shared" si="15"/>
        <v>-5.3102547706494734E-3</v>
      </c>
      <c r="G85" s="804">
        <f t="shared" si="15"/>
        <v>-1.195828756208129E-3</v>
      </c>
      <c r="H85" s="804">
        <f t="shared" si="15"/>
        <v>-4.8118129287091724E-3</v>
      </c>
      <c r="I85" s="804">
        <f t="shared" si="15"/>
        <v>-8.2706722444738177E-3</v>
      </c>
      <c r="J85" s="804">
        <f t="shared" si="15"/>
        <v>-8.4460602133951349E-3</v>
      </c>
      <c r="K85" s="804">
        <f t="shared" si="15"/>
        <v>-1.0401484117285788E-2</v>
      </c>
      <c r="L85" s="804">
        <f t="shared" si="15"/>
        <v>-1.9594206385056068E-3</v>
      </c>
      <c r="M85" s="804">
        <f t="shared" si="15"/>
        <v>7.0164776641059245E-4</v>
      </c>
      <c r="N85" s="804">
        <f t="shared" si="15"/>
        <v>1.0072594416255826E-2</v>
      </c>
      <c r="O85" s="821">
        <f t="shared" si="15"/>
        <v>1.6819436448190322E-2</v>
      </c>
      <c r="P85" s="821">
        <f>P83/P39</f>
        <v>2.44206836302715E-2</v>
      </c>
      <c r="Q85" s="804">
        <f t="shared" si="15"/>
        <v>2.6407930698706887E-2</v>
      </c>
      <c r="R85" s="804">
        <f t="shared" si="15"/>
        <v>2.0825611709356626E-2</v>
      </c>
      <c r="S85" s="804">
        <f t="shared" si="15"/>
        <v>2.2014329945657624E-2</v>
      </c>
      <c r="T85" s="804">
        <f t="shared" si="15"/>
        <v>2.3878640336394492E-2</v>
      </c>
      <c r="U85" s="804">
        <f t="shared" si="15"/>
        <v>2.0201265335383724E-2</v>
      </c>
      <c r="V85" s="804">
        <f t="shared" si="15"/>
        <v>7.3593376937295353E-3</v>
      </c>
      <c r="W85" s="804">
        <f t="shared" si="15"/>
        <v>2.9193105008289799E-3</v>
      </c>
      <c r="X85" s="804">
        <f t="shared" si="15"/>
        <v>-1.1244963629320134E-3</v>
      </c>
      <c r="Y85" s="804">
        <f t="shared" si="15"/>
        <v>-3.415082197982634E-3</v>
      </c>
    </row>
    <row r="86" spans="2:25">
      <c r="B86" s="12" t="s">
        <v>1251</v>
      </c>
      <c r="C86" s="725">
        <f>C84</f>
        <v>-1.1708495698984465E-2</v>
      </c>
      <c r="D86" s="725">
        <f t="shared" ref="D86:S87" si="16">D84</f>
        <v>-9.3202954367729626E-3</v>
      </c>
      <c r="E86" s="725">
        <f t="shared" si="16"/>
        <v>-4.7292007514833419E-3</v>
      </c>
      <c r="F86" s="725">
        <f t="shared" si="16"/>
        <v>-2.9527895035209918E-3</v>
      </c>
      <c r="G86" s="725">
        <f t="shared" si="16"/>
        <v>5.0304251957995214E-3</v>
      </c>
      <c r="H86" s="725">
        <f t="shared" si="16"/>
        <v>9.4152795170010049E-3</v>
      </c>
      <c r="I86" s="725">
        <f t="shared" si="16"/>
        <v>1.8630987677107223E-2</v>
      </c>
      <c r="J86" s="725">
        <f t="shared" si="16"/>
        <v>2.3400122040032265E-2</v>
      </c>
      <c r="K86" s="725">
        <f t="shared" si="16"/>
        <v>2.6276226519575709E-2</v>
      </c>
      <c r="L86" s="725">
        <f t="shared" si="16"/>
        <v>2.395824730442762E-2</v>
      </c>
      <c r="M86" s="725">
        <f t="shared" si="16"/>
        <v>2.478080778163181E-2</v>
      </c>
      <c r="N86" s="725">
        <f t="shared" si="16"/>
        <v>2.0848543919274844E-2</v>
      </c>
      <c r="O86" s="725">
        <f t="shared" si="16"/>
        <v>1.2680720192390794E-2</v>
      </c>
      <c r="P86" s="725">
        <f t="shared" si="16"/>
        <v>5.3996998144108512E-3</v>
      </c>
      <c r="Q86" s="725">
        <f t="shared" si="16"/>
        <v>1.643258599013099E-4</v>
      </c>
      <c r="R86" s="725">
        <f t="shared" si="16"/>
        <v>2.1576151602088942E-3</v>
      </c>
      <c r="S86" s="725">
        <f t="shared" si="16"/>
        <v>6.6409187473297291E-4</v>
      </c>
      <c r="T86" s="725">
        <f t="shared" ref="T86:Y87" si="17">T84</f>
        <v>-1.7271011304803021E-3</v>
      </c>
      <c r="U86" s="725">
        <f t="shared" si="17"/>
        <v>-3.2061682461803423E-3</v>
      </c>
      <c r="V86" s="725">
        <f t="shared" si="17"/>
        <v>1.9442794237163003E-3</v>
      </c>
      <c r="W86" s="725">
        <f t="shared" si="17"/>
        <v>5.6325751427266178E-3</v>
      </c>
      <c r="X86" s="725">
        <f t="shared" si="17"/>
        <v>6.062244748263894E-3</v>
      </c>
      <c r="Y86" s="725">
        <f t="shared" si="17"/>
        <v>4.531182113164306E-3</v>
      </c>
    </row>
    <row r="87" spans="2:25">
      <c r="B87" s="12" t="s">
        <v>1252</v>
      </c>
      <c r="C87" s="725">
        <f>C85</f>
        <v>-1.0051243212466372E-3</v>
      </c>
      <c r="D87" s="725">
        <f t="shared" si="16"/>
        <v>-6.8842597772420808E-3</v>
      </c>
      <c r="E87" s="725">
        <f t="shared" si="16"/>
        <v>-1.0206391413122821E-2</v>
      </c>
      <c r="F87" s="725">
        <f t="shared" si="16"/>
        <v>-5.3102547706494734E-3</v>
      </c>
      <c r="G87" s="725">
        <f t="shared" si="16"/>
        <v>-1.195828756208129E-3</v>
      </c>
      <c r="H87" s="725">
        <f t="shared" si="16"/>
        <v>-4.8118129287091724E-3</v>
      </c>
      <c r="I87" s="725">
        <f t="shared" si="16"/>
        <v>-8.2706722444738177E-3</v>
      </c>
      <c r="J87" s="725">
        <f t="shared" si="16"/>
        <v>-8.4460602133951349E-3</v>
      </c>
      <c r="K87" s="725">
        <f t="shared" si="16"/>
        <v>-1.0401484117285788E-2</v>
      </c>
      <c r="L87" s="725">
        <f t="shared" si="16"/>
        <v>-1.9594206385056068E-3</v>
      </c>
      <c r="M87" s="725">
        <f t="shared" si="16"/>
        <v>7.0164776641059245E-4</v>
      </c>
      <c r="N87" s="725">
        <f t="shared" si="16"/>
        <v>1.0072594416255826E-2</v>
      </c>
      <c r="O87" s="725">
        <f t="shared" si="16"/>
        <v>1.6819436448190322E-2</v>
      </c>
      <c r="P87" s="725">
        <f t="shared" si="16"/>
        <v>2.44206836302715E-2</v>
      </c>
      <c r="Q87" s="725">
        <f t="shared" si="16"/>
        <v>2.6407930698706887E-2</v>
      </c>
      <c r="R87" s="725">
        <f t="shared" si="16"/>
        <v>2.0825611709356626E-2</v>
      </c>
      <c r="S87" s="725">
        <f t="shared" si="16"/>
        <v>2.2014329945657624E-2</v>
      </c>
      <c r="T87" s="725">
        <f t="shared" si="17"/>
        <v>2.3878640336394492E-2</v>
      </c>
      <c r="U87" s="725">
        <f t="shared" si="17"/>
        <v>2.0201265335383724E-2</v>
      </c>
      <c r="V87" s="725">
        <f t="shared" si="17"/>
        <v>7.3593376937295353E-3</v>
      </c>
      <c r="W87" s="725">
        <f t="shared" si="17"/>
        <v>2.9193105008289799E-3</v>
      </c>
      <c r="X87" s="725">
        <f t="shared" si="17"/>
        <v>-1.1244963629320134E-3</v>
      </c>
      <c r="Y87" s="725">
        <f t="shared" si="17"/>
        <v>-3.415082197982634E-3</v>
      </c>
    </row>
    <row r="88" spans="2:25">
      <c r="B88" s="12" t="s">
        <v>1247</v>
      </c>
      <c r="C88" s="803">
        <f>D38-C38</f>
        <v>-48399.063270268962</v>
      </c>
      <c r="D88" s="803">
        <f t="shared" ref="D88:X88" si="18">E38-D38</f>
        <v>-38075.936729731038</v>
      </c>
      <c r="E88" s="803">
        <f t="shared" si="18"/>
        <v>-19140</v>
      </c>
      <c r="F88" s="803">
        <f t="shared" si="18"/>
        <v>-11894</v>
      </c>
      <c r="G88" s="803">
        <f t="shared" si="18"/>
        <v>20203</v>
      </c>
      <c r="H88" s="803">
        <f t="shared" si="18"/>
        <v>38003.5</v>
      </c>
      <c r="I88" s="803">
        <f t="shared" si="18"/>
        <v>75909.5</v>
      </c>
      <c r="J88" s="803">
        <f t="shared" si="18"/>
        <v>97117</v>
      </c>
      <c r="K88" s="803">
        <f t="shared" si="18"/>
        <v>111605.5</v>
      </c>
      <c r="L88" s="803">
        <f t="shared" si="18"/>
        <v>104434</v>
      </c>
      <c r="M88" s="803">
        <f t="shared" si="18"/>
        <v>106906.57895740401</v>
      </c>
      <c r="N88" s="803">
        <f t="shared" si="18"/>
        <v>79425.229371599853</v>
      </c>
      <c r="O88" s="803">
        <f t="shared" si="18"/>
        <v>56123.605560014024</v>
      </c>
      <c r="P88" s="803">
        <f t="shared" si="18"/>
        <v>51640.128445462324</v>
      </c>
      <c r="Q88" s="803">
        <f t="shared" si="18"/>
        <v>16467.637843881734</v>
      </c>
      <c r="R88" s="803">
        <f t="shared" si="18"/>
        <v>23626.588654240593</v>
      </c>
      <c r="S88" s="803">
        <f t="shared" si="18"/>
        <v>19545.229297686368</v>
      </c>
      <c r="T88" s="803">
        <f t="shared" si="18"/>
        <v>6608.940435545519</v>
      </c>
      <c r="U88" s="803">
        <f t="shared" si="18"/>
        <v>-2470.8037215648219</v>
      </c>
      <c r="V88" s="803">
        <f t="shared" si="18"/>
        <v>13251.477876963094</v>
      </c>
      <c r="W88" s="803">
        <f t="shared" si="18"/>
        <v>2961.2253022696823</v>
      </c>
      <c r="X88" s="803">
        <f t="shared" si="18"/>
        <v>-829.62739884667099</v>
      </c>
      <c r="Y88" s="803"/>
    </row>
    <row r="89" spans="2:25">
      <c r="B89" s="12" t="s">
        <v>1248</v>
      </c>
      <c r="C89" s="803">
        <f>D40-C40</f>
        <v>-3325.4367297315039</v>
      </c>
      <c r="D89" s="803">
        <f t="shared" ref="D89:X89" si="19">E40-D40</f>
        <v>-22753.563270268496</v>
      </c>
      <c r="E89" s="803">
        <f t="shared" si="19"/>
        <v>-33501.5</v>
      </c>
      <c r="F89" s="803">
        <f t="shared" si="19"/>
        <v>-17252.5</v>
      </c>
      <c r="G89" s="803">
        <f t="shared" si="19"/>
        <v>-3864.5</v>
      </c>
      <c r="H89" s="803">
        <f t="shared" si="19"/>
        <v>-15531.5</v>
      </c>
      <c r="I89" s="803">
        <f t="shared" si="19"/>
        <v>-26567.5</v>
      </c>
      <c r="J89" s="803">
        <f t="shared" si="19"/>
        <v>-26906.5</v>
      </c>
      <c r="K89" s="803">
        <f t="shared" si="19"/>
        <v>-34109</v>
      </c>
      <c r="L89" s="803">
        <f t="shared" si="19"/>
        <v>-218.95358234085143</v>
      </c>
      <c r="M89" s="803">
        <f t="shared" si="19"/>
        <v>20997.249719188083</v>
      </c>
      <c r="N89" s="803">
        <f t="shared" si="19"/>
        <v>46297.086738781538</v>
      </c>
      <c r="O89" s="803">
        <f t="shared" si="19"/>
        <v>53071.045898605604</v>
      </c>
      <c r="P89" s="803">
        <f t="shared" si="19"/>
        <v>76269.887054237071</v>
      </c>
      <c r="Q89" s="803">
        <f t="shared" si="19"/>
        <v>79689.018297224306</v>
      </c>
      <c r="R89" s="803">
        <f t="shared" si="19"/>
        <v>63002.62289407989</v>
      </c>
      <c r="S89" s="803">
        <f t="shared" si="19"/>
        <v>62514.936357947066</v>
      </c>
      <c r="T89" s="803">
        <f t="shared" si="19"/>
        <v>67875.162236125674</v>
      </c>
      <c r="U89" s="803">
        <f t="shared" si="19"/>
        <v>61025.308858641889</v>
      </c>
      <c r="V89" s="803">
        <f t="shared" si="19"/>
        <v>20457.543709032238</v>
      </c>
      <c r="W89" s="803">
        <f t="shared" si="19"/>
        <v>33832.881996218581</v>
      </c>
      <c r="X89" s="803">
        <f t="shared" si="19"/>
        <v>26829.611596637871</v>
      </c>
      <c r="Y89" s="803"/>
    </row>
    <row r="90" spans="2:25">
      <c r="B90" s="12" t="s">
        <v>1247</v>
      </c>
      <c r="C90" s="725">
        <f>C88/C38</f>
        <v>-1.1708495698984465E-2</v>
      </c>
      <c r="D90" s="725">
        <f t="shared" ref="D90:X90" si="20">D88/D38</f>
        <v>-9.3202954367729626E-3</v>
      </c>
      <c r="E90" s="725">
        <f t="shared" si="20"/>
        <v>-4.7292007514833419E-3</v>
      </c>
      <c r="F90" s="725">
        <f t="shared" si="20"/>
        <v>-2.9527895035209918E-3</v>
      </c>
      <c r="G90" s="725">
        <f t="shared" si="20"/>
        <v>5.0304251957995214E-3</v>
      </c>
      <c r="H90" s="725">
        <f t="shared" si="20"/>
        <v>9.4152795170010049E-3</v>
      </c>
      <c r="I90" s="725">
        <f t="shared" si="20"/>
        <v>1.8630987677107223E-2</v>
      </c>
      <c r="J90" s="725">
        <f t="shared" si="20"/>
        <v>2.3400122040032265E-2</v>
      </c>
      <c r="K90" s="725">
        <f t="shared" si="20"/>
        <v>2.6276226519575709E-2</v>
      </c>
      <c r="L90" s="725">
        <f t="shared" si="20"/>
        <v>2.395824730442762E-2</v>
      </c>
      <c r="M90" s="725">
        <f t="shared" si="20"/>
        <v>2.3951643276769415E-2</v>
      </c>
      <c r="N90" s="725">
        <f t="shared" si="20"/>
        <v>1.7378404956796132E-2</v>
      </c>
      <c r="O90" s="725">
        <f t="shared" si="20"/>
        <v>1.2070200494717664E-2</v>
      </c>
      <c r="P90" s="725">
        <f t="shared" si="20"/>
        <v>1.0973510829440878E-2</v>
      </c>
      <c r="Q90" s="725">
        <f t="shared" si="20"/>
        <v>3.4613842536017551E-3</v>
      </c>
      <c r="R90" s="725">
        <f t="shared" si="20"/>
        <v>4.949016047252436E-3</v>
      </c>
      <c r="S90" s="725">
        <f t="shared" si="20"/>
        <v>4.0739395666372306E-3</v>
      </c>
      <c r="T90" s="725">
        <f t="shared" si="20"/>
        <v>1.3719552787354312E-3</v>
      </c>
      <c r="U90" s="725">
        <f t="shared" si="20"/>
        <v>-5.1221340472804196E-4</v>
      </c>
      <c r="V90" s="725">
        <f t="shared" si="20"/>
        <v>2.7485238974287256E-3</v>
      </c>
      <c r="W90" s="725">
        <f t="shared" si="20"/>
        <v>6.1251202839443801E-4</v>
      </c>
      <c r="X90" s="725">
        <f t="shared" si="20"/>
        <v>-1.7149850060059647E-4</v>
      </c>
      <c r="Y90" s="725"/>
    </row>
    <row r="91" spans="2:25">
      <c r="B91" s="12" t="s">
        <v>1248</v>
      </c>
      <c r="C91" s="725">
        <f>C89/C40</f>
        <v>-1.0051243212467779E-3</v>
      </c>
      <c r="D91" s="725">
        <f t="shared" ref="D91:X91" si="21">D89/D40</f>
        <v>-6.8842597772419412E-3</v>
      </c>
      <c r="E91" s="725">
        <f t="shared" si="21"/>
        <v>-1.0206391413122821E-2</v>
      </c>
      <c r="F91" s="725">
        <f t="shared" si="21"/>
        <v>-5.3102547706494734E-3</v>
      </c>
      <c r="G91" s="725">
        <f t="shared" si="21"/>
        <v>-1.195828756208129E-3</v>
      </c>
      <c r="H91" s="725">
        <f t="shared" si="21"/>
        <v>-4.8118129287091724E-3</v>
      </c>
      <c r="I91" s="725">
        <f t="shared" si="21"/>
        <v>-8.2706722444738177E-3</v>
      </c>
      <c r="J91" s="725">
        <f t="shared" si="21"/>
        <v>-8.4460602133951349E-3</v>
      </c>
      <c r="K91" s="725">
        <f t="shared" si="21"/>
        <v>-1.079815625019786E-2</v>
      </c>
      <c r="L91" s="725">
        <f t="shared" si="21"/>
        <v>-7.0072523584355413E-5</v>
      </c>
      <c r="M91" s="725">
        <f t="shared" si="21"/>
        <v>6.7202982818259224E-3</v>
      </c>
      <c r="N91" s="725">
        <f t="shared" si="21"/>
        <v>1.4718751561388169E-2</v>
      </c>
      <c r="O91" s="725">
        <f t="shared" si="21"/>
        <v>1.6627588640295045E-2</v>
      </c>
      <c r="P91" s="725">
        <f t="shared" si="21"/>
        <v>2.350513972770692E-2</v>
      </c>
      <c r="Q91" s="725">
        <f t="shared" si="21"/>
        <v>2.3994857924217284E-2</v>
      </c>
      <c r="R91" s="725">
        <f t="shared" si="21"/>
        <v>1.8525953107197568E-2</v>
      </c>
      <c r="S91" s="725">
        <f t="shared" si="21"/>
        <v>1.8048188736539562E-2</v>
      </c>
      <c r="T91" s="725">
        <f t="shared" si="21"/>
        <v>1.9248299854868381E-2</v>
      </c>
      <c r="U91" s="725">
        <f t="shared" si="21"/>
        <v>1.6978975644822408E-2</v>
      </c>
      <c r="V91" s="725">
        <f t="shared" si="21"/>
        <v>5.5968415545488035E-3</v>
      </c>
      <c r="W91" s="725">
        <f t="shared" si="21"/>
        <v>9.2045935908432984E-3</v>
      </c>
      <c r="X91" s="725">
        <f t="shared" si="21"/>
        <v>7.2327056489567979E-3</v>
      </c>
      <c r="Y91" s="725"/>
    </row>
    <row r="92" spans="2:25">
      <c r="B92" s="12" t="s">
        <v>1249</v>
      </c>
      <c r="C92" s="725">
        <f>C90</f>
        <v>-1.1708495698984465E-2</v>
      </c>
      <c r="D92" s="725">
        <f t="shared" ref="D92:X92" si="22">D90</f>
        <v>-9.3202954367729626E-3</v>
      </c>
      <c r="E92" s="725">
        <f t="shared" si="22"/>
        <v>-4.7292007514833419E-3</v>
      </c>
      <c r="F92" s="725">
        <f t="shared" si="22"/>
        <v>-2.9527895035209918E-3</v>
      </c>
      <c r="G92" s="725">
        <f t="shared" si="22"/>
        <v>5.0304251957995214E-3</v>
      </c>
      <c r="H92" s="725">
        <f t="shared" si="22"/>
        <v>9.4152795170010049E-3</v>
      </c>
      <c r="I92" s="725">
        <f t="shared" si="22"/>
        <v>1.8630987677107223E-2</v>
      </c>
      <c r="J92" s="725">
        <f t="shared" si="22"/>
        <v>2.3400122040032265E-2</v>
      </c>
      <c r="K92" s="725">
        <f t="shared" si="22"/>
        <v>2.6276226519575709E-2</v>
      </c>
      <c r="L92" s="725">
        <f t="shared" si="22"/>
        <v>2.395824730442762E-2</v>
      </c>
      <c r="M92" s="725">
        <f t="shared" si="22"/>
        <v>2.3951643276769415E-2</v>
      </c>
      <c r="N92" s="725">
        <f t="shared" si="22"/>
        <v>1.7378404956796132E-2</v>
      </c>
      <c r="O92" s="725">
        <f t="shared" si="22"/>
        <v>1.2070200494717664E-2</v>
      </c>
      <c r="P92" s="725">
        <f t="shared" si="22"/>
        <v>1.0973510829440878E-2</v>
      </c>
      <c r="Q92" s="725">
        <f t="shared" si="22"/>
        <v>3.4613842536017551E-3</v>
      </c>
      <c r="R92" s="725">
        <f t="shared" si="22"/>
        <v>4.949016047252436E-3</v>
      </c>
      <c r="S92" s="725">
        <f t="shared" si="22"/>
        <v>4.0739395666372306E-3</v>
      </c>
      <c r="T92" s="725">
        <f t="shared" si="22"/>
        <v>1.3719552787354312E-3</v>
      </c>
      <c r="U92" s="725">
        <f t="shared" si="22"/>
        <v>-5.1221340472804196E-4</v>
      </c>
      <c r="V92" s="725">
        <f t="shared" si="22"/>
        <v>2.7485238974287256E-3</v>
      </c>
      <c r="W92" s="725">
        <f t="shared" si="22"/>
        <v>6.1251202839443801E-4</v>
      </c>
      <c r="X92" s="725">
        <f t="shared" si="22"/>
        <v>-1.7149850060059647E-4</v>
      </c>
      <c r="Y92" s="725"/>
    </row>
    <row r="93" spans="2:25">
      <c r="B93" s="12" t="s">
        <v>1250</v>
      </c>
      <c r="C93" s="725">
        <f>C91</f>
        <v>-1.0051243212467779E-3</v>
      </c>
      <c r="D93" s="725">
        <f t="shared" ref="D93:X93" si="23">D91</f>
        <v>-6.8842597772419412E-3</v>
      </c>
      <c r="E93" s="725">
        <f t="shared" si="23"/>
        <v>-1.0206391413122821E-2</v>
      </c>
      <c r="F93" s="725">
        <f t="shared" si="23"/>
        <v>-5.3102547706494734E-3</v>
      </c>
      <c r="G93" s="725">
        <f t="shared" si="23"/>
        <v>-1.195828756208129E-3</v>
      </c>
      <c r="H93" s="725">
        <f t="shared" si="23"/>
        <v>-4.8118129287091724E-3</v>
      </c>
      <c r="I93" s="725">
        <f t="shared" si="23"/>
        <v>-8.2706722444738177E-3</v>
      </c>
      <c r="J93" s="725">
        <f t="shared" si="23"/>
        <v>-8.4460602133951349E-3</v>
      </c>
      <c r="K93" s="725">
        <f t="shared" si="23"/>
        <v>-1.079815625019786E-2</v>
      </c>
      <c r="L93" s="725">
        <f t="shared" si="23"/>
        <v>-7.0072523584355413E-5</v>
      </c>
      <c r="M93" s="725">
        <f t="shared" si="23"/>
        <v>6.7202982818259224E-3</v>
      </c>
      <c r="N93" s="725">
        <f t="shared" si="23"/>
        <v>1.4718751561388169E-2</v>
      </c>
      <c r="O93" s="725">
        <f t="shared" si="23"/>
        <v>1.6627588640295045E-2</v>
      </c>
      <c r="P93" s="725">
        <f t="shared" si="23"/>
        <v>2.350513972770692E-2</v>
      </c>
      <c r="Q93" s="725">
        <f t="shared" si="23"/>
        <v>2.3994857924217284E-2</v>
      </c>
      <c r="R93" s="725">
        <f t="shared" si="23"/>
        <v>1.8525953107197568E-2</v>
      </c>
      <c r="S93" s="725">
        <f t="shared" si="23"/>
        <v>1.8048188736539562E-2</v>
      </c>
      <c r="T93" s="725">
        <f t="shared" si="23"/>
        <v>1.9248299854868381E-2</v>
      </c>
      <c r="U93" s="725">
        <f t="shared" si="23"/>
        <v>1.6978975644822408E-2</v>
      </c>
      <c r="V93" s="725">
        <f t="shared" si="23"/>
        <v>5.5968415545488035E-3</v>
      </c>
      <c r="W93" s="725">
        <f t="shared" si="23"/>
        <v>9.2045935908432984E-3</v>
      </c>
      <c r="X93" s="725">
        <f t="shared" si="23"/>
        <v>7.2327056489567979E-3</v>
      </c>
      <c r="Y93" s="725"/>
    </row>
    <row r="122" spans="2:26">
      <c r="B122" s="76"/>
    </row>
    <row r="124" spans="2:26">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row>
    <row r="125" spans="2:26">
      <c r="B125" s="12"/>
      <c r="C125" s="803"/>
      <c r="D125" s="803"/>
      <c r="E125" s="803"/>
      <c r="F125" s="803"/>
      <c r="G125" s="803"/>
      <c r="H125" s="803"/>
      <c r="I125" s="803"/>
      <c r="J125" s="803"/>
      <c r="K125" s="803"/>
      <c r="L125" s="803"/>
      <c r="M125" s="803"/>
      <c r="N125" s="803"/>
      <c r="O125" s="803"/>
      <c r="P125" s="803"/>
      <c r="Q125" s="803"/>
      <c r="R125" s="803"/>
      <c r="S125" s="803"/>
      <c r="T125" s="803"/>
      <c r="U125" s="803"/>
      <c r="V125" s="803"/>
      <c r="W125" s="803"/>
      <c r="X125" s="803"/>
      <c r="Y125" s="803"/>
      <c r="Z125" s="881"/>
    </row>
    <row r="126" spans="2:26">
      <c r="B126" s="12"/>
      <c r="C126" s="803"/>
      <c r="D126" s="803"/>
      <c r="E126" s="803"/>
      <c r="F126" s="803"/>
      <c r="G126" s="803"/>
      <c r="H126" s="803"/>
      <c r="I126" s="803"/>
      <c r="J126" s="803"/>
      <c r="K126" s="803"/>
      <c r="L126" s="803"/>
      <c r="M126" s="803"/>
      <c r="N126" s="803"/>
      <c r="O126" s="803"/>
      <c r="P126" s="803"/>
      <c r="Q126" s="803"/>
      <c r="R126" s="803"/>
      <c r="S126" s="803"/>
      <c r="T126" s="803"/>
      <c r="U126" s="803"/>
      <c r="V126" s="803"/>
      <c r="W126" s="803"/>
      <c r="X126" s="803"/>
      <c r="Y126" s="803"/>
      <c r="Z126" s="881"/>
    </row>
  </sheetData>
  <hyperlinks>
    <hyperlink ref="A2" location="'Title_&amp;_Contents'!A1" display="Contents"/>
    <hyperlink ref="B2" location="Map_of_sheets!A1" display="Map of sheets"/>
  </hyperlink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80"/>
  <sheetViews>
    <sheetView showGridLines="0" zoomScaleNormal="100" workbookViewId="0"/>
  </sheetViews>
  <sheetFormatPr defaultRowHeight="12.75"/>
  <cols>
    <col min="2" max="2" width="36.140625" customWidth="1"/>
    <col min="19" max="19" width="8.85546875" style="483" customWidth="1"/>
    <col min="21" max="21" width="8.85546875" hidden="1" customWidth="1"/>
    <col min="22" max="22" width="2.140625" customWidth="1"/>
  </cols>
  <sheetData>
    <row r="1" spans="1:21" s="344" customFormat="1" ht="15">
      <c r="A1" s="343" t="str">
        <f>ModelBanner</f>
        <v>TSM_201718 for publication</v>
      </c>
    </row>
    <row r="2" spans="1:21" s="344" customFormat="1" ht="15">
      <c r="A2" s="1003" t="s">
        <v>13</v>
      </c>
      <c r="B2" s="1003" t="s">
        <v>30</v>
      </c>
      <c r="R2" s="492"/>
      <c r="S2" s="492"/>
      <c r="T2" s="492"/>
      <c r="U2" s="492"/>
    </row>
    <row r="3" spans="1:21" s="344" customFormat="1" ht="15">
      <c r="A3" s="345"/>
      <c r="R3" s="492"/>
      <c r="S3" s="492"/>
      <c r="T3" s="492"/>
      <c r="U3" s="492"/>
    </row>
    <row r="4" spans="1:21" s="348" customFormat="1" ht="15">
      <c r="A4" s="346" t="s">
        <v>26</v>
      </c>
      <c r="B4" s="346"/>
      <c r="C4" s="344"/>
      <c r="D4" s="344"/>
      <c r="E4" s="344"/>
      <c r="F4" s="344"/>
      <c r="R4" s="492"/>
      <c r="S4" s="492"/>
      <c r="T4" s="492"/>
      <c r="U4" s="492"/>
    </row>
    <row r="5" spans="1:21" s="350" customFormat="1" ht="15">
      <c r="A5" s="706" t="s">
        <v>1022</v>
      </c>
      <c r="B5" s="706"/>
      <c r="C5" s="706"/>
      <c r="D5" s="706"/>
      <c r="E5" s="706"/>
      <c r="F5" s="706"/>
      <c r="G5" s="706"/>
      <c r="H5" s="706"/>
      <c r="I5" s="706"/>
      <c r="J5" s="706"/>
      <c r="K5" s="706"/>
      <c r="L5" s="706"/>
      <c r="M5" s="706"/>
      <c r="N5" s="349"/>
      <c r="O5" s="349"/>
      <c r="P5" s="349"/>
      <c r="Q5" s="349"/>
      <c r="R5" s="492"/>
      <c r="S5" s="492"/>
      <c r="T5" s="492"/>
      <c r="U5" s="492"/>
    </row>
    <row r="6" spans="1:21" s="354" customFormat="1" ht="15">
      <c r="A6" s="351" t="s">
        <v>1420</v>
      </c>
      <c r="B6" s="352"/>
      <c r="C6" s="344"/>
      <c r="D6" s="344"/>
      <c r="E6" s="344"/>
      <c r="F6" s="344"/>
      <c r="G6" s="353"/>
      <c r="H6" s="353"/>
      <c r="I6" s="353"/>
      <c r="J6" s="353"/>
      <c r="K6" s="353"/>
      <c r="L6" s="353"/>
      <c r="M6" s="353"/>
      <c r="N6" s="353"/>
      <c r="O6" s="353"/>
      <c r="P6" s="353"/>
      <c r="Q6" s="353"/>
      <c r="R6" s="492"/>
      <c r="S6" s="492"/>
      <c r="T6" s="492"/>
      <c r="U6" s="492"/>
    </row>
    <row r="7" spans="1:21" s="354" customFormat="1" ht="15">
      <c r="A7" s="355" t="s">
        <v>976</v>
      </c>
      <c r="B7" s="351"/>
      <c r="C7" s="344"/>
      <c r="D7" s="344"/>
      <c r="E7" s="344"/>
      <c r="F7" s="344"/>
      <c r="G7" s="353"/>
      <c r="H7" s="353"/>
      <c r="I7" s="353"/>
      <c r="J7" s="353"/>
      <c r="K7" s="353"/>
      <c r="L7" s="353"/>
      <c r="M7" s="353"/>
      <c r="N7" s="353"/>
      <c r="O7" s="353"/>
      <c r="P7" s="353"/>
      <c r="Q7" s="353"/>
      <c r="R7" s="492"/>
      <c r="S7" s="492"/>
      <c r="T7" s="492"/>
      <c r="U7" s="492"/>
    </row>
    <row r="8" spans="1:21" s="354" customFormat="1" ht="15">
      <c r="A8" s="351" t="s">
        <v>24</v>
      </c>
      <c r="B8" s="352"/>
      <c r="C8" s="344"/>
      <c r="D8" s="344"/>
      <c r="E8" s="344"/>
      <c r="F8" s="344"/>
      <c r="G8" s="353"/>
      <c r="H8" s="353"/>
      <c r="I8" s="353"/>
      <c r="J8" s="353"/>
      <c r="K8" s="353"/>
      <c r="L8" s="353"/>
      <c r="M8" s="353"/>
      <c r="N8" s="353"/>
      <c r="O8" s="353"/>
      <c r="P8" s="353"/>
      <c r="Q8" s="353"/>
      <c r="R8" s="492"/>
      <c r="S8" s="492"/>
      <c r="T8" s="492"/>
      <c r="U8" s="492"/>
    </row>
    <row r="9" spans="1:21" s="354" customFormat="1" ht="15">
      <c r="A9" s="355" t="s">
        <v>119</v>
      </c>
      <c r="B9" s="352"/>
      <c r="C9" s="344"/>
      <c r="D9" s="344"/>
      <c r="E9" s="344"/>
      <c r="F9" s="344"/>
      <c r="G9" s="353"/>
      <c r="H9" s="353"/>
      <c r="I9" s="353"/>
      <c r="J9" s="353"/>
      <c r="K9" s="353"/>
      <c r="L9" s="353"/>
      <c r="M9" s="353"/>
      <c r="N9" s="353"/>
      <c r="O9" s="353"/>
      <c r="P9" s="353"/>
      <c r="Q9" s="353"/>
      <c r="R9" s="492"/>
      <c r="S9" s="492"/>
      <c r="T9" s="492"/>
      <c r="U9" s="492"/>
    </row>
    <row r="10" spans="1:21" s="362" customFormat="1" ht="13.5" customHeight="1">
      <c r="A10" s="356">
        <f>SUM(A40:A2311)</f>
        <v>0</v>
      </c>
      <c r="B10" s="357"/>
      <c r="C10" s="359"/>
      <c r="D10" s="359"/>
      <c r="E10" s="359"/>
      <c r="F10" s="359"/>
      <c r="G10" s="359"/>
      <c r="H10" s="360"/>
      <c r="I10" s="359"/>
      <c r="J10" s="359"/>
      <c r="K10" s="360"/>
      <c r="L10" s="361"/>
      <c r="M10" s="361"/>
      <c r="N10" s="361"/>
      <c r="O10" s="361"/>
      <c r="P10" s="361"/>
      <c r="Q10" s="361"/>
    </row>
    <row r="11" spans="1:21">
      <c r="S11"/>
    </row>
    <row r="12" spans="1:21">
      <c r="B12" s="713" t="s">
        <v>1443</v>
      </c>
    </row>
    <row r="13" spans="1:21">
      <c r="B13" s="705"/>
    </row>
    <row r="14" spans="1:21">
      <c r="B14" s="705"/>
    </row>
    <row r="15" spans="1:21" ht="15">
      <c r="B15" s="1014" t="s">
        <v>1525</v>
      </c>
    </row>
    <row r="16" spans="1:21">
      <c r="B16" s="705"/>
    </row>
    <row r="17" spans="2:2">
      <c r="B17" s="325" t="s">
        <v>1524</v>
      </c>
    </row>
    <row r="18" spans="2:2">
      <c r="B18" s="325"/>
    </row>
    <row r="19" spans="2:2">
      <c r="B19" s="1064" t="s">
        <v>1563</v>
      </c>
    </row>
    <row r="20" spans="2:2">
      <c r="B20" s="325"/>
    </row>
    <row r="21" spans="2:2">
      <c r="B21" s="327" t="s">
        <v>1347</v>
      </c>
    </row>
    <row r="22" spans="2:2">
      <c r="B22" s="325"/>
    </row>
    <row r="23" spans="2:2">
      <c r="B23" s="327" t="s">
        <v>1352</v>
      </c>
    </row>
    <row r="24" spans="2:2">
      <c r="B24" s="325"/>
    </row>
    <row r="25" spans="2:2">
      <c r="B25" s="325" t="s">
        <v>1526</v>
      </c>
    </row>
    <row r="26" spans="2:2">
      <c r="B26" s="325"/>
    </row>
    <row r="27" spans="2:2">
      <c r="B27" s="325" t="s">
        <v>1092</v>
      </c>
    </row>
    <row r="28" spans="2:2">
      <c r="B28" s="325"/>
    </row>
    <row r="29" spans="2:2">
      <c r="B29" s="214" t="s">
        <v>1108</v>
      </c>
    </row>
    <row r="30" spans="2:2">
      <c r="B30" s="325"/>
    </row>
    <row r="31" spans="2:2">
      <c r="B31" s="325" t="s">
        <v>1023</v>
      </c>
    </row>
    <row r="32" spans="2:2">
      <c r="B32" s="705"/>
    </row>
    <row r="33" spans="2:26">
      <c r="B33" s="1015" t="s">
        <v>1026</v>
      </c>
    </row>
    <row r="34" spans="2:26">
      <c r="B34" s="715" t="s">
        <v>1027</v>
      </c>
    </row>
    <row r="35" spans="2:26">
      <c r="B35" s="715" t="s">
        <v>1028</v>
      </c>
    </row>
    <row r="36" spans="2:26">
      <c r="B36" s="715" t="s">
        <v>1029</v>
      </c>
    </row>
    <row r="37" spans="2:26">
      <c r="B37" s="715" t="s">
        <v>1527</v>
      </c>
    </row>
    <row r="38" spans="2:26">
      <c r="B38" s="715" t="s">
        <v>1346</v>
      </c>
      <c r="T38" s="1"/>
      <c r="U38" s="1"/>
      <c r="V38" s="1"/>
      <c r="W38" s="1"/>
      <c r="X38" s="1"/>
      <c r="Y38" s="1"/>
      <c r="Z38" s="1"/>
    </row>
    <row r="39" spans="2:26">
      <c r="B39" s="705"/>
      <c r="T39" s="483"/>
      <c r="U39" s="483"/>
      <c r="V39" s="483"/>
      <c r="W39" s="483"/>
      <c r="X39" s="483"/>
      <c r="Y39" s="483"/>
      <c r="Z39" s="483"/>
    </row>
    <row r="40" spans="2:26" ht="15">
      <c r="B40" s="772"/>
      <c r="C40" s="784" t="s">
        <v>129</v>
      </c>
      <c r="D40" s="784" t="s">
        <v>130</v>
      </c>
      <c r="E40" s="784" t="s">
        <v>131</v>
      </c>
      <c r="F40" s="784" t="s">
        <v>132</v>
      </c>
      <c r="G40" s="784" t="s">
        <v>133</v>
      </c>
      <c r="H40" s="784" t="s">
        <v>134</v>
      </c>
      <c r="I40" s="784" t="s">
        <v>135</v>
      </c>
      <c r="J40" s="784" t="s">
        <v>136</v>
      </c>
      <c r="K40" s="784" t="s">
        <v>137</v>
      </c>
      <c r="L40" s="784" t="s">
        <v>138</v>
      </c>
      <c r="M40" s="784" t="s">
        <v>139</v>
      </c>
      <c r="N40" s="784" t="s">
        <v>140</v>
      </c>
      <c r="O40" s="784" t="s">
        <v>141</v>
      </c>
      <c r="P40" s="784" t="s">
        <v>170</v>
      </c>
      <c r="Q40" s="784" t="s">
        <v>171</v>
      </c>
      <c r="R40" s="784" t="s">
        <v>172</v>
      </c>
      <c r="S40" s="828"/>
      <c r="T40" s="786"/>
      <c r="U40" s="787"/>
      <c r="V40" s="1263"/>
      <c r="W40" s="1264"/>
      <c r="X40" s="788"/>
      <c r="Y40" s="1264"/>
      <c r="Z40" s="1265"/>
    </row>
    <row r="41" spans="2:26" ht="15">
      <c r="B41" s="338" t="s">
        <v>983</v>
      </c>
      <c r="C41" s="795">
        <v>13040.499199007802</v>
      </c>
      <c r="D41" s="795">
        <v>14421.375629707218</v>
      </c>
      <c r="E41" s="795">
        <v>14130</v>
      </c>
      <c r="F41" s="795">
        <v>14328</v>
      </c>
      <c r="G41" s="791">
        <v>11245.392069649593</v>
      </c>
      <c r="H41" s="791">
        <v>11488.74477424193</v>
      </c>
      <c r="I41" s="791"/>
      <c r="J41" s="332"/>
      <c r="K41" s="332"/>
      <c r="L41" s="332"/>
      <c r="M41" s="332"/>
      <c r="N41" s="332"/>
      <c r="O41" s="332"/>
      <c r="P41" s="332"/>
      <c r="Q41" s="332"/>
      <c r="R41" s="332"/>
      <c r="S41" s="617"/>
      <c r="T41" s="786"/>
      <c r="U41" s="773"/>
      <c r="V41" s="773"/>
      <c r="W41" s="773"/>
      <c r="X41" s="773"/>
      <c r="Y41" s="773"/>
      <c r="Z41" s="789"/>
    </row>
    <row r="42" spans="2:26" ht="15">
      <c r="B42" s="338" t="s">
        <v>984</v>
      </c>
      <c r="C42" s="794">
        <v>320</v>
      </c>
      <c r="D42" s="795">
        <v>320</v>
      </c>
      <c r="E42" s="795">
        <v>340</v>
      </c>
      <c r="F42" s="795">
        <v>403</v>
      </c>
      <c r="G42" s="791">
        <v>793.58241370447331</v>
      </c>
      <c r="H42" s="791">
        <v>633.36225106708196</v>
      </c>
      <c r="I42" s="791"/>
      <c r="J42" s="332"/>
      <c r="K42" s="332"/>
      <c r="L42" s="332"/>
      <c r="M42" s="332"/>
      <c r="N42" s="332"/>
      <c r="O42" s="332"/>
      <c r="P42" s="332"/>
      <c r="Q42" s="332"/>
      <c r="R42" s="332"/>
      <c r="S42" s="617"/>
      <c r="T42" s="775"/>
      <c r="U42" s="776"/>
      <c r="V42" s="776"/>
      <c r="W42" s="483"/>
      <c r="X42" s="483"/>
      <c r="Y42" s="483"/>
      <c r="Z42" s="777"/>
    </row>
    <row r="43" spans="2:26" ht="15">
      <c r="B43" s="338" t="s">
        <v>985</v>
      </c>
      <c r="C43" s="791"/>
      <c r="D43" s="791"/>
      <c r="E43" s="791"/>
      <c r="F43" s="795">
        <v>891</v>
      </c>
      <c r="G43" s="791">
        <v>1177.6613302701508</v>
      </c>
      <c r="H43" s="791">
        <v>1177.6613302701508</v>
      </c>
      <c r="I43" s="791"/>
      <c r="J43" s="332"/>
      <c r="K43" s="332"/>
      <c r="L43" s="332"/>
      <c r="M43" s="332"/>
      <c r="N43" s="332"/>
      <c r="O43" s="332"/>
      <c r="P43" s="332"/>
      <c r="Q43" s="332"/>
      <c r="R43" s="332"/>
      <c r="S43" s="617"/>
      <c r="T43" s="775"/>
      <c r="U43" s="776"/>
      <c r="V43" s="776"/>
      <c r="W43" s="483"/>
      <c r="X43" s="483"/>
      <c r="Y43" s="483"/>
      <c r="Z43" s="777"/>
    </row>
    <row r="44" spans="2:26" ht="15">
      <c r="B44" s="338" t="s">
        <v>986</v>
      </c>
      <c r="C44" s="791"/>
      <c r="D44" s="795">
        <v>225</v>
      </c>
      <c r="E44" s="795">
        <v>230</v>
      </c>
      <c r="F44" s="795">
        <v>264</v>
      </c>
      <c r="G44" s="791">
        <v>312.53900645670046</v>
      </c>
      <c r="H44" s="791">
        <v>252.10609160545758</v>
      </c>
      <c r="I44" s="791"/>
      <c r="J44" s="332"/>
      <c r="K44" s="332"/>
      <c r="L44" s="332"/>
      <c r="M44" s="332"/>
      <c r="N44" s="332"/>
      <c r="O44" s="332"/>
      <c r="P44" s="332"/>
      <c r="Q44" s="332"/>
      <c r="R44" s="332"/>
      <c r="S44" s="617"/>
      <c r="T44" s="775"/>
      <c r="U44" s="776"/>
      <c r="V44" s="776"/>
      <c r="W44" s="776"/>
      <c r="X44" s="776"/>
      <c r="Y44" s="776"/>
      <c r="Z44" s="777"/>
    </row>
    <row r="45" spans="2:26" ht="15">
      <c r="B45" s="338" t="s">
        <v>987</v>
      </c>
      <c r="C45" s="791"/>
      <c r="D45" s="791"/>
      <c r="E45" s="791"/>
      <c r="F45" s="795">
        <v>682</v>
      </c>
      <c r="G45" s="791">
        <v>1053.4775422401942</v>
      </c>
      <c r="H45" s="791">
        <v>1053.4775422401942</v>
      </c>
      <c r="I45" s="791"/>
      <c r="J45" s="332"/>
      <c r="K45" s="332"/>
      <c r="L45" s="332"/>
      <c r="M45" s="332"/>
      <c r="N45" s="332"/>
      <c r="O45" s="332"/>
      <c r="P45" s="332"/>
      <c r="Q45" s="332"/>
      <c r="R45" s="332"/>
      <c r="S45" s="617"/>
      <c r="T45" s="778"/>
      <c r="U45" s="776"/>
      <c r="V45" s="776"/>
      <c r="W45" s="776"/>
      <c r="X45" s="776"/>
      <c r="Y45" s="483"/>
      <c r="Z45" s="779"/>
    </row>
    <row r="46" spans="2:26" ht="15">
      <c r="B46" s="338" t="s">
        <v>988</v>
      </c>
      <c r="C46" s="791"/>
      <c r="D46" s="791"/>
      <c r="E46" s="791"/>
      <c r="F46" s="791"/>
      <c r="G46" s="791">
        <v>68.619515583024508</v>
      </c>
      <c r="H46" s="791">
        <v>68.619515583024508</v>
      </c>
      <c r="I46" s="791"/>
      <c r="J46" s="332"/>
      <c r="K46" s="332"/>
      <c r="L46" s="332"/>
      <c r="M46" s="332"/>
      <c r="N46" s="332"/>
      <c r="O46" s="332"/>
      <c r="P46" s="332"/>
      <c r="Q46" s="332"/>
      <c r="R46" s="332"/>
      <c r="S46" s="617"/>
      <c r="T46" s="778"/>
      <c r="U46" s="776"/>
      <c r="V46" s="776"/>
      <c r="W46" s="776"/>
      <c r="X46" s="776"/>
      <c r="Y46" s="483"/>
      <c r="Z46" s="779"/>
    </row>
    <row r="47" spans="2:26" ht="15">
      <c r="B47" s="338" t="s">
        <v>989</v>
      </c>
      <c r="C47" s="791"/>
      <c r="D47" s="795">
        <v>708.83435582822085</v>
      </c>
      <c r="E47" s="795">
        <v>570</v>
      </c>
      <c r="F47" s="795">
        <v>610</v>
      </c>
      <c r="G47" s="791">
        <v>722.77160624604142</v>
      </c>
      <c r="H47" s="791">
        <v>722.77160624604142</v>
      </c>
      <c r="I47" s="791"/>
      <c r="J47" s="332"/>
      <c r="K47" s="332"/>
      <c r="L47" s="332"/>
      <c r="M47" s="332"/>
      <c r="N47" s="332"/>
      <c r="O47" s="332"/>
      <c r="P47" s="332"/>
      <c r="Q47" s="332"/>
      <c r="R47" s="332"/>
      <c r="S47" s="617"/>
      <c r="T47" s="778"/>
      <c r="U47" s="776"/>
      <c r="V47" s="776"/>
      <c r="W47" s="776"/>
      <c r="X47" s="776"/>
      <c r="Y47" s="483"/>
      <c r="Z47" s="779"/>
    </row>
    <row r="48" spans="2:26" ht="15">
      <c r="B48" s="338" t="s">
        <v>990</v>
      </c>
      <c r="C48" s="795">
        <v>1728.1644640234949</v>
      </c>
      <c r="D48" s="795">
        <v>760.05830903790093</v>
      </c>
      <c r="E48" s="795">
        <v>800</v>
      </c>
      <c r="F48" s="795">
        <v>981</v>
      </c>
      <c r="G48" s="791">
        <v>1279.2983715792066</v>
      </c>
      <c r="H48" s="791">
        <v>847.65292472434487</v>
      </c>
      <c r="I48" s="791"/>
      <c r="J48" s="332"/>
      <c r="K48" s="332"/>
      <c r="L48" s="332"/>
      <c r="M48" s="332"/>
      <c r="N48" s="332"/>
      <c r="O48" s="332"/>
      <c r="P48" s="332"/>
      <c r="Q48" s="332"/>
      <c r="R48" s="332"/>
      <c r="S48" s="617"/>
      <c r="T48" s="775"/>
      <c r="U48" s="776"/>
      <c r="V48" s="776"/>
      <c r="W48" s="483"/>
      <c r="X48" s="483"/>
      <c r="Y48" s="483"/>
      <c r="Z48" s="777"/>
    </row>
    <row r="49" spans="2:26" ht="15">
      <c r="B49" s="338" t="s">
        <v>991</v>
      </c>
      <c r="C49" s="791"/>
      <c r="D49" s="791"/>
      <c r="E49" s="791"/>
      <c r="F49" s="791"/>
      <c r="G49" s="791">
        <v>434.87922730407433</v>
      </c>
      <c r="H49" s="791">
        <v>346.85956318941584</v>
      </c>
      <c r="I49" s="791"/>
      <c r="J49" s="332"/>
      <c r="K49" s="332"/>
      <c r="L49" s="332"/>
      <c r="M49" s="332"/>
      <c r="N49" s="332"/>
      <c r="O49" s="332"/>
      <c r="P49" s="332"/>
      <c r="Q49" s="332"/>
      <c r="R49" s="332"/>
      <c r="S49" s="617"/>
      <c r="T49" s="775"/>
      <c r="U49" s="776"/>
      <c r="V49" s="776"/>
      <c r="W49" s="483"/>
      <c r="X49" s="483"/>
      <c r="Y49" s="483"/>
      <c r="Z49" s="777"/>
    </row>
    <row r="50" spans="2:26" ht="15">
      <c r="B50" s="338" t="s">
        <v>992</v>
      </c>
      <c r="C50" s="795">
        <v>2051.5506807866868</v>
      </c>
      <c r="D50" s="795">
        <v>1961.867816091954</v>
      </c>
      <c r="E50" s="795">
        <v>1500</v>
      </c>
      <c r="F50" s="795">
        <v>1348</v>
      </c>
      <c r="G50" s="791">
        <v>2253.1400951922151</v>
      </c>
      <c r="H50" s="791">
        <v>2253.1400951922151</v>
      </c>
      <c r="I50" s="791"/>
      <c r="J50" s="332"/>
      <c r="K50" s="332"/>
      <c r="L50" s="332"/>
      <c r="M50" s="332"/>
      <c r="N50" s="332"/>
      <c r="O50" s="332"/>
      <c r="P50" s="332"/>
      <c r="Q50" s="332"/>
      <c r="R50" s="332"/>
      <c r="S50" s="617"/>
      <c r="T50" s="775"/>
      <c r="U50" s="776"/>
      <c r="V50" s="776"/>
      <c r="W50" s="483"/>
      <c r="X50" s="483"/>
      <c r="Y50" s="483"/>
      <c r="Z50" s="777"/>
    </row>
    <row r="51" spans="2:26" ht="15">
      <c r="B51" s="338" t="s">
        <v>993</v>
      </c>
      <c r="C51" s="791"/>
      <c r="D51" s="791"/>
      <c r="E51" s="791"/>
      <c r="F51" s="791"/>
      <c r="G51" s="791"/>
      <c r="H51" s="791">
        <v>185.96764681718406</v>
      </c>
      <c r="I51" s="791"/>
      <c r="J51" s="332"/>
      <c r="K51" s="332"/>
      <c r="L51" s="332"/>
      <c r="M51" s="332"/>
      <c r="N51" s="332"/>
      <c r="O51" s="332"/>
      <c r="P51" s="332"/>
      <c r="Q51" s="332"/>
      <c r="R51" s="332"/>
      <c r="S51" s="617"/>
      <c r="T51" s="775"/>
      <c r="U51" s="776"/>
      <c r="V51" s="776"/>
      <c r="W51" s="483"/>
      <c r="X51" s="483"/>
      <c r="Y51" s="483"/>
      <c r="Z51" s="777"/>
    </row>
    <row r="52" spans="2:26" ht="15">
      <c r="B52" s="338" t="s">
        <v>994</v>
      </c>
      <c r="C52" s="795">
        <v>615</v>
      </c>
      <c r="D52" s="795">
        <v>625</v>
      </c>
      <c r="E52" s="795">
        <v>620</v>
      </c>
      <c r="F52" s="795">
        <v>741</v>
      </c>
      <c r="G52" s="791">
        <v>777.63869746363002</v>
      </c>
      <c r="H52" s="791">
        <v>777.63869746363002</v>
      </c>
      <c r="I52" s="791"/>
      <c r="J52" s="332"/>
      <c r="K52" s="332"/>
      <c r="L52" s="332"/>
      <c r="M52" s="332"/>
      <c r="N52" s="332"/>
      <c r="O52" s="332"/>
      <c r="P52" s="332"/>
      <c r="Q52" s="332"/>
      <c r="R52" s="332"/>
      <c r="S52" s="617"/>
      <c r="T52" s="775"/>
      <c r="U52" s="776"/>
      <c r="V52" s="776"/>
      <c r="W52" s="483"/>
      <c r="X52" s="483"/>
      <c r="Y52" s="483"/>
      <c r="Z52" s="777"/>
    </row>
    <row r="53" spans="2:26" ht="15">
      <c r="B53" s="338" t="s">
        <v>995</v>
      </c>
      <c r="C53" s="794">
        <v>545</v>
      </c>
      <c r="D53" s="795">
        <v>545</v>
      </c>
      <c r="E53" s="795">
        <v>540</v>
      </c>
      <c r="F53" s="795">
        <v>632</v>
      </c>
      <c r="G53" s="791">
        <v>816.3930626788316</v>
      </c>
      <c r="H53" s="791">
        <v>816.3930626788316</v>
      </c>
      <c r="I53" s="791"/>
      <c r="J53" s="332"/>
      <c r="K53" s="332"/>
      <c r="L53" s="332"/>
      <c r="M53" s="332"/>
      <c r="N53" s="332"/>
      <c r="O53" s="332"/>
      <c r="P53" s="332"/>
      <c r="Q53" s="332"/>
      <c r="R53" s="332"/>
      <c r="S53" s="617"/>
      <c r="T53" s="775"/>
      <c r="U53" s="776"/>
      <c r="V53" s="776"/>
      <c r="W53" s="483"/>
      <c r="X53" s="483"/>
      <c r="Y53" s="483"/>
      <c r="Z53" s="777"/>
    </row>
    <row r="54" spans="2:26" ht="15">
      <c r="B54" s="338" t="s">
        <v>996</v>
      </c>
      <c r="C54" s="795">
        <v>2500.620842572062</v>
      </c>
      <c r="D54" s="795">
        <v>2511.4154103852597</v>
      </c>
      <c r="E54" s="795">
        <v>2460</v>
      </c>
      <c r="F54" s="795">
        <v>2346</v>
      </c>
      <c r="G54" s="791">
        <v>2581.4599575409056</v>
      </c>
      <c r="H54" s="791">
        <v>3102.4919179919257</v>
      </c>
      <c r="I54" s="791"/>
      <c r="J54" s="332"/>
      <c r="K54" s="332"/>
      <c r="L54" s="332"/>
      <c r="M54" s="332"/>
      <c r="N54" s="332"/>
      <c r="O54" s="332"/>
      <c r="P54" s="332"/>
      <c r="Q54" s="332"/>
      <c r="R54" s="332"/>
      <c r="S54" s="617"/>
      <c r="T54" s="775"/>
      <c r="U54" s="776"/>
      <c r="V54" s="776"/>
      <c r="W54" s="483"/>
      <c r="X54" s="483"/>
      <c r="Y54" s="483"/>
      <c r="Z54" s="777"/>
    </row>
    <row r="55" spans="2:26" ht="15">
      <c r="B55" s="363" t="s">
        <v>997</v>
      </c>
      <c r="C55" s="795">
        <v>1393.4917355371902</v>
      </c>
      <c r="D55" s="795">
        <v>1569.2413162705668</v>
      </c>
      <c r="E55" s="795">
        <v>1550</v>
      </c>
      <c r="F55" s="795">
        <v>1375</v>
      </c>
      <c r="G55" s="791">
        <v>1514.3142939148067</v>
      </c>
      <c r="H55" s="791">
        <v>1514.3142939148067</v>
      </c>
      <c r="I55" s="791"/>
      <c r="J55" s="332"/>
      <c r="K55" s="332"/>
      <c r="L55" s="332"/>
      <c r="M55" s="332"/>
      <c r="N55" s="332"/>
      <c r="O55" s="332"/>
      <c r="P55" s="332"/>
      <c r="Q55" s="332"/>
      <c r="R55" s="332"/>
      <c r="S55" s="617"/>
      <c r="T55" s="775"/>
      <c r="U55" s="776"/>
      <c r="V55" s="776"/>
      <c r="W55" s="483"/>
      <c r="X55" s="483"/>
      <c r="Y55" s="483"/>
      <c r="Z55" s="777"/>
    </row>
    <row r="56" spans="2:26" ht="15">
      <c r="B56" s="338" t="s">
        <v>998</v>
      </c>
      <c r="C56" s="794">
        <v>389.0176322418136</v>
      </c>
      <c r="D56" s="795">
        <v>380</v>
      </c>
      <c r="E56" s="795">
        <v>390</v>
      </c>
      <c r="F56" s="795">
        <v>461</v>
      </c>
      <c r="G56" s="791">
        <v>481.49267645590942</v>
      </c>
      <c r="H56" s="791">
        <v>399.22124195848323</v>
      </c>
      <c r="I56" s="791"/>
      <c r="J56" s="332"/>
      <c r="K56" s="332"/>
      <c r="L56" s="332"/>
      <c r="M56" s="332"/>
      <c r="N56" s="332"/>
      <c r="O56" s="332"/>
      <c r="P56" s="332"/>
      <c r="Q56" s="332"/>
      <c r="R56" s="332"/>
      <c r="S56" s="617"/>
      <c r="T56" s="775"/>
      <c r="U56" s="776"/>
      <c r="V56" s="776"/>
      <c r="W56" s="483"/>
      <c r="X56" s="483"/>
      <c r="Y56" s="483"/>
      <c r="Z56" s="777"/>
    </row>
    <row r="57" spans="2:26" ht="15">
      <c r="B57" s="338" t="s">
        <v>999</v>
      </c>
      <c r="C57" s="795">
        <v>289.31442080378253</v>
      </c>
      <c r="D57" s="795">
        <v>220</v>
      </c>
      <c r="E57" s="791">
        <v>580</v>
      </c>
      <c r="F57" s="791">
        <v>682</v>
      </c>
      <c r="G57" s="791">
        <v>1341.831139968202</v>
      </c>
      <c r="H57" s="791">
        <v>938.4604745574145</v>
      </c>
      <c r="I57" s="791"/>
      <c r="J57" s="332"/>
      <c r="K57" s="332"/>
      <c r="L57" s="332"/>
      <c r="M57" s="332"/>
      <c r="N57" s="332"/>
      <c r="O57" s="332"/>
      <c r="P57" s="332"/>
      <c r="Q57" s="332"/>
      <c r="R57" s="332"/>
      <c r="S57" s="617"/>
      <c r="T57" s="775"/>
      <c r="U57" s="776"/>
      <c r="V57" s="776"/>
      <c r="W57" s="483"/>
      <c r="X57" s="790"/>
      <c r="Y57" s="790"/>
      <c r="Z57" s="777"/>
    </row>
    <row r="58" spans="2:26" ht="15">
      <c r="B58" s="338" t="s">
        <v>982</v>
      </c>
      <c r="C58" s="795">
        <v>779.44593386952636</v>
      </c>
      <c r="D58" s="795">
        <v>767.29729729729729</v>
      </c>
      <c r="E58" s="795">
        <v>780</v>
      </c>
      <c r="F58" s="795">
        <v>966</v>
      </c>
      <c r="G58" s="791">
        <v>1227.4824684668752</v>
      </c>
      <c r="H58" s="791">
        <v>999.20159210266934</v>
      </c>
      <c r="I58" s="791"/>
      <c r="J58" s="332"/>
      <c r="K58" s="332"/>
      <c r="L58" s="332"/>
      <c r="M58" s="332"/>
      <c r="N58" s="332"/>
      <c r="O58" s="332"/>
      <c r="P58" s="332"/>
      <c r="Q58" s="332"/>
      <c r="R58" s="332"/>
      <c r="S58" s="617"/>
      <c r="T58" s="775"/>
      <c r="U58" s="776"/>
      <c r="V58" s="776"/>
      <c r="W58" s="776"/>
      <c r="X58" s="776"/>
      <c r="Y58" s="776"/>
      <c r="Z58" s="777"/>
    </row>
    <row r="59" spans="2:26" ht="15">
      <c r="B59" s="338" t="s">
        <v>981</v>
      </c>
      <c r="C59" s="791"/>
      <c r="D59" s="791"/>
      <c r="E59" s="791"/>
      <c r="F59" s="795">
        <v>947</v>
      </c>
      <c r="G59" s="791">
        <v>1054.6086561613313</v>
      </c>
      <c r="H59" s="791">
        <v>1054.6086561613313</v>
      </c>
      <c r="I59" s="791"/>
      <c r="J59" s="332"/>
      <c r="K59" s="332"/>
      <c r="L59" s="332"/>
      <c r="M59" s="332"/>
      <c r="N59" s="332"/>
      <c r="O59" s="332"/>
      <c r="P59" s="332"/>
      <c r="Q59" s="332"/>
      <c r="R59" s="332"/>
      <c r="S59" s="617"/>
      <c r="T59" s="775"/>
      <c r="U59" s="776"/>
      <c r="V59" s="776"/>
      <c r="W59" s="483"/>
      <c r="X59" s="776"/>
      <c r="Y59" s="780"/>
      <c r="Z59" s="777"/>
    </row>
    <row r="60" spans="2:26" ht="15">
      <c r="B60" s="338" t="s">
        <v>980</v>
      </c>
      <c r="C60" s="794">
        <v>445.56485355648533</v>
      </c>
      <c r="D60" s="795">
        <v>438.81987577639751</v>
      </c>
      <c r="E60" s="795">
        <v>450</v>
      </c>
      <c r="F60" s="795">
        <v>537</v>
      </c>
      <c r="G60" s="791">
        <v>650.29476323685049</v>
      </c>
      <c r="H60" s="791">
        <v>543.76114601060056</v>
      </c>
      <c r="I60" s="791"/>
      <c r="J60" s="332"/>
      <c r="K60" s="332"/>
      <c r="L60" s="332"/>
      <c r="M60" s="332"/>
      <c r="N60" s="332"/>
      <c r="O60" s="332"/>
      <c r="P60" s="332"/>
      <c r="Q60" s="332"/>
      <c r="R60" s="332"/>
      <c r="S60" s="617"/>
      <c r="T60" s="775"/>
      <c r="U60" s="776"/>
      <c r="V60" s="776"/>
      <c r="W60" s="780"/>
      <c r="X60" s="776"/>
      <c r="Y60" s="780"/>
      <c r="Z60" s="780"/>
    </row>
    <row r="61" spans="2:26" ht="15">
      <c r="B61" s="338" t="s">
        <v>1093</v>
      </c>
      <c r="C61" s="796">
        <v>2749.5181846440782</v>
      </c>
      <c r="D61" s="796">
        <v>2784.3395234758236</v>
      </c>
      <c r="E61" s="796">
        <v>2550</v>
      </c>
      <c r="F61" s="827">
        <f>F43+F45+F59</f>
        <v>2520</v>
      </c>
      <c r="G61" s="827">
        <f>G43+G45+G59</f>
        <v>3285.7475286716763</v>
      </c>
      <c r="H61" s="827">
        <f>H43+H45+H59</f>
        <v>3285.7475286716763</v>
      </c>
      <c r="I61" s="791"/>
      <c r="J61" s="332"/>
      <c r="K61" s="332"/>
      <c r="L61" s="332"/>
      <c r="M61" s="332"/>
      <c r="N61" s="332"/>
      <c r="O61" s="332"/>
      <c r="P61" s="332"/>
      <c r="Q61" s="332"/>
      <c r="R61" s="332"/>
      <c r="S61" s="617"/>
      <c r="T61" s="775"/>
      <c r="U61" s="792"/>
      <c r="V61" s="792"/>
      <c r="W61" s="793"/>
      <c r="X61" s="792"/>
      <c r="Y61" s="793"/>
      <c r="Z61" s="793"/>
    </row>
    <row r="62" spans="2:26" ht="15">
      <c r="B62" s="338" t="s">
        <v>1025</v>
      </c>
      <c r="C62" s="667">
        <f>SUM(C42:C61)</f>
        <v>13806.688748035122</v>
      </c>
      <c r="D62" s="667">
        <f>SUM(D42:D61)</f>
        <v>13816.873904163418</v>
      </c>
      <c r="E62" s="667">
        <f>SUM(E42:E61)</f>
        <v>13360</v>
      </c>
      <c r="F62" s="667">
        <f>SUM(F42:F60)</f>
        <v>13866</v>
      </c>
      <c r="G62" s="667">
        <f>SUM(G42:G60)</f>
        <v>18541.484824463427</v>
      </c>
      <c r="H62" s="667">
        <f>SUM(H42:H60)</f>
        <v>17687.709649774803</v>
      </c>
      <c r="I62" s="667"/>
      <c r="J62" s="667"/>
      <c r="K62" s="667"/>
      <c r="L62" s="667"/>
      <c r="M62" s="667"/>
      <c r="N62" s="667"/>
      <c r="O62" s="667"/>
      <c r="P62" s="667"/>
      <c r="Q62" s="667"/>
      <c r="R62" s="667"/>
      <c r="S62" s="617"/>
      <c r="T62" s="775"/>
      <c r="U62" s="781"/>
      <c r="V62" s="781"/>
      <c r="W62" s="782"/>
      <c r="X62" s="781"/>
      <c r="Y62" s="782"/>
      <c r="Z62" s="783"/>
    </row>
    <row r="63" spans="2:26" ht="15">
      <c r="B63" s="152" t="s">
        <v>1000</v>
      </c>
      <c r="C63" s="667">
        <f>SUM(C41:C61)</f>
        <v>26847.187947042923</v>
      </c>
      <c r="D63" s="667">
        <f>SUM(D41:D61)</f>
        <v>28238.249533870639</v>
      </c>
      <c r="E63" s="667">
        <f>SUM(E41:E61)</f>
        <v>27490</v>
      </c>
      <c r="F63" s="667">
        <f>SUM(F41:F60)</f>
        <v>28194</v>
      </c>
      <c r="G63" s="667">
        <f>SUM(G41:G60)</f>
        <v>29786.876894113011</v>
      </c>
      <c r="H63" s="667">
        <f>SUM(H41:H60)</f>
        <v>29176.454424016734</v>
      </c>
      <c r="I63" s="667"/>
      <c r="J63" s="667"/>
      <c r="K63" s="667"/>
      <c r="L63" s="667"/>
      <c r="M63" s="667"/>
      <c r="N63" s="667"/>
      <c r="O63" s="667"/>
      <c r="P63" s="667"/>
      <c r="Q63" s="667"/>
      <c r="R63" s="667"/>
      <c r="S63" s="617"/>
      <c r="T63" s="775"/>
      <c r="U63" s="781"/>
      <c r="V63" s="776"/>
      <c r="W63" s="774"/>
      <c r="X63" s="781"/>
      <c r="Y63" s="774"/>
      <c r="Z63" s="782"/>
    </row>
    <row r="64" spans="2:26" ht="15">
      <c r="B64" s="338" t="s">
        <v>1001</v>
      </c>
      <c r="C64" s="785"/>
      <c r="D64" s="785"/>
      <c r="E64" s="785"/>
      <c r="F64" s="785"/>
      <c r="G64" s="785"/>
      <c r="H64" s="785"/>
      <c r="I64" s="816">
        <f>FINAL_OUTPUTS_OF_ITT_PLACES!G54</f>
        <v>12120.954810176481</v>
      </c>
      <c r="J64" s="785">
        <f>Conversion_rates_table!D253</f>
        <v>11275.592211413737</v>
      </c>
      <c r="K64" s="785">
        <f>Conversion_rates_table!E253</f>
        <v>11372.121733950818</v>
      </c>
      <c r="L64" s="785">
        <f>Conversion_rates_table!F253</f>
        <v>11225.451898905803</v>
      </c>
      <c r="M64" s="785">
        <f>Conversion_rates_table!G253</f>
        <v>11010.114427017737</v>
      </c>
      <c r="N64" s="785">
        <f>Conversion_rates_table!H253</f>
        <v>10860.584878167052</v>
      </c>
      <c r="O64" s="785">
        <f>Conversion_rates_table!I253</f>
        <v>11237.356780486234</v>
      </c>
      <c r="P64" s="785">
        <f>Conversion_rates_table!J253</f>
        <v>11541.667314741562</v>
      </c>
      <c r="Q64" s="785">
        <f>Conversion_rates_table!K253</f>
        <v>11619.763973618792</v>
      </c>
      <c r="R64" s="785">
        <f>Conversion_rates_table!L253</f>
        <v>11546.77937971449</v>
      </c>
      <c r="S64" s="617"/>
      <c r="T64" s="775"/>
      <c r="U64" s="781"/>
      <c r="V64" s="781"/>
      <c r="W64" s="781"/>
      <c r="X64" s="781"/>
      <c r="Y64" s="781"/>
      <c r="Z64" s="783"/>
    </row>
    <row r="65" spans="2:26" ht="15">
      <c r="B65" s="338" t="s">
        <v>1002</v>
      </c>
      <c r="C65" s="785"/>
      <c r="D65" s="785"/>
      <c r="E65" s="785"/>
      <c r="F65" s="785"/>
      <c r="G65" s="785"/>
      <c r="H65" s="785"/>
      <c r="I65" s="816">
        <f>FINAL_OUTPUTS_OF_ITT_PLACES!G55</f>
        <v>577.09697709165653</v>
      </c>
      <c r="J65" s="785">
        <f>Conversion_rates_table!D254</f>
        <v>579.96268842827885</v>
      </c>
      <c r="K65" s="785">
        <f>Conversion_rates_table!E254</f>
        <v>651.70755511655113</v>
      </c>
      <c r="L65" s="785">
        <f>Conversion_rates_table!F254</f>
        <v>664.74499321718838</v>
      </c>
      <c r="M65" s="785">
        <f>Conversion_rates_table!G254</f>
        <v>669.57591601380284</v>
      </c>
      <c r="N65" s="785">
        <f>Conversion_rates_table!H254</f>
        <v>679.90558343006444</v>
      </c>
      <c r="O65" s="785">
        <f>Conversion_rates_table!I254</f>
        <v>654.42929354511489</v>
      </c>
      <c r="P65" s="785">
        <f>Conversion_rates_table!J254</f>
        <v>628.87838823827781</v>
      </c>
      <c r="Q65" s="785">
        <f>Conversion_rates_table!K254</f>
        <v>615.76612881188157</v>
      </c>
      <c r="R65" s="785">
        <f>Conversion_rates_table!L254</f>
        <v>629.46753481661972</v>
      </c>
      <c r="T65" s="775"/>
      <c r="U65" s="781"/>
      <c r="V65" s="776"/>
      <c r="W65" s="776"/>
      <c r="X65" s="781"/>
      <c r="Y65" s="776"/>
      <c r="Z65" s="782"/>
    </row>
    <row r="66" spans="2:26" ht="15">
      <c r="B66" s="338" t="s">
        <v>1003</v>
      </c>
      <c r="C66" s="785"/>
      <c r="D66" s="785"/>
      <c r="E66" s="785"/>
      <c r="F66" s="785"/>
      <c r="G66" s="785"/>
      <c r="H66" s="785"/>
      <c r="I66" s="816">
        <f>FINAL_OUTPUTS_OF_ITT_PLACES!G56</f>
        <v>1187.7114497941952</v>
      </c>
      <c r="J66" s="785">
        <f>Conversion_rates_table!D255</f>
        <v>1126.9124911200001</v>
      </c>
      <c r="K66" s="785">
        <f>Conversion_rates_table!E255</f>
        <v>1113.8222399145347</v>
      </c>
      <c r="L66" s="785">
        <f>Conversion_rates_table!F255</f>
        <v>1136.5787454662809</v>
      </c>
      <c r="M66" s="785">
        <f>Conversion_rates_table!G255</f>
        <v>1168.6206560528622</v>
      </c>
      <c r="N66" s="785">
        <f>Conversion_rates_table!H255</f>
        <v>1147.1949566078174</v>
      </c>
      <c r="O66" s="785">
        <f>Conversion_rates_table!I255</f>
        <v>1115.4426765851367</v>
      </c>
      <c r="P66" s="785">
        <f>Conversion_rates_table!J255</f>
        <v>1128.4058710301586</v>
      </c>
      <c r="Q66" s="785">
        <f>Conversion_rates_table!K255</f>
        <v>1121.7178373540626</v>
      </c>
      <c r="R66" s="785">
        <f>Conversion_rates_table!L255</f>
        <v>1081.0444498175762</v>
      </c>
      <c r="T66" s="775"/>
      <c r="U66" s="781"/>
      <c r="V66" s="781"/>
      <c r="W66" s="781"/>
      <c r="X66" s="781"/>
      <c r="Y66" s="781"/>
      <c r="Z66" s="783"/>
    </row>
    <row r="67" spans="2:26">
      <c r="B67" s="338" t="s">
        <v>1004</v>
      </c>
      <c r="C67" s="785"/>
      <c r="D67" s="785"/>
      <c r="E67" s="785"/>
      <c r="F67" s="785"/>
      <c r="G67" s="785"/>
      <c r="H67" s="785"/>
      <c r="I67" s="816">
        <f>FINAL_OUTPUTS_OF_ITT_PLACES!G57</f>
        <v>217.57177227814842</v>
      </c>
      <c r="J67" s="785">
        <f>Conversion_rates_table!D256</f>
        <v>163.8680660321287</v>
      </c>
      <c r="K67" s="785">
        <f>Conversion_rates_table!E256</f>
        <v>243.85222751649474</v>
      </c>
      <c r="L67" s="785">
        <f>Conversion_rates_table!F256</f>
        <v>281.41522968344844</v>
      </c>
      <c r="M67" s="785">
        <f>Conversion_rates_table!G256</f>
        <v>305.15509723756918</v>
      </c>
      <c r="N67" s="785">
        <f>Conversion_rates_table!H256</f>
        <v>296.01205150713486</v>
      </c>
      <c r="O67" s="785">
        <f>Conversion_rates_table!I256</f>
        <v>305.40544457193852</v>
      </c>
      <c r="P67" s="785">
        <f>Conversion_rates_table!J256</f>
        <v>315.00261012458503</v>
      </c>
      <c r="Q67" s="785">
        <f>Conversion_rates_table!K256</f>
        <v>316.8079820872515</v>
      </c>
      <c r="R67" s="785">
        <f>Conversion_rates_table!L256</f>
        <v>297.73317389529876</v>
      </c>
      <c r="T67" s="483"/>
      <c r="U67" s="483"/>
      <c r="V67" s="483"/>
      <c r="W67" s="483"/>
      <c r="X67" s="483"/>
      <c r="Y67" s="483"/>
      <c r="Z67" s="483"/>
    </row>
    <row r="68" spans="2:26">
      <c r="B68" s="338" t="s">
        <v>1005</v>
      </c>
      <c r="C68" s="785"/>
      <c r="D68" s="785"/>
      <c r="E68" s="785"/>
      <c r="F68" s="785"/>
      <c r="G68" s="785"/>
      <c r="H68" s="785"/>
      <c r="I68" s="816">
        <f>FINAL_OUTPUTS_OF_ITT_PLACES!G58</f>
        <v>1053.4775422401942</v>
      </c>
      <c r="J68" s="785">
        <f>Conversion_rates_table!D257</f>
        <v>966.78127647038559</v>
      </c>
      <c r="K68" s="785">
        <f>Conversion_rates_table!E257</f>
        <v>952.72186905673129</v>
      </c>
      <c r="L68" s="785">
        <f>Conversion_rates_table!F257</f>
        <v>970.66502431930064</v>
      </c>
      <c r="M68" s="785">
        <f>Conversion_rates_table!G257</f>
        <v>996.11621501650393</v>
      </c>
      <c r="N68" s="785">
        <f>Conversion_rates_table!H257</f>
        <v>970.2847494071076</v>
      </c>
      <c r="O68" s="785">
        <f>Conversion_rates_table!I257</f>
        <v>941.20494422626291</v>
      </c>
      <c r="P68" s="785">
        <f>Conversion_rates_table!J257</f>
        <v>955.15012028854881</v>
      </c>
      <c r="Q68" s="785">
        <f>Conversion_rates_table!K257</f>
        <v>948.40139360355818</v>
      </c>
      <c r="R68" s="785">
        <f>Conversion_rates_table!L257</f>
        <v>904.81792267047354</v>
      </c>
      <c r="T68" s="483"/>
      <c r="U68" s="483"/>
      <c r="V68" s="483"/>
      <c r="W68" s="483"/>
      <c r="X68" s="483"/>
      <c r="Y68" s="483"/>
      <c r="Z68" s="483"/>
    </row>
    <row r="69" spans="2:26">
      <c r="B69" s="338" t="s">
        <v>1006</v>
      </c>
      <c r="C69" s="785"/>
      <c r="D69" s="785"/>
      <c r="E69" s="785"/>
      <c r="F69" s="785"/>
      <c r="G69" s="785"/>
      <c r="H69" s="785"/>
      <c r="I69" s="816">
        <f>FINAL_OUTPUTS_OF_ITT_PLACES!G59</f>
        <v>68.619515583024508</v>
      </c>
      <c r="J69" s="785">
        <f>Conversion_rates_table!D258</f>
        <v>29.1322719401591</v>
      </c>
      <c r="K69" s="785">
        <f>Conversion_rates_table!E258</f>
        <v>28.767043005813594</v>
      </c>
      <c r="L69" s="785">
        <f>Conversion_rates_table!F258</f>
        <v>28.911957061008021</v>
      </c>
      <c r="M69" s="785">
        <f>Conversion_rates_table!G258</f>
        <v>29.428563927552897</v>
      </c>
      <c r="N69" s="785">
        <f>Conversion_rates_table!H258</f>
        <v>29.263635759325066</v>
      </c>
      <c r="O69" s="785">
        <f>Conversion_rates_table!I258</f>
        <v>28.817945216107095</v>
      </c>
      <c r="P69" s="785">
        <f>Conversion_rates_table!J258</f>
        <v>28.122568230073217</v>
      </c>
      <c r="Q69" s="785">
        <f>Conversion_rates_table!K258</f>
        <v>27.746755774063718</v>
      </c>
      <c r="R69" s="785">
        <f>Conversion_rates_table!L258</f>
        <v>27.72242429048697</v>
      </c>
    </row>
    <row r="70" spans="2:26">
      <c r="B70" s="338" t="s">
        <v>1007</v>
      </c>
      <c r="C70" s="785"/>
      <c r="D70" s="785"/>
      <c r="E70" s="785"/>
      <c r="F70" s="785"/>
      <c r="G70" s="785"/>
      <c r="H70" s="785"/>
      <c r="I70" s="816">
        <f>FINAL_OUTPUTS_OF_ITT_PLACES!G60</f>
        <v>722.77160624604142</v>
      </c>
      <c r="J70" s="785">
        <f>Conversion_rates_table!D259</f>
        <v>433.53102596737239</v>
      </c>
      <c r="K70" s="785">
        <f>Conversion_rates_table!E259</f>
        <v>575.20583989280658</v>
      </c>
      <c r="L70" s="785">
        <f>Conversion_rates_table!F259</f>
        <v>618.72393469281337</v>
      </c>
      <c r="M70" s="785">
        <f>Conversion_rates_table!G259</f>
        <v>629.09277926887046</v>
      </c>
      <c r="N70" s="785">
        <f>Conversion_rates_table!H259</f>
        <v>634.04470732215611</v>
      </c>
      <c r="O70" s="785">
        <f>Conversion_rates_table!I259</f>
        <v>614.70158038292914</v>
      </c>
      <c r="P70" s="785">
        <f>Conversion_rates_table!J259</f>
        <v>600.73102182608807</v>
      </c>
      <c r="Q70" s="785">
        <f>Conversion_rates_table!K259</f>
        <v>591.78235769590924</v>
      </c>
      <c r="R70" s="785">
        <f>Conversion_rates_table!L259</f>
        <v>594.94731250346888</v>
      </c>
    </row>
    <row r="71" spans="2:26">
      <c r="B71" s="338" t="s">
        <v>1008</v>
      </c>
      <c r="C71" s="785"/>
      <c r="D71" s="785"/>
      <c r="E71" s="785"/>
      <c r="F71" s="785"/>
      <c r="G71" s="785"/>
      <c r="H71" s="785"/>
      <c r="I71" s="816">
        <f>FINAL_OUTPUTS_OF_ITT_PLACES!G61</f>
        <v>750.58903626833126</v>
      </c>
      <c r="J71" s="785">
        <f>Conversion_rates_table!D260</f>
        <v>678.68882372609664</v>
      </c>
      <c r="K71" s="785">
        <f>Conversion_rates_table!E260</f>
        <v>824.91324502188422</v>
      </c>
      <c r="L71" s="785">
        <f>Conversion_rates_table!F260</f>
        <v>867.6543108930523</v>
      </c>
      <c r="M71" s="785">
        <f>Conversion_rates_table!G260</f>
        <v>850.20534261685646</v>
      </c>
      <c r="N71" s="785">
        <f>Conversion_rates_table!H260</f>
        <v>866.10377617753966</v>
      </c>
      <c r="O71" s="785">
        <f>Conversion_rates_table!I260</f>
        <v>812.79670631268834</v>
      </c>
      <c r="P71" s="785">
        <f>Conversion_rates_table!J260</f>
        <v>760.38720932916794</v>
      </c>
      <c r="Q71" s="785">
        <f>Conversion_rates_table!K260</f>
        <v>734.73894890819361</v>
      </c>
      <c r="R71" s="785">
        <f>Conversion_rates_table!L260</f>
        <v>767.93972636070032</v>
      </c>
    </row>
    <row r="72" spans="2:26">
      <c r="B72" s="338" t="s">
        <v>1009</v>
      </c>
      <c r="C72" s="785"/>
      <c r="D72" s="785"/>
      <c r="E72" s="785"/>
      <c r="F72" s="785"/>
      <c r="G72" s="785"/>
      <c r="H72" s="785"/>
      <c r="I72" s="816">
        <f>FINAL_OUTPUTS_OF_ITT_PLACES!G62</f>
        <v>345.11470491922063</v>
      </c>
      <c r="J72" s="785">
        <f>Conversion_rates_table!D261</f>
        <v>333.38217360990109</v>
      </c>
      <c r="K72" s="785">
        <f>Conversion_rates_table!E261</f>
        <v>330.95669994171158</v>
      </c>
      <c r="L72" s="785">
        <f>Conversion_rates_table!F261</f>
        <v>356.91217754402464</v>
      </c>
      <c r="M72" s="785">
        <f>Conversion_rates_table!G261</f>
        <v>359.3054762709408</v>
      </c>
      <c r="N72" s="785">
        <f>Conversion_rates_table!H261</f>
        <v>367.49003870253716</v>
      </c>
      <c r="O72" s="785">
        <f>Conversion_rates_table!I261</f>
        <v>352.92023458984693</v>
      </c>
      <c r="P72" s="785">
        <f>Conversion_rates_table!J261</f>
        <v>339.48204930872771</v>
      </c>
      <c r="Q72" s="785">
        <f>Conversion_rates_table!K261</f>
        <v>333.52216210028701</v>
      </c>
      <c r="R72" s="785">
        <f>Conversion_rates_table!L261</f>
        <v>344.35340387773311</v>
      </c>
    </row>
    <row r="73" spans="2:26">
      <c r="B73" s="338" t="s">
        <v>1010</v>
      </c>
      <c r="C73" s="785"/>
      <c r="D73" s="785"/>
      <c r="E73" s="785"/>
      <c r="F73" s="785"/>
      <c r="G73" s="785"/>
      <c r="H73" s="785"/>
      <c r="I73" s="816">
        <f>FINAL_OUTPUTS_OF_ITT_PLACES!G63</f>
        <v>2426.2873096074586</v>
      </c>
      <c r="J73" s="785">
        <f>Conversion_rates_table!D262</f>
        <v>2323.4684744104111</v>
      </c>
      <c r="K73" s="785">
        <f>Conversion_rates_table!E262</f>
        <v>2268.6420328789732</v>
      </c>
      <c r="L73" s="785">
        <f>Conversion_rates_table!F262</f>
        <v>2278.593451429927</v>
      </c>
      <c r="M73" s="785">
        <f>Conversion_rates_table!G262</f>
        <v>2298.1609401418104</v>
      </c>
      <c r="N73" s="785">
        <f>Conversion_rates_table!H262</f>
        <v>2271.872149209833</v>
      </c>
      <c r="O73" s="785">
        <f>Conversion_rates_table!I262</f>
        <v>2167.2148305963751</v>
      </c>
      <c r="P73" s="785">
        <f>Conversion_rates_table!J262</f>
        <v>2153.9669706904515</v>
      </c>
      <c r="Q73" s="785">
        <f>Conversion_rates_table!K262</f>
        <v>2124.5103290759926</v>
      </c>
      <c r="R73" s="785">
        <f>Conversion_rates_table!L262</f>
        <v>2083.6403942278298</v>
      </c>
    </row>
    <row r="74" spans="2:26">
      <c r="B74" s="338" t="s">
        <v>1011</v>
      </c>
      <c r="C74" s="785"/>
      <c r="D74" s="785"/>
      <c r="E74" s="785"/>
      <c r="F74" s="785"/>
      <c r="G74" s="785"/>
      <c r="H74" s="785"/>
      <c r="I74" s="816">
        <f>FINAL_OUTPUTS_OF_ITT_PLACES!G64</f>
        <v>166.33410185907249</v>
      </c>
      <c r="J74" s="785">
        <f>Conversion_rates_table!D263</f>
        <v>146.33718063938591</v>
      </c>
      <c r="K74" s="785">
        <f>Conversion_rates_table!E263</f>
        <v>197.35004951420458</v>
      </c>
      <c r="L74" s="785">
        <f>Conversion_rates_table!F263</f>
        <v>210.47715734718025</v>
      </c>
      <c r="M74" s="785">
        <f>Conversion_rates_table!G263</f>
        <v>211.03128375109421</v>
      </c>
      <c r="N74" s="785">
        <f>Conversion_rates_table!H263</f>
        <v>202.56111513913442</v>
      </c>
      <c r="O74" s="785">
        <f>Conversion_rates_table!I263</f>
        <v>192.52073106751774</v>
      </c>
      <c r="P74" s="785">
        <f>Conversion_rates_table!J263</f>
        <v>193.81449213886424</v>
      </c>
      <c r="Q74" s="785">
        <f>Conversion_rates_table!K263</f>
        <v>190.66500171939609</v>
      </c>
      <c r="R74" s="785">
        <f>Conversion_rates_table!L263</f>
        <v>180.09617444348353</v>
      </c>
    </row>
    <row r="75" spans="2:26">
      <c r="B75" s="338" t="s">
        <v>1012</v>
      </c>
      <c r="C75" s="785"/>
      <c r="D75" s="785"/>
      <c r="E75" s="785"/>
      <c r="F75" s="785"/>
      <c r="G75" s="785"/>
      <c r="H75" s="785"/>
      <c r="I75" s="816">
        <f>FINAL_OUTPUTS_OF_ITT_PLACES!G65</f>
        <v>1531.1469289044046</v>
      </c>
      <c r="J75" s="785">
        <f>Conversion_rates_table!D264</f>
        <v>1504.7087985344428</v>
      </c>
      <c r="K75" s="785">
        <f>Conversion_rates_table!E264</f>
        <v>1171.0131864048562</v>
      </c>
      <c r="L75" s="785">
        <f>Conversion_rates_table!F264</f>
        <v>1110.5021575700273</v>
      </c>
      <c r="M75" s="785">
        <f>Conversion_rates_table!G264</f>
        <v>1119.050627427448</v>
      </c>
      <c r="N75" s="785">
        <f>Conversion_rates_table!H264</f>
        <v>1132.2752720987266</v>
      </c>
      <c r="O75" s="785">
        <f>Conversion_rates_table!I264</f>
        <v>1046.4380380159587</v>
      </c>
      <c r="P75" s="785">
        <f>Conversion_rates_table!J264</f>
        <v>1000.8557887231527</v>
      </c>
      <c r="Q75" s="785">
        <f>Conversion_rates_table!K264</f>
        <v>971.03333055983364</v>
      </c>
      <c r="R75" s="785">
        <f>Conversion_rates_table!L264</f>
        <v>987.78183568772477</v>
      </c>
    </row>
    <row r="76" spans="2:26">
      <c r="B76" s="338" t="s">
        <v>1013</v>
      </c>
      <c r="C76" s="785"/>
      <c r="D76" s="785"/>
      <c r="E76" s="785"/>
      <c r="F76" s="785"/>
      <c r="G76" s="785"/>
      <c r="H76" s="785"/>
      <c r="I76" s="816">
        <f>FINAL_OUTPUTS_OF_ITT_PLACES!G66</f>
        <v>1159.7619052471459</v>
      </c>
      <c r="J76" s="785">
        <f>Conversion_rates_table!D265</f>
        <v>1226.4518433462051</v>
      </c>
      <c r="K76" s="785">
        <f>Conversion_rates_table!E265</f>
        <v>971.86023416977423</v>
      </c>
      <c r="L76" s="785">
        <f>Conversion_rates_table!F265</f>
        <v>958.66743107310538</v>
      </c>
      <c r="M76" s="785">
        <f>Conversion_rates_table!G265</f>
        <v>972.36862014938811</v>
      </c>
      <c r="N76" s="785">
        <f>Conversion_rates_table!H265</f>
        <v>981.51438465095782</v>
      </c>
      <c r="O76" s="785">
        <f>Conversion_rates_table!I265</f>
        <v>913.15755071210424</v>
      </c>
      <c r="P76" s="785">
        <f>Conversion_rates_table!J265</f>
        <v>876.35005582859299</v>
      </c>
      <c r="Q76" s="785">
        <f>Conversion_rates_table!K265</f>
        <v>851.5709958491974</v>
      </c>
      <c r="R76" s="785">
        <f>Conversion_rates_table!L265</f>
        <v>861.39426824252848</v>
      </c>
    </row>
    <row r="77" spans="2:26">
      <c r="B77" s="338" t="s">
        <v>1014</v>
      </c>
      <c r="C77" s="785"/>
      <c r="D77" s="785"/>
      <c r="E77" s="785"/>
      <c r="F77" s="785"/>
      <c r="G77" s="785"/>
      <c r="H77" s="785"/>
      <c r="I77" s="816">
        <f>FINAL_OUTPUTS_OF_ITT_PLACES!G67</f>
        <v>3102.4919179919257</v>
      </c>
      <c r="J77" s="785">
        <f>Conversion_rates_table!D266</f>
        <v>2787.7844679424343</v>
      </c>
      <c r="K77" s="785">
        <f>Conversion_rates_table!E266</f>
        <v>2759.1944162857258</v>
      </c>
      <c r="L77" s="785">
        <f>Conversion_rates_table!F266</f>
        <v>2686.7842559842552</v>
      </c>
      <c r="M77" s="785">
        <f>Conversion_rates_table!G266</f>
        <v>2705.204820186279</v>
      </c>
      <c r="N77" s="785">
        <f>Conversion_rates_table!H266</f>
        <v>2672.4548942492102</v>
      </c>
      <c r="O77" s="785">
        <f>Conversion_rates_table!I266</f>
        <v>2551.9160082118424</v>
      </c>
      <c r="P77" s="785">
        <f>Conversion_rates_table!J266</f>
        <v>2522.1075675346615</v>
      </c>
      <c r="Q77" s="785">
        <f>Conversion_rates_table!K266</f>
        <v>2480.4814594800223</v>
      </c>
      <c r="R77" s="785">
        <f>Conversion_rates_table!L266</f>
        <v>2434.6035100379568</v>
      </c>
    </row>
    <row r="78" spans="2:26" ht="25.5">
      <c r="B78" s="338" t="s">
        <v>1015</v>
      </c>
      <c r="C78" s="785"/>
      <c r="D78" s="785"/>
      <c r="E78" s="785"/>
      <c r="F78" s="785"/>
      <c r="G78" s="785"/>
      <c r="H78" s="785"/>
      <c r="I78" s="816">
        <f>FINAL_OUTPUTS_OF_ITT_PLACES!G68</f>
        <v>1514.3142939148067</v>
      </c>
      <c r="J78" s="785">
        <f>Conversion_rates_table!D267</f>
        <v>3564.1137551342372</v>
      </c>
      <c r="K78" s="785">
        <f>Conversion_rates_table!E267</f>
        <v>2413.6178984918847</v>
      </c>
      <c r="L78" s="785">
        <f>Conversion_rates_table!F267</f>
        <v>1874.9145130811667</v>
      </c>
      <c r="M78" s="785">
        <f>Conversion_rates_table!G267</f>
        <v>1861.298570837894</v>
      </c>
      <c r="N78" s="785">
        <f>Conversion_rates_table!H267</f>
        <v>1865.9990901204387</v>
      </c>
      <c r="O78" s="785">
        <f>Conversion_rates_table!I267</f>
        <v>1698.9844261769103</v>
      </c>
      <c r="P78" s="785">
        <f>Conversion_rates_table!J267</f>
        <v>1613.0725253868641</v>
      </c>
      <c r="Q78" s="785">
        <f>Conversion_rates_table!K267</f>
        <v>1550.6828702478019</v>
      </c>
      <c r="R78" s="785">
        <f>Conversion_rates_table!L267</f>
        <v>1565.6117804936027</v>
      </c>
    </row>
    <row r="79" spans="2:26">
      <c r="B79" s="338" t="s">
        <v>1016</v>
      </c>
      <c r="C79" s="785"/>
      <c r="D79" s="785"/>
      <c r="E79" s="785"/>
      <c r="F79" s="785"/>
      <c r="G79" s="785"/>
      <c r="H79" s="785"/>
      <c r="I79" s="816">
        <f>FINAL_OUTPUTS_OF_ITT_PLACES!G69</f>
        <v>393.33766666889568</v>
      </c>
      <c r="J79" s="785">
        <f>Conversion_rates_table!D268</f>
        <v>406.77501732713841</v>
      </c>
      <c r="K79" s="785">
        <f>Conversion_rates_table!E268</f>
        <v>400.8143694799154</v>
      </c>
      <c r="L79" s="785">
        <f>Conversion_rates_table!F268</f>
        <v>393.80244245065768</v>
      </c>
      <c r="M79" s="785">
        <f>Conversion_rates_table!G268</f>
        <v>389.71277707345877</v>
      </c>
      <c r="N79" s="785">
        <f>Conversion_rates_table!H268</f>
        <v>404.58216674891997</v>
      </c>
      <c r="O79" s="785">
        <f>Conversion_rates_table!I268</f>
        <v>383.179044732389</v>
      </c>
      <c r="P79" s="785">
        <f>Conversion_rates_table!J268</f>
        <v>358.65948147751101</v>
      </c>
      <c r="Q79" s="785">
        <f>Conversion_rates_table!K268</f>
        <v>349.01158662955197</v>
      </c>
      <c r="R79" s="785">
        <f>Conversion_rates_table!L268</f>
        <v>371.78744796433364</v>
      </c>
    </row>
    <row r="80" spans="2:26">
      <c r="B80" s="338" t="s">
        <v>1017</v>
      </c>
      <c r="C80" s="785"/>
      <c r="D80" s="785"/>
      <c r="E80" s="785"/>
      <c r="F80" s="785"/>
      <c r="G80" s="785"/>
      <c r="H80" s="785"/>
      <c r="I80" s="816">
        <f>FINAL_OUTPUTS_OF_ITT_PLACES!G70</f>
        <v>811.63141166826551</v>
      </c>
      <c r="J80" s="785">
        <f>Conversion_rates_table!D269</f>
        <v>668.83659118319588</v>
      </c>
      <c r="K80" s="785">
        <f>Conversion_rates_table!E269</f>
        <v>853.24435743427398</v>
      </c>
      <c r="L80" s="785">
        <f>Conversion_rates_table!F269</f>
        <v>995.16619643327533</v>
      </c>
      <c r="M80" s="785">
        <f>Conversion_rates_table!G269</f>
        <v>1050.7740359917625</v>
      </c>
      <c r="N80" s="785">
        <f>Conversion_rates_table!H269</f>
        <v>1049.7894876474948</v>
      </c>
      <c r="O80" s="785">
        <f>Conversion_rates_table!I269</f>
        <v>1066.4794337394167</v>
      </c>
      <c r="P80" s="785">
        <f>Conversion_rates_table!J269</f>
        <v>1056.2545845910097</v>
      </c>
      <c r="Q80" s="785">
        <f>Conversion_rates_table!K269</f>
        <v>1051.8453542187458</v>
      </c>
      <c r="R80" s="785">
        <f>Conversion_rates_table!L269</f>
        <v>1040.7727138241928</v>
      </c>
    </row>
    <row r="81" spans="2:18">
      <c r="B81" s="338" t="s">
        <v>1018</v>
      </c>
      <c r="C81" s="785"/>
      <c r="D81" s="785"/>
      <c r="E81" s="785"/>
      <c r="F81" s="785"/>
      <c r="G81" s="785"/>
      <c r="H81" s="785"/>
      <c r="I81" s="816">
        <f>FINAL_OUTPUTS_OF_ITT_PLACES!G71</f>
        <v>999.20159210266934</v>
      </c>
      <c r="J81" s="785">
        <f>Conversion_rates_table!D270</f>
        <v>940.5356890179014</v>
      </c>
      <c r="K81" s="785">
        <f>Conversion_rates_table!E270</f>
        <v>1064.2534959057152</v>
      </c>
      <c r="L81" s="785">
        <f>Conversion_rates_table!F270</f>
        <v>1119.4401408775921</v>
      </c>
      <c r="M81" s="785">
        <f>Conversion_rates_table!G270</f>
        <v>1137.5114386744754</v>
      </c>
      <c r="N81" s="785">
        <f>Conversion_rates_table!H270</f>
        <v>1145.3452281014163</v>
      </c>
      <c r="O81" s="785">
        <f>Conversion_rates_table!I270</f>
        <v>1093.0705675868437</v>
      </c>
      <c r="P81" s="785">
        <f>Conversion_rates_table!J270</f>
        <v>1078.6572605499464</v>
      </c>
      <c r="Q81" s="785">
        <f>Conversion_rates_table!K270</f>
        <v>1066.0664422003647</v>
      </c>
      <c r="R81" s="785">
        <f>Conversion_rates_table!L270</f>
        <v>1068.9838311431301</v>
      </c>
    </row>
    <row r="82" spans="2:18">
      <c r="B82" s="338" t="s">
        <v>1019</v>
      </c>
      <c r="C82" s="785"/>
      <c r="D82" s="785"/>
      <c r="E82" s="785"/>
      <c r="F82" s="785"/>
      <c r="G82" s="785"/>
      <c r="H82" s="785"/>
      <c r="I82" s="816">
        <f>FINAL_OUTPUTS_OF_ITT_PLACES!G72</f>
        <v>1054.6086561613313</v>
      </c>
      <c r="J82" s="785">
        <f>Conversion_rates_table!D271</f>
        <v>1033.7598130561623</v>
      </c>
      <c r="K82" s="785">
        <f>Conversion_rates_table!E271</f>
        <v>1013.9529372811508</v>
      </c>
      <c r="L82" s="785">
        <f>Conversion_rates_table!F271</f>
        <v>1030.4913065107582</v>
      </c>
      <c r="M82" s="785">
        <f>Conversion_rates_table!G271</f>
        <v>1054.8566572027746</v>
      </c>
      <c r="N82" s="785">
        <f>Conversion_rates_table!H271</f>
        <v>1022.0406265254661</v>
      </c>
      <c r="O82" s="785">
        <f>Conversion_rates_table!I271</f>
        <v>986.46961392889443</v>
      </c>
      <c r="P82" s="785">
        <f>Conversion_rates_table!J271</f>
        <v>1003.2663952582722</v>
      </c>
      <c r="Q82" s="785">
        <f>Conversion_rates_table!K271</f>
        <v>994.98301737501697</v>
      </c>
      <c r="R82" s="785">
        <f>Conversion_rates_table!L271</f>
        <v>942.57827609504864</v>
      </c>
    </row>
    <row r="83" spans="2:18">
      <c r="B83" s="338" t="s">
        <v>1020</v>
      </c>
      <c r="C83" s="785"/>
      <c r="D83" s="785"/>
      <c r="E83" s="785"/>
      <c r="F83" s="785"/>
      <c r="G83" s="785"/>
      <c r="H83" s="785"/>
      <c r="I83" s="816">
        <f>FINAL_OUTPUTS_OF_ITT_PLACES!G73</f>
        <v>643.48147436594184</v>
      </c>
      <c r="J83" s="785">
        <f>Conversion_rates_table!D272</f>
        <v>600.16043362715345</v>
      </c>
      <c r="K83" s="785">
        <f>Conversion_rates_table!E272</f>
        <v>593.07523679947383</v>
      </c>
      <c r="L83" s="785">
        <f>Conversion_rates_table!F272</f>
        <v>590.61636295417236</v>
      </c>
      <c r="M83" s="785">
        <f>Conversion_rates_table!G272</f>
        <v>593.78080774248076</v>
      </c>
      <c r="N83" s="785">
        <f>Conversion_rates_table!H272</f>
        <v>592.38109159233511</v>
      </c>
      <c r="O83" s="785">
        <f>Conversion_rates_table!I272</f>
        <v>564.86664177803425</v>
      </c>
      <c r="P83" s="785">
        <f>Conversion_rates_table!J272</f>
        <v>553.40561220288089</v>
      </c>
      <c r="Q83" s="785">
        <f>Conversion_rates_table!K272</f>
        <v>543.9025520190205</v>
      </c>
      <c r="R83" s="785">
        <f>Conversion_rates_table!L272</f>
        <v>542.51318066409567</v>
      </c>
    </row>
    <row r="84" spans="2:18">
      <c r="B84" s="338" t="s">
        <v>1174</v>
      </c>
      <c r="C84" s="667"/>
      <c r="D84" s="667"/>
      <c r="E84" s="667"/>
      <c r="F84" s="667"/>
      <c r="G84" s="667"/>
      <c r="H84" s="667"/>
      <c r="I84" s="667">
        <f>I82+I68+I66</f>
        <v>3295.7976481957207</v>
      </c>
      <c r="J84" s="667">
        <f t="shared" ref="J84:R84" si="0">J82+J68+J66</f>
        <v>3127.4535806465483</v>
      </c>
      <c r="K84" s="667">
        <f t="shared" si="0"/>
        <v>3080.497046252417</v>
      </c>
      <c r="L84" s="667">
        <f t="shared" si="0"/>
        <v>3137.7350762963397</v>
      </c>
      <c r="M84" s="667">
        <f t="shared" si="0"/>
        <v>3219.5935282721407</v>
      </c>
      <c r="N84" s="667">
        <f t="shared" si="0"/>
        <v>3139.5203325403909</v>
      </c>
      <c r="O84" s="667">
        <f t="shared" si="0"/>
        <v>3043.117234740294</v>
      </c>
      <c r="P84" s="667">
        <f t="shared" si="0"/>
        <v>3086.8223865769796</v>
      </c>
      <c r="Q84" s="667">
        <f t="shared" si="0"/>
        <v>3065.1022483326378</v>
      </c>
      <c r="R84" s="667">
        <f t="shared" si="0"/>
        <v>2928.4406485830982</v>
      </c>
    </row>
    <row r="85" spans="2:18">
      <c r="B85" s="338" t="s">
        <v>1024</v>
      </c>
      <c r="C85" s="667"/>
      <c r="D85" s="667"/>
      <c r="E85" s="667"/>
      <c r="F85" s="667"/>
      <c r="G85" s="667"/>
      <c r="H85" s="667"/>
      <c r="I85" s="667">
        <f t="shared" ref="I85:R85" si="1">SUM(I65:I83)</f>
        <v>18725.549862912729</v>
      </c>
      <c r="J85" s="667">
        <f t="shared" si="1"/>
        <v>19515.190881512994</v>
      </c>
      <c r="K85" s="667">
        <f t="shared" si="1"/>
        <v>18428.964934112475</v>
      </c>
      <c r="L85" s="667">
        <f t="shared" si="1"/>
        <v>18175.061788589235</v>
      </c>
      <c r="M85" s="667">
        <f t="shared" si="1"/>
        <v>18401.250625583823</v>
      </c>
      <c r="N85" s="667">
        <f t="shared" si="1"/>
        <v>18331.115004997617</v>
      </c>
      <c r="O85" s="667">
        <f t="shared" si="1"/>
        <v>17490.015711976306</v>
      </c>
      <c r="P85" s="667">
        <f t="shared" si="1"/>
        <v>17166.570572757835</v>
      </c>
      <c r="Q85" s="667">
        <f t="shared" si="1"/>
        <v>16865.236505710149</v>
      </c>
      <c r="R85" s="667">
        <f t="shared" si="1"/>
        <v>16727.789361056282</v>
      </c>
    </row>
    <row r="86" spans="2:18">
      <c r="B86" s="152" t="s">
        <v>1021</v>
      </c>
      <c r="C86" s="667"/>
      <c r="D86" s="667"/>
      <c r="E86" s="667"/>
      <c r="F86" s="667"/>
      <c r="G86" s="667"/>
      <c r="H86" s="667"/>
      <c r="I86" s="667">
        <f t="shared" ref="I86:R86" si="2">SUM(I64:I83)</f>
        <v>30846.50467308921</v>
      </c>
      <c r="J86" s="667">
        <f t="shared" si="2"/>
        <v>30790.783092926726</v>
      </c>
      <c r="K86" s="667">
        <f t="shared" si="2"/>
        <v>29801.08666806329</v>
      </c>
      <c r="L86" s="667">
        <f t="shared" si="2"/>
        <v>29400.513687495037</v>
      </c>
      <c r="M86" s="667">
        <f t="shared" si="2"/>
        <v>29411.365052601563</v>
      </c>
      <c r="N86" s="667">
        <f t="shared" si="2"/>
        <v>29191.699883164678</v>
      </c>
      <c r="O86" s="667">
        <f t="shared" si="2"/>
        <v>28727.372492462546</v>
      </c>
      <c r="P86" s="667">
        <f t="shared" si="2"/>
        <v>28708.237887499399</v>
      </c>
      <c r="Q86" s="667">
        <f t="shared" si="2"/>
        <v>28485.000479328941</v>
      </c>
      <c r="R86" s="667">
        <f t="shared" si="2"/>
        <v>28274.568740770777</v>
      </c>
    </row>
    <row r="180" spans="3:6">
      <c r="C180" s="309"/>
      <c r="D180" s="309"/>
      <c r="E180" s="309"/>
      <c r="F180" s="309"/>
    </row>
  </sheetData>
  <mergeCells count="2">
    <mergeCell ref="V40:W40"/>
    <mergeCell ref="Y40:Z40"/>
  </mergeCells>
  <hyperlinks>
    <hyperlink ref="B29" r:id="rId1"/>
    <hyperlink ref="A2" location="'Title_&amp;_Contents'!A1" display="Contents"/>
    <hyperlink ref="B2" location="Map_of_sheets!A1" display="Map of sheets"/>
  </hyperlinks>
  <pageMargins left="0.7" right="0.7" top="0.75" bottom="0.75" header="0.3" footer="0.3"/>
  <pageSetup orientation="portrait" r:id="rId2"/>
  <ignoredErrors>
    <ignoredError sqref="C62:E62 F62:H62" formulaRange="1"/>
  </ignoredErrors>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37"/>
  <sheetViews>
    <sheetView showGridLines="0" zoomScaleNormal="100" workbookViewId="0"/>
  </sheetViews>
  <sheetFormatPr defaultRowHeight="12.75"/>
  <cols>
    <col min="2" max="2" width="30.7109375" customWidth="1"/>
    <col min="3" max="3" width="9.140625" bestFit="1" customWidth="1"/>
  </cols>
  <sheetData>
    <row r="1" spans="1:22" s="68" customFormat="1" ht="15.75">
      <c r="A1" s="171" t="str">
        <f>ModelBanner</f>
        <v>TSM_201718 for publication</v>
      </c>
    </row>
    <row r="2" spans="1:22" s="739" customFormat="1" ht="15">
      <c r="A2" s="1003" t="s">
        <v>13</v>
      </c>
      <c r="B2" s="1003" t="s">
        <v>30</v>
      </c>
    </row>
    <row r="3" spans="1:22" s="739" customFormat="1" ht="10.15" customHeight="1">
      <c r="A3" s="172"/>
    </row>
    <row r="4" spans="1:22" s="57" customFormat="1">
      <c r="A4" s="173" t="s">
        <v>26</v>
      </c>
      <c r="B4" s="58"/>
      <c r="C4" s="58"/>
      <c r="D4" s="58"/>
    </row>
    <row r="5" spans="1:22" s="69" customFormat="1" ht="12.75" customHeight="1">
      <c r="A5" s="295"/>
      <c r="B5" s="60" t="s">
        <v>1221</v>
      </c>
      <c r="C5" s="70"/>
      <c r="D5" s="70"/>
      <c r="E5" s="70"/>
      <c r="F5" s="70"/>
      <c r="G5" s="70"/>
      <c r="H5" s="70"/>
      <c r="I5" s="70"/>
      <c r="J5" s="70"/>
      <c r="K5" s="70"/>
      <c r="L5" s="70"/>
      <c r="M5" s="70"/>
      <c r="N5" s="70"/>
      <c r="O5" s="70"/>
      <c r="P5" s="70"/>
      <c r="Q5" s="70"/>
      <c r="R5" s="70"/>
      <c r="S5" s="70"/>
      <c r="T5" s="70"/>
      <c r="U5" s="70"/>
      <c r="V5" s="70"/>
    </row>
    <row r="6" spans="1:22" s="46" customFormat="1" ht="13.5" customHeight="1">
      <c r="A6" s="296" t="s">
        <v>1420</v>
      </c>
      <c r="B6" s="61"/>
      <c r="C6" s="61"/>
      <c r="D6" s="61"/>
      <c r="E6" s="45"/>
      <c r="F6" s="45"/>
      <c r="G6" s="45"/>
      <c r="H6" s="45"/>
      <c r="I6" s="45"/>
      <c r="J6" s="45"/>
      <c r="K6" s="45"/>
      <c r="L6" s="45"/>
      <c r="M6" s="45"/>
      <c r="N6" s="45"/>
      <c r="O6" s="45"/>
      <c r="P6" s="45"/>
      <c r="Q6" s="45"/>
      <c r="R6" s="45"/>
      <c r="S6" s="45"/>
      <c r="T6" s="45"/>
      <c r="U6" s="45"/>
      <c r="V6" s="45"/>
    </row>
    <row r="7" spans="1:22" s="46" customFormat="1" ht="12" customHeight="1">
      <c r="A7" s="297"/>
      <c r="B7" s="180" t="s">
        <v>1435</v>
      </c>
      <c r="C7" s="61"/>
      <c r="D7" s="61"/>
      <c r="E7" s="45"/>
      <c r="F7" s="45"/>
      <c r="G7" s="45"/>
      <c r="H7" s="45"/>
      <c r="I7" s="45"/>
      <c r="J7" s="45"/>
      <c r="K7" s="45"/>
      <c r="L7" s="45"/>
      <c r="M7" s="45"/>
      <c r="N7" s="45"/>
      <c r="O7" s="45"/>
      <c r="P7" s="45"/>
      <c r="Q7" s="45"/>
      <c r="R7" s="45"/>
      <c r="S7" s="45"/>
      <c r="T7" s="45"/>
      <c r="U7" s="45"/>
      <c r="V7" s="45"/>
    </row>
    <row r="8" spans="1:22" s="46" customFormat="1" ht="15.75" customHeight="1">
      <c r="A8" s="296" t="s">
        <v>24</v>
      </c>
      <c r="B8" s="61"/>
      <c r="C8" s="61"/>
      <c r="D8" s="61"/>
      <c r="E8" s="45"/>
      <c r="F8" s="45"/>
      <c r="G8" s="45"/>
      <c r="H8" s="45"/>
      <c r="I8" s="45"/>
      <c r="J8" s="45"/>
      <c r="K8" s="45"/>
      <c r="L8" s="45"/>
      <c r="M8" s="45"/>
      <c r="N8" s="45"/>
      <c r="O8" s="45"/>
      <c r="P8" s="45"/>
      <c r="Q8" s="45"/>
      <c r="R8" s="45"/>
      <c r="S8" s="45"/>
      <c r="T8" s="45"/>
      <c r="U8" s="45"/>
      <c r="V8" s="45"/>
    </row>
    <row r="9" spans="1:22" s="50" customFormat="1" ht="13.5" customHeight="1">
      <c r="A9" s="298">
        <f>SUM(A10:A2002)</f>
        <v>0</v>
      </c>
      <c r="B9" s="181"/>
      <c r="C9" s="294"/>
      <c r="D9" s="294"/>
      <c r="E9" s="49"/>
      <c r="F9" s="49"/>
      <c r="G9" s="49"/>
      <c r="H9" s="49"/>
      <c r="I9" s="49"/>
      <c r="J9" s="49"/>
      <c r="K9" s="49"/>
      <c r="L9" s="49"/>
      <c r="M9" s="49"/>
      <c r="N9" s="49"/>
      <c r="O9" s="49"/>
      <c r="P9" s="49"/>
      <c r="Q9" s="49"/>
      <c r="R9" s="49"/>
      <c r="S9" s="49"/>
      <c r="T9" s="49"/>
      <c r="U9" s="49"/>
      <c r="V9" s="49"/>
    </row>
    <row r="11" spans="1:22">
      <c r="B11" s="150" t="s">
        <v>1340</v>
      </c>
    </row>
    <row r="14" spans="1:22" ht="13.15" customHeight="1">
      <c r="B14" s="1183" t="str">
        <f>RAW_DATA_INPUTS!B78</f>
        <v>Subject</v>
      </c>
      <c r="C14" s="1267" t="s">
        <v>1216</v>
      </c>
      <c r="D14" s="1268"/>
      <c r="E14" s="1268"/>
      <c r="F14" s="1269"/>
      <c r="G14" s="1267" t="s">
        <v>1217</v>
      </c>
      <c r="H14" s="1268"/>
      <c r="I14" s="1268"/>
      <c r="J14" s="1269"/>
      <c r="K14" s="1267" t="s">
        <v>1216</v>
      </c>
      <c r="L14" s="1268"/>
      <c r="M14" s="1268"/>
      <c r="N14" s="1269"/>
      <c r="O14" s="1267" t="s">
        <v>1217</v>
      </c>
      <c r="P14" s="1268"/>
      <c r="Q14" s="1268"/>
      <c r="R14" s="1269"/>
      <c r="S14" s="1267" t="s">
        <v>1219</v>
      </c>
      <c r="T14" s="1268"/>
      <c r="U14" s="1268"/>
      <c r="V14" s="1269"/>
    </row>
    <row r="15" spans="1:22">
      <c r="B15" s="1266"/>
      <c r="C15" s="1173" t="str">
        <f>RAW_DATA_INPUTS!C78</f>
        <v>Time (total hrs) spent teaching to</v>
      </c>
      <c r="D15" s="1174"/>
      <c r="E15" s="1174"/>
      <c r="F15" s="1174"/>
      <c r="G15" s="1174"/>
      <c r="H15" s="1174"/>
      <c r="I15" s="1174"/>
      <c r="J15" s="1175"/>
      <c r="K15" s="1173" t="s">
        <v>1220</v>
      </c>
      <c r="L15" s="1174"/>
      <c r="M15" s="1174"/>
      <c r="N15" s="1174"/>
      <c r="O15" s="1174"/>
      <c r="P15" s="1174"/>
      <c r="Q15" s="1174"/>
      <c r="R15" s="1175"/>
      <c r="S15" s="1160" t="s">
        <v>1218</v>
      </c>
      <c r="T15" s="1160"/>
      <c r="U15" s="1160"/>
      <c r="V15" s="1160"/>
    </row>
    <row r="16" spans="1:22" ht="25.5">
      <c r="B16" s="1184"/>
      <c r="C16" s="152" t="str">
        <f>RAW_DATA_INPUTS!C79</f>
        <v>Key stage 3</v>
      </c>
      <c r="D16" s="152" t="str">
        <f>RAW_DATA_INPUTS!D79</f>
        <v>Key stage 4</v>
      </c>
      <c r="E16" s="152" t="str">
        <f>RAW_DATA_INPUTS!E79</f>
        <v>Key stage 5</v>
      </c>
      <c r="F16" s="152" t="s">
        <v>8</v>
      </c>
      <c r="G16" s="152" t="s">
        <v>78</v>
      </c>
      <c r="H16" s="152" t="s">
        <v>79</v>
      </c>
      <c r="I16" s="152" t="s">
        <v>80</v>
      </c>
      <c r="J16" s="152" t="s">
        <v>8</v>
      </c>
      <c r="K16" s="152" t="s">
        <v>78</v>
      </c>
      <c r="L16" s="152" t="s">
        <v>79</v>
      </c>
      <c r="M16" s="152" t="s">
        <v>80</v>
      </c>
      <c r="N16" s="152" t="s">
        <v>8</v>
      </c>
      <c r="O16" s="152" t="s">
        <v>78</v>
      </c>
      <c r="P16" s="152" t="s">
        <v>79</v>
      </c>
      <c r="Q16" s="152" t="s">
        <v>80</v>
      </c>
      <c r="R16" s="152" t="s">
        <v>8</v>
      </c>
      <c r="S16" s="152" t="s">
        <v>78</v>
      </c>
      <c r="T16" s="152" t="s">
        <v>79</v>
      </c>
      <c r="U16" s="152" t="s">
        <v>80</v>
      </c>
      <c r="V16" s="152" t="s">
        <v>8</v>
      </c>
    </row>
    <row r="17" spans="2:22">
      <c r="B17" s="8" t="str">
        <f>RAW_DATA_INPUTS!B80</f>
        <v>Art &amp; Design</v>
      </c>
      <c r="C17" s="863">
        <f>RAW_DATA_INPUTS!C80</f>
        <v>70648.808999999994</v>
      </c>
      <c r="D17" s="863">
        <f>RAW_DATA_INPUTS!D80</f>
        <v>41536.894</v>
      </c>
      <c r="E17" s="863">
        <f>RAW_DATA_INPUTS!E80</f>
        <v>29387.418000000001</v>
      </c>
      <c r="F17" s="864">
        <f t="shared" ref="F17:F35" si="0">SUM(C17:E17)</f>
        <v>141573.12099999998</v>
      </c>
      <c r="G17" s="863">
        <v>71430.391536081253</v>
      </c>
      <c r="H17" s="863">
        <v>44652.830070654018</v>
      </c>
      <c r="I17" s="863">
        <v>30650.722983945649</v>
      </c>
      <c r="J17" s="864">
        <f>SUM(G17:I17)</f>
        <v>146733.94459068091</v>
      </c>
      <c r="K17" s="865">
        <f>C17/C$36</f>
        <v>4.2341878027609935E-2</v>
      </c>
      <c r="L17" s="865">
        <f t="shared" ref="L17:R17" si="1">D17/D$36</f>
        <v>3.2072815795151796E-2</v>
      </c>
      <c r="M17" s="865">
        <f t="shared" si="1"/>
        <v>4.6840244630779633E-2</v>
      </c>
      <c r="N17" s="865">
        <f t="shared" si="1"/>
        <v>3.9424312991220491E-2</v>
      </c>
      <c r="O17" s="865">
        <f t="shared" si="1"/>
        <v>4.3149818857526293E-2</v>
      </c>
      <c r="P17" s="865">
        <f t="shared" si="1"/>
        <v>3.3610528355635175E-2</v>
      </c>
      <c r="Q17" s="865">
        <f t="shared" si="1"/>
        <v>4.718650275963443E-2</v>
      </c>
      <c r="R17" s="865">
        <f t="shared" si="1"/>
        <v>4.0383562812757762E-2</v>
      </c>
      <c r="S17" s="941">
        <f>K17-O17</f>
        <v>-8.0794082991635791E-4</v>
      </c>
      <c r="T17" s="941">
        <f t="shared" ref="T17:V32" si="2">L17-P17</f>
        <v>-1.5377125604833786E-3</v>
      </c>
      <c r="U17" s="941">
        <f t="shared" si="2"/>
        <v>-3.4625812885479695E-4</v>
      </c>
      <c r="V17" s="941">
        <f t="shared" si="2"/>
        <v>-9.5924982153727106E-4</v>
      </c>
    </row>
    <row r="18" spans="2:22">
      <c r="B18" s="8" t="str">
        <f>RAW_DATA_INPUTS!B81</f>
        <v>Biology</v>
      </c>
      <c r="C18" s="863">
        <f>RAW_DATA_INPUTS!C81</f>
        <v>79751.357000000004</v>
      </c>
      <c r="D18" s="863">
        <f>RAW_DATA_INPUTS!D81</f>
        <v>83363.073000000004</v>
      </c>
      <c r="E18" s="863">
        <f>RAW_DATA_INPUTS!E81</f>
        <v>39348.082000000002</v>
      </c>
      <c r="F18" s="864">
        <f t="shared" si="0"/>
        <v>202462.51199999999</v>
      </c>
      <c r="G18" s="863">
        <v>83461.517103770922</v>
      </c>
      <c r="H18" s="863">
        <v>85562.973331714762</v>
      </c>
      <c r="I18" s="863">
        <v>40218.3230146844</v>
      </c>
      <c r="J18" s="864">
        <f t="shared" ref="J18:J35" si="3">SUM(G18:I18)</f>
        <v>209242.81345017007</v>
      </c>
      <c r="K18" s="865">
        <f t="shared" ref="K18:K35" si="4">C18/C$36</f>
        <v>4.7797298757440855E-2</v>
      </c>
      <c r="L18" s="865">
        <f t="shared" ref="L18:L35" si="5">D18/D$36</f>
        <v>6.4369003721048382E-2</v>
      </c>
      <c r="M18" s="865">
        <f t="shared" ref="M18:M35" si="6">E18/E$36</f>
        <v>6.271642464921473E-2</v>
      </c>
      <c r="N18" s="865">
        <f t="shared" ref="N18:N35" si="7">F18/F$36</f>
        <v>5.6380373517913293E-2</v>
      </c>
      <c r="O18" s="865">
        <f t="shared" ref="O18:O35" si="8">G18/G$36</f>
        <v>5.0417606107939605E-2</v>
      </c>
      <c r="P18" s="865">
        <f t="shared" ref="P18:P35" si="9">H18/H$36</f>
        <v>6.4403907586767978E-2</v>
      </c>
      <c r="Q18" s="865">
        <f t="shared" ref="Q18:Q35" si="10">I18/I$36</f>
        <v>6.1915733958846295E-2</v>
      </c>
      <c r="R18" s="865">
        <f t="shared" ref="R18:R35" si="11">J18/J$36</f>
        <v>5.758701794362963E-2</v>
      </c>
      <c r="S18" s="941">
        <f t="shared" ref="S18:S35" si="12">K18-O18</f>
        <v>-2.6203073504987504E-3</v>
      </c>
      <c r="T18" s="941">
        <f t="shared" si="2"/>
        <v>-3.4903865719596028E-5</v>
      </c>
      <c r="U18" s="941">
        <f t="shared" si="2"/>
        <v>8.0069069036843576E-4</v>
      </c>
      <c r="V18" s="941">
        <f t="shared" si="2"/>
        <v>-1.206644425716337E-3</v>
      </c>
    </row>
    <row r="19" spans="2:22">
      <c r="B19" s="8" t="str">
        <f>RAW_DATA_INPUTS!B82</f>
        <v>Business Studies</v>
      </c>
      <c r="C19" s="863">
        <f>RAW_DATA_INPUTS!C82</f>
        <v>4718.3419999999996</v>
      </c>
      <c r="D19" s="863">
        <f>RAW_DATA_INPUTS!D82</f>
        <v>30396.507000000001</v>
      </c>
      <c r="E19" s="863">
        <f>RAW_DATA_INPUTS!E82</f>
        <v>37893.985999999997</v>
      </c>
      <c r="F19" s="864">
        <f t="shared" si="0"/>
        <v>73008.834999999992</v>
      </c>
      <c r="G19" s="863">
        <v>4802.7776609888342</v>
      </c>
      <c r="H19" s="863">
        <v>33190.503402008108</v>
      </c>
      <c r="I19" s="863">
        <v>39476.516196130433</v>
      </c>
      <c r="J19" s="864">
        <f t="shared" si="3"/>
        <v>77469.797259127372</v>
      </c>
      <c r="K19" s="865">
        <f t="shared" si="4"/>
        <v>2.8278390575069584E-3</v>
      </c>
      <c r="L19" s="865">
        <f t="shared" si="5"/>
        <v>2.3470738323068695E-2</v>
      </c>
      <c r="M19" s="865">
        <f t="shared" si="6"/>
        <v>6.0398758893188173E-2</v>
      </c>
      <c r="N19" s="865">
        <f t="shared" si="7"/>
        <v>2.033100027627683E-2</v>
      </c>
      <c r="O19" s="865">
        <f t="shared" si="8"/>
        <v>2.9012718764107642E-3</v>
      </c>
      <c r="P19" s="865">
        <f t="shared" si="9"/>
        <v>2.4982746983021407E-2</v>
      </c>
      <c r="Q19" s="865">
        <f t="shared" si="10"/>
        <v>6.077372926586902E-2</v>
      </c>
      <c r="R19" s="865">
        <f t="shared" si="11"/>
        <v>2.1320945418816684E-2</v>
      </c>
      <c r="S19" s="941">
        <f t="shared" si="12"/>
        <v>-7.3432818903805888E-5</v>
      </c>
      <c r="T19" s="941">
        <f t="shared" si="2"/>
        <v>-1.5120086599527127E-3</v>
      </c>
      <c r="U19" s="941">
        <f t="shared" si="2"/>
        <v>-3.7497037268084676E-4</v>
      </c>
      <c r="V19" s="941">
        <f t="shared" si="2"/>
        <v>-9.8994514253985394E-4</v>
      </c>
    </row>
    <row r="20" spans="2:22">
      <c r="B20" s="8" t="str">
        <f>RAW_DATA_INPUTS!B83</f>
        <v>Chemistry</v>
      </c>
      <c r="C20" s="863">
        <f>RAW_DATA_INPUTS!C83</f>
        <v>66687.88</v>
      </c>
      <c r="D20" s="863">
        <f>RAW_DATA_INPUTS!D83</f>
        <v>77069.387000000002</v>
      </c>
      <c r="E20" s="863">
        <f>RAW_DATA_INPUTS!E83</f>
        <v>32799.608</v>
      </c>
      <c r="F20" s="864">
        <f t="shared" si="0"/>
        <v>176556.875</v>
      </c>
      <c r="G20" s="863">
        <v>63441.331935516435</v>
      </c>
      <c r="H20" s="863">
        <v>78091.443766992903</v>
      </c>
      <c r="I20" s="863">
        <v>33436.67929245477</v>
      </c>
      <c r="J20" s="864">
        <f t="shared" si="3"/>
        <v>174969.45499496409</v>
      </c>
      <c r="K20" s="865">
        <f t="shared" si="4"/>
        <v>3.9967978524307307E-2</v>
      </c>
      <c r="L20" s="865">
        <f t="shared" si="5"/>
        <v>5.9509318455449906E-2</v>
      </c>
      <c r="M20" s="865">
        <f t="shared" si="6"/>
        <v>5.2278892365218224E-2</v>
      </c>
      <c r="N20" s="865">
        <f t="shared" si="7"/>
        <v>4.9166349174090698E-2</v>
      </c>
      <c r="O20" s="865">
        <f t="shared" si="8"/>
        <v>3.8323771187995834E-2</v>
      </c>
      <c r="P20" s="865">
        <f t="shared" si="9"/>
        <v>5.878002986395172E-2</v>
      </c>
      <c r="Q20" s="865">
        <f t="shared" si="10"/>
        <v>5.1475456566973422E-2</v>
      </c>
      <c r="R20" s="865">
        <f t="shared" si="11"/>
        <v>4.8154433493992503E-2</v>
      </c>
      <c r="S20" s="941">
        <f t="shared" si="12"/>
        <v>1.6442073363114734E-3</v>
      </c>
      <c r="T20" s="941">
        <f t="shared" si="2"/>
        <v>7.2928859149818531E-4</v>
      </c>
      <c r="U20" s="941">
        <f t="shared" si="2"/>
        <v>8.0343579824480177E-4</v>
      </c>
      <c r="V20" s="941">
        <f t="shared" si="2"/>
        <v>1.0119156800981952E-3</v>
      </c>
    </row>
    <row r="21" spans="2:22">
      <c r="B21" s="8" t="str">
        <f>RAW_DATA_INPUTS!B84</f>
        <v>Classics</v>
      </c>
      <c r="C21" s="863">
        <f>RAW_DATA_INPUTS!C84</f>
        <v>1867.3869999999999</v>
      </c>
      <c r="D21" s="863">
        <f>RAW_DATA_INPUTS!D84</f>
        <v>1533.5419999999999</v>
      </c>
      <c r="E21" s="863">
        <f>RAW_DATA_INPUTS!E84</f>
        <v>2152.3780000000002</v>
      </c>
      <c r="F21" s="864">
        <f t="shared" si="0"/>
        <v>5553.3070000000007</v>
      </c>
      <c r="G21" s="863">
        <v>1797.116623727396</v>
      </c>
      <c r="H21" s="863">
        <v>1550.3911117717344</v>
      </c>
      <c r="I21" s="863">
        <v>2088.4022265451158</v>
      </c>
      <c r="J21" s="864">
        <f t="shared" si="3"/>
        <v>5435.9099620442466</v>
      </c>
      <c r="K21" s="865">
        <f t="shared" si="4"/>
        <v>1.1191791298894287E-3</v>
      </c>
      <c r="L21" s="865">
        <f t="shared" si="5"/>
        <v>1.1841282614951582E-3</v>
      </c>
      <c r="M21" s="865">
        <f t="shared" si="6"/>
        <v>3.4306488599273404E-3</v>
      </c>
      <c r="N21" s="865">
        <f t="shared" si="7"/>
        <v>1.5464468944238062E-3</v>
      </c>
      <c r="O21" s="865">
        <f t="shared" si="8"/>
        <v>1.0856059320424746E-3</v>
      </c>
      <c r="P21" s="865">
        <f t="shared" si="9"/>
        <v>1.1669913047409536E-3</v>
      </c>
      <c r="Q21" s="865">
        <f t="shared" si="10"/>
        <v>3.2150757904703827E-3</v>
      </c>
      <c r="R21" s="865">
        <f t="shared" si="11"/>
        <v>1.4960506378334719E-3</v>
      </c>
      <c r="S21" s="941">
        <f t="shared" si="12"/>
        <v>3.3573197846954164E-5</v>
      </c>
      <c r="T21" s="941">
        <f t="shared" si="2"/>
        <v>1.7136956754204569E-5</v>
      </c>
      <c r="U21" s="941">
        <f t="shared" si="2"/>
        <v>2.155730694569577E-4</v>
      </c>
      <c r="V21" s="941">
        <f t="shared" si="2"/>
        <v>5.0396256590334344E-5</v>
      </c>
    </row>
    <row r="22" spans="2:22">
      <c r="B22" s="8" t="str">
        <f>RAW_DATA_INPUTS!B85</f>
        <v>Computing</v>
      </c>
      <c r="C22" s="863">
        <f>RAW_DATA_INPUTS!C85</f>
        <v>57033.567999999999</v>
      </c>
      <c r="D22" s="863">
        <f>RAW_DATA_INPUTS!D85</f>
        <v>45213.525000000001</v>
      </c>
      <c r="E22" s="863">
        <f>RAW_DATA_INPUTS!E85</f>
        <v>25505.008000000002</v>
      </c>
      <c r="F22" s="864">
        <f t="shared" si="0"/>
        <v>127752.101</v>
      </c>
      <c r="G22" s="769">
        <v>58680.507227222108</v>
      </c>
      <c r="H22" s="769">
        <v>52423.012364847593</v>
      </c>
      <c r="I22" s="769">
        <v>27413.404746611905</v>
      </c>
      <c r="J22" s="864">
        <f t="shared" si="3"/>
        <v>138516.92433868159</v>
      </c>
      <c r="K22" s="865">
        <f t="shared" si="4"/>
        <v>3.4181869643908611E-2</v>
      </c>
      <c r="L22" s="865">
        <f t="shared" si="5"/>
        <v>3.4911735547065469E-2</v>
      </c>
      <c r="M22" s="865">
        <f t="shared" si="6"/>
        <v>4.0652119013313504E-2</v>
      </c>
      <c r="N22" s="865">
        <f t="shared" si="7"/>
        <v>3.5575530012579244E-2</v>
      </c>
      <c r="O22" s="865">
        <f t="shared" si="8"/>
        <v>3.5447842338136894E-2</v>
      </c>
      <c r="P22" s="865">
        <f t="shared" si="9"/>
        <v>3.9459204283100804E-2</v>
      </c>
      <c r="Q22" s="865">
        <f t="shared" si="10"/>
        <v>4.2202681463811308E-2</v>
      </c>
      <c r="R22" s="865">
        <f t="shared" si="11"/>
        <v>3.812210549007776E-2</v>
      </c>
      <c r="S22" s="941">
        <f t="shared" si="12"/>
        <v>-1.2659726942282831E-3</v>
      </c>
      <c r="T22" s="941">
        <f t="shared" si="2"/>
        <v>-4.5474687360353358E-3</v>
      </c>
      <c r="U22" s="941">
        <f t="shared" si="2"/>
        <v>-1.5505624504978041E-3</v>
      </c>
      <c r="V22" s="941">
        <f t="shared" si="2"/>
        <v>-2.5465754774985153E-3</v>
      </c>
    </row>
    <row r="23" spans="2:22">
      <c r="B23" s="8" t="str">
        <f>RAW_DATA_INPUTS!B86</f>
        <v>Design &amp; Technology</v>
      </c>
      <c r="C23" s="863">
        <f>RAW_DATA_INPUTS!C86</f>
        <v>107155.857</v>
      </c>
      <c r="D23" s="863">
        <f>RAW_DATA_INPUTS!D86</f>
        <v>49497</v>
      </c>
      <c r="E23" s="863">
        <f>RAW_DATA_INPUTS!E86</f>
        <v>21550.714</v>
      </c>
      <c r="F23" s="864">
        <f t="shared" si="0"/>
        <v>178203.57100000003</v>
      </c>
      <c r="G23" s="769">
        <v>110981.93344928331</v>
      </c>
      <c r="H23" s="769">
        <v>55107.238015426876</v>
      </c>
      <c r="I23" s="769">
        <v>22049.335757992336</v>
      </c>
      <c r="J23" s="864">
        <f t="shared" si="3"/>
        <v>188138.50722270255</v>
      </c>
      <c r="K23" s="865">
        <f t="shared" si="4"/>
        <v>6.4221609553786155E-2</v>
      </c>
      <c r="L23" s="865">
        <f t="shared" si="5"/>
        <v>3.8219231399743765E-2</v>
      </c>
      <c r="M23" s="865">
        <f t="shared" si="6"/>
        <v>3.4349418371085454E-2</v>
      </c>
      <c r="N23" s="865">
        <f t="shared" si="7"/>
        <v>4.9624909796663903E-2</v>
      </c>
      <c r="O23" s="865">
        <f t="shared" si="8"/>
        <v>6.7042196211057406E-2</v>
      </c>
      <c r="P23" s="865">
        <f t="shared" si="9"/>
        <v>4.1479641558833748E-2</v>
      </c>
      <c r="Q23" s="865">
        <f t="shared" si="10"/>
        <v>3.3944747180599047E-2</v>
      </c>
      <c r="R23" s="865">
        <f t="shared" si="11"/>
        <v>5.1778770380095263E-2</v>
      </c>
      <c r="S23" s="941">
        <f t="shared" si="12"/>
        <v>-2.8205866572712512E-3</v>
      </c>
      <c r="T23" s="941">
        <f t="shared" si="2"/>
        <v>-3.2604101590899826E-3</v>
      </c>
      <c r="U23" s="941">
        <f t="shared" si="2"/>
        <v>4.0467119048640671E-4</v>
      </c>
      <c r="V23" s="941">
        <f t="shared" si="2"/>
        <v>-2.1538605834313593E-3</v>
      </c>
    </row>
    <row r="24" spans="2:22">
      <c r="B24" s="8" t="str">
        <f>RAW_DATA_INPUTS!B87</f>
        <v>Drama</v>
      </c>
      <c r="C24" s="863">
        <f>RAW_DATA_INPUTS!C87</f>
        <v>47869.883000000002</v>
      </c>
      <c r="D24" s="863">
        <f>RAW_DATA_INPUTS!D87</f>
        <v>23481.306</v>
      </c>
      <c r="E24" s="863">
        <f>RAW_DATA_INPUTS!E87</f>
        <v>15168.009</v>
      </c>
      <c r="F24" s="864">
        <f t="shared" si="0"/>
        <v>86519.198000000004</v>
      </c>
      <c r="G24" s="769">
        <v>46693.105819856377</v>
      </c>
      <c r="H24" s="769">
        <v>25060.273994437379</v>
      </c>
      <c r="I24" s="769">
        <v>16485.075362936368</v>
      </c>
      <c r="J24" s="864">
        <f t="shared" si="3"/>
        <v>88238.45517723012</v>
      </c>
      <c r="K24" s="865">
        <f t="shared" si="4"/>
        <v>2.8689807738754076E-2</v>
      </c>
      <c r="L24" s="865">
        <f t="shared" si="5"/>
        <v>1.8131148707642718E-2</v>
      </c>
      <c r="M24" s="865">
        <f t="shared" si="6"/>
        <v>2.4176103260309126E-2</v>
      </c>
      <c r="N24" s="865">
        <f t="shared" si="7"/>
        <v>2.4093273621490469E-2</v>
      </c>
      <c r="O24" s="865">
        <f t="shared" si="8"/>
        <v>2.8206468069048519E-2</v>
      </c>
      <c r="P24" s="865">
        <f t="shared" si="9"/>
        <v>1.8863060826318809E-2</v>
      </c>
      <c r="Q24" s="865">
        <f t="shared" si="10"/>
        <v>2.5378620090410777E-2</v>
      </c>
      <c r="R24" s="865">
        <f t="shared" si="11"/>
        <v>2.4284654836279063E-2</v>
      </c>
      <c r="S24" s="941">
        <f t="shared" si="12"/>
        <v>4.8333966970555767E-4</v>
      </c>
      <c r="T24" s="941">
        <f t="shared" si="2"/>
        <v>-7.3191211867609102E-4</v>
      </c>
      <c r="U24" s="941">
        <f t="shared" si="2"/>
        <v>-1.2025168301016513E-3</v>
      </c>
      <c r="V24" s="941">
        <f t="shared" si="2"/>
        <v>-1.9138121478859405E-4</v>
      </c>
    </row>
    <row r="25" spans="2:22">
      <c r="B25" s="8" t="str">
        <f>RAW_DATA_INPUTS!B88</f>
        <v>English</v>
      </c>
      <c r="C25" s="863">
        <f>RAW_DATA_INPUTS!C88</f>
        <v>249638.397</v>
      </c>
      <c r="D25" s="863">
        <f>RAW_DATA_INPUTS!D88</f>
        <v>207402.302</v>
      </c>
      <c r="E25" s="863">
        <f>RAW_DATA_INPUTS!E88</f>
        <v>52423.813999999998</v>
      </c>
      <c r="F25" s="864">
        <f t="shared" si="0"/>
        <v>509464.51300000004</v>
      </c>
      <c r="G25" s="769">
        <v>242892.04129185071</v>
      </c>
      <c r="H25" s="769">
        <v>204528.85620228818</v>
      </c>
      <c r="I25" s="769">
        <v>54464.801525287141</v>
      </c>
      <c r="J25" s="864">
        <f t="shared" si="3"/>
        <v>501885.69901942607</v>
      </c>
      <c r="K25" s="865">
        <f t="shared" si="4"/>
        <v>0.14961552369243858</v>
      </c>
      <c r="L25" s="865">
        <f t="shared" si="5"/>
        <v>0.16014620225422829</v>
      </c>
      <c r="M25" s="865">
        <f t="shared" si="6"/>
        <v>8.3557673295370477E-2</v>
      </c>
      <c r="N25" s="865">
        <f t="shared" si="7"/>
        <v>0.14187218785995206</v>
      </c>
      <c r="O25" s="865">
        <f t="shared" si="8"/>
        <v>0.14672672735363729</v>
      </c>
      <c r="P25" s="865">
        <f t="shared" si="9"/>
        <v>0.15395044188812712</v>
      </c>
      <c r="Q25" s="865">
        <f t="shared" si="10"/>
        <v>8.3848055030285223E-2</v>
      </c>
      <c r="R25" s="865">
        <f t="shared" si="11"/>
        <v>0.13812708918658109</v>
      </c>
      <c r="S25" s="941">
        <f t="shared" si="12"/>
        <v>2.8887963388012916E-3</v>
      </c>
      <c r="T25" s="941">
        <f t="shared" si="2"/>
        <v>6.1957603661011718E-3</v>
      </c>
      <c r="U25" s="941">
        <f t="shared" si="2"/>
        <v>-2.9038173491474639E-4</v>
      </c>
      <c r="V25" s="941">
        <f t="shared" si="2"/>
        <v>3.7450986733709724E-3</v>
      </c>
    </row>
    <row r="26" spans="2:22">
      <c r="B26" s="8" t="str">
        <f>RAW_DATA_INPUTS!B89</f>
        <v>Food</v>
      </c>
      <c r="C26" s="863">
        <f>RAW_DATA_INPUTS!C89</f>
        <v>14155.37</v>
      </c>
      <c r="D26" s="863">
        <f>RAW_DATA_INPUTS!D89</f>
        <v>19737.098000000002</v>
      </c>
      <c r="E26" s="863">
        <f>RAW_DATA_INPUTS!E89</f>
        <v>3344.0309999999999</v>
      </c>
      <c r="F26" s="864">
        <f t="shared" si="0"/>
        <v>37236.499000000003</v>
      </c>
      <c r="G26" s="769">
        <v>13973.707595839998</v>
      </c>
      <c r="H26" s="769">
        <v>21591.890761428498</v>
      </c>
      <c r="I26" s="769">
        <v>3807.0451875996073</v>
      </c>
      <c r="J26" s="864">
        <f t="shared" si="3"/>
        <v>39372.6435448681</v>
      </c>
      <c r="K26" s="865">
        <f t="shared" si="4"/>
        <v>8.4837233416870331E-3</v>
      </c>
      <c r="L26" s="865">
        <f t="shared" si="5"/>
        <v>1.5240049207455399E-2</v>
      </c>
      <c r="M26" s="865">
        <f t="shared" si="6"/>
        <v>5.3300099414283564E-3</v>
      </c>
      <c r="N26" s="865">
        <f t="shared" si="7"/>
        <v>1.0369365179660545E-2</v>
      </c>
      <c r="O26" s="865">
        <f t="shared" si="8"/>
        <v>8.4412662252308073E-3</v>
      </c>
      <c r="P26" s="865">
        <f t="shared" si="9"/>
        <v>1.6252382111961852E-2</v>
      </c>
      <c r="Q26" s="865">
        <f t="shared" si="10"/>
        <v>5.8609106331623875E-3</v>
      </c>
      <c r="R26" s="865">
        <f t="shared" si="11"/>
        <v>1.0835990459698198E-2</v>
      </c>
      <c r="S26" s="941">
        <f t="shared" si="12"/>
        <v>4.2457116456225824E-5</v>
      </c>
      <c r="T26" s="941">
        <f t="shared" si="2"/>
        <v>-1.0123329045064536E-3</v>
      </c>
      <c r="U26" s="941">
        <f t="shared" si="2"/>
        <v>-5.3090069173403111E-4</v>
      </c>
      <c r="V26" s="941">
        <f t="shared" si="2"/>
        <v>-4.6662528003765281E-4</v>
      </c>
    </row>
    <row r="27" spans="2:22">
      <c r="B27" s="8" t="str">
        <f>RAW_DATA_INPUTS!B90</f>
        <v>Geography</v>
      </c>
      <c r="C27" s="863">
        <f>RAW_DATA_INPUTS!C90</f>
        <v>96085.642000000007</v>
      </c>
      <c r="D27" s="863">
        <f>RAW_DATA_INPUTS!D90</f>
        <v>55348.328000000001</v>
      </c>
      <c r="E27" s="863">
        <f>RAW_DATA_INPUTS!E90</f>
        <v>23733.224999999999</v>
      </c>
      <c r="F27" s="864">
        <f t="shared" si="0"/>
        <v>175167.19500000001</v>
      </c>
      <c r="G27" s="769">
        <v>94525.74181820231</v>
      </c>
      <c r="H27" s="769">
        <v>52241.452049787498</v>
      </c>
      <c r="I27" s="769">
        <v>24189.036281104894</v>
      </c>
      <c r="J27" s="864">
        <f t="shared" si="3"/>
        <v>170956.23014909471</v>
      </c>
      <c r="K27" s="865">
        <f t="shared" si="4"/>
        <v>5.7586908984815235E-2</v>
      </c>
      <c r="L27" s="865">
        <f t="shared" si="5"/>
        <v>4.2737348837725862E-2</v>
      </c>
      <c r="M27" s="865">
        <f t="shared" si="6"/>
        <v>3.7828095849636562E-2</v>
      </c>
      <c r="N27" s="865">
        <f t="shared" si="7"/>
        <v>4.8779360606694216E-2</v>
      </c>
      <c r="O27" s="865">
        <f t="shared" si="8"/>
        <v>5.7101305888382831E-2</v>
      </c>
      <c r="P27" s="865">
        <f t="shared" si="9"/>
        <v>3.9322542438645934E-2</v>
      </c>
      <c r="Q27" s="865">
        <f t="shared" si="10"/>
        <v>3.7238796221188586E-2</v>
      </c>
      <c r="R27" s="865">
        <f t="shared" si="11"/>
        <v>4.7049928888074757E-2</v>
      </c>
      <c r="S27" s="941">
        <f t="shared" si="12"/>
        <v>4.8560309643240485E-4</v>
      </c>
      <c r="T27" s="941">
        <f t="shared" si="2"/>
        <v>3.4148063990799282E-3</v>
      </c>
      <c r="U27" s="941">
        <f t="shared" si="2"/>
        <v>5.8929962844797568E-4</v>
      </c>
      <c r="V27" s="941">
        <f t="shared" si="2"/>
        <v>1.7294317186194591E-3</v>
      </c>
    </row>
    <row r="28" spans="2:22">
      <c r="B28" s="8" t="str">
        <f>RAW_DATA_INPUTS!B91</f>
        <v>History</v>
      </c>
      <c r="C28" s="863">
        <f>RAW_DATA_INPUTS!C91</f>
        <v>98393.145999999993</v>
      </c>
      <c r="D28" s="863">
        <f>RAW_DATA_INPUTS!D91</f>
        <v>59577.038999999997</v>
      </c>
      <c r="E28" s="863">
        <f>RAW_DATA_INPUTS!E91</f>
        <v>30449.096000000001</v>
      </c>
      <c r="F28" s="864">
        <f t="shared" si="0"/>
        <v>188419.28099999999</v>
      </c>
      <c r="G28" s="769">
        <v>95990.755581257923</v>
      </c>
      <c r="H28" s="769">
        <v>57640.257750251694</v>
      </c>
      <c r="I28" s="769">
        <v>31702.780439878443</v>
      </c>
      <c r="J28" s="864">
        <f t="shared" si="3"/>
        <v>185333.79377138804</v>
      </c>
      <c r="K28" s="865">
        <f t="shared" si="4"/>
        <v>5.8969862983604106E-2</v>
      </c>
      <c r="L28" s="865">
        <f t="shared" si="5"/>
        <v>4.6002558531881906E-2</v>
      </c>
      <c r="M28" s="865">
        <f t="shared" si="6"/>
        <v>4.8532440156059085E-2</v>
      </c>
      <c r="N28" s="865">
        <f t="shared" si="7"/>
        <v>5.2469710742088706E-2</v>
      </c>
      <c r="O28" s="865">
        <f t="shared" si="8"/>
        <v>5.7986294436537453E-2</v>
      </c>
      <c r="P28" s="865">
        <f t="shared" si="9"/>
        <v>4.3386264979745758E-2</v>
      </c>
      <c r="Q28" s="865">
        <f t="shared" si="10"/>
        <v>4.8806135421274051E-2</v>
      </c>
      <c r="R28" s="865">
        <f t="shared" si="11"/>
        <v>5.1006867722200387E-2</v>
      </c>
      <c r="S28" s="941">
        <f t="shared" si="12"/>
        <v>9.8356854706665303E-4</v>
      </c>
      <c r="T28" s="941">
        <f t="shared" si="2"/>
        <v>2.616293552136148E-3</v>
      </c>
      <c r="U28" s="941">
        <f t="shared" si="2"/>
        <v>-2.7369526521496546E-4</v>
      </c>
      <c r="V28" s="941">
        <f t="shared" si="2"/>
        <v>1.4628430198883186E-3</v>
      </c>
    </row>
    <row r="29" spans="2:22">
      <c r="B29" s="8" t="str">
        <f>RAW_DATA_INPUTS!B92</f>
        <v>Mathematics</v>
      </c>
      <c r="C29" s="863">
        <f>RAW_DATA_INPUTS!C92</f>
        <v>243965.386</v>
      </c>
      <c r="D29" s="863">
        <f>RAW_DATA_INPUTS!D92</f>
        <v>199336.14</v>
      </c>
      <c r="E29" s="863">
        <f>RAW_DATA_INPUTS!E92</f>
        <v>65601.789999999994</v>
      </c>
      <c r="F29" s="864">
        <f t="shared" si="0"/>
        <v>508903.31599999999</v>
      </c>
      <c r="G29" s="769">
        <v>235082.61558627157</v>
      </c>
      <c r="H29" s="769">
        <v>195825.57033972963</v>
      </c>
      <c r="I29" s="769">
        <v>64610.934181092569</v>
      </c>
      <c r="J29" s="864">
        <f t="shared" si="3"/>
        <v>495519.12010709371</v>
      </c>
      <c r="K29" s="865">
        <f t="shared" si="4"/>
        <v>0.1462155238451476</v>
      </c>
      <c r="L29" s="865">
        <f t="shared" si="5"/>
        <v>0.15391789524600924</v>
      </c>
      <c r="M29" s="865">
        <f t="shared" si="6"/>
        <v>0.10456188739742404</v>
      </c>
      <c r="N29" s="865">
        <f t="shared" si="7"/>
        <v>0.14171590956346852</v>
      </c>
      <c r="O29" s="865">
        <f t="shared" si="8"/>
        <v>0.14200919329942682</v>
      </c>
      <c r="P29" s="865">
        <f t="shared" si="9"/>
        <v>0.14739941173375914</v>
      </c>
      <c r="Q29" s="865">
        <f t="shared" si="10"/>
        <v>9.9467931821235533E-2</v>
      </c>
      <c r="R29" s="865">
        <f t="shared" si="11"/>
        <v>0.13637490335033334</v>
      </c>
      <c r="S29" s="941">
        <f t="shared" si="12"/>
        <v>4.2063305457207822E-3</v>
      </c>
      <c r="T29" s="941">
        <f t="shared" si="2"/>
        <v>6.518483512250095E-3</v>
      </c>
      <c r="U29" s="941">
        <f t="shared" si="2"/>
        <v>5.0939555761885108E-3</v>
      </c>
      <c r="V29" s="941">
        <f t="shared" si="2"/>
        <v>5.3410062131351854E-3</v>
      </c>
    </row>
    <row r="30" spans="2:22">
      <c r="B30" s="8" t="str">
        <f>RAW_DATA_INPUTS!B93</f>
        <v>Modern Foreign Languages</v>
      </c>
      <c r="C30" s="863">
        <f>RAW_DATA_INPUTS!C93</f>
        <v>147900.122</v>
      </c>
      <c r="D30" s="863">
        <f>RAW_DATA_INPUTS!D93</f>
        <v>75153.792000000001</v>
      </c>
      <c r="E30" s="863">
        <f>RAW_DATA_INPUTS!E93</f>
        <v>26218.452000000001</v>
      </c>
      <c r="F30" s="864">
        <f t="shared" si="0"/>
        <v>249272.36599999998</v>
      </c>
      <c r="G30" s="769">
        <v>147971.66494084831</v>
      </c>
      <c r="H30" s="769">
        <v>78629.096587012929</v>
      </c>
      <c r="I30" s="769">
        <v>27474.612361083095</v>
      </c>
      <c r="J30" s="864">
        <f t="shared" si="3"/>
        <v>254075.37388894433</v>
      </c>
      <c r="K30" s="865">
        <f t="shared" si="4"/>
        <v>8.8640827986111267E-2</v>
      </c>
      <c r="L30" s="865">
        <f t="shared" si="5"/>
        <v>5.8030187021763172E-2</v>
      </c>
      <c r="M30" s="865">
        <f t="shared" si="6"/>
        <v>4.1789268642803308E-2</v>
      </c>
      <c r="N30" s="865">
        <f t="shared" si="7"/>
        <v>6.9415661022589656E-2</v>
      </c>
      <c r="O30" s="865">
        <f t="shared" si="8"/>
        <v>8.9387029819358921E-2</v>
      </c>
      <c r="P30" s="865">
        <f t="shared" si="9"/>
        <v>5.9184725273496358E-2</v>
      </c>
      <c r="Q30" s="865">
        <f t="shared" si="10"/>
        <v>4.2296910016614717E-2</v>
      </c>
      <c r="R30" s="865">
        <f t="shared" si="11"/>
        <v>6.9925666138404494E-2</v>
      </c>
      <c r="S30" s="941">
        <f t="shared" si="12"/>
        <v>-7.4620183324765332E-4</v>
      </c>
      <c r="T30" s="941">
        <f t="shared" si="2"/>
        <v>-1.1545382517331865E-3</v>
      </c>
      <c r="U30" s="941">
        <f t="shared" si="2"/>
        <v>-5.0764137381140856E-4</v>
      </c>
      <c r="V30" s="941">
        <f t="shared" si="2"/>
        <v>-5.1000511581483776E-4</v>
      </c>
    </row>
    <row r="31" spans="2:22">
      <c r="B31" s="8" t="str">
        <f>RAW_DATA_INPUTS!B94</f>
        <v>Music</v>
      </c>
      <c r="C31" s="863">
        <f>RAW_DATA_INPUTS!C94</f>
        <v>55850.633000000002</v>
      </c>
      <c r="D31" s="863">
        <f>RAW_DATA_INPUTS!D94</f>
        <v>18579.723000000002</v>
      </c>
      <c r="E31" s="863">
        <f>RAW_DATA_INPUTS!E94</f>
        <v>12574.789000000001</v>
      </c>
      <c r="F31" s="864">
        <f t="shared" si="0"/>
        <v>87005.145000000004</v>
      </c>
      <c r="G31" s="769">
        <v>56537.095792229447</v>
      </c>
      <c r="H31" s="769">
        <v>19383.415803334232</v>
      </c>
      <c r="I31" s="769">
        <v>13661.747479512447</v>
      </c>
      <c r="J31" s="864">
        <f t="shared" si="3"/>
        <v>89582.259075076116</v>
      </c>
      <c r="K31" s="865">
        <f t="shared" si="4"/>
        <v>3.3472902427142216E-2</v>
      </c>
      <c r="L31" s="865">
        <f t="shared" si="5"/>
        <v>1.4346379228642977E-2</v>
      </c>
      <c r="M31" s="865">
        <f t="shared" si="6"/>
        <v>2.0042801750750499E-2</v>
      </c>
      <c r="N31" s="865">
        <f t="shared" si="7"/>
        <v>2.4228596813419993E-2</v>
      </c>
      <c r="O31" s="865">
        <f t="shared" si="8"/>
        <v>3.4153045919299324E-2</v>
      </c>
      <c r="P31" s="865">
        <f t="shared" si="9"/>
        <v>1.4590046038653917E-2</v>
      </c>
      <c r="Q31" s="865">
        <f t="shared" si="10"/>
        <v>2.1032133091317292E-2</v>
      </c>
      <c r="R31" s="865">
        <f t="shared" si="11"/>
        <v>2.4654491476792433E-2</v>
      </c>
      <c r="S31" s="941">
        <f t="shared" si="12"/>
        <v>-6.8014349215710784E-4</v>
      </c>
      <c r="T31" s="941">
        <f t="shared" si="2"/>
        <v>-2.4366681001094029E-4</v>
      </c>
      <c r="U31" s="941">
        <f t="shared" si="2"/>
        <v>-9.8933134056679306E-4</v>
      </c>
      <c r="V31" s="941">
        <f t="shared" si="2"/>
        <v>-4.2589466337243989E-4</v>
      </c>
    </row>
    <row r="32" spans="2:22">
      <c r="B32" s="8" t="str">
        <f>RAW_DATA_INPUTS!B95</f>
        <v>Others</v>
      </c>
      <c r="C32" s="863">
        <f>RAW_DATA_INPUTS!C95</f>
        <v>58971.631999999998</v>
      </c>
      <c r="D32" s="863">
        <f>RAW_DATA_INPUTS!D95</f>
        <v>74598.426000000007</v>
      </c>
      <c r="E32" s="863">
        <f>RAW_DATA_INPUTS!E95</f>
        <v>133379.397</v>
      </c>
      <c r="F32" s="864">
        <f t="shared" si="0"/>
        <v>266949.45500000002</v>
      </c>
      <c r="G32" s="769">
        <v>63472.454127791745</v>
      </c>
      <c r="H32" s="769">
        <v>82650.151283649378</v>
      </c>
      <c r="I32" s="769">
        <v>140614.64391440857</v>
      </c>
      <c r="J32" s="864">
        <f t="shared" si="3"/>
        <v>286737.2493258497</v>
      </c>
      <c r="K32" s="865">
        <f t="shared" si="4"/>
        <v>3.5343407547508678E-2</v>
      </c>
      <c r="L32" s="865">
        <f t="shared" si="5"/>
        <v>5.7601359786465071E-2</v>
      </c>
      <c r="M32" s="865">
        <f t="shared" si="6"/>
        <v>0.21259178278901109</v>
      </c>
      <c r="N32" s="865">
        <f t="shared" si="7"/>
        <v>7.4338255683123147E-2</v>
      </c>
      <c r="O32" s="865">
        <f t="shared" si="8"/>
        <v>3.8342571546362204E-2</v>
      </c>
      <c r="P32" s="865">
        <f t="shared" si="9"/>
        <v>6.2211404045861118E-2</v>
      </c>
      <c r="Q32" s="865">
        <f t="shared" si="10"/>
        <v>0.21647493556963132</v>
      </c>
      <c r="R32" s="865">
        <f t="shared" si="11"/>
        <v>7.8914744309567533E-2</v>
      </c>
      <c r="S32" s="941">
        <f t="shared" si="12"/>
        <v>-2.9991639988535268E-3</v>
      </c>
      <c r="T32" s="941">
        <f t="shared" si="2"/>
        <v>-4.610044259396047E-3</v>
      </c>
      <c r="U32" s="941">
        <f t="shared" si="2"/>
        <v>-3.8831527806202359E-3</v>
      </c>
      <c r="V32" s="941">
        <f t="shared" si="2"/>
        <v>-4.576488626444386E-3</v>
      </c>
    </row>
    <row r="33" spans="1:22">
      <c r="B33" s="8" t="str">
        <f>RAW_DATA_INPUTS!B96</f>
        <v>Physical Education</v>
      </c>
      <c r="C33" s="863">
        <f>RAW_DATA_INPUTS!C96</f>
        <v>141578.06400000001</v>
      </c>
      <c r="D33" s="863">
        <f>RAW_DATA_INPUTS!D96</f>
        <v>110276.962</v>
      </c>
      <c r="E33" s="863">
        <f>RAW_DATA_INPUTS!E96</f>
        <v>31817.552</v>
      </c>
      <c r="F33" s="864">
        <f t="shared" si="0"/>
        <v>283672.57800000004</v>
      </c>
      <c r="G33" s="769">
        <v>141523.03281926518</v>
      </c>
      <c r="H33" s="769">
        <v>117259.0894976436</v>
      </c>
      <c r="I33" s="769">
        <v>33154.497374660627</v>
      </c>
      <c r="J33" s="864">
        <f t="shared" si="3"/>
        <v>291936.61969156942</v>
      </c>
      <c r="K33" s="865">
        <f t="shared" si="4"/>
        <v>8.4851835467929182E-2</v>
      </c>
      <c r="L33" s="865">
        <f t="shared" si="5"/>
        <v>8.5150629911686565E-2</v>
      </c>
      <c r="M33" s="865">
        <f t="shared" si="6"/>
        <v>5.071360536786701E-2</v>
      </c>
      <c r="N33" s="865">
        <f t="shared" si="7"/>
        <v>7.8995196426434725E-2</v>
      </c>
      <c r="O33" s="865">
        <f t="shared" si="8"/>
        <v>8.549152677168792E-2</v>
      </c>
      <c r="P33" s="865">
        <f t="shared" si="9"/>
        <v>8.8261817812677515E-2</v>
      </c>
      <c r="Q33" s="865">
        <f t="shared" si="10"/>
        <v>5.1041040130868916E-2</v>
      </c>
      <c r="R33" s="865">
        <f t="shared" si="11"/>
        <v>8.0345695411826457E-2</v>
      </c>
      <c r="S33" s="941">
        <f t="shared" si="12"/>
        <v>-6.3969130375873817E-4</v>
      </c>
      <c r="T33" s="941">
        <f t="shared" ref="T33:V35" si="13">L33-P33</f>
        <v>-3.1111879009909499E-3</v>
      </c>
      <c r="U33" s="941">
        <f t="shared" si="13"/>
        <v>-3.2743476300190616E-4</v>
      </c>
      <c r="V33" s="941">
        <f t="shared" si="13"/>
        <v>-1.3504989853917321E-3</v>
      </c>
    </row>
    <row r="34" spans="1:22">
      <c r="B34" s="8" t="str">
        <f>RAW_DATA_INPUTS!B97</f>
        <v>Physics</v>
      </c>
      <c r="C34" s="863">
        <f>RAW_DATA_INPUTS!C97</f>
        <v>64655.423999999999</v>
      </c>
      <c r="D34" s="863">
        <f>RAW_DATA_INPUTS!D97</f>
        <v>77173.383000000002</v>
      </c>
      <c r="E34" s="863">
        <f>RAW_DATA_INPUTS!E97</f>
        <v>27005.766</v>
      </c>
      <c r="F34" s="864">
        <f t="shared" si="0"/>
        <v>168834.573</v>
      </c>
      <c r="G34" s="769">
        <v>61645.956411429004</v>
      </c>
      <c r="H34" s="769">
        <v>76900.535600082643</v>
      </c>
      <c r="I34" s="769">
        <v>27266.918165783944</v>
      </c>
      <c r="J34" s="864">
        <f t="shared" si="3"/>
        <v>165813.41017729559</v>
      </c>
      <c r="K34" s="865">
        <f t="shared" si="4"/>
        <v>3.8749868760440169E-2</v>
      </c>
      <c r="L34" s="865">
        <f t="shared" si="5"/>
        <v>5.9589619224964169E-2</v>
      </c>
      <c r="M34" s="865">
        <f t="shared" si="6"/>
        <v>4.3044158758064117E-2</v>
      </c>
      <c r="N34" s="865">
        <f t="shared" si="7"/>
        <v>4.7015895409207406E-2</v>
      </c>
      <c r="O34" s="865">
        <f t="shared" si="8"/>
        <v>3.7239217023029833E-2</v>
      </c>
      <c r="P34" s="865">
        <f t="shared" si="9"/>
        <v>5.7883624134470298E-2</v>
      </c>
      <c r="Q34" s="865">
        <f t="shared" si="10"/>
        <v>4.1977166736014884E-2</v>
      </c>
      <c r="R34" s="865">
        <f t="shared" si="11"/>
        <v>4.5634541371946842E-2</v>
      </c>
      <c r="S34" s="941">
        <f t="shared" si="12"/>
        <v>1.5106517374103359E-3</v>
      </c>
      <c r="T34" s="941">
        <f t="shared" si="13"/>
        <v>1.7059950904938712E-3</v>
      </c>
      <c r="U34" s="941">
        <f t="shared" si="13"/>
        <v>1.0669920220492332E-3</v>
      </c>
      <c r="V34" s="941">
        <f t="shared" si="13"/>
        <v>1.381354037260564E-3</v>
      </c>
    </row>
    <row r="35" spans="1:22">
      <c r="B35" s="8" t="str">
        <f>RAW_DATA_INPUTS!B98</f>
        <v>Religious Education</v>
      </c>
      <c r="C35" s="863">
        <f>RAW_DATA_INPUTS!C98</f>
        <v>61605.822999999997</v>
      </c>
      <c r="D35" s="863">
        <f>RAW_DATA_INPUTS!D98</f>
        <v>45806.561999999998</v>
      </c>
      <c r="E35" s="863">
        <f>RAW_DATA_INPUTS!E98</f>
        <v>17043.651000000002</v>
      </c>
      <c r="F35" s="864">
        <f t="shared" si="0"/>
        <v>124456.03599999999</v>
      </c>
      <c r="G35" s="769">
        <v>60500.456620484547</v>
      </c>
      <c r="H35" s="769">
        <v>46248.004994948962</v>
      </c>
      <c r="I35" s="769">
        <v>16799.996501249738</v>
      </c>
      <c r="J35" s="864">
        <f t="shared" si="3"/>
        <v>123548.45811668325</v>
      </c>
      <c r="K35" s="865">
        <f t="shared" si="4"/>
        <v>3.6922154529972717E-2</v>
      </c>
      <c r="L35" s="865">
        <f t="shared" si="5"/>
        <v>3.5369650538511613E-2</v>
      </c>
      <c r="M35" s="865">
        <f t="shared" si="6"/>
        <v>2.7165666008549371E-2</v>
      </c>
      <c r="N35" s="865">
        <f t="shared" si="7"/>
        <v>3.4657664408702306E-2</v>
      </c>
      <c r="O35" s="865">
        <f t="shared" si="8"/>
        <v>3.6547241136888703E-2</v>
      </c>
      <c r="P35" s="865">
        <f t="shared" si="9"/>
        <v>3.4811228780230415E-2</v>
      </c>
      <c r="Q35" s="865">
        <f t="shared" si="10"/>
        <v>2.5863438251792305E-2</v>
      </c>
      <c r="R35" s="865">
        <f t="shared" si="11"/>
        <v>3.4002540671092422E-2</v>
      </c>
      <c r="S35" s="941">
        <f t="shared" si="12"/>
        <v>3.7491339308401428E-4</v>
      </c>
      <c r="T35" s="941">
        <f t="shared" si="13"/>
        <v>5.5842175828119817E-4</v>
      </c>
      <c r="U35" s="941">
        <f t="shared" si="13"/>
        <v>1.3022277567570663E-3</v>
      </c>
      <c r="V35" s="941">
        <f t="shared" si="13"/>
        <v>6.5512373760988341E-4</v>
      </c>
    </row>
    <row r="36" spans="1:22">
      <c r="B36" s="8" t="str">
        <f>RAW_DATA_INPUTS!B99</f>
        <v>Total</v>
      </c>
      <c r="C36" s="864">
        <f>SUM(C17:C35)</f>
        <v>1668532.7219999998</v>
      </c>
      <c r="D36" s="864">
        <f t="shared" ref="D36:J36" si="14">SUM(D17:D35)</f>
        <v>1295080.9889999998</v>
      </c>
      <c r="E36" s="864">
        <f t="shared" si="14"/>
        <v>627396.76599999995</v>
      </c>
      <c r="F36" s="864">
        <f t="shared" si="14"/>
        <v>3591010.477</v>
      </c>
      <c r="G36" s="864">
        <f t="shared" si="14"/>
        <v>1655404.2039419175</v>
      </c>
      <c r="H36" s="864">
        <f t="shared" si="14"/>
        <v>1328536.9869280106</v>
      </c>
      <c r="I36" s="864">
        <f t="shared" si="14"/>
        <v>649565.47299296211</v>
      </c>
      <c r="J36" s="864">
        <f t="shared" si="14"/>
        <v>3633506.6638628896</v>
      </c>
      <c r="K36" s="866">
        <f>SUM(K17:K35)</f>
        <v>1</v>
      </c>
      <c r="L36" s="866">
        <f t="shared" ref="L36:R36" si="15">SUM(L17:L35)</f>
        <v>1.0000000000000002</v>
      </c>
      <c r="M36" s="866">
        <f t="shared" si="15"/>
        <v>0.99999999999999989</v>
      </c>
      <c r="N36" s="866">
        <f t="shared" si="15"/>
        <v>1</v>
      </c>
      <c r="O36" s="866">
        <f t="shared" si="15"/>
        <v>0.99999999999999989</v>
      </c>
      <c r="P36" s="866">
        <f t="shared" si="15"/>
        <v>1</v>
      </c>
      <c r="Q36" s="866">
        <f t="shared" si="15"/>
        <v>0.99999999999999989</v>
      </c>
      <c r="R36" s="866">
        <f t="shared" si="15"/>
        <v>1</v>
      </c>
      <c r="S36" s="867"/>
      <c r="T36" s="867"/>
      <c r="U36" s="867"/>
      <c r="V36" s="867"/>
    </row>
    <row r="37" spans="1:22">
      <c r="A37" s="187">
        <f>SUM(K37:R37)</f>
        <v>0</v>
      </c>
      <c r="K37" s="725">
        <f>1-K36</f>
        <v>0</v>
      </c>
      <c r="L37" s="725">
        <f t="shared" ref="L37:R37" si="16">1-L36</f>
        <v>0</v>
      </c>
      <c r="M37" s="725">
        <f t="shared" si="16"/>
        <v>0</v>
      </c>
      <c r="N37" s="725">
        <f t="shared" si="16"/>
        <v>0</v>
      </c>
      <c r="O37" s="725">
        <f t="shared" si="16"/>
        <v>0</v>
      </c>
      <c r="P37" s="725">
        <f t="shared" si="16"/>
        <v>0</v>
      </c>
      <c r="Q37" s="725">
        <f t="shared" si="16"/>
        <v>0</v>
      </c>
      <c r="R37" s="725">
        <f t="shared" si="16"/>
        <v>0</v>
      </c>
    </row>
  </sheetData>
  <mergeCells count="9">
    <mergeCell ref="B14:B16"/>
    <mergeCell ref="C15:J15"/>
    <mergeCell ref="C14:F14"/>
    <mergeCell ref="G14:J14"/>
    <mergeCell ref="S14:V14"/>
    <mergeCell ref="O14:R14"/>
    <mergeCell ref="S15:V15"/>
    <mergeCell ref="K14:N14"/>
    <mergeCell ref="K15:R15"/>
  </mergeCells>
  <hyperlinks>
    <hyperlink ref="A2" location="'Title_&amp;_Contents'!A1" display="Contents"/>
    <hyperlink ref="B2" location="Map_of_sheets!A1" display="Map of sheets"/>
  </hyperlink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98</vt:i4>
      </vt:variant>
      <vt:variant>
        <vt:lpstr>Named Ranges</vt:lpstr>
      </vt:variant>
      <vt:variant>
        <vt:i4>3</vt:i4>
      </vt:variant>
    </vt:vector>
  </HeadingPairs>
  <TitlesOfParts>
    <vt:vector size="101" baseType="lpstr">
      <vt:lpstr>Title_&amp;_Contents</vt:lpstr>
      <vt:lpstr>Details</vt:lpstr>
      <vt:lpstr>New_features</vt:lpstr>
      <vt:lpstr>Map_of_sheets</vt:lpstr>
      <vt:lpstr>Subject_groupings_defined</vt:lpstr>
      <vt:lpstr>FINAL_OUTPUTS_OF_ITT_PLACES</vt:lpstr>
      <vt:lpstr>SUMMARY_OUTPUTS</vt:lpstr>
      <vt:lpstr>USER_TESTING_TAB</vt:lpstr>
      <vt:lpstr>Entrant_need_charts_over_time</vt:lpstr>
      <vt:lpstr>Teacher_need_charts_over_time</vt:lpstr>
      <vt:lpstr>Pupil_Projections_scenarios</vt:lpstr>
      <vt:lpstr>RAW_DATA_INPUTS</vt:lpstr>
      <vt:lpstr>Policy_assumptions_PRIM</vt:lpstr>
      <vt:lpstr>Policy_assumptions_SEC</vt:lpstr>
      <vt:lpstr>Data_selected_by_user_testing</vt:lpstr>
      <vt:lpstr>Increased_EBacc_scenario_data</vt:lpstr>
      <vt:lpstr>Calc_PRIM_retirement_rates</vt:lpstr>
      <vt:lpstr>Calc_SEC_retirement_rates</vt:lpstr>
      <vt:lpstr>Calc_PRIM_death_rates</vt:lpstr>
      <vt:lpstr>Calc_SEC_death_rates</vt:lpstr>
      <vt:lpstr>Calculation_PRIM_wastage_rates</vt:lpstr>
      <vt:lpstr>Calculation_SEC_wastage_rates</vt:lpstr>
      <vt:lpstr>Projected_PRIM_wastage_rates</vt:lpstr>
      <vt:lpstr>Projected_SEC_wastage_rates</vt:lpstr>
      <vt:lpstr>Group_1_rates</vt:lpstr>
      <vt:lpstr>Group_2_rates</vt:lpstr>
      <vt:lpstr>Group_3_rates</vt:lpstr>
      <vt:lpstr>Stock_calculations</vt:lpstr>
      <vt:lpstr>Stock_ages_breakdowns</vt:lpstr>
      <vt:lpstr>Pupils_data_scenarios</vt:lpstr>
      <vt:lpstr>Calc_Primary_teacher_need</vt:lpstr>
      <vt:lpstr>Calc_overall_Sec_teacher_need</vt:lpstr>
      <vt:lpstr>Teacher_need_by_subject</vt:lpstr>
      <vt:lpstr>Forecast_stock_figures</vt:lpstr>
      <vt:lpstr>Entrant_age_breakdowns</vt:lpstr>
      <vt:lpstr>Primary_1</vt:lpstr>
      <vt:lpstr>Art_&amp;_Design_1</vt:lpstr>
      <vt:lpstr>Biology_1</vt:lpstr>
      <vt:lpstr>Business_Studies_1</vt:lpstr>
      <vt:lpstr>Chemistry_1</vt:lpstr>
      <vt:lpstr>Classics_1</vt:lpstr>
      <vt:lpstr>Computing_1</vt:lpstr>
      <vt:lpstr>Design_&amp;_Technology_1</vt:lpstr>
      <vt:lpstr>Drama_1</vt:lpstr>
      <vt:lpstr>English_1</vt:lpstr>
      <vt:lpstr>Food_1</vt:lpstr>
      <vt:lpstr>Geography_1</vt:lpstr>
      <vt:lpstr>History_1</vt:lpstr>
      <vt:lpstr>Mathematics_1</vt:lpstr>
      <vt:lpstr>Modern_Foreign_Languages_1</vt:lpstr>
      <vt:lpstr>Music_1</vt:lpstr>
      <vt:lpstr>Others_1</vt:lpstr>
      <vt:lpstr>Physical_Education_1</vt:lpstr>
      <vt:lpstr>Physics_1</vt:lpstr>
      <vt:lpstr>Religious_Education_1</vt:lpstr>
      <vt:lpstr>OUTPUTS_FOR_SECTION_2_OF_MODEL</vt:lpstr>
      <vt:lpstr>Calc_PRIM_entrant_rates</vt:lpstr>
      <vt:lpstr>Calc_SEC_entrant_rates</vt:lpstr>
      <vt:lpstr>Calc_PRIM_part-time_entrants</vt:lpstr>
      <vt:lpstr>Calc_SEC_part-time_entrants</vt:lpstr>
      <vt:lpstr>Primary_2</vt:lpstr>
      <vt:lpstr>Art_&amp;_Design_2</vt:lpstr>
      <vt:lpstr>Biology_2</vt:lpstr>
      <vt:lpstr>Business_Studies_2</vt:lpstr>
      <vt:lpstr>Chemistry_2</vt:lpstr>
      <vt:lpstr>Classics_2</vt:lpstr>
      <vt:lpstr>Computing_2</vt:lpstr>
      <vt:lpstr>Design_&amp;_Technology_2</vt:lpstr>
      <vt:lpstr>Drama_2</vt:lpstr>
      <vt:lpstr>English_2</vt:lpstr>
      <vt:lpstr>Food_2</vt:lpstr>
      <vt:lpstr>Geography_2</vt:lpstr>
      <vt:lpstr>History_2</vt:lpstr>
      <vt:lpstr>Mathematics_2</vt:lpstr>
      <vt:lpstr>Modern_Foreign_Languages_2</vt:lpstr>
      <vt:lpstr>Music_2</vt:lpstr>
      <vt:lpstr>Others_2</vt:lpstr>
      <vt:lpstr>Physical_Education_2</vt:lpstr>
      <vt:lpstr>Physics_2</vt:lpstr>
      <vt:lpstr>Religious_Education_2</vt:lpstr>
      <vt:lpstr>Re-entrants_expected</vt:lpstr>
      <vt:lpstr>New_to_SF_sector_expected</vt:lpstr>
      <vt:lpstr>NQT_entrants_required_inc_UGs</vt:lpstr>
      <vt:lpstr>Check_of_all_entrant_numbers</vt:lpstr>
      <vt:lpstr>Calc_long_term_NQT_entrants</vt:lpstr>
      <vt:lpstr>Outputs_for_conversion_rates</vt:lpstr>
      <vt:lpstr>Conversion_rates_table</vt:lpstr>
      <vt:lpstr>Assumptions_data</vt:lpstr>
      <vt:lpstr>Teacher_need_figures</vt:lpstr>
      <vt:lpstr>Entrant_need_figures</vt:lpstr>
      <vt:lpstr>Wastage_over_time</vt:lpstr>
      <vt:lpstr>Retirements_over_time</vt:lpstr>
      <vt:lpstr>Deaths_over_time</vt:lpstr>
      <vt:lpstr>Leavers_over_time</vt:lpstr>
      <vt:lpstr>Outputs_with_historical_data</vt:lpstr>
      <vt:lpstr>Comparison_of_pupil_projns</vt:lpstr>
      <vt:lpstr>Historical_and_projected_ITT</vt:lpstr>
      <vt:lpstr>Changes_in_subject_teaching_hrs</vt:lpstr>
      <vt:lpstr>CurrentVersion</vt:lpstr>
      <vt:lpstr>ModelBanner</vt:lpstr>
      <vt:lpstr>ModelName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Melissa.COOK@education.gsi.gov.uk</dc:creator>
  <cp:lastModifiedBy>CRAIGIE, Mark</cp:lastModifiedBy>
  <cp:lastPrinted>2013-11-26T16:03:48Z</cp:lastPrinted>
  <dcterms:created xsi:type="dcterms:W3CDTF">2011-09-21T15:03:21Z</dcterms:created>
  <dcterms:modified xsi:type="dcterms:W3CDTF">2017-05-09T10:54:30Z</dcterms:modified>
</cp:coreProperties>
</file>